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bookViews>
    <workbookView xWindow="-15" yWindow="-15" windowWidth="19620" windowHeight="6375" tabRatio="733"/>
  </bookViews>
  <sheets>
    <sheet name="Disclaimer" sheetId="104" r:id="rId1"/>
    <sheet name="Navigation" sheetId="81" r:id="rId2"/>
    <sheet name="Linked sheet" sheetId="103" r:id="rId3"/>
    <sheet name="OPATT SQL code" sheetId="124" r:id="rId4"/>
    <sheet name="OPATT_Cost_Quantum" sheetId="45" r:id="rId5"/>
    <sheet name="OPATT_Activities" sheetId="46" r:id="rId6"/>
    <sheet name="Non-mandatory OPROC HRGs" sheetId="97" r:id="rId7"/>
    <sheet name="201314 RC list" sheetId="123" r:id="rId8"/>
    <sheet name="Price Adjustments" sheetId="122" r:id="rId9"/>
    <sheet name="Mandatory" sheetId="54" r:id="rId10"/>
    <sheet name="Mapping HRGs to TFCs" sheetId="51" r:id="rId11"/>
    <sheet name="Manual adjustment requests" sheetId="106" r:id="rId12"/>
    <sheet name="14-15 tariff" sheetId="90" r:id="rId13"/>
    <sheet name="15-16 tariff" sheetId="119" r:id="rId14"/>
    <sheet name="Output for BPT" sheetId="125" r:id="rId15"/>
    <sheet name="Output for non-mandatory" sheetId="111" r:id="rId16"/>
    <sheet name="HRGs to TFCs" sheetId="52" r:id="rId17"/>
    <sheet name="HRGs to TFCs % Split" sheetId="55" r:id="rId18"/>
    <sheet name="Allocate OPROC cost" sheetId="50" r:id="rId19"/>
    <sheet name="Front-loading" sheetId="57" r:id="rId20"/>
    <sheet name="Further adjustment" sheetId="58" r:id="rId21"/>
    <sheet name="Manual adjustments" sheetId="101" r:id="rId22"/>
    <sheet name="PRICES" sheetId="64" r:id="rId23"/>
    <sheet name="OPATT prices" sheetId="102" r:id="rId24"/>
    <sheet name="Post manual recon" sheetId="82"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____net1" hidden="1">{"NET",#N/A,FALSE,"401C11"}</definedName>
    <definedName name="___AO1" localSheetId="13">#REF!</definedName>
    <definedName name="___AO1">#REF!</definedName>
    <definedName name="___cw1" localSheetId="13">#REF!</definedName>
    <definedName name="___cw1">#REF!</definedName>
    <definedName name="___kr1" localSheetId="13">#REF!</definedName>
    <definedName name="___kr1">#REF!</definedName>
    <definedName name="___kr2" localSheetId="13">#REF!</definedName>
    <definedName name="___kr2">#REF!</definedName>
    <definedName name="___kr3" localSheetId="13">#REF!</definedName>
    <definedName name="___kr3">#REF!</definedName>
    <definedName name="___kr4" localSheetId="13">#REF!</definedName>
    <definedName name="___kr4">#REF!</definedName>
    <definedName name="___mb1" localSheetId="13">#REF!</definedName>
    <definedName name="___mb1">#REF!</definedName>
    <definedName name="___mb10" localSheetId="13">#REF!</definedName>
    <definedName name="___mb10">#REF!</definedName>
    <definedName name="___mb11" localSheetId="13">#REF!</definedName>
    <definedName name="___mb11">#REF!</definedName>
    <definedName name="___mb12" localSheetId="13">#REF!</definedName>
    <definedName name="___mb12">#REF!</definedName>
    <definedName name="___mb13" localSheetId="13">#REF!</definedName>
    <definedName name="___mb13">#REF!</definedName>
    <definedName name="___mb14" localSheetId="13">#REF!</definedName>
    <definedName name="___mb14">#REF!</definedName>
    <definedName name="___mb15" localSheetId="13">#REF!</definedName>
    <definedName name="___mb15">#REF!</definedName>
    <definedName name="___mb16" localSheetId="13">#REF!</definedName>
    <definedName name="___mb16">#REF!</definedName>
    <definedName name="___mb17" localSheetId="13">#REF!</definedName>
    <definedName name="___mb17">#REF!</definedName>
    <definedName name="___mb18" localSheetId="13">#REF!</definedName>
    <definedName name="___mb18">#REF!</definedName>
    <definedName name="___mb19" localSheetId="13">#REF!</definedName>
    <definedName name="___mb19">#REF!</definedName>
    <definedName name="___mb2" localSheetId="13">#REF!</definedName>
    <definedName name="___mb2">#REF!</definedName>
    <definedName name="___mb20" localSheetId="13">#REF!</definedName>
    <definedName name="___mb20">#REF!</definedName>
    <definedName name="___mb21" localSheetId="13">#REF!</definedName>
    <definedName name="___mb21">#REF!</definedName>
    <definedName name="___mb22" localSheetId="13">#REF!</definedName>
    <definedName name="___mb22">#REF!</definedName>
    <definedName name="___mb23" localSheetId="13">#REF!</definedName>
    <definedName name="___mb23">#REF!</definedName>
    <definedName name="___mb24" localSheetId="13">#REF!</definedName>
    <definedName name="___mb24">#REF!</definedName>
    <definedName name="___mb25" localSheetId="13">#REF!</definedName>
    <definedName name="___mb25">#REF!</definedName>
    <definedName name="___mb27" localSheetId="13">#REF!</definedName>
    <definedName name="___mb27">#REF!</definedName>
    <definedName name="___mb28" localSheetId="13">#REF!</definedName>
    <definedName name="___mb28">#REF!</definedName>
    <definedName name="___mb29" localSheetId="13">#REF!</definedName>
    <definedName name="___mb29">#REF!</definedName>
    <definedName name="___mb3" localSheetId="13">#REF!</definedName>
    <definedName name="___mb3">#REF!</definedName>
    <definedName name="___mb30" localSheetId="13">#REF!</definedName>
    <definedName name="___mb30">#REF!</definedName>
    <definedName name="___mb31" localSheetId="13">#REF!</definedName>
    <definedName name="___mb31">#REF!</definedName>
    <definedName name="___mb33" localSheetId="13">#REF!</definedName>
    <definedName name="___mb33">#REF!</definedName>
    <definedName name="___mb34" localSheetId="13">#REF!</definedName>
    <definedName name="___mb34">#REF!</definedName>
    <definedName name="___mb35" localSheetId="13">#REF!</definedName>
    <definedName name="___mb35">#REF!</definedName>
    <definedName name="___mb36" localSheetId="13">#REF!</definedName>
    <definedName name="___mb36">#REF!</definedName>
    <definedName name="___mb37" localSheetId="13">#REF!</definedName>
    <definedName name="___mb37">#REF!</definedName>
    <definedName name="___mb38" localSheetId="13">#REF!</definedName>
    <definedName name="___mb38">#REF!</definedName>
    <definedName name="___mb39" localSheetId="13">#REF!</definedName>
    <definedName name="___mb39">#REF!</definedName>
    <definedName name="___mb4" localSheetId="13">#REF!</definedName>
    <definedName name="___mb4">#REF!</definedName>
    <definedName name="___mb40" localSheetId="13">#REF!</definedName>
    <definedName name="___mb40">#REF!</definedName>
    <definedName name="___mb41" localSheetId="13">#REF!</definedName>
    <definedName name="___mb41">#REF!</definedName>
    <definedName name="___mb42" localSheetId="13">#REF!</definedName>
    <definedName name="___mb42">#REF!</definedName>
    <definedName name="___mb43" localSheetId="13">#REF!</definedName>
    <definedName name="___mb43">#REF!</definedName>
    <definedName name="___mb5" localSheetId="13">#REF!</definedName>
    <definedName name="___mb5">#REF!</definedName>
    <definedName name="___mb6" localSheetId="13">#REF!</definedName>
    <definedName name="___mb6">#REF!</definedName>
    <definedName name="___mb7" localSheetId="13">#REF!</definedName>
    <definedName name="___mb7">#REF!</definedName>
    <definedName name="___mb8" localSheetId="13">#REF!</definedName>
    <definedName name="___mb8">#REF!</definedName>
    <definedName name="___mb9" localSheetId="13">#REF!</definedName>
    <definedName name="___mb9">#REF!</definedName>
    <definedName name="___net93">'[1]Net WP'!$C$1</definedName>
    <definedName name="___Pop1" localSheetId="13">#REF!</definedName>
    <definedName name="___Pop1">#REF!</definedName>
    <definedName name="___Pop2" localSheetId="13">#REF!</definedName>
    <definedName name="___Pop2">#REF!</definedName>
    <definedName name="___Pop3" localSheetId="13">#REF!</definedName>
    <definedName name="___Pop3">#REF!</definedName>
    <definedName name="___rd1" localSheetId="13">#REF!</definedName>
    <definedName name="___rd1">#REF!</definedName>
    <definedName name="___rd2" localSheetId="13">#REF!</definedName>
    <definedName name="___rd2">#REF!</definedName>
    <definedName name="___rd3" localSheetId="13">#REF!</definedName>
    <definedName name="___rd3">#REF!</definedName>
    <definedName name="___rd4" localSheetId="13">#REF!</definedName>
    <definedName name="___rd4">#REF!</definedName>
    <definedName name="___rd5" localSheetId="13">#REF!</definedName>
    <definedName name="___rd5">#REF!</definedName>
    <definedName name="___rd6" localSheetId="13">#REF!</definedName>
    <definedName name="___rd6">#REF!</definedName>
    <definedName name="___rd7" localSheetId="13">#REF!</definedName>
    <definedName name="___rd7">#REF!</definedName>
    <definedName name="___rd8" localSheetId="13">#REF!</definedName>
    <definedName name="___rd8">#REF!</definedName>
    <definedName name="___sp1" localSheetId="13">#REF!</definedName>
    <definedName name="___sp1">#REF!</definedName>
    <definedName name="___sp10" localSheetId="13">#REF!</definedName>
    <definedName name="___sp10">#REF!</definedName>
    <definedName name="___sp11" localSheetId="13">#REF!</definedName>
    <definedName name="___sp11">#REF!</definedName>
    <definedName name="___sp12" localSheetId="13">#REF!</definedName>
    <definedName name="___sp12">#REF!</definedName>
    <definedName name="___sp13" localSheetId="13">#REF!</definedName>
    <definedName name="___sp13">#REF!</definedName>
    <definedName name="___sp14" localSheetId="13">#REF!</definedName>
    <definedName name="___sp14">#REF!</definedName>
    <definedName name="___sp15" localSheetId="13">#REF!</definedName>
    <definedName name="___sp15">#REF!</definedName>
    <definedName name="___sp2" localSheetId="13">#REF!</definedName>
    <definedName name="___sp2">#REF!</definedName>
    <definedName name="___sp3" localSheetId="13">#REF!</definedName>
    <definedName name="___sp3">#REF!</definedName>
    <definedName name="___sp4" localSheetId="13">#REF!</definedName>
    <definedName name="___sp4">#REF!</definedName>
    <definedName name="___sp5" localSheetId="13">#REF!</definedName>
    <definedName name="___sp5">#REF!</definedName>
    <definedName name="___sp6" localSheetId="13">#REF!</definedName>
    <definedName name="___sp6">#REF!</definedName>
    <definedName name="___sp7" localSheetId="13">#REF!</definedName>
    <definedName name="___sp7">#REF!</definedName>
    <definedName name="___sp8" localSheetId="13">#REF!</definedName>
    <definedName name="___sp8">#REF!</definedName>
    <definedName name="___sp9" localSheetId="13">#REF!</definedName>
    <definedName name="___sp9">#REF!</definedName>
    <definedName name="___sue3" localSheetId="13">#REF!</definedName>
    <definedName name="___sue3">#REF!</definedName>
    <definedName name="__123Graph_A" localSheetId="13" hidden="1">'[2]2002PCTs'!#REF!</definedName>
    <definedName name="__123Graph_A" hidden="1">'[2]2002PCTs'!#REF!</definedName>
    <definedName name="__123Graph_B" localSheetId="13" hidden="1">[3]Dnurse!#REF!</definedName>
    <definedName name="__123Graph_B" hidden="1">[3]Dnurse!#REF!</definedName>
    <definedName name="__123Graph_C" localSheetId="13" hidden="1">[3]Dnurse!#REF!</definedName>
    <definedName name="__123Graph_C" hidden="1">[3]Dnurse!#REF!</definedName>
    <definedName name="__123Graph_X" localSheetId="13" hidden="1">[3]Dnurse!#REF!</definedName>
    <definedName name="__123Graph_X" hidden="1">[3]Dnurse!#REF!</definedName>
    <definedName name="__all2" localSheetId="13">#REF!</definedName>
    <definedName name="__all2">#REF!</definedName>
    <definedName name="__Amb2" localSheetId="13">#REF!</definedName>
    <definedName name="__Amb2">#REF!</definedName>
    <definedName name="__AO1" localSheetId="13">#REF!</definedName>
    <definedName name="__AO1">#REF!</definedName>
    <definedName name="__cod2" localSheetId="13">#REF!</definedName>
    <definedName name="__cod2">#REF!</definedName>
    <definedName name="__cw1" localSheetId="13">#REF!</definedName>
    <definedName name="__cw1">#REF!</definedName>
    <definedName name="__HAs1999" localSheetId="13">#REF!</definedName>
    <definedName name="__HAs1999">#REF!</definedName>
    <definedName name="__kr1" localSheetId="13">#REF!</definedName>
    <definedName name="__kr1">#REF!</definedName>
    <definedName name="__kr2" localSheetId="13">#REF!</definedName>
    <definedName name="__kr2">#REF!</definedName>
    <definedName name="__kr3" localSheetId="13">#REF!</definedName>
    <definedName name="__kr3">#REF!</definedName>
    <definedName name="__kr4" localSheetId="13">#REF!</definedName>
    <definedName name="__kr4">#REF!</definedName>
    <definedName name="__mb1" localSheetId="13">#REF!</definedName>
    <definedName name="__mb1">#REF!</definedName>
    <definedName name="__mb10" localSheetId="13">#REF!</definedName>
    <definedName name="__mb10">#REF!</definedName>
    <definedName name="__mb11" localSheetId="13">#REF!</definedName>
    <definedName name="__mb11">#REF!</definedName>
    <definedName name="__mb12" localSheetId="13">#REF!</definedName>
    <definedName name="__mb12">#REF!</definedName>
    <definedName name="__mb13" localSheetId="13">#REF!</definedName>
    <definedName name="__mb13">#REF!</definedName>
    <definedName name="__mb14" localSheetId="13">#REF!</definedName>
    <definedName name="__mb14">#REF!</definedName>
    <definedName name="__mb15" localSheetId="13">#REF!</definedName>
    <definedName name="__mb15">#REF!</definedName>
    <definedName name="__mb16" localSheetId="13">#REF!</definedName>
    <definedName name="__mb16">#REF!</definedName>
    <definedName name="__mb17" localSheetId="13">#REF!</definedName>
    <definedName name="__mb17">#REF!</definedName>
    <definedName name="__mb18" localSheetId="13">#REF!</definedName>
    <definedName name="__mb18">#REF!</definedName>
    <definedName name="__mb19" localSheetId="13">#REF!</definedName>
    <definedName name="__mb19">#REF!</definedName>
    <definedName name="__mb2" localSheetId="13">#REF!</definedName>
    <definedName name="__mb2">#REF!</definedName>
    <definedName name="__mb20" localSheetId="13">#REF!</definedName>
    <definedName name="__mb20">#REF!</definedName>
    <definedName name="__mb21" localSheetId="13">#REF!</definedName>
    <definedName name="__mb21">#REF!</definedName>
    <definedName name="__mb22" localSheetId="13">#REF!</definedName>
    <definedName name="__mb22">#REF!</definedName>
    <definedName name="__mb23" localSheetId="13">#REF!</definedName>
    <definedName name="__mb23">#REF!</definedName>
    <definedName name="__mb24" localSheetId="13">#REF!</definedName>
    <definedName name="__mb24">#REF!</definedName>
    <definedName name="__mb25" localSheetId="13">#REF!</definedName>
    <definedName name="__mb25">#REF!</definedName>
    <definedName name="__mb27" localSheetId="13">#REF!</definedName>
    <definedName name="__mb27">#REF!</definedName>
    <definedName name="__mb28" localSheetId="13">#REF!</definedName>
    <definedName name="__mb28">#REF!</definedName>
    <definedName name="__mb29" localSheetId="13">#REF!</definedName>
    <definedName name="__mb29">#REF!</definedName>
    <definedName name="__mb3" localSheetId="13">#REF!</definedName>
    <definedName name="__mb3">#REF!</definedName>
    <definedName name="__mb30" localSheetId="13">#REF!</definedName>
    <definedName name="__mb30">#REF!</definedName>
    <definedName name="__mb31" localSheetId="13">#REF!</definedName>
    <definedName name="__mb31">#REF!</definedName>
    <definedName name="__mb33" localSheetId="13">#REF!</definedName>
    <definedName name="__mb33">#REF!</definedName>
    <definedName name="__mb34" localSheetId="13">#REF!</definedName>
    <definedName name="__mb34">#REF!</definedName>
    <definedName name="__mb35" localSheetId="13">#REF!</definedName>
    <definedName name="__mb35">#REF!</definedName>
    <definedName name="__mb36" localSheetId="13">#REF!</definedName>
    <definedName name="__mb36">#REF!</definedName>
    <definedName name="__mb37" localSheetId="13">#REF!</definedName>
    <definedName name="__mb37">#REF!</definedName>
    <definedName name="__mb38" localSheetId="13">#REF!</definedName>
    <definedName name="__mb38">#REF!</definedName>
    <definedName name="__mb39" localSheetId="13">#REF!</definedName>
    <definedName name="__mb39">#REF!</definedName>
    <definedName name="__mb4" localSheetId="13">#REF!</definedName>
    <definedName name="__mb4">#REF!</definedName>
    <definedName name="__mb40" localSheetId="13">#REF!</definedName>
    <definedName name="__mb40">#REF!</definedName>
    <definedName name="__mb41" localSheetId="13">#REF!</definedName>
    <definedName name="__mb41">#REF!</definedName>
    <definedName name="__mb42" localSheetId="13">#REF!</definedName>
    <definedName name="__mb42">#REF!</definedName>
    <definedName name="__mb43" localSheetId="13">#REF!</definedName>
    <definedName name="__mb43">#REF!</definedName>
    <definedName name="__mb5" localSheetId="13">#REF!</definedName>
    <definedName name="__mb5">#REF!</definedName>
    <definedName name="__mb6" localSheetId="13">#REF!</definedName>
    <definedName name="__mb6">#REF!</definedName>
    <definedName name="__mb7" localSheetId="13">#REF!</definedName>
    <definedName name="__mb7">#REF!</definedName>
    <definedName name="__mb8" localSheetId="13">#REF!</definedName>
    <definedName name="__mb8">#REF!</definedName>
    <definedName name="__mb9" localSheetId="13">#REF!</definedName>
    <definedName name="__mb9">#REF!</definedName>
    <definedName name="__net1" hidden="1">{"NET",#N/A,FALSE,"401C11"}</definedName>
    <definedName name="__net93">'[1]Net WP'!$C$1</definedName>
    <definedName name="__Pop1" localSheetId="13">#REF!</definedName>
    <definedName name="__Pop1">#REF!</definedName>
    <definedName name="__Pop2" localSheetId="13">#REF!</definedName>
    <definedName name="__Pop2">#REF!</definedName>
    <definedName name="__Pop3" localSheetId="13">#REF!</definedName>
    <definedName name="__Pop3">#REF!</definedName>
    <definedName name="__rd1" localSheetId="13">#REF!</definedName>
    <definedName name="__rd1">#REF!</definedName>
    <definedName name="__rd2" localSheetId="13">#REF!</definedName>
    <definedName name="__rd2">#REF!</definedName>
    <definedName name="__rd3" localSheetId="13">#REF!</definedName>
    <definedName name="__rd3">#REF!</definedName>
    <definedName name="__rd4" localSheetId="13">#REF!</definedName>
    <definedName name="__rd4">#REF!</definedName>
    <definedName name="__rd5" localSheetId="13">#REF!</definedName>
    <definedName name="__rd5">#REF!</definedName>
    <definedName name="__rd6" localSheetId="13">#REF!</definedName>
    <definedName name="__rd6">#REF!</definedName>
    <definedName name="__rd7" localSheetId="13">#REF!</definedName>
    <definedName name="__rd7">#REF!</definedName>
    <definedName name="__rd8" localSheetId="13">#REF!</definedName>
    <definedName name="__rd8">#REF!</definedName>
    <definedName name="__rev1" localSheetId="13">#REF!</definedName>
    <definedName name="__rev1">#REF!</definedName>
    <definedName name="__rev2" localSheetId="13">#REF!</definedName>
    <definedName name="__rev2">#REF!</definedName>
    <definedName name="__rev3" localSheetId="13">#REF!</definedName>
    <definedName name="__rev3">#REF!</definedName>
    <definedName name="__rev4" localSheetId="13">#REF!</definedName>
    <definedName name="__rev4">#REF!</definedName>
    <definedName name="__sp1" localSheetId="13">#REF!</definedName>
    <definedName name="__sp1">#REF!</definedName>
    <definedName name="__sp10" localSheetId="13">#REF!</definedName>
    <definedName name="__sp10">#REF!</definedName>
    <definedName name="__sp11" localSheetId="13">#REF!</definedName>
    <definedName name="__sp11">#REF!</definedName>
    <definedName name="__sp12" localSheetId="13">#REF!</definedName>
    <definedName name="__sp12">#REF!</definedName>
    <definedName name="__sp13" localSheetId="13">#REF!</definedName>
    <definedName name="__sp13">#REF!</definedName>
    <definedName name="__sp14" localSheetId="13">#REF!</definedName>
    <definedName name="__sp14">#REF!</definedName>
    <definedName name="__sp15" localSheetId="13">#REF!</definedName>
    <definedName name="__sp15">#REF!</definedName>
    <definedName name="__sp2" localSheetId="13">#REF!</definedName>
    <definedName name="__sp2">#REF!</definedName>
    <definedName name="__sp3" localSheetId="13">#REF!</definedName>
    <definedName name="__sp3">#REF!</definedName>
    <definedName name="__sp4" localSheetId="13">#REF!</definedName>
    <definedName name="__sp4">#REF!</definedName>
    <definedName name="__sp5" localSheetId="13">#REF!</definedName>
    <definedName name="__sp5">#REF!</definedName>
    <definedName name="__sp6" localSheetId="13">#REF!</definedName>
    <definedName name="__sp6">#REF!</definedName>
    <definedName name="__sp7" localSheetId="13">#REF!</definedName>
    <definedName name="__sp7">#REF!</definedName>
    <definedName name="__sp8" localSheetId="13">#REF!</definedName>
    <definedName name="__sp8">#REF!</definedName>
    <definedName name="__sp9" localSheetId="13">#REF!</definedName>
    <definedName name="__sp9">#REF!</definedName>
    <definedName name="__sue3" localSheetId="13">#REF!</definedName>
    <definedName name="__sue3">#REF!</definedName>
    <definedName name="__Tab1" localSheetId="13">#REF!</definedName>
    <definedName name="__Tab1">#REF!</definedName>
    <definedName name="__Tab2" localSheetId="13">#REF!</definedName>
    <definedName name="__Tab2">#REF!</definedName>
    <definedName name="__Tab3" localSheetId="13">#REF!</definedName>
    <definedName name="__Tab3">#REF!</definedName>
    <definedName name="__Tab4" localSheetId="13">#REF!</definedName>
    <definedName name="__Tab4">#REF!</definedName>
    <definedName name="__Tab5" localSheetId="13">#REF!</definedName>
    <definedName name="__Tab5">#REF!</definedName>
    <definedName name="__Tab6" localSheetId="13">#REF!</definedName>
    <definedName name="__Tab6">#REF!</definedName>
    <definedName name="__Tab7" localSheetId="13">#REF!</definedName>
    <definedName name="__Tab7">#REF!</definedName>
    <definedName name="_0a1" localSheetId="13">#REF!</definedName>
    <definedName name="_0a1">#REF!</definedName>
    <definedName name="_0a2" localSheetId="13">#REF!</definedName>
    <definedName name="_0a2">#REF!</definedName>
    <definedName name="_1_0__123Grap" localSheetId="13" hidden="1">'[4]#REF'!#REF!</definedName>
    <definedName name="_1_0__123Grap" hidden="1">'[4]#REF'!#REF!</definedName>
    <definedName name="_1_123Grap" localSheetId="13" hidden="1">'[5]#REF'!#REF!</definedName>
    <definedName name="_1_123Grap" hidden="1">'[5]#REF'!#REF!</definedName>
    <definedName name="_10_0__123Grap" localSheetId="13">'[6]#REF'!#REF!</definedName>
    <definedName name="_10_0__123Grap">'[6]#REF'!#REF!</definedName>
    <definedName name="_12_0_S" localSheetId="13">'[6]#REF'!#REF!</definedName>
    <definedName name="_12_0_S">'[6]#REF'!#REF!</definedName>
    <definedName name="_2_0__123Grap" localSheetId="13" hidden="1">'[5]#REF'!#REF!</definedName>
    <definedName name="_2_0__123Grap" hidden="1">'[5]#REF'!#REF!</definedName>
    <definedName name="_2_123Grap" localSheetId="13" hidden="1">'[3]#REF'!#REF!</definedName>
    <definedName name="_2_123Grap" hidden="1">'[3]#REF'!#REF!</definedName>
    <definedName name="_2006_07">'[7]Baseline &amp; default assumptions'!$L$6:$Q$18</definedName>
    <definedName name="_26_0__123Grap" localSheetId="13">'[6]#REF'!#REF!</definedName>
    <definedName name="_26_0__123Grap">'[6]#REF'!#REF!</definedName>
    <definedName name="_3_0_S" localSheetId="13" hidden="1">'[4]#REF'!#REF!</definedName>
    <definedName name="_3_0_S" hidden="1">'[4]#REF'!#REF!</definedName>
    <definedName name="_3_123Grap" localSheetId="13" hidden="1">'[5]#REF'!#REF!</definedName>
    <definedName name="_3_123Grap" hidden="1">'[5]#REF'!#REF!</definedName>
    <definedName name="_34_123Grap" localSheetId="13" hidden="1">'[5]#REF'!#REF!</definedName>
    <definedName name="_34_123Grap" hidden="1">'[5]#REF'!#REF!</definedName>
    <definedName name="_4_0__123Grap" localSheetId="13">'[6]#REF'!#REF!</definedName>
    <definedName name="_4_0__123Grap">'[6]#REF'!#REF!</definedName>
    <definedName name="_4_Zones" localSheetId="13">#REF!</definedName>
    <definedName name="_4_Zones">#REF!</definedName>
    <definedName name="_42S" localSheetId="13" hidden="1">'[5]#REF'!#REF!</definedName>
    <definedName name="_42S" hidden="1">'[5]#REF'!#REF!</definedName>
    <definedName name="_4S" localSheetId="13" hidden="1">'[5]#REF'!#REF!</definedName>
    <definedName name="_4S" hidden="1">'[5]#REF'!#REF!</definedName>
    <definedName name="_5_0__123Grap" localSheetId="13" hidden="1">'[5]#REF'!#REF!</definedName>
    <definedName name="_5_0__123Grap" hidden="1">'[5]#REF'!#REF!</definedName>
    <definedName name="_6_0_S" localSheetId="13" hidden="1">'[5]#REF'!#REF!</definedName>
    <definedName name="_6_0_S" hidden="1">'[5]#REF'!#REF!</definedName>
    <definedName name="_6_123Grap" localSheetId="13" hidden="1">'[3]#REF'!#REF!</definedName>
    <definedName name="_6_123Grap" hidden="1">'[3]#REF'!#REF!</definedName>
    <definedName name="_6_Zones" localSheetId="13">#REF!</definedName>
    <definedName name="_6_Zones">#REF!</definedName>
    <definedName name="_60_0__123Grap" localSheetId="13">'[6]#REF'!#REF!</definedName>
    <definedName name="_60_0__123Grap">'[6]#REF'!#REF!</definedName>
    <definedName name="_78_0_S" localSheetId="13">'[6]#REF'!#REF!</definedName>
    <definedName name="_78_0_S">'[6]#REF'!#REF!</definedName>
    <definedName name="_8_123Grap" localSheetId="13" hidden="1">'[5]#REF'!#REF!</definedName>
    <definedName name="_8_123Grap" hidden="1">'[5]#REF'!#REF!</definedName>
    <definedName name="_8S" localSheetId="13" hidden="1">'[3]#REF'!#REF!</definedName>
    <definedName name="_8S" hidden="1">'[3]#REF'!#REF!</definedName>
    <definedName name="_a1" localSheetId="13">#REF!</definedName>
    <definedName name="_a1">#REF!</definedName>
    <definedName name="_a2" localSheetId="13">#REF!</definedName>
    <definedName name="_a2">#REF!</definedName>
    <definedName name="_a3" localSheetId="13">#REF!</definedName>
    <definedName name="_a3">#REF!</definedName>
    <definedName name="_a4" localSheetId="13">#REF!</definedName>
    <definedName name="_a4">#REF!</definedName>
    <definedName name="_a5" localSheetId="13">#REF!</definedName>
    <definedName name="_a5">#REF!</definedName>
    <definedName name="_a6" localSheetId="13">#REF!</definedName>
    <definedName name="_a6">#REF!</definedName>
    <definedName name="_a7" localSheetId="13">#REF!</definedName>
    <definedName name="_a7">#REF!</definedName>
    <definedName name="_a8" localSheetId="13">#REF!</definedName>
    <definedName name="_a8">#REF!</definedName>
    <definedName name="_a9" localSheetId="13">#REF!</definedName>
    <definedName name="_a9">#REF!</definedName>
    <definedName name="_all2" localSheetId="13">#REF!</definedName>
    <definedName name="_all2">#REF!</definedName>
    <definedName name="_am2" localSheetId="13">#REF!</definedName>
    <definedName name="_am2">#REF!</definedName>
    <definedName name="_am3" localSheetId="13">#REF!</definedName>
    <definedName name="_am3">#REF!</definedName>
    <definedName name="_am4" localSheetId="13">#REF!</definedName>
    <definedName name="_am4">#REF!</definedName>
    <definedName name="_am5" localSheetId="13">#REF!</definedName>
    <definedName name="_am5">#REF!</definedName>
    <definedName name="_am6" localSheetId="13">#REF!</definedName>
    <definedName name="_am6">#REF!</definedName>
    <definedName name="_am7" localSheetId="13">#REF!</definedName>
    <definedName name="_am7">#REF!</definedName>
    <definedName name="_am8" localSheetId="13">#REF!</definedName>
    <definedName name="_am8">#REF!</definedName>
    <definedName name="_am9" localSheetId="13">#REF!</definedName>
    <definedName name="_am9">#REF!</definedName>
    <definedName name="_Amb2" localSheetId="13">#REF!</definedName>
    <definedName name="_Amb2">#REF!</definedName>
    <definedName name="_AO1" localSheetId="13">#REF!</definedName>
    <definedName name="_AO1">#REF!</definedName>
    <definedName name="_aT06" localSheetId="13">#REF!</definedName>
    <definedName name="_aT06">#REF!</definedName>
    <definedName name="_b1" localSheetId="13">#REF!</definedName>
    <definedName name="_b1">#REF!</definedName>
    <definedName name="_bA22" localSheetId="13">#REF!</definedName>
    <definedName name="_bA22">#REF!</definedName>
    <definedName name="_bT01" localSheetId="13">#REF!</definedName>
    <definedName name="_bT01">#REF!</definedName>
    <definedName name="_bt05" localSheetId="13">#REF!</definedName>
    <definedName name="_bt05">#REF!</definedName>
    <definedName name="_ca1" localSheetId="13">#REF!</definedName>
    <definedName name="_ca1">#REF!</definedName>
    <definedName name="_ca10" localSheetId="13">#REF!</definedName>
    <definedName name="_ca10">#REF!</definedName>
    <definedName name="_ca2" localSheetId="13">#REF!</definedName>
    <definedName name="_ca2">#REF!</definedName>
    <definedName name="_ca3" localSheetId="13">#REF!</definedName>
    <definedName name="_ca3">#REF!</definedName>
    <definedName name="_ca4" localSheetId="13">#REF!</definedName>
    <definedName name="_ca4">#REF!</definedName>
    <definedName name="_ca5" localSheetId="13">#REF!</definedName>
    <definedName name="_ca5">#REF!</definedName>
    <definedName name="_ca6" localSheetId="13">#REF!</definedName>
    <definedName name="_ca6">#REF!</definedName>
    <definedName name="_ca7" localSheetId="13">#REF!</definedName>
    <definedName name="_ca7">#REF!</definedName>
    <definedName name="_ca8" localSheetId="13">#REF!</definedName>
    <definedName name="_ca8">#REF!</definedName>
    <definedName name="_ca9" localSheetId="13">#REF!</definedName>
    <definedName name="_ca9">#REF!</definedName>
    <definedName name="_cod2" localSheetId="13">#REF!</definedName>
    <definedName name="_cod2">#REF!</definedName>
    <definedName name="_cw1" localSheetId="13">#REF!</definedName>
    <definedName name="_cw1">#REF!</definedName>
    <definedName name="_f1" localSheetId="13">#REF!</definedName>
    <definedName name="_f1">#REF!</definedName>
    <definedName name="_f2" localSheetId="13">#REF!</definedName>
    <definedName name="_f2">#REF!</definedName>
    <definedName name="_f3" localSheetId="13">#REF!</definedName>
    <definedName name="_f3">#REF!</definedName>
    <definedName name="_f4" localSheetId="13">#REF!</definedName>
    <definedName name="_f4">#REF!</definedName>
    <definedName name="_xlnm._FilterDatabase" localSheetId="13" hidden="1">'15-16 tariff'!$A$4:$F$60</definedName>
    <definedName name="_xlnm._FilterDatabase" localSheetId="18" hidden="1">'Allocate OPROC cost'!$A$7:$AT$119</definedName>
    <definedName name="_xlnm._FilterDatabase" localSheetId="19" hidden="1">'Front-loading'!$A$8:$AG$120</definedName>
    <definedName name="_xlnm._FilterDatabase" localSheetId="20" hidden="1">'Further adjustment'!$A$9:$BK$145</definedName>
    <definedName name="_xlnm._FilterDatabase" localSheetId="2" hidden="1">'Linked sheet'!$A$4:$F$64</definedName>
    <definedName name="_xlnm._FilterDatabase" localSheetId="11" hidden="1">'Manual adjustment requests'!$A$2:$BQ$21</definedName>
    <definedName name="_xlnm._FilterDatabase" localSheetId="10" hidden="1">'Mapping HRGs to TFCs'!$A$2:$G$7884</definedName>
    <definedName name="_xlnm._FilterDatabase" localSheetId="6" hidden="1">'Non-mandatory OPROC HRGs'!$A$3:$W$422</definedName>
    <definedName name="_xlnm._FilterDatabase" localSheetId="23" hidden="1">'OPATT prices'!$A$4:$X$64</definedName>
    <definedName name="_xlnm._FilterDatabase" localSheetId="24" hidden="1">'Post manual recon'!$L$4:$U$64</definedName>
    <definedName name="_xlnm._FilterDatabase" localSheetId="22" hidden="1">PRICES!$A$5:$CT$5</definedName>
    <definedName name="_h1" localSheetId="13">#REF!</definedName>
    <definedName name="_h1">#REF!</definedName>
    <definedName name="_h2" localSheetId="13">#REF!</definedName>
    <definedName name="_h2">#REF!</definedName>
    <definedName name="_HAs1999" localSheetId="13">#REF!</definedName>
    <definedName name="_HAs1999">#REF!</definedName>
    <definedName name="_hf10" localSheetId="13">#REF!</definedName>
    <definedName name="_hf10">#REF!</definedName>
    <definedName name="_hf108" localSheetId="13">#REF!</definedName>
    <definedName name="_hf108">#REF!</definedName>
    <definedName name="_hf11" localSheetId="13">#REF!</definedName>
    <definedName name="_hf11">#REF!</definedName>
    <definedName name="_hf12" localSheetId="13">#REF!</definedName>
    <definedName name="_hf12">#REF!</definedName>
    <definedName name="_hf14" localSheetId="13">#REF!</definedName>
    <definedName name="_hf14">#REF!</definedName>
    <definedName name="_hf15" localSheetId="13">#REF!</definedName>
    <definedName name="_hf15">#REF!</definedName>
    <definedName name="_hf16" localSheetId="13">#REF!</definedName>
    <definedName name="_hf16">#REF!</definedName>
    <definedName name="_hf8" localSheetId="13">#REF!</definedName>
    <definedName name="_hf8">#REF!</definedName>
    <definedName name="_hf9" localSheetId="13">#REF!</definedName>
    <definedName name="_hf9">#REF!</definedName>
    <definedName name="_j1" localSheetId="13">#REF!</definedName>
    <definedName name="_j1">#REF!</definedName>
    <definedName name="_j2" localSheetId="13">#REF!</definedName>
    <definedName name="_j2">#REF!</definedName>
    <definedName name="_Key1" localSheetId="13" hidden="1">'[3]#REF'!#REF!</definedName>
    <definedName name="_Key1" hidden="1">'[3]#REF'!#REF!</definedName>
    <definedName name="_kr1" localSheetId="13">#REF!</definedName>
    <definedName name="_kr1">#REF!</definedName>
    <definedName name="_kr2" localSheetId="13">#REF!</definedName>
    <definedName name="_kr2">#REF!</definedName>
    <definedName name="_kr3" localSheetId="13">#REF!</definedName>
    <definedName name="_kr3">#REF!</definedName>
    <definedName name="_kr4" localSheetId="13">#REF!</definedName>
    <definedName name="_kr4">#REF!</definedName>
    <definedName name="_mb1" localSheetId="13">#REF!</definedName>
    <definedName name="_mb1">#REF!</definedName>
    <definedName name="_mb10" localSheetId="13">#REF!</definedName>
    <definedName name="_mb10">#REF!</definedName>
    <definedName name="_mb11" localSheetId="13">#REF!</definedName>
    <definedName name="_mb11">#REF!</definedName>
    <definedName name="_mb12" localSheetId="13">#REF!</definedName>
    <definedName name="_mb12">#REF!</definedName>
    <definedName name="_mb13" localSheetId="13">#REF!</definedName>
    <definedName name="_mb13">#REF!</definedName>
    <definedName name="_mb14" localSheetId="13">#REF!</definedName>
    <definedName name="_mb14">#REF!</definedName>
    <definedName name="_mb15" localSheetId="13">#REF!</definedName>
    <definedName name="_mb15">#REF!</definedName>
    <definedName name="_mb16" localSheetId="13">#REF!</definedName>
    <definedName name="_mb16">#REF!</definedName>
    <definedName name="_mb17" localSheetId="13">#REF!</definedName>
    <definedName name="_mb17">#REF!</definedName>
    <definedName name="_mb18" localSheetId="13">#REF!</definedName>
    <definedName name="_mb18">#REF!</definedName>
    <definedName name="_mb19" localSheetId="13">#REF!</definedName>
    <definedName name="_mb19">#REF!</definedName>
    <definedName name="_mb2" localSheetId="13">#REF!</definedName>
    <definedName name="_mb2">#REF!</definedName>
    <definedName name="_mb20" localSheetId="13">#REF!</definedName>
    <definedName name="_mb20">#REF!</definedName>
    <definedName name="_mb21" localSheetId="13">#REF!</definedName>
    <definedName name="_mb21">#REF!</definedName>
    <definedName name="_mb22" localSheetId="13">#REF!</definedName>
    <definedName name="_mb22">#REF!</definedName>
    <definedName name="_mb23" localSheetId="13">#REF!</definedName>
    <definedName name="_mb23">#REF!</definedName>
    <definedName name="_mb24" localSheetId="13">#REF!</definedName>
    <definedName name="_mb24">#REF!</definedName>
    <definedName name="_mb25" localSheetId="13">#REF!</definedName>
    <definedName name="_mb25">#REF!</definedName>
    <definedName name="_mb27" localSheetId="13">#REF!</definedName>
    <definedName name="_mb27">#REF!</definedName>
    <definedName name="_mb28" localSheetId="13">#REF!</definedName>
    <definedName name="_mb28">#REF!</definedName>
    <definedName name="_mb29" localSheetId="13">#REF!</definedName>
    <definedName name="_mb29">#REF!</definedName>
    <definedName name="_mb3" localSheetId="13">#REF!</definedName>
    <definedName name="_mb3">#REF!</definedName>
    <definedName name="_mb30" localSheetId="13">#REF!</definedName>
    <definedName name="_mb30">#REF!</definedName>
    <definedName name="_mb31" localSheetId="13">#REF!</definedName>
    <definedName name="_mb31">#REF!</definedName>
    <definedName name="_mb33" localSheetId="13">#REF!</definedName>
    <definedName name="_mb33">#REF!</definedName>
    <definedName name="_mb34" localSheetId="13">#REF!</definedName>
    <definedName name="_mb34">#REF!</definedName>
    <definedName name="_mb35" localSheetId="13">#REF!</definedName>
    <definedName name="_mb35">#REF!</definedName>
    <definedName name="_mb36" localSheetId="13">#REF!</definedName>
    <definedName name="_mb36">#REF!</definedName>
    <definedName name="_mb37" localSheetId="13">#REF!</definedName>
    <definedName name="_mb37">#REF!</definedName>
    <definedName name="_mb38" localSheetId="13">#REF!</definedName>
    <definedName name="_mb38">#REF!</definedName>
    <definedName name="_mb39" localSheetId="13">#REF!</definedName>
    <definedName name="_mb39">#REF!</definedName>
    <definedName name="_mb4" localSheetId="13">#REF!</definedName>
    <definedName name="_mb4">#REF!</definedName>
    <definedName name="_mb40" localSheetId="13">#REF!</definedName>
    <definedName name="_mb40">#REF!</definedName>
    <definedName name="_mb41" localSheetId="13">#REF!</definedName>
    <definedName name="_mb41">#REF!</definedName>
    <definedName name="_mb42" localSheetId="13">#REF!</definedName>
    <definedName name="_mb42">#REF!</definedName>
    <definedName name="_mb43" localSheetId="13">#REF!</definedName>
    <definedName name="_mb43">#REF!</definedName>
    <definedName name="_mb5" localSheetId="13">#REF!</definedName>
    <definedName name="_mb5">#REF!</definedName>
    <definedName name="_mb6" localSheetId="13">#REF!</definedName>
    <definedName name="_mb6">#REF!</definedName>
    <definedName name="_mb7" localSheetId="13">#REF!</definedName>
    <definedName name="_mb7">#REF!</definedName>
    <definedName name="_mb8" localSheetId="13">#REF!</definedName>
    <definedName name="_mb8">#REF!</definedName>
    <definedName name="_mb9" localSheetId="13">#REF!</definedName>
    <definedName name="_mb9">#REF!</definedName>
    <definedName name="_net1" hidden="1">{"NET",#N/A,FALSE,"401C11"}</definedName>
    <definedName name="_net93">'[1]Net WP'!$C$1</definedName>
    <definedName name="_Order1" hidden="1">0</definedName>
    <definedName name="_Pop1" localSheetId="13">#REF!</definedName>
    <definedName name="_Pop1">#REF!</definedName>
    <definedName name="_Pop2" localSheetId="13">#REF!</definedName>
    <definedName name="_Pop2">#REF!</definedName>
    <definedName name="_Pop3" localSheetId="13">#REF!</definedName>
    <definedName name="_Pop3">#REF!</definedName>
    <definedName name="_rd1" localSheetId="13">#REF!</definedName>
    <definedName name="_rd1">#REF!</definedName>
    <definedName name="_rd2" localSheetId="13">#REF!</definedName>
    <definedName name="_rd2">#REF!</definedName>
    <definedName name="_rd3" localSheetId="13">#REF!</definedName>
    <definedName name="_rd3">#REF!</definedName>
    <definedName name="_rd4" localSheetId="13">#REF!</definedName>
    <definedName name="_rd4">#REF!</definedName>
    <definedName name="_rd5" localSheetId="13">#REF!</definedName>
    <definedName name="_rd5">#REF!</definedName>
    <definedName name="_rd6" localSheetId="13">#REF!</definedName>
    <definedName name="_rd6">#REF!</definedName>
    <definedName name="_rd7" localSheetId="13">#REF!</definedName>
    <definedName name="_rd7">#REF!</definedName>
    <definedName name="_rd8" localSheetId="13">#REF!</definedName>
    <definedName name="_rd8">#REF!</definedName>
    <definedName name="_rev1" localSheetId="13">#REF!</definedName>
    <definedName name="_rev1">#REF!</definedName>
    <definedName name="_rev2" localSheetId="13">#REF!</definedName>
    <definedName name="_rev2">#REF!</definedName>
    <definedName name="_rev3" localSheetId="13">#REF!</definedName>
    <definedName name="_rev3">#REF!</definedName>
    <definedName name="_rev4" localSheetId="13">#REF!</definedName>
    <definedName name="_rev4">#REF!</definedName>
    <definedName name="_Sort" localSheetId="13" hidden="1">[3]ComPsy!#REF!</definedName>
    <definedName name="_Sort" hidden="1">[3]ComPsy!#REF!</definedName>
    <definedName name="_sp1" localSheetId="13">#REF!</definedName>
    <definedName name="_sp1">#REF!</definedName>
    <definedName name="_sp10" localSheetId="13">#REF!</definedName>
    <definedName name="_sp10">#REF!</definedName>
    <definedName name="_sp11" localSheetId="13">#REF!</definedName>
    <definedName name="_sp11">#REF!</definedName>
    <definedName name="_sp12" localSheetId="13">#REF!</definedName>
    <definedName name="_sp12">#REF!</definedName>
    <definedName name="_sp13" localSheetId="13">#REF!</definedName>
    <definedName name="_sp13">#REF!</definedName>
    <definedName name="_sp14" localSheetId="13">#REF!</definedName>
    <definedName name="_sp14">#REF!</definedName>
    <definedName name="_sp15" localSheetId="13">#REF!</definedName>
    <definedName name="_sp15">#REF!</definedName>
    <definedName name="_sp2" localSheetId="13">#REF!</definedName>
    <definedName name="_sp2">#REF!</definedName>
    <definedName name="_sp3" localSheetId="13">#REF!</definedName>
    <definedName name="_sp3">#REF!</definedName>
    <definedName name="_sp4" localSheetId="13">#REF!</definedName>
    <definedName name="_sp4">#REF!</definedName>
    <definedName name="_sp5" localSheetId="13">#REF!</definedName>
    <definedName name="_sp5">#REF!</definedName>
    <definedName name="_sp6" localSheetId="13">#REF!</definedName>
    <definedName name="_sp6">#REF!</definedName>
    <definedName name="_sp7" localSheetId="13">#REF!</definedName>
    <definedName name="_sp7">#REF!</definedName>
    <definedName name="_sp8" localSheetId="13">#REF!</definedName>
    <definedName name="_sp8">#REF!</definedName>
    <definedName name="_sp9" localSheetId="13">#REF!</definedName>
    <definedName name="_sp9">#REF!</definedName>
    <definedName name="_sue3" localSheetId="13">#REF!</definedName>
    <definedName name="_sue3">#REF!</definedName>
    <definedName name="_Tab1" localSheetId="13">#REF!</definedName>
    <definedName name="_Tab1">#REF!</definedName>
    <definedName name="_Tab2" localSheetId="13">#REF!</definedName>
    <definedName name="_Tab2">#REF!</definedName>
    <definedName name="_Tab3" localSheetId="13">#REF!</definedName>
    <definedName name="_Tab3">#REF!</definedName>
    <definedName name="_Tab4" localSheetId="13">#REF!</definedName>
    <definedName name="_Tab4">#REF!</definedName>
    <definedName name="_Tab5" localSheetId="13">#REF!</definedName>
    <definedName name="_Tab5">#REF!</definedName>
    <definedName name="_Tab6" localSheetId="13">#REF!</definedName>
    <definedName name="_Tab6">#REF!</definedName>
    <definedName name="_Tab7" localSheetId="13">#REF!</definedName>
    <definedName name="_Tab7">#REF!</definedName>
    <definedName name="a" hidden="1">{"CHARGE",#N/A,FALSE,"401C11"}</definedName>
    <definedName name="A0" localSheetId="13">#REF!</definedName>
    <definedName name="A0">#REF!</definedName>
    <definedName name="A11_200_220_V2_Crosstab" localSheetId="13">#REF!</definedName>
    <definedName name="A11_200_220_V2_Crosstab">#REF!</definedName>
    <definedName name="A12_02_29_120" localSheetId="13">#REF!</definedName>
    <definedName name="A12_02_29_120">#REF!</definedName>
    <definedName name="A20_110" localSheetId="13">#REF!</definedName>
    <definedName name="A20_110">#REF!</definedName>
    <definedName name="A4_07_100_170_V2_Crosstab" localSheetId="13">#REF!</definedName>
    <definedName name="A4_07_100_170_V2_Crosstab">#REF!</definedName>
    <definedName name="A9_MGT_COSTS" localSheetId="13">#REF!</definedName>
    <definedName name="A9_MGT_COSTS">#REF!</definedName>
    <definedName name="aa" hidden="1">{"CHARGE",#N/A,FALSE,"401C11"}</definedName>
    <definedName name="aaa" hidden="1">{"CHARGE",#N/A,FALSE,"401C11"}</definedName>
    <definedName name="aaaa" hidden="1">{"CHARGE",#N/A,FALSE,"401C11"}</definedName>
    <definedName name="abc" localSheetId="13">'[8]Assumption Inputs'!#REF!</definedName>
    <definedName name="abc">'[8]Assumption Inputs'!#REF!</definedName>
    <definedName name="AboveAvgGrowth" localSheetId="13">#REF!</definedName>
    <definedName name="AboveAvgGrowth">#REF!</definedName>
    <definedName name="Actuals" localSheetId="13">#REF!</definedName>
    <definedName name="Actuals">#REF!</definedName>
    <definedName name="Actuals_SWF" localSheetId="13">#REF!</definedName>
    <definedName name="Actuals_SWF">#REF!</definedName>
    <definedName name="adbr" hidden="1">{"CHARGE",#N/A,FALSE,"401C11"}</definedName>
    <definedName name="Adjust_ID" localSheetId="13">[9]Report!#REF!</definedName>
    <definedName name="Adjust_ID">[9]Report!#REF!</definedName>
    <definedName name="Adjust_Type" localSheetId="13">[9]Report!#REF!</definedName>
    <definedName name="Adjust_Type">[9]Report!#REF!</definedName>
    <definedName name="Affordability_Uplift">'[10]14_15_Adjustments'!$C$45</definedName>
    <definedName name="AI" localSheetId="13">'[11]Assumption Inputs'!#REF!</definedName>
    <definedName name="AI">'[11]Assumption Inputs'!#REF!</definedName>
    <definedName name="ALBNAME">'[12]NHSLA02 - Commentary'!$B$5</definedName>
    <definedName name="all" localSheetId="13">#REF!</definedName>
    <definedName name="all">#REF!</definedName>
    <definedName name="All_Group" localSheetId="13">#REF!</definedName>
    <definedName name="All_Group">#REF!</definedName>
    <definedName name="Alloc20061" localSheetId="13">#REF!</definedName>
    <definedName name="Alloc20061">#REF!</definedName>
    <definedName name="Alloc20062" localSheetId="13">#REF!</definedName>
    <definedName name="Alloc20062">#REF!</definedName>
    <definedName name="Alloc20063" localSheetId="13">#REF!</definedName>
    <definedName name="Alloc20063">#REF!</definedName>
    <definedName name="Alloc20071" localSheetId="13">#REF!</definedName>
    <definedName name="Alloc20071">#REF!</definedName>
    <definedName name="Alloc20072" localSheetId="13">#REF!</definedName>
    <definedName name="Alloc20072">#REF!</definedName>
    <definedName name="Alloc20073" localSheetId="13">#REF!</definedName>
    <definedName name="Alloc20073">#REF!</definedName>
    <definedName name="AllocType">[13]Refs!$A$12:$A$18</definedName>
    <definedName name="Amb" localSheetId="13">#REF!</definedName>
    <definedName name="Amb">#REF!</definedName>
    <definedName name="Anomalies" localSheetId="13">'[14]By CC'!#REF!</definedName>
    <definedName name="Anomalies">'[14]By CC'!#REF!</definedName>
    <definedName name="AREAClientCapBalances">'[15]WK10 Cap Bal Det'!$H$66:$EI$67</definedName>
    <definedName name="AREAGAAPEBT">'[15]WK11 GAAP IS Detail'!$B$106:$EI$109</definedName>
    <definedName name="AREAPreRiskCFs">'[15]WK2 Bill-Exp Inputs'!$B$128:$EI$130</definedName>
    <definedName name="AREAPreRiskCumCFs">'[15]WK2 Bill-Exp Inputs'!$B$122:$EI$124</definedName>
    <definedName name="AREASeatCapHCLoc1">'[15]WK16 Seat Capital Costs'!$C$214:$EI$216</definedName>
    <definedName name="AREASeatCapHCLoc2">'[15]WK16 Seat Capital Costs'!$C$218:$EI$220</definedName>
    <definedName name="AREASeatCapHCLoc3">'[15]WK16 Seat Capital Costs'!$C$222:$EI$224</definedName>
    <definedName name="AREASeatCapHCLoc4">'[15]WK16 Seat Capital Costs'!$C$226:$EI$228</definedName>
    <definedName name="AREASeatCapHCLoc5">'[15]WK16 Seat Capital Costs'!$C$230:$EI$232</definedName>
    <definedName name="AREASeatCapHCLoc6">'[15]WK16 Seat Capital Costs'!$C$234:$EI$236</definedName>
    <definedName name="AREASeatCapitalBal">'[15]WK16 Seat Capital Costs'!$H$240:$EI$241</definedName>
    <definedName name="ASF01_01_100360_Crosstab" localSheetId="13">#REF!</definedName>
    <definedName name="ASF01_01_100360_Crosstab">#REF!</definedName>
    <definedName name="ASF02_150" localSheetId="13">#REF!</definedName>
    <definedName name="ASF02_150">#REF!</definedName>
    <definedName name="ASF07_11_100510_Crosstab" localSheetId="13">#REF!</definedName>
    <definedName name="ASF07_11_100510_Crosstab">#REF!</definedName>
    <definedName name="ASF08_12_100530_Crosstab" localSheetId="13">#REF!</definedName>
    <definedName name="ASF08_12_100530_Crosstab">#REF!</definedName>
    <definedName name="ASF08_12a_500530_Crosstab" localSheetId="13">#REF!</definedName>
    <definedName name="ASF08_12a_500530_Crosstab">#REF!</definedName>
    <definedName name="ASF10_16_100410_Crosstab" localSheetId="13">#REF!</definedName>
    <definedName name="ASF10_16_100410_Crosstab">#REF!</definedName>
    <definedName name="ASF10_17_400" localSheetId="13">#REF!</definedName>
    <definedName name="ASF10_17_400">#REF!</definedName>
    <definedName name="ASF21_210" localSheetId="13">#REF!</definedName>
    <definedName name="ASF21_210">#REF!</definedName>
    <definedName name="ASF21_210_15Nov" localSheetId="13">#REF!</definedName>
    <definedName name="ASF21_210_15Nov">#REF!</definedName>
    <definedName name="AssumptCapChgPercent">'[15]WK1 Key Assumpt'!$E$35</definedName>
    <definedName name="AssumptClient">'[15]WK1 Key Assumpt'!$E$9</definedName>
    <definedName name="AssumptClientCreditRating">'[15]WK1 Key Assumpt'!$G$22</definedName>
    <definedName name="AssumptCOBusDev">'[15]WK1 Key Assumpt'!$E$30</definedName>
    <definedName name="AssumptCOContractSpecificDepr">'[15]WK1 Key Assumpt'!$E$28</definedName>
    <definedName name="AssumptCOOther1">'[15]WK1 Key Assumpt'!$E$29</definedName>
    <definedName name="AssumptCOProgMgt">'[15]WK1 Key Assumpt'!$E$27</definedName>
    <definedName name="AssumptCOServDel">'[15]WK1 Key Assumpt'!$E$25</definedName>
    <definedName name="AssumptCOSubs">'[15]WK1 Key Assumpt'!$E$26</definedName>
    <definedName name="AssumptCOTransform">'[15]WK1 Key Assumpt'!$E$24</definedName>
    <definedName name="AssumptCOTransition">'[15]WK1 Key Assumpt'!$E$23</definedName>
    <definedName name="AssumptCTAStatus">'[15]WK1 Key Assumpt'!$G$12</definedName>
    <definedName name="AssumptCurr">'[15]WK1 Key Assumpt'!$E$12</definedName>
    <definedName name="AssumptDealTerm">'[15]WK1 Key Assumpt'!$E$37</definedName>
    <definedName name="AssumptEndMonth">'[15]WK1 Key Assumpt'!$E$14</definedName>
    <definedName name="AssumptHurdRate">'[15]WK1 Key Assumpt'!$E$33</definedName>
    <definedName name="AssumptOperatingGroup">'[15]WK1 Key Assumpt'!$E$11</definedName>
    <definedName name="AssumptOther1Policy">'[15]WK1 Key Assumpt'!$E$81</definedName>
    <definedName name="AssumptOther2Policy">'[15]WK1 Key Assumpt'!$E$82</definedName>
    <definedName name="AssumptPreparedBy">'[15]WK1 Key Assumpt'!$G$9</definedName>
    <definedName name="AssumptProgMgtPolicy">'[15]WK1 Key Assumpt'!$E$80</definedName>
    <definedName name="AssumptProjectName">'[15]WK1 Key Assumpt'!$E$10</definedName>
    <definedName name="AssumptPTPolicy">'[15]WK1 Key Assumpt'!$E$78</definedName>
    <definedName name="AssumptReviewerName">'[15]WK1 Key Assumpt'!$G$11</definedName>
    <definedName name="AssumptServDelPolicy">'[15]WK1 Key Assumpt'!$E$70</definedName>
    <definedName name="AssumptStartMonth">'[15]WK1 Key Assumpt'!$E$13</definedName>
    <definedName name="AssumptSubsPolicy">'[15]WK1 Key Assumpt'!$E$79</definedName>
    <definedName name="AssumptTaxRate">'[15]WK1 Key Assumpt'!$E$38</definedName>
    <definedName name="AssumptTransformation">'[15]WK1 Key Assumpt'!$E$63</definedName>
    <definedName name="AssumptTransitionPolicy">'[15]WK1 Key Assumpt'!$E$61</definedName>
    <definedName name="AssumptVersionNo">'[15]WK1 Key Assumpt'!$G$10</definedName>
    <definedName name="AssumptWCBillDays">'[15]WK1 Key Assumpt'!$E$34</definedName>
    <definedName name="AssumptWCExpDays">'[15]WK1 Key Assumpt'!$E$36</definedName>
    <definedName name="Astartpg" localSheetId="13">[16]PERSONS!#REF!</definedName>
    <definedName name="Astartpg">[16]PERSONS!#REF!</definedName>
    <definedName name="atac01_Crosstab" localSheetId="13">#REF!</definedName>
    <definedName name="atac01_Crosstab">#REF!</definedName>
    <definedName name="atac05" localSheetId="13">#REF!</definedName>
    <definedName name="atac05">#REF!</definedName>
    <definedName name="atac09_Crosstab" localSheetId="13">#REF!</definedName>
    <definedName name="atac09_Crosstab">#REF!</definedName>
    <definedName name="atac09b" localSheetId="13">#REF!</definedName>
    <definedName name="atac09b">#REF!</definedName>
    <definedName name="atac12" localSheetId="13">#REF!</definedName>
    <definedName name="atac12">#REF!</definedName>
    <definedName name="AuthorityCombo">"Drop Down 1"</definedName>
    <definedName name="aver" localSheetId="13">[17]RefDExR!#REF!</definedName>
    <definedName name="aver">[17]RefDExR!#REF!</definedName>
    <definedName name="aver2" localSheetId="13">[18]RefDExR!#REF!</definedName>
    <definedName name="aver2">[18]RefDExR!#REF!</definedName>
    <definedName name="AvgGrowth" localSheetId="13">#REF!</definedName>
    <definedName name="AvgGrowth">#REF!</definedName>
    <definedName name="b" hidden="1">{"CHARGE",#N/A,FALSE,"401C11"}</definedName>
    <definedName name="B1AC" localSheetId="13">#REF!</definedName>
    <definedName name="B1AC">#REF!</definedName>
    <definedName name="B1BSA" localSheetId="13">#REF!</definedName>
    <definedName name="B1BSA">#REF!</definedName>
    <definedName name="B1BT" localSheetId="13">#REF!</definedName>
    <definedName name="B1BT">#REF!</definedName>
    <definedName name="B1CHRE" localSheetId="13">#REF!</definedName>
    <definedName name="B1CHRE">#REF!</definedName>
    <definedName name="B1CQC" localSheetId="13">#REF!</definedName>
    <definedName name="B1CQC">#REF!</definedName>
    <definedName name="B1GSCC" localSheetId="13">#REF!</definedName>
    <definedName name="B1GSCC">#REF!</definedName>
    <definedName name="B1HFEA" localSheetId="13">#REF!</definedName>
    <definedName name="B1HFEA">#REF!</definedName>
    <definedName name="B1HPA" localSheetId="13">#REF!</definedName>
    <definedName name="B1HPA">#REF!</definedName>
    <definedName name="B1HTA" localSheetId="13">#REF!</definedName>
    <definedName name="B1HTA">#REF!</definedName>
    <definedName name="B1I" localSheetId="13">#REF!</definedName>
    <definedName name="B1I">#REF!</definedName>
    <definedName name="B1IC" localSheetId="13">#REF!</definedName>
    <definedName name="B1IC">#REF!</definedName>
    <definedName name="B1LA" localSheetId="13">#REF!</definedName>
    <definedName name="B1LA">#REF!</definedName>
    <definedName name="B1MHRA" localSheetId="13">#REF!</definedName>
    <definedName name="B1MHRA">#REF!</definedName>
    <definedName name="B1MONITOR" localSheetId="13">#REF!</definedName>
    <definedName name="B1MONITOR">#REF!</definedName>
    <definedName name="B1NIBSC" localSheetId="13">#REF!</definedName>
    <definedName name="B1NIBSC">#REF!</definedName>
    <definedName name="B1NICE" localSheetId="13">#REF!</definedName>
    <definedName name="B1NICE">#REF!</definedName>
    <definedName name="B1NPSA" localSheetId="13">#REF!</definedName>
    <definedName name="B1NPSA">#REF!</definedName>
    <definedName name="B1NTA" localSheetId="13">#REF!</definedName>
    <definedName name="B1NTA">#REF!</definedName>
    <definedName name="B1PASA" localSheetId="13">#REF!</definedName>
    <definedName name="B1PASA">#REF!</definedName>
    <definedName name="B1PMETB" localSheetId="13">#REF!</definedName>
    <definedName name="B1PMETB">#REF!</definedName>
    <definedName name="B1PROF" localSheetId="13">#REF!</definedName>
    <definedName name="B1PROF">#REF!</definedName>
    <definedName name="B2AC" localSheetId="13">#REF!</definedName>
    <definedName name="B2AC">#REF!</definedName>
    <definedName name="B2BSA" localSheetId="13">#REF!</definedName>
    <definedName name="B2BSA">#REF!</definedName>
    <definedName name="B2BT" localSheetId="13">'[19]NHS BT'!#REF!</definedName>
    <definedName name="B2BT">'[19]NHS BT'!#REF!</definedName>
    <definedName name="B2CHRE" localSheetId="13">[19]CHRE!#REF!</definedName>
    <definedName name="B2CHRE">[19]CHRE!#REF!</definedName>
    <definedName name="B2CQC" localSheetId="13">[19]CQC!#REF!</definedName>
    <definedName name="B2CQC">[19]CQC!#REF!</definedName>
    <definedName name="B2GSCC" localSheetId="13">#REF!</definedName>
    <definedName name="B2GSCC">#REF!</definedName>
    <definedName name="B2HFEA" localSheetId="13">[19]HFEA!#REF!</definedName>
    <definedName name="B2HFEA">[19]HFEA!#REF!</definedName>
    <definedName name="B2HPA" localSheetId="13">[19]HPA!#REF!</definedName>
    <definedName name="B2HPA">[19]HPA!#REF!</definedName>
    <definedName name="B2HTA" localSheetId="13">[19]HTA!#REF!</definedName>
    <definedName name="B2HTA">[19]HTA!#REF!</definedName>
    <definedName name="B2I" localSheetId="13">[19]NHSi!#REF!</definedName>
    <definedName name="B2I">[19]NHSi!#REF!</definedName>
    <definedName name="B2IC" localSheetId="13">#REF!</definedName>
    <definedName name="B2IC">#REF!</definedName>
    <definedName name="B2LA" localSheetId="13">#REF!</definedName>
    <definedName name="B2LA">#REF!</definedName>
    <definedName name="B2MHRA" localSheetId="13">[19]MHRA!#REF!</definedName>
    <definedName name="B2MHRA">[19]MHRA!#REF!</definedName>
    <definedName name="B2MONITOR" localSheetId="13">#REF!</definedName>
    <definedName name="B2MONITOR">#REF!</definedName>
    <definedName name="B2NIBSC" localSheetId="13">[19]NIBSC!#REF!</definedName>
    <definedName name="B2NIBSC">[19]NIBSC!#REF!</definedName>
    <definedName name="B2NICE" localSheetId="13">[19]NICE!#REF!</definedName>
    <definedName name="B2NICE">[19]NICE!#REF!</definedName>
    <definedName name="B2NPSA" localSheetId="13">[19]NPSA!#REF!</definedName>
    <definedName name="B2NPSA">[19]NPSA!#REF!</definedName>
    <definedName name="B2NTA" localSheetId="13">[19]NTA!#REF!</definedName>
    <definedName name="B2NTA">[19]NTA!#REF!</definedName>
    <definedName name="B2PASA" localSheetId="13">#REF!</definedName>
    <definedName name="B2PASA">#REF!</definedName>
    <definedName name="B2PMETB" localSheetId="13">#REF!</definedName>
    <definedName name="B2PMETB">#REF!</definedName>
    <definedName name="B2PROF" localSheetId="13">'[19]NHS PROF'!#REF!</definedName>
    <definedName name="B2PROF">'[19]NHS PROF'!#REF!</definedName>
    <definedName name="bA01_Crosstab" localSheetId="13">#REF!</definedName>
    <definedName name="bA01_Crosstab">#REF!</definedName>
    <definedName name="bA05_Crosstab" localSheetId="13">#REF!</definedName>
    <definedName name="bA05_Crosstab">#REF!</definedName>
    <definedName name="bA05b_Crosstab" localSheetId="13">#REF!</definedName>
    <definedName name="bA05b_Crosstab">#REF!</definedName>
    <definedName name="bA06_Crosstab" localSheetId="13">#REF!</definedName>
    <definedName name="bA06_Crosstab">#REF!</definedName>
    <definedName name="bA08_Crosstab" localSheetId="13">#REF!</definedName>
    <definedName name="bA08_Crosstab">#REF!</definedName>
    <definedName name="bA22_140" localSheetId="13">#REF!</definedName>
    <definedName name="bA22_140">#REF!</definedName>
    <definedName name="Baseline" localSheetId="13">#REF!</definedName>
    <definedName name="Baseline">#REF!</definedName>
    <definedName name="bb">[20]Defaults!$B$59</definedName>
    <definedName name="BeforeChge" localSheetId="13">OFFSET(#REF!,1,0,#REF!,12)</definedName>
    <definedName name="BeforeChge">OFFSET(#REF!,1,0,#REF!,12)</definedName>
    <definedName name="BMGHIndex" hidden="1">"O"</definedName>
    <definedName name="bpth" localSheetId="13">#REF!</definedName>
    <definedName name="bpth" localSheetId="0">#REF!</definedName>
    <definedName name="bpth" localSheetId="21">#REF!</definedName>
    <definedName name="bpth" localSheetId="1">#REF!</definedName>
    <definedName name="bpth" localSheetId="23">#REF!</definedName>
    <definedName name="bpth" localSheetId="24">#REF!</definedName>
    <definedName name="bpth" localSheetId="8">#REF!</definedName>
    <definedName name="bpth">#REF!</definedName>
    <definedName name="BPTHOME" localSheetId="13">#REF!</definedName>
    <definedName name="BPTHOME" localSheetId="0">#REF!</definedName>
    <definedName name="BPTHOME" localSheetId="21">#REF!</definedName>
    <definedName name="BPTHOME" localSheetId="1">#REF!</definedName>
    <definedName name="BPTHOME" localSheetId="23">#REF!</definedName>
    <definedName name="BPTHOME" localSheetId="24">#REF!</definedName>
    <definedName name="BPTHOME" localSheetId="8">#REF!</definedName>
    <definedName name="BPTHOME">#REF!</definedName>
    <definedName name="bT06_Crosstab" localSheetId="13">#REF!</definedName>
    <definedName name="bT06_Crosstab">#REF!</definedName>
    <definedName name="bT09_Crosstab" localSheetId="13">#REF!</definedName>
    <definedName name="bT09_Crosstab">#REF!</definedName>
    <definedName name="bT11A" localSheetId="13">#REF!</definedName>
    <definedName name="bT11A">#REF!</definedName>
    <definedName name="Budget">[21]Unique!$G$1:$G$65536</definedName>
    <definedName name="C_Contact_List" localSheetId="13">[22]Data!#REF!</definedName>
    <definedName name="C_Contact_List">[22]Data!#REF!</definedName>
    <definedName name="cantarg1data" localSheetId="13">#REF!</definedName>
    <definedName name="cantarg1data">#REF!</definedName>
    <definedName name="cantarg2data" localSheetId="13">#REF!</definedName>
    <definedName name="cantarg2data">#REF!</definedName>
    <definedName name="cantarg3data" localSheetId="13">#REF!</definedName>
    <definedName name="cantarg3data">#REF!</definedName>
    <definedName name="cantarg4data" localSheetId="13">#REF!</definedName>
    <definedName name="cantarg4data">#REF!</definedName>
    <definedName name="cantarg5data" localSheetId="13">#REF!</definedName>
    <definedName name="cantarg5data">#REF!</definedName>
    <definedName name="cantarg6data" localSheetId="13">#REF!</definedName>
    <definedName name="cantarg6data">#REF!</definedName>
    <definedName name="Cap" localSheetId="13">#REF!</definedName>
    <definedName name="Cap">#REF!</definedName>
    <definedName name="Capital_DEL" localSheetId="13">#REF!</definedName>
    <definedName name="Capital_DEL">#REF!</definedName>
    <definedName name="capres">'[23]Event 12 with ERO changes'!$N$3:$N$2000</definedName>
    <definedName name="Categories">'[24]Budgeting Codes'!$J$6:$J$19</definedName>
    <definedName name="cell" localSheetId="13">'[25]ALL DATA StHAs'!#REF!</definedName>
    <definedName name="cell">'[25]ALL DATA StHAs'!#REF!</definedName>
    <definedName name="celTotalPlanned_Outturn1" localSheetId="13">#REF!</definedName>
    <definedName name="celTotalPlanned_Outturn1">#REF!</definedName>
    <definedName name="celTotalPlanned_Outturn2" localSheetId="13">#REF!</definedName>
    <definedName name="celTotalPlanned_Outturn2">#REF!</definedName>
    <definedName name="change1" hidden="1">{"CHARGE",#N/A,FALSE,"401C11"}</definedName>
    <definedName name="charge" hidden="1">{"CHARGE",#N/A,FALSE,"401C11"}</definedName>
    <definedName name="Check_05_06" localSheetId="13">#REF!</definedName>
    <definedName name="Check_05_06">#REF!</definedName>
    <definedName name="Check_Sheet" localSheetId="13">#REF!</definedName>
    <definedName name="Check_Sheet">#REF!</definedName>
    <definedName name="Checker_S3">'[15]3 TCB Summ'!$AD$7:$AD$57</definedName>
    <definedName name="Checker_S4" localSheetId="13">'[26]Accenture P&amp;L'!#REF!</definedName>
    <definedName name="Checker_S4">'[26]Accenture P&amp;L'!#REF!</definedName>
    <definedName name="Checker_S5">'[15]5 ACN Mgt View'!$AQ$11:$AQ$96</definedName>
    <definedName name="Checker_S6">'[15]6 ACN Mgt Fcst'!$AE$10:$AE$24</definedName>
    <definedName name="Checker_W10">'[15]WK10 Cap Bal Det'!$FA$4:$FA$39</definedName>
    <definedName name="Checker_W11">'[15]WK11 GAAP IS Detail'!$FA$4:$FA$113</definedName>
    <definedName name="Checker_W12">'[15]WK12 GAAP BS Detail'!$EZ$4:$EZ$46</definedName>
    <definedName name="Checker_W2">'[15]WK2 Bill-Exp Inputs'!$FA$4:$FA$118</definedName>
    <definedName name="Checker_W3">'[15]WK3 Rev Rec Inputs'!$FA$4:$FA$141</definedName>
    <definedName name="Checker_W5">'[15]WK5 Tax Cash Pay Inputs'!$FA$4:$FA$11</definedName>
    <definedName name="Checker_W7">'[15]WK7 TCB Inputs'!$FA$4:$FA$45</definedName>
    <definedName name="Checker_W7_2">'[15]WK7 TCB Inputs'!$B$47:$EX$47</definedName>
    <definedName name="Checker_W9">'[15]WK9 Affil Share Inputs'!$FA$4:$FA$11</definedName>
    <definedName name="Children" localSheetId="13">#REF!</definedName>
    <definedName name="Children">#REF!</definedName>
    <definedName name="chtDH_Central">'[27]Bubble Data'!$Q$36</definedName>
    <definedName name="Cl" localSheetId="13">#REF!</definedName>
    <definedName name="Cl">#REF!</definedName>
    <definedName name="CNO" localSheetId="13">#REF!</definedName>
    <definedName name="CNO">#REF!</definedName>
    <definedName name="CNST_Maternity_Uplift">'[10]14_15_Adjustments'!$C$91</definedName>
    <definedName name="cod" localSheetId="13">#REF!</definedName>
    <definedName name="cod">#REF!</definedName>
    <definedName name="code">[28]PCAccess!$A$5:$A$381</definedName>
    <definedName name="COInSInputSource">'[29]Input Table (TB)'!$I$4:$I$8</definedName>
    <definedName name="ColDescr" localSheetId="13">'[30]Budgeting Codes'!#REF!,'[30]Budgeting Codes'!#REF!,'[30]Budgeting Codes'!#REF!,'[30]Budgeting Codes'!#REF!,'[30]Budgeting Codes'!#REF!,'[30]Budgeting Codes'!#REF!</definedName>
    <definedName name="ColDescr">'[30]Budgeting Codes'!#REF!,'[30]Budgeting Codes'!#REF!,'[30]Budgeting Codes'!#REF!,'[30]Budgeting Codes'!#REF!,'[30]Budgeting Codes'!#REF!,'[30]Budgeting Codes'!#REF!</definedName>
    <definedName name="coll">[28]PCAccess!$J$4</definedName>
    <definedName name="CollectionID" localSheetId="13">#REF!</definedName>
    <definedName name="CollectionID">#REF!</definedName>
    <definedName name="CollectionName" localSheetId="13">#REF!</definedName>
    <definedName name="CollectionName">#REF!</definedName>
    <definedName name="CollectionPeriodID" localSheetId="13">#REF!</definedName>
    <definedName name="CollectionPeriodID">#REF!</definedName>
    <definedName name="Columns">'[31]Budgeting Codes'!$C$40:$C$42</definedName>
    <definedName name="COMMS" localSheetId="13">#REF!</definedName>
    <definedName name="COMMS">#REF!</definedName>
    <definedName name="CommsActivityList" localSheetId="13">#REF!</definedName>
    <definedName name="CommsActivityList">#REF!</definedName>
    <definedName name="ComponentEFLsEastern" localSheetId="13">#REF!</definedName>
    <definedName name="ComponentEFLsEastern">#REF!</definedName>
    <definedName name="Contact_FirstName" localSheetId="13">#REF!</definedName>
    <definedName name="Contact_FirstName">#REF!</definedName>
    <definedName name="Contact_Surname" localSheetId="13">#REF!</definedName>
    <definedName name="Contact_Surname">#REF!</definedName>
    <definedName name="Contact_Title" localSheetId="13">#REF!</definedName>
    <definedName name="Contact_Title">#REF!</definedName>
    <definedName name="ContactEmail" localSheetId="13">#REF!</definedName>
    <definedName name="ContactEmail">#REF!</definedName>
    <definedName name="ContactFax" localSheetId="13">#REF!</definedName>
    <definedName name="ContactFax">#REF!</definedName>
    <definedName name="ContactID" localSheetId="13">#REF!</definedName>
    <definedName name="ContactID">#REF!</definedName>
    <definedName name="ContactTelephone" localSheetId="13">#REF!</definedName>
    <definedName name="ContactTelephone">#REF!</definedName>
    <definedName name="Contributions_first_cell">'[7]Annex results (pay metrics)'!$B$50</definedName>
    <definedName name="COS" localSheetId="13">#REF!</definedName>
    <definedName name="COS">#REF!</definedName>
    <definedName name="Costgrowth_1st_cell">'[7]Interactive WF input'!$J$120</definedName>
    <definedName name="Costperhead_1st_cell">'[7]Interactive WF input'!$C$120</definedName>
    <definedName name="Crit" localSheetId="13">#REF!</definedName>
    <definedName name="Crit">#REF!</definedName>
    <definedName name="CTAExport_BusDev">'[15]WK13 EVA Detail'!$H$23:$EI$23</definedName>
    <definedName name="CTAExport_CapChg">'[15]WK13 EVA Detail'!$H$19:$EI$19</definedName>
    <definedName name="CTAExport_CashEquivalents">'[15]WK12 GAAP BS Detail'!$H$7:$EI$7</definedName>
    <definedName name="CTAExport_ClientCapBal">'[15]WK10 Cap Bal Det'!$H$23:$EI$23</definedName>
    <definedName name="CTAExport_ClientMargin">'[15]WK13 EVA Detail'!$H$25:$EI$25</definedName>
    <definedName name="CTAExport_ClientName">'[15]WK1 Key Assumpt'!$E$9</definedName>
    <definedName name="CTAExport_ContractStartDate">'[15]WK1 Key Assumpt'!$E$13</definedName>
    <definedName name="CTAExport_CorpOverhead">'[15]WK13 EVA Detail'!$H$27:$EI$27</definedName>
    <definedName name="CTAExport_COS">'[15]WK13 EVA Detail'!$H$12:$EI$12</definedName>
    <definedName name="CTAExport_CTAStatus">'[15]WK1 Key Assumpt'!$G$12</definedName>
    <definedName name="CTAExport_Currency">'[15]WK1 Key Assumpt'!$E$12</definedName>
    <definedName name="CTAExport_CurrentAssets">'[15]WK12 GAAP BS Detail'!$H$12:$EI$12</definedName>
    <definedName name="CTAExport_CurrentLiab">'[15]WK12 GAAP BS Detail'!$H$33:$EI$33</definedName>
    <definedName name="CTAExport_DealTerm">'[15]WK1 Key Assumpt'!$E$37</definedName>
    <definedName name="CTAExport_EBIT">'[15]WK11 GAAP IS Detail'!$H$52:$EI$52</definedName>
    <definedName name="CTAExport_EBITLessProForTaxes">'[15]WK16 Seat Capital Costs'!$H$148:$EI$148</definedName>
    <definedName name="CTAExport_EBITPer">'[15]WK11 GAAP IS Detail'!$H$53:$EI$53</definedName>
    <definedName name="CTAExport_EndMonth">'[15]WK1 Key Assumpt'!$E$14</definedName>
    <definedName name="CTAExport_EngMar">'[15]WK13 EVA Detail'!$H$21:$EI$21</definedName>
    <definedName name="CTAExport_EVA">'[15]WK13 EVA Detail'!$H$29:$EI$29</definedName>
    <definedName name="CTAExport_InvestedCap">'[15]WK10 Cap Bal Det'!$H$33:$EI$33</definedName>
    <definedName name="CTAExport_MonthlyAvgInvCap">'[15]WK16 Seat Capital Costs'!$H$145:$EI$145</definedName>
    <definedName name="CTAExport_NetIncome">'[15]WK11 GAAP IS Detail'!$H$87:$EI$87</definedName>
    <definedName name="CTAExport_NetIncomePer">'[15]WK11 GAAP IS Detail'!$H$88:$EI$88</definedName>
    <definedName name="CTAExport_NetRev">'[15]WK13 EVA Detail'!$H$10:$EI$10</definedName>
    <definedName name="CTAExport_NonCurrentAssets">'[15]WK12 GAAP BS Detail'!$H$21:$EI$21</definedName>
    <definedName name="CTAExport_OperatingGroup">'[15]WK1 Key Assumpt'!$E$11</definedName>
    <definedName name="CTAExport_PreRAFreeCashFlow">'[15]WK2 Bill-Exp Inputs'!$H$95:$EI$95</definedName>
    <definedName name="CTAExport_ProForTaxes">'[15]WK11 GAAP IS Detail'!$H$78:$EI$78</definedName>
    <definedName name="CTAExport_ProjectName">'[15]WK1 Key Assumpt'!$E$10</definedName>
    <definedName name="CTAExport_RAFreeCashFlow">'[15]WK2 Bill-Exp Inputs'!$H$114:$EI$114</definedName>
    <definedName name="CTAExport_RevBeforeReim">'[15]WK11 GAAP IS Detail'!$H$14:$EI$14</definedName>
    <definedName name="CTAExport_ServiceDelPolicy">'[15]WK1 Key Assumpt'!$E$70</definedName>
    <definedName name="CTAExport_TotalOpExp">'[15]WK11 GAAP IS Detail'!$H$50:$EI$50</definedName>
    <definedName name="CTAExport_TransformationPolicy">'[15]WK1 Key Assumpt'!$E$63</definedName>
    <definedName name="Ctitle" localSheetId="13">#REF!</definedName>
    <definedName name="Ctitle">#REF!</definedName>
    <definedName name="CurrCalYr">'[32]Cover Sheet'!$B$10</definedName>
    <definedName name="currCell" localSheetId="13">#REF!</definedName>
    <definedName name="currCell">#REF!</definedName>
    <definedName name="CurrChosenJnlID" localSheetId="13">#REF!</definedName>
    <definedName name="CurrChosenJnlID">#REF!</definedName>
    <definedName name="CurrCrit" localSheetId="13">#REF!</definedName>
    <definedName name="CurrCrit">#REF!</definedName>
    <definedName name="CurrDate" localSheetId="13">#REF!</definedName>
    <definedName name="CurrDate">#REF!</definedName>
    <definedName name="CURRENT" localSheetId="13">#REF!</definedName>
    <definedName name="CURRENT">#REF!</definedName>
    <definedName name="CurrentPCTs" localSheetId="13">#REF!</definedName>
    <definedName name="CurrentPCTs">#REF!</definedName>
    <definedName name="CurrentPeriod">[33]Defaults!$B$53</definedName>
    <definedName name="CurrentYear" localSheetId="13">#REF!</definedName>
    <definedName name="CurrentYear">#REF!</definedName>
    <definedName name="CurrJnlEntries" localSheetId="13">OFFSET(#REF!,1,0,#REF!,3)</definedName>
    <definedName name="CurrJnlEntries">OFFSET(#REF!,1,0,#REF!,3)</definedName>
    <definedName name="CurrLinkedPeriod">[34]Front!$L$18</definedName>
    <definedName name="CurrLinkedPeriodVal">[35]Front!$H$1</definedName>
    <definedName name="CurrOutput" localSheetId="13">#REF!</definedName>
    <definedName name="CurrOutput">#REF!</definedName>
    <definedName name="CurrPeriod" localSheetId="13">#REF!</definedName>
    <definedName name="CurrPeriod">#REF!</definedName>
    <definedName name="currSht" localSheetId="13">#REF!</definedName>
    <definedName name="currSht">#REF!</definedName>
    <definedName name="CurrViewChosenEntryID" localSheetId="13">OFFSET(#REF!,0,0,#REF!,9)</definedName>
    <definedName name="CurrViewChosenEntryID">OFFSET(#REF!,0,0,#REF!,9)</definedName>
    <definedName name="CurrYear">'[36]Cover Sheet'!$B$4</definedName>
    <definedName name="Custom4">[37]Defaults!$B$58</definedName>
    <definedName name="DAR_data" localSheetId="13">#REF!</definedName>
    <definedName name="DAR_data">#REF!</definedName>
    <definedName name="data" localSheetId="13">#REF!</definedName>
    <definedName name="data">#REF!</definedName>
    <definedName name="data2" localSheetId="13">'[38]new pcts'!#REF!</definedName>
    <definedName name="data2">'[38]new pcts'!#REF!</definedName>
    <definedName name="DateBase">'[39]Collated data'!$A$2</definedName>
    <definedName name="DateFTEBase" localSheetId="13">#REF!</definedName>
    <definedName name="DateFTEBase">#REF!</definedName>
    <definedName name="DateFTELatest" localSheetId="13">#REF!</definedName>
    <definedName name="DateFTELatest">#REF!</definedName>
    <definedName name="DateLatest">'[39]Collated data'!$O$2</definedName>
    <definedName name="DatePayBase" localSheetId="13">#REF!</definedName>
    <definedName name="DatePayBase">#REF!</definedName>
    <definedName name="DatePayLatest" localSheetId="13">#REF!</definedName>
    <definedName name="DatePayLatest">#REF!</definedName>
    <definedName name="DayMonthYear">[33]Defaults!$B$57</definedName>
    <definedName name="Default_agency">'[7]Baseline &amp; default assumptions'!$D$179:$I$179</definedName>
    <definedName name="Default_Contributions">'[7]Baseline &amp; default assumptions'!$B$185:$H$189</definedName>
    <definedName name="Default_cost_growth">'[7]Baseline &amp; default assumptions'!$N$163:$S$167</definedName>
    <definedName name="Default_cost_per_head">'[7]Baseline &amp; default assumptions'!$G$163:$L$167</definedName>
    <definedName name="Default_Drift">'[7]Baseline &amp; default assumptions'!$B$43:$G$55</definedName>
    <definedName name="Default_envelopes">'[7]Baseline &amp; default assumptions'!$C$100:$H$108</definedName>
    <definedName name="Default_GP_growth">'[7]Baseline &amp; default assumptions'!$S$21:$X$25</definedName>
    <definedName name="Default_GP_WTE">'[7]Baseline &amp; default assumptions'!$L$21:$Q$25</definedName>
    <definedName name="Default_HCHS_growth">'[7]Baseline &amp; default assumptions'!$S$6:$X$18</definedName>
    <definedName name="Default_HCHS_WTE">'[7]Baseline &amp; default assumptions'!$J$6:$P$18</definedName>
    <definedName name="Default_NI">'[7]Baseline &amp; default assumptions'!$B$71:$G$83</definedName>
    <definedName name="Default_pensions">'[7]Baseline &amp; default assumptions'!$B$57:$G$69</definedName>
    <definedName name="Default_reform">'[7]Baseline &amp; default assumptions'!$I$85:$N$97</definedName>
    <definedName name="Default_settlement">'[7]Baseline &amp; default assumptions'!$B$29:$G$41</definedName>
    <definedName name="Default_WF_Nos">'[7]Baseline &amp; default assumptions'!$L$6:$Q$18</definedName>
    <definedName name="Deflators">[40]Annex!$C$41:$H$43,[40]Annex!$C$46:$H$48</definedName>
    <definedName name="delame">'[23]Event 12 with ERO changes'!$M$3:$M$2000</definedName>
    <definedName name="DelProgActivityList" localSheetId="13">#REF!</definedName>
    <definedName name="DelProgActivityList">#REF!</definedName>
    <definedName name="Department_codes" localSheetId="13">#REF!</definedName>
    <definedName name="Department_codes">#REF!</definedName>
    <definedName name="Dept_Cap_AME" localSheetId="13">#REF!</definedName>
    <definedName name="Dept_Cap_AME">#REF!</definedName>
    <definedName name="Dept_Resource_AME" localSheetId="13">#REF!</definedName>
    <definedName name="Dept_Resource_AME">#REF!</definedName>
    <definedName name="Description" localSheetId="13">[9]Report!#REF!</definedName>
    <definedName name="Description">[9]Report!#REF!</definedName>
    <definedName name="diff1" localSheetId="13">#REF!</definedName>
    <definedName name="diff1">#REF!</definedName>
    <definedName name="diff2" localSheetId="13">#REF!</definedName>
    <definedName name="diff2">#REF!</definedName>
    <definedName name="diff3" localSheetId="13">#REF!</definedName>
    <definedName name="diff3">#REF!</definedName>
    <definedName name="diff4" localSheetId="13">#REF!</definedName>
    <definedName name="diff4">#REF!</definedName>
    <definedName name="Directorate_list">[41]List!$B$1:$B$45</definedName>
    <definedName name="DistributionName" localSheetId="13">#REF!</definedName>
    <definedName name="DistributionName">#REF!</definedName>
    <definedName name="dog" hidden="1">{"NET",#N/A,FALSE,"401C11"}</definedName>
    <definedName name="EARCHIVE">'[42]#REF'!$A$1:$F$1</definedName>
    <definedName name="ECat">'[43]DHF Cascade Coding'!$M$4:$M$44</definedName>
    <definedName name="EcCat">'[44]DHF Cascade Coding'!$K$3:$K$35</definedName>
    <definedName name="EcCat1">'[45]4. Cascade Coding'!$K$3:$K$35</definedName>
    <definedName name="econ">'[23]Event 12 with ERO changes'!$B$3:$B$2000</definedName>
    <definedName name="EconCat" localSheetId="13">#REF!</definedName>
    <definedName name="EconCat">#REF!</definedName>
    <definedName name="Education" localSheetId="13">#REF!</definedName>
    <definedName name="Education">#REF!</definedName>
    <definedName name="eee" localSheetId="13">#REF!</definedName>
    <definedName name="eee">#REF!</definedName>
    <definedName name="Efficiency_Factor">'[10]14_15_Adjustments'!$C$44</definedName>
    <definedName name="EhealthActList" localSheetId="13">#REF!</definedName>
    <definedName name="EhealthActList">#REF!</definedName>
    <definedName name="Entity" localSheetId="13">#REF!</definedName>
    <definedName name="Entity">#REF!</definedName>
    <definedName name="Entity_Alias" localSheetId="13">#REF!</definedName>
    <definedName name="Entity_Alias">#REF!</definedName>
    <definedName name="Entity_Name" localSheetId="13">#REF!</definedName>
    <definedName name="Entity_Name">#REF!</definedName>
    <definedName name="Error_check">'[7]Interactive WF input'!$B$45</definedName>
    <definedName name="Error_check2">'[7]Interactive WF input'!$B$63</definedName>
    <definedName name="Errorcheck3">'[7]Interactive WF input'!$B$101</definedName>
    <definedName name="Errorcheck4">'[7]Interactive WF input'!$B$111</definedName>
    <definedName name="ErrorCheck5">'[7]Interactive WF input'!$B$141</definedName>
    <definedName name="ErrorCheck6">'[7]Interactive WF input'!$B$151</definedName>
    <definedName name="EssOptions">"1100000000010000_01000"</definedName>
    <definedName name="ETRUST">'[42]#REF'!$A$1:$F$357</definedName>
    <definedName name="EV__LASTREFTIME__" hidden="1">40339.4799074074</definedName>
    <definedName name="event">'[23]Event 12 with ERO changes'!$F$3:$F$2000</definedName>
    <definedName name="ex" localSheetId="13">#REF!</definedName>
    <definedName name="ex">#REF!</definedName>
    <definedName name="exclusions">[46]Exclusions!$A$4:$C$450</definedName>
    <definedName name="ExplodingPies">'[27]Bubble Data'!$Q$5:$U$62</definedName>
    <definedName name="ExportQuery" localSheetId="13">#REF!</definedName>
    <definedName name="ExportQuery">#REF!</definedName>
    <definedName name="exx" localSheetId="13">#REF!</definedName>
    <definedName name="exx">#REF!</definedName>
    <definedName name="f" localSheetId="13">#REF!</definedName>
    <definedName name="f">#REF!</definedName>
    <definedName name="Fin_Year" localSheetId="13">#REF!</definedName>
    <definedName name="Fin_Year">#REF!</definedName>
    <definedName name="final090400" localSheetId="13">#REF!</definedName>
    <definedName name="final090400">#REF!</definedName>
    <definedName name="final110201" localSheetId="13">#REF!</definedName>
    <definedName name="final110201">#REF!</definedName>
    <definedName name="final110301" localSheetId="13">#REF!</definedName>
    <definedName name="final110301">#REF!</definedName>
    <definedName name="final110302" localSheetId="13">#REF!</definedName>
    <definedName name="final110302">#REF!</definedName>
    <definedName name="final110401" localSheetId="13">#REF!</definedName>
    <definedName name="final110401">#REF!</definedName>
    <definedName name="final110404" localSheetId="13">#REF!</definedName>
    <definedName name="final110404">#REF!</definedName>
    <definedName name="final110405" localSheetId="13">#REF!</definedName>
    <definedName name="final110405">#REF!</definedName>
    <definedName name="final110406" localSheetId="13">#REF!</definedName>
    <definedName name="final110406">#REF!</definedName>
    <definedName name="finlu" localSheetId="13">#REF!</definedName>
    <definedName name="finlu">#REF!</definedName>
    <definedName name="First_Data_Col" localSheetId="13">[47]Report!#REF!</definedName>
    <definedName name="First_Data_Col">[47]Report!#REF!</definedName>
    <definedName name="First_Vars_Col" localSheetId="13">[47]Report!#REF!</definedName>
    <definedName name="First_Vars_Col">[47]Report!#REF!</definedName>
    <definedName name="Floor" localSheetId="13">#REF!</definedName>
    <definedName name="Floor">#REF!</definedName>
    <definedName name="fn">'[32]Cover Sheet'!$B$9</definedName>
    <definedName name="Forms_Description">7</definedName>
    <definedName name="Forms_FormGroup">1</definedName>
    <definedName name="Forms_FormNumber">2</definedName>
    <definedName name="Forms_Group1">3</definedName>
    <definedName name="Forms_Group2">4</definedName>
    <definedName name="Forms_Group3">5</definedName>
    <definedName name="Forms_InterAuthority">6</definedName>
    <definedName name="FTstatus">[48]TRUSTs!$U$5:$U$184</definedName>
    <definedName name="Full_Printout" localSheetId="13">#REF!</definedName>
    <definedName name="Full_Printout">#REF!</definedName>
    <definedName name="FullYear">[33]Defaults!$B$62</definedName>
    <definedName name="FULLYRACT" localSheetId="13">#REF!</definedName>
    <definedName name="FULLYRACT">#REF!</definedName>
    <definedName name="FULLYRPLAN" localSheetId="13">#REF!</definedName>
    <definedName name="FULLYRPLAN">#REF!</definedName>
    <definedName name="FYMaint_S2_1">'[15]2 Fin Analysis'!$H$32:$R$32</definedName>
    <definedName name="FYMaint_S2_2">'[15]2 Fin Analysis'!$W$11:$EX$11</definedName>
    <definedName name="FYMaint_S3_1">'[15]3 TCB Summ'!$H$7:$V$7</definedName>
    <definedName name="FYMaint_S5_1">'[15]5 ACN Mgt View'!$G$11:$AI$11</definedName>
    <definedName name="FYMaint_S6_1">'[15]6 ACN Mgt Fcst'!$G$10:$K$10</definedName>
    <definedName name="FYMaint_S6_2">'[15]6 ACN Mgt Fcst'!$T$10:$X$10</definedName>
    <definedName name="FYMaint_S6_3">'[15]6 ACN Mgt Fcst'!$G$31:$K$31</definedName>
    <definedName name="FYMaint_S6_4">'[15]6 ACN Mgt Fcst'!$T$31:$X$31</definedName>
    <definedName name="FYMaint_W10_1">'[15]WK10 Cap Bal Det'!$H$3:$EW$4</definedName>
    <definedName name="FYMaint_W11_1">'[15]WK11 GAAP IS Detail'!$H$3:$EW$4</definedName>
    <definedName name="FYMaint_W12_1">'[15]WK12 GAAP BS Detail'!$H$3:$EV$4</definedName>
    <definedName name="FYMaint_W13_1">'[15]WK13 EVA Detail'!$H$3:$EW$4</definedName>
    <definedName name="FYMaint_W14_1">'[15]WK14 Yr 1-3 Metrics Source Info'!$H$3:$EW$4</definedName>
    <definedName name="FYMaint_W15_1">'[15]WK15 DSO Calc'!$H$3:$EI$4</definedName>
    <definedName name="FYMaint_W15_2">'[15]WK15 DSO Calc'!$H$44:$H$54</definedName>
    <definedName name="FYMaint_W16_1">'[15]WK16 Seat Capital Costs'!$H$3:$EI$4</definedName>
    <definedName name="FYMaint_W2_1">'[15]WK2 Bill-Exp Inputs'!$H$3:$EW$4</definedName>
    <definedName name="FYMaint_W3_1">'[15]WK3 Rev Rec Inputs'!$H$3:$EW$4</definedName>
    <definedName name="FYMaint_W4_1">'[15]WK4 Cap Ex Inputs'!$H$3:$EW$4</definedName>
    <definedName name="FYMaint_W5_1">'[15]WK5 Tax Cash Pay Inputs'!$H$3:$EW$4</definedName>
    <definedName name="FYMaint_W6_1">'[15]WK6 Risk Adj Inputs'!$H$3:$EW$4</definedName>
    <definedName name="FYMaint_W7_1">'[15]WK7 TCB Inputs'!$H$3:$EW$4</definedName>
    <definedName name="FYMaint_W8_1">'[15]WK8 Term Provisions'!$G$4:$Q$4</definedName>
    <definedName name="FYMaint_W9_1">'[15]WK9 Affil Share Inputs'!$H$3:$EW$4</definedName>
    <definedName name="Gcc" localSheetId="13">#REF!</definedName>
    <definedName name="Gcc">#REF!</definedName>
    <definedName name="Gcm" localSheetId="13">#REF!</definedName>
    <definedName name="Gcm">#REF!</definedName>
    <definedName name="Gcr" localSheetId="13">#REF!</definedName>
    <definedName name="Gcr">#REF!</definedName>
    <definedName name="gfff" hidden="1">{"CHARGE",#N/A,FALSE,"401C11"}</definedName>
    <definedName name="GP_1">'[49]Baseline WF scenarios'!$B$22:$F$26</definedName>
    <definedName name="GP_2">'[49]Baseline WF scenarios'!$H$22:$L$26</definedName>
    <definedName name="GP_2ndcell">'[7]Interactive WF input'!$J$80</definedName>
    <definedName name="GP_3">'[49]Baseline WF scenarios'!$N$22:$R$26</definedName>
    <definedName name="GP_4">'[49]Baseline WF scenarios'!$T$22:$X$26</definedName>
    <definedName name="GP_5">'[49]Baseline WF scenarios'!$Z$22:$AD$26</definedName>
    <definedName name="GP_6">'[49]Baseline WF scenarios'!$AF$22:$AJ$26</definedName>
    <definedName name="GP_assumptioncheck1">'[7]Interactive WF input'!$B$85</definedName>
    <definedName name="GP_assumptioncheck2">'[7]Interactive WF input'!$B$125</definedName>
    <definedName name="GP_firstcell">'[7]Interactive WF input'!$C$80</definedName>
    <definedName name="GPproj_first_cell">'[7]Baseline &amp; default assumptions'!$L$21</definedName>
    <definedName name="gross" hidden="1">{"GROSS",#N/A,FALSE,"401C11"}</definedName>
    <definedName name="gross1" hidden="1">{"GROSS",#N/A,FALSE,"401C11"}</definedName>
    <definedName name="Growth" localSheetId="13">#REF!</definedName>
    <definedName name="Growth">#REF!</definedName>
    <definedName name="H08_A_1" localSheetId="13">#REF!</definedName>
    <definedName name="H08_A_1">#REF!</definedName>
    <definedName name="H08_A_10" localSheetId="13">#REF!</definedName>
    <definedName name="H08_A_10">#REF!</definedName>
    <definedName name="H08_A_11" localSheetId="13">#REF!</definedName>
    <definedName name="H08_A_11">#REF!</definedName>
    <definedName name="H08_A_12" localSheetId="13">#REF!</definedName>
    <definedName name="H08_A_12">#REF!</definedName>
    <definedName name="H08_A_13" localSheetId="13">#REF!</definedName>
    <definedName name="H08_A_13">#REF!</definedName>
    <definedName name="H08_A_14" localSheetId="13">#REF!</definedName>
    <definedName name="H08_A_14">#REF!</definedName>
    <definedName name="H08_A_15" localSheetId="13">#REF!</definedName>
    <definedName name="H08_A_15">#REF!</definedName>
    <definedName name="H08_A_16" localSheetId="13">#REF!</definedName>
    <definedName name="H08_A_16">#REF!</definedName>
    <definedName name="H08_A_17" localSheetId="13">#REF!</definedName>
    <definedName name="H08_A_17">#REF!</definedName>
    <definedName name="H08_A_18" localSheetId="13">#REF!</definedName>
    <definedName name="H08_A_18">#REF!</definedName>
    <definedName name="H08_A_19" localSheetId="13">#REF!</definedName>
    <definedName name="H08_A_19">#REF!</definedName>
    <definedName name="H08_A_2" localSheetId="13">#REF!</definedName>
    <definedName name="H08_A_2">#REF!</definedName>
    <definedName name="H08_A_20" localSheetId="13">#REF!</definedName>
    <definedName name="H08_A_20">#REF!</definedName>
    <definedName name="H08_A_21" localSheetId="13">#REF!</definedName>
    <definedName name="H08_A_21">#REF!</definedName>
    <definedName name="H08_A_22" localSheetId="13">#REF!</definedName>
    <definedName name="H08_A_22">#REF!</definedName>
    <definedName name="H08_A_23" localSheetId="13">#REF!</definedName>
    <definedName name="H08_A_23">#REF!</definedName>
    <definedName name="H08_A_24" localSheetId="13">#REF!</definedName>
    <definedName name="H08_A_24">#REF!</definedName>
    <definedName name="H08_A_25" localSheetId="13">#REF!</definedName>
    <definedName name="H08_A_25">#REF!</definedName>
    <definedName name="H08_A_26" localSheetId="13">#REF!</definedName>
    <definedName name="H08_A_26">#REF!</definedName>
    <definedName name="H08_A_27" localSheetId="13">#REF!</definedName>
    <definedName name="H08_A_27">#REF!</definedName>
    <definedName name="H08_A_28" localSheetId="13">#REF!</definedName>
    <definedName name="H08_A_28">#REF!</definedName>
    <definedName name="H08_A_29" localSheetId="13">#REF!</definedName>
    <definedName name="H08_A_29">#REF!</definedName>
    <definedName name="H08_A_3" localSheetId="13">#REF!</definedName>
    <definedName name="H08_A_3">#REF!</definedName>
    <definedName name="H08_A_30" localSheetId="13">#REF!</definedName>
    <definedName name="H08_A_30">#REF!</definedName>
    <definedName name="H08_A_31" localSheetId="13">#REF!</definedName>
    <definedName name="H08_A_31">#REF!</definedName>
    <definedName name="H08_A_32" localSheetId="13">#REF!</definedName>
    <definedName name="H08_A_32">#REF!</definedName>
    <definedName name="H08_A_33" localSheetId="13">#REF!</definedName>
    <definedName name="H08_A_33">#REF!</definedName>
    <definedName name="H08_A_34" localSheetId="13">#REF!</definedName>
    <definedName name="H08_A_34">#REF!</definedName>
    <definedName name="H08_A_4" localSheetId="13">#REF!</definedName>
    <definedName name="H08_A_4">#REF!</definedName>
    <definedName name="H08_A_5" localSheetId="13">#REF!</definedName>
    <definedName name="H08_A_5">#REF!</definedName>
    <definedName name="H08_A_6" localSheetId="13">#REF!</definedName>
    <definedName name="H08_A_6">#REF!</definedName>
    <definedName name="H08_A_7" localSheetId="13">#REF!</definedName>
    <definedName name="H08_A_7">#REF!</definedName>
    <definedName name="H08_A_8" localSheetId="13">#REF!</definedName>
    <definedName name="H08_A_8">#REF!</definedName>
    <definedName name="H08_A_9" localSheetId="13">#REF!</definedName>
    <definedName name="H08_A_9">#REF!</definedName>
    <definedName name="H08_B_1" localSheetId="13">#REF!</definedName>
    <definedName name="H08_B_1">#REF!</definedName>
    <definedName name="H08_B_10" localSheetId="13">#REF!</definedName>
    <definedName name="H08_B_10">#REF!</definedName>
    <definedName name="H08_B_11" localSheetId="13">#REF!</definedName>
    <definedName name="H08_B_11">#REF!</definedName>
    <definedName name="H08_B_12" localSheetId="13">#REF!</definedName>
    <definedName name="H08_B_12">#REF!</definedName>
    <definedName name="H08_B_13" localSheetId="13">#REF!</definedName>
    <definedName name="H08_B_13">#REF!</definedName>
    <definedName name="H08_B_14" localSheetId="13">#REF!</definedName>
    <definedName name="H08_B_14">#REF!</definedName>
    <definedName name="H08_B_15" localSheetId="13">#REF!</definedName>
    <definedName name="H08_B_15">#REF!</definedName>
    <definedName name="H08_B_16" localSheetId="13">#REF!</definedName>
    <definedName name="H08_B_16">#REF!</definedName>
    <definedName name="H08_B_17" localSheetId="13">#REF!</definedName>
    <definedName name="H08_B_17">#REF!</definedName>
    <definedName name="H08_B_18" localSheetId="13">#REF!</definedName>
    <definedName name="H08_B_18">#REF!</definedName>
    <definedName name="H08_B_19" localSheetId="13">#REF!</definedName>
    <definedName name="H08_B_19">#REF!</definedName>
    <definedName name="H08_B_2" localSheetId="13">#REF!</definedName>
    <definedName name="H08_B_2">#REF!</definedName>
    <definedName name="H08_B_20" localSheetId="13">#REF!</definedName>
    <definedName name="H08_B_20">#REF!</definedName>
    <definedName name="H08_B_21" localSheetId="13">#REF!</definedName>
    <definedName name="H08_B_21">#REF!</definedName>
    <definedName name="H08_B_22" localSheetId="13">#REF!</definedName>
    <definedName name="H08_B_22">#REF!</definedName>
    <definedName name="H08_B_23" localSheetId="13">#REF!</definedName>
    <definedName name="H08_B_23">#REF!</definedName>
    <definedName name="H08_B_24" localSheetId="13">#REF!</definedName>
    <definedName name="H08_B_24">#REF!</definedName>
    <definedName name="H08_B_25" localSheetId="13">#REF!</definedName>
    <definedName name="H08_B_25">#REF!</definedName>
    <definedName name="H08_B_26" localSheetId="13">#REF!</definedName>
    <definedName name="H08_B_26">#REF!</definedName>
    <definedName name="H08_B_27" localSheetId="13">#REF!</definedName>
    <definedName name="H08_B_27">#REF!</definedName>
    <definedName name="H08_B_28" localSheetId="13">#REF!</definedName>
    <definedName name="H08_B_28">#REF!</definedName>
    <definedName name="H08_B_29" localSheetId="13">#REF!</definedName>
    <definedName name="H08_B_29">#REF!</definedName>
    <definedName name="H08_B_3" localSheetId="13">#REF!</definedName>
    <definedName name="H08_B_3">#REF!</definedName>
    <definedName name="H08_B_30" localSheetId="13">#REF!</definedName>
    <definedName name="H08_B_30">#REF!</definedName>
    <definedName name="H08_B_31" localSheetId="13">#REF!</definedName>
    <definedName name="H08_B_31">#REF!</definedName>
    <definedName name="H08_B_32" localSheetId="13">#REF!</definedName>
    <definedName name="H08_B_32">#REF!</definedName>
    <definedName name="H08_B_33" localSheetId="13">#REF!</definedName>
    <definedName name="H08_B_33">#REF!</definedName>
    <definedName name="H08_B_34" localSheetId="13">#REF!</definedName>
    <definedName name="H08_B_34">#REF!</definedName>
    <definedName name="H08_B_4" localSheetId="13">#REF!</definedName>
    <definedName name="H08_B_4">#REF!</definedName>
    <definedName name="H08_B_5" localSheetId="13">#REF!</definedName>
    <definedName name="H08_B_5">#REF!</definedName>
    <definedName name="H08_B_6" localSheetId="13">#REF!</definedName>
    <definedName name="H08_B_6">#REF!</definedName>
    <definedName name="H08_B_7" localSheetId="13">#REF!</definedName>
    <definedName name="H08_B_7">#REF!</definedName>
    <definedName name="H08_B_8" localSheetId="13">#REF!</definedName>
    <definedName name="H08_B_8">#REF!</definedName>
    <definedName name="H08_B_9" localSheetId="13">#REF!</definedName>
    <definedName name="H08_B_9">#REF!</definedName>
    <definedName name="H08_C_12" localSheetId="13">#REF!</definedName>
    <definedName name="H08_C_12">#REF!</definedName>
    <definedName name="H08_C_16" localSheetId="13">#REF!</definedName>
    <definedName name="H08_C_16">#REF!</definedName>
    <definedName name="H08_C_22" localSheetId="13">#REF!</definedName>
    <definedName name="H08_C_22">#REF!</definedName>
    <definedName name="H08_C_23" localSheetId="13">#REF!</definedName>
    <definedName name="H08_C_23">#REF!</definedName>
    <definedName name="H08_C_24" localSheetId="13">#REF!</definedName>
    <definedName name="H08_C_24">#REF!</definedName>
    <definedName name="H08_C_30" localSheetId="13">#REF!</definedName>
    <definedName name="H08_C_30">#REF!</definedName>
    <definedName name="H08_C_6" localSheetId="13">#REF!</definedName>
    <definedName name="H08_C_6">#REF!</definedName>
    <definedName name="H09_A_9" localSheetId="13">#REF!</definedName>
    <definedName name="H09_A_9">#REF!</definedName>
    <definedName name="H4_140" localSheetId="13">#REF!</definedName>
    <definedName name="H4_140">#REF!</definedName>
    <definedName name="HAA1_DMU">0</definedName>
    <definedName name="HAA1_Inter_Authority">0</definedName>
    <definedName name="HAA10_DMU">0</definedName>
    <definedName name="HAA10_Inter_Authority">0</definedName>
    <definedName name="HAA10A_DMU">"DMU"</definedName>
    <definedName name="HAA10A_Inter_Authority">0</definedName>
    <definedName name="HAA11_DMU">0</definedName>
    <definedName name="HAA11_Inter_Authority">0</definedName>
    <definedName name="HAA11A_DMU">0</definedName>
    <definedName name="HAA11A_Inter_Authority">0</definedName>
    <definedName name="HAA12A_DMU">0</definedName>
    <definedName name="HAA12A_Inter_Authority">0</definedName>
    <definedName name="HAA12B_DMU">0</definedName>
    <definedName name="HAA12B_Inter_Authority">0</definedName>
    <definedName name="HAA12C_DMU">0</definedName>
    <definedName name="HAA12C_Inter_Authority">0</definedName>
    <definedName name="HAA13_DMU">0</definedName>
    <definedName name="HAA13_Inter_Authority">0</definedName>
    <definedName name="HAA14_DMU">0</definedName>
    <definedName name="HAA14_Inter_Authority">0</definedName>
    <definedName name="HAA15_DMU">0</definedName>
    <definedName name="HAA15_Inter_Authority">0</definedName>
    <definedName name="HAA15A_DMU">0</definedName>
    <definedName name="HAA15A_Inter_Authority">0</definedName>
    <definedName name="HAA16_DMU">0</definedName>
    <definedName name="HAA16_Inter_Authority">0</definedName>
    <definedName name="HAA16A_DMU">0</definedName>
    <definedName name="HAA16A_Inter_Authority">-1</definedName>
    <definedName name="HAA16B_DMU">0</definedName>
    <definedName name="HAA16B_Inter_Authority">-1</definedName>
    <definedName name="HAA16C_DMU">0</definedName>
    <definedName name="HAA16C_Inter_Authority">-1</definedName>
    <definedName name="HAA18_DMU">0</definedName>
    <definedName name="HAA18_Inter_Authority">0</definedName>
    <definedName name="HAA2_DMU">0</definedName>
    <definedName name="HAA2_Inter_Authority">0</definedName>
    <definedName name="HAA24_58_110" localSheetId="13">#REF!</definedName>
    <definedName name="HAA24_58_110">#REF!</definedName>
    <definedName name="HAA3_DMU">0</definedName>
    <definedName name="HAA3_Inter_Authority">0</definedName>
    <definedName name="HAA30_DMU">0</definedName>
    <definedName name="HAA30_Inter_Authority">0</definedName>
    <definedName name="HAA31_DMU">0</definedName>
    <definedName name="HAA31_Inter_Authority">0</definedName>
    <definedName name="HAA32_DMU">0</definedName>
    <definedName name="HAA32_Inter_Authority">0</definedName>
    <definedName name="HAA33_DMU">0</definedName>
    <definedName name="HAA33_Inter_Authority">0</definedName>
    <definedName name="HAA34_DMU">0</definedName>
    <definedName name="HAA34_Inter_Authority">0</definedName>
    <definedName name="HAA35_DMU">0</definedName>
    <definedName name="HAA35_Inter_Authority">0</definedName>
    <definedName name="HAA36_DMU">0</definedName>
    <definedName name="HAA36_Inter_Authority">0</definedName>
    <definedName name="HAA37_DMU">0</definedName>
    <definedName name="HAA37_Inter_Authority">0</definedName>
    <definedName name="HAA38_DMU">0</definedName>
    <definedName name="HAA38_Inter_Authority">0</definedName>
    <definedName name="HAA4_DMU">0</definedName>
    <definedName name="HAA4_Inter_Authority">0</definedName>
    <definedName name="HAA4A_DMU">0</definedName>
    <definedName name="HAA4A_Inter_Authority">0</definedName>
    <definedName name="HAA4B_DMU">0</definedName>
    <definedName name="HAA4B_Inter_Authority">0</definedName>
    <definedName name="HAA4C_DMU">0</definedName>
    <definedName name="HAA4C_Inter_Authority">0</definedName>
    <definedName name="HAA5_DMU">0</definedName>
    <definedName name="HAA5_Inter_Authority">0</definedName>
    <definedName name="HAA5A_DMU">0</definedName>
    <definedName name="HAA5A_Inter_Authority">0</definedName>
    <definedName name="HAA6_DMU">0</definedName>
    <definedName name="HAA6_Inter_Authority">0</definedName>
    <definedName name="HAA6A_DMU">0</definedName>
    <definedName name="HAA6A_Inter_Authority">0</definedName>
    <definedName name="HAA7_DMU">0</definedName>
    <definedName name="HAA7_Inter_Authority">0</definedName>
    <definedName name="HAA8_DMU">0</definedName>
    <definedName name="HAA8_Inter_Authority">0</definedName>
    <definedName name="HAA8A_DMU">"DMU"</definedName>
    <definedName name="HAA8A_Inter_Authority">0</definedName>
    <definedName name="HAA9_DMU">0</definedName>
    <definedName name="HAA9_Inter_Authority">0</definedName>
    <definedName name="HAA9A_DMU">"DMU"</definedName>
    <definedName name="HAA9A_Inter_Authority">0</definedName>
    <definedName name="HACode" localSheetId="13">#REF!</definedName>
    <definedName name="HACode">#REF!</definedName>
    <definedName name="hasdfjklhklj" hidden="1">{"NET",#N/A,FALSE,"401C11"}</definedName>
    <definedName name="HCHS_1">'[49]Baseline WF scenarios'!$B$7:$F$19</definedName>
    <definedName name="HCHS_2">'[49]Baseline WF scenarios'!$H$7:$L$19</definedName>
    <definedName name="HCHS_3">'[49]Baseline WF scenarios'!$N$7:$R$19</definedName>
    <definedName name="HCHS_4">'[49]Baseline WF scenarios'!$T$7:$X$19</definedName>
    <definedName name="HCHS_5">'[49]Baseline WF scenarios'!$Z$7:$AD$19</definedName>
    <definedName name="HCHS_6">'[49]Baseline WF scenarios'!$AF$7:$AJ$19</definedName>
    <definedName name="HCHSWF_2ndcell">'[7]Interactive WF input'!$J$9</definedName>
    <definedName name="HCHSWF_firstcell">'[7]Interactive WF input'!$C$9</definedName>
    <definedName name="HEAD_H08" localSheetId="13">#REF!</definedName>
    <definedName name="HEAD_H08">#REF!</definedName>
    <definedName name="HEADCOUNT" localSheetId="13">'[12]NHSLA04 - I&amp;E Budget Profile'!#REF!</definedName>
    <definedName name="HEADCOUNT">'[12]NHSLA04 - I&amp;E Budget Profile'!#REF!</definedName>
    <definedName name="header" localSheetId="13">#REF!</definedName>
    <definedName name="header">#REF!</definedName>
    <definedName name="Header_Row" localSheetId="13">#REF!</definedName>
    <definedName name="Header_Row">#REF!</definedName>
    <definedName name="help" hidden="1">{"CHARGE",#N/A,FALSE,"401C11"}</definedName>
    <definedName name="hf102_Crosstab" localSheetId="13">#REF!</definedName>
    <definedName name="hf102_Crosstab">#REF!</definedName>
    <definedName name="hf104_Crosstab" localSheetId="13">#REF!</definedName>
    <definedName name="hf104_Crosstab">#REF!</definedName>
    <definedName name="hf105_Crosstab" localSheetId="13">#REF!</definedName>
    <definedName name="hf105_Crosstab">#REF!</definedName>
    <definedName name="hf106_Crosstab" localSheetId="13">#REF!</definedName>
    <definedName name="hf106_Crosstab">#REF!</definedName>
    <definedName name="hf110_Crosstab" localSheetId="13">#REF!</definedName>
    <definedName name="hf110_Crosstab">#REF!</definedName>
    <definedName name="hf111_Crosstab" localSheetId="13">#REF!</definedName>
    <definedName name="hf111_Crosstab">#REF!</definedName>
    <definedName name="hf112_Crosstab" localSheetId="13">#REF!</definedName>
    <definedName name="hf112_Crosstab">#REF!</definedName>
    <definedName name="hf2_Crosstab" localSheetId="13">#REF!</definedName>
    <definedName name="hf2_Crosstab">#REF!</definedName>
    <definedName name="hf4_Crosstab" localSheetId="13">#REF!</definedName>
    <definedName name="hf4_Crosstab">#REF!</definedName>
    <definedName name="hf5_Crosstab" localSheetId="13">#REF!</definedName>
    <definedName name="hf5_Crosstab">#REF!</definedName>
    <definedName name="hf6_Crosstab" localSheetId="13">#REF!</definedName>
    <definedName name="hf6_Crosstab">#REF!</definedName>
    <definedName name="hghghhj" hidden="1">{"CHARGE",#N/A,FALSE,"401C11"}</definedName>
    <definedName name="HideNotes" localSheetId="13">#REF!</definedName>
    <definedName name="HideNotes">#REF!</definedName>
    <definedName name="HR" localSheetId="13">'[50]Policy - Table 1'!#REF!</definedName>
    <definedName name="HR">'[50]Policy - Table 1'!#REF!</definedName>
    <definedName name="HR_Quality" localSheetId="13">#REF!</definedName>
    <definedName name="HR_Quality">#REF!</definedName>
    <definedName name="HRG_Codes" localSheetId="13">#REF!</definedName>
    <definedName name="HRG_Codes" localSheetId="18">#REF!</definedName>
    <definedName name="HRG_Codes" localSheetId="0">#REF!</definedName>
    <definedName name="HRG_Codes" localSheetId="19">#REF!</definedName>
    <definedName name="HRG_Codes" localSheetId="20">#REF!</definedName>
    <definedName name="HRG_Codes" localSheetId="2">#REF!</definedName>
    <definedName name="HRG_Codes" localSheetId="21">#REF!</definedName>
    <definedName name="HRG_Codes" localSheetId="1">#REF!</definedName>
    <definedName name="HRG_Codes" localSheetId="23">#REF!</definedName>
    <definedName name="HRG_Codes" localSheetId="24">#REF!</definedName>
    <definedName name="HRG_Codes" localSheetId="8">#REF!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 localSheetId="13">#REF!</definedName>
    <definedName name="ICD_Codes" localSheetId="18">#REF!</definedName>
    <definedName name="ICD_Codes" localSheetId="0">#REF!</definedName>
    <definedName name="ICD_Codes" localSheetId="19">#REF!</definedName>
    <definedName name="ICD_Codes" localSheetId="20">#REF!</definedName>
    <definedName name="ICD_Codes" localSheetId="2">#REF!</definedName>
    <definedName name="ICD_Codes" localSheetId="21">#REF!</definedName>
    <definedName name="ICD_Codes" localSheetId="1">#REF!</definedName>
    <definedName name="ICD_Codes" localSheetId="23">#REF!</definedName>
    <definedName name="ICD_Codes" localSheetId="24">#REF!</definedName>
    <definedName name="ICD_Codes" localSheetId="8">#REF!</definedName>
    <definedName name="ICD_Codes">#REF!</definedName>
    <definedName name="Increase" localSheetId="13">#REF!</definedName>
    <definedName name="Increase">#REF!</definedName>
    <definedName name="Inflation_2015_16" localSheetId="8">'Price Adjustments'!$E$4</definedName>
    <definedName name="Inflation_2015_16">#REF!</definedName>
    <definedName name="InfoMgmntActivityList" localSheetId="13">#REF!</definedName>
    <definedName name="InfoMgmntActivityList">#REF!</definedName>
    <definedName name="InformationGovActivityList" localSheetId="13">#REF!</definedName>
    <definedName name="InformationGovActivityList">#REF!</definedName>
    <definedName name="Input_GPcostgrowth">'[7]Interactive WF input'!$J$120:$O$124</definedName>
    <definedName name="Input_GPWF">'[7]Interactive WF input'!$C$80:$O$84</definedName>
    <definedName name="Input_WF">'[7]Interactive WF input'!$C$9:$O$21</definedName>
    <definedName name="InputGPcosthead">'[7]Interactive WF input'!$C$120:$H$124</definedName>
    <definedName name="ioi" localSheetId="13">#REF!</definedName>
    <definedName name="ioi">#REF!</definedName>
    <definedName name="JD" localSheetId="13">#REF!</definedName>
    <definedName name="JD">#REF!</definedName>
    <definedName name="JFELL" localSheetId="13" hidden="1">#REF!</definedName>
    <definedName name="JFELL" hidden="1">#REF!</definedName>
    <definedName name="jj" localSheetId="13">#REF!</definedName>
    <definedName name="jj">#REF!</definedName>
    <definedName name="jjk" localSheetId="13">#REF!</definedName>
    <definedName name="jjk">#REF!</definedName>
    <definedName name="jk" localSheetId="13">#REF!</definedName>
    <definedName name="jk">#REF!</definedName>
    <definedName name="JnlEntries" localSheetId="13">OFFSET(#REF!,0,0,#REF!+1,12)</definedName>
    <definedName name="JnlEntries">OFFSET(#REF!,0,0,#REF!+1,12)</definedName>
    <definedName name="JO" localSheetId="13">#REF!</definedName>
    <definedName name="JO">#REF!</definedName>
    <definedName name="kilkjlk" localSheetId="13">#REF!</definedName>
    <definedName name="kilkjlk">#REF!</definedName>
    <definedName name="kk" localSheetId="13">#REF!</definedName>
    <definedName name="kk">#REF!</definedName>
    <definedName name="klkk" localSheetId="13">#REF!</definedName>
    <definedName name="klkk">#REF!</definedName>
    <definedName name="label_WF1">'[49]Baseline WF scenarios'!$B$28</definedName>
    <definedName name="label_WF2">'[49]Baseline WF scenarios'!$H$28</definedName>
    <definedName name="label_WF3">'[49]Baseline WF scenarios'!$N$28</definedName>
    <definedName name="label_WF4">'[49]Baseline WF scenarios'!$T$28</definedName>
    <definedName name="label_WF5">'[49]Baseline WF scenarios'!$Z$28</definedName>
    <definedName name="label_WF6">'[49]Baseline WF scenarios'!$AF$28</definedName>
    <definedName name="Last_year">[51]Intro!$B$5</definedName>
    <definedName name="Last_year_beginning">[52]Intro!$B$9</definedName>
    <definedName name="Last_year_end">[52]Intro!$B$7</definedName>
    <definedName name="LastYear">'[36]Cover Sheet'!$B$5</definedName>
    <definedName name="Learn_Disability" localSheetId="13">#REF!</definedName>
    <definedName name="Learn_Disability">#REF!</definedName>
    <definedName name="levies9697">[53]WORKSHEET!$B$17</definedName>
    <definedName name="levies9697rev">[53]WORKSHEET!$C$17</definedName>
    <definedName name="levies9798">[53]WORKSHEET!$D$17</definedName>
    <definedName name="li" localSheetId="13">#REF!</definedName>
    <definedName name="li">#REF!</definedName>
    <definedName name="LINES_H08" localSheetId="13">#REF!</definedName>
    <definedName name="LINES_H08">#REF!</definedName>
    <definedName name="list1" localSheetId="13">#REF!</definedName>
    <definedName name="list1">#REF!</definedName>
    <definedName name="list2" localSheetId="13">#REF!</definedName>
    <definedName name="list2">#REF!</definedName>
    <definedName name="list3" localSheetId="13">#REF!</definedName>
    <definedName name="list3">#REF!</definedName>
    <definedName name="list4" localSheetId="13">#REF!</definedName>
    <definedName name="list4">#REF!</definedName>
    <definedName name="LISTCLOSE" localSheetId="13">#REF!</definedName>
    <definedName name="LISTCLOSE">#REF!</definedName>
    <definedName name="listHA" localSheetId="13">#REF!</definedName>
    <definedName name="listHA">#REF!</definedName>
    <definedName name="LISTNEW" localSheetId="13">#REF!</definedName>
    <definedName name="LISTNEW">#REF!</definedName>
    <definedName name="ListofForms" localSheetId="13">#REF!</definedName>
    <definedName name="ListofForms">#REF!</definedName>
    <definedName name="lklk" localSheetId="13">#REF!</definedName>
    <definedName name="lklk">#REF!</definedName>
    <definedName name="lst_activity_7groups" localSheetId="13">#REF!</definedName>
    <definedName name="lst_activity_7groups">#REF!</definedName>
    <definedName name="MandatoryErrors" localSheetId="13">#REF!</definedName>
    <definedName name="MandatoryErrors">#REF!</definedName>
    <definedName name="MapData28SHAs" localSheetId="13">#REF!</definedName>
    <definedName name="MapData28SHAs">#REF!</definedName>
    <definedName name="Mar06_Data">[54]Mar06!$A$7:$BM$609</definedName>
    <definedName name="Mar06_Traj">[54]Mar06!$A$615:$BM$1212</definedName>
    <definedName name="Mc" localSheetId="13">#REF!</definedName>
    <definedName name="Mc">#REF!</definedName>
    <definedName name="Med" localSheetId="13">#REF!</definedName>
    <definedName name="Med">#REF!</definedName>
    <definedName name="MetricAvgROICSeatCapitalCfy">'[15]WK16 Seat Capital Costs'!$E$154</definedName>
    <definedName name="MetricAvgROICSeatCapitalTtl">'[15]WK16 Seat Capital Costs'!$E$152</definedName>
    <definedName name="MetricAvgROICSeatCapitalYrs1to3">'[15]WK16 Seat Capital Costs'!$E$153</definedName>
    <definedName name="MetricCostTakeOut">'[15]3 TCB Summ'!$Z$24</definedName>
    <definedName name="MetricCostTakeOutcFY">'[15]3 TCB Summ'!$L$24</definedName>
    <definedName name="MetricEBITAccretiveFrom">'[15]WK11 GAAP IS Detail'!$B$111</definedName>
    <definedName name="MetricEBITPercent">'[15]WK11 GAAP IS Detail'!$EW$53</definedName>
    <definedName name="MetricEBITPercentcFY">'[15]WK11 GAAP IS Detail'!$EL$53</definedName>
    <definedName name="MetricEngMarg">'[15]5 ACN Mgt View'!$AM$19</definedName>
    <definedName name="MetricEngMargcFY">'[15]5 ACN Mgt View'!$K$19</definedName>
    <definedName name="MetricEVAcFY">'[15]5 ACN Mgt View'!$K$28</definedName>
    <definedName name="MetricEVATtl">'[15]5 ACN Mgt View'!$AM$28</definedName>
    <definedName name="MetricEVAvsRevenue">'[15]5 ACN Mgt View'!$AM$29</definedName>
    <definedName name="MetricEVAvsRevenuecFY">'[15]5 ACN Mgt View'!$K$29</definedName>
    <definedName name="MetricGFRNetRev">'[15]5 ACN Mgt View'!$AM$14</definedName>
    <definedName name="MetricNetIncPercent">'[15]WK11 GAAP IS Detail'!$EW$88</definedName>
    <definedName name="MetricNetIncPercentcFY">'[15]WK11 GAAP IS Detail'!$EL$88</definedName>
    <definedName name="MetricPeakBal">'[15]WK10 Cap Bal Det'!$E$27</definedName>
    <definedName name="MetricPeakBalvEBIT">'[15]2 Fin Analysis'!$G$46</definedName>
    <definedName name="MetricPeakMonth">'[15]WK10 Cap Bal Det'!$E$26</definedName>
    <definedName name="MetricPeakSeatCapitalBal">'[15]WK16 Seat Capital Costs'!$E$100</definedName>
    <definedName name="MetricPreRiskAdjPVSeatCapitalTtl">'[15]WK16 Seat Capital Costs'!$EJ$169</definedName>
    <definedName name="MetricPreRiskAdjPVSeatCapitalYrs1to3">'[15]WK16 Seat Capital Costs'!$EJ$191</definedName>
    <definedName name="MetricPreRiskCFFirst">'[15]WK2 Bill-Exp Inputs'!$E$132</definedName>
    <definedName name="MetricPreRiskCFFirstCum">'[15]WK2 Bill-Exp Inputs'!$E$126</definedName>
    <definedName name="MetricPreRiskIRRSeatCapitalTtl">'[15]WK16 Seat Capital Costs'!$E$200</definedName>
    <definedName name="MetricPreRiskIRRSeatCapitalYrs1to3">'[15]WK16 Seat Capital Costs'!$E$198</definedName>
    <definedName name="MetricRevBefReimburse">'[15]WK11 GAAP IS Detail'!$EW$14</definedName>
    <definedName name="MetricRevBefReimbursecFY">'[15]WK11 GAAP IS Detail'!$EL$14</definedName>
    <definedName name="MetricRevCap">'[15]2 Fin Analysis'!$G$48</definedName>
    <definedName name="MetricRiskAdjIRRSeatCapitalTtl">'[15]WK16 Seat Capital Costs'!$E$201</definedName>
    <definedName name="MetricRiskAdjIRRSeatCapitalYrs1to3">'[15]WK16 Seat Capital Costs'!$E$199</definedName>
    <definedName name="MetricRiskAdjPVSeatCapitalCfy">'[15]WK16 Seat Capital Costs'!$EJ$196</definedName>
    <definedName name="MetricRiskAdjPVSeatCapitalTtl">'[15]WK16 Seat Capital Costs'!$EJ$187</definedName>
    <definedName name="MetricRiskAdjPVSeatCapitalYrs1to3">'[15]WK16 Seat Capital Costs'!$EJ$192</definedName>
    <definedName name="MetricTimingPeakSeatCapitalBal">'[15]WK16 Seat Capital Costs'!$E$98</definedName>
    <definedName name="Ministers" localSheetId="13">#REF!</definedName>
    <definedName name="Ministers">#REF!</definedName>
    <definedName name="mn">[55]two!$L$25</definedName>
    <definedName name="Months" localSheetId="13">#REF!</definedName>
    <definedName name="Months">#REF!</definedName>
    <definedName name="MoveToBody">OFFSET('[36]Business with DH &amp; Group Bodies'!$A$1,'[36]Business with DH &amp; Group Bodies'!$M$1,0)</definedName>
    <definedName name="myCht">'[27]Bubble Data'!$T$62</definedName>
    <definedName name="myrange" localSheetId="13">#REF!</definedName>
    <definedName name="myrange">#REF!</definedName>
    <definedName name="n" localSheetId="13">#REF!</definedName>
    <definedName name="n">#REF!</definedName>
    <definedName name="NDC_exclusions">[56]Exclusions!$D$3:$F$112</definedName>
    <definedName name="Near_Cash_AME" localSheetId="13">#REF!</definedName>
    <definedName name="Near_Cash_AME">#REF!</definedName>
    <definedName name="Near_Cash_DEL" localSheetId="13">#REF!</definedName>
    <definedName name="Near_Cash_DEL">#REF!</definedName>
    <definedName name="nearcash">'[23]Event 12 with ERO changes'!$Q$3:$Q$2000</definedName>
    <definedName name="new" localSheetId="13">#REF!</definedName>
    <definedName name="new">#REF!</definedName>
    <definedName name="NewAllocations" localSheetId="13">#REF!</definedName>
    <definedName name="NewAllocations">#REF!</definedName>
    <definedName name="NewDFTs" localSheetId="13">#REF!</definedName>
    <definedName name="NewDFTs">#REF!</definedName>
    <definedName name="NewPCT1" localSheetId="13">#REF!</definedName>
    <definedName name="NewPCT1">#REF!</definedName>
    <definedName name="NewPCT2" localSheetId="13">#REF!</definedName>
    <definedName name="NewPCT2">#REF!</definedName>
    <definedName name="NewPCT3" localSheetId="13">#REF!</definedName>
    <definedName name="NewPCT3">#REF!</definedName>
    <definedName name="NewPCTMap">[57]OldPCTs!$E$3:$E$313</definedName>
    <definedName name="NewPCTs" localSheetId="13">#REF!</definedName>
    <definedName name="NewPCTs">#REF!</definedName>
    <definedName name="NewPopulations" localSheetId="13">#REF!</definedName>
    <definedName name="NewPopulations">#REF!</definedName>
    <definedName name="Non_Cash_AME" localSheetId="13">#REF!</definedName>
    <definedName name="Non_Cash_AME">#REF!</definedName>
    <definedName name="Non_Cash_DEL" localSheetId="13">#REF!</definedName>
    <definedName name="Non_Cash_DEL">#REF!</definedName>
    <definedName name="note13" localSheetId="13">#REF!</definedName>
    <definedName name="note13">#REF!</definedName>
    <definedName name="note22" localSheetId="13">#REF!</definedName>
    <definedName name="note22">#REF!</definedName>
    <definedName name="note23_1" localSheetId="13">#REF!</definedName>
    <definedName name="note23_1">#REF!</definedName>
    <definedName name="note23_2" localSheetId="13">#REF!</definedName>
    <definedName name="note23_2">#REF!</definedName>
    <definedName name="note24_1" localSheetId="13">#REF!</definedName>
    <definedName name="note24_1">#REF!</definedName>
    <definedName name="note24_2" localSheetId="13">#REF!</definedName>
    <definedName name="note24_2">#REF!</definedName>
    <definedName name="note24_3" localSheetId="13">#REF!</definedName>
    <definedName name="note24_3">#REF!</definedName>
    <definedName name="note24_4" localSheetId="13">#REF!</definedName>
    <definedName name="note24_4">#REF!</definedName>
    <definedName name="note24_5" localSheetId="13">#REF!</definedName>
    <definedName name="note24_5">#REF!</definedName>
    <definedName name="note27_1" localSheetId="13">#REF!</definedName>
    <definedName name="note27_1">#REF!</definedName>
    <definedName name="note27_2" localSheetId="13">#REF!</definedName>
    <definedName name="note27_2">#REF!</definedName>
    <definedName name="Notes" localSheetId="13">#REF!</definedName>
    <definedName name="Notes">#REF!</definedName>
    <definedName name="NotesList" localSheetId="13">#REF!</definedName>
    <definedName name="NotesList">#REF!</definedName>
    <definedName name="NotesMatchedVal" localSheetId="13">#REF!</definedName>
    <definedName name="NotesMatchedVal">#REF!</definedName>
    <definedName name="Nur" localSheetId="13">#REF!</definedName>
    <definedName name="Nur">#REF!</definedName>
    <definedName name="O" localSheetId="13">#REF!</definedName>
    <definedName name="O">#REF!</definedName>
    <definedName name="OCSb" localSheetId="13">#REF!</definedName>
    <definedName name="OCSb">#REF!</definedName>
    <definedName name="ODCats" localSheetId="13">'[58]2. Overall Dispo'!$E$32:$E$35,'[58]2. Overall Dispo'!$E$45:$E$46,'[58]2. Overall Dispo'!$E$20:$E$28,'[58]2. Overall Dispo'!$E$62:$E$64,'[58]2. Overall Dispo'!$E$67:$E$68,'[58]2. Overall Dispo'!$E$71:$E$72,'[58]2. Overall Dispo'!$E$80:$E$81,'[58]2. Overall Dispo'!$E$90:$E$90,'[58]2. Overall Dispo'!#REF!</definedName>
    <definedName name="ODCats">'[58]2. Overall Dispo'!$E$32:$E$35,'[58]2. Overall Dispo'!$E$45:$E$46,'[58]2. Overall Dispo'!$E$20:$E$28,'[58]2. Overall Dispo'!$E$62:$E$64,'[58]2. Overall Dispo'!$E$67:$E$68,'[58]2. Overall Dispo'!$E$71:$E$72,'[58]2. Overall Dispo'!$E$80:$E$81,'[58]2. Overall Dispo'!$E$90:$E$90,'[58]2. Overall Dispo'!#REF!</definedName>
    <definedName name="OISIII" localSheetId="13" hidden="1">#REF!</definedName>
    <definedName name="OISIII" hidden="1">#REF!</definedName>
    <definedName name="OldAllocations" localSheetId="13">#REF!</definedName>
    <definedName name="OldAllocations">#REF!</definedName>
    <definedName name="OldDFTs" localSheetId="13">#REF!</definedName>
    <definedName name="OldDFTs">#REF!</definedName>
    <definedName name="Older" localSheetId="13">#REF!</definedName>
    <definedName name="Older">#REF!</definedName>
    <definedName name="OldPopulations" localSheetId="13">#REF!</definedName>
    <definedName name="OldPopulations">#REF!</definedName>
    <definedName name="oncosts_first_cell">'[59]Interactive inputs &amp; results'!$C$37</definedName>
    <definedName name="OPCS_Codes" localSheetId="13">#REF!</definedName>
    <definedName name="OPCS_Codes" localSheetId="18">#REF!</definedName>
    <definedName name="OPCS_Codes" localSheetId="0">#REF!</definedName>
    <definedName name="OPCS_Codes" localSheetId="19">#REF!</definedName>
    <definedName name="OPCS_Codes" localSheetId="20">#REF!</definedName>
    <definedName name="OPCS_Codes" localSheetId="2">#REF!</definedName>
    <definedName name="OPCS_Codes" localSheetId="21">#REF!</definedName>
    <definedName name="OPCS_Codes" localSheetId="1">#REF!</definedName>
    <definedName name="OPCS_Codes" localSheetId="23">#REF!</definedName>
    <definedName name="OPCS_Codes" localSheetId="24">#REF!</definedName>
    <definedName name="OPCS_Codes" localSheetId="8">#REF!</definedName>
    <definedName name="OPCS_Codes">#REF!</definedName>
    <definedName name="OpeningBals">'[36]Cover Sheet'!$K$1:$R$68</definedName>
    <definedName name="Operational_Capital_Project_Executive_Approvals" localSheetId="13">'[60]Estates Bids'!#REF!</definedName>
    <definedName name="Operational_Capital_Project_Executive_Approvals">'[60]Estates Bids'!#REF!</definedName>
    <definedName name="OptionalErrors" localSheetId="13">#REF!</definedName>
    <definedName name="OptionalErrors">#REF!</definedName>
    <definedName name="Organisations_Code">2</definedName>
    <definedName name="Organisations_Description">3</definedName>
    <definedName name="Organisations_List">4</definedName>
    <definedName name="Organisations_Type">1</definedName>
    <definedName name="OrgCode">'[36]Cover Sheet'!$B$1</definedName>
    <definedName name="orgcode3" localSheetId="13">'[61]Data Range'!#REF!</definedName>
    <definedName name="orgcode3">'[61]Data Range'!#REF!</definedName>
    <definedName name="ORGCODES" localSheetId="13">#REF!</definedName>
    <definedName name="ORGCODES">#REF!</definedName>
    <definedName name="ORGCODES1" localSheetId="13">#REF!</definedName>
    <definedName name="ORGCODES1">#REF!</definedName>
    <definedName name="orgecode4" localSheetId="13">'[61]Data Range'!#REF!</definedName>
    <definedName name="orgecode4">'[61]Data Range'!#REF!</definedName>
    <definedName name="OrgName">'[36]Cover Sheet'!$B$2</definedName>
    <definedName name="orig1" localSheetId="13">#REF!</definedName>
    <definedName name="orig1">#REF!</definedName>
    <definedName name="orig2" localSheetId="13">#REF!</definedName>
    <definedName name="orig2">#REF!</definedName>
    <definedName name="orig3" localSheetId="13">#REF!</definedName>
    <definedName name="orig3">#REF!</definedName>
    <definedName name="orig4" localSheetId="13">#REF!</definedName>
    <definedName name="orig4">#REF!</definedName>
    <definedName name="OtherActivityList" localSheetId="13">#REF!</definedName>
    <definedName name="OtherActivityList">#REF!</definedName>
    <definedName name="P" localSheetId="13">#REF!</definedName>
    <definedName name="P">#REF!</definedName>
    <definedName name="Parameters_Header_1">8</definedName>
    <definedName name="Parameters_Header_2">9</definedName>
    <definedName name="Parameters_Header_3">10</definedName>
    <definedName name="Parameters_Header_4">11</definedName>
    <definedName name="Parameters_Header_5">12</definedName>
    <definedName name="Parameters_Header_6">13</definedName>
    <definedName name="Parameters_Header_7">14</definedName>
    <definedName name="Parameters_Header_8">15</definedName>
    <definedName name="Parameters_Header_9">16</definedName>
    <definedName name="Parameters_No_Of_Units">6</definedName>
    <definedName name="Parameters_Sheet_Name">2</definedName>
    <definedName name="Parameters_Text">7</definedName>
    <definedName name="Parameters_Type_Of_Change">3</definedName>
    <definedName name="Parameters_Workbook_Name">1</definedName>
    <definedName name="PayZone1" localSheetId="13">#REF!</definedName>
    <definedName name="PayZone1">#REF!</definedName>
    <definedName name="PayZone10" localSheetId="13">#REF!</definedName>
    <definedName name="PayZone10">#REF!</definedName>
    <definedName name="PayZone2" localSheetId="13">#REF!</definedName>
    <definedName name="PayZone2">#REF!</definedName>
    <definedName name="PayZone3" localSheetId="13">#REF!</definedName>
    <definedName name="PayZone3">#REF!</definedName>
    <definedName name="PayZone4" localSheetId="13">#REF!</definedName>
    <definedName name="PayZone4">#REF!</definedName>
    <definedName name="PayZone5" localSheetId="13">#REF!</definedName>
    <definedName name="PayZone5">#REF!</definedName>
    <definedName name="PayZone6" localSheetId="13">#REF!</definedName>
    <definedName name="PayZone6">#REF!</definedName>
    <definedName name="PayZone7" localSheetId="13">#REF!</definedName>
    <definedName name="PayZone7">#REF!</definedName>
    <definedName name="PayZone8" localSheetId="13">#REF!</definedName>
    <definedName name="PayZone8">#REF!</definedName>
    <definedName name="PayZone9" localSheetId="13">#REF!</definedName>
    <definedName name="PayZone9">#REF!</definedName>
    <definedName name="PCT" localSheetId="13">#REF!</definedName>
    <definedName name="PCT">#REF!</definedName>
    <definedName name="pctacutescore" localSheetId="13">#REF!</definedName>
    <definedName name="pctacutescore">#REF!</definedName>
    <definedName name="pctlu" localSheetId="13">#REF!</definedName>
    <definedName name="pctlu">#REF!</definedName>
    <definedName name="PCTs">[34]Front!$F$21</definedName>
    <definedName name="PerIncrease" localSheetId="13">#REF!</definedName>
    <definedName name="PerIncrease">#REF!</definedName>
    <definedName name="period" localSheetId="13">[9]Report!#REF!</definedName>
    <definedName name="period">[9]Report!#REF!</definedName>
    <definedName name="PHCQ" localSheetId="13">#REF!</definedName>
    <definedName name="PHCQ">#REF!</definedName>
    <definedName name="PlanActivtityList" localSheetId="13">#REF!</definedName>
    <definedName name="PlanActivtityList">#REF!</definedName>
    <definedName name="PMETB" localSheetId="13">#REF!</definedName>
    <definedName name="PMETB">#REF!</definedName>
    <definedName name="pmsnonacutescore" localSheetId="13">#REF!</definedName>
    <definedName name="pmsnonacutescore">#REF!</definedName>
    <definedName name="PO" localSheetId="13">#REF!</definedName>
    <definedName name="PO">#REF!</definedName>
    <definedName name="poo" localSheetId="13">#REF!</definedName>
    <definedName name="poo">#REF!</definedName>
    <definedName name="POP">[62]Population!$B$17:$E$44</definedName>
    <definedName name="PrevCalYr">'[32]Cover Sheet'!$B$11</definedName>
    <definedName name="_xlnm.Print_Area" localSheetId="13">'15-16 tariff'!$A$1:$F$60</definedName>
    <definedName name="_xlnm.Print_Area" localSheetId="2">'Linked sheet'!$A$1:$F$64</definedName>
    <definedName name="_xlnm.Print_Area" localSheetId="23">'OPATT prices'!#REF!</definedName>
    <definedName name="_xlnm.Print_Area" localSheetId="24">'Post manual recon'!$L$1:$Q$64</definedName>
    <definedName name="_xlnm.Print_Area" localSheetId="8">'Price Adjustments'!$A$1:$I$157</definedName>
    <definedName name="_xlnm.Print_Area">#REF!</definedName>
    <definedName name="PRINT_AREA_MI" localSheetId="13">#REF!</definedName>
    <definedName name="PRINT_AREA_MI">#REF!</definedName>
    <definedName name="_xlnm.Print_Titles" localSheetId="13">'15-16 tariff'!$1:$4</definedName>
    <definedName name="_xlnm.Print_Titles" localSheetId="2">'Linked sheet'!$1:$4</definedName>
    <definedName name="_xlnm.Print_Titles" localSheetId="23">'OPATT prices'!$1:$4</definedName>
    <definedName name="_xlnm.Print_Titles" localSheetId="24">'Post manual recon'!$1:$4</definedName>
    <definedName name="PriorYear" localSheetId="13">#REF!</definedName>
    <definedName name="PriorYear">#REF!</definedName>
    <definedName name="PRODUCTIVITY" localSheetId="13">'[12]NHSLA04 - I&amp;E Budget Profile'!#REF!</definedName>
    <definedName name="PRODUCTIVITY">'[12]NHSLA04 - I&amp;E Budget Profile'!#REF!</definedName>
    <definedName name="PSS">'[23]Event 12 with ERO changes'!$K$3:$K$2000</definedName>
    <definedName name="PSS_Older" localSheetId="13">#REF!</definedName>
    <definedName name="PSS_Older">#REF!</definedName>
    <definedName name="PY" localSheetId="13">#REF!</definedName>
    <definedName name="PY">#REF!</definedName>
    <definedName name="Q" localSheetId="13">#REF!</definedName>
    <definedName name="Q">#REF!</definedName>
    <definedName name="QHAddr1" localSheetId="13">#REF!</definedName>
    <definedName name="QHAddr1">#REF!</definedName>
    <definedName name="QHAddr2" localSheetId="13">#REF!</definedName>
    <definedName name="QHAddr2">#REF!</definedName>
    <definedName name="QHAddr3" localSheetId="13">#REF!</definedName>
    <definedName name="QHAddr3">#REF!</definedName>
    <definedName name="QHAddr4" localSheetId="13">#REF!</definedName>
    <definedName name="QHAddr4">#REF!</definedName>
    <definedName name="QHContact" localSheetId="13">#REF!</definedName>
    <definedName name="QHContact">#REF!</definedName>
    <definedName name="QHEmailAddress" localSheetId="13">#REF!</definedName>
    <definedName name="QHEmailAddress">#REF!</definedName>
    <definedName name="QHPostcode" localSheetId="13">#REF!</definedName>
    <definedName name="QHPostcode">#REF!</definedName>
    <definedName name="QHTelephone" localSheetId="13">#REF!</definedName>
    <definedName name="QHTelephone">#REF!</definedName>
    <definedName name="qryExportCompare" localSheetId="13">#REF!</definedName>
    <definedName name="qryExportCompare">#REF!</definedName>
    <definedName name="Quarter_1" localSheetId="13">#REF!</definedName>
    <definedName name="Quarter_1">#REF!</definedName>
    <definedName name="Quarter_2" localSheetId="13">#REF!</definedName>
    <definedName name="Quarter_2">#REF!</definedName>
    <definedName name="Quarter_3" localSheetId="13">#REF!</definedName>
    <definedName name="Quarter_3">#REF!</definedName>
    <definedName name="Quarter_4" localSheetId="13">#REF!</definedName>
    <definedName name="Quarter_4">#REF!</definedName>
    <definedName name="RAI" localSheetId="13">#REF!</definedName>
    <definedName name="RAI">#REF!</definedName>
    <definedName name="RangeMonth" localSheetId="13">#REF!</definedName>
    <definedName name="RangeMonth">#REF!</definedName>
    <definedName name="Recover">[63]Macro1!$A$56</definedName>
    <definedName name="reject">'[23]Event 12 with ERO changes'!$AA$3:$AA$2000</definedName>
    <definedName name="RemunTab1" localSheetId="13">#REF!</definedName>
    <definedName name="RemunTab1">#REF!</definedName>
    <definedName name="RemunTab2" localSheetId="13">#REF!</definedName>
    <definedName name="RemunTab2">#REF!</definedName>
    <definedName name="RemunTab3" localSheetId="13">#REF!</definedName>
    <definedName name="RemunTab3">#REF!</definedName>
    <definedName name="RemunTab4" localSheetId="13">#REF!</definedName>
    <definedName name="RemunTab4">#REF!</definedName>
    <definedName name="REPORT" localSheetId="13">'[64]6.2 LDP Efficiency'!#REF!</definedName>
    <definedName name="REPORT">'[64]6.2 LDP Efficiency'!#REF!</definedName>
    <definedName name="ReqActivityList" localSheetId="13">#REF!</definedName>
    <definedName name="ReqActivityList">#REF!</definedName>
    <definedName name="ResByProgBudget" localSheetId="13">#REF!</definedName>
    <definedName name="ResByProgBudget">#REF!</definedName>
    <definedName name="Resource_DEL" localSheetId="13">#REF!</definedName>
    <definedName name="Resource_DEL">#REF!</definedName>
    <definedName name="Results_Printout" localSheetId="13">#REF!</definedName>
    <definedName name="Results_Printout">#REF!</definedName>
    <definedName name="RevisedChargeExport" localSheetId="13">#REF!</definedName>
    <definedName name="RevisedChargeExport">#REF!</definedName>
    <definedName name="RfR">'[31]Budgeting Codes'!$A$40:$A$43</definedName>
    <definedName name="rngAffordability">'[65]07. Non-mandatory Prices'!$K$12</definedName>
    <definedName name="rngComparison3">OFFSET([66]Summary!$O$5,0,0,COUNTA([66]Summary!$O:$O)-2,)</definedName>
    <definedName name="rngNew" localSheetId="13">'[67]2006PCTs'!#REF!</definedName>
    <definedName name="rngNew">'[67]2006PCTs'!#REF!</definedName>
    <definedName name="rngResourceBreakdownRows1" localSheetId="13">#REF!,#REF!</definedName>
    <definedName name="rngResourceBreakdownRows1">#REF!,#REF!</definedName>
    <definedName name="rngResourceFormulaToReplace1" localSheetId="13">#REF!,#REF!,#REF!,#REF!</definedName>
    <definedName name="rngResourceFormulaToReplace1">#REF!,#REF!,#REF!,#REF!</definedName>
    <definedName name="rngUplift" localSheetId="13">'[68]Non-mandatory 2015-16'!#REF!</definedName>
    <definedName name="rngUplift">'[68]Non-mandatory 2015-16'!#REF!</definedName>
    <definedName name="rngUplift1112" localSheetId="13">[69]Parameters!#REF!</definedName>
    <definedName name="rngUplift1112">[69]Parameters!#REF!</definedName>
    <definedName name="rngUplift1213" localSheetId="13">[69]Parameters!#REF!</definedName>
    <definedName name="rngUplift1213">[69]Parameters!#REF!</definedName>
    <definedName name="rngUplift1314" localSheetId="13">[69]Parameters!#REF!</definedName>
    <definedName name="rngUplift1314">[69]Parameters!#REF!</definedName>
    <definedName name="rngUplift1415" localSheetId="13">[69]Parameters!#REF!</definedName>
    <definedName name="rngUplift1415">[69]Parameters!#REF!</definedName>
    <definedName name="rngUplift2014">'[70]14-15 tariff'!$J$20</definedName>
    <definedName name="rngUrologyandGiynaeReduction1">'[71]08_DayCase'!$X$73</definedName>
    <definedName name="ROCode" localSheetId="13">#REF!</definedName>
    <definedName name="ROCode">#REF!</definedName>
    <definedName name="ROE">'[11]Calendar year Summary Plan'!$J$7</definedName>
    <definedName name="Row_A" localSheetId="13">[16]PERSONS!#REF!</definedName>
    <definedName name="Row_A">[16]PERSONS!#REF!</definedName>
    <definedName name="Row_B" localSheetId="13">[16]PERSONS!#REF!</definedName>
    <definedName name="Row_B">[16]PERSONS!#REF!</definedName>
    <definedName name="Row_F" localSheetId="13">[16]PERSONS!#REF!</definedName>
    <definedName name="Row_F">[16]PERSONS!#REF!</definedName>
    <definedName name="Row_G" localSheetId="13">[16]PERSONS!#REF!</definedName>
    <definedName name="Row_G">[16]PERSONS!#REF!</definedName>
    <definedName name="RV2_Top_Left" localSheetId="13">#REF!</definedName>
    <definedName name="RV2_Top_Left">#REF!</definedName>
    <definedName name="rytry" hidden="1">{"NET",#N/A,FALSE,"401C11"}</definedName>
    <definedName name="sa" localSheetId="13">#REF!</definedName>
    <definedName name="sa">#REF!</definedName>
    <definedName name="Scen200607" localSheetId="13">#REF!</definedName>
    <definedName name="Scen200607">#REF!</definedName>
    <definedName name="Scen200708" localSheetId="13">#REF!</definedName>
    <definedName name="Scen200708">#REF!</definedName>
    <definedName name="Scenario_offset" localSheetId="13">#REF!</definedName>
    <definedName name="Scenario_offset">#REF!</definedName>
    <definedName name="ScenarioLkup">'[72]Scenario Data'!$A$3:$R$179</definedName>
    <definedName name="SelectedAuthority">[73]Introduction!$F$11</definedName>
    <definedName name="SelectedAuthorityCode">[73]Introduction!$F$12</definedName>
    <definedName name="ServActivityList" localSheetId="13">#REF!</definedName>
    <definedName name="ServActivityList">#REF!</definedName>
    <definedName name="ServManActivityList" localSheetId="13">#REF!</definedName>
    <definedName name="ServManActivityList">#REF!</definedName>
    <definedName name="sha">'[62]SHA Lookup'!$A$1:$B$29</definedName>
    <definedName name="SHA_Org_List">OFFSET([74]Org_Lookup_Table!$C$1,[74]Org_Lookup_Table!$O$5,0,[74]Org_Lookup_Table!$P$5,1)</definedName>
    <definedName name="SHAcode" localSheetId="13">#REF!</definedName>
    <definedName name="SHAcode">#REF!</definedName>
    <definedName name="SHAs">[34]Front!$C$21</definedName>
    <definedName name="SHS" localSheetId="13">#REF!</definedName>
    <definedName name="SHS">#REF!</definedName>
    <definedName name="source090400" localSheetId="13">'[75]Source figures'!#REF!</definedName>
    <definedName name="source090400">'[75]Source figures'!#REF!</definedName>
    <definedName name="source110403ss6" localSheetId="13">'[75]Source figures'!#REF!</definedName>
    <definedName name="source110403ss6">'[75]Source figures'!#REF!</definedName>
    <definedName name="special9697">[53]WORKSHEET!$B$19</definedName>
    <definedName name="special9697rev">[53]WORKSHEET!$C$19</definedName>
    <definedName name="special9798">[53]WORKSHEET!$D$19</definedName>
    <definedName name="Spend">[21]Unique!$H$1:$H$65536</definedName>
    <definedName name="Spring_Cash" localSheetId="13">'[76]changes against budgets'!#REF!</definedName>
    <definedName name="Spring_Cash">'[76]changes against budgets'!#REF!</definedName>
    <definedName name="Spring_Taken" localSheetId="13">'[76]changes against budgets'!#REF!</definedName>
    <definedName name="Spring_Taken">'[76]changes against budgets'!#REF!</definedName>
    <definedName name="Spring_Variation" localSheetId="13">'[76]changes against budgets'!#REF!</definedName>
    <definedName name="Spring_Variation">'[76]changes against budgets'!#REF!</definedName>
    <definedName name="sprog">'[23]Event 12 with ERO changes'!$G$3:$G$2000</definedName>
    <definedName name="SPSS" localSheetId="13">#REF!</definedName>
    <definedName name="SPSS">#REF!</definedName>
    <definedName name="Standards" localSheetId="13">#REF!</definedName>
    <definedName name="Standards">#REF!</definedName>
    <definedName name="Start14" localSheetId="13">#REF!</definedName>
    <definedName name="Start14">#REF!</definedName>
    <definedName name="Start16" localSheetId="13">#REF!</definedName>
    <definedName name="Start16">#REF!</definedName>
    <definedName name="Start2" localSheetId="13">#REF!</definedName>
    <definedName name="Start2">#REF!</definedName>
    <definedName name="Status" localSheetId="13">[9]Report!#REF!</definedName>
    <definedName name="Status">[9]Report!#REF!</definedName>
    <definedName name="StratActivityList" localSheetId="13">#REF!</definedName>
    <definedName name="StratActivityList">#REF!</definedName>
    <definedName name="Subheads">'[31]Budgeting Codes'!$B$40:$B$61</definedName>
    <definedName name="Successors" localSheetId="13">#REF!</definedName>
    <definedName name="Successors">#REF!</definedName>
    <definedName name="Summary" localSheetId="13">#REF!</definedName>
    <definedName name="Summary">#REF!</definedName>
    <definedName name="Summer_OCL" localSheetId="13">'[76]changes against budgets'!#REF!</definedName>
    <definedName name="Summer_OCL">'[76]changes against budgets'!#REF!</definedName>
    <definedName name="Summer_Printed" localSheetId="13">'[76]changes against budgets'!#REF!</definedName>
    <definedName name="Summer_Printed">'[76]changes against budgets'!#REF!</definedName>
    <definedName name="Summer_Taken" localSheetId="13">'[76]changes against budgets'!#REF!</definedName>
    <definedName name="Summer_Taken">'[76]changes against budgets'!#REF!</definedName>
    <definedName name="sysEndDate">'[15]WK2 Bill-Exp Inputs'!$E$135</definedName>
    <definedName name="sysStartDate">'[15]WK2 Bill-Exp Inputs'!$E$134</definedName>
    <definedName name="T04_F_1_1">[77]T04!$H$9</definedName>
    <definedName name="T04_F_1_10">[77]T04!$H$18</definedName>
    <definedName name="T04_F_1_11">[77]T04!$H$19</definedName>
    <definedName name="T04_F_1_12">[77]T04!$H$20</definedName>
    <definedName name="T04_F_1_2">[77]T04!$H$10</definedName>
    <definedName name="T04_F_1_3">[77]T04!$H$11</definedName>
    <definedName name="T04_F_1_4">[77]T04!$H$12</definedName>
    <definedName name="T04_F_1_5">[77]T04!$H$13</definedName>
    <definedName name="T04_F_1_6">[77]T04!$H$14</definedName>
    <definedName name="T04_F_1_7">[77]T04!$H$15</definedName>
    <definedName name="T04_F_1_8">[77]T04!$H$16</definedName>
    <definedName name="T04_F_1_9">[77]T04!$H$17</definedName>
    <definedName name="T04_F_2_13">[77]T04!$H$35</definedName>
    <definedName name="T04_F_3_3">[77]T04!$H$40</definedName>
    <definedName name="T04_F_3_4">[77]T04!$H$42</definedName>
    <definedName name="T04_F_3_5">[77]T04!$H$43</definedName>
    <definedName name="T04_G_1_1">[77]T04!$I$9</definedName>
    <definedName name="T04_G_1_10">[77]T04!$I$18</definedName>
    <definedName name="T04_G_1_11">[77]T04!$I$19</definedName>
    <definedName name="T04_G_1_12">[77]T04!$I$20</definedName>
    <definedName name="T04_G_1_2">[77]T04!$I$10</definedName>
    <definedName name="T04_G_1_3">[77]T04!$I$11</definedName>
    <definedName name="T04_G_1_4">[77]T04!$I$12</definedName>
    <definedName name="T04_G_1_5">[77]T04!$I$13</definedName>
    <definedName name="T04_G_1_6">[77]T04!$I$14</definedName>
    <definedName name="T04_G_1_7">[77]T04!$I$15</definedName>
    <definedName name="T04_G_1_8">[77]T04!$I$16</definedName>
    <definedName name="T04_G_1_9">[77]T04!$I$17</definedName>
    <definedName name="T04_G_2_13">[77]T04!$I$35</definedName>
    <definedName name="T04_G_3_3">[77]T04!$I$40</definedName>
    <definedName name="T04_G_3_4">[77]T04!$I$42</definedName>
    <definedName name="T04_G_3_5">[77]T04!$I$43</definedName>
    <definedName name="T04A_D_1_1" localSheetId="13">#REF!</definedName>
    <definedName name="T04A_D_1_1">#REF!</definedName>
    <definedName name="T04A_D_1_12" localSheetId="13">#REF!</definedName>
    <definedName name="T04A_D_1_12">#REF!</definedName>
    <definedName name="T04A_D_2_1" localSheetId="13">#REF!</definedName>
    <definedName name="T04A_D_2_1">#REF!</definedName>
    <definedName name="T04A_D_2_18" localSheetId="13">#REF!</definedName>
    <definedName name="T04A_D_2_18">#REF!</definedName>
    <definedName name="T04A_D_3_1" localSheetId="13">#REF!</definedName>
    <definedName name="T04A_D_3_1">#REF!</definedName>
    <definedName name="T04A_D_3_4" localSheetId="13">#REF!</definedName>
    <definedName name="T04A_D_3_4">#REF!</definedName>
    <definedName name="T04A_D_3_5" localSheetId="13">#REF!</definedName>
    <definedName name="T04A_D_3_5">#REF!</definedName>
    <definedName name="T04A_D_3_6" localSheetId="13">#REF!</definedName>
    <definedName name="T04A_D_3_6">#REF!</definedName>
    <definedName name="T04A_D_3_7" localSheetId="13">#REF!</definedName>
    <definedName name="T04A_D_3_7">#REF!</definedName>
    <definedName name="T04A_D_3_8" localSheetId="13">#REF!</definedName>
    <definedName name="T04A_D_3_8">#REF!</definedName>
    <definedName name="T04A_E_1_1" localSheetId="13">#REF!</definedName>
    <definedName name="T04A_E_1_1">#REF!</definedName>
    <definedName name="T04A_E_1_10" localSheetId="13">#REF!</definedName>
    <definedName name="T04A_E_1_10">#REF!</definedName>
    <definedName name="T04A_E_1_11" localSheetId="13">#REF!</definedName>
    <definedName name="T04A_E_1_11">#REF!</definedName>
    <definedName name="T04A_E_1_12" localSheetId="13">#REF!</definedName>
    <definedName name="T04A_E_1_12">#REF!</definedName>
    <definedName name="T04A_E_1_2" localSheetId="13">#REF!</definedName>
    <definedName name="T04A_E_1_2">#REF!</definedName>
    <definedName name="T04A_E_1_3" localSheetId="13">#REF!</definedName>
    <definedName name="T04A_E_1_3">#REF!</definedName>
    <definedName name="T04A_E_1_4" localSheetId="13">#REF!</definedName>
    <definedName name="T04A_E_1_4">#REF!</definedName>
    <definedName name="T04A_E_1_5" localSheetId="13">#REF!</definedName>
    <definedName name="T04A_E_1_5">#REF!</definedName>
    <definedName name="T04A_E_1_6" localSheetId="13">#REF!</definedName>
    <definedName name="T04A_E_1_6">#REF!</definedName>
    <definedName name="T04A_E_1_7" localSheetId="13">#REF!</definedName>
    <definedName name="T04A_E_1_7">#REF!</definedName>
    <definedName name="T04A_E_1_8" localSheetId="13">#REF!</definedName>
    <definedName name="T04A_E_1_8">#REF!</definedName>
    <definedName name="T04A_E_1_9" localSheetId="13">#REF!</definedName>
    <definedName name="T04A_E_1_9">#REF!</definedName>
    <definedName name="T04A_E_2_1" localSheetId="13">#REF!</definedName>
    <definedName name="T04A_E_2_1">#REF!</definedName>
    <definedName name="T04A_E_2_18" localSheetId="13">#REF!</definedName>
    <definedName name="T04A_E_2_18">#REF!</definedName>
    <definedName name="T04A_E_2_19" localSheetId="13">#REF!</definedName>
    <definedName name="T04A_E_2_19">#REF!</definedName>
    <definedName name="T04A_E_3_1" localSheetId="13">#REF!</definedName>
    <definedName name="T04A_E_3_1">#REF!</definedName>
    <definedName name="T04A_E_3_4" localSheetId="13">#REF!</definedName>
    <definedName name="T04A_E_3_4">#REF!</definedName>
    <definedName name="T04A_E_3_5" localSheetId="13">#REF!</definedName>
    <definedName name="T04A_E_3_5">#REF!</definedName>
    <definedName name="T04A_E_3_6" localSheetId="13">#REF!</definedName>
    <definedName name="T04A_E_3_6">#REF!</definedName>
    <definedName name="T04A_E_3_7" localSheetId="13">#REF!</definedName>
    <definedName name="T04A_E_3_7">#REF!</definedName>
    <definedName name="T04A_E_3_8" localSheetId="13">#REF!</definedName>
    <definedName name="T04A_E_3_8">#REF!</definedName>
    <definedName name="T04A_F_1_1" localSheetId="13">#REF!</definedName>
    <definedName name="T04A_F_1_1">#REF!</definedName>
    <definedName name="T04A_F_1_10" localSheetId="13">#REF!</definedName>
    <definedName name="T04A_F_1_10">#REF!</definedName>
    <definedName name="T04A_F_1_11" localSheetId="13">#REF!</definedName>
    <definedName name="T04A_F_1_11">#REF!</definedName>
    <definedName name="T04A_F_1_12" localSheetId="13">#REF!</definedName>
    <definedName name="T04A_F_1_12">#REF!</definedName>
    <definedName name="T04A_F_1_2" localSheetId="13">#REF!</definedName>
    <definedName name="T04A_F_1_2">#REF!</definedName>
    <definedName name="T04A_F_1_3" localSheetId="13">#REF!</definedName>
    <definedName name="T04A_F_1_3">#REF!</definedName>
    <definedName name="T04A_F_1_4" localSheetId="13">#REF!</definedName>
    <definedName name="T04A_F_1_4">#REF!</definedName>
    <definedName name="T04A_F_1_5" localSheetId="13">#REF!</definedName>
    <definedName name="T04A_F_1_5">#REF!</definedName>
    <definedName name="T04A_F_1_6" localSheetId="13">#REF!</definedName>
    <definedName name="T04A_F_1_6">#REF!</definedName>
    <definedName name="T04A_F_1_7" localSheetId="13">#REF!</definedName>
    <definedName name="T04A_F_1_7">#REF!</definedName>
    <definedName name="T04A_F_1_8" localSheetId="13">#REF!</definedName>
    <definedName name="T04A_F_1_8">#REF!</definedName>
    <definedName name="T04A_F_1_9" localSheetId="13">#REF!</definedName>
    <definedName name="T04A_F_1_9">#REF!</definedName>
    <definedName name="T04A_F_2_19" localSheetId="13">#REF!</definedName>
    <definedName name="T04A_F_2_19">#REF!</definedName>
    <definedName name="T04A_F_3_5" localSheetId="13">#REF!</definedName>
    <definedName name="T04A_F_3_5">#REF!</definedName>
    <definedName name="T04A_F_3_6" localSheetId="13">#REF!</definedName>
    <definedName name="T04A_F_3_6">#REF!</definedName>
    <definedName name="T04A_F_3_7" localSheetId="13">#REF!</definedName>
    <definedName name="T04A_F_3_7">#REF!</definedName>
    <definedName name="T04A_F_3_8" localSheetId="13">#REF!</definedName>
    <definedName name="T04A_F_3_8">#REF!</definedName>
    <definedName name="T04A_G_1_1" localSheetId="13">#REF!</definedName>
    <definedName name="T04A_G_1_1">#REF!</definedName>
    <definedName name="T04A_G_1_12" localSheetId="13">#REF!</definedName>
    <definedName name="T04A_G_1_12">#REF!</definedName>
    <definedName name="T04A_G_3_5" localSheetId="13">#REF!</definedName>
    <definedName name="T04A_G_3_5">#REF!</definedName>
    <definedName name="T04A_G_3_6" localSheetId="13">#REF!</definedName>
    <definedName name="T04A_G_3_6">#REF!</definedName>
    <definedName name="T04A_G_3_7" localSheetId="13">#REF!</definedName>
    <definedName name="T04A_G_3_7">#REF!</definedName>
    <definedName name="T04A_G_3_8" localSheetId="13">#REF!</definedName>
    <definedName name="T04A_G_3_8">#REF!</definedName>
    <definedName name="T04A_H_1_1" localSheetId="13">#REF!</definedName>
    <definedName name="T04A_H_1_1">#REF!</definedName>
    <definedName name="T04A_H_1_12" localSheetId="13">#REF!</definedName>
    <definedName name="T04A_H_1_12">#REF!</definedName>
    <definedName name="T04A_H_3_5" localSheetId="13">#REF!</definedName>
    <definedName name="T04A_H_3_5">#REF!</definedName>
    <definedName name="T04A_H_3_6" localSheetId="13">#REF!</definedName>
    <definedName name="T04A_H_3_6">#REF!</definedName>
    <definedName name="T04A_H_3_7" localSheetId="13">#REF!</definedName>
    <definedName name="T04A_H_3_7">#REF!</definedName>
    <definedName name="T04A_H_3_8" localSheetId="13">#REF!</definedName>
    <definedName name="T04A_H_3_8">#REF!</definedName>
    <definedName name="T3PCA">[28]PCAccess!$A$4:$G$368</definedName>
    <definedName name="T9_310" localSheetId="13">#REF!</definedName>
    <definedName name="T9_310">#REF!</definedName>
    <definedName name="Tab5EClist" localSheetId="13">#REF!</definedName>
    <definedName name="Tab5EClist">#REF!</definedName>
    <definedName name="Table_AvgDSO">'[15]WK15 DSO Calc'!$H$42:$I$54</definedName>
    <definedName name="Table_Currency">'[15]WK1 Key Assumpt'!$P$49:$P$111</definedName>
    <definedName name="Table3.4" hidden="1">{"CHARGE",#N/A,FALSE,"401C11"}</definedName>
    <definedName name="TableName">"Dummy"</definedName>
    <definedName name="TAC06_07_102to220_Crosstab" localSheetId="13">#REF!</definedName>
    <definedName name="TAC06_07_102to220_Crosstab">#REF!</definedName>
    <definedName name="tac11a_35_Crosstab" localSheetId="13">#REF!</definedName>
    <definedName name="tac11a_35_Crosstab">#REF!</definedName>
    <definedName name="tac11a_440" localSheetId="13">#REF!</definedName>
    <definedName name="tac11a_440">#REF!</definedName>
    <definedName name="TaperedGrowth" localSheetId="13">#REF!</definedName>
    <definedName name="TaperedGrowth">#REF!</definedName>
    <definedName name="tblCode" localSheetId="13">#REF!</definedName>
    <definedName name="tblCode">#REF!</definedName>
    <definedName name="Test" localSheetId="13">#REF!</definedName>
    <definedName name="Test" localSheetId="0">#REF!</definedName>
    <definedName name="Test" localSheetId="21">#REF!</definedName>
    <definedName name="Test" localSheetId="23">#REF!</definedName>
    <definedName name="Test">#REF!</definedName>
    <definedName name="test2" localSheetId="13">'[78]Vista SHA-PCT Ini'!#REF!</definedName>
    <definedName name="test2">'[78]Vista SHA-PCT Ini'!#REF!</definedName>
    <definedName name="Tf" localSheetId="13">#REF!</definedName>
    <definedName name="Tf">#REF!</definedName>
    <definedName name="TFR3A_Reference" localSheetId="13">#REF!</definedName>
    <definedName name="TFR3A_Reference">#REF!</definedName>
    <definedName name="This_year">[51]Intro!$B$4</definedName>
    <definedName name="This_year_beginning">[79]Intro!$B$24</definedName>
    <definedName name="This_year_end">[79]Intro!$B$22</definedName>
    <definedName name="time">[28]PCAccess!$C$5:$C$381</definedName>
    <definedName name="tm_1045102621" localSheetId="13">#REF!</definedName>
    <definedName name="tm_1045102621">#REF!</definedName>
    <definedName name="tm_1179123751" localSheetId="13">'[80]Disclosure Amendments'!#REF!</definedName>
    <definedName name="tm_1179123751">'[80]Disclosure Amendments'!#REF!</definedName>
    <definedName name="tm_1378516993" localSheetId="13">#REF!</definedName>
    <definedName name="tm_1378516993">#REF!</definedName>
    <definedName name="tm_172146739" localSheetId="13">#REF!</definedName>
    <definedName name="tm_172146739">#REF!</definedName>
    <definedName name="tm_1918025732" localSheetId="13">#REF!</definedName>
    <definedName name="tm_1918025732">#REF!</definedName>
    <definedName name="tm_1918025749" localSheetId="13">#REF!</definedName>
    <definedName name="tm_1918025749">#REF!</definedName>
    <definedName name="tm_1921531977" localSheetId="13">#REF!</definedName>
    <definedName name="tm_1921531977">#REF!</definedName>
    <definedName name="tm_1921532046" localSheetId="13">#REF!</definedName>
    <definedName name="tm_1921532046">#REF!</definedName>
    <definedName name="tm_1988034598" localSheetId="13">#REF!</definedName>
    <definedName name="tm_1988034598">#REF!</definedName>
    <definedName name="tm_1988034603" localSheetId="13">#REF!</definedName>
    <definedName name="tm_1988034603">#REF!</definedName>
    <definedName name="tm_2052014111" localSheetId="13">#REF!</definedName>
    <definedName name="tm_2052014111">#REF!</definedName>
    <definedName name="tm_2052014146" localSheetId="13">#REF!</definedName>
    <definedName name="tm_2052014146">#REF!</definedName>
    <definedName name="tm_2052014164" localSheetId="13">#REF!</definedName>
    <definedName name="tm_2052014164">#REF!</definedName>
    <definedName name="tm_2053144592" localSheetId="13">#REF!</definedName>
    <definedName name="tm_2053144592">#REF!</definedName>
    <definedName name="tm_2053144610" localSheetId="13">#REF!</definedName>
    <definedName name="tm_2053144610">#REF!</definedName>
    <definedName name="tm_2053144615" localSheetId="13">#REF!</definedName>
    <definedName name="tm_2053144615">#REF!</definedName>
    <definedName name="tm_2053144628" localSheetId="13">#REF!</definedName>
    <definedName name="tm_2053144628">#REF!</definedName>
    <definedName name="tm_2053226498" localSheetId="13">#REF!</definedName>
    <definedName name="tm_2053226498">#REF!</definedName>
    <definedName name="tm_2053226503" localSheetId="13">#REF!</definedName>
    <definedName name="tm_2053226503">#REF!</definedName>
    <definedName name="tm_2054537271" localSheetId="13">#REF!</definedName>
    <definedName name="tm_2054537271">#REF!</definedName>
    <definedName name="tm_2054537281" localSheetId="13">#REF!</definedName>
    <definedName name="tm_2054537281">#REF!</definedName>
    <definedName name="tm_2054537288" localSheetId="13">#REF!</definedName>
    <definedName name="tm_2054537288">#REF!</definedName>
    <definedName name="tm_2054537289" localSheetId="13">#REF!</definedName>
    <definedName name="tm_2054537289">#REF!</definedName>
    <definedName name="tm_2054832184" localSheetId="13">#REF!</definedName>
    <definedName name="tm_2054832184">#REF!</definedName>
    <definedName name="tm_2055372900" localSheetId="13">#REF!</definedName>
    <definedName name="tm_2055372900">#REF!</definedName>
    <definedName name="tm_2055372929" localSheetId="13">#REF!</definedName>
    <definedName name="tm_2055372929">#REF!</definedName>
    <definedName name="tm_2055585826" localSheetId="13">#REF!</definedName>
    <definedName name="tm_2055585826">#REF!</definedName>
    <definedName name="tm_2056503304" localSheetId="13">#REF!</definedName>
    <definedName name="tm_2056503304">#REF!</definedName>
    <definedName name="tm_2056503346" localSheetId="13">#REF!</definedName>
    <definedName name="tm_2056503346">#REF!</definedName>
    <definedName name="tm_2056503355" localSheetId="13">#REF!</definedName>
    <definedName name="tm_2056503355">#REF!</definedName>
    <definedName name="tm_2056503356" localSheetId="13">#REF!</definedName>
    <definedName name="tm_2056503356">#REF!</definedName>
    <definedName name="tm_2056503357" localSheetId="13">#REF!</definedName>
    <definedName name="tm_2056503357">#REF!</definedName>
    <definedName name="tm_2056503358" localSheetId="13">#REF!</definedName>
    <definedName name="tm_2056503358">#REF!</definedName>
    <definedName name="tm_2056503391" localSheetId="13">#REF!</definedName>
    <definedName name="tm_2056503391">#REF!</definedName>
    <definedName name="tm_2056503400" localSheetId="13">#REF!</definedName>
    <definedName name="tm_2056503400">#REF!</definedName>
    <definedName name="tm_2056503409" localSheetId="13">#REF!</definedName>
    <definedName name="tm_2056503409">#REF!</definedName>
    <definedName name="tm_2056503410" localSheetId="13">#REF!</definedName>
    <definedName name="tm_2056503410">#REF!</definedName>
    <definedName name="tm_2056503427" localSheetId="13">#REF!</definedName>
    <definedName name="tm_2056503427">#REF!</definedName>
    <definedName name="tm_2056503428" localSheetId="13">#REF!</definedName>
    <definedName name="tm_2056503428">#REF!</definedName>
    <definedName name="tm_2056503438" localSheetId="13">#REF!</definedName>
    <definedName name="tm_2056503438">#REF!</definedName>
    <definedName name="tm_2056503439" localSheetId="13">#REF!</definedName>
    <definedName name="tm_2056503439">#REF!</definedName>
    <definedName name="tm_2056503453" localSheetId="13">#REF!</definedName>
    <definedName name="tm_2056503453">#REF!</definedName>
    <definedName name="tm_2056503454" localSheetId="13">#REF!</definedName>
    <definedName name="tm_2056503454">#REF!</definedName>
    <definedName name="tm_2056503492" localSheetId="13">#REF!</definedName>
    <definedName name="tm_2056503492">#REF!</definedName>
    <definedName name="tm_2056503493" localSheetId="13">#REF!</definedName>
    <definedName name="tm_2056503493">#REF!</definedName>
    <definedName name="tm_2056503494" localSheetId="13">#REF!</definedName>
    <definedName name="tm_2056503494">#REF!</definedName>
    <definedName name="tm_2056503495" localSheetId="13">#REF!</definedName>
    <definedName name="tm_2056503495">#REF!</definedName>
    <definedName name="tm_2056503504" localSheetId="13">#REF!</definedName>
    <definedName name="tm_2056503504">#REF!</definedName>
    <definedName name="tm_2057060474" localSheetId="13">#REF!</definedName>
    <definedName name="tm_2057060474">#REF!</definedName>
    <definedName name="tm_2057060482" localSheetId="13">#REF!</definedName>
    <definedName name="tm_2057060482">#REF!</definedName>
    <definedName name="tm_2122170451" localSheetId="13">#REF!</definedName>
    <definedName name="tm_2122170451">#REF!</definedName>
    <definedName name="tm_2122547203" localSheetId="13">#REF!</definedName>
    <definedName name="tm_2122547203">#REF!</definedName>
    <definedName name="tm_2122547204" localSheetId="13">#REF!</definedName>
    <definedName name="tm_2122547204">#REF!</definedName>
    <definedName name="tm_2122793001" localSheetId="13">#REF!</definedName>
    <definedName name="tm_2122793001">#REF!</definedName>
    <definedName name="tm_2122793002" localSheetId="13">#REF!</definedName>
    <definedName name="tm_2122793002">#REF!</definedName>
    <definedName name="tm_2122924090" localSheetId="13">#REF!</definedName>
    <definedName name="tm_2122924090">#REF!</definedName>
    <definedName name="tm_2122924091" localSheetId="13">#REF!</definedName>
    <definedName name="tm_2122924091">#REF!</definedName>
    <definedName name="tm_2123071502" localSheetId="13">#REF!</definedName>
    <definedName name="tm_2123071502">#REF!</definedName>
    <definedName name="tm_2123071503" localSheetId="13">#REF!</definedName>
    <definedName name="tm_2123071503">#REF!</definedName>
    <definedName name="tm_2123071518" localSheetId="13">#REF!</definedName>
    <definedName name="tm_2123071518">#REF!</definedName>
    <definedName name="tm_2123071519" localSheetId="13">#REF!</definedName>
    <definedName name="tm_2123071519">#REF!</definedName>
    <definedName name="tm_2123071547" localSheetId="13">#REF!</definedName>
    <definedName name="tm_2123071547">#REF!</definedName>
    <definedName name="tm_2123071548" localSheetId="13">#REF!</definedName>
    <definedName name="tm_2123071548">#REF!</definedName>
    <definedName name="tm_2123071554" localSheetId="13">#REF!</definedName>
    <definedName name="tm_2123071554">#REF!</definedName>
    <definedName name="tm_2123071555" localSheetId="13">#REF!</definedName>
    <definedName name="tm_2123071555">#REF!</definedName>
    <definedName name="tm_2123071605" localSheetId="13">#REF!</definedName>
    <definedName name="tm_2123071605">#REF!</definedName>
    <definedName name="tm_2123071606" localSheetId="13">#REF!</definedName>
    <definedName name="tm_2123071606">#REF!</definedName>
    <definedName name="tm_2123071609" localSheetId="13">#REF!</definedName>
    <definedName name="tm_2123071609">#REF!</definedName>
    <definedName name="tm_2123071610" localSheetId="13">#REF!</definedName>
    <definedName name="tm_2123071610">#REF!</definedName>
    <definedName name="tm_2123071613" localSheetId="13">#REF!</definedName>
    <definedName name="tm_2123071613">#REF!</definedName>
    <definedName name="tm_2123071614" localSheetId="13">#REF!</definedName>
    <definedName name="tm_2123071614">#REF!</definedName>
    <definedName name="tm_2123071647" localSheetId="13">#REF!</definedName>
    <definedName name="tm_2123071647">#REF!</definedName>
    <definedName name="tm_2123071648" localSheetId="13">#REF!</definedName>
    <definedName name="tm_2123071648">#REF!</definedName>
    <definedName name="tm_2123350093" localSheetId="13">#REF!</definedName>
    <definedName name="tm_2123350093">#REF!</definedName>
    <definedName name="tm_2123350094" localSheetId="13">#REF!</definedName>
    <definedName name="tm_2123350094">#REF!</definedName>
    <definedName name="tm_2123350138" localSheetId="13">#REF!</definedName>
    <definedName name="tm_2123350138">#REF!</definedName>
    <definedName name="tm_2123350139" localSheetId="13">#REF!</definedName>
    <definedName name="tm_2123350139">#REF!</definedName>
    <definedName name="tm_2123350151" localSheetId="13">#REF!</definedName>
    <definedName name="tm_2123350151">#REF!</definedName>
    <definedName name="tm_2123350152" localSheetId="13">#REF!</definedName>
    <definedName name="tm_2123350152">#REF!</definedName>
    <definedName name="tm_2123350157" localSheetId="13">#REF!</definedName>
    <definedName name="tm_2123350157">#REF!</definedName>
    <definedName name="tm_2123350158" localSheetId="13">#REF!</definedName>
    <definedName name="tm_2123350158">#REF!</definedName>
    <definedName name="tm_2123350162" localSheetId="13">#REF!</definedName>
    <definedName name="tm_2123350162">#REF!</definedName>
    <definedName name="tm_2123350163" localSheetId="13">#REF!</definedName>
    <definedName name="tm_2123350163">#REF!</definedName>
    <definedName name="tm_2123448340" localSheetId="13">#REF!</definedName>
    <definedName name="tm_2123448340">#REF!</definedName>
    <definedName name="tm_2123448341" localSheetId="13">#REF!</definedName>
    <definedName name="tm_2123448341">#REF!</definedName>
    <definedName name="tm_2123448353" localSheetId="13">#REF!</definedName>
    <definedName name="tm_2123448353">#REF!</definedName>
    <definedName name="tm_2123448354" localSheetId="13">#REF!</definedName>
    <definedName name="tm_2123448354">#REF!</definedName>
    <definedName name="tm_2123448367" localSheetId="13">#REF!</definedName>
    <definedName name="tm_2123448367">#REF!</definedName>
    <definedName name="tm_2123448368" localSheetId="13">#REF!</definedName>
    <definedName name="tm_2123448368">#REF!</definedName>
    <definedName name="tm_2123448374" localSheetId="13">#REF!</definedName>
    <definedName name="tm_2123448374">#REF!</definedName>
    <definedName name="tm_2123448375" localSheetId="13">#REF!</definedName>
    <definedName name="tm_2123448375">#REF!</definedName>
    <definedName name="tm_2123448383" localSheetId="13">#REF!</definedName>
    <definedName name="tm_2123448383">#REF!</definedName>
    <definedName name="tm_2123448384" localSheetId="13">#REF!</definedName>
    <definedName name="tm_2123448384">#REF!</definedName>
    <definedName name="tm_2123448449" localSheetId="13">#REF!</definedName>
    <definedName name="tm_2123448449">#REF!</definedName>
    <definedName name="tm_2123448450" localSheetId="13">#REF!</definedName>
    <definedName name="tm_2123448450">#REF!</definedName>
    <definedName name="tm_2123448469" localSheetId="13">#REF!</definedName>
    <definedName name="tm_2123448469">#REF!</definedName>
    <definedName name="tm_2123448470" localSheetId="13">#REF!</definedName>
    <definedName name="tm_2123448470">#REF!</definedName>
    <definedName name="tm_2123448471" localSheetId="13">#REF!</definedName>
    <definedName name="tm_2123448471">#REF!</definedName>
    <definedName name="tm_2123448472" localSheetId="13">#REF!</definedName>
    <definedName name="tm_2123448472">#REF!</definedName>
    <definedName name="tm_2123448484" localSheetId="13">#REF!</definedName>
    <definedName name="tm_2123448484">#REF!</definedName>
    <definedName name="tm_2123448485" localSheetId="13">#REF!</definedName>
    <definedName name="tm_2123448485">#REF!</definedName>
    <definedName name="tm_2123448491" localSheetId="13">#REF!</definedName>
    <definedName name="tm_2123448491">#REF!</definedName>
    <definedName name="tm_2123448492" localSheetId="13">#REF!</definedName>
    <definedName name="tm_2123448492">#REF!</definedName>
    <definedName name="tm_2123448504" localSheetId="13">#REF!</definedName>
    <definedName name="tm_2123448504">#REF!</definedName>
    <definedName name="tm_2123448505" localSheetId="13">#REF!</definedName>
    <definedName name="tm_2123448505">#REF!</definedName>
    <definedName name="tm_2123448515" localSheetId="13">#REF!</definedName>
    <definedName name="tm_2123448515">#REF!</definedName>
    <definedName name="tm_2123448516" localSheetId="13">#REF!</definedName>
    <definedName name="tm_2123448516">#REF!</definedName>
    <definedName name="tm_2123448527" localSheetId="13">#REF!</definedName>
    <definedName name="tm_2123448527">#REF!</definedName>
    <definedName name="tm_2123448528" localSheetId="13">#REF!</definedName>
    <definedName name="tm_2123448528">#REF!</definedName>
    <definedName name="tm_2123448543" localSheetId="13">#REF!</definedName>
    <definedName name="tm_2123448543">#REF!</definedName>
    <definedName name="tm_2123448544" localSheetId="13">#REF!</definedName>
    <definedName name="tm_2123448544">#REF!</definedName>
    <definedName name="tm_2123448548" localSheetId="13">#REF!</definedName>
    <definedName name="tm_2123448548">#REF!</definedName>
    <definedName name="tm_2123448549" localSheetId="13">#REF!</definedName>
    <definedName name="tm_2123448549">#REF!</definedName>
    <definedName name="tm_2123448560" localSheetId="13">#REF!</definedName>
    <definedName name="tm_2123448560">#REF!</definedName>
    <definedName name="tm_2123448561" localSheetId="13">#REF!</definedName>
    <definedName name="tm_2123448561">#REF!</definedName>
    <definedName name="tm_2123481110" localSheetId="13">#REF!</definedName>
    <definedName name="tm_2123481110">#REF!</definedName>
    <definedName name="tm_2123481111" localSheetId="13">#REF!</definedName>
    <definedName name="tm_2123481111">#REF!</definedName>
    <definedName name="tm_2123546693" localSheetId="13">#REF!</definedName>
    <definedName name="tm_2123546693">#REF!</definedName>
    <definedName name="tm_2123546694" localSheetId="13">#REF!</definedName>
    <definedName name="tm_2123546694">#REF!</definedName>
    <definedName name="tm_2123546698" localSheetId="13">#REF!</definedName>
    <definedName name="tm_2123546698">#REF!</definedName>
    <definedName name="tm_2123546699" localSheetId="13">#REF!</definedName>
    <definedName name="tm_2123546699">#REF!</definedName>
    <definedName name="tm_2123546704" localSheetId="13">#REF!</definedName>
    <definedName name="tm_2123546704">#REF!</definedName>
    <definedName name="tm_2123546705" localSheetId="13">#REF!</definedName>
    <definedName name="tm_2123546705">#REF!</definedName>
    <definedName name="tm_2123546733" localSheetId="13">#REF!</definedName>
    <definedName name="tm_2123546733">#REF!</definedName>
    <definedName name="tm_2123546734" localSheetId="13">#REF!</definedName>
    <definedName name="tm_2123546734">#REF!</definedName>
    <definedName name="tm_2123644966" localSheetId="13">#REF!</definedName>
    <definedName name="tm_2123644966">#REF!</definedName>
    <definedName name="tm_2123644967" localSheetId="13">#REF!</definedName>
    <definedName name="tm_2123644967">#REF!</definedName>
    <definedName name="tm_2123644980" localSheetId="13">#REF!</definedName>
    <definedName name="tm_2123644980">#REF!</definedName>
    <definedName name="tm_2123644981" localSheetId="13">#REF!</definedName>
    <definedName name="tm_2123644981">#REF!</definedName>
    <definedName name="tm_2123644984" localSheetId="13">#REF!</definedName>
    <definedName name="tm_2123644984">#REF!</definedName>
    <definedName name="tm_2123644985" localSheetId="13">#REF!</definedName>
    <definedName name="tm_2123644985">#REF!</definedName>
    <definedName name="tm_2123645107" localSheetId="13">#REF!</definedName>
    <definedName name="tm_2123645107">#REF!</definedName>
    <definedName name="tm_2123645108" localSheetId="13">#REF!</definedName>
    <definedName name="tm_2123645108">#REF!</definedName>
    <definedName name="tm_2123645121" localSheetId="13">#REF!</definedName>
    <definedName name="tm_2123645121">#REF!</definedName>
    <definedName name="tm_2123645122" localSheetId="13">#REF!</definedName>
    <definedName name="tm_2123645122">#REF!</definedName>
    <definedName name="tm_2123710529" localSheetId="13">#REF!</definedName>
    <definedName name="tm_2123710529">#REF!</definedName>
    <definedName name="tm_2123710530" localSheetId="13">#REF!</definedName>
    <definedName name="tm_2123710530">#REF!</definedName>
    <definedName name="tm_2123710741" localSheetId="13">#REF!</definedName>
    <definedName name="tm_2123710741">#REF!</definedName>
    <definedName name="tm_2123710742" localSheetId="13">#REF!</definedName>
    <definedName name="tm_2123710742">#REF!</definedName>
    <definedName name="tm_2124349452" localSheetId="13">#REF!</definedName>
    <definedName name="tm_2124349452">#REF!</definedName>
    <definedName name="tm_2189787147" localSheetId="13">#REF!</definedName>
    <definedName name="tm_2189787147">#REF!</definedName>
    <definedName name="tm_2727395332" localSheetId="13">#REF!</definedName>
    <definedName name="tm_2727395332">#REF!</definedName>
    <definedName name="tm_3597860889" localSheetId="13">#REF!</definedName>
    <definedName name="tm_3597860889">#REF!</definedName>
    <definedName name="tm_3597860896" localSheetId="13">#REF!</definedName>
    <definedName name="tm_3597860896">#REF!</definedName>
    <definedName name="tm_3597860897" localSheetId="13">#REF!</definedName>
    <definedName name="tm_3597860897">#REF!</definedName>
    <definedName name="tm_3598106633" localSheetId="13">'[3]NAO Cost of Capital Calc'!#REF!</definedName>
    <definedName name="tm_3598106633">'[3]NAO Cost of Capital Calc'!#REF!</definedName>
    <definedName name="tm_3598500169" localSheetId="13">'[3]NAO Cost of Capital Calc'!#REF!</definedName>
    <definedName name="tm_3598500169">'[3]NAO Cost of Capital Calc'!#REF!</definedName>
    <definedName name="tm_3598500200" localSheetId="13">'[3]NAO Cost of Capital Calc'!#REF!</definedName>
    <definedName name="tm_3598500200">'[3]NAO Cost of Capital Calc'!#REF!</definedName>
    <definedName name="tm_3598500201" localSheetId="13">'[3]NAO Cost of Capital Calc'!#REF!</definedName>
    <definedName name="tm_3598500201">'[3]NAO Cost of Capital Calc'!#REF!</definedName>
    <definedName name="tm_3598500204" localSheetId="13">'[3]NAO Cost of Capital Calc'!#REF!</definedName>
    <definedName name="tm_3598500204">'[3]NAO Cost of Capital Calc'!#REF!</definedName>
    <definedName name="tm_3598500205" localSheetId="13">'[3]NAO Cost of Capital Calc'!#REF!</definedName>
    <definedName name="tm_3598500205">'[3]NAO Cost of Capital Calc'!#REF!</definedName>
    <definedName name="tm_3799498760" localSheetId="13">#REF!</definedName>
    <definedName name="tm_3799498760">#REF!</definedName>
    <definedName name="tm_3799875596" localSheetId="13">#REF!</definedName>
    <definedName name="tm_3799875596">#REF!</definedName>
    <definedName name="tm_3930783810" localSheetId="13">#REF!</definedName>
    <definedName name="tm_3930783810">#REF!</definedName>
    <definedName name="tm_3931127862" localSheetId="13">#REF!</definedName>
    <definedName name="tm_3931127862">#REF!</definedName>
    <definedName name="tm_509460504" localSheetId="13">#REF!</definedName>
    <definedName name="tm_509460504">#REF!</definedName>
    <definedName name="tm_509460505" localSheetId="13">#REF!</definedName>
    <definedName name="tm_509460505">#REF!</definedName>
    <definedName name="tm_671273296" localSheetId="13">#REF!</definedName>
    <definedName name="tm_671273296">#REF!</definedName>
    <definedName name="tm_709083137" localSheetId="13">#REF!</definedName>
    <definedName name="tm_709083137">#REF!</definedName>
    <definedName name="tm_709738581" localSheetId="13">#REF!</definedName>
    <definedName name="tm_709738581">#REF!</definedName>
    <definedName name="tm_711131158" localSheetId="13">#REF!</definedName>
    <definedName name="tm_711131158">#REF!</definedName>
    <definedName name="tm_711131163" localSheetId="13">#REF!</definedName>
    <definedName name="tm_711131163">#REF!</definedName>
    <definedName name="tm_711131167" localSheetId="13">#REF!</definedName>
    <definedName name="tm_711131167">#REF!</definedName>
    <definedName name="tm_975470853" localSheetId="13">#REF!</definedName>
    <definedName name="tm_975470853">#REF!</definedName>
    <definedName name="tmp">'[27]Bubble Chart'!$AL$35:$AO$50</definedName>
    <definedName name="toolong" localSheetId="13">[16]MALES!#REF!</definedName>
    <definedName name="toolong">[16]MALES!#REF!</definedName>
    <definedName name="topslicing9697">[53]WORKSHEET!$B$5</definedName>
    <definedName name="topslicing9697rev">[53]WORKSHEET!$C$5</definedName>
    <definedName name="topslicing9798">[53]WORKSHEET!$D$5</definedName>
    <definedName name="Training_WF" localSheetId="13">#REF!</definedName>
    <definedName name="Training_WF">#REF!</definedName>
    <definedName name="TRHA">'[42]#REF'!$A$2:$B$579</definedName>
    <definedName name="Trusts">'[42]#REF'!$A$1:$E$562</definedName>
    <definedName name="Trusts0001">'[42]#REF'!$A$2:$E$356</definedName>
    <definedName name="tSHAs" localSheetId="13">#REF!</definedName>
    <definedName name="tSHAs">#REF!</definedName>
    <definedName name="tval7">'[23]Event 12 with ERO changes'!$X$3:$X$2000</definedName>
    <definedName name="tval8">'[23]Event 12 with ERO changes'!$Y$3:$Y$2000</definedName>
    <definedName name="tval9">'[23]Event 12 with ERO changes'!$Z$3:$Z$2000</definedName>
    <definedName name="UnAdjusted_MFFs" localSheetId="13">#REF!</definedName>
    <definedName name="UnAdjusted_MFFs">#REF!</definedName>
    <definedName name="Unique">[21]Unique!$D$1:$D$65536</definedName>
    <definedName name="units">[81]Global!$J$64</definedName>
    <definedName name="unknown" localSheetId="13">'[14]By CC'!#REF!</definedName>
    <definedName name="unknown">'[14]By CC'!#REF!</definedName>
    <definedName name="user_name" localSheetId="13">[82]Report!#REF!</definedName>
    <definedName name="user_name">[82]Report!#REF!</definedName>
    <definedName name="Username" localSheetId="13">#REF!</definedName>
    <definedName name="Username">#REF!</definedName>
    <definedName name="ut" localSheetId="13">#REF!</definedName>
    <definedName name="ut">#REF!</definedName>
    <definedName name="V_Contact_List" localSheetId="13">#REF!</definedName>
    <definedName name="V_Contact_List">#REF!</definedName>
    <definedName name="Vaccine_Tracking_Databa" localSheetId="13">'[14]By CC'!#REF!</definedName>
    <definedName name="Vaccine_Tracking_Databa">'[14]By CC'!#REF!</definedName>
    <definedName name="Validation_Class">5</definedName>
    <definedName name="Validation_Comparison">8</definedName>
    <definedName name="Validation_Constant">14</definedName>
    <definedName name="Validation_FormGroup">1</definedName>
    <definedName name="Validation_FormNumber">2</definedName>
    <definedName name="Validation_ObjCoefficient">14</definedName>
    <definedName name="Validation_ObjConstant">15</definedName>
    <definedName name="Validation_ObjFormGroup">10</definedName>
    <definedName name="Validation_ObjFormNumber">11</definedName>
    <definedName name="Validation_Operator">9</definedName>
    <definedName name="Validation_RuleComponent">7</definedName>
    <definedName name="Validation_RuleNumber">6</definedName>
    <definedName name="vallu" localSheetId="13">#REF!</definedName>
    <definedName name="vallu">#REF!</definedName>
    <definedName name="Vol" localSheetId="13">#REF!</definedName>
    <definedName name="Vol">#REF!</definedName>
    <definedName name="VSA05_01_DATA" localSheetId="13">#REF!</definedName>
    <definedName name="VSA05_01_DATA">#REF!</definedName>
    <definedName name="VSA05_01_PLAN" localSheetId="13">#REF!</definedName>
    <definedName name="VSA05_01_PLAN">#REF!</definedName>
    <definedName name="VSA05_02_DATA" localSheetId="13">#REF!</definedName>
    <definedName name="VSA05_02_DATA">#REF!</definedName>
    <definedName name="VSA05_02_PLAN" localSheetId="13">#REF!</definedName>
    <definedName name="VSA05_02_PLAN">#REF!</definedName>
    <definedName name="WeightPop1" localSheetId="13">#REF!</definedName>
    <definedName name="WeightPop1">#REF!</definedName>
    <definedName name="WeightPop2" localSheetId="13">#REF!</definedName>
    <definedName name="WeightPop2">#REF!</definedName>
    <definedName name="WeightPop3" localSheetId="13">#REF!</definedName>
    <definedName name="WeightPop3">#REF!</definedName>
    <definedName name="wert" hidden="1">{"GROSS",#N/A,FALSE,"401C11"}</definedName>
    <definedName name="WF_Assumptioncheck">'[7]Interactive WF input'!$B$22</definedName>
    <definedName name="WFproj_first_cell">'[7]Baseline &amp; default assumptions'!$L$6</definedName>
    <definedName name="WFproj_name1">'[49]Baseline WF scenarios'!$B$5</definedName>
    <definedName name="Winter_Cash" localSheetId="13">'[76]changes against budgets'!#REF!</definedName>
    <definedName name="Winter_Cash">'[76]changes against budgets'!#REF!</definedName>
    <definedName name="Winter_Final" localSheetId="13">'[76]changes against budgets'!#REF!</definedName>
    <definedName name="Winter_Final">'[76]changes against budgets'!#REF!</definedName>
    <definedName name="Winter_OCL" localSheetId="13">'[76]changes against budgets'!#REF!</definedName>
    <definedName name="Winter_OCL">'[76]changes against budgets'!#REF!</definedName>
    <definedName name="Winter_Taken" localSheetId="13">'[76]changes against budgets'!#REF!</definedName>
    <definedName name="Winter_Taken">'[76]changes against budgets'!#REF!</definedName>
    <definedName name="Winter_Variation" localSheetId="13">'[76]changes against budgets'!#REF!</definedName>
    <definedName name="Winter_Variation">'[76]changes against budgets'!#REF!</definedName>
    <definedName name="wombat" localSheetId="13" hidden="1">#REF!</definedName>
    <definedName name="wombat" hidden="1">#REF!</definedName>
    <definedName name="wrn.CHARGE." hidden="1">{"CHARGE",#N/A,FALSE,"401C11"}</definedName>
    <definedName name="wrn.GROSS." hidden="1">{"GROSS",#N/A,FALSE,"401C11"}</definedName>
    <definedName name="wrn.NET." hidden="1">{"NET",#N/A,FALSE,"401C11"}</definedName>
    <definedName name="WW" localSheetId="13">#REF!</definedName>
    <definedName name="WW">#REF!</definedName>
    <definedName name="x" localSheetId="13">#REF!</definedName>
    <definedName name="x" localSheetId="0">#REF!</definedName>
    <definedName name="x" localSheetId="21">#REF!</definedName>
    <definedName name="x" localSheetId="1">#REF!</definedName>
    <definedName name="x" localSheetId="23">#REF!</definedName>
    <definedName name="x" localSheetId="24">#REF!</definedName>
    <definedName name="x" localSheetId="8">#REF!</definedName>
    <definedName name="x">#REF!</definedName>
    <definedName name="xxx" hidden="1">{"CHARGE",#N/A,FALSE,"401C11"}</definedName>
    <definedName name="xyz" localSheetId="13">#REF!</definedName>
    <definedName name="xyz">#REF!</definedName>
    <definedName name="Y_N">'[83]Management practices'!$D$109:$D$110</definedName>
    <definedName name="YTDACTUAL" localSheetId="13">#REF!</definedName>
    <definedName name="YTDACTUAL">#REF!</definedName>
    <definedName name="YTDPLAN" localSheetId="13">#REF!</definedName>
    <definedName name="YTDPLAN">#REF!</definedName>
    <definedName name="yyy" hidden="1">{"GROSS",#N/A,FALSE,"401C11"}</definedName>
    <definedName name="zzz" hidden="1">{"NET",#N/A,FALSE,"401C11"}</definedName>
  </definedNames>
  <calcPr calcId="145621"/>
</workbook>
</file>

<file path=xl/calcChain.xml><?xml version="1.0" encoding="utf-8"?>
<calcChain xmlns="http://schemas.openxmlformats.org/spreadsheetml/2006/main">
  <c r="BV6" i="64" l="1"/>
  <c r="BV7" i="64"/>
  <c r="BV8" i="64"/>
  <c r="BV9" i="64"/>
  <c r="BV10" i="64"/>
  <c r="BV11" i="64"/>
  <c r="BV12" i="64"/>
  <c r="BV13" i="64"/>
  <c r="BV14" i="64"/>
  <c r="BV15" i="64"/>
  <c r="BV16" i="64"/>
  <c r="BV17" i="64"/>
  <c r="BV18" i="64"/>
  <c r="BV19" i="64"/>
  <c r="BV20" i="64"/>
  <c r="BV21" i="64"/>
  <c r="BV22" i="64"/>
  <c r="BV23" i="64"/>
  <c r="BV24" i="64"/>
  <c r="BV25" i="64"/>
  <c r="BV26" i="64"/>
  <c r="BV27" i="64"/>
  <c r="BV28" i="64"/>
  <c r="BV29" i="64"/>
  <c r="BV30" i="64"/>
  <c r="BV31" i="64"/>
  <c r="BV32" i="64"/>
  <c r="BV33" i="64"/>
  <c r="BV34" i="64"/>
  <c r="BV35" i="64"/>
  <c r="BV36" i="64"/>
  <c r="BV37" i="64"/>
  <c r="BV38" i="64"/>
  <c r="BV39" i="64"/>
  <c r="BV40" i="64"/>
  <c r="BV41" i="64"/>
  <c r="BV42" i="64"/>
  <c r="BV43" i="64"/>
  <c r="BV44" i="64"/>
  <c r="BV45" i="64"/>
  <c r="BV46" i="64"/>
  <c r="BV47" i="64"/>
  <c r="BV48" i="64"/>
  <c r="BV49" i="64"/>
  <c r="BV50" i="64"/>
  <c r="BV51" i="64"/>
  <c r="BV52" i="64"/>
  <c r="BV53" i="64"/>
  <c r="BV54" i="64"/>
  <c r="BV55" i="64"/>
  <c r="BV56" i="64"/>
  <c r="BV57" i="64"/>
  <c r="BV58" i="64"/>
  <c r="BV59" i="64"/>
  <c r="BV60" i="64"/>
  <c r="BV61" i="64"/>
  <c r="BV62" i="64"/>
  <c r="BV63" i="64"/>
  <c r="BV64" i="64"/>
  <c r="BV65" i="64"/>
  <c r="BW65" i="64" l="1"/>
  <c r="BW64" i="64"/>
  <c r="BW63" i="64"/>
  <c r="BW62" i="64"/>
  <c r="BW61" i="64"/>
  <c r="BW60" i="64"/>
  <c r="BW59" i="64"/>
  <c r="BW58" i="64"/>
  <c r="BW57" i="64"/>
  <c r="BW56" i="64"/>
  <c r="BW55" i="64"/>
  <c r="BW54" i="64"/>
  <c r="BW53" i="64"/>
  <c r="BW52" i="64"/>
  <c r="BW51" i="64"/>
  <c r="BW50" i="64"/>
  <c r="BW49" i="64"/>
  <c r="BW48" i="64"/>
  <c r="BW47" i="64"/>
  <c r="BW46" i="64"/>
  <c r="BW45" i="64"/>
  <c r="BW44" i="64"/>
  <c r="BW43" i="64"/>
  <c r="BW42" i="64"/>
  <c r="BW41" i="64"/>
  <c r="BW40" i="64"/>
  <c r="BW39" i="64"/>
  <c r="BW38" i="64"/>
  <c r="BW37" i="64"/>
  <c r="BW36" i="64"/>
  <c r="BW35" i="64"/>
  <c r="BW34" i="64"/>
  <c r="BW33" i="64"/>
  <c r="BW20" i="64"/>
  <c r="AR33" i="64"/>
  <c r="AQ33" i="64"/>
  <c r="AP33" i="64"/>
  <c r="AO33" i="64"/>
  <c r="AR32" i="64"/>
  <c r="AQ32" i="64"/>
  <c r="AP32" i="64"/>
  <c r="U145" i="58"/>
  <c r="T145" i="58"/>
  <c r="S145" i="58"/>
  <c r="R145" i="58"/>
  <c r="U144" i="58"/>
  <c r="T144" i="58"/>
  <c r="S144" i="58"/>
  <c r="R144" i="58"/>
  <c r="U143" i="58"/>
  <c r="T143" i="58"/>
  <c r="S143" i="58"/>
  <c r="R143" i="58"/>
  <c r="U142" i="58"/>
  <c r="T142" i="58"/>
  <c r="S142" i="58"/>
  <c r="R142" i="58"/>
  <c r="U141" i="58"/>
  <c r="T141" i="58"/>
  <c r="S141" i="58"/>
  <c r="R141" i="58"/>
  <c r="U140" i="58"/>
  <c r="T140" i="58"/>
  <c r="S140" i="58"/>
  <c r="R140" i="58"/>
  <c r="U139" i="58"/>
  <c r="T139" i="58"/>
  <c r="S139" i="58"/>
  <c r="R139" i="58"/>
  <c r="U138" i="58"/>
  <c r="T138" i="58"/>
  <c r="S138" i="58"/>
  <c r="R138" i="58"/>
  <c r="U137" i="58"/>
  <c r="T137" i="58"/>
  <c r="S137" i="58"/>
  <c r="R137" i="58"/>
  <c r="U136" i="58"/>
  <c r="T136" i="58"/>
  <c r="S136" i="58"/>
  <c r="R136" i="58"/>
  <c r="U135" i="58"/>
  <c r="T135" i="58"/>
  <c r="S135" i="58"/>
  <c r="R135" i="58"/>
  <c r="U134" i="58"/>
  <c r="T134" i="58"/>
  <c r="S134" i="58"/>
  <c r="R134" i="58"/>
  <c r="U133" i="58"/>
  <c r="T133" i="58"/>
  <c r="S133" i="58"/>
  <c r="R133" i="58"/>
  <c r="U132" i="58"/>
  <c r="T132" i="58"/>
  <c r="S132" i="58"/>
  <c r="R132" i="58"/>
  <c r="U131" i="58"/>
  <c r="T131" i="58"/>
  <c r="S131" i="58"/>
  <c r="R131" i="58"/>
  <c r="U130" i="58"/>
  <c r="T130" i="58"/>
  <c r="S130" i="58"/>
  <c r="R130" i="58"/>
  <c r="U129" i="58"/>
  <c r="T129" i="58"/>
  <c r="S129" i="58"/>
  <c r="R129" i="58"/>
  <c r="U128" i="58"/>
  <c r="T128" i="58"/>
  <c r="S128" i="58"/>
  <c r="R128" i="58"/>
  <c r="U127" i="58"/>
  <c r="T127" i="58"/>
  <c r="S127" i="58"/>
  <c r="R127" i="58"/>
  <c r="U126" i="58"/>
  <c r="T126" i="58"/>
  <c r="S126" i="58"/>
  <c r="R126" i="58"/>
  <c r="U125" i="58"/>
  <c r="T125" i="58"/>
  <c r="S125" i="58"/>
  <c r="R125" i="58"/>
  <c r="U124" i="58"/>
  <c r="T124" i="58"/>
  <c r="S124" i="58"/>
  <c r="R124" i="58"/>
  <c r="U123" i="58"/>
  <c r="T123" i="58"/>
  <c r="S123" i="58"/>
  <c r="R123" i="58"/>
  <c r="U122" i="58"/>
  <c r="T122" i="58"/>
  <c r="S122" i="58"/>
  <c r="R122" i="58"/>
  <c r="U121" i="58"/>
  <c r="T121" i="58"/>
  <c r="S121" i="58"/>
  <c r="R121" i="58"/>
  <c r="U120" i="58"/>
  <c r="T120" i="58"/>
  <c r="S120" i="58"/>
  <c r="R120" i="58"/>
  <c r="U119" i="58"/>
  <c r="T119" i="58"/>
  <c r="S119" i="58"/>
  <c r="R119" i="58"/>
  <c r="U118" i="58"/>
  <c r="T118" i="58"/>
  <c r="S118" i="58"/>
  <c r="R118" i="58"/>
  <c r="U117" i="58"/>
  <c r="T117" i="58"/>
  <c r="S117" i="58"/>
  <c r="R117" i="58"/>
  <c r="U116" i="58"/>
  <c r="T116" i="58"/>
  <c r="S116" i="58"/>
  <c r="R116" i="58"/>
  <c r="U115" i="58"/>
  <c r="T115" i="58"/>
  <c r="S115" i="58"/>
  <c r="R115" i="58"/>
  <c r="U114" i="58"/>
  <c r="T114" i="58"/>
  <c r="S114" i="58"/>
  <c r="R114" i="58"/>
  <c r="U113" i="58"/>
  <c r="T113" i="58"/>
  <c r="S113" i="58"/>
  <c r="R113" i="58"/>
  <c r="U112" i="58"/>
  <c r="T112" i="58"/>
  <c r="S112" i="58"/>
  <c r="R112" i="58"/>
  <c r="U111" i="58"/>
  <c r="T111" i="58"/>
  <c r="S111" i="58"/>
  <c r="R111" i="58"/>
  <c r="U110" i="58"/>
  <c r="T110" i="58"/>
  <c r="S110" i="58"/>
  <c r="R110" i="58"/>
  <c r="U109" i="58"/>
  <c r="T109" i="58"/>
  <c r="S109" i="58"/>
  <c r="R109" i="58"/>
  <c r="U108" i="58"/>
  <c r="T108" i="58"/>
  <c r="S108" i="58"/>
  <c r="R108" i="58"/>
  <c r="U107" i="58"/>
  <c r="T107" i="58"/>
  <c r="S107" i="58"/>
  <c r="R107" i="58"/>
  <c r="U106" i="58"/>
  <c r="T106" i="58"/>
  <c r="S106" i="58"/>
  <c r="R106" i="58"/>
  <c r="U105" i="58"/>
  <c r="T105" i="58"/>
  <c r="S105" i="58"/>
  <c r="R105" i="58"/>
  <c r="U104" i="58"/>
  <c r="T104" i="58"/>
  <c r="S104" i="58"/>
  <c r="R104" i="58"/>
  <c r="U103" i="58"/>
  <c r="T103" i="58"/>
  <c r="S103" i="58"/>
  <c r="R103" i="58"/>
  <c r="U102" i="58"/>
  <c r="T102" i="58"/>
  <c r="S102" i="58"/>
  <c r="R102" i="58"/>
  <c r="U101" i="58"/>
  <c r="T101" i="58"/>
  <c r="S101" i="58"/>
  <c r="R101" i="58"/>
  <c r="U100" i="58"/>
  <c r="T100" i="58"/>
  <c r="S100" i="58"/>
  <c r="R100" i="58"/>
  <c r="U99" i="58"/>
  <c r="T99" i="58"/>
  <c r="S99" i="58"/>
  <c r="R99" i="58"/>
  <c r="U98" i="58"/>
  <c r="T98" i="58"/>
  <c r="S98" i="58"/>
  <c r="R98" i="58"/>
  <c r="U97" i="58"/>
  <c r="T97" i="58"/>
  <c r="S97" i="58"/>
  <c r="R97" i="58"/>
  <c r="U96" i="58"/>
  <c r="T96" i="58"/>
  <c r="S96" i="58"/>
  <c r="R96" i="58"/>
  <c r="U95" i="58"/>
  <c r="T95" i="58"/>
  <c r="S95" i="58"/>
  <c r="R95" i="58"/>
  <c r="U94" i="58"/>
  <c r="T94" i="58"/>
  <c r="S94" i="58"/>
  <c r="R94" i="58"/>
  <c r="U93" i="58"/>
  <c r="T93" i="58"/>
  <c r="S93" i="58"/>
  <c r="R93" i="58"/>
  <c r="U92" i="58"/>
  <c r="T92" i="58"/>
  <c r="S92" i="58"/>
  <c r="R92" i="58"/>
  <c r="U91" i="58"/>
  <c r="T91" i="58"/>
  <c r="S91" i="58"/>
  <c r="R91" i="58"/>
  <c r="U90" i="58"/>
  <c r="T90" i="58"/>
  <c r="S90" i="58"/>
  <c r="R90" i="58"/>
  <c r="U89" i="58"/>
  <c r="T89" i="58"/>
  <c r="S89" i="58"/>
  <c r="R89" i="58"/>
  <c r="U88" i="58"/>
  <c r="T88" i="58"/>
  <c r="S88" i="58"/>
  <c r="R88" i="58"/>
  <c r="U87" i="58"/>
  <c r="T87" i="58"/>
  <c r="S87" i="58"/>
  <c r="R87" i="58"/>
  <c r="U86" i="58"/>
  <c r="T86" i="58"/>
  <c r="S86" i="58"/>
  <c r="R86" i="58"/>
  <c r="U85" i="58"/>
  <c r="T85" i="58"/>
  <c r="S85" i="58"/>
  <c r="R85" i="58"/>
  <c r="U84" i="58"/>
  <c r="T84" i="58"/>
  <c r="S84" i="58"/>
  <c r="R84" i="58"/>
  <c r="U83" i="58"/>
  <c r="T83" i="58"/>
  <c r="S83" i="58"/>
  <c r="R83" i="58"/>
  <c r="U82" i="58"/>
  <c r="T82" i="58"/>
  <c r="S82" i="58"/>
  <c r="R82" i="58"/>
  <c r="U81" i="58"/>
  <c r="T81" i="58"/>
  <c r="S81" i="58"/>
  <c r="R81" i="58"/>
  <c r="U80" i="58"/>
  <c r="T80" i="58"/>
  <c r="S80" i="58"/>
  <c r="R80" i="58"/>
  <c r="U79" i="58"/>
  <c r="T79" i="58"/>
  <c r="S79" i="58"/>
  <c r="R79" i="58"/>
  <c r="U78" i="58"/>
  <c r="T78" i="58"/>
  <c r="S78" i="58"/>
  <c r="R78" i="58"/>
  <c r="U77" i="58"/>
  <c r="T77" i="58"/>
  <c r="S77" i="58"/>
  <c r="R77" i="58"/>
  <c r="U76" i="58"/>
  <c r="T76" i="58"/>
  <c r="S76" i="58"/>
  <c r="R76" i="58"/>
  <c r="U75" i="58"/>
  <c r="T75" i="58"/>
  <c r="S75" i="58"/>
  <c r="R75" i="58"/>
  <c r="U74" i="58"/>
  <c r="T74" i="58"/>
  <c r="S74" i="58"/>
  <c r="R74" i="58"/>
  <c r="U73" i="58"/>
  <c r="T73" i="58"/>
  <c r="S73" i="58"/>
  <c r="R73" i="58"/>
  <c r="U72" i="58"/>
  <c r="T72" i="58"/>
  <c r="S72" i="58"/>
  <c r="R72" i="58"/>
  <c r="U71" i="58"/>
  <c r="T71" i="58"/>
  <c r="S71" i="58"/>
  <c r="R71" i="58"/>
  <c r="U70" i="58"/>
  <c r="T70" i="58"/>
  <c r="S70" i="58"/>
  <c r="R70" i="58"/>
  <c r="U69" i="58"/>
  <c r="T69" i="58"/>
  <c r="S69" i="58"/>
  <c r="R69" i="58"/>
  <c r="U68" i="58"/>
  <c r="T68" i="58"/>
  <c r="S68" i="58"/>
  <c r="R68" i="58"/>
  <c r="U67" i="58"/>
  <c r="T67" i="58"/>
  <c r="S67" i="58"/>
  <c r="R67" i="58"/>
  <c r="U66" i="58"/>
  <c r="T66" i="58"/>
  <c r="S66" i="58"/>
  <c r="R66" i="58"/>
  <c r="U65" i="58"/>
  <c r="T65" i="58"/>
  <c r="S65" i="58"/>
  <c r="R65" i="58"/>
  <c r="U64" i="58"/>
  <c r="T64" i="58"/>
  <c r="S64" i="58"/>
  <c r="R64" i="58"/>
  <c r="U63" i="58"/>
  <c r="T63" i="58"/>
  <c r="S63" i="58"/>
  <c r="R63" i="58"/>
  <c r="U62" i="58"/>
  <c r="T62" i="58"/>
  <c r="S62" i="58"/>
  <c r="R62" i="58"/>
  <c r="U61" i="58"/>
  <c r="T61" i="58"/>
  <c r="S61" i="58"/>
  <c r="R61" i="58"/>
  <c r="U60" i="58"/>
  <c r="T60" i="58"/>
  <c r="S60" i="58"/>
  <c r="R60" i="58"/>
  <c r="U59" i="58"/>
  <c r="T59" i="58"/>
  <c r="S59" i="58"/>
  <c r="R59" i="58"/>
  <c r="U58" i="58"/>
  <c r="T58" i="58"/>
  <c r="S58" i="58"/>
  <c r="R58" i="58"/>
  <c r="U57" i="58"/>
  <c r="T57" i="58"/>
  <c r="S57" i="58"/>
  <c r="R57" i="58"/>
  <c r="U56" i="58"/>
  <c r="T56" i="58"/>
  <c r="S56" i="58"/>
  <c r="R56" i="58"/>
  <c r="U55" i="58"/>
  <c r="T55" i="58"/>
  <c r="S55" i="58"/>
  <c r="R55" i="58"/>
  <c r="U54" i="58"/>
  <c r="T54" i="58"/>
  <c r="S54" i="58"/>
  <c r="R54" i="58"/>
  <c r="U53" i="58"/>
  <c r="T53" i="58"/>
  <c r="S53" i="58"/>
  <c r="R53" i="58"/>
  <c r="U52" i="58"/>
  <c r="T52" i="58"/>
  <c r="S52" i="58"/>
  <c r="R52" i="58"/>
  <c r="U51" i="58"/>
  <c r="T51" i="58"/>
  <c r="S51" i="58"/>
  <c r="R51" i="58"/>
  <c r="U50" i="58"/>
  <c r="T50" i="58"/>
  <c r="S50" i="58"/>
  <c r="R50" i="58"/>
  <c r="U49" i="58"/>
  <c r="T49" i="58"/>
  <c r="S49" i="58"/>
  <c r="R49" i="58"/>
  <c r="U48" i="58"/>
  <c r="T48" i="58"/>
  <c r="S48" i="58"/>
  <c r="R48" i="58"/>
  <c r="U47" i="58"/>
  <c r="T47" i="58"/>
  <c r="S47" i="58"/>
  <c r="R47" i="58"/>
  <c r="U46" i="58"/>
  <c r="T46" i="58"/>
  <c r="S46" i="58"/>
  <c r="R46" i="58"/>
  <c r="U45" i="58"/>
  <c r="T45" i="58"/>
  <c r="S45" i="58"/>
  <c r="R45" i="58"/>
  <c r="U44" i="58"/>
  <c r="T44" i="58"/>
  <c r="S44" i="58"/>
  <c r="R44" i="58"/>
  <c r="U43" i="58"/>
  <c r="T43" i="58"/>
  <c r="S43" i="58"/>
  <c r="R43" i="58"/>
  <c r="U42" i="58"/>
  <c r="T42" i="58"/>
  <c r="S42" i="58"/>
  <c r="R42" i="58"/>
  <c r="U41" i="58"/>
  <c r="T41" i="58"/>
  <c r="S41" i="58"/>
  <c r="R41" i="58"/>
  <c r="U40" i="58"/>
  <c r="T40" i="58"/>
  <c r="S40" i="58"/>
  <c r="R40" i="58"/>
  <c r="U39" i="58"/>
  <c r="T39" i="58"/>
  <c r="S39" i="58"/>
  <c r="R39" i="58"/>
  <c r="U38" i="58"/>
  <c r="T38" i="58"/>
  <c r="S38" i="58"/>
  <c r="R38" i="58"/>
  <c r="U37" i="58"/>
  <c r="T37" i="58"/>
  <c r="S37" i="58"/>
  <c r="R37" i="58"/>
  <c r="U36" i="58"/>
  <c r="T36" i="58"/>
  <c r="S36" i="58"/>
  <c r="R36" i="58"/>
  <c r="U35" i="58"/>
  <c r="T35" i="58"/>
  <c r="S35" i="58"/>
  <c r="R35" i="58"/>
  <c r="U34" i="58"/>
  <c r="T34" i="58"/>
  <c r="S34" i="58"/>
  <c r="R34" i="58"/>
  <c r="U33" i="58"/>
  <c r="T33" i="58"/>
  <c r="S33" i="58"/>
  <c r="R33" i="58"/>
  <c r="U32" i="58"/>
  <c r="T32" i="58"/>
  <c r="S32" i="58"/>
  <c r="R32" i="58"/>
  <c r="U31" i="58"/>
  <c r="T31" i="58"/>
  <c r="S31" i="58"/>
  <c r="R31" i="58"/>
  <c r="U30" i="58"/>
  <c r="T30" i="58"/>
  <c r="S30" i="58"/>
  <c r="R30" i="58"/>
  <c r="U29" i="58"/>
  <c r="T29" i="58"/>
  <c r="S29" i="58"/>
  <c r="R29" i="58"/>
  <c r="U28" i="58"/>
  <c r="T28" i="58"/>
  <c r="S28" i="58"/>
  <c r="R28" i="58"/>
  <c r="U27" i="58"/>
  <c r="T27" i="58"/>
  <c r="S27" i="58"/>
  <c r="R27" i="58"/>
  <c r="U26" i="58"/>
  <c r="T26" i="58"/>
  <c r="S26" i="58"/>
  <c r="R26" i="58"/>
  <c r="U25" i="58"/>
  <c r="T25" i="58"/>
  <c r="S25" i="58"/>
  <c r="R25" i="58"/>
  <c r="U24" i="58"/>
  <c r="T24" i="58"/>
  <c r="S24" i="58"/>
  <c r="R24" i="58"/>
  <c r="U23" i="58"/>
  <c r="T23" i="58"/>
  <c r="S23" i="58"/>
  <c r="R23" i="58"/>
  <c r="U22" i="58"/>
  <c r="T22" i="58"/>
  <c r="S22" i="58"/>
  <c r="R22" i="58"/>
  <c r="U21" i="58"/>
  <c r="T21" i="58"/>
  <c r="S21" i="58"/>
  <c r="R21" i="58"/>
  <c r="U20" i="58"/>
  <c r="T20" i="58"/>
  <c r="S20" i="58"/>
  <c r="R20" i="58"/>
  <c r="U19" i="58"/>
  <c r="T19" i="58"/>
  <c r="S19" i="58"/>
  <c r="R19" i="58"/>
  <c r="U18" i="58"/>
  <c r="T18" i="58"/>
  <c r="S18" i="58"/>
  <c r="R18" i="58"/>
  <c r="U17" i="58"/>
  <c r="T17" i="58"/>
  <c r="S17" i="58"/>
  <c r="R17" i="58"/>
  <c r="U16" i="58"/>
  <c r="T16" i="58"/>
  <c r="S16" i="58"/>
  <c r="R16" i="58"/>
  <c r="U15" i="58"/>
  <c r="T15" i="58"/>
  <c r="S15" i="58"/>
  <c r="R15" i="58"/>
  <c r="U14" i="58"/>
  <c r="T14" i="58"/>
  <c r="S14" i="58"/>
  <c r="R14" i="58"/>
  <c r="U13" i="58"/>
  <c r="T13" i="58"/>
  <c r="S13" i="58"/>
  <c r="R13" i="58"/>
  <c r="U12" i="58"/>
  <c r="T12" i="58"/>
  <c r="S12" i="58"/>
  <c r="R12" i="58"/>
  <c r="U11" i="58"/>
  <c r="T11" i="58"/>
  <c r="S11" i="58"/>
  <c r="R11" i="58"/>
  <c r="U10" i="58"/>
  <c r="T10" i="58"/>
  <c r="S10" i="58"/>
  <c r="R10" i="58"/>
  <c r="A62" i="125" l="1"/>
  <c r="A61" i="125"/>
  <c r="A60" i="125"/>
  <c r="A59" i="125"/>
  <c r="A58" i="125"/>
  <c r="A57" i="125"/>
  <c r="A56" i="125"/>
  <c r="A55" i="125"/>
  <c r="A54" i="125"/>
  <c r="A53" i="125"/>
  <c r="A52" i="125"/>
  <c r="A51" i="125"/>
  <c r="A50" i="125"/>
  <c r="A49" i="125"/>
  <c r="A48" i="125"/>
  <c r="A47" i="125"/>
  <c r="A46" i="125"/>
  <c r="A45" i="125"/>
  <c r="A44" i="125"/>
  <c r="A43" i="125"/>
  <c r="A42" i="125"/>
  <c r="A41" i="125"/>
  <c r="A40" i="125"/>
  <c r="A39" i="125"/>
  <c r="A38" i="125"/>
  <c r="A37" i="125"/>
  <c r="A36" i="125"/>
  <c r="A35" i="125"/>
  <c r="A34" i="125"/>
  <c r="A33" i="125"/>
  <c r="A32" i="125"/>
  <c r="A31" i="125"/>
  <c r="A30" i="125"/>
  <c r="A29" i="125"/>
  <c r="A28" i="125"/>
  <c r="A27" i="125"/>
  <c r="A26" i="125"/>
  <c r="A25" i="125"/>
  <c r="A24" i="125"/>
  <c r="A23" i="125"/>
  <c r="A22" i="125"/>
  <c r="A21" i="125"/>
  <c r="A20" i="125"/>
  <c r="A19" i="125"/>
  <c r="A18" i="125"/>
  <c r="A17" i="125"/>
  <c r="A16" i="125"/>
  <c r="A15" i="125"/>
  <c r="A14" i="125"/>
  <c r="A13" i="125"/>
  <c r="A12" i="125"/>
  <c r="A11" i="125"/>
  <c r="A10" i="125"/>
  <c r="A9" i="125"/>
  <c r="A8" i="125"/>
  <c r="A7" i="125"/>
  <c r="A6" i="125"/>
  <c r="A5" i="125"/>
  <c r="A4" i="125"/>
  <c r="A3" i="125"/>
  <c r="B62" i="125"/>
  <c r="B61" i="125"/>
  <c r="B60" i="125"/>
  <c r="B59" i="125"/>
  <c r="B58" i="125"/>
  <c r="B57" i="125"/>
  <c r="B56" i="125"/>
  <c r="B55" i="125"/>
  <c r="B54" i="125"/>
  <c r="B53" i="125"/>
  <c r="B52" i="125"/>
  <c r="B51" i="125"/>
  <c r="B50" i="125"/>
  <c r="B49" i="125"/>
  <c r="B48" i="125"/>
  <c r="B47" i="125"/>
  <c r="B46" i="125"/>
  <c r="B45" i="125"/>
  <c r="B44" i="125"/>
  <c r="B43" i="125"/>
  <c r="B42" i="125"/>
  <c r="B41" i="125"/>
  <c r="B40" i="125"/>
  <c r="B39" i="125"/>
  <c r="B38" i="125"/>
  <c r="B37" i="125"/>
  <c r="B36" i="125"/>
  <c r="B35" i="125"/>
  <c r="B34" i="125"/>
  <c r="B33" i="125"/>
  <c r="B32" i="125"/>
  <c r="B31" i="125"/>
  <c r="B30" i="125"/>
  <c r="B29" i="125"/>
  <c r="B28" i="125"/>
  <c r="B27" i="125"/>
  <c r="B26" i="125"/>
  <c r="B25" i="125"/>
  <c r="B24" i="125"/>
  <c r="B23" i="125"/>
  <c r="B22" i="125"/>
  <c r="B21" i="125"/>
  <c r="B3" i="125" l="1"/>
  <c r="B4" i="125"/>
  <c r="B5" i="125"/>
  <c r="B6" i="125"/>
  <c r="B7" i="125"/>
  <c r="B8" i="125"/>
  <c r="B9" i="125"/>
  <c r="B10" i="125"/>
  <c r="B11" i="125"/>
  <c r="B12" i="125"/>
  <c r="B13" i="125"/>
  <c r="B14" i="125"/>
  <c r="B15" i="125"/>
  <c r="B16" i="125"/>
  <c r="B17" i="125"/>
  <c r="B18" i="125"/>
  <c r="B19" i="125"/>
  <c r="B20" i="125"/>
  <c r="A64" i="103"/>
  <c r="A63" i="103"/>
  <c r="A62" i="103"/>
  <c r="A61" i="103"/>
  <c r="A60" i="103"/>
  <c r="A59" i="103"/>
  <c r="A58" i="103"/>
  <c r="A57" i="103"/>
  <c r="A56" i="103"/>
  <c r="A55" i="103"/>
  <c r="A54" i="103"/>
  <c r="A53" i="103"/>
  <c r="A52" i="103"/>
  <c r="A51" i="103"/>
  <c r="A50" i="103"/>
  <c r="A49" i="103"/>
  <c r="A48" i="103"/>
  <c r="A47" i="103"/>
  <c r="A46" i="103"/>
  <c r="A45" i="103"/>
  <c r="A44" i="103"/>
  <c r="A43" i="103"/>
  <c r="A42" i="103"/>
  <c r="A41" i="103"/>
  <c r="A40" i="103"/>
  <c r="A39" i="103"/>
  <c r="A38" i="103"/>
  <c r="A37" i="103"/>
  <c r="A36" i="103"/>
  <c r="A35" i="103"/>
  <c r="A34" i="103"/>
  <c r="A33" i="103"/>
  <c r="A32" i="103"/>
  <c r="A31" i="103"/>
  <c r="A30" i="103"/>
  <c r="A29" i="103"/>
  <c r="A28" i="103"/>
  <c r="A27" i="103"/>
  <c r="A26" i="103"/>
  <c r="A25" i="103"/>
  <c r="A24" i="103"/>
  <c r="A23" i="103"/>
  <c r="A22" i="103"/>
  <c r="A21" i="103"/>
  <c r="A20" i="103"/>
  <c r="A19" i="103"/>
  <c r="A18" i="103"/>
  <c r="A17" i="103"/>
  <c r="A16" i="103"/>
  <c r="A15" i="103"/>
  <c r="A14" i="103"/>
  <c r="A13" i="103"/>
  <c r="A12" i="103"/>
  <c r="A11" i="103"/>
  <c r="A10" i="103"/>
  <c r="A9" i="103"/>
  <c r="A8" i="103"/>
  <c r="A7" i="103"/>
  <c r="A6" i="103"/>
  <c r="A5" i="103"/>
  <c r="A64" i="82"/>
  <c r="W64" i="82" s="1"/>
  <c r="A63" i="82"/>
  <c r="W63" i="82" s="1"/>
  <c r="A62" i="82"/>
  <c r="W62" i="82" s="1"/>
  <c r="A61" i="82"/>
  <c r="W61" i="82" s="1"/>
  <c r="A60" i="82"/>
  <c r="W60" i="82" s="1"/>
  <c r="A59" i="82"/>
  <c r="W59" i="82" s="1"/>
  <c r="A58" i="82"/>
  <c r="W58" i="82" s="1"/>
  <c r="A57" i="82"/>
  <c r="W57" i="82" s="1"/>
  <c r="A56" i="82"/>
  <c r="W56" i="82" s="1"/>
  <c r="A55" i="82"/>
  <c r="W55" i="82" s="1"/>
  <c r="A54" i="82"/>
  <c r="W54" i="82" s="1"/>
  <c r="A53" i="82"/>
  <c r="W53" i="82" s="1"/>
  <c r="A52" i="82"/>
  <c r="W52" i="82" s="1"/>
  <c r="A51" i="82"/>
  <c r="W51" i="82" s="1"/>
  <c r="A50" i="82"/>
  <c r="W50" i="82" s="1"/>
  <c r="A49" i="82"/>
  <c r="W49" i="82" s="1"/>
  <c r="A48" i="82"/>
  <c r="W48" i="82" s="1"/>
  <c r="A47" i="82"/>
  <c r="W47" i="82" s="1"/>
  <c r="A46" i="82"/>
  <c r="W46" i="82" s="1"/>
  <c r="A45" i="82"/>
  <c r="W45" i="82" s="1"/>
  <c r="A44" i="82"/>
  <c r="W44" i="82" s="1"/>
  <c r="A43" i="82"/>
  <c r="W43" i="82" s="1"/>
  <c r="A42" i="82"/>
  <c r="W42" i="82" s="1"/>
  <c r="A41" i="82"/>
  <c r="W41" i="82" s="1"/>
  <c r="A40" i="82"/>
  <c r="W40" i="82" s="1"/>
  <c r="A39" i="82"/>
  <c r="W39" i="82" s="1"/>
  <c r="A38" i="82"/>
  <c r="W38" i="82" s="1"/>
  <c r="A37" i="82"/>
  <c r="W37" i="82" s="1"/>
  <c r="A36" i="82"/>
  <c r="W36" i="82" s="1"/>
  <c r="A35" i="82"/>
  <c r="W35" i="82" s="1"/>
  <c r="A34" i="82"/>
  <c r="W34" i="82" s="1"/>
  <c r="A33" i="82"/>
  <c r="W33" i="82" s="1"/>
  <c r="A32" i="82"/>
  <c r="W32" i="82" s="1"/>
  <c r="A31" i="82"/>
  <c r="W31" i="82" s="1"/>
  <c r="A30" i="82"/>
  <c r="W30" i="82" s="1"/>
  <c r="A29" i="82"/>
  <c r="W29" i="82" s="1"/>
  <c r="A28" i="82"/>
  <c r="W28" i="82" s="1"/>
  <c r="A27" i="82"/>
  <c r="W27" i="82" s="1"/>
  <c r="A26" i="82"/>
  <c r="W26" i="82" s="1"/>
  <c r="A25" i="82"/>
  <c r="W25" i="82" s="1"/>
  <c r="A24" i="82"/>
  <c r="W24" i="82" s="1"/>
  <c r="A23" i="82"/>
  <c r="W23" i="82" s="1"/>
  <c r="A22" i="82"/>
  <c r="W22" i="82" s="1"/>
  <c r="A21" i="82"/>
  <c r="W21" i="82" s="1"/>
  <c r="A20" i="82"/>
  <c r="W20" i="82" s="1"/>
  <c r="A19" i="82"/>
  <c r="W19" i="82" s="1"/>
  <c r="A18" i="82"/>
  <c r="W18" i="82" s="1"/>
  <c r="A17" i="82"/>
  <c r="W17" i="82" s="1"/>
  <c r="A16" i="82"/>
  <c r="W16" i="82" s="1"/>
  <c r="A15" i="82"/>
  <c r="W15" i="82" s="1"/>
  <c r="A14" i="82"/>
  <c r="W14" i="82" s="1"/>
  <c r="A13" i="82"/>
  <c r="W13" i="82" s="1"/>
  <c r="A12" i="82"/>
  <c r="W12" i="82" s="1"/>
  <c r="A11" i="82"/>
  <c r="W11" i="82" s="1"/>
  <c r="A10" i="82"/>
  <c r="W10" i="82" s="1"/>
  <c r="A9" i="82"/>
  <c r="W9" i="82" s="1"/>
  <c r="A8" i="82"/>
  <c r="W8" i="82" s="1"/>
  <c r="A7" i="82"/>
  <c r="W7" i="82" s="1"/>
  <c r="A6" i="82"/>
  <c r="W6" i="82" s="1"/>
  <c r="A5" i="82"/>
  <c r="W5" i="82" s="1"/>
  <c r="A64" i="102"/>
  <c r="S64" i="102" s="1"/>
  <c r="A63" i="102"/>
  <c r="S63" i="102" s="1"/>
  <c r="A62" i="102"/>
  <c r="S62" i="102" s="1"/>
  <c r="A61" i="102"/>
  <c r="S61" i="102" s="1"/>
  <c r="A60" i="102"/>
  <c r="S60" i="102" s="1"/>
  <c r="A59" i="102"/>
  <c r="S59" i="102" s="1"/>
  <c r="A58" i="102"/>
  <c r="S58" i="102" s="1"/>
  <c r="A57" i="102"/>
  <c r="S57" i="102" s="1"/>
  <c r="A56" i="102"/>
  <c r="S56" i="102" s="1"/>
  <c r="A55" i="102"/>
  <c r="S55" i="102" s="1"/>
  <c r="A54" i="102"/>
  <c r="S54" i="102" s="1"/>
  <c r="A53" i="102"/>
  <c r="S53" i="102" s="1"/>
  <c r="A52" i="102"/>
  <c r="S52" i="102" s="1"/>
  <c r="A51" i="102"/>
  <c r="S51" i="102" s="1"/>
  <c r="A50" i="102"/>
  <c r="S50" i="102" s="1"/>
  <c r="A49" i="102"/>
  <c r="S49" i="102" s="1"/>
  <c r="A48" i="102"/>
  <c r="S48" i="102" s="1"/>
  <c r="A47" i="102"/>
  <c r="S47" i="102" s="1"/>
  <c r="A46" i="102"/>
  <c r="S46" i="102" s="1"/>
  <c r="A45" i="102"/>
  <c r="S45" i="102" s="1"/>
  <c r="A44" i="102"/>
  <c r="S44" i="102" s="1"/>
  <c r="A43" i="102"/>
  <c r="S43" i="102" s="1"/>
  <c r="A42" i="102"/>
  <c r="S42" i="102" s="1"/>
  <c r="A41" i="102"/>
  <c r="S41" i="102" s="1"/>
  <c r="A40" i="102"/>
  <c r="S40" i="102" s="1"/>
  <c r="A39" i="102"/>
  <c r="S39" i="102" s="1"/>
  <c r="A38" i="102"/>
  <c r="S38" i="102" s="1"/>
  <c r="A37" i="102"/>
  <c r="S37" i="102" s="1"/>
  <c r="A36" i="102"/>
  <c r="S36" i="102" s="1"/>
  <c r="A35" i="102"/>
  <c r="S35" i="102" s="1"/>
  <c r="A34" i="102"/>
  <c r="S34" i="102" s="1"/>
  <c r="A33" i="102"/>
  <c r="S33" i="102" s="1"/>
  <c r="A32" i="102"/>
  <c r="S32" i="102" s="1"/>
  <c r="A31" i="102"/>
  <c r="S31" i="102" s="1"/>
  <c r="A30" i="102"/>
  <c r="S30" i="102" s="1"/>
  <c r="A29" i="102"/>
  <c r="S29" i="102" s="1"/>
  <c r="A28" i="102"/>
  <c r="S28" i="102" s="1"/>
  <c r="A27" i="102"/>
  <c r="S27" i="102" s="1"/>
  <c r="A26" i="102"/>
  <c r="S26" i="102" s="1"/>
  <c r="A25" i="102"/>
  <c r="S25" i="102" s="1"/>
  <c r="A24" i="102"/>
  <c r="S24" i="102" s="1"/>
  <c r="A23" i="102"/>
  <c r="S23" i="102" s="1"/>
  <c r="A22" i="102"/>
  <c r="S22" i="102" s="1"/>
  <c r="A21" i="102"/>
  <c r="S21" i="102" s="1"/>
  <c r="A20" i="102"/>
  <c r="S20" i="102" s="1"/>
  <c r="A19" i="102"/>
  <c r="S19" i="102" s="1"/>
  <c r="A18" i="102"/>
  <c r="S18" i="102" s="1"/>
  <c r="A17" i="102"/>
  <c r="S17" i="102" s="1"/>
  <c r="A16" i="102"/>
  <c r="S16" i="102" s="1"/>
  <c r="A15" i="102"/>
  <c r="S15" i="102" s="1"/>
  <c r="A14" i="102"/>
  <c r="S14" i="102" s="1"/>
  <c r="A13" i="102"/>
  <c r="S13" i="102" s="1"/>
  <c r="A12" i="102"/>
  <c r="S12" i="102" s="1"/>
  <c r="A11" i="102"/>
  <c r="S11" i="102" s="1"/>
  <c r="A10" i="102"/>
  <c r="S10" i="102" s="1"/>
  <c r="A9" i="102"/>
  <c r="S9" i="102" s="1"/>
  <c r="A8" i="102"/>
  <c r="S8" i="102" s="1"/>
  <c r="A7" i="102"/>
  <c r="S7" i="102" s="1"/>
  <c r="A6" i="102"/>
  <c r="S6" i="102" s="1"/>
  <c r="A5" i="102"/>
  <c r="S5" i="102" s="1"/>
  <c r="A62" i="101"/>
  <c r="A63" i="101"/>
  <c r="A64" i="101"/>
  <c r="A65" i="101"/>
  <c r="A59" i="106"/>
  <c r="B59" i="106" s="1"/>
  <c r="A60" i="106"/>
  <c r="B60" i="106" s="1"/>
  <c r="A61" i="106"/>
  <c r="B61" i="106" s="1"/>
  <c r="A62" i="106"/>
  <c r="B62" i="106" s="1"/>
  <c r="L5" i="102" l="1"/>
  <c r="L6" i="102"/>
  <c r="L7" i="102"/>
  <c r="L8" i="102"/>
  <c r="L9" i="102"/>
  <c r="L10" i="102"/>
  <c r="L11" i="102"/>
  <c r="L12" i="102"/>
  <c r="L13" i="102"/>
  <c r="L14" i="102"/>
  <c r="L15"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 i="82"/>
  <c r="L8" i="82"/>
  <c r="L10" i="82"/>
  <c r="L12" i="82"/>
  <c r="L14" i="82"/>
  <c r="L16" i="82"/>
  <c r="L18" i="82"/>
  <c r="L20" i="82"/>
  <c r="L22" i="82"/>
  <c r="L24" i="82"/>
  <c r="L26" i="82"/>
  <c r="L28" i="82"/>
  <c r="L30" i="82"/>
  <c r="L32" i="82"/>
  <c r="L34" i="82"/>
  <c r="L36" i="82"/>
  <c r="L38" i="82"/>
  <c r="L40" i="82"/>
  <c r="L42" i="82"/>
  <c r="L44" i="82"/>
  <c r="L46" i="82"/>
  <c r="L48" i="82"/>
  <c r="L50" i="82"/>
  <c r="L52" i="82"/>
  <c r="L54" i="82"/>
  <c r="L56" i="82"/>
  <c r="L58" i="82"/>
  <c r="L60" i="82"/>
  <c r="L62" i="82"/>
  <c r="L64" i="82"/>
  <c r="L5" i="82"/>
  <c r="L7" i="82"/>
  <c r="L9" i="82"/>
  <c r="L11" i="82"/>
  <c r="L13" i="82"/>
  <c r="L15" i="82"/>
  <c r="L17" i="82"/>
  <c r="L19" i="82"/>
  <c r="L21" i="82"/>
  <c r="L23" i="82"/>
  <c r="L25" i="82"/>
  <c r="L27" i="82"/>
  <c r="L29" i="82"/>
  <c r="L31" i="82"/>
  <c r="L33" i="82"/>
  <c r="L35" i="82"/>
  <c r="L37" i="82"/>
  <c r="L39" i="82"/>
  <c r="L41" i="82"/>
  <c r="L43" i="82"/>
  <c r="L45" i="82"/>
  <c r="L47" i="82"/>
  <c r="L49" i="82"/>
  <c r="L51" i="82"/>
  <c r="L53" i="82"/>
  <c r="L55" i="82"/>
  <c r="L57" i="82"/>
  <c r="L59" i="82"/>
  <c r="L61" i="82"/>
  <c r="L63" i="82"/>
  <c r="AT100" i="50"/>
  <c r="I100" i="50"/>
  <c r="H100" i="50"/>
  <c r="G100" i="50"/>
  <c r="F100" i="50"/>
  <c r="E100" i="50"/>
  <c r="D100" i="50"/>
  <c r="C100" i="50"/>
  <c r="B100" i="50"/>
  <c r="AT65" i="50"/>
  <c r="I65" i="50"/>
  <c r="H65" i="50"/>
  <c r="G65" i="50"/>
  <c r="F65" i="50"/>
  <c r="E65" i="50"/>
  <c r="D65" i="50"/>
  <c r="C65" i="50"/>
  <c r="B65" i="50"/>
  <c r="G95" i="52"/>
  <c r="F95" i="52"/>
  <c r="E95" i="52"/>
  <c r="B100" i="55" s="1"/>
  <c r="D95" i="52"/>
  <c r="D100" i="55" s="1"/>
  <c r="C95" i="52"/>
  <c r="C100" i="55" s="1"/>
  <c r="B95" i="52"/>
  <c r="E100" i="55" s="1"/>
  <c r="G60" i="52"/>
  <c r="F60" i="52"/>
  <c r="E60" i="52"/>
  <c r="B65" i="55" s="1"/>
  <c r="D60" i="52"/>
  <c r="D65" i="55" s="1"/>
  <c r="C60" i="52"/>
  <c r="C65" i="55" s="1"/>
  <c r="B60" i="52"/>
  <c r="E65" i="55" s="1"/>
  <c r="P64" i="102" l="1"/>
  <c r="N64" i="102"/>
  <c r="Q64" i="102"/>
  <c r="O64" i="102"/>
  <c r="P62" i="102"/>
  <c r="N62" i="102"/>
  <c r="Q62" i="102"/>
  <c r="O62" i="102"/>
  <c r="P60" i="102"/>
  <c r="N60" i="102"/>
  <c r="Q60" i="102"/>
  <c r="O60" i="102"/>
  <c r="P58" i="102"/>
  <c r="N58" i="102"/>
  <c r="Q58" i="102"/>
  <c r="O58" i="102"/>
  <c r="P56" i="102"/>
  <c r="N56" i="102"/>
  <c r="Q56" i="102"/>
  <c r="O56" i="102"/>
  <c r="P54" i="102"/>
  <c r="N54" i="102"/>
  <c r="Q54" i="102"/>
  <c r="O54" i="102"/>
  <c r="P52" i="102"/>
  <c r="Q52" i="102"/>
  <c r="N52" i="102"/>
  <c r="O52" i="102"/>
  <c r="P50" i="102"/>
  <c r="N50" i="102"/>
  <c r="Q50" i="102"/>
  <c r="O50" i="102"/>
  <c r="P48" i="102"/>
  <c r="N48" i="102"/>
  <c r="Q48" i="102"/>
  <c r="O48" i="102"/>
  <c r="P46" i="102"/>
  <c r="N46" i="102"/>
  <c r="Q46" i="102"/>
  <c r="O46" i="102"/>
  <c r="P44" i="102"/>
  <c r="N44" i="102"/>
  <c r="Q44" i="102"/>
  <c r="O44" i="102"/>
  <c r="P42" i="102"/>
  <c r="N42" i="102"/>
  <c r="Q42" i="102"/>
  <c r="O42" i="102"/>
  <c r="P40" i="102"/>
  <c r="N40" i="102"/>
  <c r="Q40" i="102"/>
  <c r="O40" i="102"/>
  <c r="P38" i="102"/>
  <c r="N38" i="102"/>
  <c r="Q38" i="102"/>
  <c r="O38" i="102"/>
  <c r="P36" i="102"/>
  <c r="N36" i="102"/>
  <c r="Q36" i="102"/>
  <c r="O36" i="102"/>
  <c r="P34" i="102"/>
  <c r="N34" i="102"/>
  <c r="Q34" i="102"/>
  <c r="O34" i="102"/>
  <c r="P32" i="102"/>
  <c r="N32" i="102"/>
  <c r="Q32" i="102"/>
  <c r="O32" i="102"/>
  <c r="P30" i="102"/>
  <c r="N30" i="102"/>
  <c r="Q30" i="102"/>
  <c r="O30" i="102"/>
  <c r="P28" i="102"/>
  <c r="N28" i="102"/>
  <c r="Q28" i="102"/>
  <c r="O28" i="102"/>
  <c r="P26" i="102"/>
  <c r="N26" i="102"/>
  <c r="Q26" i="102"/>
  <c r="O26" i="102"/>
  <c r="P24" i="102"/>
  <c r="N24" i="102"/>
  <c r="Q24" i="102"/>
  <c r="O24" i="102"/>
  <c r="P22" i="102"/>
  <c r="N22" i="102"/>
  <c r="Q22" i="102"/>
  <c r="O22" i="102"/>
  <c r="P20" i="102"/>
  <c r="N20" i="102"/>
  <c r="Q20" i="102"/>
  <c r="O20" i="102"/>
  <c r="P18" i="102"/>
  <c r="N18" i="102"/>
  <c r="Q18" i="102"/>
  <c r="O18" i="102"/>
  <c r="P16" i="102"/>
  <c r="N16" i="102"/>
  <c r="Q16" i="102"/>
  <c r="O16" i="102"/>
  <c r="P14" i="102"/>
  <c r="N14" i="102"/>
  <c r="Q14" i="102"/>
  <c r="O14" i="102"/>
  <c r="P12" i="102"/>
  <c r="N12" i="102"/>
  <c r="Q12" i="102"/>
  <c r="O12" i="102"/>
  <c r="P10" i="102"/>
  <c r="N10" i="102"/>
  <c r="Q10" i="102"/>
  <c r="O10" i="102"/>
  <c r="P8" i="102"/>
  <c r="N8" i="102"/>
  <c r="Q8" i="102"/>
  <c r="O8" i="102"/>
  <c r="P6" i="102"/>
  <c r="N6" i="102"/>
  <c r="Q6" i="102"/>
  <c r="O6" i="102"/>
  <c r="P63" i="102"/>
  <c r="N63" i="102"/>
  <c r="Q63" i="102"/>
  <c r="O63" i="102"/>
  <c r="P61" i="102"/>
  <c r="N61" i="102"/>
  <c r="Q61" i="102"/>
  <c r="O61" i="102"/>
  <c r="P59" i="102"/>
  <c r="N59" i="102"/>
  <c r="Q59" i="102"/>
  <c r="O59" i="102"/>
  <c r="P57" i="102"/>
  <c r="N57" i="102"/>
  <c r="Q57" i="102"/>
  <c r="O57" i="102"/>
  <c r="P55" i="102"/>
  <c r="N55" i="102"/>
  <c r="Q55" i="102"/>
  <c r="O55" i="102"/>
  <c r="P53" i="102"/>
  <c r="N53" i="102"/>
  <c r="Q53" i="102"/>
  <c r="O53" i="102"/>
  <c r="P51" i="102"/>
  <c r="N51" i="102"/>
  <c r="Q51" i="102"/>
  <c r="O51" i="102"/>
  <c r="P49" i="102"/>
  <c r="N49" i="102"/>
  <c r="Q49" i="102"/>
  <c r="O49" i="102"/>
  <c r="P47" i="102"/>
  <c r="N47" i="102"/>
  <c r="Q47" i="102"/>
  <c r="O47" i="102"/>
  <c r="P45" i="102"/>
  <c r="N45" i="102"/>
  <c r="Q45" i="102"/>
  <c r="O45" i="102"/>
  <c r="P43" i="102"/>
  <c r="N43" i="102"/>
  <c r="Q43" i="102"/>
  <c r="O43" i="102"/>
  <c r="P41" i="102"/>
  <c r="N41" i="102"/>
  <c r="Q41" i="102"/>
  <c r="O41" i="102"/>
  <c r="P39" i="102"/>
  <c r="N39" i="102"/>
  <c r="Q39" i="102"/>
  <c r="O39" i="102"/>
  <c r="P37" i="102"/>
  <c r="N37" i="102"/>
  <c r="Q37" i="102"/>
  <c r="O37" i="102"/>
  <c r="P35" i="102"/>
  <c r="N35" i="102"/>
  <c r="Q35" i="102"/>
  <c r="O35" i="102"/>
  <c r="P33" i="102"/>
  <c r="N33" i="102"/>
  <c r="Q33" i="102"/>
  <c r="O33" i="102"/>
  <c r="P31" i="102"/>
  <c r="N31" i="102"/>
  <c r="Q31" i="102"/>
  <c r="O31" i="102"/>
  <c r="P29" i="102"/>
  <c r="N29" i="102"/>
  <c r="Q29" i="102"/>
  <c r="O29" i="102"/>
  <c r="P27" i="102"/>
  <c r="N27" i="102"/>
  <c r="Q27" i="102"/>
  <c r="O27" i="102"/>
  <c r="P25" i="102"/>
  <c r="N25" i="102"/>
  <c r="Q25" i="102"/>
  <c r="O25" i="102"/>
  <c r="P23" i="102"/>
  <c r="N23" i="102"/>
  <c r="Q23" i="102"/>
  <c r="O23" i="102"/>
  <c r="P21" i="102"/>
  <c r="N21" i="102"/>
  <c r="Q21" i="102"/>
  <c r="O21" i="102"/>
  <c r="P19" i="102"/>
  <c r="N19" i="102"/>
  <c r="Q19" i="102"/>
  <c r="O19" i="102"/>
  <c r="P17" i="102"/>
  <c r="N17" i="102"/>
  <c r="Q17" i="102"/>
  <c r="O17" i="102"/>
  <c r="P15" i="102"/>
  <c r="N15" i="102"/>
  <c r="Q15" i="102"/>
  <c r="O15" i="102"/>
  <c r="P13" i="102"/>
  <c r="N13" i="102"/>
  <c r="Q13" i="102"/>
  <c r="O13" i="102"/>
  <c r="P11" i="102"/>
  <c r="N11" i="102"/>
  <c r="Q11" i="102"/>
  <c r="O11" i="102"/>
  <c r="P9" i="102"/>
  <c r="N9" i="102"/>
  <c r="Q9" i="102"/>
  <c r="O9" i="102"/>
  <c r="P7" i="102"/>
  <c r="N7" i="102"/>
  <c r="Q7" i="102"/>
  <c r="O7" i="102"/>
  <c r="P5" i="102"/>
  <c r="N5" i="102"/>
  <c r="Q5" i="102"/>
  <c r="O5" i="102"/>
  <c r="K100" i="50"/>
  <c r="AQ100" i="50" s="1"/>
  <c r="M100" i="50"/>
  <c r="AS100" i="50" s="1"/>
  <c r="J100" i="50"/>
  <c r="AP100" i="50" s="1"/>
  <c r="L100" i="50"/>
  <c r="AR100" i="50" s="1"/>
  <c r="J65" i="50"/>
  <c r="AP65" i="50" s="1"/>
  <c r="L65" i="50"/>
  <c r="AR65" i="50" s="1"/>
  <c r="K65" i="50"/>
  <c r="M65" i="50"/>
  <c r="AS65" i="50" s="1"/>
  <c r="A61" i="101"/>
  <c r="A60" i="101"/>
  <c r="A59" i="101"/>
  <c r="A58" i="101"/>
  <c r="A57" i="101"/>
  <c r="A56" i="101"/>
  <c r="A55" i="101"/>
  <c r="A54" i="101"/>
  <c r="A53" i="101"/>
  <c r="A52" i="101"/>
  <c r="A51" i="101"/>
  <c r="A50" i="101"/>
  <c r="A49" i="101"/>
  <c r="A48" i="101"/>
  <c r="A47" i="101"/>
  <c r="A46" i="101"/>
  <c r="A45" i="101"/>
  <c r="A44" i="101"/>
  <c r="A43" i="101"/>
  <c r="A42" i="101"/>
  <c r="A41" i="101"/>
  <c r="A40" i="101"/>
  <c r="A39" i="101"/>
  <c r="A38" i="101"/>
  <c r="A37" i="101"/>
  <c r="A36" i="101"/>
  <c r="A35" i="101"/>
  <c r="A34" i="101"/>
  <c r="A33" i="101"/>
  <c r="A32" i="101"/>
  <c r="A31" i="101"/>
  <c r="A30" i="101"/>
  <c r="A29" i="101"/>
  <c r="A28" i="101"/>
  <c r="A27" i="101"/>
  <c r="A26" i="101"/>
  <c r="A25" i="101"/>
  <c r="A24" i="101"/>
  <c r="A23" i="101"/>
  <c r="A22" i="101"/>
  <c r="A21" i="101"/>
  <c r="A20" i="101"/>
  <c r="A19" i="101"/>
  <c r="A18" i="101"/>
  <c r="A17" i="101"/>
  <c r="A16" i="101"/>
  <c r="A15" i="101"/>
  <c r="A14" i="101"/>
  <c r="A13" i="101"/>
  <c r="A12" i="101"/>
  <c r="A11" i="101"/>
  <c r="A10" i="101"/>
  <c r="A9" i="101"/>
  <c r="A8" i="101"/>
  <c r="A7" i="101"/>
  <c r="A6" i="101"/>
  <c r="A8" i="50"/>
  <c r="G140" i="52"/>
  <c r="G139" i="52"/>
  <c r="G138" i="52"/>
  <c r="G137" i="52"/>
  <c r="G136" i="52"/>
  <c r="G135" i="52"/>
  <c r="G134" i="52"/>
  <c r="G133" i="52"/>
  <c r="G132"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4" i="52"/>
  <c r="G93" i="52"/>
  <c r="G92" i="52"/>
  <c r="G91" i="52"/>
  <c r="G90" i="52"/>
  <c r="G89" i="52"/>
  <c r="G88" i="52"/>
  <c r="G87"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59" i="52"/>
  <c r="G58" i="52"/>
  <c r="G57" i="52"/>
  <c r="G56" i="52"/>
  <c r="G55" i="52"/>
  <c r="G54" i="52"/>
  <c r="G53" i="52"/>
  <c r="G52" i="52"/>
  <c r="G51" i="52"/>
  <c r="G50" i="52"/>
  <c r="G49" i="52"/>
  <c r="G48" i="52"/>
  <c r="G47" i="52"/>
  <c r="G46" i="52"/>
  <c r="G45" i="52"/>
  <c r="G44" i="52"/>
  <c r="G43" i="52"/>
  <c r="G42"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G4" i="52"/>
  <c r="G3" i="52"/>
  <c r="A58" i="106"/>
  <c r="B58" i="106" s="1"/>
  <c r="A57" i="106"/>
  <c r="B57" i="106" s="1"/>
  <c r="A56" i="106"/>
  <c r="B56" i="106" s="1"/>
  <c r="A55" i="106"/>
  <c r="B55" i="106" s="1"/>
  <c r="A54" i="106"/>
  <c r="B54" i="106" s="1"/>
  <c r="A53" i="106"/>
  <c r="B53" i="106" s="1"/>
  <c r="A52" i="106"/>
  <c r="B52" i="106" s="1"/>
  <c r="A51" i="106"/>
  <c r="B51" i="106" s="1"/>
  <c r="A50" i="106"/>
  <c r="B50" i="106" s="1"/>
  <c r="A49" i="106"/>
  <c r="B49" i="106" s="1"/>
  <c r="A48" i="106"/>
  <c r="B48" i="106" s="1"/>
  <c r="A47" i="106"/>
  <c r="B47" i="106" s="1"/>
  <c r="A46" i="106"/>
  <c r="B46" i="106" s="1"/>
  <c r="A45" i="106"/>
  <c r="B45" i="106" s="1"/>
  <c r="A44" i="106"/>
  <c r="B44" i="106" s="1"/>
  <c r="A43" i="106"/>
  <c r="B43" i="106" s="1"/>
  <c r="A42" i="106"/>
  <c r="B42" i="106" s="1"/>
  <c r="A41" i="106"/>
  <c r="B41" i="106" s="1"/>
  <c r="A40" i="106"/>
  <c r="B40" i="106" s="1"/>
  <c r="A39" i="106"/>
  <c r="B39" i="106" s="1"/>
  <c r="A38" i="106"/>
  <c r="B38" i="106" s="1"/>
  <c r="A37" i="106"/>
  <c r="B37" i="106" s="1"/>
  <c r="A36" i="106"/>
  <c r="B36" i="106" s="1"/>
  <c r="A35" i="106"/>
  <c r="B35" i="106" s="1"/>
  <c r="A34" i="106"/>
  <c r="B34" i="106" s="1"/>
  <c r="A33" i="106"/>
  <c r="B33" i="106" s="1"/>
  <c r="A32" i="106"/>
  <c r="B32" i="106" s="1"/>
  <c r="A31" i="106"/>
  <c r="B31" i="106" s="1"/>
  <c r="A30" i="106"/>
  <c r="B30" i="106" s="1"/>
  <c r="A29" i="106"/>
  <c r="B29" i="106" s="1"/>
  <c r="A28" i="106"/>
  <c r="B28" i="106" s="1"/>
  <c r="A27" i="106"/>
  <c r="B27" i="106" s="1"/>
  <c r="A26" i="106"/>
  <c r="B26" i="106" s="1"/>
  <c r="A25" i="106"/>
  <c r="B25" i="106" s="1"/>
  <c r="A24" i="106"/>
  <c r="B24" i="106" s="1"/>
  <c r="A23" i="106"/>
  <c r="B23" i="106" s="1"/>
  <c r="A22" i="106"/>
  <c r="B22" i="106" s="1"/>
  <c r="A21" i="106"/>
  <c r="B21" i="106" s="1"/>
  <c r="A20" i="106"/>
  <c r="A19" i="106"/>
  <c r="A18" i="106"/>
  <c r="A17" i="106"/>
  <c r="A16" i="106"/>
  <c r="A15" i="106"/>
  <c r="A14" i="106"/>
  <c r="A13" i="106"/>
  <c r="A12" i="106"/>
  <c r="A11" i="106"/>
  <c r="A10" i="106"/>
  <c r="A9" i="106"/>
  <c r="A8" i="106"/>
  <c r="A7" i="106"/>
  <c r="A6" i="106"/>
  <c r="A5" i="106"/>
  <c r="A4" i="106"/>
  <c r="A3" i="106"/>
  <c r="B3" i="106" s="1"/>
  <c r="G7885" i="51" l="1"/>
  <c r="G7886" i="51"/>
  <c r="G7887" i="51"/>
  <c r="G7888" i="51"/>
  <c r="G7889" i="51"/>
  <c r="G7890" i="51"/>
  <c r="G7891" i="51"/>
  <c r="G7892" i="51"/>
  <c r="G7893" i="51"/>
  <c r="G7894" i="51"/>
  <c r="G7895" i="51"/>
  <c r="G7896" i="51"/>
  <c r="G7897" i="51"/>
  <c r="G7898" i="51"/>
  <c r="G7899" i="51"/>
  <c r="G7900" i="51"/>
  <c r="G7901" i="51"/>
  <c r="G7902" i="51"/>
  <c r="G7903" i="51"/>
  <c r="G7904" i="51"/>
  <c r="G7905" i="51"/>
  <c r="G7906" i="51"/>
  <c r="G7907" i="51"/>
  <c r="G7908" i="51"/>
  <c r="G7909" i="51"/>
  <c r="G7910" i="51"/>
  <c r="G7911" i="51"/>
  <c r="G7912" i="51"/>
  <c r="G7913" i="51"/>
  <c r="G7914" i="51"/>
  <c r="G7915" i="51"/>
  <c r="G7916" i="51"/>
  <c r="G7917" i="51"/>
  <c r="G7918" i="51"/>
  <c r="G7919" i="51"/>
  <c r="G7920" i="51"/>
  <c r="G7921" i="51"/>
  <c r="G7922" i="51"/>
  <c r="G7923" i="51"/>
  <c r="G7924" i="51"/>
  <c r="G7925" i="51"/>
  <c r="G7926" i="51"/>
  <c r="G7927" i="51"/>
  <c r="G7928" i="51"/>
  <c r="G7929" i="51"/>
  <c r="G7930" i="51"/>
  <c r="G7931" i="51"/>
  <c r="G7932" i="51"/>
  <c r="G7933" i="51"/>
  <c r="G7934" i="51"/>
  <c r="G7935" i="51"/>
  <c r="G7936" i="51"/>
  <c r="G7937" i="51"/>
  <c r="G7938" i="51"/>
  <c r="G7939" i="51"/>
  <c r="G7940" i="51"/>
  <c r="G7941" i="51"/>
  <c r="G7942" i="51"/>
  <c r="G7943" i="51"/>
  <c r="G7944" i="51"/>
  <c r="G7945" i="51"/>
  <c r="G7946" i="51"/>
  <c r="G7947" i="51"/>
  <c r="G7948" i="51"/>
  <c r="G7949" i="51"/>
  <c r="G7950" i="51"/>
  <c r="G7951" i="51"/>
  <c r="G7952" i="51"/>
  <c r="G7953" i="51"/>
  <c r="G7954" i="51"/>
  <c r="G7955" i="51"/>
  <c r="G7956" i="51"/>
  <c r="G7957" i="51"/>
  <c r="G7958" i="51"/>
  <c r="G7959" i="51"/>
  <c r="G7960" i="51"/>
  <c r="G7961" i="51"/>
  <c r="G7962" i="51"/>
  <c r="G7963" i="51"/>
  <c r="G7964" i="51"/>
  <c r="G7965" i="51"/>
  <c r="G7966" i="51"/>
  <c r="G7967" i="51"/>
  <c r="G7968" i="51"/>
  <c r="G7969" i="51"/>
  <c r="G7970" i="51"/>
  <c r="G7971" i="51"/>
  <c r="G7972" i="51"/>
  <c r="G7973" i="51"/>
  <c r="G7974" i="51"/>
  <c r="G7975" i="51"/>
  <c r="G7976" i="51"/>
  <c r="G7977" i="51"/>
  <c r="G7978" i="51"/>
  <c r="G7979" i="51"/>
  <c r="G7980" i="51"/>
  <c r="G7981" i="51"/>
  <c r="G7982" i="51"/>
  <c r="G7983" i="51"/>
  <c r="G7984" i="51"/>
  <c r="G7985" i="51"/>
  <c r="G7986" i="51"/>
  <c r="G7987" i="51"/>
  <c r="G7988" i="51"/>
  <c r="G7989" i="51"/>
  <c r="G7990" i="51"/>
  <c r="G7991" i="51"/>
  <c r="G7992" i="51"/>
  <c r="G7993" i="51"/>
  <c r="G7994" i="51"/>
  <c r="G7995" i="51"/>
  <c r="G7996" i="51"/>
  <c r="G7997" i="51"/>
  <c r="G7998" i="51"/>
  <c r="G7999" i="51"/>
  <c r="G8000" i="51"/>
  <c r="G8001" i="51"/>
  <c r="G8002" i="51"/>
  <c r="G8003" i="51"/>
  <c r="G8004" i="51"/>
  <c r="G8005" i="51"/>
  <c r="G8006" i="51"/>
  <c r="G8007" i="51"/>
  <c r="G8008" i="51"/>
  <c r="G8009" i="51"/>
  <c r="G8010" i="51"/>
  <c r="G8011" i="51"/>
  <c r="G8012" i="51"/>
  <c r="G8013" i="51"/>
  <c r="G8014" i="51"/>
  <c r="G8015" i="51"/>
  <c r="G8016" i="51"/>
  <c r="G8017" i="51"/>
  <c r="G8018" i="51"/>
  <c r="G8019" i="51"/>
  <c r="G8020" i="51"/>
  <c r="G8021" i="51"/>
  <c r="G8022" i="51"/>
  <c r="G8023" i="51"/>
  <c r="G8024" i="51"/>
  <c r="G8025" i="51"/>
  <c r="G8026" i="51"/>
  <c r="G8027" i="51"/>
  <c r="G8028" i="51"/>
  <c r="G8029" i="51"/>
  <c r="G8030" i="51"/>
  <c r="G8031" i="51"/>
  <c r="G8032" i="51"/>
  <c r="G8033" i="51"/>
  <c r="G8034" i="51"/>
  <c r="G8035" i="51"/>
  <c r="G8036" i="51"/>
  <c r="G8037" i="51"/>
  <c r="G8038" i="51"/>
  <c r="G8039" i="51"/>
  <c r="G8040" i="51"/>
  <c r="G8041" i="51"/>
  <c r="G8042" i="51"/>
  <c r="G8043" i="51"/>
  <c r="G8044" i="51"/>
  <c r="G8045" i="51"/>
  <c r="G8046" i="51"/>
  <c r="G8047" i="51"/>
  <c r="G8048" i="51"/>
  <c r="G8049" i="51"/>
  <c r="G8050" i="51"/>
  <c r="G8051" i="51"/>
  <c r="G8052" i="51"/>
  <c r="G8053" i="51"/>
  <c r="G8054" i="51"/>
  <c r="G8055" i="51"/>
  <c r="G8056" i="51"/>
  <c r="G8057" i="51"/>
  <c r="G8058" i="51"/>
  <c r="G8059" i="51"/>
  <c r="G8060" i="51"/>
  <c r="G8061" i="51"/>
  <c r="G8062" i="51"/>
  <c r="G8063" i="51"/>
  <c r="G8064" i="51"/>
  <c r="G8065" i="51"/>
  <c r="G8066" i="51"/>
  <c r="G8067" i="51"/>
  <c r="G8068" i="51"/>
  <c r="G8069" i="51"/>
  <c r="G8070" i="51"/>
  <c r="G8071" i="51"/>
  <c r="G8072" i="51"/>
  <c r="G8073" i="51"/>
  <c r="G8074" i="51"/>
  <c r="G8075" i="51"/>
  <c r="G8076" i="51"/>
  <c r="G8077" i="51"/>
  <c r="G8078" i="51"/>
  <c r="G8079" i="51"/>
  <c r="G8080" i="51"/>
  <c r="G8081" i="51"/>
  <c r="G8082" i="51"/>
  <c r="G8083" i="51"/>
  <c r="G8084" i="51"/>
  <c r="G8085" i="51"/>
  <c r="G8086" i="51"/>
  <c r="G8087" i="51"/>
  <c r="G8088" i="51"/>
  <c r="G8089" i="51"/>
  <c r="G8090" i="51"/>
  <c r="G8091" i="51"/>
  <c r="G8092" i="51"/>
  <c r="G8093" i="51"/>
  <c r="G8094" i="51"/>
  <c r="G8095" i="51"/>
  <c r="G8096" i="51"/>
  <c r="G8097" i="51"/>
  <c r="G8098" i="51"/>
  <c r="G8099" i="51"/>
  <c r="G8100" i="51"/>
  <c r="G8101" i="51"/>
  <c r="G8102" i="51"/>
  <c r="G8103" i="51"/>
  <c r="G8104" i="51"/>
  <c r="G8105" i="51"/>
  <c r="G8106" i="51"/>
  <c r="G8107" i="51"/>
  <c r="G8108" i="51"/>
  <c r="G8109" i="51"/>
  <c r="G8110" i="51"/>
  <c r="G8111" i="51"/>
  <c r="G8112" i="51"/>
  <c r="G8113" i="51"/>
  <c r="G8114" i="51"/>
  <c r="G8115" i="51"/>
  <c r="G8116" i="51"/>
  <c r="G8117" i="51"/>
  <c r="G8118" i="51"/>
  <c r="G8119" i="51"/>
  <c r="G8120" i="51"/>
  <c r="G8121" i="51"/>
  <c r="G8122" i="51"/>
  <c r="G8123" i="51"/>
  <c r="G8124" i="51"/>
  <c r="G8125" i="51"/>
  <c r="G8126" i="51"/>
  <c r="G8127" i="51"/>
  <c r="G8128" i="51"/>
  <c r="G8129" i="51"/>
  <c r="G8130" i="51"/>
  <c r="G8131" i="51"/>
  <c r="G8132" i="51"/>
  <c r="G8133" i="51"/>
  <c r="G8134" i="51"/>
  <c r="G8135" i="51"/>
  <c r="G8136" i="51"/>
  <c r="G8137" i="51"/>
  <c r="G8138" i="51"/>
  <c r="G8139" i="51"/>
  <c r="G8140" i="51"/>
  <c r="G8141" i="51"/>
  <c r="G8142" i="51"/>
  <c r="G8143" i="51"/>
  <c r="G8144" i="51"/>
  <c r="G8145" i="51"/>
  <c r="G8146" i="51"/>
  <c r="G8147" i="51"/>
  <c r="G8148" i="51"/>
  <c r="G8149" i="51"/>
  <c r="G8150" i="51"/>
  <c r="G8151" i="51"/>
  <c r="G8152" i="51"/>
  <c r="G8153" i="51"/>
  <c r="G8154" i="51"/>
  <c r="G8155" i="51"/>
  <c r="G8156" i="51"/>
  <c r="G8157" i="51"/>
  <c r="G8158" i="51"/>
  <c r="G8159" i="51"/>
  <c r="G8160" i="51"/>
  <c r="G8161" i="51"/>
  <c r="G8162" i="51"/>
  <c r="G8163" i="51"/>
  <c r="G8164" i="51"/>
  <c r="G8165" i="51"/>
  <c r="G8166" i="51"/>
  <c r="G8167" i="51"/>
  <c r="G8168" i="51"/>
  <c r="G8169" i="51"/>
  <c r="G8170" i="51"/>
  <c r="G8171" i="51"/>
  <c r="G8172" i="51"/>
  <c r="G8173" i="51"/>
  <c r="G8174" i="51"/>
  <c r="G8175" i="51"/>
  <c r="G8176" i="51"/>
  <c r="G8177" i="51"/>
  <c r="G8178" i="51"/>
  <c r="G8179" i="51"/>
  <c r="G8180" i="51"/>
  <c r="G8181" i="51"/>
  <c r="G8182" i="51"/>
  <c r="G8183" i="51"/>
  <c r="G8184" i="51"/>
  <c r="G8185" i="51"/>
  <c r="G8186" i="51"/>
  <c r="G8187" i="51"/>
  <c r="G8188" i="51"/>
  <c r="G8189" i="51"/>
  <c r="G8190" i="51"/>
  <c r="G8191" i="51"/>
  <c r="G8192" i="51"/>
  <c r="G8193" i="51"/>
  <c r="G8194" i="51"/>
  <c r="G8195" i="51"/>
  <c r="G8196" i="51"/>
  <c r="G8197" i="51"/>
  <c r="G8198" i="51"/>
  <c r="G8199" i="51"/>
  <c r="G8200" i="51"/>
  <c r="G8201" i="51"/>
  <c r="G8202" i="51"/>
  <c r="G8203" i="51"/>
  <c r="G8204" i="51"/>
  <c r="G8205" i="51"/>
  <c r="G8206" i="51"/>
  <c r="G8207" i="51"/>
  <c r="G8208" i="51"/>
  <c r="G8209" i="51"/>
  <c r="G8210" i="51"/>
  <c r="G8211" i="51"/>
  <c r="G8212" i="51"/>
  <c r="G8213" i="51"/>
  <c r="G8214" i="51"/>
  <c r="G8215" i="51"/>
  <c r="G8216" i="51"/>
  <c r="G8217" i="51"/>
  <c r="G8218" i="51"/>
  <c r="G8219" i="51"/>
  <c r="G8220" i="51"/>
  <c r="G8221" i="51"/>
  <c r="G8222" i="51"/>
  <c r="G8223" i="51"/>
  <c r="G8224" i="51"/>
  <c r="G8225" i="51"/>
  <c r="G8226" i="51"/>
  <c r="G8227" i="51"/>
  <c r="G8228" i="51"/>
  <c r="G8229" i="51"/>
  <c r="G8230" i="51"/>
  <c r="G8231" i="51"/>
  <c r="G8232" i="51"/>
  <c r="G8233" i="51"/>
  <c r="G8234" i="51"/>
  <c r="G8235" i="51"/>
  <c r="G8236" i="51"/>
  <c r="G8237" i="51"/>
  <c r="G8238" i="51"/>
  <c r="G8239" i="51"/>
  <c r="G8240" i="51"/>
  <c r="G8241" i="51"/>
  <c r="G8242" i="51"/>
  <c r="G8243" i="51"/>
  <c r="G8244" i="51"/>
  <c r="G8245" i="51"/>
  <c r="G8246" i="51"/>
  <c r="G8247" i="51"/>
  <c r="G8248" i="51"/>
  <c r="G8249" i="51"/>
  <c r="G8250" i="51"/>
  <c r="G8251" i="51"/>
  <c r="G8252" i="51"/>
  <c r="G8253" i="51"/>
  <c r="G8254" i="51"/>
  <c r="G8255" i="51"/>
  <c r="G8256" i="51"/>
  <c r="G8257" i="51"/>
  <c r="G8258" i="51"/>
  <c r="G8259" i="51"/>
  <c r="G8260" i="51"/>
  <c r="G8261" i="51"/>
  <c r="G8262" i="51"/>
  <c r="G8263" i="51"/>
  <c r="G8264" i="51"/>
  <c r="G8265" i="51"/>
  <c r="G8266" i="51"/>
  <c r="G8267" i="51"/>
  <c r="G8268" i="51"/>
  <c r="G8269" i="51"/>
  <c r="G8270" i="51"/>
  <c r="G8271" i="51"/>
  <c r="G8272" i="51"/>
  <c r="G8273" i="51"/>
  <c r="G8274" i="51"/>
  <c r="G8275" i="51"/>
  <c r="G8276" i="51"/>
  <c r="G8277" i="51"/>
  <c r="G8278" i="51"/>
  <c r="G8279" i="51"/>
  <c r="G8280" i="51"/>
  <c r="G8281" i="51"/>
  <c r="G8282" i="51"/>
  <c r="G8283" i="51"/>
  <c r="G8284" i="51"/>
  <c r="G8285" i="51"/>
  <c r="G8286" i="51"/>
  <c r="G8287" i="51"/>
  <c r="G8288" i="51"/>
  <c r="G8289" i="51"/>
  <c r="G8290" i="51"/>
  <c r="G8291" i="51"/>
  <c r="G8292" i="51"/>
  <c r="G8293" i="51"/>
  <c r="G8294" i="51"/>
  <c r="G8295" i="51"/>
  <c r="G8296" i="51"/>
  <c r="G8297" i="51"/>
  <c r="G8298" i="51"/>
  <c r="G8299" i="51"/>
  <c r="G8300" i="51"/>
  <c r="G8301" i="51"/>
  <c r="G8302" i="51"/>
  <c r="G8303" i="51"/>
  <c r="G8304" i="51"/>
  <c r="G8305" i="51"/>
  <c r="G8306" i="51"/>
  <c r="G8307" i="51"/>
  <c r="G8308" i="51"/>
  <c r="G8309" i="51"/>
  <c r="G8310" i="51"/>
  <c r="G8311" i="51"/>
  <c r="G8312" i="51"/>
  <c r="G8313" i="51"/>
  <c r="G8314" i="51"/>
  <c r="G8315" i="51"/>
  <c r="G8316" i="51"/>
  <c r="G8317" i="51"/>
  <c r="G8318" i="51"/>
  <c r="G8319" i="51"/>
  <c r="G8320" i="51"/>
  <c r="G8321" i="51"/>
  <c r="G8322" i="51"/>
  <c r="G8323" i="51"/>
  <c r="G8324" i="51"/>
  <c r="G8325" i="51"/>
  <c r="G8326" i="51"/>
  <c r="G8327" i="51"/>
  <c r="G8328" i="51"/>
  <c r="G8329" i="51"/>
  <c r="G8330" i="51"/>
  <c r="G8331" i="51"/>
  <c r="G8332" i="51"/>
  <c r="G8333" i="51"/>
  <c r="G8334" i="51"/>
  <c r="G8335" i="51"/>
  <c r="G8336" i="51"/>
  <c r="G8337" i="51"/>
  <c r="G8338" i="51"/>
  <c r="G8339" i="51"/>
  <c r="G8340" i="51"/>
  <c r="G8341" i="51"/>
  <c r="G8342" i="51"/>
  <c r="G8343" i="51"/>
  <c r="G8344" i="51"/>
  <c r="G8345" i="51"/>
  <c r="G8346" i="51"/>
  <c r="G8347" i="51"/>
  <c r="G8348" i="51"/>
  <c r="G8349" i="51"/>
  <c r="G8350" i="51"/>
  <c r="G8351" i="51"/>
  <c r="G8352" i="51"/>
  <c r="G8353" i="51"/>
  <c r="G8354" i="51"/>
  <c r="G8355" i="51"/>
  <c r="G8356" i="51"/>
  <c r="G8357" i="51"/>
  <c r="G8358" i="51"/>
  <c r="G8359" i="51"/>
  <c r="G8360" i="51"/>
  <c r="G8361" i="51"/>
  <c r="G8362" i="51"/>
  <c r="G8363" i="51"/>
  <c r="G8364" i="51"/>
  <c r="G8365" i="51"/>
  <c r="G8366" i="51"/>
  <c r="G8367" i="51"/>
  <c r="G8368" i="51"/>
  <c r="G8369" i="51"/>
  <c r="G8370" i="51"/>
  <c r="G8371" i="51"/>
  <c r="G8372" i="51"/>
  <c r="G8373" i="51"/>
  <c r="G8374" i="51"/>
  <c r="G8375" i="51"/>
  <c r="G8376" i="51"/>
  <c r="G8377" i="51"/>
  <c r="G8378" i="51"/>
  <c r="G8379" i="51"/>
  <c r="G8380" i="51"/>
  <c r="G8381" i="51"/>
  <c r="G8382" i="51"/>
  <c r="G8383" i="51"/>
  <c r="G8384" i="51"/>
  <c r="G8385" i="51"/>
  <c r="G8386" i="51"/>
  <c r="G8387" i="51"/>
  <c r="G8388" i="51"/>
  <c r="G8389" i="51"/>
  <c r="G8390" i="51"/>
  <c r="G8391" i="51"/>
  <c r="G8392" i="51"/>
  <c r="G8393" i="51"/>
  <c r="G8394" i="51"/>
  <c r="G8395" i="51"/>
  <c r="G8396" i="51"/>
  <c r="G8397" i="51"/>
  <c r="G8398" i="51"/>
  <c r="G8399" i="51"/>
  <c r="G8400" i="51"/>
  <c r="G8401" i="51"/>
  <c r="G8402" i="51"/>
  <c r="G8403" i="51"/>
  <c r="G8404" i="51"/>
  <c r="G8405" i="51"/>
  <c r="G8406" i="51"/>
  <c r="G8407" i="51"/>
  <c r="G8408" i="51"/>
  <c r="G8409" i="51"/>
  <c r="G8410" i="51"/>
  <c r="G8411" i="51"/>
  <c r="G8412" i="51"/>
  <c r="G8413" i="51"/>
  <c r="G8414" i="51"/>
  <c r="G8415" i="51"/>
  <c r="G8416" i="51"/>
  <c r="G8417" i="51"/>
  <c r="G8418" i="51"/>
  <c r="G8419" i="51"/>
  <c r="G8420" i="51"/>
  <c r="G8421" i="51"/>
  <c r="G8422" i="51"/>
  <c r="G8423" i="51"/>
  <c r="G8424" i="51"/>
  <c r="G8425" i="51"/>
  <c r="G8426" i="51"/>
  <c r="G8427" i="51"/>
  <c r="G8428" i="51"/>
  <c r="G8429" i="51"/>
  <c r="G8430" i="51"/>
  <c r="G8431" i="51"/>
  <c r="G8432" i="51"/>
  <c r="G8433" i="51"/>
  <c r="G8434" i="51"/>
  <c r="G8435" i="51"/>
  <c r="G8436" i="51"/>
  <c r="G8437" i="51"/>
  <c r="G8438" i="51"/>
  <c r="G8439" i="51"/>
  <c r="G8440" i="51"/>
  <c r="G8441" i="51"/>
  <c r="G8442" i="51"/>
  <c r="G8443" i="51"/>
  <c r="G8444" i="51"/>
  <c r="G8445" i="51"/>
  <c r="G8446" i="51"/>
  <c r="G8447" i="51"/>
  <c r="G8448" i="51"/>
  <c r="G8449" i="51"/>
  <c r="G8450" i="51"/>
  <c r="G8451" i="51"/>
  <c r="G8452" i="51"/>
  <c r="G8453" i="51"/>
  <c r="G8454" i="51"/>
  <c r="G8455" i="51"/>
  <c r="G8456" i="51"/>
  <c r="G8457" i="51"/>
  <c r="G8458" i="51"/>
  <c r="G8459" i="51"/>
  <c r="G8460" i="51"/>
  <c r="G8461" i="51"/>
  <c r="G8462" i="51"/>
  <c r="G8463" i="51"/>
  <c r="G8464" i="51"/>
  <c r="G8465" i="51"/>
  <c r="G8466" i="51"/>
  <c r="G8467" i="51"/>
  <c r="G8468" i="51"/>
  <c r="G8469" i="51"/>
  <c r="G8470" i="51"/>
  <c r="G8471" i="51"/>
  <c r="G8472" i="51"/>
  <c r="G8473" i="51"/>
  <c r="G8474" i="51"/>
  <c r="G8475" i="51"/>
  <c r="G8476" i="51"/>
  <c r="G8477" i="51"/>
  <c r="G8478" i="51"/>
  <c r="G8479" i="51"/>
  <c r="G8480" i="51"/>
  <c r="G8481" i="51"/>
  <c r="G8482" i="51"/>
  <c r="G8483" i="51"/>
  <c r="G8484" i="51"/>
  <c r="G8485" i="51"/>
  <c r="G8486" i="51"/>
  <c r="G8487" i="51"/>
  <c r="G8488" i="51"/>
  <c r="G8489" i="51"/>
  <c r="G8490" i="51"/>
  <c r="G8491" i="51"/>
  <c r="G8492" i="51"/>
  <c r="G8493" i="51"/>
  <c r="G8494" i="51"/>
  <c r="G8495" i="51"/>
  <c r="G8496" i="51"/>
  <c r="G8497" i="51"/>
  <c r="G8498" i="51"/>
  <c r="G8499" i="51"/>
  <c r="G8500" i="51"/>
  <c r="G8501" i="51"/>
  <c r="G8502" i="51"/>
  <c r="G8503" i="51"/>
  <c r="G8504" i="51"/>
  <c r="G8505" i="51"/>
  <c r="G8506" i="51"/>
  <c r="G8507" i="51"/>
  <c r="G8508" i="51"/>
  <c r="G8509" i="51"/>
  <c r="G8510" i="51"/>
  <c r="G8511" i="51"/>
  <c r="G8512" i="51"/>
  <c r="G8513" i="51"/>
  <c r="G8514" i="51"/>
  <c r="G8515" i="51"/>
  <c r="G8516" i="51"/>
  <c r="G8517" i="51"/>
  <c r="G8518" i="51"/>
  <c r="G8519" i="51"/>
  <c r="G8520" i="51"/>
  <c r="G8521" i="51"/>
  <c r="G8522" i="51"/>
  <c r="G8523" i="51"/>
  <c r="G8524" i="51"/>
  <c r="G8525" i="51"/>
  <c r="G8526" i="51"/>
  <c r="G8527" i="51"/>
  <c r="G8528" i="51"/>
  <c r="G8529" i="51"/>
  <c r="G8530" i="51"/>
  <c r="G8531" i="51"/>
  <c r="G8532" i="51"/>
  <c r="G8533" i="51"/>
  <c r="G8534" i="51"/>
  <c r="G8535" i="51"/>
  <c r="G8536" i="51"/>
  <c r="G8537" i="51"/>
  <c r="G8538" i="51"/>
  <c r="G8539" i="51"/>
  <c r="G8540" i="51"/>
  <c r="G8541" i="51"/>
  <c r="G8542" i="51"/>
  <c r="G8543" i="51"/>
  <c r="G8544" i="51"/>
  <c r="G8545" i="51"/>
  <c r="G8546" i="51"/>
  <c r="G8547" i="51"/>
  <c r="G8548" i="51"/>
  <c r="G8549" i="51"/>
  <c r="G8550" i="51"/>
  <c r="G8551" i="51"/>
  <c r="G8552" i="51"/>
  <c r="G8553" i="51"/>
  <c r="G8554" i="51"/>
  <c r="G8555" i="51"/>
  <c r="G8556" i="51"/>
  <c r="G8557" i="51"/>
  <c r="G8558" i="51"/>
  <c r="G8559" i="51"/>
  <c r="G8560" i="51"/>
  <c r="G8561" i="51"/>
  <c r="G8562" i="51"/>
  <c r="G8563" i="51"/>
  <c r="G8564" i="51"/>
  <c r="G8565" i="51"/>
  <c r="G8566" i="51"/>
  <c r="G8567" i="51"/>
  <c r="G8568" i="51"/>
  <c r="G8569" i="51"/>
  <c r="G8570" i="51"/>
  <c r="G8571" i="51"/>
  <c r="G8572" i="51"/>
  <c r="G8573" i="51"/>
  <c r="G8574" i="51"/>
  <c r="G8575" i="51"/>
  <c r="G8576" i="51"/>
  <c r="G8577" i="51"/>
  <c r="G8578" i="51"/>
  <c r="G8579" i="51"/>
  <c r="G8580" i="51"/>
  <c r="G8581" i="51"/>
  <c r="G8582" i="51"/>
  <c r="G8583" i="51"/>
  <c r="G8584" i="51"/>
  <c r="G8585" i="51"/>
  <c r="G8586" i="51"/>
  <c r="G8587" i="51"/>
  <c r="G8588" i="51"/>
  <c r="G8589" i="51"/>
  <c r="G8590" i="51"/>
  <c r="G8591" i="51"/>
  <c r="G8592" i="51"/>
  <c r="G8593" i="51"/>
  <c r="G8594" i="51"/>
  <c r="G8595" i="51"/>
  <c r="G8596" i="51"/>
  <c r="G8597" i="51"/>
  <c r="G8598" i="51"/>
  <c r="G8599" i="51"/>
  <c r="G8600" i="51"/>
  <c r="G8601" i="51"/>
  <c r="G8602" i="51"/>
  <c r="G8603" i="51"/>
  <c r="G8604" i="51"/>
  <c r="G8605" i="51"/>
  <c r="G8606" i="51"/>
  <c r="G8607" i="51"/>
  <c r="G8608" i="51"/>
  <c r="G8609" i="51"/>
  <c r="G8610" i="51"/>
  <c r="G8611" i="51"/>
  <c r="G8612" i="51"/>
  <c r="G8613" i="51"/>
  <c r="G8614" i="51"/>
  <c r="G8615" i="51"/>
  <c r="G8616" i="51"/>
  <c r="G8617" i="51"/>
  <c r="G8618" i="51"/>
  <c r="G8619" i="51"/>
  <c r="G8620" i="51"/>
  <c r="G8621" i="51"/>
  <c r="G8622" i="51"/>
  <c r="G8623" i="51"/>
  <c r="G8624" i="51"/>
  <c r="G8625" i="51"/>
  <c r="G8626" i="51"/>
  <c r="G8627" i="51"/>
  <c r="G8628" i="51"/>
  <c r="G8629" i="51"/>
  <c r="G8630" i="51"/>
  <c r="G8631" i="51"/>
  <c r="G8632" i="51"/>
  <c r="G8633" i="51"/>
  <c r="G8634" i="51"/>
  <c r="G8635" i="51"/>
  <c r="G8636" i="51"/>
  <c r="G8637" i="51"/>
  <c r="G8638" i="51"/>
  <c r="G8639" i="51"/>
  <c r="G8640" i="51"/>
  <c r="G8641" i="51"/>
  <c r="G8642" i="51"/>
  <c r="G8643" i="51"/>
  <c r="G8644" i="51"/>
  <c r="G8645" i="51"/>
  <c r="G8646" i="51"/>
  <c r="G8647" i="51"/>
  <c r="G8648" i="51"/>
  <c r="G8649" i="51"/>
  <c r="G8650" i="51"/>
  <c r="G8651" i="51"/>
  <c r="G8652" i="51"/>
  <c r="G8653" i="51"/>
  <c r="G8654" i="51"/>
  <c r="G8655" i="51"/>
  <c r="G8656" i="51"/>
  <c r="G8657" i="51"/>
  <c r="G8658" i="51"/>
  <c r="G8659" i="51"/>
  <c r="G8660" i="51"/>
  <c r="G8661" i="51"/>
  <c r="G8662" i="51"/>
  <c r="G8663" i="51"/>
  <c r="G8664" i="51"/>
  <c r="G8665" i="51"/>
  <c r="G8666" i="51"/>
  <c r="G8667" i="51"/>
  <c r="G8668" i="51"/>
  <c r="G8669" i="51"/>
  <c r="G8670" i="51"/>
  <c r="G8671" i="51"/>
  <c r="G8672" i="51"/>
  <c r="G8673" i="51"/>
  <c r="G8674" i="51"/>
  <c r="G8675" i="51"/>
  <c r="G8676" i="51"/>
  <c r="G8677" i="51"/>
  <c r="G8678" i="51"/>
  <c r="G8679" i="51"/>
  <c r="G8680" i="51"/>
  <c r="G8681" i="51"/>
  <c r="G8682" i="51"/>
  <c r="G8683" i="51"/>
  <c r="G8684" i="51"/>
  <c r="G8685" i="51"/>
  <c r="G8686" i="51"/>
  <c r="G8687" i="51"/>
  <c r="G8688" i="51"/>
  <c r="G8689" i="51"/>
  <c r="G8690" i="51"/>
  <c r="G8691" i="51"/>
  <c r="G8692" i="51"/>
  <c r="G8693" i="51"/>
  <c r="G8694" i="51"/>
  <c r="G8695" i="51"/>
  <c r="G8696" i="51"/>
  <c r="G8697" i="51"/>
  <c r="G8698" i="51"/>
  <c r="G8699" i="51"/>
  <c r="G8700" i="51"/>
  <c r="G8701" i="51"/>
  <c r="G8702" i="51"/>
  <c r="G8703" i="51"/>
  <c r="G8704" i="51"/>
  <c r="G8705" i="51"/>
  <c r="G8706" i="51"/>
  <c r="G8707" i="51"/>
  <c r="G8708" i="51"/>
  <c r="G8709" i="51"/>
  <c r="G8710" i="51"/>
  <c r="G8711" i="51"/>
  <c r="G8712" i="51"/>
  <c r="G8713" i="51"/>
  <c r="G8714" i="51"/>
  <c r="G8715" i="51"/>
  <c r="G8716" i="51"/>
  <c r="G8717" i="51"/>
  <c r="G8718" i="51"/>
  <c r="G8719" i="51"/>
  <c r="G8720" i="51"/>
  <c r="G8721" i="51"/>
  <c r="G8722" i="51"/>
  <c r="G8723" i="51"/>
  <c r="G8724" i="51"/>
  <c r="G8725" i="51"/>
  <c r="G8726" i="51"/>
  <c r="G8727" i="51"/>
  <c r="G8728" i="51"/>
  <c r="G8729" i="51"/>
  <c r="G8730" i="51"/>
  <c r="G8731" i="51"/>
  <c r="G8732" i="51"/>
  <c r="G8733" i="51"/>
  <c r="G8734" i="51"/>
  <c r="G8735" i="51"/>
  <c r="G8736" i="51"/>
  <c r="G8737" i="51"/>
  <c r="G8738" i="51"/>
  <c r="G8739" i="51"/>
  <c r="G8740" i="51"/>
  <c r="G8741" i="51"/>
  <c r="G8742" i="51"/>
  <c r="G8743" i="51"/>
  <c r="G8744" i="51"/>
  <c r="G8745" i="51"/>
  <c r="G8746" i="51"/>
  <c r="G8747" i="51"/>
  <c r="G8748" i="51"/>
  <c r="G8749" i="51"/>
  <c r="G8750" i="51"/>
  <c r="G8751" i="51"/>
  <c r="G8752" i="51"/>
  <c r="G8753" i="51"/>
  <c r="G8754" i="51"/>
  <c r="G8755" i="51"/>
  <c r="G8756" i="51"/>
  <c r="G8757" i="51"/>
  <c r="G8758" i="51"/>
  <c r="G8759" i="51"/>
  <c r="G8760" i="51"/>
  <c r="G8761" i="51"/>
  <c r="G8762" i="51"/>
  <c r="G8763" i="51"/>
  <c r="G8764" i="51"/>
  <c r="G8765" i="51"/>
  <c r="G8766" i="51"/>
  <c r="G8767" i="51"/>
  <c r="G8768" i="51"/>
  <c r="G8769" i="51"/>
  <c r="G8770" i="51"/>
  <c r="G8771" i="51"/>
  <c r="G8772" i="51"/>
  <c r="G8773" i="51"/>
  <c r="G8774" i="51"/>
  <c r="G8775" i="51"/>
  <c r="G8776" i="51"/>
  <c r="G8777" i="51"/>
  <c r="G8778" i="51"/>
  <c r="G8779" i="51"/>
  <c r="G8780" i="51"/>
  <c r="G8781" i="51"/>
  <c r="G8782" i="51"/>
  <c r="G8783" i="51"/>
  <c r="G8784" i="51"/>
  <c r="G8785" i="51"/>
  <c r="G8786" i="51"/>
  <c r="G8787" i="51"/>
  <c r="G8788" i="51"/>
  <c r="G8789" i="51"/>
  <c r="G8790" i="51"/>
  <c r="G8791" i="51"/>
  <c r="G8792" i="51"/>
  <c r="G8793" i="51"/>
  <c r="G8794" i="51"/>
  <c r="G8795" i="51"/>
  <c r="G8796" i="51"/>
  <c r="G8797" i="51"/>
  <c r="G8798" i="51"/>
  <c r="G8799" i="51"/>
  <c r="G8800" i="51"/>
  <c r="G8801" i="51"/>
  <c r="G8802" i="51"/>
  <c r="G8803" i="51"/>
  <c r="G8804" i="51"/>
  <c r="G8805" i="51"/>
  <c r="G8806" i="51"/>
  <c r="G8807" i="51"/>
  <c r="G8808" i="51"/>
  <c r="G8809" i="51"/>
  <c r="G8810" i="51"/>
  <c r="G8811" i="51"/>
  <c r="G8812" i="51"/>
  <c r="G8813" i="51"/>
  <c r="G8814" i="51"/>
  <c r="G8815" i="51"/>
  <c r="G8816" i="51"/>
  <c r="G8817" i="51"/>
  <c r="G8818" i="51"/>
  <c r="G8819" i="51"/>
  <c r="G8820" i="51"/>
  <c r="G8821" i="51"/>
  <c r="G8822" i="51"/>
  <c r="G8823" i="51"/>
  <c r="G8824" i="51"/>
  <c r="G8825" i="51"/>
  <c r="G8826" i="51"/>
  <c r="G8827" i="51"/>
  <c r="G8828" i="51"/>
  <c r="G8829" i="51"/>
  <c r="G8830" i="51"/>
  <c r="G8831" i="51"/>
  <c r="G8832" i="51"/>
  <c r="G8833" i="51"/>
  <c r="G8834" i="51"/>
  <c r="G8835" i="51"/>
  <c r="G8836" i="51"/>
  <c r="G8837" i="51"/>
  <c r="G8838" i="51"/>
  <c r="G8839" i="51"/>
  <c r="G8840" i="51"/>
  <c r="G8841" i="51"/>
  <c r="G8842" i="51"/>
  <c r="G8843" i="51"/>
  <c r="G8844" i="51"/>
  <c r="G8845" i="51"/>
  <c r="G8846" i="51"/>
  <c r="G8847" i="51"/>
  <c r="G8848" i="51"/>
  <c r="G8849" i="51"/>
  <c r="G8850" i="51"/>
  <c r="G8851" i="51"/>
  <c r="G8852" i="51"/>
  <c r="G8853" i="51"/>
  <c r="G8854" i="51"/>
  <c r="G8855" i="51"/>
  <c r="G8856" i="51"/>
  <c r="G8857" i="51"/>
  <c r="G8858" i="51"/>
  <c r="G8859" i="51"/>
  <c r="G8860" i="51"/>
  <c r="G8861" i="51"/>
  <c r="G8862" i="51"/>
  <c r="G8863" i="51"/>
  <c r="G8864" i="51"/>
  <c r="G8865" i="51"/>
  <c r="G8866" i="51"/>
  <c r="G8867" i="51"/>
  <c r="G8868" i="51"/>
  <c r="G8869" i="51"/>
  <c r="G8870" i="51"/>
  <c r="G8871" i="51"/>
  <c r="G8872" i="51"/>
  <c r="G8873" i="51"/>
  <c r="G8874" i="51"/>
  <c r="G8875" i="51"/>
  <c r="B54" i="82" l="1"/>
  <c r="M54" i="82" s="1"/>
  <c r="R54" i="82"/>
  <c r="S54" i="82"/>
  <c r="T54" i="82"/>
  <c r="U54" i="82"/>
  <c r="B55" i="64"/>
  <c r="BP55" i="64"/>
  <c r="X54" i="82" l="1"/>
  <c r="T399" i="97"/>
  <c r="V399" i="97" s="1"/>
  <c r="U399" i="97"/>
  <c r="W399" i="97" s="1"/>
  <c r="T400" i="97"/>
  <c r="V400" i="97" s="1"/>
  <c r="U400" i="97"/>
  <c r="W400" i="97" s="1"/>
  <c r="T401" i="97"/>
  <c r="V401" i="97" s="1"/>
  <c r="U401" i="97"/>
  <c r="W401" i="97" s="1"/>
  <c r="T402" i="97"/>
  <c r="V402" i="97" s="1"/>
  <c r="U402" i="97"/>
  <c r="W402" i="97" s="1"/>
  <c r="T403" i="97"/>
  <c r="V403" i="97" s="1"/>
  <c r="U403" i="97"/>
  <c r="W403" i="97" s="1"/>
  <c r="T404" i="97"/>
  <c r="V404" i="97" s="1"/>
  <c r="U404" i="97"/>
  <c r="W404" i="97" s="1"/>
  <c r="T390" i="97"/>
  <c r="V390" i="97" s="1"/>
  <c r="U390" i="97"/>
  <c r="W390" i="97" s="1"/>
  <c r="T391" i="97"/>
  <c r="V391" i="97" s="1"/>
  <c r="U391" i="97"/>
  <c r="W391" i="97" s="1"/>
  <c r="T392" i="97"/>
  <c r="V392" i="97" s="1"/>
  <c r="U392" i="97"/>
  <c r="W392" i="97" s="1"/>
  <c r="T393" i="97"/>
  <c r="V393" i="97" s="1"/>
  <c r="U393" i="97"/>
  <c r="W393" i="97" s="1"/>
  <c r="T394" i="97"/>
  <c r="V394" i="97" s="1"/>
  <c r="U394" i="97"/>
  <c r="W394" i="97" s="1"/>
  <c r="T395" i="97"/>
  <c r="V395" i="97" s="1"/>
  <c r="U395" i="97"/>
  <c r="W395" i="97" s="1"/>
  <c r="T396" i="97"/>
  <c r="V396" i="97" s="1"/>
  <c r="U396" i="97"/>
  <c r="W396" i="97" s="1"/>
  <c r="T397" i="97"/>
  <c r="V397" i="97" s="1"/>
  <c r="U397" i="97"/>
  <c r="W397" i="97" s="1"/>
  <c r="T398" i="97"/>
  <c r="V398" i="97" s="1"/>
  <c r="U398" i="97"/>
  <c r="W398" i="97" s="1"/>
  <c r="T381" i="97"/>
  <c r="V381" i="97" s="1"/>
  <c r="U381" i="97"/>
  <c r="W381" i="97" s="1"/>
  <c r="T382" i="97"/>
  <c r="V382" i="97" s="1"/>
  <c r="U382" i="97"/>
  <c r="W382" i="97" s="1"/>
  <c r="T383" i="97"/>
  <c r="V383" i="97" s="1"/>
  <c r="U383" i="97"/>
  <c r="W383" i="97" s="1"/>
  <c r="T384" i="97"/>
  <c r="V384" i="97" s="1"/>
  <c r="U384" i="97"/>
  <c r="W384" i="97" s="1"/>
  <c r="T385" i="97"/>
  <c r="V385" i="97" s="1"/>
  <c r="U385" i="97"/>
  <c r="W385" i="97" s="1"/>
  <c r="T386" i="97"/>
  <c r="V386" i="97" s="1"/>
  <c r="U386" i="97"/>
  <c r="W386" i="97" s="1"/>
  <c r="T387" i="97"/>
  <c r="V387" i="97" s="1"/>
  <c r="U387" i="97"/>
  <c r="W387" i="97" s="1"/>
  <c r="T388" i="97"/>
  <c r="V388" i="97" s="1"/>
  <c r="U388" i="97"/>
  <c r="W388" i="97" s="1"/>
  <c r="T389" i="97"/>
  <c r="V389" i="97" s="1"/>
  <c r="U389" i="97"/>
  <c r="W389" i="97" s="1"/>
  <c r="T366" i="97"/>
  <c r="V366" i="97" s="1"/>
  <c r="U366" i="97"/>
  <c r="W366" i="97" s="1"/>
  <c r="T367" i="97"/>
  <c r="V367" i="97" s="1"/>
  <c r="U367" i="97"/>
  <c r="W367" i="97" s="1"/>
  <c r="T368" i="97"/>
  <c r="V368" i="97" s="1"/>
  <c r="U368" i="97"/>
  <c r="W368" i="97" s="1"/>
  <c r="T369" i="97"/>
  <c r="V369" i="97" s="1"/>
  <c r="U369" i="97"/>
  <c r="W369" i="97" s="1"/>
  <c r="T370" i="97"/>
  <c r="V370" i="97" s="1"/>
  <c r="U370" i="97"/>
  <c r="W370" i="97" s="1"/>
  <c r="T371" i="97"/>
  <c r="V371" i="97" s="1"/>
  <c r="U371" i="97"/>
  <c r="W371" i="97" s="1"/>
  <c r="T372" i="97"/>
  <c r="V372" i="97" s="1"/>
  <c r="U372" i="97"/>
  <c r="W372" i="97" s="1"/>
  <c r="T373" i="97"/>
  <c r="U373" i="97"/>
  <c r="W373" i="97" s="1"/>
  <c r="V373" i="97"/>
  <c r="T374" i="97"/>
  <c r="V374" i="97" s="1"/>
  <c r="U374" i="97"/>
  <c r="W374" i="97" s="1"/>
  <c r="T375" i="97"/>
  <c r="V375" i="97" s="1"/>
  <c r="U375" i="97"/>
  <c r="W375" i="97" s="1"/>
  <c r="T376" i="97"/>
  <c r="V376" i="97" s="1"/>
  <c r="U376" i="97"/>
  <c r="W376" i="97" s="1"/>
  <c r="T377" i="97"/>
  <c r="V377" i="97" s="1"/>
  <c r="U377" i="97"/>
  <c r="W377" i="97" s="1"/>
  <c r="T378" i="97"/>
  <c r="V378" i="97" s="1"/>
  <c r="U378" i="97"/>
  <c r="W378" i="97" s="1"/>
  <c r="T379" i="97"/>
  <c r="V379" i="97" s="1"/>
  <c r="U379" i="97"/>
  <c r="W379" i="97" s="1"/>
  <c r="T380" i="97"/>
  <c r="V380" i="97" s="1"/>
  <c r="U380" i="97"/>
  <c r="W380" i="97" s="1"/>
  <c r="B6" i="82" l="1"/>
  <c r="X6" i="82" s="1"/>
  <c r="B7" i="82"/>
  <c r="X7" i="82" s="1"/>
  <c r="B8" i="82"/>
  <c r="X8" i="82" s="1"/>
  <c r="B9" i="82"/>
  <c r="X9" i="82" s="1"/>
  <c r="B10" i="82"/>
  <c r="X10" i="82" s="1"/>
  <c r="B11" i="82"/>
  <c r="M11" i="82" s="1"/>
  <c r="B12" i="82"/>
  <c r="X12" i="82" s="1"/>
  <c r="B13" i="82"/>
  <c r="X13" i="82" s="1"/>
  <c r="B14" i="82"/>
  <c r="X14" i="82" s="1"/>
  <c r="B15" i="82"/>
  <c r="X15" i="82" s="1"/>
  <c r="B16" i="82"/>
  <c r="X16" i="82" s="1"/>
  <c r="B17" i="82"/>
  <c r="X17" i="82" s="1"/>
  <c r="B18" i="82"/>
  <c r="X18" i="82" s="1"/>
  <c r="B19" i="82"/>
  <c r="X19" i="82" s="1"/>
  <c r="B20" i="82"/>
  <c r="X20" i="82" s="1"/>
  <c r="B21" i="82"/>
  <c r="X21" i="82" s="1"/>
  <c r="B22" i="82"/>
  <c r="X22" i="82" s="1"/>
  <c r="B23" i="82"/>
  <c r="X23" i="82" s="1"/>
  <c r="B24" i="82"/>
  <c r="X24" i="82" s="1"/>
  <c r="B25" i="82"/>
  <c r="X25" i="82" s="1"/>
  <c r="B26" i="82"/>
  <c r="X26" i="82" s="1"/>
  <c r="B27" i="82"/>
  <c r="X27" i="82" s="1"/>
  <c r="B28" i="82"/>
  <c r="X28" i="82" s="1"/>
  <c r="B29" i="82"/>
  <c r="X29" i="82" s="1"/>
  <c r="B30" i="82"/>
  <c r="X30" i="82" s="1"/>
  <c r="B31" i="82"/>
  <c r="X31" i="82" s="1"/>
  <c r="B32" i="82"/>
  <c r="X32" i="82" s="1"/>
  <c r="B33" i="82"/>
  <c r="X33" i="82" s="1"/>
  <c r="B34" i="82"/>
  <c r="X34" i="82" s="1"/>
  <c r="B35" i="82"/>
  <c r="X35" i="82" s="1"/>
  <c r="B36" i="82"/>
  <c r="X36" i="82" s="1"/>
  <c r="B37" i="82"/>
  <c r="X37" i="82" s="1"/>
  <c r="B38" i="82"/>
  <c r="X38" i="82" s="1"/>
  <c r="B39" i="82"/>
  <c r="X39" i="82" s="1"/>
  <c r="B40" i="82"/>
  <c r="X40" i="82" s="1"/>
  <c r="B41" i="82"/>
  <c r="X41" i="82" s="1"/>
  <c r="B42" i="82"/>
  <c r="X42" i="82" s="1"/>
  <c r="B43" i="82"/>
  <c r="X43" i="82" s="1"/>
  <c r="B44" i="82"/>
  <c r="X44" i="82" s="1"/>
  <c r="B45" i="82"/>
  <c r="X45" i="82" s="1"/>
  <c r="B46" i="82"/>
  <c r="X46" i="82" s="1"/>
  <c r="B47" i="82"/>
  <c r="X47" i="82" s="1"/>
  <c r="B48" i="82"/>
  <c r="X48" i="82" s="1"/>
  <c r="B49" i="82"/>
  <c r="X49" i="82" s="1"/>
  <c r="B50" i="82"/>
  <c r="X50" i="82" s="1"/>
  <c r="B51" i="82"/>
  <c r="X51" i="82" s="1"/>
  <c r="B52" i="82"/>
  <c r="X52" i="82" s="1"/>
  <c r="B53" i="82"/>
  <c r="X53" i="82" s="1"/>
  <c r="B55" i="82"/>
  <c r="X55" i="82" s="1"/>
  <c r="B56" i="82"/>
  <c r="X56" i="82" s="1"/>
  <c r="B57" i="82"/>
  <c r="X57" i="82" s="1"/>
  <c r="B58" i="82"/>
  <c r="X58" i="82" s="1"/>
  <c r="B59" i="82"/>
  <c r="X59" i="82" s="1"/>
  <c r="B60" i="82"/>
  <c r="M60" i="82" s="1"/>
  <c r="B61" i="82"/>
  <c r="X61" i="82" s="1"/>
  <c r="B62" i="82"/>
  <c r="X62" i="82" s="1"/>
  <c r="B63" i="82"/>
  <c r="X63" i="82" s="1"/>
  <c r="B64" i="82"/>
  <c r="X64" i="82" s="1"/>
  <c r="B5" i="82"/>
  <c r="X5" i="82" s="1"/>
  <c r="B6" i="102"/>
  <c r="M6" i="102" s="1"/>
  <c r="T6" i="102" s="1"/>
  <c r="B7" i="102"/>
  <c r="M7" i="102" s="1"/>
  <c r="T7" i="102" s="1"/>
  <c r="B8" i="102"/>
  <c r="M8" i="102" s="1"/>
  <c r="T8" i="102" s="1"/>
  <c r="B9" i="102"/>
  <c r="M9" i="102" s="1"/>
  <c r="T9" i="102" s="1"/>
  <c r="B10" i="102"/>
  <c r="M10" i="102" s="1"/>
  <c r="T10" i="102" s="1"/>
  <c r="B11" i="102"/>
  <c r="M11" i="102" s="1"/>
  <c r="T11" i="102" s="1"/>
  <c r="B12" i="102"/>
  <c r="M12" i="102" s="1"/>
  <c r="T12" i="102" s="1"/>
  <c r="B13" i="102"/>
  <c r="M13" i="102" s="1"/>
  <c r="T13" i="102" s="1"/>
  <c r="B14" i="102"/>
  <c r="M14" i="102" s="1"/>
  <c r="T14" i="102" s="1"/>
  <c r="B15" i="102"/>
  <c r="M15" i="102" s="1"/>
  <c r="T15" i="102" s="1"/>
  <c r="B16" i="102"/>
  <c r="M16" i="102" s="1"/>
  <c r="T16" i="102" s="1"/>
  <c r="B17" i="102"/>
  <c r="M17" i="102" s="1"/>
  <c r="T17" i="102" s="1"/>
  <c r="B18" i="102"/>
  <c r="M18" i="102" s="1"/>
  <c r="T18" i="102" s="1"/>
  <c r="B19" i="102"/>
  <c r="M19" i="102" s="1"/>
  <c r="T19" i="102" s="1"/>
  <c r="B20" i="102"/>
  <c r="M20" i="102" s="1"/>
  <c r="T20" i="102" s="1"/>
  <c r="B21" i="102"/>
  <c r="M21" i="102" s="1"/>
  <c r="T21" i="102" s="1"/>
  <c r="B22" i="102"/>
  <c r="M22" i="102" s="1"/>
  <c r="T22" i="102" s="1"/>
  <c r="B23" i="102"/>
  <c r="M23" i="102" s="1"/>
  <c r="T23" i="102" s="1"/>
  <c r="B24" i="102"/>
  <c r="M24" i="102" s="1"/>
  <c r="T24" i="102" s="1"/>
  <c r="B25" i="102"/>
  <c r="M25" i="102" s="1"/>
  <c r="T25" i="102" s="1"/>
  <c r="B26" i="102"/>
  <c r="M26" i="102" s="1"/>
  <c r="T26" i="102" s="1"/>
  <c r="B27" i="102"/>
  <c r="M27" i="102" s="1"/>
  <c r="T27" i="102" s="1"/>
  <c r="B28" i="102"/>
  <c r="M28" i="102" s="1"/>
  <c r="T28" i="102" s="1"/>
  <c r="B29" i="102"/>
  <c r="M29" i="102" s="1"/>
  <c r="T29" i="102" s="1"/>
  <c r="B30" i="102"/>
  <c r="M30" i="102" s="1"/>
  <c r="T30" i="102" s="1"/>
  <c r="B31" i="102"/>
  <c r="M31" i="102" s="1"/>
  <c r="T31" i="102" s="1"/>
  <c r="B32" i="102"/>
  <c r="M32" i="102" s="1"/>
  <c r="T32" i="102" s="1"/>
  <c r="B33" i="102"/>
  <c r="M33" i="102" s="1"/>
  <c r="T33" i="102" s="1"/>
  <c r="B34" i="102"/>
  <c r="M34" i="102" s="1"/>
  <c r="T34" i="102" s="1"/>
  <c r="B35" i="102"/>
  <c r="M35" i="102" s="1"/>
  <c r="T35" i="102" s="1"/>
  <c r="B36" i="102"/>
  <c r="M36" i="102" s="1"/>
  <c r="T36" i="102" s="1"/>
  <c r="B37" i="102"/>
  <c r="M37" i="102" s="1"/>
  <c r="T37" i="102" s="1"/>
  <c r="B38" i="102"/>
  <c r="M38" i="102" s="1"/>
  <c r="T38" i="102" s="1"/>
  <c r="B39" i="102"/>
  <c r="M39" i="102" s="1"/>
  <c r="T39" i="102" s="1"/>
  <c r="B40" i="102"/>
  <c r="M40" i="102" s="1"/>
  <c r="T40" i="102" s="1"/>
  <c r="B41" i="102"/>
  <c r="M41" i="102" s="1"/>
  <c r="T41" i="102" s="1"/>
  <c r="B42" i="102"/>
  <c r="M42" i="102" s="1"/>
  <c r="T42" i="102" s="1"/>
  <c r="B43" i="102"/>
  <c r="M43" i="102" s="1"/>
  <c r="T43" i="102" s="1"/>
  <c r="B44" i="102"/>
  <c r="M44" i="102" s="1"/>
  <c r="T44" i="102" s="1"/>
  <c r="B45" i="102"/>
  <c r="M45" i="102" s="1"/>
  <c r="T45" i="102" s="1"/>
  <c r="B46" i="102"/>
  <c r="M46" i="102" s="1"/>
  <c r="T46" i="102" s="1"/>
  <c r="B47" i="102"/>
  <c r="M47" i="102" s="1"/>
  <c r="T47" i="102" s="1"/>
  <c r="B48" i="102"/>
  <c r="M48" i="102" s="1"/>
  <c r="T48" i="102" s="1"/>
  <c r="B49" i="102"/>
  <c r="M49" i="102" s="1"/>
  <c r="T49" i="102" s="1"/>
  <c r="B50" i="102"/>
  <c r="M50" i="102" s="1"/>
  <c r="T50" i="102" s="1"/>
  <c r="B51" i="102"/>
  <c r="M51" i="102" s="1"/>
  <c r="T51" i="102" s="1"/>
  <c r="B52" i="102"/>
  <c r="M52" i="102" s="1"/>
  <c r="T52" i="102" s="1"/>
  <c r="B53" i="102"/>
  <c r="M53" i="102" s="1"/>
  <c r="T53" i="102" s="1"/>
  <c r="B54" i="102"/>
  <c r="M54" i="102" s="1"/>
  <c r="T54" i="102" s="1"/>
  <c r="B55" i="102"/>
  <c r="M55" i="102" s="1"/>
  <c r="T55" i="102" s="1"/>
  <c r="B56" i="102"/>
  <c r="M56" i="102" s="1"/>
  <c r="T56" i="102" s="1"/>
  <c r="B57" i="102"/>
  <c r="M57" i="102" s="1"/>
  <c r="T57" i="102" s="1"/>
  <c r="B58" i="102"/>
  <c r="M58" i="102" s="1"/>
  <c r="T58" i="102" s="1"/>
  <c r="B59" i="102"/>
  <c r="M59" i="102" s="1"/>
  <c r="T59" i="102" s="1"/>
  <c r="B60" i="102"/>
  <c r="M60" i="102" s="1"/>
  <c r="T60" i="102" s="1"/>
  <c r="B61" i="102"/>
  <c r="M61" i="102" s="1"/>
  <c r="T61" i="102" s="1"/>
  <c r="B62" i="102"/>
  <c r="M62" i="102" s="1"/>
  <c r="T62" i="102" s="1"/>
  <c r="B63" i="102"/>
  <c r="M63" i="102" s="1"/>
  <c r="T63" i="102" s="1"/>
  <c r="B64" i="102"/>
  <c r="M64" i="102" s="1"/>
  <c r="T64" i="102" s="1"/>
  <c r="B5" i="102"/>
  <c r="M5" i="102" s="1"/>
  <c r="T5" i="102" s="1"/>
  <c r="B7" i="64"/>
  <c r="B8" i="64"/>
  <c r="B9" i="64"/>
  <c r="B10" i="64"/>
  <c r="B11" i="64"/>
  <c r="B12" i="64"/>
  <c r="B13" i="64"/>
  <c r="B14" i="64"/>
  <c r="B15" i="64"/>
  <c r="B16" i="64"/>
  <c r="B17" i="64"/>
  <c r="B18" i="64"/>
  <c r="B19" i="64"/>
  <c r="B20" i="64"/>
  <c r="B21" i="64"/>
  <c r="B22" i="64"/>
  <c r="B23" i="64"/>
  <c r="B24" i="64"/>
  <c r="B25" i="64"/>
  <c r="B26" i="64"/>
  <c r="B27" i="64"/>
  <c r="B28" i="64"/>
  <c r="B29" i="64"/>
  <c r="B30" i="64"/>
  <c r="B31" i="64"/>
  <c r="B32" i="64"/>
  <c r="B33" i="64"/>
  <c r="B34" i="64"/>
  <c r="B35" i="64"/>
  <c r="B36" i="64"/>
  <c r="B37" i="64"/>
  <c r="B38" i="64"/>
  <c r="B39" i="64"/>
  <c r="B40" i="64"/>
  <c r="B41" i="64"/>
  <c r="B42" i="64"/>
  <c r="B43" i="64"/>
  <c r="B44" i="64"/>
  <c r="B45" i="64"/>
  <c r="B46" i="64"/>
  <c r="B47" i="64"/>
  <c r="B48" i="64"/>
  <c r="B49" i="64"/>
  <c r="B50" i="64"/>
  <c r="B51" i="64"/>
  <c r="B52" i="64"/>
  <c r="B53" i="64"/>
  <c r="B54" i="64"/>
  <c r="B56" i="64"/>
  <c r="B57" i="64"/>
  <c r="B58" i="64"/>
  <c r="B59" i="64"/>
  <c r="B60" i="64"/>
  <c r="B61" i="64"/>
  <c r="B62" i="64"/>
  <c r="B63" i="64"/>
  <c r="B64" i="64"/>
  <c r="B65" i="64"/>
  <c r="B6" i="64"/>
  <c r="B11" i="58"/>
  <c r="B12" i="58"/>
  <c r="B13" i="58"/>
  <c r="B14" i="58"/>
  <c r="B15" i="58"/>
  <c r="B16" i="58"/>
  <c r="B17" i="58"/>
  <c r="B18" i="58"/>
  <c r="B19" i="58"/>
  <c r="B20" i="58"/>
  <c r="B21" i="58"/>
  <c r="B22" i="58"/>
  <c r="B23" i="58"/>
  <c r="B24" i="58"/>
  <c r="B25" i="58"/>
  <c r="B26" i="58"/>
  <c r="B27" i="58"/>
  <c r="B28" i="58"/>
  <c r="B29" i="58"/>
  <c r="B30" i="58"/>
  <c r="B31" i="58"/>
  <c r="B32" i="58"/>
  <c r="B33" i="58"/>
  <c r="B34" i="58"/>
  <c r="B35" i="58"/>
  <c r="B36" i="58"/>
  <c r="B37" i="58"/>
  <c r="B38" i="58"/>
  <c r="B39" i="58"/>
  <c r="B40" i="58"/>
  <c r="B41" i="58"/>
  <c r="B42" i="58"/>
  <c r="B43" i="58"/>
  <c r="B44" i="58"/>
  <c r="B45" i="58"/>
  <c r="B46" i="58"/>
  <c r="B47" i="58"/>
  <c r="B48" i="58"/>
  <c r="B49" i="58"/>
  <c r="B50" i="58"/>
  <c r="B51" i="58"/>
  <c r="B52" i="58"/>
  <c r="B53" i="58"/>
  <c r="B54" i="58"/>
  <c r="B55" i="58"/>
  <c r="B56" i="58"/>
  <c r="B57" i="58"/>
  <c r="B58" i="58"/>
  <c r="B59" i="58"/>
  <c r="B60" i="58"/>
  <c r="B61" i="58"/>
  <c r="B62" i="58"/>
  <c r="B63" i="58"/>
  <c r="B64" i="58"/>
  <c r="B65" i="58"/>
  <c r="B66" i="58"/>
  <c r="B67" i="58"/>
  <c r="B68" i="58"/>
  <c r="B69" i="58"/>
  <c r="B70" i="58"/>
  <c r="B71" i="58"/>
  <c r="B72" i="58"/>
  <c r="B73" i="58"/>
  <c r="B74" i="58"/>
  <c r="B75" i="58"/>
  <c r="B76" i="58"/>
  <c r="B77" i="58"/>
  <c r="B78" i="58"/>
  <c r="B79" i="58"/>
  <c r="B80" i="58"/>
  <c r="B81" i="58"/>
  <c r="B82" i="58"/>
  <c r="B83" i="58"/>
  <c r="B84" i="58"/>
  <c r="B85" i="58"/>
  <c r="B86" i="58"/>
  <c r="B87" i="58"/>
  <c r="B88" i="58"/>
  <c r="B89" i="58"/>
  <c r="B90" i="58"/>
  <c r="B91" i="58"/>
  <c r="B92" i="58"/>
  <c r="B93" i="58"/>
  <c r="B94" i="58"/>
  <c r="B95" i="58"/>
  <c r="B96" i="58"/>
  <c r="B97" i="58"/>
  <c r="B98" i="58"/>
  <c r="B99" i="58"/>
  <c r="B100" i="58"/>
  <c r="B101" i="58"/>
  <c r="B102" i="58"/>
  <c r="B103" i="58"/>
  <c r="B104" i="58"/>
  <c r="B105" i="58"/>
  <c r="B106" i="58"/>
  <c r="B107" i="58"/>
  <c r="B108" i="58"/>
  <c r="B109" i="58"/>
  <c r="B110" i="58"/>
  <c r="B111" i="58"/>
  <c r="B112" i="58"/>
  <c r="B113" i="58"/>
  <c r="B114" i="58"/>
  <c r="B115" i="58"/>
  <c r="B116" i="58"/>
  <c r="B117" i="58"/>
  <c r="B118" i="58"/>
  <c r="B119" i="58"/>
  <c r="B120" i="58"/>
  <c r="B121" i="58"/>
  <c r="B122" i="58"/>
  <c r="B123" i="58"/>
  <c r="B124" i="58"/>
  <c r="B125" i="58"/>
  <c r="B126" i="58"/>
  <c r="B127" i="58"/>
  <c r="B128" i="58"/>
  <c r="B129" i="58"/>
  <c r="B130" i="58"/>
  <c r="B131" i="58"/>
  <c r="B132" i="58"/>
  <c r="B133" i="58"/>
  <c r="B134" i="58"/>
  <c r="B135" i="58"/>
  <c r="B136" i="58"/>
  <c r="B137" i="58"/>
  <c r="B138" i="58"/>
  <c r="B139" i="58"/>
  <c r="B140" i="58"/>
  <c r="B141" i="58"/>
  <c r="B142" i="58"/>
  <c r="B143" i="58"/>
  <c r="B144" i="58"/>
  <c r="B145" i="58"/>
  <c r="B10" i="58"/>
  <c r="B6" i="103"/>
  <c r="B7" i="103"/>
  <c r="B8" i="103"/>
  <c r="B9" i="103"/>
  <c r="B10" i="103"/>
  <c r="B11" i="103"/>
  <c r="B12" i="103"/>
  <c r="B13" i="103"/>
  <c r="B14" i="103"/>
  <c r="B15" i="103"/>
  <c r="B16" i="103"/>
  <c r="B17" i="103"/>
  <c r="B18" i="103"/>
  <c r="B19" i="103"/>
  <c r="B20" i="103"/>
  <c r="B21" i="103"/>
  <c r="B22" i="103"/>
  <c r="B23" i="103"/>
  <c r="B24" i="103"/>
  <c r="B25" i="103"/>
  <c r="B26" i="103"/>
  <c r="B27" i="103"/>
  <c r="B28" i="103"/>
  <c r="B29" i="103"/>
  <c r="B30" i="103"/>
  <c r="B31" i="103"/>
  <c r="B32" i="103"/>
  <c r="B33" i="103"/>
  <c r="B34" i="103"/>
  <c r="B35" i="103"/>
  <c r="B36" i="103"/>
  <c r="B37" i="103"/>
  <c r="B38" i="103"/>
  <c r="B39" i="103"/>
  <c r="B40" i="103"/>
  <c r="B41" i="103"/>
  <c r="B42" i="103"/>
  <c r="B43" i="103"/>
  <c r="B44" i="103"/>
  <c r="B45" i="103"/>
  <c r="B46" i="103"/>
  <c r="B47" i="103"/>
  <c r="B48" i="103"/>
  <c r="B49" i="103"/>
  <c r="B50" i="103"/>
  <c r="B51" i="103"/>
  <c r="B52" i="103"/>
  <c r="B53" i="103"/>
  <c r="B54" i="103"/>
  <c r="B55" i="103"/>
  <c r="B56" i="103"/>
  <c r="B57" i="103"/>
  <c r="B58" i="103"/>
  <c r="B59" i="103"/>
  <c r="B60" i="103"/>
  <c r="B61" i="103"/>
  <c r="B62" i="103"/>
  <c r="B63" i="103"/>
  <c r="B64" i="103"/>
  <c r="B5" i="103"/>
  <c r="M62" i="82" l="1"/>
  <c r="M49" i="82"/>
  <c r="M37" i="82"/>
  <c r="M25" i="82"/>
  <c r="M13" i="82"/>
  <c r="M61" i="82"/>
  <c r="M48" i="82"/>
  <c r="M36" i="82"/>
  <c r="M24" i="82"/>
  <c r="M12" i="82"/>
  <c r="M59" i="82"/>
  <c r="M46" i="82"/>
  <c r="M34" i="82"/>
  <c r="M22" i="82"/>
  <c r="M10" i="82"/>
  <c r="M58" i="82"/>
  <c r="M45" i="82"/>
  <c r="M33" i="82"/>
  <c r="M21" i="82"/>
  <c r="M9" i="82"/>
  <c r="M57" i="82"/>
  <c r="M44" i="82"/>
  <c r="M32" i="82"/>
  <c r="M20" i="82"/>
  <c r="M8" i="82"/>
  <c r="M56" i="82"/>
  <c r="M43" i="82"/>
  <c r="M31" i="82"/>
  <c r="M19" i="82"/>
  <c r="M7" i="82"/>
  <c r="M55" i="82"/>
  <c r="M42" i="82"/>
  <c r="M30" i="82"/>
  <c r="M18" i="82"/>
  <c r="M6" i="82"/>
  <c r="M5" i="82"/>
  <c r="M53" i="82"/>
  <c r="M41" i="82"/>
  <c r="M29" i="82"/>
  <c r="M17" i="82"/>
  <c r="M35" i="82"/>
  <c r="X60" i="82"/>
  <c r="X11" i="82"/>
  <c r="M52" i="82"/>
  <c r="M40" i="82"/>
  <c r="M28" i="82"/>
  <c r="M16" i="82"/>
  <c r="M47" i="82"/>
  <c r="M23" i="82"/>
  <c r="M64" i="82"/>
  <c r="M51" i="82"/>
  <c r="M39" i="82"/>
  <c r="M27" i="82"/>
  <c r="M15" i="82"/>
  <c r="M63" i="82"/>
  <c r="M50" i="82"/>
  <c r="M38" i="82"/>
  <c r="M26" i="82"/>
  <c r="M14" i="82"/>
  <c r="U60" i="82"/>
  <c r="T60" i="82"/>
  <c r="S60" i="82"/>
  <c r="R60" i="82"/>
  <c r="BP61" i="64"/>
  <c r="U57" i="82"/>
  <c r="T57" i="82"/>
  <c r="S57" i="82"/>
  <c r="R57" i="82"/>
  <c r="BP58" i="64"/>
  <c r="U32" i="82"/>
  <c r="T32" i="82"/>
  <c r="S32" i="82"/>
  <c r="R32" i="82"/>
  <c r="BP33" i="64"/>
  <c r="U19" i="82"/>
  <c r="T19" i="82"/>
  <c r="S19" i="82"/>
  <c r="R19" i="82"/>
  <c r="BP20" i="64"/>
  <c r="D123" i="58" l="1"/>
  <c r="D124" i="58"/>
  <c r="D125" i="58"/>
  <c r="D127" i="58"/>
  <c r="D128" i="58"/>
  <c r="D129" i="58"/>
  <c r="D130" i="58"/>
  <c r="D134" i="58"/>
  <c r="D135" i="58"/>
  <c r="D137" i="58"/>
  <c r="D139" i="58"/>
  <c r="D140" i="58"/>
  <c r="D141" i="58"/>
  <c r="D142" i="58"/>
  <c r="D121" i="58"/>
  <c r="D126" i="58"/>
  <c r="D136" i="58"/>
  <c r="D120" i="58"/>
  <c r="E120" i="58"/>
  <c r="E121" i="58"/>
  <c r="D122" i="58"/>
  <c r="E122" i="58"/>
  <c r="E123" i="58"/>
  <c r="E124" i="58"/>
  <c r="E125" i="58"/>
  <c r="E126" i="58"/>
  <c r="E127" i="58"/>
  <c r="E128" i="58"/>
  <c r="E129" i="58"/>
  <c r="E130" i="58"/>
  <c r="D131" i="58"/>
  <c r="E131" i="58"/>
  <c r="D132" i="58"/>
  <c r="E132" i="58"/>
  <c r="D133" i="58"/>
  <c r="E133" i="58"/>
  <c r="E134" i="58"/>
  <c r="E135" i="58"/>
  <c r="E136" i="58"/>
  <c r="E137" i="58"/>
  <c r="D138" i="58"/>
  <c r="E138" i="58"/>
  <c r="E139" i="58"/>
  <c r="E140" i="58"/>
  <c r="E141" i="58"/>
  <c r="E142" i="58"/>
  <c r="D143" i="58"/>
  <c r="E143" i="58"/>
  <c r="D144" i="58"/>
  <c r="E144" i="58"/>
  <c r="D145" i="58"/>
  <c r="E145" i="58"/>
  <c r="B120" i="50"/>
  <c r="C120" i="50"/>
  <c r="D120" i="50"/>
  <c r="E120" i="50"/>
  <c r="F120" i="50"/>
  <c r="G120" i="50"/>
  <c r="H120" i="50"/>
  <c r="I120" i="50"/>
  <c r="AT120" i="50"/>
  <c r="B121" i="50"/>
  <c r="C121" i="50"/>
  <c r="D121" i="50"/>
  <c r="E121" i="50"/>
  <c r="F121" i="50"/>
  <c r="G121" i="50"/>
  <c r="H121" i="50"/>
  <c r="I121" i="50"/>
  <c r="AT121" i="50"/>
  <c r="B122" i="50"/>
  <c r="C122" i="50"/>
  <c r="D122" i="50"/>
  <c r="E122" i="50"/>
  <c r="F122" i="50"/>
  <c r="G122" i="50"/>
  <c r="H122" i="50"/>
  <c r="I122" i="50"/>
  <c r="AT122" i="50"/>
  <c r="B123" i="50"/>
  <c r="C123" i="50"/>
  <c r="D123" i="50"/>
  <c r="E123" i="50"/>
  <c r="F123" i="50"/>
  <c r="G123" i="50"/>
  <c r="H123" i="50"/>
  <c r="I123" i="50"/>
  <c r="AT123" i="50"/>
  <c r="B124" i="50"/>
  <c r="C124" i="50"/>
  <c r="D124" i="50"/>
  <c r="E124" i="50"/>
  <c r="F124" i="50"/>
  <c r="G124" i="50"/>
  <c r="H124" i="50"/>
  <c r="I124" i="50"/>
  <c r="AT124" i="50"/>
  <c r="B125" i="50"/>
  <c r="C125" i="50"/>
  <c r="D125" i="50"/>
  <c r="E125" i="50"/>
  <c r="F125" i="50"/>
  <c r="G125" i="50"/>
  <c r="H125" i="50"/>
  <c r="I125" i="50"/>
  <c r="AT125" i="50"/>
  <c r="B126" i="50"/>
  <c r="C126" i="50"/>
  <c r="D126" i="50"/>
  <c r="E126" i="50"/>
  <c r="F126" i="50"/>
  <c r="G126" i="50"/>
  <c r="H126" i="50"/>
  <c r="I126" i="50"/>
  <c r="AT126" i="50"/>
  <c r="B127" i="50"/>
  <c r="C127" i="50"/>
  <c r="D127" i="50"/>
  <c r="E127" i="50"/>
  <c r="F127" i="50"/>
  <c r="G127" i="50"/>
  <c r="H127" i="50"/>
  <c r="I127" i="50"/>
  <c r="AT127" i="50"/>
  <c r="B128" i="50"/>
  <c r="C128" i="50"/>
  <c r="D128" i="50"/>
  <c r="E128" i="50"/>
  <c r="F128" i="50"/>
  <c r="G128" i="50"/>
  <c r="H128" i="50"/>
  <c r="I128" i="50"/>
  <c r="AT128" i="50"/>
  <c r="B129" i="50"/>
  <c r="C129" i="50"/>
  <c r="D129" i="50"/>
  <c r="E129" i="50"/>
  <c r="F129" i="50"/>
  <c r="G129" i="50"/>
  <c r="H129" i="50"/>
  <c r="I129" i="50"/>
  <c r="AT129" i="50"/>
  <c r="B130" i="50"/>
  <c r="C130" i="50"/>
  <c r="D130" i="50"/>
  <c r="E130" i="50"/>
  <c r="F130" i="50"/>
  <c r="G130" i="50"/>
  <c r="H130" i="50"/>
  <c r="I130" i="50"/>
  <c r="AT130" i="50"/>
  <c r="B131" i="50"/>
  <c r="C131" i="50"/>
  <c r="D131" i="50"/>
  <c r="E131" i="50"/>
  <c r="F131" i="50"/>
  <c r="G131" i="50"/>
  <c r="H131" i="50"/>
  <c r="I131" i="50"/>
  <c r="AT131" i="50"/>
  <c r="B132" i="50"/>
  <c r="C132" i="50"/>
  <c r="D132" i="50"/>
  <c r="E132" i="50"/>
  <c r="F132" i="50"/>
  <c r="G132" i="50"/>
  <c r="H132" i="50"/>
  <c r="I132" i="50"/>
  <c r="AT132" i="50"/>
  <c r="B133" i="50"/>
  <c r="C133" i="50"/>
  <c r="D133" i="50"/>
  <c r="E133" i="50"/>
  <c r="F133" i="50"/>
  <c r="G133" i="50"/>
  <c r="H133" i="50"/>
  <c r="I133" i="50"/>
  <c r="AT133" i="50"/>
  <c r="B134" i="50"/>
  <c r="C134" i="50"/>
  <c r="D134" i="50"/>
  <c r="E134" i="50"/>
  <c r="F134" i="50"/>
  <c r="G134" i="50"/>
  <c r="H134" i="50"/>
  <c r="I134" i="50"/>
  <c r="AT134" i="50"/>
  <c r="B135" i="50"/>
  <c r="C135" i="50"/>
  <c r="D135" i="50"/>
  <c r="E135" i="50"/>
  <c r="F135" i="50"/>
  <c r="G135" i="50"/>
  <c r="H135" i="50"/>
  <c r="I135" i="50"/>
  <c r="AT135" i="50"/>
  <c r="B136" i="50"/>
  <c r="J136" i="50" s="1"/>
  <c r="AP136" i="50" s="1"/>
  <c r="C136" i="50"/>
  <c r="D136" i="50"/>
  <c r="L136" i="50" s="1"/>
  <c r="AR136" i="50" s="1"/>
  <c r="E136" i="50"/>
  <c r="F136" i="50"/>
  <c r="G136" i="50"/>
  <c r="H136" i="50"/>
  <c r="I136" i="50"/>
  <c r="AT136" i="50"/>
  <c r="B137" i="50"/>
  <c r="C137" i="50"/>
  <c r="D137" i="50"/>
  <c r="E137" i="50"/>
  <c r="F137" i="50"/>
  <c r="G137" i="50"/>
  <c r="H137" i="50"/>
  <c r="I137" i="50"/>
  <c r="AT137" i="50"/>
  <c r="B138" i="50"/>
  <c r="C138" i="50"/>
  <c r="D138" i="50"/>
  <c r="E138" i="50"/>
  <c r="F138" i="50"/>
  <c r="G138" i="50"/>
  <c r="H138" i="50"/>
  <c r="I138" i="50"/>
  <c r="AT138" i="50"/>
  <c r="B139" i="50"/>
  <c r="C139" i="50"/>
  <c r="D139" i="50"/>
  <c r="E139" i="50"/>
  <c r="F139" i="50"/>
  <c r="G139" i="50"/>
  <c r="H139" i="50"/>
  <c r="I139" i="50"/>
  <c r="AT139" i="50"/>
  <c r="B140" i="50"/>
  <c r="C140" i="50"/>
  <c r="D140" i="50"/>
  <c r="E140" i="50"/>
  <c r="F140" i="50"/>
  <c r="G140" i="50"/>
  <c r="H140" i="50"/>
  <c r="I140" i="50"/>
  <c r="AT140" i="50"/>
  <c r="B141" i="50"/>
  <c r="C141" i="50"/>
  <c r="D141" i="50"/>
  <c r="E141" i="50"/>
  <c r="F141" i="50"/>
  <c r="G141" i="50"/>
  <c r="H141" i="50"/>
  <c r="I141" i="50"/>
  <c r="AT141" i="50"/>
  <c r="B142" i="50"/>
  <c r="C142" i="50"/>
  <c r="D142" i="50"/>
  <c r="E142" i="50"/>
  <c r="F142" i="50"/>
  <c r="G142" i="50"/>
  <c r="H142" i="50"/>
  <c r="I142" i="50"/>
  <c r="AT142" i="50"/>
  <c r="B143" i="50"/>
  <c r="J143" i="50" s="1"/>
  <c r="AP143" i="50" s="1"/>
  <c r="C143" i="50"/>
  <c r="D143" i="50"/>
  <c r="L143" i="50" s="1"/>
  <c r="AR143" i="50" s="1"/>
  <c r="E143" i="50"/>
  <c r="F143" i="50"/>
  <c r="G143" i="50"/>
  <c r="H143" i="50"/>
  <c r="I143" i="50"/>
  <c r="AT143" i="50"/>
  <c r="B144" i="50"/>
  <c r="C144" i="50"/>
  <c r="D144" i="50"/>
  <c r="E144" i="50"/>
  <c r="F144" i="50"/>
  <c r="G144" i="50"/>
  <c r="H144" i="50"/>
  <c r="I144" i="50"/>
  <c r="AT144" i="50"/>
  <c r="B99" i="52"/>
  <c r="E104" i="55" s="1"/>
  <c r="C99" i="52"/>
  <c r="C104" i="55" s="1"/>
  <c r="D99" i="52"/>
  <c r="D104" i="55" s="1"/>
  <c r="E99" i="52"/>
  <c r="B104" i="55" s="1"/>
  <c r="B100" i="52"/>
  <c r="E105" i="55" s="1"/>
  <c r="C100" i="52"/>
  <c r="C105" i="55" s="1"/>
  <c r="D100" i="52"/>
  <c r="D105" i="55" s="1"/>
  <c r="E100" i="52"/>
  <c r="B105" i="55" s="1"/>
  <c r="B101" i="52"/>
  <c r="E106" i="55" s="1"/>
  <c r="C101" i="52"/>
  <c r="C106" i="55" s="1"/>
  <c r="D101" i="52"/>
  <c r="D106" i="55" s="1"/>
  <c r="E101" i="52"/>
  <c r="B106" i="55" s="1"/>
  <c r="B102" i="52"/>
  <c r="E107" i="55" s="1"/>
  <c r="C102" i="52"/>
  <c r="C107" i="55" s="1"/>
  <c r="D102" i="52"/>
  <c r="D107" i="55" s="1"/>
  <c r="E102" i="52"/>
  <c r="B107" i="55" s="1"/>
  <c r="B103" i="52"/>
  <c r="E108" i="55" s="1"/>
  <c r="C103" i="52"/>
  <c r="C108" i="55" s="1"/>
  <c r="D103" i="52"/>
  <c r="D108" i="55" s="1"/>
  <c r="E103" i="52"/>
  <c r="B108" i="55" s="1"/>
  <c r="B104" i="52"/>
  <c r="E109" i="55" s="1"/>
  <c r="C104" i="52"/>
  <c r="C109" i="55" s="1"/>
  <c r="D104" i="52"/>
  <c r="D109" i="55" s="1"/>
  <c r="E104" i="52"/>
  <c r="B109" i="55" s="1"/>
  <c r="B105" i="52"/>
  <c r="E110" i="55" s="1"/>
  <c r="C105" i="52"/>
  <c r="C110" i="55" s="1"/>
  <c r="D105" i="52"/>
  <c r="D110" i="55" s="1"/>
  <c r="E105" i="52"/>
  <c r="B110" i="55" s="1"/>
  <c r="B106" i="52"/>
  <c r="E111" i="55" s="1"/>
  <c r="C106" i="52"/>
  <c r="C111" i="55" s="1"/>
  <c r="D106" i="52"/>
  <c r="D111" i="55" s="1"/>
  <c r="E106" i="52"/>
  <c r="B111" i="55" s="1"/>
  <c r="B107" i="52"/>
  <c r="E112" i="55" s="1"/>
  <c r="C107" i="52"/>
  <c r="C112" i="55" s="1"/>
  <c r="D107" i="52"/>
  <c r="D112" i="55" s="1"/>
  <c r="E107" i="52"/>
  <c r="B112" i="55" s="1"/>
  <c r="B108" i="52"/>
  <c r="E113" i="55" s="1"/>
  <c r="C108" i="52"/>
  <c r="C113" i="55" s="1"/>
  <c r="D108" i="52"/>
  <c r="D113" i="55" s="1"/>
  <c r="E108" i="52"/>
  <c r="B113" i="55" s="1"/>
  <c r="B109" i="52"/>
  <c r="E114" i="55" s="1"/>
  <c r="C109" i="52"/>
  <c r="C114" i="55" s="1"/>
  <c r="D109" i="52"/>
  <c r="D114" i="55" s="1"/>
  <c r="E109" i="52"/>
  <c r="B114" i="55" s="1"/>
  <c r="B110" i="52"/>
  <c r="E115" i="55" s="1"/>
  <c r="C110" i="52"/>
  <c r="C115" i="55" s="1"/>
  <c r="D110" i="52"/>
  <c r="D115" i="55" s="1"/>
  <c r="E110" i="52"/>
  <c r="B115" i="55" s="1"/>
  <c r="B111" i="52"/>
  <c r="E116" i="55" s="1"/>
  <c r="C111" i="52"/>
  <c r="C116" i="55" s="1"/>
  <c r="D111" i="52"/>
  <c r="D116" i="55" s="1"/>
  <c r="E111" i="52"/>
  <c r="B116" i="55" s="1"/>
  <c r="B112" i="52"/>
  <c r="E117" i="55" s="1"/>
  <c r="C112" i="52"/>
  <c r="C117" i="55" s="1"/>
  <c r="D112" i="52"/>
  <c r="D117" i="55" s="1"/>
  <c r="E112" i="52"/>
  <c r="B117" i="55" s="1"/>
  <c r="B113" i="52"/>
  <c r="E118" i="55" s="1"/>
  <c r="C113" i="52"/>
  <c r="C118" i="55" s="1"/>
  <c r="D113" i="52"/>
  <c r="D118" i="55" s="1"/>
  <c r="E113" i="52"/>
  <c r="B118" i="55" s="1"/>
  <c r="B114" i="52"/>
  <c r="E119" i="55" s="1"/>
  <c r="C114" i="52"/>
  <c r="C119" i="55" s="1"/>
  <c r="D114" i="52"/>
  <c r="D119" i="55" s="1"/>
  <c r="E114" i="52"/>
  <c r="B119" i="55" s="1"/>
  <c r="B115" i="52"/>
  <c r="E120" i="55" s="1"/>
  <c r="C115" i="52"/>
  <c r="C120" i="55" s="1"/>
  <c r="D115" i="52"/>
  <c r="D120" i="55" s="1"/>
  <c r="E115" i="52"/>
  <c r="B120" i="55" s="1"/>
  <c r="B116" i="52"/>
  <c r="E121" i="55" s="1"/>
  <c r="C116" i="52"/>
  <c r="C121" i="55" s="1"/>
  <c r="D116" i="52"/>
  <c r="D121" i="55" s="1"/>
  <c r="E116" i="52"/>
  <c r="B121" i="55" s="1"/>
  <c r="B117" i="52"/>
  <c r="E122" i="55" s="1"/>
  <c r="C117" i="52"/>
  <c r="C122" i="55" s="1"/>
  <c r="D117" i="52"/>
  <c r="D122" i="55" s="1"/>
  <c r="E117" i="52"/>
  <c r="B122" i="55" s="1"/>
  <c r="B118" i="52"/>
  <c r="E123" i="55" s="1"/>
  <c r="C118" i="52"/>
  <c r="C123" i="55" s="1"/>
  <c r="D118" i="52"/>
  <c r="D123" i="55" s="1"/>
  <c r="E118" i="52"/>
  <c r="B123" i="55" s="1"/>
  <c r="B119" i="52"/>
  <c r="E124" i="55" s="1"/>
  <c r="C119" i="52"/>
  <c r="C124" i="55" s="1"/>
  <c r="D119" i="52"/>
  <c r="D124" i="55" s="1"/>
  <c r="E119" i="52"/>
  <c r="B124" i="55" s="1"/>
  <c r="B120" i="52"/>
  <c r="E125" i="55" s="1"/>
  <c r="C120" i="52"/>
  <c r="C125" i="55" s="1"/>
  <c r="D120" i="52"/>
  <c r="D125" i="55" s="1"/>
  <c r="E120" i="52"/>
  <c r="B125" i="55" s="1"/>
  <c r="B121" i="52"/>
  <c r="E126" i="55" s="1"/>
  <c r="C121" i="52"/>
  <c r="C126" i="55" s="1"/>
  <c r="D121" i="52"/>
  <c r="D126" i="55" s="1"/>
  <c r="E121" i="52"/>
  <c r="B126" i="55" s="1"/>
  <c r="B122" i="52"/>
  <c r="E127" i="55" s="1"/>
  <c r="C122" i="52"/>
  <c r="C127" i="55" s="1"/>
  <c r="D122" i="52"/>
  <c r="D127" i="55" s="1"/>
  <c r="E122" i="52"/>
  <c r="B127" i="55" s="1"/>
  <c r="B123" i="52"/>
  <c r="E128" i="55" s="1"/>
  <c r="C123" i="52"/>
  <c r="C128" i="55" s="1"/>
  <c r="D123" i="52"/>
  <c r="D128" i="55" s="1"/>
  <c r="E123" i="52"/>
  <c r="B128" i="55" s="1"/>
  <c r="B124" i="52"/>
  <c r="E129" i="55" s="1"/>
  <c r="C124" i="52"/>
  <c r="C129" i="55" s="1"/>
  <c r="D124" i="52"/>
  <c r="D129" i="55" s="1"/>
  <c r="E124" i="52"/>
  <c r="B129" i="55" s="1"/>
  <c r="B125" i="52"/>
  <c r="E130" i="55" s="1"/>
  <c r="C125" i="52"/>
  <c r="C130" i="55" s="1"/>
  <c r="D125" i="52"/>
  <c r="D130" i="55" s="1"/>
  <c r="E125" i="52"/>
  <c r="B130" i="55" s="1"/>
  <c r="B126" i="52"/>
  <c r="E131" i="55" s="1"/>
  <c r="C126" i="52"/>
  <c r="C131" i="55" s="1"/>
  <c r="D126" i="52"/>
  <c r="D131" i="55" s="1"/>
  <c r="E126" i="52"/>
  <c r="B131" i="55" s="1"/>
  <c r="B127" i="52"/>
  <c r="E132" i="55" s="1"/>
  <c r="C127" i="52"/>
  <c r="C132" i="55" s="1"/>
  <c r="D127" i="52"/>
  <c r="D132" i="55" s="1"/>
  <c r="E127" i="52"/>
  <c r="B132" i="55" s="1"/>
  <c r="B128" i="52"/>
  <c r="E133" i="55" s="1"/>
  <c r="C128" i="52"/>
  <c r="C133" i="55" s="1"/>
  <c r="D128" i="52"/>
  <c r="D133" i="55" s="1"/>
  <c r="E128" i="52"/>
  <c r="B133" i="55" s="1"/>
  <c r="B129" i="52"/>
  <c r="E134" i="55" s="1"/>
  <c r="C129" i="52"/>
  <c r="C134" i="55" s="1"/>
  <c r="D129" i="52"/>
  <c r="D134" i="55" s="1"/>
  <c r="E129" i="52"/>
  <c r="B134" i="55" s="1"/>
  <c r="B130" i="52"/>
  <c r="E135" i="55" s="1"/>
  <c r="C130" i="52"/>
  <c r="C135" i="55" s="1"/>
  <c r="D130" i="52"/>
  <c r="D135" i="55" s="1"/>
  <c r="E130" i="52"/>
  <c r="B135" i="55" s="1"/>
  <c r="B131" i="52"/>
  <c r="E136" i="55" s="1"/>
  <c r="C131" i="52"/>
  <c r="C136" i="55" s="1"/>
  <c r="D131" i="52"/>
  <c r="D136" i="55" s="1"/>
  <c r="E131" i="52"/>
  <c r="B136" i="55" s="1"/>
  <c r="B132" i="52"/>
  <c r="E137" i="55" s="1"/>
  <c r="C132" i="52"/>
  <c r="C137" i="55" s="1"/>
  <c r="D132" i="52"/>
  <c r="D137" i="55" s="1"/>
  <c r="E132" i="52"/>
  <c r="B137" i="55" s="1"/>
  <c r="B133" i="52"/>
  <c r="E138" i="55" s="1"/>
  <c r="C133" i="52"/>
  <c r="C138" i="55" s="1"/>
  <c r="D133" i="52"/>
  <c r="D138" i="55" s="1"/>
  <c r="E133" i="52"/>
  <c r="B138" i="55" s="1"/>
  <c r="B134" i="52"/>
  <c r="E139" i="55" s="1"/>
  <c r="C134" i="52"/>
  <c r="C139" i="55" s="1"/>
  <c r="D134" i="52"/>
  <c r="D139" i="55" s="1"/>
  <c r="E134" i="52"/>
  <c r="B139" i="55" s="1"/>
  <c r="B135" i="52"/>
  <c r="E140" i="55" s="1"/>
  <c r="C135" i="52"/>
  <c r="C140" i="55" s="1"/>
  <c r="D135" i="52"/>
  <c r="D140" i="55" s="1"/>
  <c r="E135" i="52"/>
  <c r="B140" i="55" s="1"/>
  <c r="B136" i="52"/>
  <c r="E141" i="55" s="1"/>
  <c r="C136" i="52"/>
  <c r="C141" i="55" s="1"/>
  <c r="D136" i="52"/>
  <c r="D141" i="55" s="1"/>
  <c r="E136" i="52"/>
  <c r="B141" i="55" s="1"/>
  <c r="B137" i="52"/>
  <c r="E142" i="55" s="1"/>
  <c r="C137" i="52"/>
  <c r="C142" i="55" s="1"/>
  <c r="D137" i="52"/>
  <c r="D142" i="55" s="1"/>
  <c r="E137" i="52"/>
  <c r="B142" i="55" s="1"/>
  <c r="B138" i="52"/>
  <c r="E143" i="55" s="1"/>
  <c r="C138" i="52"/>
  <c r="C143" i="55" s="1"/>
  <c r="D138" i="52"/>
  <c r="D143" i="55" s="1"/>
  <c r="E138" i="52"/>
  <c r="B143" i="55" s="1"/>
  <c r="B139" i="52"/>
  <c r="E144" i="55" s="1"/>
  <c r="C139" i="52"/>
  <c r="C144" i="55" s="1"/>
  <c r="D139" i="52"/>
  <c r="D144" i="55" s="1"/>
  <c r="E139" i="52"/>
  <c r="B144" i="55" s="1"/>
  <c r="F139" i="52"/>
  <c r="B140" i="52"/>
  <c r="E145" i="55" s="1"/>
  <c r="C140" i="52"/>
  <c r="C145" i="55" s="1"/>
  <c r="D140" i="52"/>
  <c r="D145" i="55" s="1"/>
  <c r="E140" i="52"/>
  <c r="B145" i="55" s="1"/>
  <c r="F140" i="52"/>
  <c r="G3236" i="51"/>
  <c r="G3237" i="51"/>
  <c r="G3238" i="51"/>
  <c r="G3239" i="51"/>
  <c r="G3240" i="51"/>
  <c r="G3241" i="51"/>
  <c r="G3242" i="51"/>
  <c r="G3243" i="51"/>
  <c r="G3244" i="51"/>
  <c r="G3245" i="51"/>
  <c r="G3246" i="51"/>
  <c r="G3247" i="51"/>
  <c r="G3248" i="51"/>
  <c r="G3249" i="51"/>
  <c r="G3250" i="51"/>
  <c r="G3251" i="51"/>
  <c r="G3252" i="51"/>
  <c r="G3253" i="51"/>
  <c r="G3254" i="51"/>
  <c r="G3255" i="51"/>
  <c r="G3256" i="51"/>
  <c r="G3257" i="51"/>
  <c r="G3258" i="51"/>
  <c r="G3259" i="51"/>
  <c r="G3260" i="51"/>
  <c r="G3261" i="51"/>
  <c r="G3262" i="51"/>
  <c r="G3263" i="51"/>
  <c r="G3264" i="51"/>
  <c r="G3265" i="51"/>
  <c r="G3266" i="51"/>
  <c r="G3267" i="51"/>
  <c r="G3268" i="51"/>
  <c r="G3269" i="51"/>
  <c r="G3270" i="51"/>
  <c r="G3271" i="51"/>
  <c r="G3272" i="51"/>
  <c r="G3273" i="51"/>
  <c r="G3274" i="51"/>
  <c r="G3275" i="51"/>
  <c r="G3276" i="51"/>
  <c r="G3277" i="51"/>
  <c r="G3278" i="51"/>
  <c r="G3279" i="51"/>
  <c r="G3280" i="51"/>
  <c r="G3281" i="51"/>
  <c r="G3282" i="51"/>
  <c r="G3283" i="51"/>
  <c r="G3284" i="51"/>
  <c r="G3285" i="51"/>
  <c r="G3286" i="51"/>
  <c r="G3287" i="51"/>
  <c r="G3288" i="51"/>
  <c r="G3289" i="51"/>
  <c r="G3290" i="51"/>
  <c r="G3291" i="51"/>
  <c r="G3292" i="51"/>
  <c r="G3293" i="51"/>
  <c r="G3294" i="51"/>
  <c r="G3295" i="51"/>
  <c r="G3296" i="51"/>
  <c r="G3297" i="51"/>
  <c r="G3298" i="51"/>
  <c r="G3299" i="51"/>
  <c r="G3300" i="51"/>
  <c r="G3301" i="51"/>
  <c r="G3302" i="51"/>
  <c r="G3303" i="51"/>
  <c r="G3304" i="51"/>
  <c r="G3305" i="51"/>
  <c r="G3306" i="51"/>
  <c r="G3307" i="51"/>
  <c r="G3308" i="51"/>
  <c r="G3309" i="51"/>
  <c r="G3310" i="51"/>
  <c r="G3311" i="51"/>
  <c r="G3312" i="51"/>
  <c r="G3313" i="51"/>
  <c r="G3314" i="51"/>
  <c r="G3315" i="51"/>
  <c r="G3316" i="51"/>
  <c r="G3317" i="51"/>
  <c r="G3318" i="51"/>
  <c r="G3319" i="51"/>
  <c r="G3320" i="51"/>
  <c r="G3321" i="51"/>
  <c r="G3322" i="51"/>
  <c r="G3323" i="51"/>
  <c r="G3324" i="51"/>
  <c r="G3325" i="51"/>
  <c r="G3326" i="51"/>
  <c r="G3327" i="51"/>
  <c r="G3328" i="51"/>
  <c r="G3329" i="51"/>
  <c r="G3330" i="51"/>
  <c r="G3331" i="51"/>
  <c r="G3332" i="51"/>
  <c r="G3333" i="51"/>
  <c r="G3334" i="51"/>
  <c r="G3335" i="51"/>
  <c r="G3336" i="51"/>
  <c r="G3337" i="51"/>
  <c r="G3338" i="51"/>
  <c r="G3339" i="51"/>
  <c r="G3340" i="51"/>
  <c r="G3341" i="51"/>
  <c r="G3342" i="51"/>
  <c r="G3343" i="51"/>
  <c r="G3344" i="51"/>
  <c r="G3345" i="51"/>
  <c r="G3346" i="51"/>
  <c r="G3347" i="51"/>
  <c r="G3348" i="51"/>
  <c r="G3349" i="51"/>
  <c r="G3350" i="51"/>
  <c r="G3351" i="51"/>
  <c r="G3352" i="51"/>
  <c r="G3353" i="51"/>
  <c r="G3354" i="51"/>
  <c r="G3355" i="51"/>
  <c r="G3356" i="51"/>
  <c r="G3357" i="51"/>
  <c r="G3358" i="51"/>
  <c r="G3359" i="51"/>
  <c r="G3360" i="51"/>
  <c r="G3361" i="51"/>
  <c r="G3362" i="51"/>
  <c r="G3363" i="51"/>
  <c r="G3364" i="51"/>
  <c r="G3365" i="51"/>
  <c r="G3366" i="51"/>
  <c r="G3367" i="51"/>
  <c r="G3368" i="51"/>
  <c r="G3369" i="51"/>
  <c r="G3370" i="51"/>
  <c r="G3371" i="51"/>
  <c r="G3372" i="51"/>
  <c r="G3373" i="51"/>
  <c r="G3374" i="51"/>
  <c r="G3375" i="51"/>
  <c r="G3376" i="51"/>
  <c r="G3377" i="51"/>
  <c r="G3378" i="51"/>
  <c r="G3379" i="51"/>
  <c r="G3380" i="51"/>
  <c r="G3381" i="51"/>
  <c r="G3382" i="51"/>
  <c r="G3383" i="51"/>
  <c r="G3384" i="51"/>
  <c r="G3385" i="51"/>
  <c r="G3386" i="51"/>
  <c r="G3387" i="51"/>
  <c r="G3388" i="51"/>
  <c r="G3389" i="51"/>
  <c r="G3390" i="51"/>
  <c r="G3391" i="51"/>
  <c r="G3392" i="51"/>
  <c r="G3393" i="51"/>
  <c r="G3394" i="51"/>
  <c r="G3395" i="51"/>
  <c r="G3396" i="51"/>
  <c r="G3397" i="51"/>
  <c r="G3398" i="51"/>
  <c r="G3399" i="51"/>
  <c r="G3400" i="51"/>
  <c r="G3401" i="51"/>
  <c r="G3402" i="51"/>
  <c r="G3403" i="51"/>
  <c r="G3404" i="51"/>
  <c r="G3405" i="51"/>
  <c r="G3406" i="51"/>
  <c r="G3407" i="51"/>
  <c r="G3408" i="51"/>
  <c r="G3409" i="51"/>
  <c r="G3410" i="51"/>
  <c r="G3411" i="51"/>
  <c r="G3412" i="51"/>
  <c r="G3413" i="51"/>
  <c r="G3414" i="51"/>
  <c r="G3415" i="51"/>
  <c r="G3416" i="51"/>
  <c r="G3417" i="51"/>
  <c r="G3418" i="51"/>
  <c r="G3419" i="51"/>
  <c r="G3420" i="51"/>
  <c r="G3421" i="51"/>
  <c r="G3422" i="51"/>
  <c r="G3423" i="51"/>
  <c r="G3424" i="51"/>
  <c r="G3425" i="51"/>
  <c r="G3426" i="51"/>
  <c r="G3427" i="51"/>
  <c r="G3428" i="51"/>
  <c r="G3429" i="51"/>
  <c r="G3430" i="51"/>
  <c r="G3431" i="51"/>
  <c r="G3432" i="51"/>
  <c r="G3433" i="51"/>
  <c r="G3434" i="51"/>
  <c r="G3435" i="51"/>
  <c r="G3436" i="51"/>
  <c r="G3437" i="51"/>
  <c r="G3438" i="51"/>
  <c r="G3439" i="51"/>
  <c r="G3440" i="51"/>
  <c r="G3441" i="51"/>
  <c r="G3442" i="51"/>
  <c r="G3443" i="51"/>
  <c r="G3444" i="51"/>
  <c r="G3445" i="51"/>
  <c r="G3446" i="51"/>
  <c r="G3447" i="51"/>
  <c r="G3448" i="51"/>
  <c r="G3449" i="51"/>
  <c r="G3450" i="51"/>
  <c r="G3451" i="51"/>
  <c r="G3452" i="51"/>
  <c r="G3453" i="51"/>
  <c r="G3454" i="51"/>
  <c r="G3455" i="51"/>
  <c r="G3456" i="51"/>
  <c r="G3457" i="51"/>
  <c r="G3458" i="51"/>
  <c r="G3459" i="51"/>
  <c r="G3460" i="51"/>
  <c r="G3461" i="51"/>
  <c r="G3462" i="51"/>
  <c r="G3463" i="51"/>
  <c r="G3464" i="51"/>
  <c r="G3465" i="51"/>
  <c r="G3466" i="51"/>
  <c r="G3467" i="51"/>
  <c r="G3468" i="51"/>
  <c r="G3469" i="51"/>
  <c r="G3470" i="51"/>
  <c r="G3471" i="51"/>
  <c r="G3472" i="51"/>
  <c r="G3473" i="51"/>
  <c r="G3474" i="51"/>
  <c r="G3475" i="51"/>
  <c r="G3476" i="51"/>
  <c r="G3477" i="51"/>
  <c r="G3478" i="51"/>
  <c r="G3479" i="51"/>
  <c r="G3480" i="51"/>
  <c r="G3481" i="51"/>
  <c r="G3482" i="51"/>
  <c r="G3483" i="51"/>
  <c r="G3484" i="51"/>
  <c r="G3485" i="51"/>
  <c r="G3486" i="51"/>
  <c r="G3487" i="51"/>
  <c r="G3488" i="51"/>
  <c r="G3489" i="51"/>
  <c r="G3490" i="51"/>
  <c r="G3491" i="51"/>
  <c r="G3492" i="51"/>
  <c r="G3493" i="51"/>
  <c r="G3494" i="51"/>
  <c r="G3495" i="51"/>
  <c r="G3496" i="51"/>
  <c r="G3497" i="51"/>
  <c r="G3498" i="51"/>
  <c r="G3499" i="51"/>
  <c r="G3500" i="51"/>
  <c r="G3501" i="51"/>
  <c r="G3502" i="51"/>
  <c r="G3503" i="51"/>
  <c r="G3504" i="51"/>
  <c r="G3505" i="51"/>
  <c r="G3506" i="51"/>
  <c r="G3507" i="51"/>
  <c r="G3508" i="51"/>
  <c r="G3509" i="51"/>
  <c r="G3510" i="51"/>
  <c r="G3511" i="51"/>
  <c r="G3512" i="51"/>
  <c r="G3513" i="51"/>
  <c r="G3514" i="51"/>
  <c r="G3515" i="51"/>
  <c r="G3516" i="51"/>
  <c r="G3517" i="51"/>
  <c r="G3518" i="51"/>
  <c r="G3519" i="51"/>
  <c r="G3520" i="51"/>
  <c r="G3521" i="51"/>
  <c r="G3522" i="51"/>
  <c r="G3523" i="51"/>
  <c r="G3524" i="51"/>
  <c r="G3525" i="51"/>
  <c r="G3526" i="51"/>
  <c r="G3527" i="51"/>
  <c r="G3528" i="51"/>
  <c r="G3529" i="51"/>
  <c r="G3530" i="51"/>
  <c r="G3531" i="51"/>
  <c r="G3532" i="51"/>
  <c r="G3533" i="51"/>
  <c r="G3534" i="51"/>
  <c r="G3535" i="51"/>
  <c r="G3536" i="51"/>
  <c r="G3537" i="51"/>
  <c r="G3538" i="51"/>
  <c r="G3539" i="51"/>
  <c r="G3540" i="51"/>
  <c r="G3541" i="51"/>
  <c r="G3542" i="51"/>
  <c r="G3543" i="51"/>
  <c r="G3544" i="51"/>
  <c r="G3545" i="51"/>
  <c r="G3546" i="51"/>
  <c r="G3547" i="51"/>
  <c r="G3548" i="51"/>
  <c r="G3549" i="51"/>
  <c r="G3550" i="51"/>
  <c r="G3551" i="51"/>
  <c r="G3552" i="51"/>
  <c r="G3553" i="51"/>
  <c r="G3554" i="51"/>
  <c r="G3555" i="51"/>
  <c r="G3556" i="51"/>
  <c r="G3557" i="51"/>
  <c r="G3558" i="51"/>
  <c r="G3559" i="51"/>
  <c r="G3560" i="51"/>
  <c r="G3561" i="51"/>
  <c r="G3562" i="51"/>
  <c r="G3563" i="51"/>
  <c r="G3564" i="51"/>
  <c r="G3565" i="51"/>
  <c r="G3566" i="51"/>
  <c r="G3567" i="51"/>
  <c r="G3568" i="51"/>
  <c r="G3569" i="51"/>
  <c r="G3570" i="51"/>
  <c r="G3571" i="51"/>
  <c r="G3572" i="51"/>
  <c r="G3573" i="51"/>
  <c r="G3574" i="51"/>
  <c r="G3575" i="51"/>
  <c r="G3576" i="51"/>
  <c r="G3577" i="51"/>
  <c r="G3578" i="51"/>
  <c r="G3579" i="51"/>
  <c r="G3580" i="51"/>
  <c r="G3581" i="51"/>
  <c r="G3582" i="51"/>
  <c r="G3583" i="51"/>
  <c r="G3584" i="51"/>
  <c r="G3585" i="51"/>
  <c r="G3586" i="51"/>
  <c r="G3587" i="51"/>
  <c r="G3588" i="51"/>
  <c r="G3589" i="51"/>
  <c r="G3590" i="51"/>
  <c r="G3591" i="51"/>
  <c r="G3592" i="51"/>
  <c r="G3593" i="51"/>
  <c r="G3594" i="51"/>
  <c r="G3595" i="51"/>
  <c r="G3596" i="51"/>
  <c r="G3597" i="51"/>
  <c r="G3598" i="51"/>
  <c r="G3599" i="51"/>
  <c r="G3600" i="51"/>
  <c r="G3601" i="51"/>
  <c r="G3602" i="51"/>
  <c r="G3603" i="51"/>
  <c r="G3604" i="51"/>
  <c r="G3605" i="51"/>
  <c r="G3606" i="51"/>
  <c r="G3607" i="51"/>
  <c r="G3608" i="51"/>
  <c r="G3609" i="51"/>
  <c r="G3610" i="51"/>
  <c r="G3611" i="51"/>
  <c r="G3612" i="51"/>
  <c r="G3613" i="51"/>
  <c r="G3614" i="51"/>
  <c r="G3615" i="51"/>
  <c r="G3616" i="51"/>
  <c r="G3617" i="51"/>
  <c r="G3618" i="51"/>
  <c r="G3619" i="51"/>
  <c r="G3620" i="51"/>
  <c r="G3621" i="51"/>
  <c r="G3622" i="51"/>
  <c r="G3623" i="51"/>
  <c r="G3624" i="51"/>
  <c r="G3625" i="51"/>
  <c r="G3626" i="51"/>
  <c r="G3627" i="51"/>
  <c r="G3628" i="51"/>
  <c r="G3629" i="51"/>
  <c r="G3630" i="51"/>
  <c r="G3631" i="51"/>
  <c r="G3632" i="51"/>
  <c r="G3633" i="51"/>
  <c r="G3634" i="51"/>
  <c r="G3635" i="51"/>
  <c r="G3636" i="51"/>
  <c r="G3637" i="51"/>
  <c r="G3638" i="51"/>
  <c r="G3639" i="51"/>
  <c r="G3640" i="51"/>
  <c r="G3641" i="51"/>
  <c r="G3642" i="51"/>
  <c r="G3643" i="51"/>
  <c r="G3644" i="51"/>
  <c r="G3645" i="51"/>
  <c r="G3646" i="51"/>
  <c r="G3647" i="51"/>
  <c r="G3648" i="51"/>
  <c r="G3649" i="51"/>
  <c r="G3650" i="51"/>
  <c r="G3651" i="51"/>
  <c r="G3652" i="51"/>
  <c r="G3653" i="51"/>
  <c r="G3654" i="51"/>
  <c r="G3655" i="51"/>
  <c r="G3656" i="51"/>
  <c r="G3657" i="51"/>
  <c r="G3658" i="51"/>
  <c r="G3659" i="51"/>
  <c r="G3660" i="51"/>
  <c r="G3661" i="51"/>
  <c r="G3662" i="51"/>
  <c r="G3663" i="51"/>
  <c r="G3664" i="51"/>
  <c r="G3665" i="51"/>
  <c r="G3666" i="51"/>
  <c r="G3667" i="51"/>
  <c r="G3668" i="51"/>
  <c r="G3669" i="51"/>
  <c r="G3670" i="51"/>
  <c r="G3671" i="51"/>
  <c r="G3672" i="51"/>
  <c r="G3673" i="51"/>
  <c r="G3674" i="51"/>
  <c r="G3675" i="51"/>
  <c r="G3676" i="51"/>
  <c r="G3677" i="51"/>
  <c r="G3678" i="51"/>
  <c r="G3679" i="51"/>
  <c r="G3680" i="51"/>
  <c r="G3681" i="51"/>
  <c r="G3682" i="51"/>
  <c r="G3683" i="51"/>
  <c r="G3684" i="51"/>
  <c r="G3685" i="51"/>
  <c r="G3686" i="51"/>
  <c r="G3687" i="51"/>
  <c r="G3688" i="51"/>
  <c r="G3689" i="51"/>
  <c r="G3690" i="51"/>
  <c r="G3691" i="51"/>
  <c r="G3692" i="51"/>
  <c r="G3693" i="51"/>
  <c r="G3694" i="51"/>
  <c r="G3695" i="51"/>
  <c r="G3696" i="51"/>
  <c r="G3697" i="51"/>
  <c r="G3698" i="51"/>
  <c r="G3699" i="51"/>
  <c r="G3700" i="51"/>
  <c r="G3701" i="51"/>
  <c r="G3702" i="51"/>
  <c r="G3703" i="51"/>
  <c r="G3704" i="51"/>
  <c r="G3705" i="51"/>
  <c r="G3706" i="51"/>
  <c r="G3707" i="51"/>
  <c r="G3708" i="51"/>
  <c r="G3709" i="51"/>
  <c r="G3710" i="51"/>
  <c r="G3711" i="51"/>
  <c r="G3712" i="51"/>
  <c r="G3713" i="51"/>
  <c r="G3714" i="51"/>
  <c r="G3715" i="51"/>
  <c r="G3716" i="51"/>
  <c r="G3717" i="51"/>
  <c r="G3718" i="51"/>
  <c r="G3719" i="51"/>
  <c r="G3720" i="51"/>
  <c r="G3721" i="51"/>
  <c r="G3722" i="51"/>
  <c r="G3723" i="51"/>
  <c r="G3724" i="51"/>
  <c r="G3725" i="51"/>
  <c r="G3726" i="51"/>
  <c r="G3727" i="51"/>
  <c r="G3728" i="51"/>
  <c r="G3729" i="51"/>
  <c r="G3730" i="51"/>
  <c r="G3731" i="51"/>
  <c r="G3732" i="51"/>
  <c r="G3733" i="51"/>
  <c r="G3734" i="51"/>
  <c r="G3735" i="51"/>
  <c r="G3736" i="51"/>
  <c r="G3737" i="51"/>
  <c r="G3738" i="51"/>
  <c r="G3739" i="51"/>
  <c r="G3740" i="51"/>
  <c r="G3741" i="51"/>
  <c r="G3742" i="51"/>
  <c r="G3743" i="51"/>
  <c r="G3744" i="51"/>
  <c r="G3745" i="51"/>
  <c r="G3746" i="51"/>
  <c r="G3747" i="51"/>
  <c r="G3748" i="51"/>
  <c r="G3749" i="51"/>
  <c r="G3750" i="51"/>
  <c r="G3751" i="51"/>
  <c r="G3752" i="51"/>
  <c r="G3753" i="51"/>
  <c r="G3754" i="51"/>
  <c r="G3755" i="51"/>
  <c r="G3756" i="51"/>
  <c r="G3757" i="51"/>
  <c r="G3758" i="51"/>
  <c r="G3759" i="51"/>
  <c r="G3760" i="51"/>
  <c r="G3761" i="51"/>
  <c r="G3762" i="51"/>
  <c r="G3763" i="51"/>
  <c r="G3764" i="51"/>
  <c r="G3765" i="51"/>
  <c r="G3766" i="51"/>
  <c r="G3767" i="51"/>
  <c r="G3768" i="51"/>
  <c r="G3769" i="51"/>
  <c r="G3770" i="51"/>
  <c r="G3771" i="51"/>
  <c r="G3772" i="51"/>
  <c r="G3773" i="51"/>
  <c r="G3774" i="51"/>
  <c r="G3775" i="51"/>
  <c r="G3776" i="51"/>
  <c r="G3777" i="51"/>
  <c r="G3778" i="51"/>
  <c r="G3779" i="51"/>
  <c r="G3780" i="51"/>
  <c r="G3781" i="51"/>
  <c r="G3782" i="51"/>
  <c r="G3783" i="51"/>
  <c r="G3784" i="51"/>
  <c r="G3785" i="51"/>
  <c r="G3786" i="51"/>
  <c r="G3787" i="51"/>
  <c r="G3788" i="51"/>
  <c r="G3789" i="51"/>
  <c r="G3790" i="51"/>
  <c r="G3791" i="51"/>
  <c r="G3792" i="51"/>
  <c r="G3793" i="51"/>
  <c r="G3794" i="51"/>
  <c r="G3795" i="51"/>
  <c r="G3796" i="51"/>
  <c r="G3797" i="51"/>
  <c r="G3798" i="51"/>
  <c r="G3799" i="51"/>
  <c r="G3800" i="51"/>
  <c r="G3801" i="51"/>
  <c r="G3802" i="51"/>
  <c r="G3803" i="51"/>
  <c r="G3804" i="51"/>
  <c r="G3805" i="51"/>
  <c r="G3806" i="51"/>
  <c r="G3807" i="51"/>
  <c r="G3808" i="51"/>
  <c r="G3809" i="51"/>
  <c r="G3810" i="51"/>
  <c r="G3811" i="51"/>
  <c r="G3812" i="51"/>
  <c r="G3813" i="51"/>
  <c r="G3814" i="51"/>
  <c r="G3815" i="51"/>
  <c r="G3816" i="51"/>
  <c r="G3817" i="51"/>
  <c r="G3818" i="51"/>
  <c r="G3819" i="51"/>
  <c r="G3820" i="51"/>
  <c r="G3821" i="51"/>
  <c r="G3822" i="51"/>
  <c r="G3823" i="51"/>
  <c r="G3824" i="51"/>
  <c r="G3825" i="51"/>
  <c r="G3826" i="51"/>
  <c r="G3827" i="51"/>
  <c r="G3828" i="51"/>
  <c r="G3829" i="51"/>
  <c r="G3830" i="51"/>
  <c r="G3831" i="51"/>
  <c r="G3832" i="51"/>
  <c r="G3833" i="51"/>
  <c r="G3834" i="51"/>
  <c r="G3835" i="51"/>
  <c r="G3836" i="51"/>
  <c r="G3837" i="51"/>
  <c r="G3838" i="51"/>
  <c r="G3839" i="51"/>
  <c r="G3840" i="51"/>
  <c r="G3841" i="51"/>
  <c r="G3842" i="51"/>
  <c r="G3843" i="51"/>
  <c r="G3844" i="51"/>
  <c r="G3845" i="51"/>
  <c r="G3846" i="51"/>
  <c r="G3847" i="51"/>
  <c r="G3848" i="51"/>
  <c r="G3849" i="51"/>
  <c r="G3850" i="51"/>
  <c r="G3851" i="51"/>
  <c r="G3852" i="51"/>
  <c r="G3853" i="51"/>
  <c r="G3854" i="51"/>
  <c r="G3855" i="51"/>
  <c r="G3856" i="51"/>
  <c r="G3857" i="51"/>
  <c r="G3858" i="51"/>
  <c r="G3859" i="51"/>
  <c r="G3860" i="51"/>
  <c r="G3861" i="51"/>
  <c r="G3862" i="51"/>
  <c r="G3863" i="51"/>
  <c r="G3864" i="51"/>
  <c r="G3865" i="51"/>
  <c r="G3866" i="51"/>
  <c r="G3867" i="51"/>
  <c r="G3868" i="51"/>
  <c r="G3869" i="51"/>
  <c r="G3870" i="51"/>
  <c r="G3871" i="51"/>
  <c r="G3872" i="51"/>
  <c r="G3873" i="51"/>
  <c r="G3874" i="51"/>
  <c r="G3875" i="51"/>
  <c r="G3876" i="51"/>
  <c r="G3877" i="51"/>
  <c r="G3878" i="51"/>
  <c r="G3879" i="51"/>
  <c r="G3880" i="51"/>
  <c r="G3881" i="51"/>
  <c r="G3882" i="51"/>
  <c r="G3883" i="51"/>
  <c r="G3884" i="51"/>
  <c r="G3885" i="51"/>
  <c r="G3886" i="51"/>
  <c r="G3887" i="51"/>
  <c r="G3888" i="51"/>
  <c r="G3889" i="51"/>
  <c r="G3890" i="51"/>
  <c r="G3891" i="51"/>
  <c r="G3892" i="51"/>
  <c r="G3893" i="51"/>
  <c r="G3894" i="51"/>
  <c r="G3895" i="51"/>
  <c r="G3896" i="51"/>
  <c r="G3897" i="51"/>
  <c r="G3898" i="51"/>
  <c r="G3899" i="51"/>
  <c r="G3900" i="51"/>
  <c r="G3901" i="51"/>
  <c r="G3902" i="51"/>
  <c r="G3903" i="51"/>
  <c r="G3904" i="51"/>
  <c r="G3905" i="51"/>
  <c r="G3906" i="51"/>
  <c r="G3907" i="51"/>
  <c r="G3908" i="51"/>
  <c r="G3909" i="51"/>
  <c r="G3910" i="51"/>
  <c r="G3911" i="51"/>
  <c r="G3912" i="51"/>
  <c r="G3913" i="51"/>
  <c r="G3914" i="51"/>
  <c r="G3915" i="51"/>
  <c r="G3916" i="51"/>
  <c r="G3917" i="51"/>
  <c r="G3918" i="51"/>
  <c r="G3919" i="51"/>
  <c r="G3920" i="51"/>
  <c r="G3921" i="51"/>
  <c r="G3922" i="51"/>
  <c r="G3923" i="51"/>
  <c r="G3924" i="51"/>
  <c r="G3925" i="51"/>
  <c r="G3926" i="51"/>
  <c r="G3927" i="51"/>
  <c r="G3928" i="51"/>
  <c r="G3929" i="51"/>
  <c r="G3930" i="51"/>
  <c r="G3931" i="51"/>
  <c r="G3932" i="51"/>
  <c r="G3933" i="51"/>
  <c r="G3934" i="51"/>
  <c r="G3935" i="51"/>
  <c r="G3936" i="51"/>
  <c r="G3937" i="51"/>
  <c r="G3938" i="51"/>
  <c r="G3939" i="51"/>
  <c r="G3940" i="51"/>
  <c r="G3941" i="51"/>
  <c r="G3942" i="51"/>
  <c r="G3943" i="51"/>
  <c r="G3944" i="51"/>
  <c r="G3945" i="51"/>
  <c r="G3946" i="51"/>
  <c r="G3947" i="51"/>
  <c r="G3948" i="51"/>
  <c r="G3949" i="51"/>
  <c r="G3950" i="51"/>
  <c r="G3951" i="51"/>
  <c r="G3952" i="51"/>
  <c r="G3953" i="51"/>
  <c r="G3954" i="51"/>
  <c r="G3955" i="51"/>
  <c r="G3956" i="51"/>
  <c r="G3957" i="51"/>
  <c r="G3958" i="51"/>
  <c r="G3959" i="51"/>
  <c r="G3960" i="51"/>
  <c r="G3961" i="51"/>
  <c r="G3962" i="51"/>
  <c r="G3963" i="51"/>
  <c r="G3964" i="51"/>
  <c r="G3965" i="51"/>
  <c r="G3966" i="51"/>
  <c r="G3967" i="51"/>
  <c r="G3968" i="51"/>
  <c r="G3969" i="51"/>
  <c r="G3970" i="51"/>
  <c r="G3971" i="51"/>
  <c r="G3972" i="51"/>
  <c r="G3973" i="51"/>
  <c r="G3974" i="51"/>
  <c r="G3975" i="51"/>
  <c r="G3976" i="51"/>
  <c r="G3977" i="51"/>
  <c r="G3978" i="51"/>
  <c r="G3979" i="51"/>
  <c r="G3980" i="51"/>
  <c r="G3981" i="51"/>
  <c r="G3982" i="51"/>
  <c r="G3983" i="51"/>
  <c r="G3984" i="51"/>
  <c r="G3985" i="51"/>
  <c r="G3986" i="51"/>
  <c r="G3987" i="51"/>
  <c r="G3988" i="51"/>
  <c r="G3989" i="51"/>
  <c r="G3990" i="51"/>
  <c r="G3991" i="51"/>
  <c r="G3992" i="51"/>
  <c r="G3993" i="51"/>
  <c r="G3994" i="51"/>
  <c r="G3995" i="51"/>
  <c r="G3996" i="51"/>
  <c r="G3997" i="51"/>
  <c r="G3998" i="51"/>
  <c r="G3999" i="51"/>
  <c r="G4000" i="51"/>
  <c r="G4001" i="51"/>
  <c r="G4002" i="51"/>
  <c r="G4003" i="51"/>
  <c r="G4004" i="51"/>
  <c r="G4005" i="51"/>
  <c r="G4006" i="51"/>
  <c r="G4007" i="51"/>
  <c r="G4008" i="51"/>
  <c r="G4009" i="51"/>
  <c r="G4010" i="51"/>
  <c r="G4011" i="51"/>
  <c r="G4012" i="51"/>
  <c r="G4013" i="51"/>
  <c r="G4014" i="51"/>
  <c r="G4015" i="51"/>
  <c r="G4016" i="51"/>
  <c r="G4017" i="51"/>
  <c r="G4018" i="51"/>
  <c r="G4019" i="51"/>
  <c r="G4020" i="51"/>
  <c r="G4021" i="51"/>
  <c r="G4022" i="51"/>
  <c r="G4023" i="51"/>
  <c r="G4024" i="51"/>
  <c r="G4025" i="51"/>
  <c r="G4026" i="51"/>
  <c r="G4027" i="51"/>
  <c r="G4028" i="51"/>
  <c r="G4029" i="51"/>
  <c r="G4030" i="51"/>
  <c r="G4031" i="51"/>
  <c r="G4032" i="51"/>
  <c r="G4033" i="51"/>
  <c r="G4034" i="51"/>
  <c r="G4035" i="51"/>
  <c r="G4036" i="51"/>
  <c r="G4037" i="51"/>
  <c r="G4038" i="51"/>
  <c r="G4039" i="51"/>
  <c r="G4040" i="51"/>
  <c r="G4041" i="51"/>
  <c r="G4042" i="51"/>
  <c r="G4043" i="51"/>
  <c r="G4044" i="51"/>
  <c r="G4045" i="51"/>
  <c r="G4046" i="51"/>
  <c r="G4047" i="51"/>
  <c r="G4048" i="51"/>
  <c r="G4049" i="51"/>
  <c r="G4050" i="51"/>
  <c r="G4051" i="51"/>
  <c r="G4052" i="51"/>
  <c r="G4053" i="51"/>
  <c r="G4054" i="51"/>
  <c r="G4055" i="51"/>
  <c r="G4056" i="51"/>
  <c r="G4057" i="51"/>
  <c r="G4058" i="51"/>
  <c r="G4059" i="51"/>
  <c r="G4060" i="51"/>
  <c r="G4061" i="51"/>
  <c r="G4062" i="51"/>
  <c r="G4063" i="51"/>
  <c r="G4064" i="51"/>
  <c r="G4065" i="51"/>
  <c r="G4066" i="51"/>
  <c r="G4067" i="51"/>
  <c r="G4068" i="51"/>
  <c r="G4069" i="51"/>
  <c r="G4070" i="51"/>
  <c r="G4071" i="51"/>
  <c r="G4072" i="51"/>
  <c r="G4073" i="51"/>
  <c r="G4074" i="51"/>
  <c r="G4075" i="51"/>
  <c r="G4076" i="51"/>
  <c r="G4077" i="51"/>
  <c r="G4078" i="51"/>
  <c r="G4079" i="51"/>
  <c r="G4080" i="51"/>
  <c r="G4081" i="51"/>
  <c r="G4082" i="51"/>
  <c r="G4083" i="51"/>
  <c r="G4084" i="51"/>
  <c r="G4085" i="51"/>
  <c r="G4086" i="51"/>
  <c r="G4087" i="51"/>
  <c r="G4088" i="51"/>
  <c r="G4089" i="51"/>
  <c r="G4090" i="51"/>
  <c r="G4091" i="51"/>
  <c r="G4092" i="51"/>
  <c r="G4093" i="51"/>
  <c r="G4094" i="51"/>
  <c r="G4095" i="51"/>
  <c r="G4096" i="51"/>
  <c r="G4097" i="51"/>
  <c r="G4098" i="51"/>
  <c r="G4099" i="51"/>
  <c r="G4100" i="51"/>
  <c r="G4101" i="51"/>
  <c r="G4102" i="51"/>
  <c r="G4103" i="51"/>
  <c r="G4104" i="51"/>
  <c r="G4105" i="51"/>
  <c r="G4106" i="51"/>
  <c r="G4107" i="51"/>
  <c r="G4108" i="51"/>
  <c r="G4109" i="51"/>
  <c r="G4110" i="51"/>
  <c r="G4111" i="51"/>
  <c r="G4112" i="51"/>
  <c r="G4113" i="51"/>
  <c r="G4114" i="51"/>
  <c r="G4115" i="51"/>
  <c r="G4116" i="51"/>
  <c r="G4117" i="51"/>
  <c r="G4118" i="51"/>
  <c r="G4119" i="51"/>
  <c r="G4120" i="51"/>
  <c r="G4121" i="51"/>
  <c r="G4122" i="51"/>
  <c r="G4123" i="51"/>
  <c r="G4124" i="51"/>
  <c r="G4125" i="51"/>
  <c r="G4126" i="51"/>
  <c r="G4127" i="51"/>
  <c r="G4128" i="51"/>
  <c r="G4129" i="51"/>
  <c r="G4130" i="51"/>
  <c r="G4131" i="51"/>
  <c r="G4132" i="51"/>
  <c r="G4133" i="51"/>
  <c r="G4134" i="51"/>
  <c r="G4135" i="51"/>
  <c r="G4136" i="51"/>
  <c r="G4137" i="51"/>
  <c r="G4138" i="51"/>
  <c r="G4139" i="51"/>
  <c r="G4140" i="51"/>
  <c r="G4141" i="51"/>
  <c r="G4142" i="51"/>
  <c r="G4143" i="51"/>
  <c r="G4144" i="51"/>
  <c r="G4145" i="51"/>
  <c r="G4146" i="51"/>
  <c r="G4147" i="51"/>
  <c r="G4148" i="51"/>
  <c r="G4149" i="51"/>
  <c r="G4150" i="51"/>
  <c r="G4151" i="51"/>
  <c r="G4152" i="51"/>
  <c r="G4153" i="51"/>
  <c r="G4154" i="51"/>
  <c r="G4155" i="51"/>
  <c r="G4156" i="51"/>
  <c r="G4157" i="51"/>
  <c r="G4158" i="51"/>
  <c r="G4159" i="51"/>
  <c r="G4160" i="51"/>
  <c r="G4161" i="51"/>
  <c r="G4162" i="51"/>
  <c r="G4163" i="51"/>
  <c r="G4164" i="51"/>
  <c r="G4165" i="51"/>
  <c r="G4166" i="51"/>
  <c r="G4167" i="51"/>
  <c r="G4168" i="51"/>
  <c r="G4169" i="51"/>
  <c r="G4170" i="51"/>
  <c r="G4171" i="51"/>
  <c r="G4172" i="51"/>
  <c r="G4173" i="51"/>
  <c r="G4174" i="51"/>
  <c r="G4175" i="51"/>
  <c r="G4176" i="51"/>
  <c r="G4177" i="51"/>
  <c r="G4178" i="51"/>
  <c r="G4179" i="51"/>
  <c r="G4180" i="51"/>
  <c r="G4181" i="51"/>
  <c r="G4182" i="51"/>
  <c r="G4183" i="51"/>
  <c r="G4184" i="51"/>
  <c r="G4185" i="51"/>
  <c r="G4186" i="51"/>
  <c r="G4187" i="51"/>
  <c r="G4188" i="51"/>
  <c r="G4189" i="51"/>
  <c r="G4190" i="51"/>
  <c r="G4191" i="51"/>
  <c r="G4192" i="51"/>
  <c r="G4193" i="51"/>
  <c r="G4194" i="51"/>
  <c r="G4195" i="51"/>
  <c r="G4196" i="51"/>
  <c r="G4197" i="51"/>
  <c r="G4198" i="51"/>
  <c r="G4199" i="51"/>
  <c r="G4200" i="51"/>
  <c r="G4201" i="51"/>
  <c r="G4202" i="51"/>
  <c r="G4203" i="51"/>
  <c r="G4204" i="51"/>
  <c r="G4205" i="51"/>
  <c r="G4206" i="51"/>
  <c r="G4207" i="51"/>
  <c r="G4208" i="51"/>
  <c r="G4209" i="51"/>
  <c r="G4210" i="51"/>
  <c r="G4211" i="51"/>
  <c r="G4212" i="51"/>
  <c r="G4213" i="51"/>
  <c r="G4214" i="51"/>
  <c r="G4215" i="51"/>
  <c r="G4216" i="51"/>
  <c r="G4217" i="51"/>
  <c r="G4218" i="51"/>
  <c r="G4219" i="51"/>
  <c r="G4220" i="51"/>
  <c r="G4221" i="51"/>
  <c r="G4222" i="51"/>
  <c r="G4223" i="51"/>
  <c r="G4224" i="51"/>
  <c r="G4225" i="51"/>
  <c r="G4226" i="51"/>
  <c r="G4227" i="51"/>
  <c r="G4228" i="51"/>
  <c r="G4229" i="51"/>
  <c r="G4230" i="51"/>
  <c r="G4231" i="51"/>
  <c r="G4232" i="51"/>
  <c r="G4233" i="51"/>
  <c r="G4234" i="51"/>
  <c r="G4235" i="51"/>
  <c r="G4236" i="51"/>
  <c r="G4237" i="51"/>
  <c r="G4238" i="51"/>
  <c r="G4239" i="51"/>
  <c r="G4240" i="51"/>
  <c r="G4241" i="51"/>
  <c r="G4242" i="51"/>
  <c r="G4243" i="51"/>
  <c r="G4244" i="51"/>
  <c r="G4245" i="51"/>
  <c r="G4246" i="51"/>
  <c r="G4247" i="51"/>
  <c r="G4248" i="51"/>
  <c r="G4249" i="51"/>
  <c r="G4250" i="51"/>
  <c r="G4251" i="51"/>
  <c r="G4252" i="51"/>
  <c r="G4253" i="51"/>
  <c r="G4254" i="51"/>
  <c r="G4255" i="51"/>
  <c r="G4256" i="51"/>
  <c r="G4257" i="51"/>
  <c r="G4258" i="51"/>
  <c r="G4259" i="51"/>
  <c r="G4260" i="51"/>
  <c r="G4261" i="51"/>
  <c r="G4262" i="51"/>
  <c r="G4263" i="51"/>
  <c r="G4264" i="51"/>
  <c r="G4265" i="51"/>
  <c r="G4266" i="51"/>
  <c r="G4267" i="51"/>
  <c r="G4268" i="51"/>
  <c r="G4269" i="51"/>
  <c r="G4270" i="51"/>
  <c r="G4271" i="51"/>
  <c r="G4272" i="51"/>
  <c r="G4273" i="51"/>
  <c r="G4274" i="51"/>
  <c r="G4275" i="51"/>
  <c r="G4276" i="51"/>
  <c r="G4277" i="51"/>
  <c r="G4278" i="51"/>
  <c r="G4279" i="51"/>
  <c r="G4280" i="51"/>
  <c r="G4281" i="51"/>
  <c r="G4282" i="51"/>
  <c r="G4283" i="51"/>
  <c r="G4284" i="51"/>
  <c r="G4285" i="51"/>
  <c r="G4286" i="51"/>
  <c r="G4287" i="51"/>
  <c r="G4288" i="51"/>
  <c r="G4289" i="51"/>
  <c r="G4290" i="51"/>
  <c r="G4291" i="51"/>
  <c r="G4292" i="51"/>
  <c r="G4293" i="51"/>
  <c r="G4294" i="51"/>
  <c r="G4295" i="51"/>
  <c r="G4296" i="51"/>
  <c r="G4297" i="51"/>
  <c r="G4298" i="51"/>
  <c r="G4299" i="51"/>
  <c r="G4300" i="51"/>
  <c r="G4301" i="51"/>
  <c r="G4302" i="51"/>
  <c r="G4303" i="51"/>
  <c r="G4304" i="51"/>
  <c r="G4305" i="51"/>
  <c r="G4306" i="51"/>
  <c r="G4307" i="51"/>
  <c r="G4308" i="51"/>
  <c r="G4309" i="51"/>
  <c r="G4310" i="51"/>
  <c r="G4311" i="51"/>
  <c r="G4312" i="51"/>
  <c r="G4313" i="51"/>
  <c r="G4314" i="51"/>
  <c r="G4315" i="51"/>
  <c r="G4316" i="51"/>
  <c r="G4317" i="51"/>
  <c r="G4318" i="51"/>
  <c r="G4319" i="51"/>
  <c r="G4320" i="51"/>
  <c r="G4321" i="51"/>
  <c r="G4322" i="51"/>
  <c r="G4323" i="51"/>
  <c r="G4324" i="51"/>
  <c r="G4325" i="51"/>
  <c r="G4326" i="51"/>
  <c r="G4327" i="51"/>
  <c r="G4328" i="51"/>
  <c r="G4329" i="51"/>
  <c r="G4330" i="51"/>
  <c r="G4331" i="51"/>
  <c r="G4332" i="51"/>
  <c r="G4333" i="51"/>
  <c r="G4334" i="51"/>
  <c r="G4335" i="51"/>
  <c r="G4336" i="51"/>
  <c r="G4337" i="51"/>
  <c r="G4338" i="51"/>
  <c r="G4339" i="51"/>
  <c r="G4340" i="51"/>
  <c r="G4341" i="51"/>
  <c r="G4342" i="51"/>
  <c r="G4343" i="51"/>
  <c r="G4344" i="51"/>
  <c r="G4345" i="51"/>
  <c r="G4346" i="51"/>
  <c r="G4347" i="51"/>
  <c r="G4348" i="51"/>
  <c r="G4349" i="51"/>
  <c r="G4350" i="51"/>
  <c r="G4351" i="51"/>
  <c r="G4352" i="51"/>
  <c r="G4353" i="51"/>
  <c r="G4354" i="51"/>
  <c r="G4355" i="51"/>
  <c r="G4356" i="51"/>
  <c r="G4357" i="51"/>
  <c r="G4358" i="51"/>
  <c r="G4359" i="51"/>
  <c r="G4360" i="51"/>
  <c r="G4361" i="51"/>
  <c r="G4362" i="51"/>
  <c r="G4363" i="51"/>
  <c r="G4364" i="51"/>
  <c r="G4365" i="51"/>
  <c r="G4366" i="51"/>
  <c r="G4367" i="51"/>
  <c r="G4368" i="51"/>
  <c r="G4369" i="51"/>
  <c r="G4370" i="51"/>
  <c r="G4371" i="51"/>
  <c r="G4372" i="51"/>
  <c r="G4373" i="51"/>
  <c r="G4374" i="51"/>
  <c r="G4375" i="51"/>
  <c r="G4376" i="51"/>
  <c r="G4377" i="51"/>
  <c r="G4378" i="51"/>
  <c r="G4379" i="51"/>
  <c r="G4380" i="51"/>
  <c r="G4381" i="51"/>
  <c r="G4382" i="51"/>
  <c r="G4383" i="51"/>
  <c r="G4384" i="51"/>
  <c r="G4385" i="51"/>
  <c r="G4386" i="51"/>
  <c r="G4387" i="51"/>
  <c r="G4388" i="51"/>
  <c r="G4389" i="51"/>
  <c r="G4390" i="51"/>
  <c r="G4391" i="51"/>
  <c r="G4392" i="51"/>
  <c r="G4393" i="51"/>
  <c r="G4394" i="51"/>
  <c r="G4395" i="51"/>
  <c r="G4396" i="51"/>
  <c r="G4397" i="51"/>
  <c r="G4398" i="51"/>
  <c r="G4399" i="51"/>
  <c r="G4400" i="51"/>
  <c r="G4401" i="51"/>
  <c r="G4402" i="51"/>
  <c r="G4403" i="51"/>
  <c r="G4404" i="51"/>
  <c r="G4405" i="51"/>
  <c r="G4406" i="51"/>
  <c r="G4407" i="51"/>
  <c r="G4408" i="51"/>
  <c r="G4409" i="51"/>
  <c r="G4410" i="51"/>
  <c r="G4411" i="51"/>
  <c r="G4412" i="51"/>
  <c r="G4413" i="51"/>
  <c r="G4414" i="51"/>
  <c r="G4415" i="51"/>
  <c r="G4416" i="51"/>
  <c r="G4417" i="51"/>
  <c r="G4418" i="51"/>
  <c r="G4419" i="51"/>
  <c r="G4420" i="51"/>
  <c r="G4421" i="51"/>
  <c r="G4422" i="51"/>
  <c r="G4423" i="51"/>
  <c r="G4424" i="51"/>
  <c r="G4425" i="51"/>
  <c r="G4426" i="51"/>
  <c r="G4427" i="51"/>
  <c r="G4428" i="51"/>
  <c r="G4429" i="51"/>
  <c r="G4430" i="51"/>
  <c r="G4431" i="51"/>
  <c r="G4432" i="51"/>
  <c r="G4433" i="51"/>
  <c r="G4434" i="51"/>
  <c r="G4435" i="51"/>
  <c r="G4436" i="51"/>
  <c r="G4437" i="51"/>
  <c r="G4438" i="51"/>
  <c r="G4439" i="51"/>
  <c r="G4440" i="51"/>
  <c r="G4441" i="51"/>
  <c r="G4442" i="51"/>
  <c r="G4443" i="51"/>
  <c r="G4444" i="51"/>
  <c r="G4445" i="51"/>
  <c r="G4446" i="51"/>
  <c r="G4447" i="51"/>
  <c r="G4448" i="51"/>
  <c r="G4449" i="51"/>
  <c r="G4450" i="51"/>
  <c r="G4451" i="51"/>
  <c r="G4452" i="51"/>
  <c r="G4453" i="51"/>
  <c r="G4454" i="51"/>
  <c r="G4455" i="51"/>
  <c r="G4456" i="51"/>
  <c r="G4457" i="51"/>
  <c r="G4458" i="51"/>
  <c r="G4459" i="51"/>
  <c r="G4460" i="51"/>
  <c r="G4461" i="51"/>
  <c r="G4462" i="51"/>
  <c r="G4463" i="51"/>
  <c r="G4464" i="51"/>
  <c r="G4465" i="51"/>
  <c r="G4466" i="51"/>
  <c r="G4467" i="51"/>
  <c r="G4468" i="51"/>
  <c r="G4469" i="51"/>
  <c r="G4470" i="51"/>
  <c r="G4471" i="51"/>
  <c r="G4472" i="51"/>
  <c r="G4473" i="51"/>
  <c r="G4474" i="51"/>
  <c r="G4475" i="51"/>
  <c r="G4476" i="51"/>
  <c r="G4477" i="51"/>
  <c r="G4478" i="51"/>
  <c r="G4479" i="51"/>
  <c r="G4480" i="51"/>
  <c r="G4481" i="51"/>
  <c r="G4482" i="51"/>
  <c r="G4483" i="51"/>
  <c r="G4484" i="51"/>
  <c r="G4485" i="51"/>
  <c r="G4486" i="51"/>
  <c r="G4487" i="51"/>
  <c r="G4488" i="51"/>
  <c r="G4489" i="51"/>
  <c r="G4490" i="51"/>
  <c r="G4491" i="51"/>
  <c r="G4492" i="51"/>
  <c r="G4493" i="51"/>
  <c r="G4494" i="51"/>
  <c r="G4495" i="51"/>
  <c r="G4496" i="51"/>
  <c r="G4497" i="51"/>
  <c r="G4498" i="51"/>
  <c r="G4499" i="51"/>
  <c r="G4500" i="51"/>
  <c r="G4501" i="51"/>
  <c r="G4502" i="51"/>
  <c r="G4503" i="51"/>
  <c r="G4504" i="51"/>
  <c r="G4505" i="51"/>
  <c r="G4506" i="51"/>
  <c r="G4507" i="51"/>
  <c r="G4508" i="51"/>
  <c r="G4509" i="51"/>
  <c r="G4510" i="51"/>
  <c r="G4511" i="51"/>
  <c r="G4512" i="51"/>
  <c r="G4513" i="51"/>
  <c r="G4514" i="51"/>
  <c r="G4515" i="51"/>
  <c r="G4516" i="51"/>
  <c r="G4517" i="51"/>
  <c r="G4518" i="51"/>
  <c r="G4519" i="51"/>
  <c r="G4520" i="51"/>
  <c r="G4521" i="51"/>
  <c r="G4522" i="51"/>
  <c r="G4523" i="51"/>
  <c r="G4524" i="51"/>
  <c r="G4525" i="51"/>
  <c r="G4526" i="51"/>
  <c r="G4527" i="51"/>
  <c r="G4528" i="51"/>
  <c r="G4529" i="51"/>
  <c r="G4530" i="51"/>
  <c r="G4531" i="51"/>
  <c r="G4532" i="51"/>
  <c r="G4533" i="51"/>
  <c r="G4534" i="51"/>
  <c r="G4535" i="51"/>
  <c r="G4536" i="51"/>
  <c r="G4537" i="51"/>
  <c r="G4538" i="51"/>
  <c r="G4539" i="51"/>
  <c r="G4540" i="51"/>
  <c r="G4541" i="51"/>
  <c r="G4542" i="51"/>
  <c r="G4543" i="51"/>
  <c r="G4544" i="51"/>
  <c r="G4545" i="51"/>
  <c r="G4546" i="51"/>
  <c r="G4547" i="51"/>
  <c r="G4548" i="51"/>
  <c r="G4549" i="51"/>
  <c r="G4550" i="51"/>
  <c r="G4551" i="51"/>
  <c r="G4552" i="51"/>
  <c r="G4553" i="51"/>
  <c r="G4554" i="51"/>
  <c r="G4555" i="51"/>
  <c r="G4556" i="51"/>
  <c r="G4557" i="51"/>
  <c r="G4558" i="51"/>
  <c r="G4559" i="51"/>
  <c r="G4560" i="51"/>
  <c r="G4561" i="51"/>
  <c r="G4562" i="51"/>
  <c r="G4563" i="51"/>
  <c r="G4564" i="51"/>
  <c r="G4565" i="51"/>
  <c r="G4566" i="51"/>
  <c r="G4567" i="51"/>
  <c r="G4568" i="51"/>
  <c r="G4569" i="51"/>
  <c r="G4570" i="51"/>
  <c r="G4571" i="51"/>
  <c r="G4572" i="51"/>
  <c r="G4573" i="51"/>
  <c r="G4574" i="51"/>
  <c r="G4575" i="51"/>
  <c r="G4576" i="51"/>
  <c r="G4577" i="51"/>
  <c r="G4578" i="51"/>
  <c r="G4579" i="51"/>
  <c r="G4580" i="51"/>
  <c r="G4581" i="51"/>
  <c r="G4582" i="51"/>
  <c r="G4583" i="51"/>
  <c r="G4584" i="51"/>
  <c r="G4585" i="51"/>
  <c r="G4586" i="51"/>
  <c r="G4587" i="51"/>
  <c r="G4588" i="51"/>
  <c r="G4589" i="51"/>
  <c r="G4590" i="51"/>
  <c r="G4591" i="51"/>
  <c r="G4592" i="51"/>
  <c r="G4593" i="51"/>
  <c r="G4594" i="51"/>
  <c r="G4595" i="51"/>
  <c r="G4596" i="51"/>
  <c r="G4597" i="51"/>
  <c r="G4598" i="51"/>
  <c r="G4599" i="51"/>
  <c r="G4600" i="51"/>
  <c r="G4601" i="51"/>
  <c r="G4602" i="51"/>
  <c r="G4603" i="51"/>
  <c r="G4604" i="51"/>
  <c r="G4605" i="51"/>
  <c r="G4606" i="51"/>
  <c r="G4607" i="51"/>
  <c r="G4608" i="51"/>
  <c r="G4609" i="51"/>
  <c r="G4610" i="51"/>
  <c r="G4611" i="51"/>
  <c r="G4612" i="51"/>
  <c r="G4613" i="51"/>
  <c r="G4614" i="51"/>
  <c r="G4615" i="51"/>
  <c r="G4616" i="51"/>
  <c r="G4617" i="51"/>
  <c r="G4618" i="51"/>
  <c r="G4619" i="51"/>
  <c r="G4620" i="51"/>
  <c r="G4621" i="51"/>
  <c r="G4622" i="51"/>
  <c r="G4623" i="51"/>
  <c r="G4624" i="51"/>
  <c r="G4625" i="51"/>
  <c r="G4626" i="51"/>
  <c r="G4627" i="51"/>
  <c r="G4628" i="51"/>
  <c r="G4629" i="51"/>
  <c r="G4630" i="51"/>
  <c r="G4631" i="51"/>
  <c r="G4632" i="51"/>
  <c r="G4633" i="51"/>
  <c r="G4634" i="51"/>
  <c r="G4635" i="51"/>
  <c r="G4636" i="51"/>
  <c r="G4637" i="51"/>
  <c r="G4638" i="51"/>
  <c r="G4639" i="51"/>
  <c r="G4640" i="51"/>
  <c r="G4641" i="51"/>
  <c r="G4642" i="51"/>
  <c r="G4643" i="51"/>
  <c r="G4644" i="51"/>
  <c r="G4645" i="51"/>
  <c r="G4646" i="51"/>
  <c r="G4647" i="51"/>
  <c r="G4648" i="51"/>
  <c r="G4649" i="51"/>
  <c r="G4650" i="51"/>
  <c r="G4651" i="51"/>
  <c r="G4652" i="51"/>
  <c r="G4653" i="51"/>
  <c r="G4654" i="51"/>
  <c r="G4655" i="51"/>
  <c r="G4656" i="51"/>
  <c r="G4657" i="51"/>
  <c r="G4658" i="51"/>
  <c r="G4659" i="51"/>
  <c r="G4660" i="51"/>
  <c r="G4661" i="51"/>
  <c r="G4662" i="51"/>
  <c r="G4663" i="51"/>
  <c r="G4664" i="51"/>
  <c r="G4665" i="51"/>
  <c r="G4666" i="51"/>
  <c r="G4667" i="51"/>
  <c r="G4668" i="51"/>
  <c r="G4669" i="51"/>
  <c r="G4670" i="51"/>
  <c r="G4671" i="51"/>
  <c r="G4672" i="51"/>
  <c r="G4673" i="51"/>
  <c r="G4674" i="51"/>
  <c r="G4675" i="51"/>
  <c r="G4676" i="51"/>
  <c r="G4677" i="51"/>
  <c r="G4678" i="51"/>
  <c r="G4679" i="51"/>
  <c r="G4680" i="51"/>
  <c r="G4681" i="51"/>
  <c r="G4682" i="51"/>
  <c r="G4683" i="51"/>
  <c r="G4684" i="51"/>
  <c r="G4685" i="51"/>
  <c r="G4686" i="51"/>
  <c r="G4687" i="51"/>
  <c r="G4688" i="51"/>
  <c r="G4689" i="51"/>
  <c r="G4690" i="51"/>
  <c r="G4691" i="51"/>
  <c r="G4692" i="51"/>
  <c r="G4693" i="51"/>
  <c r="G4694" i="51"/>
  <c r="G4695" i="51"/>
  <c r="G4696" i="51"/>
  <c r="G4697" i="51"/>
  <c r="G4698" i="51"/>
  <c r="G4699" i="51"/>
  <c r="G4700" i="51"/>
  <c r="G4701" i="51"/>
  <c r="G4702" i="51"/>
  <c r="G4703" i="51"/>
  <c r="G4704" i="51"/>
  <c r="G4705" i="51"/>
  <c r="G4706" i="51"/>
  <c r="G4707" i="51"/>
  <c r="G4708" i="51"/>
  <c r="G4709" i="51"/>
  <c r="G4710" i="51"/>
  <c r="G4711" i="51"/>
  <c r="G4712" i="51"/>
  <c r="G4713" i="51"/>
  <c r="G4714" i="51"/>
  <c r="G4715" i="51"/>
  <c r="G4716" i="51"/>
  <c r="G4717" i="51"/>
  <c r="G4718" i="51"/>
  <c r="G4719" i="51"/>
  <c r="G4720" i="51"/>
  <c r="G4721" i="51"/>
  <c r="G4722" i="51"/>
  <c r="G4723" i="51"/>
  <c r="G4724" i="51"/>
  <c r="G4725" i="51"/>
  <c r="G4726" i="51"/>
  <c r="G4727" i="51"/>
  <c r="G4728" i="51"/>
  <c r="G4729" i="51"/>
  <c r="G4730" i="51"/>
  <c r="G4731" i="51"/>
  <c r="G4732" i="51"/>
  <c r="G4733" i="51"/>
  <c r="G4734" i="51"/>
  <c r="G4735" i="51"/>
  <c r="G4736" i="51"/>
  <c r="G4737" i="51"/>
  <c r="G4738" i="51"/>
  <c r="G4739" i="51"/>
  <c r="G4740" i="51"/>
  <c r="G4741" i="51"/>
  <c r="G4742" i="51"/>
  <c r="G4743" i="51"/>
  <c r="G4744" i="51"/>
  <c r="G4745" i="51"/>
  <c r="G4746" i="51"/>
  <c r="G4747" i="51"/>
  <c r="G4748" i="51"/>
  <c r="G4749" i="51"/>
  <c r="G4750" i="51"/>
  <c r="G4751" i="51"/>
  <c r="G4752" i="51"/>
  <c r="G4753" i="51"/>
  <c r="G4754" i="51"/>
  <c r="G4755" i="51"/>
  <c r="G4756" i="51"/>
  <c r="G4757" i="51"/>
  <c r="G4758" i="51"/>
  <c r="G4759" i="51"/>
  <c r="G4760" i="51"/>
  <c r="G4761" i="51"/>
  <c r="G4762" i="51"/>
  <c r="G4763" i="51"/>
  <c r="G4764" i="51"/>
  <c r="G4765" i="51"/>
  <c r="G4766" i="51"/>
  <c r="G4767" i="51"/>
  <c r="G4768" i="51"/>
  <c r="G4769" i="51"/>
  <c r="G4770" i="51"/>
  <c r="G4771" i="51"/>
  <c r="G4772" i="51"/>
  <c r="G4773" i="51"/>
  <c r="G4774" i="51"/>
  <c r="G4775" i="51"/>
  <c r="G4776" i="51"/>
  <c r="G4777" i="51"/>
  <c r="G4778" i="51"/>
  <c r="G4779" i="51"/>
  <c r="G4780" i="51"/>
  <c r="G4781" i="51"/>
  <c r="G4782" i="51"/>
  <c r="G4783" i="51"/>
  <c r="G4784" i="51"/>
  <c r="G4785" i="51"/>
  <c r="G4786" i="51"/>
  <c r="G4787" i="51"/>
  <c r="G4788" i="51"/>
  <c r="G4789" i="51"/>
  <c r="G4790" i="51"/>
  <c r="G4791" i="51"/>
  <c r="G4792" i="51"/>
  <c r="G4793" i="51"/>
  <c r="G4794" i="51"/>
  <c r="G4795" i="51"/>
  <c r="G4796" i="51"/>
  <c r="G4797" i="51"/>
  <c r="G4798" i="51"/>
  <c r="G4799" i="51"/>
  <c r="G4800" i="51"/>
  <c r="G4801" i="51"/>
  <c r="G4802" i="51"/>
  <c r="G4803" i="51"/>
  <c r="G4804" i="51"/>
  <c r="G4805" i="51"/>
  <c r="G4806" i="51"/>
  <c r="G4807" i="51"/>
  <c r="G4808" i="51"/>
  <c r="G4809" i="51"/>
  <c r="G4810" i="51"/>
  <c r="G4811" i="51"/>
  <c r="G4812" i="51"/>
  <c r="G4813" i="51"/>
  <c r="G4814" i="51"/>
  <c r="G4815" i="51"/>
  <c r="G4816" i="51"/>
  <c r="G4817" i="51"/>
  <c r="G4818" i="51"/>
  <c r="G4819" i="51"/>
  <c r="G4820" i="51"/>
  <c r="G4821" i="51"/>
  <c r="G4822" i="51"/>
  <c r="G4823" i="51"/>
  <c r="G4824" i="51"/>
  <c r="G4825" i="51"/>
  <c r="G4826" i="51"/>
  <c r="G4827" i="51"/>
  <c r="G4828" i="51"/>
  <c r="G4829" i="51"/>
  <c r="G4830" i="51"/>
  <c r="G4831" i="51"/>
  <c r="G4832" i="51"/>
  <c r="G4833" i="51"/>
  <c r="G4834" i="51"/>
  <c r="G4835" i="51"/>
  <c r="G4836" i="51"/>
  <c r="G4837" i="51"/>
  <c r="G4838" i="51"/>
  <c r="G4839" i="51"/>
  <c r="G4840" i="51"/>
  <c r="G4841" i="51"/>
  <c r="G4842" i="51"/>
  <c r="G4843" i="51"/>
  <c r="G4844" i="51"/>
  <c r="G4845" i="51"/>
  <c r="G4846" i="51"/>
  <c r="G4847" i="51"/>
  <c r="G4848" i="51"/>
  <c r="G4849" i="51"/>
  <c r="G4850" i="51"/>
  <c r="G4851" i="51"/>
  <c r="G4852" i="51"/>
  <c r="G4853" i="51"/>
  <c r="G4854" i="51"/>
  <c r="G4855" i="51"/>
  <c r="G4856" i="51"/>
  <c r="G4857" i="51"/>
  <c r="G4858" i="51"/>
  <c r="G4859" i="51"/>
  <c r="G4860" i="51"/>
  <c r="G4861" i="51"/>
  <c r="G4862" i="51"/>
  <c r="G4863" i="51"/>
  <c r="G4864" i="51"/>
  <c r="G4865" i="51"/>
  <c r="G4866" i="51"/>
  <c r="G4867" i="51"/>
  <c r="G4868" i="51"/>
  <c r="G4869" i="51"/>
  <c r="G4870" i="51"/>
  <c r="G4871" i="51"/>
  <c r="G4872" i="51"/>
  <c r="G4873" i="51"/>
  <c r="G4874" i="51"/>
  <c r="G4875" i="51"/>
  <c r="G4876" i="51"/>
  <c r="G4877" i="51"/>
  <c r="G4878" i="51"/>
  <c r="G4879" i="51"/>
  <c r="G4880" i="51"/>
  <c r="G4881" i="51"/>
  <c r="G4882" i="51"/>
  <c r="G4883" i="51"/>
  <c r="G4884" i="51"/>
  <c r="G4885" i="51"/>
  <c r="G4886" i="51"/>
  <c r="G4887" i="51"/>
  <c r="G4888" i="51"/>
  <c r="G4889" i="51"/>
  <c r="G4890" i="51"/>
  <c r="G4891" i="51"/>
  <c r="G4892" i="51"/>
  <c r="G4893" i="51"/>
  <c r="G4894" i="51"/>
  <c r="G4895" i="51"/>
  <c r="G4896" i="51"/>
  <c r="G4897" i="51"/>
  <c r="G4898" i="51"/>
  <c r="G4899" i="51"/>
  <c r="G4900" i="51"/>
  <c r="G4901" i="51"/>
  <c r="G4902" i="51"/>
  <c r="G4903" i="51"/>
  <c r="G4904" i="51"/>
  <c r="G4905" i="51"/>
  <c r="G4906" i="51"/>
  <c r="G4907" i="51"/>
  <c r="G4908" i="51"/>
  <c r="G4909" i="51"/>
  <c r="G4910" i="51"/>
  <c r="G4911" i="51"/>
  <c r="G4912" i="51"/>
  <c r="G4913" i="51"/>
  <c r="G4914" i="51"/>
  <c r="G4915" i="51"/>
  <c r="G4916" i="51"/>
  <c r="G4917" i="51"/>
  <c r="G4918" i="51"/>
  <c r="G4919" i="51"/>
  <c r="G4920" i="51"/>
  <c r="G4921" i="51"/>
  <c r="G4922" i="51"/>
  <c r="G4923" i="51"/>
  <c r="G4924" i="51"/>
  <c r="G4925" i="51"/>
  <c r="G4926" i="51"/>
  <c r="G4927" i="51"/>
  <c r="G4928" i="51"/>
  <c r="G4929" i="51"/>
  <c r="G4930" i="51"/>
  <c r="G4931" i="51"/>
  <c r="G4932" i="51"/>
  <c r="G4933" i="51"/>
  <c r="G4934" i="51"/>
  <c r="G4935" i="51"/>
  <c r="G4936" i="51"/>
  <c r="G4937" i="51"/>
  <c r="G4938" i="51"/>
  <c r="G4939" i="51"/>
  <c r="G4940" i="51"/>
  <c r="G4941" i="51"/>
  <c r="G4942" i="51"/>
  <c r="G4943" i="51"/>
  <c r="G4944" i="51"/>
  <c r="G4945" i="51"/>
  <c r="G4946" i="51"/>
  <c r="G4947" i="51"/>
  <c r="G4948" i="51"/>
  <c r="G4949" i="51"/>
  <c r="G4950" i="51"/>
  <c r="G4951" i="51"/>
  <c r="G4952" i="51"/>
  <c r="G4953" i="51"/>
  <c r="G4954" i="51"/>
  <c r="G4955" i="51"/>
  <c r="G4956" i="51"/>
  <c r="G4957" i="51"/>
  <c r="G4958" i="51"/>
  <c r="G4959" i="51"/>
  <c r="G4960" i="51"/>
  <c r="G4961" i="51"/>
  <c r="G4962" i="51"/>
  <c r="G4963" i="51"/>
  <c r="G4964" i="51"/>
  <c r="G4965" i="51"/>
  <c r="G4966" i="51"/>
  <c r="G4967" i="51"/>
  <c r="G4968" i="51"/>
  <c r="G4969" i="51"/>
  <c r="G4970" i="51"/>
  <c r="G4971" i="51"/>
  <c r="G4972" i="51"/>
  <c r="G4973" i="51"/>
  <c r="G4974" i="51"/>
  <c r="G4975" i="51"/>
  <c r="G4976" i="51"/>
  <c r="G4977" i="51"/>
  <c r="G4978" i="51"/>
  <c r="G4979" i="51"/>
  <c r="G4980" i="51"/>
  <c r="G4981" i="51"/>
  <c r="G4982" i="51"/>
  <c r="G4983" i="51"/>
  <c r="G4984" i="51"/>
  <c r="G4985" i="51"/>
  <c r="G4986" i="51"/>
  <c r="G4987" i="51"/>
  <c r="G4988" i="51"/>
  <c r="G4989" i="51"/>
  <c r="G4990" i="51"/>
  <c r="G4991" i="51"/>
  <c r="G4992" i="51"/>
  <c r="G4993" i="51"/>
  <c r="G4994" i="51"/>
  <c r="G4995" i="51"/>
  <c r="G4996" i="51"/>
  <c r="G4997" i="51"/>
  <c r="G4998" i="51"/>
  <c r="G4999" i="51"/>
  <c r="G5000" i="51"/>
  <c r="G5001" i="51"/>
  <c r="G5002" i="51"/>
  <c r="G5003" i="51"/>
  <c r="G5004" i="51"/>
  <c r="G5005" i="51"/>
  <c r="G5006" i="51"/>
  <c r="G5007" i="51"/>
  <c r="G5008" i="51"/>
  <c r="G5009" i="51"/>
  <c r="G5010" i="51"/>
  <c r="G5011" i="51"/>
  <c r="G5012" i="51"/>
  <c r="G5013" i="51"/>
  <c r="G5014" i="51"/>
  <c r="G5015" i="51"/>
  <c r="G5016" i="51"/>
  <c r="G5017" i="51"/>
  <c r="G5018" i="51"/>
  <c r="G5019" i="51"/>
  <c r="G5020" i="51"/>
  <c r="G5021" i="51"/>
  <c r="G5022" i="51"/>
  <c r="G5023" i="51"/>
  <c r="G5024" i="51"/>
  <c r="G5025" i="51"/>
  <c r="G5026" i="51"/>
  <c r="G5027" i="51"/>
  <c r="G5028" i="51"/>
  <c r="G5029" i="51"/>
  <c r="G5030" i="51"/>
  <c r="G5031" i="51"/>
  <c r="G5032" i="51"/>
  <c r="G5033" i="51"/>
  <c r="G5034" i="51"/>
  <c r="G5035" i="51"/>
  <c r="G5036" i="51"/>
  <c r="G5037" i="51"/>
  <c r="G5038" i="51"/>
  <c r="G5039" i="51"/>
  <c r="G5040" i="51"/>
  <c r="G5041" i="51"/>
  <c r="G5042" i="51"/>
  <c r="G5043" i="51"/>
  <c r="G5044" i="51"/>
  <c r="G5045" i="51"/>
  <c r="G5046" i="51"/>
  <c r="G5047" i="51"/>
  <c r="G5048" i="51"/>
  <c r="G5049" i="51"/>
  <c r="G5050" i="51"/>
  <c r="G5051" i="51"/>
  <c r="G5052" i="51"/>
  <c r="G5053" i="51"/>
  <c r="G5054" i="51"/>
  <c r="G5055" i="51"/>
  <c r="G5056" i="51"/>
  <c r="G5057" i="51"/>
  <c r="G5058" i="51"/>
  <c r="G5059" i="51"/>
  <c r="G5060" i="51"/>
  <c r="G5061" i="51"/>
  <c r="G5062" i="51"/>
  <c r="G5063" i="51"/>
  <c r="G5064" i="51"/>
  <c r="G5065" i="51"/>
  <c r="G5066" i="51"/>
  <c r="G5067" i="51"/>
  <c r="G5068" i="51"/>
  <c r="G5069" i="51"/>
  <c r="G5070" i="51"/>
  <c r="G5071" i="51"/>
  <c r="G5072" i="51"/>
  <c r="G5073" i="51"/>
  <c r="G5074" i="51"/>
  <c r="G5075" i="51"/>
  <c r="G5076" i="51"/>
  <c r="G5077" i="51"/>
  <c r="G5078" i="51"/>
  <c r="G5079" i="51"/>
  <c r="G5080" i="51"/>
  <c r="G5081" i="51"/>
  <c r="G5082" i="51"/>
  <c r="G5083" i="51"/>
  <c r="G5084" i="51"/>
  <c r="G5085" i="51"/>
  <c r="G5086" i="51"/>
  <c r="G5087" i="51"/>
  <c r="G5088" i="51"/>
  <c r="G5089" i="51"/>
  <c r="G5090" i="51"/>
  <c r="G5091" i="51"/>
  <c r="G5092" i="51"/>
  <c r="G5093" i="51"/>
  <c r="G5094" i="51"/>
  <c r="G5095" i="51"/>
  <c r="G5096" i="51"/>
  <c r="G5097" i="51"/>
  <c r="G5098" i="51"/>
  <c r="G5099" i="51"/>
  <c r="G5100" i="51"/>
  <c r="G5101" i="51"/>
  <c r="G5102" i="51"/>
  <c r="G5103" i="51"/>
  <c r="G5104" i="51"/>
  <c r="G5105" i="51"/>
  <c r="G5106" i="51"/>
  <c r="G5107" i="51"/>
  <c r="G5108" i="51"/>
  <c r="G5109" i="51"/>
  <c r="G5110" i="51"/>
  <c r="G5111" i="51"/>
  <c r="G5112" i="51"/>
  <c r="G5113" i="51"/>
  <c r="G5114" i="51"/>
  <c r="G5115" i="51"/>
  <c r="G5116" i="51"/>
  <c r="G5117" i="51"/>
  <c r="G5118" i="51"/>
  <c r="G5119" i="51"/>
  <c r="G5120" i="51"/>
  <c r="G5121" i="51"/>
  <c r="G5122" i="51"/>
  <c r="G5123" i="51"/>
  <c r="G5124" i="51"/>
  <c r="G5125" i="51"/>
  <c r="G5126" i="51"/>
  <c r="G5127" i="51"/>
  <c r="G5128" i="51"/>
  <c r="G5129" i="51"/>
  <c r="G5130" i="51"/>
  <c r="G5131" i="51"/>
  <c r="G5132" i="51"/>
  <c r="G5133" i="51"/>
  <c r="G5134" i="51"/>
  <c r="G5135" i="51"/>
  <c r="G5136" i="51"/>
  <c r="G5137" i="51"/>
  <c r="G5138" i="51"/>
  <c r="G5139" i="51"/>
  <c r="G5140" i="51"/>
  <c r="G5141" i="51"/>
  <c r="G5142" i="51"/>
  <c r="G5143" i="51"/>
  <c r="G5144" i="51"/>
  <c r="G5145" i="51"/>
  <c r="G5146" i="51"/>
  <c r="G5147" i="51"/>
  <c r="G5148" i="51"/>
  <c r="G5149" i="51"/>
  <c r="G5150" i="51"/>
  <c r="G5151" i="51"/>
  <c r="G5152" i="51"/>
  <c r="G5153" i="51"/>
  <c r="G5154" i="51"/>
  <c r="G5155" i="51"/>
  <c r="G5156" i="51"/>
  <c r="G5157" i="51"/>
  <c r="G5158" i="51"/>
  <c r="G5159" i="51"/>
  <c r="G5160" i="51"/>
  <c r="G5161" i="51"/>
  <c r="G5162" i="51"/>
  <c r="G5163" i="51"/>
  <c r="G5164" i="51"/>
  <c r="G5165" i="51"/>
  <c r="G5166" i="51"/>
  <c r="G5167" i="51"/>
  <c r="G5168" i="51"/>
  <c r="G5169" i="51"/>
  <c r="G5170" i="51"/>
  <c r="G5171" i="51"/>
  <c r="G5172" i="51"/>
  <c r="G5173" i="51"/>
  <c r="G5174" i="51"/>
  <c r="G5175" i="51"/>
  <c r="G5176" i="51"/>
  <c r="G5177" i="51"/>
  <c r="G5178" i="51"/>
  <c r="G5179" i="51"/>
  <c r="G5180" i="51"/>
  <c r="G5181" i="51"/>
  <c r="G5182" i="51"/>
  <c r="G5183" i="51"/>
  <c r="G5184" i="51"/>
  <c r="G5185" i="51"/>
  <c r="G5186" i="51"/>
  <c r="G5187" i="51"/>
  <c r="G5188" i="51"/>
  <c r="G5189" i="51"/>
  <c r="G5190" i="51"/>
  <c r="G5191" i="51"/>
  <c r="G5192" i="51"/>
  <c r="G5193" i="51"/>
  <c r="G5194" i="51"/>
  <c r="G5195" i="51"/>
  <c r="G5196" i="51"/>
  <c r="G5197" i="51"/>
  <c r="G5198" i="51"/>
  <c r="G5199" i="51"/>
  <c r="G5200" i="51"/>
  <c r="G5201" i="51"/>
  <c r="G5202" i="51"/>
  <c r="G5203" i="51"/>
  <c r="G5204" i="51"/>
  <c r="G5205" i="51"/>
  <c r="G5206" i="51"/>
  <c r="G5207" i="51"/>
  <c r="G5208" i="51"/>
  <c r="G5209" i="51"/>
  <c r="G5210" i="51"/>
  <c r="G5211" i="51"/>
  <c r="G5212" i="51"/>
  <c r="G5213" i="51"/>
  <c r="G5214" i="51"/>
  <c r="G5215" i="51"/>
  <c r="G5216" i="51"/>
  <c r="G5217" i="51"/>
  <c r="G5218" i="51"/>
  <c r="G5219" i="51"/>
  <c r="G5220" i="51"/>
  <c r="G5221" i="51"/>
  <c r="G5222" i="51"/>
  <c r="G5223" i="51"/>
  <c r="G5224" i="51"/>
  <c r="G5225" i="51"/>
  <c r="G5226" i="51"/>
  <c r="G5227" i="51"/>
  <c r="G5228" i="51"/>
  <c r="G5229" i="51"/>
  <c r="G5230" i="51"/>
  <c r="G5231" i="51"/>
  <c r="G5232" i="51"/>
  <c r="G5233" i="51"/>
  <c r="G5234" i="51"/>
  <c r="G5235" i="51"/>
  <c r="G5236" i="51"/>
  <c r="G5237" i="51"/>
  <c r="G5238" i="51"/>
  <c r="G5239" i="51"/>
  <c r="G5240" i="51"/>
  <c r="G5241" i="51"/>
  <c r="G5242" i="51"/>
  <c r="G5243" i="51"/>
  <c r="G5244" i="51"/>
  <c r="G5245" i="51"/>
  <c r="G5246" i="51"/>
  <c r="G5247" i="51"/>
  <c r="G5248" i="51"/>
  <c r="G5249" i="51"/>
  <c r="G5250" i="51"/>
  <c r="G5251" i="51"/>
  <c r="G5252" i="51"/>
  <c r="G5253" i="51"/>
  <c r="G5254" i="51"/>
  <c r="G5255" i="51"/>
  <c r="G5256" i="51"/>
  <c r="G5257" i="51"/>
  <c r="G5258" i="51"/>
  <c r="G5259" i="51"/>
  <c r="G5260" i="51"/>
  <c r="G5261" i="51"/>
  <c r="G5262" i="51"/>
  <c r="G5263" i="51"/>
  <c r="G5264" i="51"/>
  <c r="G5265" i="51"/>
  <c r="G5266" i="51"/>
  <c r="G5267" i="51"/>
  <c r="G5268" i="51"/>
  <c r="G5269" i="51"/>
  <c r="G5270" i="51"/>
  <c r="G5271" i="51"/>
  <c r="G5272" i="51"/>
  <c r="G5273" i="51"/>
  <c r="G5274" i="51"/>
  <c r="G5275" i="51"/>
  <c r="G5276" i="51"/>
  <c r="G5277" i="51"/>
  <c r="G5278" i="51"/>
  <c r="G5279" i="51"/>
  <c r="G5280" i="51"/>
  <c r="G5281" i="51"/>
  <c r="G5282" i="51"/>
  <c r="G5283" i="51"/>
  <c r="G5284" i="51"/>
  <c r="G5285" i="51"/>
  <c r="G5286" i="51"/>
  <c r="G5287" i="51"/>
  <c r="G5288" i="51"/>
  <c r="G5289" i="51"/>
  <c r="G5290" i="51"/>
  <c r="G5291" i="51"/>
  <c r="G5292" i="51"/>
  <c r="G5293" i="51"/>
  <c r="G5294" i="51"/>
  <c r="G5295" i="51"/>
  <c r="G5296" i="51"/>
  <c r="G5297" i="51"/>
  <c r="G5298" i="51"/>
  <c r="G5299" i="51"/>
  <c r="G5300" i="51"/>
  <c r="G5301" i="51"/>
  <c r="G5302" i="51"/>
  <c r="G5303" i="51"/>
  <c r="G5304" i="51"/>
  <c r="G5305" i="51"/>
  <c r="G5306" i="51"/>
  <c r="G5307" i="51"/>
  <c r="G5308" i="51"/>
  <c r="G5309" i="51"/>
  <c r="G5310" i="51"/>
  <c r="G5311" i="51"/>
  <c r="G5312" i="51"/>
  <c r="G5313" i="51"/>
  <c r="G5314" i="51"/>
  <c r="G5315" i="51"/>
  <c r="G5316" i="51"/>
  <c r="G5317" i="51"/>
  <c r="G5318" i="51"/>
  <c r="G5319" i="51"/>
  <c r="G5320" i="51"/>
  <c r="G5321" i="51"/>
  <c r="G5322" i="51"/>
  <c r="G5323" i="51"/>
  <c r="G5324" i="51"/>
  <c r="G5325" i="51"/>
  <c r="G5326" i="51"/>
  <c r="G5327" i="51"/>
  <c r="G5328" i="51"/>
  <c r="G5329" i="51"/>
  <c r="G5330" i="51"/>
  <c r="G5331" i="51"/>
  <c r="G5332" i="51"/>
  <c r="G5333" i="51"/>
  <c r="G5334" i="51"/>
  <c r="G5335" i="51"/>
  <c r="G5336" i="51"/>
  <c r="G5337" i="51"/>
  <c r="G5338" i="51"/>
  <c r="G5339" i="51"/>
  <c r="G5340" i="51"/>
  <c r="G5341" i="51"/>
  <c r="G5342" i="51"/>
  <c r="G5343" i="51"/>
  <c r="G5344" i="51"/>
  <c r="G5345" i="51"/>
  <c r="G5346" i="51"/>
  <c r="G5347" i="51"/>
  <c r="G5348" i="51"/>
  <c r="G5349" i="51"/>
  <c r="G5350" i="51"/>
  <c r="G5351" i="51"/>
  <c r="G5352" i="51"/>
  <c r="G5353" i="51"/>
  <c r="G5354" i="51"/>
  <c r="G5355" i="51"/>
  <c r="G5356" i="51"/>
  <c r="G5357" i="51"/>
  <c r="G5358" i="51"/>
  <c r="G5359" i="51"/>
  <c r="G5360" i="51"/>
  <c r="G5361" i="51"/>
  <c r="G5362" i="51"/>
  <c r="G5363" i="51"/>
  <c r="G5364" i="51"/>
  <c r="G5365" i="51"/>
  <c r="G5366" i="51"/>
  <c r="G5367" i="51"/>
  <c r="G5368" i="51"/>
  <c r="G5369" i="51"/>
  <c r="G5370" i="51"/>
  <c r="G5371" i="51"/>
  <c r="G5372" i="51"/>
  <c r="G5373" i="51"/>
  <c r="G5374" i="51"/>
  <c r="G5375" i="51"/>
  <c r="G5376" i="51"/>
  <c r="G5377" i="51"/>
  <c r="G5378" i="51"/>
  <c r="G5379" i="51"/>
  <c r="G5380" i="51"/>
  <c r="G5381" i="51"/>
  <c r="G5382" i="51"/>
  <c r="G5383" i="51"/>
  <c r="G5384" i="51"/>
  <c r="G5385" i="51"/>
  <c r="G5386" i="51"/>
  <c r="G5387" i="51"/>
  <c r="G5388" i="51"/>
  <c r="G5389" i="51"/>
  <c r="G5390" i="51"/>
  <c r="G5391" i="51"/>
  <c r="G5392" i="51"/>
  <c r="G5393" i="51"/>
  <c r="G5394" i="51"/>
  <c r="G5395" i="51"/>
  <c r="G5396" i="51"/>
  <c r="G5397" i="51"/>
  <c r="G5398" i="51"/>
  <c r="G5399" i="51"/>
  <c r="G5400" i="51"/>
  <c r="G5401" i="51"/>
  <c r="G5402" i="51"/>
  <c r="G5403" i="51"/>
  <c r="G5404" i="51"/>
  <c r="G5405" i="51"/>
  <c r="G5406" i="51"/>
  <c r="G5407" i="51"/>
  <c r="G5408" i="51"/>
  <c r="G5409" i="51"/>
  <c r="G5410" i="51"/>
  <c r="G5411" i="51"/>
  <c r="G5412" i="51"/>
  <c r="G5413" i="51"/>
  <c r="G5414" i="51"/>
  <c r="G5415" i="51"/>
  <c r="G5416" i="51"/>
  <c r="G5417" i="51"/>
  <c r="G5418" i="51"/>
  <c r="G5419" i="51"/>
  <c r="G5420" i="51"/>
  <c r="G5421" i="51"/>
  <c r="G5422" i="51"/>
  <c r="G5423" i="51"/>
  <c r="G5424" i="51"/>
  <c r="G5425" i="51"/>
  <c r="G5426" i="51"/>
  <c r="G5427" i="51"/>
  <c r="G5428" i="51"/>
  <c r="G5429" i="51"/>
  <c r="G5430" i="51"/>
  <c r="G5431" i="51"/>
  <c r="G5432" i="51"/>
  <c r="G5433" i="51"/>
  <c r="G5434" i="51"/>
  <c r="G5435" i="51"/>
  <c r="G5436" i="51"/>
  <c r="G5437" i="51"/>
  <c r="G5438" i="51"/>
  <c r="G5439" i="51"/>
  <c r="G5440" i="51"/>
  <c r="G5441" i="51"/>
  <c r="G5442" i="51"/>
  <c r="G5443" i="51"/>
  <c r="G5444" i="51"/>
  <c r="G5445" i="51"/>
  <c r="G5446" i="51"/>
  <c r="G5447" i="51"/>
  <c r="G5448" i="51"/>
  <c r="G5449" i="51"/>
  <c r="G5450" i="51"/>
  <c r="G5451" i="51"/>
  <c r="G5452" i="51"/>
  <c r="G5453" i="51"/>
  <c r="G5454" i="51"/>
  <c r="G5455" i="51"/>
  <c r="G5456" i="51"/>
  <c r="G5457" i="51"/>
  <c r="G5458" i="51"/>
  <c r="G5459" i="51"/>
  <c r="G5460" i="51"/>
  <c r="G5461" i="51"/>
  <c r="G5462" i="51"/>
  <c r="G5463" i="51"/>
  <c r="G5464" i="51"/>
  <c r="G5465" i="51"/>
  <c r="G5466" i="51"/>
  <c r="G5467" i="51"/>
  <c r="G5468" i="51"/>
  <c r="G5469" i="51"/>
  <c r="G5470" i="51"/>
  <c r="G5471" i="51"/>
  <c r="G5472" i="51"/>
  <c r="G5473" i="51"/>
  <c r="G5474" i="51"/>
  <c r="G5475" i="51"/>
  <c r="G5476" i="51"/>
  <c r="G5477" i="51"/>
  <c r="G5478" i="51"/>
  <c r="G5479" i="51"/>
  <c r="G5480" i="51"/>
  <c r="G5481" i="51"/>
  <c r="G5482" i="51"/>
  <c r="G5483" i="51"/>
  <c r="G5484" i="51"/>
  <c r="G5485" i="51"/>
  <c r="G5486" i="51"/>
  <c r="G5487" i="51"/>
  <c r="G5488" i="51"/>
  <c r="G5489" i="51"/>
  <c r="G5490" i="51"/>
  <c r="G5491" i="51"/>
  <c r="G5492" i="51"/>
  <c r="G5493" i="51"/>
  <c r="G5494" i="51"/>
  <c r="G5495" i="51"/>
  <c r="G5496" i="51"/>
  <c r="G5497" i="51"/>
  <c r="G5498" i="51"/>
  <c r="G5499" i="51"/>
  <c r="G5500" i="51"/>
  <c r="G5501" i="51"/>
  <c r="G5502" i="51"/>
  <c r="G5503" i="51"/>
  <c r="G5504" i="51"/>
  <c r="G5505" i="51"/>
  <c r="G5506" i="51"/>
  <c r="G5507" i="51"/>
  <c r="G5508" i="51"/>
  <c r="G5509" i="51"/>
  <c r="G5510" i="51"/>
  <c r="G5511" i="51"/>
  <c r="G5512" i="51"/>
  <c r="G5513" i="51"/>
  <c r="G5514" i="51"/>
  <c r="G5515" i="51"/>
  <c r="G5516" i="51"/>
  <c r="G5517" i="51"/>
  <c r="G5518" i="51"/>
  <c r="G5519" i="51"/>
  <c r="G5520" i="51"/>
  <c r="G5521" i="51"/>
  <c r="G5522" i="51"/>
  <c r="G5523" i="51"/>
  <c r="G5524" i="51"/>
  <c r="G5525" i="51"/>
  <c r="G5526" i="51"/>
  <c r="G5527" i="51"/>
  <c r="G5528" i="51"/>
  <c r="G5529" i="51"/>
  <c r="G5530" i="51"/>
  <c r="G5531" i="51"/>
  <c r="G5532" i="51"/>
  <c r="G5533" i="51"/>
  <c r="G5534" i="51"/>
  <c r="G5535" i="51"/>
  <c r="G5536" i="51"/>
  <c r="G5537" i="51"/>
  <c r="G5538" i="51"/>
  <c r="G5539" i="51"/>
  <c r="G5540" i="51"/>
  <c r="G5541" i="51"/>
  <c r="G5542" i="51"/>
  <c r="G5543" i="51"/>
  <c r="G5544" i="51"/>
  <c r="G5545" i="51"/>
  <c r="G5546" i="51"/>
  <c r="G5547" i="51"/>
  <c r="G5548" i="51"/>
  <c r="G5549" i="51"/>
  <c r="G5550" i="51"/>
  <c r="G5551" i="51"/>
  <c r="G5552" i="51"/>
  <c r="G5553" i="51"/>
  <c r="G5554" i="51"/>
  <c r="G5555" i="51"/>
  <c r="G5556" i="51"/>
  <c r="G5557" i="51"/>
  <c r="G5558" i="51"/>
  <c r="G5559" i="51"/>
  <c r="G5560" i="51"/>
  <c r="G5561" i="51"/>
  <c r="G5562" i="51"/>
  <c r="G5563" i="51"/>
  <c r="G5564" i="51"/>
  <c r="G5565" i="51"/>
  <c r="G5566" i="51"/>
  <c r="G5567" i="51"/>
  <c r="G5568" i="51"/>
  <c r="G5569" i="51"/>
  <c r="G5570" i="51"/>
  <c r="G5571" i="51"/>
  <c r="G5572" i="51"/>
  <c r="G5573" i="51"/>
  <c r="G5574" i="51"/>
  <c r="G5575" i="51"/>
  <c r="G5576" i="51"/>
  <c r="G5577" i="51"/>
  <c r="G5578" i="51"/>
  <c r="G5579" i="51"/>
  <c r="G5580" i="51"/>
  <c r="G5581" i="51"/>
  <c r="G5582" i="51"/>
  <c r="G5583" i="51"/>
  <c r="G5584" i="51"/>
  <c r="G5585" i="51"/>
  <c r="G5586" i="51"/>
  <c r="G5587" i="51"/>
  <c r="G5588" i="51"/>
  <c r="G5589" i="51"/>
  <c r="G5590" i="51"/>
  <c r="G5591" i="51"/>
  <c r="G5592" i="51"/>
  <c r="G5593" i="51"/>
  <c r="G5594" i="51"/>
  <c r="G5595" i="51"/>
  <c r="G5596" i="51"/>
  <c r="G5597" i="51"/>
  <c r="G5598" i="51"/>
  <c r="G5599" i="51"/>
  <c r="G5600" i="51"/>
  <c r="G5601" i="51"/>
  <c r="G5602" i="51"/>
  <c r="G5603" i="51"/>
  <c r="G5604" i="51"/>
  <c r="G5605" i="51"/>
  <c r="G5606" i="51"/>
  <c r="G5607" i="51"/>
  <c r="G5608" i="51"/>
  <c r="G5609" i="51"/>
  <c r="G5610" i="51"/>
  <c r="G5611" i="51"/>
  <c r="G5612" i="51"/>
  <c r="G5613" i="51"/>
  <c r="G5614" i="51"/>
  <c r="G5615" i="51"/>
  <c r="G5616" i="51"/>
  <c r="G5617" i="51"/>
  <c r="G5618" i="51"/>
  <c r="G5619" i="51"/>
  <c r="G5620" i="51"/>
  <c r="G5621" i="51"/>
  <c r="G5622" i="51"/>
  <c r="G5623" i="51"/>
  <c r="G5624" i="51"/>
  <c r="G5625" i="51"/>
  <c r="G5626" i="51"/>
  <c r="G5627" i="51"/>
  <c r="G5628" i="51"/>
  <c r="G5629" i="51"/>
  <c r="G5630" i="51"/>
  <c r="G5631" i="51"/>
  <c r="G5632" i="51"/>
  <c r="G5633" i="51"/>
  <c r="G5634" i="51"/>
  <c r="G5635" i="51"/>
  <c r="G5636" i="51"/>
  <c r="G5637" i="51"/>
  <c r="G5638" i="51"/>
  <c r="G5639" i="51"/>
  <c r="G5640" i="51"/>
  <c r="G5641" i="51"/>
  <c r="G5642" i="51"/>
  <c r="G5643" i="51"/>
  <c r="G5644" i="51"/>
  <c r="G5645" i="51"/>
  <c r="G5646" i="51"/>
  <c r="G5647" i="51"/>
  <c r="G5648" i="51"/>
  <c r="G5649" i="51"/>
  <c r="G5650" i="51"/>
  <c r="G5651" i="51"/>
  <c r="G5652" i="51"/>
  <c r="G5653" i="51"/>
  <c r="G5654" i="51"/>
  <c r="G5655" i="51"/>
  <c r="G5656" i="51"/>
  <c r="G5657" i="51"/>
  <c r="G5658" i="51"/>
  <c r="G5659" i="51"/>
  <c r="G5660" i="51"/>
  <c r="G5661" i="51"/>
  <c r="G5662" i="51"/>
  <c r="G5663" i="51"/>
  <c r="G5664" i="51"/>
  <c r="G5665" i="51"/>
  <c r="G5666" i="51"/>
  <c r="G5667" i="51"/>
  <c r="G5668" i="51"/>
  <c r="G5669" i="51"/>
  <c r="G5670" i="51"/>
  <c r="G5671" i="51"/>
  <c r="G5672" i="51"/>
  <c r="G5673" i="51"/>
  <c r="G5674" i="51"/>
  <c r="G5675" i="51"/>
  <c r="G5676" i="51"/>
  <c r="G5677" i="51"/>
  <c r="G5678" i="51"/>
  <c r="G5679" i="51"/>
  <c r="G5680" i="51"/>
  <c r="G5681" i="51"/>
  <c r="G5682" i="51"/>
  <c r="G5683" i="51"/>
  <c r="G5684" i="51"/>
  <c r="G5685" i="51"/>
  <c r="G5686" i="51"/>
  <c r="G5687" i="51"/>
  <c r="G5688" i="51"/>
  <c r="G5689" i="51"/>
  <c r="G5690" i="51"/>
  <c r="G5691" i="51"/>
  <c r="G5692" i="51"/>
  <c r="G5693" i="51"/>
  <c r="G5694" i="51"/>
  <c r="G5695" i="51"/>
  <c r="G5696" i="51"/>
  <c r="G5697" i="51"/>
  <c r="G5698" i="51"/>
  <c r="G5699" i="51"/>
  <c r="G5700" i="51"/>
  <c r="G5701" i="51"/>
  <c r="G5702" i="51"/>
  <c r="G5703" i="51"/>
  <c r="G5704" i="51"/>
  <c r="G5705" i="51"/>
  <c r="G5706" i="51"/>
  <c r="G5707" i="51"/>
  <c r="G5708" i="51"/>
  <c r="G5709" i="51"/>
  <c r="G5710" i="51"/>
  <c r="G5711" i="51"/>
  <c r="G5712" i="51"/>
  <c r="G5713" i="51"/>
  <c r="G5714" i="51"/>
  <c r="G5715" i="51"/>
  <c r="G5716" i="51"/>
  <c r="G5717" i="51"/>
  <c r="G5718" i="51"/>
  <c r="G5719" i="51"/>
  <c r="G5720" i="51"/>
  <c r="G5721" i="51"/>
  <c r="G5722" i="51"/>
  <c r="G5723" i="51"/>
  <c r="G5724" i="51"/>
  <c r="G5725" i="51"/>
  <c r="G5726" i="51"/>
  <c r="G5727" i="51"/>
  <c r="G5728" i="51"/>
  <c r="G5729" i="51"/>
  <c r="G5730" i="51"/>
  <c r="G5731" i="51"/>
  <c r="G5732" i="51"/>
  <c r="G5733" i="51"/>
  <c r="G5734" i="51"/>
  <c r="G5735" i="51"/>
  <c r="G5736" i="51"/>
  <c r="G5737" i="51"/>
  <c r="G5738" i="51"/>
  <c r="G5739" i="51"/>
  <c r="G5740" i="51"/>
  <c r="G5741" i="51"/>
  <c r="G5742" i="51"/>
  <c r="G5743" i="51"/>
  <c r="G5744" i="51"/>
  <c r="G5745" i="51"/>
  <c r="G5746" i="51"/>
  <c r="G5747" i="51"/>
  <c r="G5748" i="51"/>
  <c r="G5749" i="51"/>
  <c r="G5750" i="51"/>
  <c r="G5751" i="51"/>
  <c r="G5752" i="51"/>
  <c r="G5753" i="51"/>
  <c r="G5754" i="51"/>
  <c r="G5755" i="51"/>
  <c r="G5756" i="51"/>
  <c r="G5757" i="51"/>
  <c r="G5758" i="51"/>
  <c r="G5759" i="51"/>
  <c r="G5760" i="51"/>
  <c r="G5761" i="51"/>
  <c r="G5762" i="51"/>
  <c r="G5763" i="51"/>
  <c r="G5764" i="51"/>
  <c r="G5765" i="51"/>
  <c r="G5766" i="51"/>
  <c r="G5767" i="51"/>
  <c r="G5768" i="51"/>
  <c r="G5769" i="51"/>
  <c r="G5770" i="51"/>
  <c r="G5771" i="51"/>
  <c r="G5772" i="51"/>
  <c r="G5773" i="51"/>
  <c r="G5774" i="51"/>
  <c r="G5775" i="51"/>
  <c r="G5776" i="51"/>
  <c r="G5777" i="51"/>
  <c r="G5778" i="51"/>
  <c r="G5779" i="51"/>
  <c r="G5780" i="51"/>
  <c r="G5781" i="51"/>
  <c r="G5782" i="51"/>
  <c r="G5783" i="51"/>
  <c r="G5784" i="51"/>
  <c r="G5785" i="51"/>
  <c r="G5786" i="51"/>
  <c r="G5787" i="51"/>
  <c r="G5788" i="51"/>
  <c r="G5789" i="51"/>
  <c r="G5790" i="51"/>
  <c r="G5791" i="51"/>
  <c r="G5792" i="51"/>
  <c r="G5793" i="51"/>
  <c r="G5794" i="51"/>
  <c r="G5795" i="51"/>
  <c r="G5796" i="51"/>
  <c r="G5797" i="51"/>
  <c r="G5798" i="51"/>
  <c r="G5799" i="51"/>
  <c r="G5800" i="51"/>
  <c r="G5801" i="51"/>
  <c r="G5802" i="51"/>
  <c r="G5803" i="51"/>
  <c r="G5804" i="51"/>
  <c r="G5805" i="51"/>
  <c r="G5806" i="51"/>
  <c r="G5807" i="51"/>
  <c r="G5808" i="51"/>
  <c r="G5809" i="51"/>
  <c r="G5810" i="51"/>
  <c r="G5811" i="51"/>
  <c r="G5812" i="51"/>
  <c r="G5813" i="51"/>
  <c r="G5814" i="51"/>
  <c r="G5815" i="51"/>
  <c r="G5816" i="51"/>
  <c r="G5817" i="51"/>
  <c r="G5818" i="51"/>
  <c r="G5819" i="51"/>
  <c r="G5820" i="51"/>
  <c r="G5821" i="51"/>
  <c r="G5822" i="51"/>
  <c r="G5823" i="51"/>
  <c r="G5824" i="51"/>
  <c r="G5825" i="51"/>
  <c r="G5826" i="51"/>
  <c r="G5827" i="51"/>
  <c r="G5828" i="51"/>
  <c r="G5829" i="51"/>
  <c r="G5830" i="51"/>
  <c r="G5831" i="51"/>
  <c r="G5832" i="51"/>
  <c r="G5833" i="51"/>
  <c r="G5834" i="51"/>
  <c r="G5835" i="51"/>
  <c r="G5836" i="51"/>
  <c r="G5837" i="51"/>
  <c r="G5838" i="51"/>
  <c r="G5839" i="51"/>
  <c r="G5840" i="51"/>
  <c r="G5841" i="51"/>
  <c r="G5842" i="51"/>
  <c r="G5843" i="51"/>
  <c r="G5844" i="51"/>
  <c r="G5845" i="51"/>
  <c r="G5846" i="51"/>
  <c r="G5847" i="51"/>
  <c r="G5848" i="51"/>
  <c r="G5849" i="51"/>
  <c r="G5850" i="51"/>
  <c r="G5851" i="51"/>
  <c r="G5852" i="51"/>
  <c r="G5853" i="51"/>
  <c r="G5854" i="51"/>
  <c r="G5855" i="51"/>
  <c r="G5856" i="51"/>
  <c r="G5857" i="51"/>
  <c r="G5858" i="51"/>
  <c r="G5859" i="51"/>
  <c r="G5860" i="51"/>
  <c r="G5861" i="51"/>
  <c r="G5862" i="51"/>
  <c r="G5863" i="51"/>
  <c r="G5864" i="51"/>
  <c r="G5865" i="51"/>
  <c r="G5866" i="51"/>
  <c r="G5867" i="51"/>
  <c r="G5868" i="51"/>
  <c r="G5869" i="51"/>
  <c r="G5870" i="51"/>
  <c r="G5871" i="51"/>
  <c r="G5872" i="51"/>
  <c r="G5873" i="51"/>
  <c r="G5874" i="51"/>
  <c r="G5875" i="51"/>
  <c r="G5876" i="51"/>
  <c r="G5877" i="51"/>
  <c r="G5878" i="51"/>
  <c r="G5879" i="51"/>
  <c r="G5880" i="51"/>
  <c r="G5881" i="51"/>
  <c r="G5882" i="51"/>
  <c r="G5883" i="51"/>
  <c r="G5884" i="51"/>
  <c r="G5885" i="51"/>
  <c r="G5886" i="51"/>
  <c r="G5887" i="51"/>
  <c r="G5888" i="51"/>
  <c r="G5889" i="51"/>
  <c r="G5890" i="51"/>
  <c r="G5891" i="51"/>
  <c r="G5892" i="51"/>
  <c r="G5893" i="51"/>
  <c r="G5894" i="51"/>
  <c r="G5895" i="51"/>
  <c r="G5896" i="51"/>
  <c r="G5897" i="51"/>
  <c r="G5898" i="51"/>
  <c r="G5899" i="51"/>
  <c r="G5900" i="51"/>
  <c r="G5901" i="51"/>
  <c r="G5902" i="51"/>
  <c r="G5903" i="51"/>
  <c r="G5904" i="51"/>
  <c r="G5905" i="51"/>
  <c r="G5906" i="51"/>
  <c r="G5907" i="51"/>
  <c r="G5908" i="51"/>
  <c r="G5909" i="51"/>
  <c r="G5910" i="51"/>
  <c r="G5911" i="51"/>
  <c r="G5912" i="51"/>
  <c r="G5913" i="51"/>
  <c r="G5914" i="51"/>
  <c r="G5915" i="51"/>
  <c r="G5916" i="51"/>
  <c r="G5917" i="51"/>
  <c r="G5918" i="51"/>
  <c r="G5919" i="51"/>
  <c r="G5920" i="51"/>
  <c r="G5921" i="51"/>
  <c r="G5922" i="51"/>
  <c r="G5923" i="51"/>
  <c r="G5924" i="51"/>
  <c r="G5925" i="51"/>
  <c r="G5926" i="51"/>
  <c r="G5927" i="51"/>
  <c r="G5928" i="51"/>
  <c r="G5929" i="51"/>
  <c r="G5930" i="51"/>
  <c r="G5931" i="51"/>
  <c r="G5932" i="51"/>
  <c r="G5933" i="51"/>
  <c r="G5934" i="51"/>
  <c r="G5935" i="51"/>
  <c r="G5936" i="51"/>
  <c r="G5937" i="51"/>
  <c r="G5938" i="51"/>
  <c r="G5939" i="51"/>
  <c r="G5940" i="51"/>
  <c r="G5941" i="51"/>
  <c r="G5942" i="51"/>
  <c r="G5943" i="51"/>
  <c r="G5944" i="51"/>
  <c r="G5945" i="51"/>
  <c r="G5946" i="51"/>
  <c r="G5947" i="51"/>
  <c r="G5948" i="51"/>
  <c r="G5949" i="51"/>
  <c r="G5950" i="51"/>
  <c r="G5951" i="51"/>
  <c r="G5952" i="51"/>
  <c r="G5953" i="51"/>
  <c r="G5954" i="51"/>
  <c r="G5955" i="51"/>
  <c r="G5956" i="51"/>
  <c r="G5957" i="51"/>
  <c r="G5958" i="51"/>
  <c r="G5959" i="51"/>
  <c r="G5960" i="51"/>
  <c r="G5961" i="51"/>
  <c r="G5962" i="51"/>
  <c r="G5963" i="51"/>
  <c r="G5964" i="51"/>
  <c r="G5965" i="51"/>
  <c r="G5966" i="51"/>
  <c r="G5967" i="51"/>
  <c r="G5968" i="51"/>
  <c r="G5969" i="51"/>
  <c r="G5970" i="51"/>
  <c r="G5971" i="51"/>
  <c r="G5972" i="51"/>
  <c r="G5973" i="51"/>
  <c r="G5974" i="51"/>
  <c r="G5975" i="51"/>
  <c r="G5976" i="51"/>
  <c r="G5977" i="51"/>
  <c r="G5978" i="51"/>
  <c r="G5979" i="51"/>
  <c r="G5980" i="51"/>
  <c r="G5981" i="51"/>
  <c r="G5982" i="51"/>
  <c r="G5983" i="51"/>
  <c r="G5984" i="51"/>
  <c r="G5985" i="51"/>
  <c r="G5986" i="51"/>
  <c r="G5987" i="51"/>
  <c r="G5988" i="51"/>
  <c r="G5989" i="51"/>
  <c r="G5990" i="51"/>
  <c r="G5991" i="51"/>
  <c r="G5992" i="51"/>
  <c r="G5993" i="51"/>
  <c r="G5994" i="51"/>
  <c r="G5995" i="51"/>
  <c r="G5996" i="51"/>
  <c r="G5997" i="51"/>
  <c r="G5998" i="51"/>
  <c r="G5999" i="51"/>
  <c r="G6000" i="51"/>
  <c r="G6001" i="51"/>
  <c r="G6002" i="51"/>
  <c r="G6003" i="51"/>
  <c r="G6004" i="51"/>
  <c r="G6005" i="51"/>
  <c r="G6006" i="51"/>
  <c r="G6007" i="51"/>
  <c r="G6008" i="51"/>
  <c r="G6009" i="51"/>
  <c r="G6010" i="51"/>
  <c r="G6011" i="51"/>
  <c r="G6012" i="51"/>
  <c r="G6013" i="51"/>
  <c r="G6014" i="51"/>
  <c r="G6015" i="51"/>
  <c r="G6016" i="51"/>
  <c r="G6017" i="51"/>
  <c r="G6018" i="51"/>
  <c r="G6019" i="51"/>
  <c r="G6020" i="51"/>
  <c r="G6021" i="51"/>
  <c r="G6022" i="51"/>
  <c r="G6023" i="51"/>
  <c r="G6024" i="51"/>
  <c r="G6025" i="51"/>
  <c r="G6026" i="51"/>
  <c r="G6027" i="51"/>
  <c r="G6028" i="51"/>
  <c r="G6029" i="51"/>
  <c r="G6030" i="51"/>
  <c r="G6031" i="51"/>
  <c r="G6032" i="51"/>
  <c r="G6033" i="51"/>
  <c r="G6034" i="51"/>
  <c r="G6035" i="51"/>
  <c r="G6036" i="51"/>
  <c r="G6037" i="51"/>
  <c r="G6038" i="51"/>
  <c r="G6039" i="51"/>
  <c r="G6040" i="51"/>
  <c r="G6041" i="51"/>
  <c r="G6042" i="51"/>
  <c r="G6043" i="51"/>
  <c r="G6044" i="51"/>
  <c r="G6045" i="51"/>
  <c r="G6046" i="51"/>
  <c r="G6047" i="51"/>
  <c r="G6048" i="51"/>
  <c r="G6049" i="51"/>
  <c r="G6050" i="51"/>
  <c r="G6051" i="51"/>
  <c r="G6052" i="51"/>
  <c r="G6053" i="51"/>
  <c r="G6054" i="51"/>
  <c r="G6055" i="51"/>
  <c r="G6056" i="51"/>
  <c r="G6057" i="51"/>
  <c r="G6058" i="51"/>
  <c r="G6059" i="51"/>
  <c r="G6060" i="51"/>
  <c r="G6061" i="51"/>
  <c r="G6062" i="51"/>
  <c r="G6063" i="51"/>
  <c r="G6064" i="51"/>
  <c r="G6065" i="51"/>
  <c r="G6066" i="51"/>
  <c r="G6067" i="51"/>
  <c r="G6068" i="51"/>
  <c r="G6069" i="51"/>
  <c r="G6070" i="51"/>
  <c r="G6071" i="51"/>
  <c r="G6072" i="51"/>
  <c r="G6073" i="51"/>
  <c r="G6074" i="51"/>
  <c r="G6075" i="51"/>
  <c r="G6076" i="51"/>
  <c r="G6077" i="51"/>
  <c r="G6078" i="51"/>
  <c r="G6079" i="51"/>
  <c r="G6080" i="51"/>
  <c r="G6081" i="51"/>
  <c r="G6082" i="51"/>
  <c r="G6083" i="51"/>
  <c r="G6084" i="51"/>
  <c r="G6085" i="51"/>
  <c r="G6086" i="51"/>
  <c r="G6087" i="51"/>
  <c r="G6088" i="51"/>
  <c r="G6089" i="51"/>
  <c r="G6090" i="51"/>
  <c r="G6091" i="51"/>
  <c r="G6092" i="51"/>
  <c r="G6093" i="51"/>
  <c r="G6094" i="51"/>
  <c r="G6095" i="51"/>
  <c r="G6096" i="51"/>
  <c r="G6097" i="51"/>
  <c r="G6098" i="51"/>
  <c r="G6099" i="51"/>
  <c r="G6100" i="51"/>
  <c r="G6101" i="51"/>
  <c r="G6102" i="51"/>
  <c r="G6103" i="51"/>
  <c r="G6104" i="51"/>
  <c r="G6105" i="51"/>
  <c r="G6106" i="51"/>
  <c r="G6107" i="51"/>
  <c r="G6108" i="51"/>
  <c r="G6109" i="51"/>
  <c r="G6110" i="51"/>
  <c r="G6111" i="51"/>
  <c r="G6112" i="51"/>
  <c r="G6113" i="51"/>
  <c r="G6114" i="51"/>
  <c r="G6115" i="51"/>
  <c r="G6116" i="51"/>
  <c r="G6117" i="51"/>
  <c r="G6118" i="51"/>
  <c r="G6119" i="51"/>
  <c r="G6120" i="51"/>
  <c r="G6121" i="51"/>
  <c r="G6122" i="51"/>
  <c r="G6123" i="51"/>
  <c r="G6124" i="51"/>
  <c r="G6125" i="51"/>
  <c r="G6126" i="51"/>
  <c r="G6127" i="51"/>
  <c r="G6128" i="51"/>
  <c r="G6129" i="51"/>
  <c r="G6130" i="51"/>
  <c r="G6131" i="51"/>
  <c r="G6132" i="51"/>
  <c r="G6133" i="51"/>
  <c r="G6134" i="51"/>
  <c r="G6135" i="51"/>
  <c r="G6136" i="51"/>
  <c r="G6137" i="51"/>
  <c r="G6138" i="51"/>
  <c r="G6139" i="51"/>
  <c r="G6140" i="51"/>
  <c r="G6141" i="51"/>
  <c r="G6142" i="51"/>
  <c r="G6143" i="51"/>
  <c r="G6144" i="51"/>
  <c r="G6145" i="51"/>
  <c r="G6146" i="51"/>
  <c r="G6147" i="51"/>
  <c r="G6148" i="51"/>
  <c r="G6149" i="51"/>
  <c r="G6150" i="51"/>
  <c r="G6151" i="51"/>
  <c r="G6152" i="51"/>
  <c r="G6153" i="51"/>
  <c r="G6154" i="51"/>
  <c r="G6155" i="51"/>
  <c r="G6156" i="51"/>
  <c r="G6157" i="51"/>
  <c r="G6158" i="51"/>
  <c r="G6159" i="51"/>
  <c r="G6160" i="51"/>
  <c r="G6161" i="51"/>
  <c r="G6162" i="51"/>
  <c r="G6163" i="51"/>
  <c r="G6164" i="51"/>
  <c r="G6165" i="51"/>
  <c r="G6166" i="51"/>
  <c r="G6167" i="51"/>
  <c r="G6168" i="51"/>
  <c r="G6169" i="51"/>
  <c r="G6170" i="51"/>
  <c r="G6171" i="51"/>
  <c r="G6172" i="51"/>
  <c r="G6173" i="51"/>
  <c r="G6174" i="51"/>
  <c r="G6175" i="51"/>
  <c r="G6176" i="51"/>
  <c r="G6177" i="51"/>
  <c r="G6178" i="51"/>
  <c r="G6179" i="51"/>
  <c r="G6180" i="51"/>
  <c r="G6181" i="51"/>
  <c r="G6182" i="51"/>
  <c r="G6183" i="51"/>
  <c r="G6184" i="51"/>
  <c r="G6185" i="51"/>
  <c r="G6186" i="51"/>
  <c r="G6187" i="51"/>
  <c r="G6188" i="51"/>
  <c r="G6189" i="51"/>
  <c r="G6190" i="51"/>
  <c r="G6191" i="51"/>
  <c r="G6192" i="51"/>
  <c r="G6193" i="51"/>
  <c r="G6194" i="51"/>
  <c r="G6195" i="51"/>
  <c r="G6196" i="51"/>
  <c r="G6197" i="51"/>
  <c r="G6198" i="51"/>
  <c r="G6199" i="51"/>
  <c r="G6200" i="51"/>
  <c r="G6201" i="51"/>
  <c r="G6202" i="51"/>
  <c r="G6203" i="51"/>
  <c r="G6204" i="51"/>
  <c r="G6205" i="51"/>
  <c r="G6206" i="51"/>
  <c r="G6207" i="51"/>
  <c r="G6208" i="51"/>
  <c r="G6209" i="51"/>
  <c r="G6210" i="51"/>
  <c r="G6211" i="51"/>
  <c r="G6212" i="51"/>
  <c r="G6213" i="51"/>
  <c r="G6214" i="51"/>
  <c r="G6215" i="51"/>
  <c r="G6216" i="51"/>
  <c r="G6217" i="51"/>
  <c r="G6218" i="51"/>
  <c r="G6219" i="51"/>
  <c r="G6220" i="51"/>
  <c r="G6221" i="51"/>
  <c r="G6222" i="51"/>
  <c r="G6223" i="51"/>
  <c r="G6224" i="51"/>
  <c r="G6225" i="51"/>
  <c r="G6226" i="51"/>
  <c r="G6227" i="51"/>
  <c r="G6228" i="51"/>
  <c r="G6229" i="51"/>
  <c r="G6230" i="51"/>
  <c r="G6231" i="51"/>
  <c r="G6232" i="51"/>
  <c r="G6233" i="51"/>
  <c r="G6234" i="51"/>
  <c r="G6235" i="51"/>
  <c r="G6236" i="51"/>
  <c r="G6237" i="51"/>
  <c r="G6238" i="51"/>
  <c r="G6239" i="51"/>
  <c r="G6240" i="51"/>
  <c r="G6241" i="51"/>
  <c r="G6242" i="51"/>
  <c r="G6243" i="51"/>
  <c r="G6244" i="51"/>
  <c r="G6245" i="51"/>
  <c r="G6246" i="51"/>
  <c r="G6247" i="51"/>
  <c r="G6248" i="51"/>
  <c r="G6249" i="51"/>
  <c r="G6250" i="51"/>
  <c r="G6251" i="51"/>
  <c r="G6252" i="51"/>
  <c r="G6253" i="51"/>
  <c r="G6254" i="51"/>
  <c r="G6255" i="51"/>
  <c r="G6256" i="51"/>
  <c r="G6257" i="51"/>
  <c r="G6258" i="51"/>
  <c r="G6259" i="51"/>
  <c r="G6260" i="51"/>
  <c r="G6261" i="51"/>
  <c r="G6262" i="51"/>
  <c r="G6263" i="51"/>
  <c r="G6264" i="51"/>
  <c r="G6265" i="51"/>
  <c r="G6266" i="51"/>
  <c r="G6267" i="51"/>
  <c r="G6268" i="51"/>
  <c r="G6269" i="51"/>
  <c r="G6270" i="51"/>
  <c r="G6271" i="51"/>
  <c r="G6272" i="51"/>
  <c r="G6273" i="51"/>
  <c r="G6274" i="51"/>
  <c r="G6275" i="51"/>
  <c r="G6276" i="51"/>
  <c r="G6277" i="51"/>
  <c r="G6278" i="51"/>
  <c r="G6279" i="51"/>
  <c r="G6280" i="51"/>
  <c r="G6281" i="51"/>
  <c r="G6282" i="51"/>
  <c r="G6283" i="51"/>
  <c r="G6284" i="51"/>
  <c r="G6285" i="51"/>
  <c r="G6286" i="51"/>
  <c r="G6287" i="51"/>
  <c r="G6288" i="51"/>
  <c r="G6289" i="51"/>
  <c r="G6290" i="51"/>
  <c r="G6291" i="51"/>
  <c r="G6292" i="51"/>
  <c r="G6293" i="51"/>
  <c r="G6294" i="51"/>
  <c r="G6295" i="51"/>
  <c r="G6296" i="51"/>
  <c r="G6297" i="51"/>
  <c r="G6298" i="51"/>
  <c r="G6299" i="51"/>
  <c r="G6300" i="51"/>
  <c r="G6301" i="51"/>
  <c r="G6302" i="51"/>
  <c r="G6303" i="51"/>
  <c r="G6304" i="51"/>
  <c r="G6305" i="51"/>
  <c r="G6306" i="51"/>
  <c r="G6307" i="51"/>
  <c r="G6308" i="51"/>
  <c r="G6309" i="51"/>
  <c r="G6310" i="51"/>
  <c r="G6311" i="51"/>
  <c r="G6312" i="51"/>
  <c r="G6313" i="51"/>
  <c r="G6314" i="51"/>
  <c r="G6315" i="51"/>
  <c r="G6316" i="51"/>
  <c r="G6317" i="51"/>
  <c r="G6318" i="51"/>
  <c r="G6319" i="51"/>
  <c r="G6320" i="51"/>
  <c r="G6321" i="51"/>
  <c r="G6322" i="51"/>
  <c r="G6323" i="51"/>
  <c r="G6324" i="51"/>
  <c r="G6325" i="51"/>
  <c r="G6326" i="51"/>
  <c r="G6327" i="51"/>
  <c r="G6328" i="51"/>
  <c r="G6329" i="51"/>
  <c r="G6330" i="51"/>
  <c r="G6331" i="51"/>
  <c r="G6332" i="51"/>
  <c r="G6333" i="51"/>
  <c r="G6334" i="51"/>
  <c r="G6335" i="51"/>
  <c r="G6336" i="51"/>
  <c r="G6337" i="51"/>
  <c r="G6338" i="51"/>
  <c r="G6339" i="51"/>
  <c r="G6340" i="51"/>
  <c r="G6341" i="51"/>
  <c r="G6342" i="51"/>
  <c r="G6343" i="51"/>
  <c r="G6344" i="51"/>
  <c r="G6345" i="51"/>
  <c r="G6346" i="51"/>
  <c r="G6347" i="51"/>
  <c r="G6348" i="51"/>
  <c r="G6349" i="51"/>
  <c r="G6350" i="51"/>
  <c r="G6351" i="51"/>
  <c r="G6352" i="51"/>
  <c r="G6353" i="51"/>
  <c r="G6354" i="51"/>
  <c r="G6355" i="51"/>
  <c r="G6356" i="51"/>
  <c r="G6357" i="51"/>
  <c r="G6358" i="51"/>
  <c r="G6359" i="51"/>
  <c r="G6360" i="51"/>
  <c r="G6361" i="51"/>
  <c r="G6362" i="51"/>
  <c r="G6363" i="51"/>
  <c r="G6364" i="51"/>
  <c r="G6365" i="51"/>
  <c r="G6366" i="51"/>
  <c r="G6367" i="51"/>
  <c r="G6368" i="51"/>
  <c r="G6369" i="51"/>
  <c r="G6370" i="51"/>
  <c r="G6371" i="51"/>
  <c r="G6372" i="51"/>
  <c r="G6373" i="51"/>
  <c r="G6374" i="51"/>
  <c r="G6375" i="51"/>
  <c r="G6376" i="51"/>
  <c r="G6377" i="51"/>
  <c r="G6378" i="51"/>
  <c r="G6379" i="51"/>
  <c r="G6380" i="51"/>
  <c r="G6381" i="51"/>
  <c r="G6382" i="51"/>
  <c r="G6383" i="51"/>
  <c r="G6384" i="51"/>
  <c r="G6385" i="51"/>
  <c r="G6386" i="51"/>
  <c r="G6387" i="51"/>
  <c r="G6388" i="51"/>
  <c r="G6389" i="51"/>
  <c r="G6390" i="51"/>
  <c r="G6391" i="51"/>
  <c r="G6392" i="51"/>
  <c r="G6393" i="51"/>
  <c r="G6394" i="51"/>
  <c r="G6395" i="51"/>
  <c r="G6396" i="51"/>
  <c r="G6397" i="51"/>
  <c r="G6398" i="51"/>
  <c r="G6399" i="51"/>
  <c r="G6400" i="51"/>
  <c r="G6401" i="51"/>
  <c r="G6402" i="51"/>
  <c r="G6403" i="51"/>
  <c r="G6404" i="51"/>
  <c r="G6405" i="51"/>
  <c r="G6406" i="51"/>
  <c r="G6407" i="51"/>
  <c r="G6408" i="51"/>
  <c r="G6409" i="51"/>
  <c r="G6410" i="51"/>
  <c r="G6411" i="51"/>
  <c r="G6412" i="51"/>
  <c r="G6413" i="51"/>
  <c r="G6414" i="51"/>
  <c r="G6415" i="51"/>
  <c r="G6416" i="51"/>
  <c r="G6417" i="51"/>
  <c r="G6418" i="51"/>
  <c r="G6419" i="51"/>
  <c r="G6420" i="51"/>
  <c r="G6421" i="51"/>
  <c r="G6422" i="51"/>
  <c r="G6423" i="51"/>
  <c r="G6424" i="51"/>
  <c r="G6425" i="51"/>
  <c r="G6426" i="51"/>
  <c r="G6427" i="51"/>
  <c r="G6428" i="51"/>
  <c r="G6429" i="51"/>
  <c r="G6430" i="51"/>
  <c r="G6431" i="51"/>
  <c r="G6432" i="51"/>
  <c r="G6433" i="51"/>
  <c r="G6434" i="51"/>
  <c r="G6435" i="51"/>
  <c r="G6436" i="51"/>
  <c r="G6437" i="51"/>
  <c r="G6438" i="51"/>
  <c r="G6439" i="51"/>
  <c r="G6440" i="51"/>
  <c r="G6441" i="51"/>
  <c r="G6442" i="51"/>
  <c r="G6443" i="51"/>
  <c r="G6444" i="51"/>
  <c r="G6445" i="51"/>
  <c r="G6446" i="51"/>
  <c r="G6447" i="51"/>
  <c r="G6448" i="51"/>
  <c r="G6449" i="51"/>
  <c r="G6450" i="51"/>
  <c r="G6451" i="51"/>
  <c r="G6452" i="51"/>
  <c r="G6453" i="51"/>
  <c r="G6454" i="51"/>
  <c r="G6455" i="51"/>
  <c r="G6456" i="51"/>
  <c r="G6457" i="51"/>
  <c r="G6458" i="51"/>
  <c r="G6459" i="51"/>
  <c r="G6460" i="51"/>
  <c r="G6461" i="51"/>
  <c r="G6462" i="51"/>
  <c r="G6463" i="51"/>
  <c r="G6464" i="51"/>
  <c r="G6465" i="51"/>
  <c r="G6466" i="51"/>
  <c r="G6467" i="51"/>
  <c r="G6468" i="51"/>
  <c r="G6469" i="51"/>
  <c r="G6470" i="51"/>
  <c r="G6471" i="51"/>
  <c r="G6472" i="51"/>
  <c r="G6473" i="51"/>
  <c r="G6474" i="51"/>
  <c r="G6475" i="51"/>
  <c r="G6476" i="51"/>
  <c r="G6477" i="51"/>
  <c r="G6478" i="51"/>
  <c r="G6479" i="51"/>
  <c r="G6480" i="51"/>
  <c r="G6481" i="51"/>
  <c r="G6482" i="51"/>
  <c r="G6483" i="51"/>
  <c r="G6484" i="51"/>
  <c r="G6485" i="51"/>
  <c r="G6486" i="51"/>
  <c r="G6487" i="51"/>
  <c r="G6488" i="51"/>
  <c r="G6489" i="51"/>
  <c r="G6490" i="51"/>
  <c r="G6491" i="51"/>
  <c r="G6492" i="51"/>
  <c r="G6493" i="51"/>
  <c r="G6494" i="51"/>
  <c r="G6495" i="51"/>
  <c r="G6496" i="51"/>
  <c r="G6497" i="51"/>
  <c r="G6498" i="51"/>
  <c r="G6499" i="51"/>
  <c r="G6500" i="51"/>
  <c r="G6501" i="51"/>
  <c r="G6502" i="51"/>
  <c r="G6503" i="51"/>
  <c r="G6504" i="51"/>
  <c r="G6505" i="51"/>
  <c r="G6506" i="51"/>
  <c r="G6507" i="51"/>
  <c r="G6508" i="51"/>
  <c r="G6509" i="51"/>
  <c r="G6510" i="51"/>
  <c r="G6511" i="51"/>
  <c r="G6512" i="51"/>
  <c r="G6513" i="51"/>
  <c r="G6514" i="51"/>
  <c r="G6515" i="51"/>
  <c r="G6516" i="51"/>
  <c r="G6517" i="51"/>
  <c r="G6518" i="51"/>
  <c r="G6519" i="51"/>
  <c r="G6520" i="51"/>
  <c r="G6521" i="51"/>
  <c r="G6522" i="51"/>
  <c r="G6523" i="51"/>
  <c r="G6524" i="51"/>
  <c r="G6525" i="51"/>
  <c r="G6526" i="51"/>
  <c r="G6527" i="51"/>
  <c r="G6528" i="51"/>
  <c r="G6529" i="51"/>
  <c r="G6530" i="51"/>
  <c r="G6531" i="51"/>
  <c r="G6532" i="51"/>
  <c r="G6533" i="51"/>
  <c r="G6534" i="51"/>
  <c r="G6535" i="51"/>
  <c r="G6536" i="51"/>
  <c r="G6537" i="51"/>
  <c r="G6538" i="51"/>
  <c r="G6539" i="51"/>
  <c r="G6540" i="51"/>
  <c r="G6541" i="51"/>
  <c r="G6542" i="51"/>
  <c r="G6543" i="51"/>
  <c r="G6544" i="51"/>
  <c r="G6545" i="51"/>
  <c r="G6546" i="51"/>
  <c r="G6547" i="51"/>
  <c r="G6548" i="51"/>
  <c r="G6549" i="51"/>
  <c r="G6550" i="51"/>
  <c r="G6551" i="51"/>
  <c r="G6552" i="51"/>
  <c r="G6553" i="51"/>
  <c r="G6554" i="51"/>
  <c r="G6555" i="51"/>
  <c r="G6556" i="51"/>
  <c r="G6557" i="51"/>
  <c r="G6558" i="51"/>
  <c r="G6559" i="51"/>
  <c r="G6560" i="51"/>
  <c r="G6561" i="51"/>
  <c r="G6562" i="51"/>
  <c r="G6563" i="51"/>
  <c r="G6564" i="51"/>
  <c r="G6565" i="51"/>
  <c r="G6566" i="51"/>
  <c r="G6567" i="51"/>
  <c r="G6568" i="51"/>
  <c r="G6569" i="51"/>
  <c r="G6570" i="51"/>
  <c r="G6571" i="51"/>
  <c r="G6572" i="51"/>
  <c r="G6573" i="51"/>
  <c r="G6574" i="51"/>
  <c r="G6575" i="51"/>
  <c r="G6576" i="51"/>
  <c r="G6577" i="51"/>
  <c r="G6578" i="51"/>
  <c r="G6579" i="51"/>
  <c r="G6580" i="51"/>
  <c r="G6581" i="51"/>
  <c r="G6582" i="51"/>
  <c r="G6583" i="51"/>
  <c r="G6584" i="51"/>
  <c r="G6585" i="51"/>
  <c r="G6586" i="51"/>
  <c r="G6587" i="51"/>
  <c r="G6588" i="51"/>
  <c r="G6589" i="51"/>
  <c r="G6590" i="51"/>
  <c r="G6591" i="51"/>
  <c r="G6592" i="51"/>
  <c r="G6593" i="51"/>
  <c r="G6594" i="51"/>
  <c r="G6595" i="51"/>
  <c r="G6596" i="51"/>
  <c r="G6597" i="51"/>
  <c r="G6598" i="51"/>
  <c r="G6599" i="51"/>
  <c r="G6600" i="51"/>
  <c r="G6601" i="51"/>
  <c r="G6602" i="51"/>
  <c r="G6603" i="51"/>
  <c r="G6604" i="51"/>
  <c r="G6605" i="51"/>
  <c r="G6606" i="51"/>
  <c r="G6607" i="51"/>
  <c r="G6608" i="51"/>
  <c r="G6609" i="51"/>
  <c r="G6610" i="51"/>
  <c r="G6611" i="51"/>
  <c r="G6612" i="51"/>
  <c r="G6613" i="51"/>
  <c r="G6614" i="51"/>
  <c r="G6615" i="51"/>
  <c r="G6616" i="51"/>
  <c r="G6617" i="51"/>
  <c r="G6618" i="51"/>
  <c r="G6619" i="51"/>
  <c r="G6620" i="51"/>
  <c r="G6621" i="51"/>
  <c r="G6622" i="51"/>
  <c r="G6623" i="51"/>
  <c r="G6624" i="51"/>
  <c r="G6625" i="51"/>
  <c r="G6626" i="51"/>
  <c r="G6627" i="51"/>
  <c r="G6628" i="51"/>
  <c r="G6629" i="51"/>
  <c r="G6630" i="51"/>
  <c r="G6631" i="51"/>
  <c r="G6632" i="51"/>
  <c r="G6633" i="51"/>
  <c r="G6634" i="51"/>
  <c r="G6635" i="51"/>
  <c r="G6636" i="51"/>
  <c r="G6637" i="51"/>
  <c r="G6638" i="51"/>
  <c r="G6639" i="51"/>
  <c r="G6640" i="51"/>
  <c r="G6641" i="51"/>
  <c r="G6642" i="51"/>
  <c r="G6643" i="51"/>
  <c r="G6644" i="51"/>
  <c r="G6645" i="51"/>
  <c r="G6646" i="51"/>
  <c r="G6647" i="51"/>
  <c r="G6648" i="51"/>
  <c r="G6649" i="51"/>
  <c r="G6650" i="51"/>
  <c r="G6651" i="51"/>
  <c r="G6652" i="51"/>
  <c r="G6653" i="51"/>
  <c r="G6654" i="51"/>
  <c r="G6655" i="51"/>
  <c r="G6656" i="51"/>
  <c r="G6657" i="51"/>
  <c r="G6658" i="51"/>
  <c r="G6659" i="51"/>
  <c r="G6660" i="51"/>
  <c r="G6661" i="51"/>
  <c r="G6662" i="51"/>
  <c r="G6663" i="51"/>
  <c r="G6664" i="51"/>
  <c r="G6665" i="51"/>
  <c r="G6666" i="51"/>
  <c r="G6667" i="51"/>
  <c r="G6668" i="51"/>
  <c r="G6669" i="51"/>
  <c r="G6670" i="51"/>
  <c r="G6671" i="51"/>
  <c r="G6672" i="51"/>
  <c r="G6673" i="51"/>
  <c r="G6674" i="51"/>
  <c r="G6675" i="51"/>
  <c r="G6676" i="51"/>
  <c r="G6677" i="51"/>
  <c r="G6678" i="51"/>
  <c r="G6679" i="51"/>
  <c r="G6680" i="51"/>
  <c r="G6681" i="51"/>
  <c r="G6682" i="51"/>
  <c r="G6683" i="51"/>
  <c r="G6684" i="51"/>
  <c r="G6685" i="51"/>
  <c r="G6686" i="51"/>
  <c r="G6687" i="51"/>
  <c r="G6688" i="51"/>
  <c r="G6689" i="51"/>
  <c r="G6690" i="51"/>
  <c r="G6691" i="51"/>
  <c r="G6692" i="51"/>
  <c r="G6693" i="51"/>
  <c r="G6694" i="51"/>
  <c r="G6695" i="51"/>
  <c r="G6696" i="51"/>
  <c r="G6697" i="51"/>
  <c r="G6698" i="51"/>
  <c r="G6699" i="51"/>
  <c r="G6700" i="51"/>
  <c r="G6701" i="51"/>
  <c r="G6702" i="51"/>
  <c r="G6703" i="51"/>
  <c r="G6704" i="51"/>
  <c r="G6705" i="51"/>
  <c r="G6706" i="51"/>
  <c r="G6707" i="51"/>
  <c r="G6708" i="51"/>
  <c r="G6709" i="51"/>
  <c r="G6710" i="51"/>
  <c r="G6711" i="51"/>
  <c r="G6712" i="51"/>
  <c r="G6713" i="51"/>
  <c r="G6714" i="51"/>
  <c r="G6715" i="51"/>
  <c r="G6716" i="51"/>
  <c r="G6717" i="51"/>
  <c r="G6718" i="51"/>
  <c r="G6719" i="51"/>
  <c r="G6720" i="51"/>
  <c r="G6721" i="51"/>
  <c r="G6722" i="51"/>
  <c r="G6723" i="51"/>
  <c r="G6724" i="51"/>
  <c r="G6725" i="51"/>
  <c r="G6726" i="51"/>
  <c r="G6727" i="51"/>
  <c r="G6728" i="51"/>
  <c r="G6729" i="51"/>
  <c r="G6730" i="51"/>
  <c r="G6731" i="51"/>
  <c r="G6732" i="51"/>
  <c r="G6733" i="51"/>
  <c r="G6734" i="51"/>
  <c r="G6735" i="51"/>
  <c r="G6736" i="51"/>
  <c r="G6737" i="51"/>
  <c r="G6738" i="51"/>
  <c r="G6739" i="51"/>
  <c r="G6740" i="51"/>
  <c r="G6741" i="51"/>
  <c r="G6742" i="51"/>
  <c r="G6743" i="51"/>
  <c r="G6744" i="51"/>
  <c r="G6745" i="51"/>
  <c r="G6746" i="51"/>
  <c r="G6747" i="51"/>
  <c r="G6748" i="51"/>
  <c r="G6749" i="51"/>
  <c r="G6750" i="51"/>
  <c r="G6751" i="51"/>
  <c r="G6752" i="51"/>
  <c r="G6753" i="51"/>
  <c r="G6754" i="51"/>
  <c r="G6755" i="51"/>
  <c r="G6756" i="51"/>
  <c r="G6757" i="51"/>
  <c r="G6758" i="51"/>
  <c r="G6759" i="51"/>
  <c r="G6760" i="51"/>
  <c r="G6761" i="51"/>
  <c r="G6762" i="51"/>
  <c r="G6763" i="51"/>
  <c r="G6764" i="51"/>
  <c r="G6765" i="51"/>
  <c r="G6766" i="51"/>
  <c r="G6767" i="51"/>
  <c r="G6768" i="51"/>
  <c r="G6769" i="51"/>
  <c r="G6770" i="51"/>
  <c r="G6771" i="51"/>
  <c r="G6772" i="51"/>
  <c r="G6773" i="51"/>
  <c r="G6774" i="51"/>
  <c r="G6775" i="51"/>
  <c r="G6776" i="51"/>
  <c r="G6777" i="51"/>
  <c r="G6778" i="51"/>
  <c r="G6779" i="51"/>
  <c r="G6780" i="51"/>
  <c r="G6781" i="51"/>
  <c r="G6782" i="51"/>
  <c r="G6783" i="51"/>
  <c r="G6784" i="51"/>
  <c r="G6785" i="51"/>
  <c r="G6786" i="51"/>
  <c r="G6787" i="51"/>
  <c r="G6788" i="51"/>
  <c r="G6789" i="51"/>
  <c r="G6790" i="51"/>
  <c r="G6791" i="51"/>
  <c r="G6792" i="51"/>
  <c r="G6793" i="51"/>
  <c r="G6794" i="51"/>
  <c r="G6795" i="51"/>
  <c r="G6796" i="51"/>
  <c r="G6797" i="51"/>
  <c r="G6798" i="51"/>
  <c r="G6799" i="51"/>
  <c r="G6800" i="51"/>
  <c r="G6801" i="51"/>
  <c r="G6802" i="51"/>
  <c r="G6803" i="51"/>
  <c r="G6804" i="51"/>
  <c r="G6805" i="51"/>
  <c r="G6806" i="51"/>
  <c r="G6807" i="51"/>
  <c r="G6808" i="51"/>
  <c r="G6809" i="51"/>
  <c r="G6810" i="51"/>
  <c r="G6811" i="51"/>
  <c r="G6812" i="51"/>
  <c r="G6813" i="51"/>
  <c r="G6814" i="51"/>
  <c r="G6815" i="51"/>
  <c r="G6816" i="51"/>
  <c r="G6817" i="51"/>
  <c r="G6818" i="51"/>
  <c r="G6819" i="51"/>
  <c r="G6820" i="51"/>
  <c r="G6821" i="51"/>
  <c r="G6822" i="51"/>
  <c r="G6823" i="51"/>
  <c r="G6824" i="51"/>
  <c r="G6825" i="51"/>
  <c r="G6826" i="51"/>
  <c r="G6827" i="51"/>
  <c r="G6828" i="51"/>
  <c r="G6829" i="51"/>
  <c r="G6830" i="51"/>
  <c r="G6831" i="51"/>
  <c r="G6832" i="51"/>
  <c r="G6833" i="51"/>
  <c r="G6834" i="51"/>
  <c r="G6835" i="51"/>
  <c r="G6836" i="51"/>
  <c r="G6837" i="51"/>
  <c r="G6838" i="51"/>
  <c r="G6839" i="51"/>
  <c r="G6840" i="51"/>
  <c r="G6841" i="51"/>
  <c r="G6842" i="51"/>
  <c r="G6843" i="51"/>
  <c r="G6844" i="51"/>
  <c r="G6845" i="51"/>
  <c r="G6846" i="51"/>
  <c r="G6847" i="51"/>
  <c r="G6848" i="51"/>
  <c r="G6849" i="51"/>
  <c r="G6850" i="51"/>
  <c r="G6851" i="51"/>
  <c r="G6852" i="51"/>
  <c r="G6853" i="51"/>
  <c r="G6854" i="51"/>
  <c r="G6855" i="51"/>
  <c r="G6856" i="51"/>
  <c r="G6857" i="51"/>
  <c r="G6858" i="51"/>
  <c r="G6859" i="51"/>
  <c r="G6860" i="51"/>
  <c r="G6861" i="51"/>
  <c r="G6862" i="51"/>
  <c r="G6863" i="51"/>
  <c r="G6864" i="51"/>
  <c r="G6865" i="51"/>
  <c r="G6866" i="51"/>
  <c r="G6867" i="51"/>
  <c r="G6868" i="51"/>
  <c r="G6869" i="51"/>
  <c r="G6870" i="51"/>
  <c r="G6871" i="51"/>
  <c r="G6872" i="51"/>
  <c r="G6873" i="51"/>
  <c r="G6874" i="51"/>
  <c r="G6875" i="51"/>
  <c r="G6876" i="51"/>
  <c r="G6877" i="51"/>
  <c r="G6878" i="51"/>
  <c r="G6879" i="51"/>
  <c r="G6880" i="51"/>
  <c r="G6881" i="51"/>
  <c r="G6882" i="51"/>
  <c r="G6883" i="51"/>
  <c r="G6884" i="51"/>
  <c r="G6885" i="51"/>
  <c r="G6886" i="51"/>
  <c r="G6887" i="51"/>
  <c r="G6888" i="51"/>
  <c r="G6889" i="51"/>
  <c r="G6890" i="51"/>
  <c r="G6891" i="51"/>
  <c r="G6892" i="51"/>
  <c r="G6893" i="51"/>
  <c r="G6894" i="51"/>
  <c r="G6895" i="51"/>
  <c r="G6896" i="51"/>
  <c r="G6897" i="51"/>
  <c r="G6898" i="51"/>
  <c r="G6899" i="51"/>
  <c r="G6900" i="51"/>
  <c r="G6901" i="51"/>
  <c r="G6902" i="51"/>
  <c r="G6903" i="51"/>
  <c r="G6904" i="51"/>
  <c r="G6905" i="51"/>
  <c r="G6906" i="51"/>
  <c r="G6907" i="51"/>
  <c r="G6908" i="51"/>
  <c r="G6909" i="51"/>
  <c r="G6910" i="51"/>
  <c r="G6911" i="51"/>
  <c r="G6912" i="51"/>
  <c r="G6913" i="51"/>
  <c r="G6914" i="51"/>
  <c r="G6915" i="51"/>
  <c r="G6916" i="51"/>
  <c r="G6917" i="51"/>
  <c r="G6918" i="51"/>
  <c r="G6919" i="51"/>
  <c r="G6920" i="51"/>
  <c r="G6921" i="51"/>
  <c r="G6922" i="51"/>
  <c r="G6923" i="51"/>
  <c r="G6924" i="51"/>
  <c r="G6925" i="51"/>
  <c r="G6926" i="51"/>
  <c r="G6927" i="51"/>
  <c r="G6928" i="51"/>
  <c r="G6929" i="51"/>
  <c r="G6930" i="51"/>
  <c r="G6931" i="51"/>
  <c r="G6932" i="51"/>
  <c r="G6933" i="51"/>
  <c r="G6934" i="51"/>
  <c r="G6935" i="51"/>
  <c r="G6936" i="51"/>
  <c r="G6937" i="51"/>
  <c r="G6938" i="51"/>
  <c r="G6939" i="51"/>
  <c r="G6940" i="51"/>
  <c r="G6941" i="51"/>
  <c r="G6942" i="51"/>
  <c r="G6943" i="51"/>
  <c r="G6944" i="51"/>
  <c r="G6945" i="51"/>
  <c r="G6946" i="51"/>
  <c r="G6947" i="51"/>
  <c r="G6948" i="51"/>
  <c r="G6949" i="51"/>
  <c r="G6950" i="51"/>
  <c r="G6951" i="51"/>
  <c r="G6952" i="51"/>
  <c r="G6953" i="51"/>
  <c r="G6954" i="51"/>
  <c r="G6955" i="51"/>
  <c r="G6956" i="51"/>
  <c r="G6957" i="51"/>
  <c r="G6958" i="51"/>
  <c r="G6959" i="51"/>
  <c r="G6960" i="51"/>
  <c r="G6961" i="51"/>
  <c r="G6962" i="51"/>
  <c r="G6963" i="51"/>
  <c r="G6964" i="51"/>
  <c r="G6965" i="51"/>
  <c r="G6966" i="51"/>
  <c r="G6967" i="51"/>
  <c r="G6968" i="51"/>
  <c r="G6969" i="51"/>
  <c r="G6970" i="51"/>
  <c r="G6971" i="51"/>
  <c r="G6972" i="51"/>
  <c r="G6973" i="51"/>
  <c r="G6974" i="51"/>
  <c r="G6975" i="51"/>
  <c r="G6976" i="51"/>
  <c r="G6977" i="51"/>
  <c r="G6978" i="51"/>
  <c r="G6979" i="51"/>
  <c r="G6980" i="51"/>
  <c r="G6981" i="51"/>
  <c r="G6982" i="51"/>
  <c r="G6983" i="51"/>
  <c r="G6984" i="51"/>
  <c r="G6985" i="51"/>
  <c r="G6986" i="51"/>
  <c r="G6987" i="51"/>
  <c r="G6988" i="51"/>
  <c r="G6989" i="51"/>
  <c r="G6990" i="51"/>
  <c r="G6991" i="51"/>
  <c r="G6992" i="51"/>
  <c r="G6993" i="51"/>
  <c r="G6994" i="51"/>
  <c r="G6995" i="51"/>
  <c r="G6996" i="51"/>
  <c r="G6997" i="51"/>
  <c r="G6998" i="51"/>
  <c r="G6999" i="51"/>
  <c r="G7000" i="51"/>
  <c r="G7001" i="51"/>
  <c r="G7002" i="51"/>
  <c r="G7003" i="51"/>
  <c r="G7004" i="51"/>
  <c r="G7005" i="51"/>
  <c r="G7006" i="51"/>
  <c r="G7007" i="51"/>
  <c r="G7008" i="51"/>
  <c r="G7009" i="51"/>
  <c r="G7010" i="51"/>
  <c r="G7011" i="51"/>
  <c r="G7012" i="51"/>
  <c r="G7013" i="51"/>
  <c r="G7014" i="51"/>
  <c r="G7015" i="51"/>
  <c r="G7016" i="51"/>
  <c r="G7017" i="51"/>
  <c r="G7018" i="51"/>
  <c r="G7019" i="51"/>
  <c r="G7020" i="51"/>
  <c r="G7021" i="51"/>
  <c r="G7022" i="51"/>
  <c r="G7023" i="51"/>
  <c r="G7024" i="51"/>
  <c r="G7025" i="51"/>
  <c r="G7026" i="51"/>
  <c r="G7027" i="51"/>
  <c r="G7028" i="51"/>
  <c r="G7029" i="51"/>
  <c r="G7030" i="51"/>
  <c r="G7031" i="51"/>
  <c r="G7032" i="51"/>
  <c r="G7033" i="51"/>
  <c r="G7034" i="51"/>
  <c r="G7035" i="51"/>
  <c r="G7036" i="51"/>
  <c r="G7037" i="51"/>
  <c r="G7038" i="51"/>
  <c r="G7039" i="51"/>
  <c r="G7040" i="51"/>
  <c r="G7041" i="51"/>
  <c r="G7042" i="51"/>
  <c r="G7043" i="51"/>
  <c r="G7044" i="51"/>
  <c r="G7045" i="51"/>
  <c r="G7046" i="51"/>
  <c r="G7047" i="51"/>
  <c r="G7048" i="51"/>
  <c r="G7049" i="51"/>
  <c r="G7050" i="51"/>
  <c r="G7051" i="51"/>
  <c r="G7052" i="51"/>
  <c r="G7053" i="51"/>
  <c r="G7054" i="51"/>
  <c r="G7055" i="51"/>
  <c r="G7056" i="51"/>
  <c r="G7057" i="51"/>
  <c r="G7058" i="51"/>
  <c r="G7059" i="51"/>
  <c r="G7060" i="51"/>
  <c r="G7061" i="51"/>
  <c r="G7062" i="51"/>
  <c r="G7063" i="51"/>
  <c r="G7064" i="51"/>
  <c r="G7065" i="51"/>
  <c r="G7066" i="51"/>
  <c r="G7067" i="51"/>
  <c r="G7068" i="51"/>
  <c r="G7069" i="51"/>
  <c r="G7070" i="51"/>
  <c r="G7071" i="51"/>
  <c r="G7072" i="51"/>
  <c r="G7073" i="51"/>
  <c r="G7074" i="51"/>
  <c r="G7075" i="51"/>
  <c r="G7076" i="51"/>
  <c r="G7077" i="51"/>
  <c r="G7078" i="51"/>
  <c r="G7079" i="51"/>
  <c r="G7080" i="51"/>
  <c r="G7081" i="51"/>
  <c r="G7082" i="51"/>
  <c r="G7083" i="51"/>
  <c r="G7084" i="51"/>
  <c r="G7085" i="51"/>
  <c r="G7086" i="51"/>
  <c r="G7087" i="51"/>
  <c r="G7088" i="51"/>
  <c r="G7089" i="51"/>
  <c r="G7090" i="51"/>
  <c r="G7091" i="51"/>
  <c r="G7092" i="51"/>
  <c r="G7093" i="51"/>
  <c r="G7094" i="51"/>
  <c r="G7095" i="51"/>
  <c r="G7096" i="51"/>
  <c r="G7097" i="51"/>
  <c r="G7098" i="51"/>
  <c r="G7099" i="51"/>
  <c r="G7100" i="51"/>
  <c r="G7101" i="51"/>
  <c r="G7102" i="51"/>
  <c r="G7103" i="51"/>
  <c r="G7104" i="51"/>
  <c r="G7105" i="51"/>
  <c r="G7106" i="51"/>
  <c r="G7107" i="51"/>
  <c r="G7108" i="51"/>
  <c r="G7109" i="51"/>
  <c r="G7110" i="51"/>
  <c r="G7111" i="51"/>
  <c r="G7112" i="51"/>
  <c r="G7113" i="51"/>
  <c r="G7114" i="51"/>
  <c r="G7115" i="51"/>
  <c r="G7116" i="51"/>
  <c r="G7117" i="51"/>
  <c r="G7118" i="51"/>
  <c r="G7119" i="51"/>
  <c r="G7120" i="51"/>
  <c r="G7121" i="51"/>
  <c r="G7122" i="51"/>
  <c r="G7123" i="51"/>
  <c r="G7124" i="51"/>
  <c r="G7125" i="51"/>
  <c r="G7126" i="51"/>
  <c r="G7127" i="51"/>
  <c r="G7128" i="51"/>
  <c r="G7129" i="51"/>
  <c r="G7130" i="51"/>
  <c r="G7131" i="51"/>
  <c r="G7132" i="51"/>
  <c r="G7133" i="51"/>
  <c r="G7134" i="51"/>
  <c r="G7135" i="51"/>
  <c r="G7136" i="51"/>
  <c r="G7137" i="51"/>
  <c r="G7138" i="51"/>
  <c r="G7139" i="51"/>
  <c r="G7140" i="51"/>
  <c r="G7141" i="51"/>
  <c r="G7142" i="51"/>
  <c r="G7143" i="51"/>
  <c r="G7144" i="51"/>
  <c r="G7145" i="51"/>
  <c r="G7146" i="51"/>
  <c r="G7147" i="51"/>
  <c r="G7148" i="51"/>
  <c r="G7149" i="51"/>
  <c r="G7150" i="51"/>
  <c r="G7151" i="51"/>
  <c r="G7152" i="51"/>
  <c r="G7153" i="51"/>
  <c r="G7154" i="51"/>
  <c r="G7155" i="51"/>
  <c r="G7156" i="51"/>
  <c r="G7157" i="51"/>
  <c r="G7158" i="51"/>
  <c r="G7159" i="51"/>
  <c r="G7160" i="51"/>
  <c r="G7161" i="51"/>
  <c r="G7162" i="51"/>
  <c r="G7163" i="51"/>
  <c r="G7164" i="51"/>
  <c r="G7165" i="51"/>
  <c r="G7166" i="51"/>
  <c r="G7167" i="51"/>
  <c r="G7168" i="51"/>
  <c r="G7169" i="51"/>
  <c r="G7170" i="51"/>
  <c r="G7171" i="51"/>
  <c r="G7172" i="51"/>
  <c r="G7173" i="51"/>
  <c r="G7174" i="51"/>
  <c r="G7175" i="51"/>
  <c r="G7176" i="51"/>
  <c r="G7177" i="51"/>
  <c r="G7178" i="51"/>
  <c r="G7179" i="51"/>
  <c r="G7180" i="51"/>
  <c r="G7181" i="51"/>
  <c r="G7182" i="51"/>
  <c r="G7183" i="51"/>
  <c r="G7184" i="51"/>
  <c r="G7185" i="51"/>
  <c r="G7186" i="51"/>
  <c r="G7187" i="51"/>
  <c r="G7188" i="51"/>
  <c r="G7189" i="51"/>
  <c r="G7190" i="51"/>
  <c r="G7191" i="51"/>
  <c r="G7192" i="51"/>
  <c r="G7193" i="51"/>
  <c r="G7194" i="51"/>
  <c r="G7195" i="51"/>
  <c r="G7196" i="51"/>
  <c r="G7197" i="51"/>
  <c r="G7198" i="51"/>
  <c r="G7199" i="51"/>
  <c r="G7200" i="51"/>
  <c r="G7201" i="51"/>
  <c r="G7202" i="51"/>
  <c r="G7203" i="51"/>
  <c r="G7204" i="51"/>
  <c r="G7205" i="51"/>
  <c r="G7206" i="51"/>
  <c r="G7207" i="51"/>
  <c r="G7208" i="51"/>
  <c r="G7209" i="51"/>
  <c r="G7210" i="51"/>
  <c r="G7211" i="51"/>
  <c r="G7212" i="51"/>
  <c r="G7213" i="51"/>
  <c r="G7214" i="51"/>
  <c r="G7215" i="51"/>
  <c r="G7216" i="51"/>
  <c r="G7217" i="51"/>
  <c r="G7218" i="51"/>
  <c r="G7219" i="51"/>
  <c r="G7220" i="51"/>
  <c r="G7221" i="51"/>
  <c r="G7222" i="51"/>
  <c r="G7223" i="51"/>
  <c r="G7224" i="51"/>
  <c r="G7225" i="51"/>
  <c r="G7226" i="51"/>
  <c r="G7227" i="51"/>
  <c r="G7228" i="51"/>
  <c r="G7229" i="51"/>
  <c r="G7230" i="51"/>
  <c r="G7231" i="51"/>
  <c r="G7232" i="51"/>
  <c r="G7233" i="51"/>
  <c r="G7234" i="51"/>
  <c r="G7235" i="51"/>
  <c r="G7236" i="51"/>
  <c r="G7237" i="51"/>
  <c r="G7238" i="51"/>
  <c r="G7239" i="51"/>
  <c r="G7240" i="51"/>
  <c r="G7241" i="51"/>
  <c r="G7242" i="51"/>
  <c r="G7243" i="51"/>
  <c r="G7244" i="51"/>
  <c r="G7245" i="51"/>
  <c r="G7246" i="51"/>
  <c r="G7247" i="51"/>
  <c r="G7248" i="51"/>
  <c r="G7249" i="51"/>
  <c r="G7250" i="51"/>
  <c r="G7251" i="51"/>
  <c r="G7252" i="51"/>
  <c r="G7253" i="51"/>
  <c r="G7254" i="51"/>
  <c r="G7255" i="51"/>
  <c r="G7256" i="51"/>
  <c r="G7257" i="51"/>
  <c r="G7258" i="51"/>
  <c r="G7259" i="51"/>
  <c r="G7260" i="51"/>
  <c r="G7261" i="51"/>
  <c r="G7262" i="51"/>
  <c r="G7263" i="51"/>
  <c r="G7264" i="51"/>
  <c r="G7265" i="51"/>
  <c r="G7266" i="51"/>
  <c r="G7267" i="51"/>
  <c r="G7268" i="51"/>
  <c r="G7269" i="51"/>
  <c r="G7270" i="51"/>
  <c r="G7271" i="51"/>
  <c r="G7272" i="51"/>
  <c r="G7273" i="51"/>
  <c r="G7274" i="51"/>
  <c r="G7275" i="51"/>
  <c r="G7276" i="51"/>
  <c r="G7277" i="51"/>
  <c r="G7278" i="51"/>
  <c r="G7279" i="51"/>
  <c r="G7280" i="51"/>
  <c r="G7281" i="51"/>
  <c r="G7282" i="51"/>
  <c r="G7283" i="51"/>
  <c r="G7284" i="51"/>
  <c r="G7285" i="51"/>
  <c r="G7286" i="51"/>
  <c r="G7287" i="51"/>
  <c r="G7288" i="51"/>
  <c r="G7289" i="51"/>
  <c r="G7290" i="51"/>
  <c r="G7291" i="51"/>
  <c r="G7292" i="51"/>
  <c r="G7293" i="51"/>
  <c r="G7294" i="51"/>
  <c r="G7295" i="51"/>
  <c r="G7296" i="51"/>
  <c r="G7297" i="51"/>
  <c r="G7298" i="51"/>
  <c r="G7299" i="51"/>
  <c r="G7300" i="51"/>
  <c r="G7301" i="51"/>
  <c r="G7302" i="51"/>
  <c r="G7303" i="51"/>
  <c r="G7304" i="51"/>
  <c r="G7305" i="51"/>
  <c r="G7306" i="51"/>
  <c r="G7307" i="51"/>
  <c r="G7308" i="51"/>
  <c r="G7309" i="51"/>
  <c r="G7310" i="51"/>
  <c r="G7311" i="51"/>
  <c r="G7312" i="51"/>
  <c r="G7313" i="51"/>
  <c r="G7314" i="51"/>
  <c r="G7315" i="51"/>
  <c r="G7316" i="51"/>
  <c r="G7317" i="51"/>
  <c r="G7318" i="51"/>
  <c r="G7319" i="51"/>
  <c r="G7320" i="51"/>
  <c r="G7321" i="51"/>
  <c r="G7322" i="51"/>
  <c r="G7323" i="51"/>
  <c r="G7324" i="51"/>
  <c r="G7325" i="51"/>
  <c r="G7326" i="51"/>
  <c r="G7327" i="51"/>
  <c r="G7328" i="51"/>
  <c r="G7329" i="51"/>
  <c r="G7330" i="51"/>
  <c r="G7331" i="51"/>
  <c r="G7332" i="51"/>
  <c r="G7333" i="51"/>
  <c r="G7334" i="51"/>
  <c r="G7335" i="51"/>
  <c r="G7336" i="51"/>
  <c r="G7337" i="51"/>
  <c r="G7338" i="51"/>
  <c r="G7339" i="51"/>
  <c r="G7340" i="51"/>
  <c r="G7341" i="51"/>
  <c r="G7342" i="51"/>
  <c r="G7343" i="51"/>
  <c r="G7344" i="51"/>
  <c r="G7345" i="51"/>
  <c r="G7346" i="51"/>
  <c r="G7347" i="51"/>
  <c r="G7348" i="51"/>
  <c r="G7349" i="51"/>
  <c r="G7350" i="51"/>
  <c r="G7351" i="51"/>
  <c r="G7352" i="51"/>
  <c r="G7353" i="51"/>
  <c r="G7354" i="51"/>
  <c r="G7355" i="51"/>
  <c r="G7356" i="51"/>
  <c r="G7357" i="51"/>
  <c r="G7358" i="51"/>
  <c r="G7359" i="51"/>
  <c r="G7360" i="51"/>
  <c r="G7361" i="51"/>
  <c r="G7362" i="51"/>
  <c r="G7363" i="51"/>
  <c r="G7364" i="51"/>
  <c r="G7365" i="51"/>
  <c r="G7366" i="51"/>
  <c r="G7367" i="51"/>
  <c r="G7368" i="51"/>
  <c r="G7369" i="51"/>
  <c r="G7370" i="51"/>
  <c r="G7371" i="51"/>
  <c r="G7372" i="51"/>
  <c r="G7373" i="51"/>
  <c r="G7374" i="51"/>
  <c r="G7375" i="51"/>
  <c r="G7376" i="51"/>
  <c r="G7377" i="51"/>
  <c r="G7378" i="51"/>
  <c r="G7379" i="51"/>
  <c r="G7380" i="51"/>
  <c r="G7381" i="51"/>
  <c r="G7382" i="51"/>
  <c r="G7383" i="51"/>
  <c r="G7384" i="51"/>
  <c r="G7385" i="51"/>
  <c r="G7386" i="51"/>
  <c r="G7387" i="51"/>
  <c r="G7388" i="51"/>
  <c r="G7389" i="51"/>
  <c r="G7390" i="51"/>
  <c r="G7391" i="51"/>
  <c r="G7392" i="51"/>
  <c r="G7393" i="51"/>
  <c r="G7394" i="51"/>
  <c r="G7395" i="51"/>
  <c r="G7396" i="51"/>
  <c r="G7397" i="51"/>
  <c r="G7398" i="51"/>
  <c r="G7399" i="51"/>
  <c r="G7400" i="51"/>
  <c r="G7401" i="51"/>
  <c r="G7402" i="51"/>
  <c r="G7403" i="51"/>
  <c r="G7404" i="51"/>
  <c r="G7405" i="51"/>
  <c r="G7406" i="51"/>
  <c r="G7407" i="51"/>
  <c r="G7408" i="51"/>
  <c r="G7409" i="51"/>
  <c r="G7410" i="51"/>
  <c r="G7411" i="51"/>
  <c r="G7412" i="51"/>
  <c r="G7413" i="51"/>
  <c r="G7414" i="51"/>
  <c r="G7415" i="51"/>
  <c r="G7416" i="51"/>
  <c r="G7417" i="51"/>
  <c r="G7418" i="51"/>
  <c r="G7419" i="51"/>
  <c r="G7420" i="51"/>
  <c r="G7421" i="51"/>
  <c r="G7422" i="51"/>
  <c r="G7423" i="51"/>
  <c r="G7424" i="51"/>
  <c r="G7425" i="51"/>
  <c r="G7426" i="51"/>
  <c r="G7427" i="51"/>
  <c r="G7428" i="51"/>
  <c r="G7429" i="51"/>
  <c r="G7430" i="51"/>
  <c r="G7431" i="51"/>
  <c r="G7432" i="51"/>
  <c r="G7433" i="51"/>
  <c r="G7434" i="51"/>
  <c r="G7435" i="51"/>
  <c r="G7436" i="51"/>
  <c r="G7437" i="51"/>
  <c r="G7438" i="51"/>
  <c r="G7439" i="51"/>
  <c r="G7440" i="51"/>
  <c r="G7441" i="51"/>
  <c r="G7442" i="51"/>
  <c r="G7443" i="51"/>
  <c r="G7444" i="51"/>
  <c r="G7445" i="51"/>
  <c r="G7446" i="51"/>
  <c r="G7447" i="51"/>
  <c r="G7448" i="51"/>
  <c r="G7449" i="51"/>
  <c r="G7450" i="51"/>
  <c r="G7451" i="51"/>
  <c r="G7452" i="51"/>
  <c r="G7453" i="51"/>
  <c r="G7454" i="51"/>
  <c r="G7455" i="51"/>
  <c r="G7456" i="51"/>
  <c r="G7457" i="51"/>
  <c r="G7458" i="51"/>
  <c r="G7459" i="51"/>
  <c r="G7460" i="51"/>
  <c r="G7461" i="51"/>
  <c r="G7462" i="51"/>
  <c r="G7463" i="51"/>
  <c r="G7464" i="51"/>
  <c r="G7465" i="51"/>
  <c r="G7466" i="51"/>
  <c r="G7467" i="51"/>
  <c r="G7468" i="51"/>
  <c r="G7469" i="51"/>
  <c r="G7470" i="51"/>
  <c r="G7471" i="51"/>
  <c r="G7472" i="51"/>
  <c r="G7473" i="51"/>
  <c r="G7474" i="51"/>
  <c r="G7475" i="51"/>
  <c r="G7476" i="51"/>
  <c r="G7477" i="51"/>
  <c r="G7478" i="51"/>
  <c r="G7479" i="51"/>
  <c r="G7480" i="51"/>
  <c r="G7481" i="51"/>
  <c r="G7482" i="51"/>
  <c r="G7483" i="51"/>
  <c r="G7484" i="51"/>
  <c r="G7485" i="51"/>
  <c r="G7486" i="51"/>
  <c r="G7487" i="51"/>
  <c r="G7488" i="51"/>
  <c r="G7489" i="51"/>
  <c r="G7490" i="51"/>
  <c r="G7491" i="51"/>
  <c r="G7492" i="51"/>
  <c r="G7493" i="51"/>
  <c r="G7494" i="51"/>
  <c r="G7495" i="51"/>
  <c r="G7496" i="51"/>
  <c r="G7497" i="51"/>
  <c r="G7498" i="51"/>
  <c r="G7499" i="51"/>
  <c r="G7500" i="51"/>
  <c r="G7501" i="51"/>
  <c r="G7502" i="51"/>
  <c r="G7503" i="51"/>
  <c r="G7504" i="51"/>
  <c r="G7505" i="51"/>
  <c r="G7506" i="51"/>
  <c r="G7507" i="51"/>
  <c r="G7508" i="51"/>
  <c r="G7509" i="51"/>
  <c r="G7510" i="51"/>
  <c r="G7511" i="51"/>
  <c r="G7512" i="51"/>
  <c r="G7513" i="51"/>
  <c r="G7514" i="51"/>
  <c r="G7515" i="51"/>
  <c r="G7516" i="51"/>
  <c r="G7517" i="51"/>
  <c r="G7518" i="51"/>
  <c r="G7519" i="51"/>
  <c r="G7520" i="51"/>
  <c r="G7521" i="51"/>
  <c r="G7522" i="51"/>
  <c r="G7523" i="51"/>
  <c r="G7524" i="51"/>
  <c r="G7525" i="51"/>
  <c r="G7526" i="51"/>
  <c r="G7527" i="51"/>
  <c r="G7528" i="51"/>
  <c r="G7529" i="51"/>
  <c r="G7530" i="51"/>
  <c r="G7531" i="51"/>
  <c r="G7532" i="51"/>
  <c r="G7533" i="51"/>
  <c r="G7534" i="51"/>
  <c r="G7535" i="51"/>
  <c r="G7536" i="51"/>
  <c r="G7537" i="51"/>
  <c r="G7538" i="51"/>
  <c r="G7539" i="51"/>
  <c r="G7540" i="51"/>
  <c r="G7541" i="51"/>
  <c r="G7542" i="51"/>
  <c r="G7543" i="51"/>
  <c r="G7544" i="51"/>
  <c r="G7545" i="51"/>
  <c r="G7546" i="51"/>
  <c r="G7547" i="51"/>
  <c r="G7548" i="51"/>
  <c r="G7549" i="51"/>
  <c r="G7550" i="51"/>
  <c r="G7551" i="51"/>
  <c r="G7552" i="51"/>
  <c r="G7553" i="51"/>
  <c r="G7554" i="51"/>
  <c r="G7555" i="51"/>
  <c r="G7556" i="51"/>
  <c r="G7557" i="51"/>
  <c r="G7558" i="51"/>
  <c r="G7559" i="51"/>
  <c r="G7560" i="51"/>
  <c r="G7561" i="51"/>
  <c r="G7562" i="51"/>
  <c r="G7563" i="51"/>
  <c r="G7564" i="51"/>
  <c r="G7565" i="51"/>
  <c r="G7566" i="51"/>
  <c r="G7567" i="51"/>
  <c r="G7568" i="51"/>
  <c r="G7569" i="51"/>
  <c r="G7570" i="51"/>
  <c r="G7571" i="51"/>
  <c r="G7572" i="51"/>
  <c r="G7573" i="51"/>
  <c r="G7574" i="51"/>
  <c r="G7575" i="51"/>
  <c r="G7576" i="51"/>
  <c r="G7577" i="51"/>
  <c r="G7578" i="51"/>
  <c r="G7579" i="51"/>
  <c r="G7580" i="51"/>
  <c r="G7581" i="51"/>
  <c r="G7582" i="51"/>
  <c r="G7583" i="51"/>
  <c r="G7584" i="51"/>
  <c r="G7585" i="51"/>
  <c r="G7586" i="51"/>
  <c r="G7587" i="51"/>
  <c r="G7588" i="51"/>
  <c r="G7589" i="51"/>
  <c r="G7590" i="51"/>
  <c r="G7591" i="51"/>
  <c r="G7592" i="51"/>
  <c r="G7593" i="51"/>
  <c r="G7594" i="51"/>
  <c r="G7595" i="51"/>
  <c r="G7596" i="51"/>
  <c r="G7597" i="51"/>
  <c r="G7598" i="51"/>
  <c r="G7599" i="51"/>
  <c r="G7600" i="51"/>
  <c r="G7601" i="51"/>
  <c r="G7602" i="51"/>
  <c r="G7603" i="51"/>
  <c r="G7604" i="51"/>
  <c r="G7605" i="51"/>
  <c r="G7606" i="51"/>
  <c r="G7607" i="51"/>
  <c r="G7608" i="51"/>
  <c r="G7609" i="51"/>
  <c r="G7610" i="51"/>
  <c r="G7611" i="51"/>
  <c r="G7612" i="51"/>
  <c r="G7613" i="51"/>
  <c r="G7614" i="51"/>
  <c r="G7615" i="51"/>
  <c r="G7616" i="51"/>
  <c r="G7617" i="51"/>
  <c r="G7618" i="51"/>
  <c r="G7619" i="51"/>
  <c r="G7620" i="51"/>
  <c r="G7621" i="51"/>
  <c r="G7622" i="51"/>
  <c r="G7623" i="51"/>
  <c r="G7624" i="51"/>
  <c r="G7625" i="51"/>
  <c r="G7626" i="51"/>
  <c r="G7627" i="51"/>
  <c r="G7628" i="51"/>
  <c r="G7629" i="51"/>
  <c r="G7630" i="51"/>
  <c r="G7631" i="51"/>
  <c r="G7632" i="51"/>
  <c r="G7633" i="51"/>
  <c r="G7634" i="51"/>
  <c r="G7635" i="51"/>
  <c r="G7636" i="51"/>
  <c r="G7637" i="51"/>
  <c r="G7638" i="51"/>
  <c r="G7639" i="51"/>
  <c r="G7640" i="51"/>
  <c r="G7641" i="51"/>
  <c r="G7642" i="51"/>
  <c r="G7643" i="51"/>
  <c r="G7644" i="51"/>
  <c r="G7645" i="51"/>
  <c r="G7646" i="51"/>
  <c r="G7647" i="51"/>
  <c r="G7648" i="51"/>
  <c r="G7649" i="51"/>
  <c r="G7650" i="51"/>
  <c r="G7651" i="51"/>
  <c r="G7652" i="51"/>
  <c r="G7653" i="51"/>
  <c r="G7654" i="51"/>
  <c r="G7655" i="51"/>
  <c r="G7656" i="51"/>
  <c r="G7657" i="51"/>
  <c r="G7658" i="51"/>
  <c r="G7659" i="51"/>
  <c r="G7660" i="51"/>
  <c r="G7661" i="51"/>
  <c r="G7662" i="51"/>
  <c r="G7663" i="51"/>
  <c r="G7664" i="51"/>
  <c r="G7665" i="51"/>
  <c r="G7666" i="51"/>
  <c r="G7667" i="51"/>
  <c r="G7668" i="51"/>
  <c r="G7669" i="51"/>
  <c r="G7670" i="51"/>
  <c r="G7671" i="51"/>
  <c r="G7672" i="51"/>
  <c r="G7673" i="51"/>
  <c r="G7674" i="51"/>
  <c r="G7675" i="51"/>
  <c r="G7676" i="51"/>
  <c r="G7677" i="51"/>
  <c r="G7678" i="51"/>
  <c r="G7679" i="51"/>
  <c r="G7680" i="51"/>
  <c r="G7681" i="51"/>
  <c r="G7682" i="51"/>
  <c r="G7683" i="51"/>
  <c r="G7684" i="51"/>
  <c r="G7685" i="51"/>
  <c r="G7686" i="51"/>
  <c r="G7687" i="51"/>
  <c r="G7688" i="51"/>
  <c r="G7689" i="51"/>
  <c r="G7690" i="51"/>
  <c r="G7691" i="51"/>
  <c r="G7692" i="51"/>
  <c r="G7693" i="51"/>
  <c r="G7694" i="51"/>
  <c r="G7695" i="51"/>
  <c r="G7696" i="51"/>
  <c r="G7697" i="51"/>
  <c r="G7698" i="51"/>
  <c r="G7699" i="51"/>
  <c r="G7700" i="51"/>
  <c r="G7701" i="51"/>
  <c r="G7702" i="51"/>
  <c r="G7703" i="51"/>
  <c r="G7704" i="51"/>
  <c r="G7705" i="51"/>
  <c r="G7706" i="51"/>
  <c r="G7707" i="51"/>
  <c r="G7708" i="51"/>
  <c r="G7709" i="51"/>
  <c r="G7710" i="51"/>
  <c r="G7711" i="51"/>
  <c r="G7712" i="51"/>
  <c r="G7713" i="51"/>
  <c r="G7714" i="51"/>
  <c r="G7715" i="51"/>
  <c r="G7716" i="51"/>
  <c r="G7717" i="51"/>
  <c r="G7718" i="51"/>
  <c r="G7719" i="51"/>
  <c r="G7720" i="51"/>
  <c r="G7721" i="51"/>
  <c r="G7722" i="51"/>
  <c r="G7723" i="51"/>
  <c r="G7724" i="51"/>
  <c r="G7725" i="51"/>
  <c r="G7726" i="51"/>
  <c r="G7727" i="51"/>
  <c r="G7728" i="51"/>
  <c r="G7729" i="51"/>
  <c r="G7730" i="51"/>
  <c r="G7731" i="51"/>
  <c r="G7732" i="51"/>
  <c r="G7733" i="51"/>
  <c r="G7734" i="51"/>
  <c r="G7735" i="51"/>
  <c r="G7736" i="51"/>
  <c r="G7737" i="51"/>
  <c r="G7738" i="51"/>
  <c r="G7739" i="51"/>
  <c r="G7740" i="51"/>
  <c r="G7741" i="51"/>
  <c r="G7742" i="51"/>
  <c r="G7743" i="51"/>
  <c r="G7744" i="51"/>
  <c r="G7745" i="51"/>
  <c r="G7746" i="51"/>
  <c r="G7747" i="51"/>
  <c r="G7748" i="51"/>
  <c r="G7749" i="51"/>
  <c r="G7750" i="51"/>
  <c r="G7751" i="51"/>
  <c r="G7752" i="51"/>
  <c r="G7753" i="51"/>
  <c r="G7754" i="51"/>
  <c r="G7755" i="51"/>
  <c r="G7756" i="51"/>
  <c r="G7757" i="51"/>
  <c r="G7758" i="51"/>
  <c r="G7759" i="51"/>
  <c r="G7760" i="51"/>
  <c r="G7761" i="51"/>
  <c r="G7762" i="51"/>
  <c r="G7763" i="51"/>
  <c r="G7764" i="51"/>
  <c r="G7765" i="51"/>
  <c r="G7766" i="51"/>
  <c r="G7767" i="51"/>
  <c r="G7768" i="51"/>
  <c r="G7769" i="51"/>
  <c r="G7770" i="51"/>
  <c r="G7771" i="51"/>
  <c r="G7772" i="51"/>
  <c r="G7773" i="51"/>
  <c r="G7774" i="51"/>
  <c r="G7775" i="51"/>
  <c r="G7776" i="51"/>
  <c r="G7777" i="51"/>
  <c r="G7778" i="51"/>
  <c r="G7779" i="51"/>
  <c r="G7780" i="51"/>
  <c r="G7781" i="51"/>
  <c r="G7782" i="51"/>
  <c r="G7783" i="51"/>
  <c r="G7784" i="51"/>
  <c r="G7785" i="51"/>
  <c r="G7786" i="51"/>
  <c r="G7787" i="51"/>
  <c r="G7788" i="51"/>
  <c r="G7789" i="51"/>
  <c r="G7790" i="51"/>
  <c r="G7791" i="51"/>
  <c r="G7792" i="51"/>
  <c r="G7793" i="51"/>
  <c r="G7794" i="51"/>
  <c r="G7795" i="51"/>
  <c r="G7796" i="51"/>
  <c r="G7797" i="51"/>
  <c r="G7798" i="51"/>
  <c r="G7799" i="51"/>
  <c r="G7800" i="51"/>
  <c r="G7801" i="51"/>
  <c r="G7802" i="51"/>
  <c r="G7803" i="51"/>
  <c r="G7804" i="51"/>
  <c r="G7805" i="51"/>
  <c r="G7806" i="51"/>
  <c r="G7807" i="51"/>
  <c r="G7808" i="51"/>
  <c r="G7809" i="51"/>
  <c r="G7810" i="51"/>
  <c r="G7811" i="51"/>
  <c r="G7812" i="51"/>
  <c r="G7813" i="51"/>
  <c r="G7814" i="51"/>
  <c r="G7815" i="51"/>
  <c r="G7816" i="51"/>
  <c r="G7817" i="51"/>
  <c r="G7818" i="51"/>
  <c r="G7819" i="51"/>
  <c r="G7820" i="51"/>
  <c r="G7821" i="51"/>
  <c r="G7822" i="51"/>
  <c r="G7823" i="51"/>
  <c r="G7824" i="51"/>
  <c r="G7825" i="51"/>
  <c r="G7826" i="51"/>
  <c r="G7827" i="51"/>
  <c r="G7828" i="51"/>
  <c r="G7829" i="51"/>
  <c r="G7830" i="51"/>
  <c r="G7831" i="51"/>
  <c r="G7832" i="51"/>
  <c r="G7833" i="51"/>
  <c r="G7834" i="51"/>
  <c r="G7835" i="51"/>
  <c r="G7836" i="51"/>
  <c r="G7837" i="51"/>
  <c r="G7838" i="51"/>
  <c r="G7839" i="51"/>
  <c r="G7840" i="51"/>
  <c r="G7841" i="51"/>
  <c r="G7842" i="51"/>
  <c r="G7843" i="51"/>
  <c r="G7844" i="51"/>
  <c r="G7845" i="51"/>
  <c r="G7846" i="51"/>
  <c r="G7847" i="51"/>
  <c r="G7848" i="51"/>
  <c r="G7849" i="51"/>
  <c r="G7850" i="51"/>
  <c r="G7851" i="51"/>
  <c r="G7852" i="51"/>
  <c r="G7853" i="51"/>
  <c r="G7854" i="51"/>
  <c r="G7855" i="51"/>
  <c r="G7856" i="51"/>
  <c r="G7857" i="51"/>
  <c r="G7858" i="51"/>
  <c r="G7859" i="51"/>
  <c r="G7860" i="51"/>
  <c r="G7861" i="51"/>
  <c r="G7862" i="51"/>
  <c r="G7863" i="51"/>
  <c r="G7864" i="51"/>
  <c r="G7865" i="51"/>
  <c r="G7866" i="51"/>
  <c r="G7867" i="51"/>
  <c r="G7868" i="51"/>
  <c r="G7869" i="51"/>
  <c r="G7870" i="51"/>
  <c r="G7871" i="51"/>
  <c r="G7872" i="51"/>
  <c r="G7873" i="51"/>
  <c r="G7874" i="51"/>
  <c r="G7875" i="51"/>
  <c r="F137" i="52" s="1"/>
  <c r="G7876" i="51"/>
  <c r="G7877" i="51"/>
  <c r="G7878" i="51"/>
  <c r="G7879" i="51"/>
  <c r="G7880" i="51"/>
  <c r="G7881" i="51"/>
  <c r="G7882" i="51"/>
  <c r="G7883" i="51"/>
  <c r="G7884" i="51"/>
  <c r="G4" i="51"/>
  <c r="G5" i="51"/>
  <c r="G6" i="51"/>
  <c r="G7" i="51"/>
  <c r="G8" i="51"/>
  <c r="G9" i="51"/>
  <c r="G10" i="51"/>
  <c r="G11" i="51"/>
  <c r="G12" i="51"/>
  <c r="G13" i="51"/>
  <c r="G14" i="51"/>
  <c r="G15" i="51"/>
  <c r="G16" i="51"/>
  <c r="G17" i="51"/>
  <c r="G18" i="51"/>
  <c r="G19" i="51"/>
  <c r="G20" i="51"/>
  <c r="G21" i="51"/>
  <c r="G22" i="51"/>
  <c r="G23" i="51"/>
  <c r="G24" i="51"/>
  <c r="G25" i="51"/>
  <c r="G26" i="51"/>
  <c r="G27" i="51"/>
  <c r="G28" i="51"/>
  <c r="G29" i="51"/>
  <c r="G30" i="51"/>
  <c r="G31" i="51"/>
  <c r="G32" i="51"/>
  <c r="G33" i="51"/>
  <c r="G34" i="51"/>
  <c r="G35" i="51"/>
  <c r="G36" i="51"/>
  <c r="G37" i="51"/>
  <c r="G38" i="51"/>
  <c r="G39" i="51"/>
  <c r="G40" i="51"/>
  <c r="G41" i="51"/>
  <c r="G42" i="51"/>
  <c r="G43" i="51"/>
  <c r="G44" i="51"/>
  <c r="G45" i="51"/>
  <c r="G46" i="51"/>
  <c r="G47" i="51"/>
  <c r="G48" i="51"/>
  <c r="G49" i="51"/>
  <c r="G50" i="51"/>
  <c r="G51" i="51"/>
  <c r="G52" i="51"/>
  <c r="G53" i="51"/>
  <c r="G54" i="51"/>
  <c r="G55" i="51"/>
  <c r="G56" i="51"/>
  <c r="G57" i="51"/>
  <c r="G58" i="51"/>
  <c r="G59" i="51"/>
  <c r="G60" i="51"/>
  <c r="G61" i="51"/>
  <c r="G62" i="51"/>
  <c r="G63" i="51"/>
  <c r="G64" i="51"/>
  <c r="G65" i="51"/>
  <c r="G66" i="51"/>
  <c r="G67" i="51"/>
  <c r="G68" i="51"/>
  <c r="G69" i="51"/>
  <c r="G70" i="51"/>
  <c r="G71" i="51"/>
  <c r="G72" i="51"/>
  <c r="G73" i="51"/>
  <c r="G74" i="51"/>
  <c r="G75" i="51"/>
  <c r="G76" i="51"/>
  <c r="G77" i="51"/>
  <c r="G78" i="51"/>
  <c r="G79" i="51"/>
  <c r="G80" i="51"/>
  <c r="G81" i="51"/>
  <c r="G82" i="51"/>
  <c r="G83" i="51"/>
  <c r="G84" i="51"/>
  <c r="G85" i="51"/>
  <c r="G86" i="51"/>
  <c r="G87" i="51"/>
  <c r="G88" i="51"/>
  <c r="G89" i="51"/>
  <c r="G90" i="51"/>
  <c r="G91" i="51"/>
  <c r="G92" i="51"/>
  <c r="G93" i="51"/>
  <c r="G94" i="51"/>
  <c r="G95" i="51"/>
  <c r="G96" i="51"/>
  <c r="G97" i="51"/>
  <c r="G98" i="51"/>
  <c r="G99" i="51"/>
  <c r="G100" i="51"/>
  <c r="G101" i="51"/>
  <c r="G102" i="51"/>
  <c r="G103" i="51"/>
  <c r="G104" i="51"/>
  <c r="G105" i="51"/>
  <c r="G106" i="51"/>
  <c r="G107" i="51"/>
  <c r="G108" i="51"/>
  <c r="G109" i="51"/>
  <c r="G110" i="51"/>
  <c r="G111" i="51"/>
  <c r="G112" i="51"/>
  <c r="G113" i="51"/>
  <c r="G114" i="51"/>
  <c r="G115" i="51"/>
  <c r="G116" i="51"/>
  <c r="G117" i="51"/>
  <c r="G118" i="51"/>
  <c r="G119" i="51"/>
  <c r="G120" i="51"/>
  <c r="G121" i="51"/>
  <c r="G122" i="51"/>
  <c r="G123" i="51"/>
  <c r="G124" i="51"/>
  <c r="G125" i="51"/>
  <c r="G126" i="51"/>
  <c r="G127" i="51"/>
  <c r="G128" i="51"/>
  <c r="G129" i="51"/>
  <c r="G130" i="51"/>
  <c r="G131" i="51"/>
  <c r="G132" i="51"/>
  <c r="G133" i="51"/>
  <c r="G134" i="51"/>
  <c r="G135" i="51"/>
  <c r="G136" i="51"/>
  <c r="G137" i="51"/>
  <c r="G138" i="51"/>
  <c r="G139" i="51"/>
  <c r="G140" i="51"/>
  <c r="G141" i="51"/>
  <c r="G142" i="51"/>
  <c r="G143" i="51"/>
  <c r="G144" i="51"/>
  <c r="G145" i="51"/>
  <c r="G146" i="51"/>
  <c r="G147" i="51"/>
  <c r="G148" i="51"/>
  <c r="G149" i="51"/>
  <c r="G150" i="51"/>
  <c r="G151" i="51"/>
  <c r="G152" i="51"/>
  <c r="G153" i="51"/>
  <c r="G154" i="51"/>
  <c r="G155" i="51"/>
  <c r="G156" i="51"/>
  <c r="G157" i="51"/>
  <c r="G158" i="51"/>
  <c r="G159" i="51"/>
  <c r="G160" i="51"/>
  <c r="G161" i="51"/>
  <c r="G162" i="51"/>
  <c r="G163" i="51"/>
  <c r="G164" i="51"/>
  <c r="G165" i="51"/>
  <c r="G166" i="51"/>
  <c r="G167" i="51"/>
  <c r="G168" i="51"/>
  <c r="G169" i="51"/>
  <c r="G170" i="51"/>
  <c r="G171" i="51"/>
  <c r="G172" i="51"/>
  <c r="G173" i="51"/>
  <c r="G174" i="51"/>
  <c r="G175" i="51"/>
  <c r="G176" i="51"/>
  <c r="G177" i="51"/>
  <c r="G178" i="51"/>
  <c r="G179" i="51"/>
  <c r="G180" i="51"/>
  <c r="G181" i="51"/>
  <c r="G182" i="51"/>
  <c r="G183" i="51"/>
  <c r="G184" i="51"/>
  <c r="G185" i="51"/>
  <c r="G186" i="51"/>
  <c r="G187" i="51"/>
  <c r="G188" i="51"/>
  <c r="G189" i="51"/>
  <c r="G190" i="51"/>
  <c r="G191" i="51"/>
  <c r="G192" i="51"/>
  <c r="G193" i="51"/>
  <c r="G194" i="51"/>
  <c r="G195" i="51"/>
  <c r="G196" i="51"/>
  <c r="G197" i="51"/>
  <c r="G198" i="51"/>
  <c r="G199" i="51"/>
  <c r="G200" i="51"/>
  <c r="G201" i="51"/>
  <c r="G202" i="51"/>
  <c r="G203" i="51"/>
  <c r="G204" i="51"/>
  <c r="G205" i="51"/>
  <c r="G206" i="51"/>
  <c r="G207" i="51"/>
  <c r="G208" i="51"/>
  <c r="G209" i="51"/>
  <c r="G210" i="51"/>
  <c r="G211" i="51"/>
  <c r="G212" i="51"/>
  <c r="G213" i="51"/>
  <c r="G214" i="51"/>
  <c r="G215" i="51"/>
  <c r="G216" i="51"/>
  <c r="G217" i="51"/>
  <c r="G218" i="51"/>
  <c r="G219" i="51"/>
  <c r="G220" i="51"/>
  <c r="G221" i="51"/>
  <c r="G222" i="51"/>
  <c r="G223" i="51"/>
  <c r="G224" i="51"/>
  <c r="G225" i="51"/>
  <c r="G226" i="51"/>
  <c r="G227" i="51"/>
  <c r="G228" i="51"/>
  <c r="G229" i="51"/>
  <c r="G230" i="51"/>
  <c r="G231" i="51"/>
  <c r="G232" i="51"/>
  <c r="G233" i="51"/>
  <c r="G234" i="51"/>
  <c r="G235" i="51"/>
  <c r="G236" i="51"/>
  <c r="G237" i="51"/>
  <c r="G238" i="51"/>
  <c r="G239" i="51"/>
  <c r="G240" i="51"/>
  <c r="G241" i="51"/>
  <c r="G242" i="51"/>
  <c r="G243" i="51"/>
  <c r="G244" i="51"/>
  <c r="G245" i="51"/>
  <c r="G246" i="51"/>
  <c r="G247" i="51"/>
  <c r="G248" i="51"/>
  <c r="G249" i="51"/>
  <c r="G250" i="51"/>
  <c r="G251" i="51"/>
  <c r="G252" i="51"/>
  <c r="G253" i="51"/>
  <c r="G254" i="51"/>
  <c r="G255" i="51"/>
  <c r="G256" i="51"/>
  <c r="G257" i="51"/>
  <c r="G258" i="51"/>
  <c r="G259" i="51"/>
  <c r="G260" i="51"/>
  <c r="G261" i="51"/>
  <c r="G262" i="51"/>
  <c r="G263" i="51"/>
  <c r="G264" i="51"/>
  <c r="G265" i="51"/>
  <c r="G266" i="51"/>
  <c r="G267" i="51"/>
  <c r="G268" i="51"/>
  <c r="G269" i="51"/>
  <c r="G270" i="51"/>
  <c r="G271" i="51"/>
  <c r="G272" i="51"/>
  <c r="G273" i="51"/>
  <c r="G274" i="51"/>
  <c r="G275" i="51"/>
  <c r="G276" i="51"/>
  <c r="G277" i="51"/>
  <c r="G278" i="51"/>
  <c r="G279" i="51"/>
  <c r="G280" i="51"/>
  <c r="G281" i="51"/>
  <c r="G282" i="51"/>
  <c r="G283" i="51"/>
  <c r="G284" i="51"/>
  <c r="G285" i="51"/>
  <c r="G286" i="51"/>
  <c r="G287" i="51"/>
  <c r="G288" i="51"/>
  <c r="G289" i="51"/>
  <c r="G290" i="51"/>
  <c r="G291" i="51"/>
  <c r="G292" i="51"/>
  <c r="G293" i="51"/>
  <c r="G294" i="51"/>
  <c r="G295" i="51"/>
  <c r="G296" i="51"/>
  <c r="G297" i="51"/>
  <c r="G298" i="51"/>
  <c r="G299" i="51"/>
  <c r="G300" i="51"/>
  <c r="G301" i="51"/>
  <c r="G302" i="51"/>
  <c r="G303" i="51"/>
  <c r="G304" i="51"/>
  <c r="G305" i="51"/>
  <c r="G306" i="51"/>
  <c r="G307" i="51"/>
  <c r="G308" i="51"/>
  <c r="G309" i="51"/>
  <c r="G310" i="51"/>
  <c r="G311" i="51"/>
  <c r="G312" i="51"/>
  <c r="G313" i="51"/>
  <c r="G314" i="51"/>
  <c r="G315" i="51"/>
  <c r="G316" i="51"/>
  <c r="G317" i="51"/>
  <c r="G318" i="51"/>
  <c r="G319" i="51"/>
  <c r="G320" i="51"/>
  <c r="G321" i="51"/>
  <c r="G322" i="51"/>
  <c r="G323" i="51"/>
  <c r="G324" i="51"/>
  <c r="G325" i="51"/>
  <c r="G326" i="51"/>
  <c r="G327" i="51"/>
  <c r="G328" i="51"/>
  <c r="G329" i="51"/>
  <c r="G330" i="51"/>
  <c r="G331" i="51"/>
  <c r="G332" i="51"/>
  <c r="G333" i="51"/>
  <c r="G334" i="51"/>
  <c r="G335" i="51"/>
  <c r="G336" i="51"/>
  <c r="G337" i="51"/>
  <c r="G338" i="51"/>
  <c r="G339" i="51"/>
  <c r="G340" i="51"/>
  <c r="G341" i="51"/>
  <c r="G342" i="51"/>
  <c r="G343" i="51"/>
  <c r="G344" i="51"/>
  <c r="G345" i="51"/>
  <c r="G346" i="51"/>
  <c r="G347" i="51"/>
  <c r="G348" i="51"/>
  <c r="G349" i="51"/>
  <c r="G350" i="51"/>
  <c r="G351" i="51"/>
  <c r="G352" i="51"/>
  <c r="G353" i="51"/>
  <c r="G354" i="51"/>
  <c r="G355" i="51"/>
  <c r="G356" i="51"/>
  <c r="G357" i="51"/>
  <c r="G358" i="51"/>
  <c r="G359" i="51"/>
  <c r="G360" i="51"/>
  <c r="G361" i="51"/>
  <c r="G362" i="51"/>
  <c r="G363" i="51"/>
  <c r="G364" i="51"/>
  <c r="G365" i="51"/>
  <c r="G366" i="51"/>
  <c r="G367" i="51"/>
  <c r="G368" i="51"/>
  <c r="G369" i="51"/>
  <c r="G370" i="51"/>
  <c r="G371" i="51"/>
  <c r="G372" i="51"/>
  <c r="G373" i="51"/>
  <c r="G374" i="51"/>
  <c r="G375" i="51"/>
  <c r="G376" i="51"/>
  <c r="G377" i="51"/>
  <c r="G378" i="51"/>
  <c r="G379" i="51"/>
  <c r="G380" i="51"/>
  <c r="G381" i="51"/>
  <c r="G382" i="51"/>
  <c r="G383" i="51"/>
  <c r="G384" i="51"/>
  <c r="G385" i="51"/>
  <c r="G386" i="51"/>
  <c r="G387" i="51"/>
  <c r="G388" i="51"/>
  <c r="G389" i="51"/>
  <c r="G390" i="51"/>
  <c r="G391" i="51"/>
  <c r="G392" i="51"/>
  <c r="G393" i="51"/>
  <c r="G394" i="51"/>
  <c r="G395" i="51"/>
  <c r="G396" i="51"/>
  <c r="G397" i="51"/>
  <c r="G398" i="51"/>
  <c r="G399" i="51"/>
  <c r="G400" i="51"/>
  <c r="G401" i="51"/>
  <c r="G402" i="51"/>
  <c r="G403" i="51"/>
  <c r="G404" i="51"/>
  <c r="G405" i="51"/>
  <c r="G406" i="51"/>
  <c r="G407" i="51"/>
  <c r="G408" i="51"/>
  <c r="G409" i="51"/>
  <c r="G410" i="51"/>
  <c r="G411" i="51"/>
  <c r="G412" i="51"/>
  <c r="G413" i="51"/>
  <c r="G414" i="51"/>
  <c r="G415" i="51"/>
  <c r="G416" i="51"/>
  <c r="G417" i="51"/>
  <c r="G418" i="51"/>
  <c r="G419" i="51"/>
  <c r="G420" i="51"/>
  <c r="G421" i="51"/>
  <c r="G422" i="51"/>
  <c r="G423" i="51"/>
  <c r="G424" i="51"/>
  <c r="G425" i="51"/>
  <c r="G426" i="51"/>
  <c r="G427" i="51"/>
  <c r="G428" i="51"/>
  <c r="G429" i="51"/>
  <c r="G430" i="51"/>
  <c r="G431" i="51"/>
  <c r="G432" i="51"/>
  <c r="G433" i="51"/>
  <c r="G434" i="51"/>
  <c r="G435" i="51"/>
  <c r="G436" i="51"/>
  <c r="G437" i="51"/>
  <c r="G438" i="51"/>
  <c r="G439" i="51"/>
  <c r="G440" i="51"/>
  <c r="G441" i="51"/>
  <c r="G442" i="51"/>
  <c r="G443" i="51"/>
  <c r="G444" i="51"/>
  <c r="G445" i="51"/>
  <c r="G446" i="51"/>
  <c r="G447" i="51"/>
  <c r="G448" i="51"/>
  <c r="G449" i="51"/>
  <c r="G450" i="51"/>
  <c r="G451" i="51"/>
  <c r="G452" i="51"/>
  <c r="G453" i="51"/>
  <c r="G454" i="51"/>
  <c r="G455" i="51"/>
  <c r="G456" i="51"/>
  <c r="G457" i="51"/>
  <c r="G458" i="51"/>
  <c r="G459" i="51"/>
  <c r="G460" i="51"/>
  <c r="G461" i="51"/>
  <c r="G462" i="51"/>
  <c r="G463" i="51"/>
  <c r="G464" i="51"/>
  <c r="G465" i="51"/>
  <c r="G466" i="51"/>
  <c r="G467" i="51"/>
  <c r="G468" i="51"/>
  <c r="G469" i="51"/>
  <c r="G470" i="51"/>
  <c r="G471" i="51"/>
  <c r="G472" i="51"/>
  <c r="G473" i="51"/>
  <c r="G474" i="51"/>
  <c r="G475" i="51"/>
  <c r="G476" i="51"/>
  <c r="G477" i="51"/>
  <c r="G478" i="51"/>
  <c r="G479" i="51"/>
  <c r="G480" i="51"/>
  <c r="G481" i="51"/>
  <c r="G482" i="51"/>
  <c r="G483" i="51"/>
  <c r="G484" i="51"/>
  <c r="G485" i="51"/>
  <c r="G486" i="51"/>
  <c r="G487" i="51"/>
  <c r="G488" i="51"/>
  <c r="G489" i="51"/>
  <c r="G490" i="51"/>
  <c r="G491" i="51"/>
  <c r="G492" i="51"/>
  <c r="G493" i="51"/>
  <c r="G494" i="51"/>
  <c r="G495" i="51"/>
  <c r="G496" i="51"/>
  <c r="G497" i="51"/>
  <c r="G498" i="51"/>
  <c r="G499" i="51"/>
  <c r="G500" i="51"/>
  <c r="G501" i="51"/>
  <c r="G502" i="51"/>
  <c r="G503" i="51"/>
  <c r="G504" i="51"/>
  <c r="G505" i="51"/>
  <c r="G506" i="51"/>
  <c r="G507" i="51"/>
  <c r="G508" i="51"/>
  <c r="G509" i="51"/>
  <c r="G510" i="51"/>
  <c r="G511" i="51"/>
  <c r="G512" i="51"/>
  <c r="G513" i="51"/>
  <c r="G514" i="51"/>
  <c r="G515" i="51"/>
  <c r="G516" i="51"/>
  <c r="G517" i="51"/>
  <c r="G518" i="51"/>
  <c r="G519" i="51"/>
  <c r="G520" i="51"/>
  <c r="G521" i="51"/>
  <c r="G522" i="51"/>
  <c r="G523" i="51"/>
  <c r="G524" i="51"/>
  <c r="G525" i="51"/>
  <c r="G526" i="51"/>
  <c r="G527" i="51"/>
  <c r="G528" i="51"/>
  <c r="G529" i="51"/>
  <c r="G530" i="51"/>
  <c r="G531" i="51"/>
  <c r="G532" i="51"/>
  <c r="G533" i="51"/>
  <c r="G534" i="51"/>
  <c r="G535" i="51"/>
  <c r="G536" i="51"/>
  <c r="G537" i="51"/>
  <c r="G538" i="51"/>
  <c r="G539" i="51"/>
  <c r="G540" i="51"/>
  <c r="G541" i="51"/>
  <c r="G542" i="51"/>
  <c r="G543" i="51"/>
  <c r="G544" i="51"/>
  <c r="G545" i="51"/>
  <c r="G546" i="51"/>
  <c r="G547" i="51"/>
  <c r="G548" i="51"/>
  <c r="G549" i="51"/>
  <c r="G550" i="51"/>
  <c r="G551" i="51"/>
  <c r="G552" i="51"/>
  <c r="G553" i="51"/>
  <c r="G554" i="51"/>
  <c r="G555" i="51"/>
  <c r="G556" i="51"/>
  <c r="G557" i="51"/>
  <c r="G558" i="51"/>
  <c r="G559" i="51"/>
  <c r="G560" i="51"/>
  <c r="G561" i="51"/>
  <c r="G562" i="51"/>
  <c r="G563" i="51"/>
  <c r="G564" i="51"/>
  <c r="G565" i="51"/>
  <c r="G566" i="51"/>
  <c r="G567" i="51"/>
  <c r="G568" i="51"/>
  <c r="G569" i="51"/>
  <c r="G570" i="51"/>
  <c r="G571" i="51"/>
  <c r="G572" i="51"/>
  <c r="G573" i="51"/>
  <c r="G574" i="51"/>
  <c r="G575" i="51"/>
  <c r="G576" i="51"/>
  <c r="G577" i="51"/>
  <c r="G578" i="51"/>
  <c r="G579" i="51"/>
  <c r="G580" i="51"/>
  <c r="G581" i="51"/>
  <c r="G582" i="51"/>
  <c r="G583" i="51"/>
  <c r="G584" i="51"/>
  <c r="G585" i="51"/>
  <c r="G586" i="51"/>
  <c r="G587" i="51"/>
  <c r="G588" i="51"/>
  <c r="G589" i="51"/>
  <c r="G590" i="51"/>
  <c r="G591" i="51"/>
  <c r="G592" i="51"/>
  <c r="G593" i="51"/>
  <c r="G594" i="51"/>
  <c r="G595" i="51"/>
  <c r="G596" i="51"/>
  <c r="G597" i="51"/>
  <c r="G598" i="51"/>
  <c r="G599" i="51"/>
  <c r="G600" i="51"/>
  <c r="G601" i="51"/>
  <c r="G602" i="51"/>
  <c r="G603" i="51"/>
  <c r="G604" i="51"/>
  <c r="G605" i="51"/>
  <c r="G606" i="51"/>
  <c r="G607" i="51"/>
  <c r="G608" i="51"/>
  <c r="G609" i="51"/>
  <c r="G610" i="51"/>
  <c r="G611" i="51"/>
  <c r="G612" i="51"/>
  <c r="G613" i="51"/>
  <c r="G614" i="51"/>
  <c r="G615" i="51"/>
  <c r="G616" i="51"/>
  <c r="G617" i="51"/>
  <c r="G618" i="51"/>
  <c r="G619" i="51"/>
  <c r="G620" i="51"/>
  <c r="G621" i="51"/>
  <c r="G622" i="51"/>
  <c r="G623" i="51"/>
  <c r="G624" i="51"/>
  <c r="G625" i="51"/>
  <c r="G626" i="51"/>
  <c r="G627" i="51"/>
  <c r="G628" i="51"/>
  <c r="G629" i="51"/>
  <c r="G630" i="51"/>
  <c r="G631" i="51"/>
  <c r="G632" i="51"/>
  <c r="G633" i="51"/>
  <c r="G634" i="51"/>
  <c r="G635" i="51"/>
  <c r="G636" i="51"/>
  <c r="G637" i="51"/>
  <c r="G638" i="51"/>
  <c r="G639" i="51"/>
  <c r="G640" i="51"/>
  <c r="G641" i="51"/>
  <c r="G642" i="51"/>
  <c r="G643" i="51"/>
  <c r="G644" i="51"/>
  <c r="G645" i="51"/>
  <c r="G646" i="51"/>
  <c r="G647" i="51"/>
  <c r="G648" i="51"/>
  <c r="G649" i="51"/>
  <c r="G650" i="51"/>
  <c r="G651" i="51"/>
  <c r="G652" i="51"/>
  <c r="G653" i="51"/>
  <c r="G654" i="51"/>
  <c r="G655" i="51"/>
  <c r="G656" i="51"/>
  <c r="G657" i="51"/>
  <c r="G658" i="51"/>
  <c r="G659" i="51"/>
  <c r="G660" i="51"/>
  <c r="G661" i="51"/>
  <c r="G662" i="51"/>
  <c r="G663" i="51"/>
  <c r="G664" i="51"/>
  <c r="G665" i="51"/>
  <c r="G666" i="51"/>
  <c r="G667" i="51"/>
  <c r="G668" i="51"/>
  <c r="G669" i="51"/>
  <c r="G670" i="51"/>
  <c r="G671" i="51"/>
  <c r="G672" i="51"/>
  <c r="G673" i="51"/>
  <c r="G674" i="51"/>
  <c r="G675" i="51"/>
  <c r="G676" i="51"/>
  <c r="G677" i="51"/>
  <c r="G678" i="51"/>
  <c r="G679" i="51"/>
  <c r="G680" i="51"/>
  <c r="G681" i="51"/>
  <c r="G682" i="51"/>
  <c r="G683" i="51"/>
  <c r="G684" i="51"/>
  <c r="G685" i="51"/>
  <c r="G686" i="51"/>
  <c r="G687" i="51"/>
  <c r="G688" i="51"/>
  <c r="G689" i="51"/>
  <c r="G690" i="51"/>
  <c r="G691" i="51"/>
  <c r="G692" i="51"/>
  <c r="G693" i="51"/>
  <c r="G694" i="51"/>
  <c r="G695" i="51"/>
  <c r="G696" i="51"/>
  <c r="G697" i="51"/>
  <c r="G698" i="51"/>
  <c r="G699" i="51"/>
  <c r="G700" i="51"/>
  <c r="G701" i="51"/>
  <c r="G702" i="51"/>
  <c r="G703" i="51"/>
  <c r="G704" i="51"/>
  <c r="G705" i="51"/>
  <c r="G706" i="51"/>
  <c r="G707" i="51"/>
  <c r="G708" i="51"/>
  <c r="G709" i="51"/>
  <c r="G710" i="51"/>
  <c r="G711" i="51"/>
  <c r="G712" i="51"/>
  <c r="G713" i="51"/>
  <c r="G714" i="51"/>
  <c r="G715" i="51"/>
  <c r="G716" i="51"/>
  <c r="G717" i="51"/>
  <c r="G718" i="51"/>
  <c r="G719" i="51"/>
  <c r="G720" i="51"/>
  <c r="G721" i="51"/>
  <c r="G722" i="51"/>
  <c r="G723" i="51"/>
  <c r="G724" i="51"/>
  <c r="G725" i="51"/>
  <c r="G726" i="51"/>
  <c r="G727" i="51"/>
  <c r="G728" i="51"/>
  <c r="G729" i="51"/>
  <c r="G730" i="51"/>
  <c r="G731" i="51"/>
  <c r="G732" i="51"/>
  <c r="G733" i="51"/>
  <c r="G734" i="51"/>
  <c r="G735" i="51"/>
  <c r="G736" i="51"/>
  <c r="G737" i="51"/>
  <c r="G738" i="51"/>
  <c r="G739" i="51"/>
  <c r="G740" i="51"/>
  <c r="G741" i="51"/>
  <c r="G742" i="51"/>
  <c r="G743" i="51"/>
  <c r="G744" i="51"/>
  <c r="G745" i="51"/>
  <c r="G746" i="51"/>
  <c r="G747" i="51"/>
  <c r="G748" i="51"/>
  <c r="G749" i="51"/>
  <c r="G750" i="51"/>
  <c r="G751" i="51"/>
  <c r="G752" i="51"/>
  <c r="G753" i="51"/>
  <c r="G754" i="51"/>
  <c r="G755" i="51"/>
  <c r="G756" i="51"/>
  <c r="G757" i="51"/>
  <c r="G758" i="51"/>
  <c r="G759" i="51"/>
  <c r="G760" i="51"/>
  <c r="G761" i="51"/>
  <c r="G762" i="51"/>
  <c r="G763" i="51"/>
  <c r="G764" i="51"/>
  <c r="G765" i="51"/>
  <c r="G766" i="51"/>
  <c r="G767" i="51"/>
  <c r="G768" i="51"/>
  <c r="G769" i="51"/>
  <c r="G770" i="51"/>
  <c r="G771" i="51"/>
  <c r="G772" i="51"/>
  <c r="G773" i="51"/>
  <c r="G774" i="51"/>
  <c r="G775" i="51"/>
  <c r="G776" i="51"/>
  <c r="G777" i="51"/>
  <c r="G778" i="51"/>
  <c r="G779" i="51"/>
  <c r="G780" i="51"/>
  <c r="G781" i="51"/>
  <c r="G782" i="51"/>
  <c r="G783" i="51"/>
  <c r="G784" i="51"/>
  <c r="G785" i="51"/>
  <c r="G786" i="51"/>
  <c r="G787" i="51"/>
  <c r="G788" i="51"/>
  <c r="G789" i="51"/>
  <c r="G790" i="51"/>
  <c r="G791" i="51"/>
  <c r="G792" i="51"/>
  <c r="G793" i="51"/>
  <c r="G794" i="51"/>
  <c r="G795" i="51"/>
  <c r="G796" i="51"/>
  <c r="G797" i="51"/>
  <c r="G798" i="51"/>
  <c r="G799" i="51"/>
  <c r="G800" i="51"/>
  <c r="G801" i="51"/>
  <c r="G802" i="51"/>
  <c r="G803" i="51"/>
  <c r="G804" i="51"/>
  <c r="G805" i="51"/>
  <c r="G806" i="51"/>
  <c r="G807" i="51"/>
  <c r="G808" i="51"/>
  <c r="G809" i="51"/>
  <c r="G810" i="51"/>
  <c r="G811" i="51"/>
  <c r="G812" i="51"/>
  <c r="G813" i="51"/>
  <c r="G814" i="51"/>
  <c r="G815" i="51"/>
  <c r="G816" i="51"/>
  <c r="G817" i="51"/>
  <c r="G818" i="51"/>
  <c r="G819" i="51"/>
  <c r="G820" i="51"/>
  <c r="G821" i="51"/>
  <c r="G822" i="51"/>
  <c r="G823" i="51"/>
  <c r="G824" i="51"/>
  <c r="G825" i="51"/>
  <c r="G826" i="51"/>
  <c r="G827" i="51"/>
  <c r="G828" i="51"/>
  <c r="G829" i="51"/>
  <c r="G830" i="51"/>
  <c r="G831" i="51"/>
  <c r="G832" i="51"/>
  <c r="G833" i="51"/>
  <c r="G834" i="51"/>
  <c r="G835" i="51"/>
  <c r="G836" i="51"/>
  <c r="G837" i="51"/>
  <c r="G838" i="51"/>
  <c r="G839" i="51"/>
  <c r="G840" i="51"/>
  <c r="G841" i="51"/>
  <c r="G842" i="51"/>
  <c r="G843" i="51"/>
  <c r="G844" i="51"/>
  <c r="G845" i="51"/>
  <c r="G846" i="51"/>
  <c r="G847" i="51"/>
  <c r="G848" i="51"/>
  <c r="G849" i="51"/>
  <c r="G850" i="51"/>
  <c r="G851" i="51"/>
  <c r="G852" i="51"/>
  <c r="G853" i="51"/>
  <c r="G854" i="51"/>
  <c r="G855" i="51"/>
  <c r="G856" i="51"/>
  <c r="G857" i="51"/>
  <c r="G858" i="51"/>
  <c r="G859" i="51"/>
  <c r="G860" i="51"/>
  <c r="G861" i="51"/>
  <c r="G862" i="51"/>
  <c r="G863" i="51"/>
  <c r="G864" i="51"/>
  <c r="G865" i="51"/>
  <c r="G866" i="51"/>
  <c r="G867" i="51"/>
  <c r="G868" i="51"/>
  <c r="G869" i="51"/>
  <c r="G870" i="51"/>
  <c r="G871" i="51"/>
  <c r="G872" i="51"/>
  <c r="G873" i="51"/>
  <c r="G874" i="51"/>
  <c r="G875" i="51"/>
  <c r="G876" i="51"/>
  <c r="G877" i="51"/>
  <c r="G878" i="51"/>
  <c r="G879" i="51"/>
  <c r="G880" i="51"/>
  <c r="G881" i="51"/>
  <c r="G882" i="51"/>
  <c r="G883" i="51"/>
  <c r="G884" i="51"/>
  <c r="G885" i="51"/>
  <c r="G886" i="51"/>
  <c r="G887" i="51"/>
  <c r="G888" i="51"/>
  <c r="G889" i="51"/>
  <c r="G890" i="51"/>
  <c r="G891" i="51"/>
  <c r="G892" i="51"/>
  <c r="G893" i="51"/>
  <c r="G894" i="51"/>
  <c r="G895" i="51"/>
  <c r="G896" i="51"/>
  <c r="G897" i="51"/>
  <c r="G898" i="51"/>
  <c r="G899" i="51"/>
  <c r="G900" i="51"/>
  <c r="G901" i="51"/>
  <c r="G902" i="51"/>
  <c r="G903" i="51"/>
  <c r="G904" i="51"/>
  <c r="G905" i="51"/>
  <c r="G906" i="51"/>
  <c r="G907" i="51"/>
  <c r="G908" i="51"/>
  <c r="G909" i="51"/>
  <c r="G910" i="51"/>
  <c r="G911" i="51"/>
  <c r="G912" i="51"/>
  <c r="G913" i="51"/>
  <c r="G914" i="51"/>
  <c r="G915" i="51"/>
  <c r="G916" i="51"/>
  <c r="G917" i="51"/>
  <c r="G918" i="51"/>
  <c r="G919" i="51"/>
  <c r="G920" i="51"/>
  <c r="G921" i="51"/>
  <c r="G922" i="51"/>
  <c r="G923" i="51"/>
  <c r="G924" i="51"/>
  <c r="G925" i="51"/>
  <c r="G926" i="51"/>
  <c r="G927" i="51"/>
  <c r="G928" i="51"/>
  <c r="G929" i="51"/>
  <c r="G930" i="51"/>
  <c r="G931" i="51"/>
  <c r="G932" i="51"/>
  <c r="G933" i="51"/>
  <c r="G934" i="51"/>
  <c r="G935" i="51"/>
  <c r="G936" i="51"/>
  <c r="G937" i="51"/>
  <c r="G938" i="51"/>
  <c r="G939" i="51"/>
  <c r="G940" i="51"/>
  <c r="G941" i="51"/>
  <c r="G942" i="51"/>
  <c r="G943" i="51"/>
  <c r="G944" i="51"/>
  <c r="G945" i="51"/>
  <c r="G946" i="51"/>
  <c r="G947" i="51"/>
  <c r="G948" i="51"/>
  <c r="G949" i="51"/>
  <c r="G950" i="51"/>
  <c r="G951" i="51"/>
  <c r="G952" i="51"/>
  <c r="G953" i="51"/>
  <c r="G954" i="51"/>
  <c r="G955" i="51"/>
  <c r="G956" i="51"/>
  <c r="G957" i="51"/>
  <c r="G958" i="51"/>
  <c r="G959" i="51"/>
  <c r="G960" i="51"/>
  <c r="G961" i="51"/>
  <c r="G962" i="51"/>
  <c r="G963" i="51"/>
  <c r="G964" i="51"/>
  <c r="G965" i="51"/>
  <c r="G966" i="51"/>
  <c r="G967" i="51"/>
  <c r="G968" i="51"/>
  <c r="G969" i="51"/>
  <c r="G970" i="51"/>
  <c r="G971" i="51"/>
  <c r="G972" i="51"/>
  <c r="G973" i="51"/>
  <c r="G974" i="51"/>
  <c r="G975" i="51"/>
  <c r="G976" i="51"/>
  <c r="G977" i="51"/>
  <c r="G978" i="51"/>
  <c r="G979" i="51"/>
  <c r="G980" i="51"/>
  <c r="G981" i="51"/>
  <c r="G982" i="51"/>
  <c r="G983" i="51"/>
  <c r="G984" i="51"/>
  <c r="G985" i="51"/>
  <c r="G986" i="51"/>
  <c r="G987" i="51"/>
  <c r="G988" i="51"/>
  <c r="G989" i="51"/>
  <c r="G990" i="51"/>
  <c r="G991" i="51"/>
  <c r="G992" i="51"/>
  <c r="G993" i="51"/>
  <c r="G994" i="51"/>
  <c r="G995" i="51"/>
  <c r="G996" i="51"/>
  <c r="G997" i="51"/>
  <c r="G998" i="51"/>
  <c r="G999" i="51"/>
  <c r="G1000" i="51"/>
  <c r="G1001" i="51"/>
  <c r="G1002" i="51"/>
  <c r="G1003" i="51"/>
  <c r="G1004" i="51"/>
  <c r="G1005" i="51"/>
  <c r="G1006" i="51"/>
  <c r="G1007" i="51"/>
  <c r="G1008" i="51"/>
  <c r="G1009" i="51"/>
  <c r="G1010" i="51"/>
  <c r="G1011" i="51"/>
  <c r="G1012" i="51"/>
  <c r="G1013" i="51"/>
  <c r="G1014" i="51"/>
  <c r="G1015" i="51"/>
  <c r="G1016" i="51"/>
  <c r="G1017" i="51"/>
  <c r="G1018" i="51"/>
  <c r="G1019" i="51"/>
  <c r="G1020" i="51"/>
  <c r="G1021" i="51"/>
  <c r="G1022" i="51"/>
  <c r="G1023" i="51"/>
  <c r="G1024" i="51"/>
  <c r="G1025" i="51"/>
  <c r="G1026" i="51"/>
  <c r="G1027" i="51"/>
  <c r="G1028" i="51"/>
  <c r="G1029" i="51"/>
  <c r="G1030" i="51"/>
  <c r="G1031" i="51"/>
  <c r="G1032" i="51"/>
  <c r="G1033" i="51"/>
  <c r="G1034" i="51"/>
  <c r="G1035" i="51"/>
  <c r="G1036" i="51"/>
  <c r="G1037" i="51"/>
  <c r="G1038" i="51"/>
  <c r="G1039" i="51"/>
  <c r="G1040" i="51"/>
  <c r="G1041" i="51"/>
  <c r="G1042" i="51"/>
  <c r="G1043" i="51"/>
  <c r="G1044" i="51"/>
  <c r="G1045" i="51"/>
  <c r="G1046" i="51"/>
  <c r="G1047" i="51"/>
  <c r="G1048" i="51"/>
  <c r="G1049" i="51"/>
  <c r="G1050" i="51"/>
  <c r="G1051" i="51"/>
  <c r="G1052" i="51"/>
  <c r="G1053" i="51"/>
  <c r="G1054" i="51"/>
  <c r="G1055" i="51"/>
  <c r="G1056" i="51"/>
  <c r="G1057" i="51"/>
  <c r="G1058" i="51"/>
  <c r="G1059" i="51"/>
  <c r="G1060" i="51"/>
  <c r="G1061" i="51"/>
  <c r="G1062" i="51"/>
  <c r="G1063" i="51"/>
  <c r="G1064" i="51"/>
  <c r="G1065" i="51"/>
  <c r="G1066" i="51"/>
  <c r="G1067" i="51"/>
  <c r="G1068" i="51"/>
  <c r="G1069" i="51"/>
  <c r="G1070" i="51"/>
  <c r="G1071" i="51"/>
  <c r="G1072" i="51"/>
  <c r="G1073" i="51"/>
  <c r="G1074" i="51"/>
  <c r="G1075" i="51"/>
  <c r="G1076" i="51"/>
  <c r="G1077" i="51"/>
  <c r="G1078" i="51"/>
  <c r="G1079" i="51"/>
  <c r="G1080" i="51"/>
  <c r="G1081" i="51"/>
  <c r="G1082" i="51"/>
  <c r="G1083" i="51"/>
  <c r="G1084" i="51"/>
  <c r="G1085" i="51"/>
  <c r="G1086" i="51"/>
  <c r="G1087" i="51"/>
  <c r="G1088" i="51"/>
  <c r="G1089" i="51"/>
  <c r="G1090" i="51"/>
  <c r="G1091" i="51"/>
  <c r="G1092" i="51"/>
  <c r="G1093" i="51"/>
  <c r="G1094" i="51"/>
  <c r="G1095" i="51"/>
  <c r="G1096" i="51"/>
  <c r="G1097" i="51"/>
  <c r="G1098" i="51"/>
  <c r="G1099" i="51"/>
  <c r="G1100" i="51"/>
  <c r="G1101" i="51"/>
  <c r="G1102" i="51"/>
  <c r="G1103" i="51"/>
  <c r="G1104" i="51"/>
  <c r="G1105" i="51"/>
  <c r="G1106" i="51"/>
  <c r="G1107" i="51"/>
  <c r="G1108" i="51"/>
  <c r="G1109" i="51"/>
  <c r="G1110" i="51"/>
  <c r="G1111" i="51"/>
  <c r="G1112" i="51"/>
  <c r="G1113" i="51"/>
  <c r="G1114" i="51"/>
  <c r="G1115" i="51"/>
  <c r="G1116" i="51"/>
  <c r="G1117" i="51"/>
  <c r="G1118" i="51"/>
  <c r="G1119" i="51"/>
  <c r="G1120" i="51"/>
  <c r="G1121" i="51"/>
  <c r="G1122" i="51"/>
  <c r="G1123" i="51"/>
  <c r="G1124" i="51"/>
  <c r="G1125" i="51"/>
  <c r="G1126" i="51"/>
  <c r="G1127" i="51"/>
  <c r="G1128" i="51"/>
  <c r="G1129" i="51"/>
  <c r="G1130" i="51"/>
  <c r="G1131" i="51"/>
  <c r="G1132" i="51"/>
  <c r="G1133" i="51"/>
  <c r="G1134" i="51"/>
  <c r="G1135" i="51"/>
  <c r="G1136" i="51"/>
  <c r="G1137" i="51"/>
  <c r="G1138" i="51"/>
  <c r="G1139" i="51"/>
  <c r="G1140" i="51"/>
  <c r="G1141" i="51"/>
  <c r="G1142" i="51"/>
  <c r="G1143" i="51"/>
  <c r="G1144" i="51"/>
  <c r="G1145" i="51"/>
  <c r="G1146" i="51"/>
  <c r="G1147" i="51"/>
  <c r="G1148" i="51"/>
  <c r="G1149" i="51"/>
  <c r="G1150" i="51"/>
  <c r="G1151" i="51"/>
  <c r="G1152" i="51"/>
  <c r="G1153" i="51"/>
  <c r="G1154" i="51"/>
  <c r="G1155" i="51"/>
  <c r="G1156" i="51"/>
  <c r="G1157" i="51"/>
  <c r="G1158" i="51"/>
  <c r="G1159" i="51"/>
  <c r="G1160" i="51"/>
  <c r="G1161" i="51"/>
  <c r="G1162" i="51"/>
  <c r="G1163" i="51"/>
  <c r="G1164" i="51"/>
  <c r="G1165" i="51"/>
  <c r="G1166" i="51"/>
  <c r="G1167" i="51"/>
  <c r="G1168" i="51"/>
  <c r="G1169" i="51"/>
  <c r="G1170" i="51"/>
  <c r="G1171" i="51"/>
  <c r="G1172" i="51"/>
  <c r="G1173" i="51"/>
  <c r="G1174" i="51"/>
  <c r="G1175" i="51"/>
  <c r="G1176" i="51"/>
  <c r="G1177" i="51"/>
  <c r="G1178" i="51"/>
  <c r="G1179" i="51"/>
  <c r="G1180" i="51"/>
  <c r="G1181" i="51"/>
  <c r="G1182" i="51"/>
  <c r="G1183" i="51"/>
  <c r="G1184" i="51"/>
  <c r="G1185" i="51"/>
  <c r="G1186" i="51"/>
  <c r="G1187" i="51"/>
  <c r="G1188" i="51"/>
  <c r="G1189" i="51"/>
  <c r="G1190" i="51"/>
  <c r="G1191" i="51"/>
  <c r="G1192" i="51"/>
  <c r="G1193" i="51"/>
  <c r="G1194" i="51"/>
  <c r="G1195" i="51"/>
  <c r="G1196" i="51"/>
  <c r="G1197" i="51"/>
  <c r="G1198" i="51"/>
  <c r="G1199" i="51"/>
  <c r="G1200" i="51"/>
  <c r="G1201" i="51"/>
  <c r="G1202" i="51"/>
  <c r="G1203" i="51"/>
  <c r="G1204" i="51"/>
  <c r="G1205" i="51"/>
  <c r="G1206" i="51"/>
  <c r="G1207" i="51"/>
  <c r="G1208" i="51"/>
  <c r="G1209" i="51"/>
  <c r="G1210" i="51"/>
  <c r="G1211" i="51"/>
  <c r="G1212" i="51"/>
  <c r="G1213" i="51"/>
  <c r="G1214" i="51"/>
  <c r="G1215" i="51"/>
  <c r="G1216" i="51"/>
  <c r="G1217" i="51"/>
  <c r="G1218" i="51"/>
  <c r="G1219" i="51"/>
  <c r="G1220" i="51"/>
  <c r="G1221" i="51"/>
  <c r="G1222" i="51"/>
  <c r="G1223" i="51"/>
  <c r="G1224" i="51"/>
  <c r="G1225" i="51"/>
  <c r="G1226" i="51"/>
  <c r="G1227" i="51"/>
  <c r="G1228" i="51"/>
  <c r="G1229" i="51"/>
  <c r="G1230" i="51"/>
  <c r="G1231" i="51"/>
  <c r="G1232" i="51"/>
  <c r="G1233" i="51"/>
  <c r="G1234" i="51"/>
  <c r="G1235" i="51"/>
  <c r="G1236" i="51"/>
  <c r="G1237" i="51"/>
  <c r="G1238" i="51"/>
  <c r="G1239" i="51"/>
  <c r="G1240" i="51"/>
  <c r="G1241" i="51"/>
  <c r="G1242" i="51"/>
  <c r="G1243" i="51"/>
  <c r="G1244" i="51"/>
  <c r="G1245" i="51"/>
  <c r="G1246" i="51"/>
  <c r="G1247" i="51"/>
  <c r="G1248" i="51"/>
  <c r="G1249" i="51"/>
  <c r="G1250" i="51"/>
  <c r="G1251" i="51"/>
  <c r="G1252" i="51"/>
  <c r="G1253" i="51"/>
  <c r="G1254" i="51"/>
  <c r="G1255" i="51"/>
  <c r="G1256" i="51"/>
  <c r="G1257" i="51"/>
  <c r="G1258" i="51"/>
  <c r="G1259" i="51"/>
  <c r="G1260" i="51"/>
  <c r="G1261" i="51"/>
  <c r="G1262" i="51"/>
  <c r="G1263" i="51"/>
  <c r="G1264" i="51"/>
  <c r="G1265" i="51"/>
  <c r="G1266" i="51"/>
  <c r="G1267" i="51"/>
  <c r="G1268" i="51"/>
  <c r="G1269" i="51"/>
  <c r="G1270" i="51"/>
  <c r="G1271" i="51"/>
  <c r="G1272" i="51"/>
  <c r="G1273" i="51"/>
  <c r="G1274" i="51"/>
  <c r="G1275" i="51"/>
  <c r="G1276" i="51"/>
  <c r="G1277" i="51"/>
  <c r="G1278" i="51"/>
  <c r="G1279" i="51"/>
  <c r="G1280" i="51"/>
  <c r="G1281" i="51"/>
  <c r="G1282" i="51"/>
  <c r="G1283" i="51"/>
  <c r="G1284" i="51"/>
  <c r="G1285" i="51"/>
  <c r="G1286" i="51"/>
  <c r="G1287" i="51"/>
  <c r="G1288" i="51"/>
  <c r="G1289" i="51"/>
  <c r="G1290" i="51"/>
  <c r="G1291" i="51"/>
  <c r="G1292" i="51"/>
  <c r="G1293" i="51"/>
  <c r="G1294" i="51"/>
  <c r="G1295" i="51"/>
  <c r="G1296" i="51"/>
  <c r="G1297" i="51"/>
  <c r="G1298" i="51"/>
  <c r="G1299" i="51"/>
  <c r="G1300" i="51"/>
  <c r="G1301" i="51"/>
  <c r="G1302" i="51"/>
  <c r="G1303" i="51"/>
  <c r="G1304" i="51"/>
  <c r="G1305" i="51"/>
  <c r="G1306" i="51"/>
  <c r="G1307" i="51"/>
  <c r="G1308" i="51"/>
  <c r="G1309" i="51"/>
  <c r="G1310" i="51"/>
  <c r="G1311" i="51"/>
  <c r="G1312" i="51"/>
  <c r="G1313" i="51"/>
  <c r="G1314" i="51"/>
  <c r="G1315" i="51"/>
  <c r="G1316" i="51"/>
  <c r="G1317" i="51"/>
  <c r="G1318" i="51"/>
  <c r="G1319" i="51"/>
  <c r="G1320" i="51"/>
  <c r="G1321" i="51"/>
  <c r="G1322" i="51"/>
  <c r="G1323" i="51"/>
  <c r="G1324" i="51"/>
  <c r="G1325" i="51"/>
  <c r="G1326" i="51"/>
  <c r="G1327" i="51"/>
  <c r="G1328" i="51"/>
  <c r="G1329" i="51"/>
  <c r="G1330" i="51"/>
  <c r="G1331" i="51"/>
  <c r="G1332" i="51"/>
  <c r="G1333" i="51"/>
  <c r="G1334" i="51"/>
  <c r="G1335" i="51"/>
  <c r="G1336" i="51"/>
  <c r="G1337" i="51"/>
  <c r="G1338" i="51"/>
  <c r="G1339" i="51"/>
  <c r="G1340" i="51"/>
  <c r="G1341" i="51"/>
  <c r="G1342" i="51"/>
  <c r="G1343" i="51"/>
  <c r="G1344" i="51"/>
  <c r="G1345" i="51"/>
  <c r="G1346" i="51"/>
  <c r="G1347" i="51"/>
  <c r="G1348" i="51"/>
  <c r="G1349" i="51"/>
  <c r="G1350" i="51"/>
  <c r="G1351" i="51"/>
  <c r="G1352" i="51"/>
  <c r="G1353" i="51"/>
  <c r="G1354" i="51"/>
  <c r="G1355" i="51"/>
  <c r="G1356" i="51"/>
  <c r="G1357" i="51"/>
  <c r="G1358" i="51"/>
  <c r="G1359" i="51"/>
  <c r="G1360" i="51"/>
  <c r="G1361" i="51"/>
  <c r="G1362" i="51"/>
  <c r="G1363" i="51"/>
  <c r="G1364" i="51"/>
  <c r="G1365" i="51"/>
  <c r="G1366" i="51"/>
  <c r="G1367" i="51"/>
  <c r="G1368" i="51"/>
  <c r="G1369" i="51"/>
  <c r="G1370" i="51"/>
  <c r="G1371" i="51"/>
  <c r="G1372" i="51"/>
  <c r="G1373" i="51"/>
  <c r="G1374" i="51"/>
  <c r="G1375" i="51"/>
  <c r="G1376" i="51"/>
  <c r="G1377" i="51"/>
  <c r="G1378" i="51"/>
  <c r="G1379" i="51"/>
  <c r="G1380" i="51"/>
  <c r="G1381" i="51"/>
  <c r="G1382" i="51"/>
  <c r="G1383" i="51"/>
  <c r="G1384" i="51"/>
  <c r="G1385" i="51"/>
  <c r="G1386" i="51"/>
  <c r="G1387" i="51"/>
  <c r="G1388" i="51"/>
  <c r="G1389" i="51"/>
  <c r="G1390" i="51"/>
  <c r="G1391" i="51"/>
  <c r="G1392" i="51"/>
  <c r="G1393" i="51"/>
  <c r="G1394" i="51"/>
  <c r="G1395" i="51"/>
  <c r="G1396" i="51"/>
  <c r="G1397" i="51"/>
  <c r="G1398" i="51"/>
  <c r="G1399" i="51"/>
  <c r="G1400" i="51"/>
  <c r="G1401" i="51"/>
  <c r="G1402" i="51"/>
  <c r="G1403" i="51"/>
  <c r="G1404" i="51"/>
  <c r="G1405" i="51"/>
  <c r="G1406" i="51"/>
  <c r="G1407" i="51"/>
  <c r="G1408" i="51"/>
  <c r="G1409" i="51"/>
  <c r="G1410" i="51"/>
  <c r="G1411" i="51"/>
  <c r="G1412" i="51"/>
  <c r="G1413" i="51"/>
  <c r="G1414" i="51"/>
  <c r="G1415" i="51"/>
  <c r="G1416" i="51"/>
  <c r="G1417" i="51"/>
  <c r="G1418" i="51"/>
  <c r="G1419" i="51"/>
  <c r="G1420" i="51"/>
  <c r="G1421" i="51"/>
  <c r="G1422" i="51"/>
  <c r="G1423" i="51"/>
  <c r="G1424" i="51"/>
  <c r="G1425" i="51"/>
  <c r="G1426" i="51"/>
  <c r="G1427" i="51"/>
  <c r="G1428" i="51"/>
  <c r="G1429" i="51"/>
  <c r="G1430" i="51"/>
  <c r="G1431" i="51"/>
  <c r="G1432" i="51"/>
  <c r="G1433" i="51"/>
  <c r="G1434" i="51"/>
  <c r="G1435" i="51"/>
  <c r="G1436" i="51"/>
  <c r="G1437" i="51"/>
  <c r="G1438" i="51"/>
  <c r="G1439" i="51"/>
  <c r="G1440" i="51"/>
  <c r="G1441" i="51"/>
  <c r="G1442" i="51"/>
  <c r="G1443" i="51"/>
  <c r="G1444" i="51"/>
  <c r="G1445" i="51"/>
  <c r="G1446" i="51"/>
  <c r="G1447" i="51"/>
  <c r="G1448" i="51"/>
  <c r="G1449" i="51"/>
  <c r="G1450" i="51"/>
  <c r="G1451" i="51"/>
  <c r="G1452" i="51"/>
  <c r="G1453" i="51"/>
  <c r="G1454" i="51"/>
  <c r="G1455" i="51"/>
  <c r="G1456" i="51"/>
  <c r="G1457" i="51"/>
  <c r="G1458" i="51"/>
  <c r="G1459" i="51"/>
  <c r="G1460" i="51"/>
  <c r="G1461" i="51"/>
  <c r="G1462" i="51"/>
  <c r="G1463" i="51"/>
  <c r="G1464" i="51"/>
  <c r="G1465" i="51"/>
  <c r="G1466" i="51"/>
  <c r="G1467" i="51"/>
  <c r="G1468" i="51"/>
  <c r="G1469" i="51"/>
  <c r="G1470" i="51"/>
  <c r="G1471" i="51"/>
  <c r="G1472" i="51"/>
  <c r="G1473" i="51"/>
  <c r="G1474" i="51"/>
  <c r="G1475" i="51"/>
  <c r="G1476" i="51"/>
  <c r="G1477" i="51"/>
  <c r="G1478" i="51"/>
  <c r="G1479" i="51"/>
  <c r="G1480" i="51"/>
  <c r="G1481" i="51"/>
  <c r="G1482" i="51"/>
  <c r="G1483" i="51"/>
  <c r="G1484" i="51"/>
  <c r="G1485" i="51"/>
  <c r="G1486" i="51"/>
  <c r="G1487" i="51"/>
  <c r="G1488" i="51"/>
  <c r="G1489" i="51"/>
  <c r="G1490" i="51"/>
  <c r="G1491" i="51"/>
  <c r="G1492" i="51"/>
  <c r="G1493" i="51"/>
  <c r="G1494" i="51"/>
  <c r="G1495" i="51"/>
  <c r="G1496" i="51"/>
  <c r="G1497" i="51"/>
  <c r="G1498" i="51"/>
  <c r="G1499" i="51"/>
  <c r="G1500" i="51"/>
  <c r="G1501" i="51"/>
  <c r="G1502" i="51"/>
  <c r="G1503" i="51"/>
  <c r="G1504" i="51"/>
  <c r="G1505" i="51"/>
  <c r="G1506" i="51"/>
  <c r="G1507" i="51"/>
  <c r="G1508" i="51"/>
  <c r="G1509" i="51"/>
  <c r="G1510" i="51"/>
  <c r="G1511" i="51"/>
  <c r="G1512" i="51"/>
  <c r="G1513" i="51"/>
  <c r="G1514" i="51"/>
  <c r="G1515" i="51"/>
  <c r="G1516" i="51"/>
  <c r="G1517" i="51"/>
  <c r="G1518" i="51"/>
  <c r="G1519" i="51"/>
  <c r="G1520" i="51"/>
  <c r="G1521" i="51"/>
  <c r="G1522" i="51"/>
  <c r="G1523" i="51"/>
  <c r="G1524" i="51"/>
  <c r="G1525" i="51"/>
  <c r="G1526" i="51"/>
  <c r="G1527" i="51"/>
  <c r="G1528" i="51"/>
  <c r="G1529" i="51"/>
  <c r="G1530" i="51"/>
  <c r="G1531" i="51"/>
  <c r="G1532" i="51"/>
  <c r="G1533" i="51"/>
  <c r="G1534" i="51"/>
  <c r="G1535" i="51"/>
  <c r="G1536" i="51"/>
  <c r="G1537" i="51"/>
  <c r="G1538" i="51"/>
  <c r="G1539" i="51"/>
  <c r="G1540" i="51"/>
  <c r="G1541" i="51"/>
  <c r="G1542" i="51"/>
  <c r="G1543" i="51"/>
  <c r="G1544" i="51"/>
  <c r="G1545" i="51"/>
  <c r="G1546" i="51"/>
  <c r="G1547" i="51"/>
  <c r="G1548" i="51"/>
  <c r="G1549" i="51"/>
  <c r="G1550" i="51"/>
  <c r="G1551" i="51"/>
  <c r="G1552" i="51"/>
  <c r="G1553" i="51"/>
  <c r="G1554" i="51"/>
  <c r="G1555" i="51"/>
  <c r="G1556" i="51"/>
  <c r="G1557" i="51"/>
  <c r="G1558" i="51"/>
  <c r="G1559" i="51"/>
  <c r="G1560" i="51"/>
  <c r="G1561" i="51"/>
  <c r="G1562" i="51"/>
  <c r="G1563" i="51"/>
  <c r="G1564" i="51"/>
  <c r="G1565" i="51"/>
  <c r="G1566" i="51"/>
  <c r="G1567" i="51"/>
  <c r="G1568" i="51"/>
  <c r="G1569" i="51"/>
  <c r="G1570" i="51"/>
  <c r="G1571" i="51"/>
  <c r="G1572" i="51"/>
  <c r="G1573" i="51"/>
  <c r="G1574" i="51"/>
  <c r="G1575" i="51"/>
  <c r="G1576" i="51"/>
  <c r="G1577" i="51"/>
  <c r="G1578" i="51"/>
  <c r="G1579" i="51"/>
  <c r="G1580" i="51"/>
  <c r="G1581" i="51"/>
  <c r="G1582" i="51"/>
  <c r="G1583" i="51"/>
  <c r="G1584" i="51"/>
  <c r="G1585" i="51"/>
  <c r="G1586" i="51"/>
  <c r="G1587" i="51"/>
  <c r="G1588" i="51"/>
  <c r="G1589" i="51"/>
  <c r="G1590" i="51"/>
  <c r="G1591" i="51"/>
  <c r="G1592" i="51"/>
  <c r="G1593" i="51"/>
  <c r="G1594" i="51"/>
  <c r="G1595" i="51"/>
  <c r="G1596" i="51"/>
  <c r="G1597" i="51"/>
  <c r="G1598" i="51"/>
  <c r="G1599" i="51"/>
  <c r="G1600" i="51"/>
  <c r="G1601" i="51"/>
  <c r="G1602" i="51"/>
  <c r="G1603" i="51"/>
  <c r="G1604" i="51"/>
  <c r="G1605" i="51"/>
  <c r="G1606" i="51"/>
  <c r="G1607" i="51"/>
  <c r="G1608" i="51"/>
  <c r="G1609" i="51"/>
  <c r="G1610" i="51"/>
  <c r="G1611" i="51"/>
  <c r="G1612" i="51"/>
  <c r="G1613" i="51"/>
  <c r="G1614" i="51"/>
  <c r="G1615" i="51"/>
  <c r="G1616" i="51"/>
  <c r="G1617" i="51"/>
  <c r="G1618" i="51"/>
  <c r="G1619" i="51"/>
  <c r="G1620" i="51"/>
  <c r="G1621" i="51"/>
  <c r="G1622" i="51"/>
  <c r="G1623" i="51"/>
  <c r="G1624" i="51"/>
  <c r="G1625" i="51"/>
  <c r="G1626" i="51"/>
  <c r="G1627" i="51"/>
  <c r="G1628" i="51"/>
  <c r="G1629" i="51"/>
  <c r="G1630" i="51"/>
  <c r="G1631" i="51"/>
  <c r="G1632" i="51"/>
  <c r="G1633" i="51"/>
  <c r="G1634" i="51"/>
  <c r="G1635" i="51"/>
  <c r="G1636" i="51"/>
  <c r="G1637" i="51"/>
  <c r="G1638" i="51"/>
  <c r="G1639" i="51"/>
  <c r="G1640" i="51"/>
  <c r="G1641" i="51"/>
  <c r="G1642" i="51"/>
  <c r="G1643" i="51"/>
  <c r="G1644" i="51"/>
  <c r="G1645" i="51"/>
  <c r="G1646" i="51"/>
  <c r="G1647" i="51"/>
  <c r="G1648" i="51"/>
  <c r="G1649" i="51"/>
  <c r="G1650" i="51"/>
  <c r="G1651" i="51"/>
  <c r="G1652" i="51"/>
  <c r="G1653" i="51"/>
  <c r="G1654" i="51"/>
  <c r="G1655" i="51"/>
  <c r="G1656" i="51"/>
  <c r="G1657" i="51"/>
  <c r="G1658" i="51"/>
  <c r="G1659" i="51"/>
  <c r="G1660" i="51"/>
  <c r="G1661" i="51"/>
  <c r="G1662" i="51"/>
  <c r="G1663" i="51"/>
  <c r="G1664" i="51"/>
  <c r="G1665" i="51"/>
  <c r="G1666" i="51"/>
  <c r="G1667" i="51"/>
  <c r="G1668" i="51"/>
  <c r="G1669" i="51"/>
  <c r="G1670" i="51"/>
  <c r="G1671" i="51"/>
  <c r="G1672" i="51"/>
  <c r="G1673" i="51"/>
  <c r="G1674" i="51"/>
  <c r="G1675" i="51"/>
  <c r="G1676" i="51"/>
  <c r="G1677" i="51"/>
  <c r="G1678" i="51"/>
  <c r="G1679" i="51"/>
  <c r="G1680" i="51"/>
  <c r="G1681" i="51"/>
  <c r="G1682" i="51"/>
  <c r="G1683" i="51"/>
  <c r="G1684" i="51"/>
  <c r="G1685" i="51"/>
  <c r="G1686" i="51"/>
  <c r="G1687" i="51"/>
  <c r="G1688" i="51"/>
  <c r="G1689" i="51"/>
  <c r="G1690" i="51"/>
  <c r="G1691" i="51"/>
  <c r="G1692" i="51"/>
  <c r="G1693" i="51"/>
  <c r="G1694" i="51"/>
  <c r="G1695" i="51"/>
  <c r="G1696" i="51"/>
  <c r="G1697" i="51"/>
  <c r="G1698" i="51"/>
  <c r="G1699" i="51"/>
  <c r="G1700" i="51"/>
  <c r="G1701" i="51"/>
  <c r="G1702" i="51"/>
  <c r="G1703" i="51"/>
  <c r="G1704" i="51"/>
  <c r="G1705" i="51"/>
  <c r="G1706" i="51"/>
  <c r="G1707" i="51"/>
  <c r="G1708" i="51"/>
  <c r="G1709" i="51"/>
  <c r="G1710" i="51"/>
  <c r="G1711" i="51"/>
  <c r="G1712" i="51"/>
  <c r="G1713" i="51"/>
  <c r="G1714" i="51"/>
  <c r="G1715" i="51"/>
  <c r="G1716" i="51"/>
  <c r="G1717" i="51"/>
  <c r="G1718" i="51"/>
  <c r="G1719" i="51"/>
  <c r="G1720" i="51"/>
  <c r="G1721" i="51"/>
  <c r="G1722" i="51"/>
  <c r="G1723" i="51"/>
  <c r="G1724" i="51"/>
  <c r="G1725" i="51"/>
  <c r="G1726" i="51"/>
  <c r="G1727" i="51"/>
  <c r="G1728" i="51"/>
  <c r="G1729" i="51"/>
  <c r="G1730" i="51"/>
  <c r="G1731" i="51"/>
  <c r="G1732" i="51"/>
  <c r="G1733" i="51"/>
  <c r="G1734" i="51"/>
  <c r="G1735" i="51"/>
  <c r="G1736" i="51"/>
  <c r="G1737" i="51"/>
  <c r="G1738" i="51"/>
  <c r="G1739" i="51"/>
  <c r="G1740" i="51"/>
  <c r="G1741" i="51"/>
  <c r="G1742" i="51"/>
  <c r="G1743" i="51"/>
  <c r="G1744" i="51"/>
  <c r="G1745" i="51"/>
  <c r="G1746" i="51"/>
  <c r="G1747" i="51"/>
  <c r="G1748" i="51"/>
  <c r="G1749" i="51"/>
  <c r="G1750" i="51"/>
  <c r="G1751" i="51"/>
  <c r="G1752" i="51"/>
  <c r="G1753" i="51"/>
  <c r="G1754" i="51"/>
  <c r="G1755" i="51"/>
  <c r="G1756" i="51"/>
  <c r="G1757" i="51"/>
  <c r="G1758" i="51"/>
  <c r="G1759" i="51"/>
  <c r="G1760" i="51"/>
  <c r="G1761" i="51"/>
  <c r="G1762" i="51"/>
  <c r="G1763" i="51"/>
  <c r="G1764" i="51"/>
  <c r="G1765" i="51"/>
  <c r="G1766" i="51"/>
  <c r="G1767" i="51"/>
  <c r="G1768" i="51"/>
  <c r="G1769" i="51"/>
  <c r="G1770" i="51"/>
  <c r="G1771" i="51"/>
  <c r="G1772" i="51"/>
  <c r="G1773" i="51"/>
  <c r="G1774" i="51"/>
  <c r="G1775" i="51"/>
  <c r="G1776" i="51"/>
  <c r="G1777" i="51"/>
  <c r="G1778" i="51"/>
  <c r="G1779" i="51"/>
  <c r="G1780" i="51"/>
  <c r="G1781" i="51"/>
  <c r="G1782" i="51"/>
  <c r="G1783" i="51"/>
  <c r="G1784" i="51"/>
  <c r="G1785" i="51"/>
  <c r="G1786" i="51"/>
  <c r="G1787" i="51"/>
  <c r="G1788" i="51"/>
  <c r="G1789" i="51"/>
  <c r="G1790" i="51"/>
  <c r="G1791" i="51"/>
  <c r="G1792" i="51"/>
  <c r="G1793" i="51"/>
  <c r="G1794" i="51"/>
  <c r="G1795" i="51"/>
  <c r="G1796" i="51"/>
  <c r="G1797" i="51"/>
  <c r="G1798" i="51"/>
  <c r="G1799" i="51"/>
  <c r="G1800" i="51"/>
  <c r="G1801" i="51"/>
  <c r="G1802" i="51"/>
  <c r="G1803" i="51"/>
  <c r="G1804" i="51"/>
  <c r="G1805" i="51"/>
  <c r="G1806" i="51"/>
  <c r="G1807" i="51"/>
  <c r="G1808" i="51"/>
  <c r="G1809" i="51"/>
  <c r="G1810" i="51"/>
  <c r="G1811" i="51"/>
  <c r="G1812" i="51"/>
  <c r="G1813" i="51"/>
  <c r="G1814" i="51"/>
  <c r="G1815" i="51"/>
  <c r="G1816" i="51"/>
  <c r="G1817" i="51"/>
  <c r="G1818" i="51"/>
  <c r="G1819" i="51"/>
  <c r="G1820" i="51"/>
  <c r="G1821" i="51"/>
  <c r="G1822" i="51"/>
  <c r="G1823" i="51"/>
  <c r="G1824" i="51"/>
  <c r="G1825" i="51"/>
  <c r="G1826" i="51"/>
  <c r="G1827" i="51"/>
  <c r="G1828" i="51"/>
  <c r="G1829" i="51"/>
  <c r="G1830" i="51"/>
  <c r="G1831" i="51"/>
  <c r="G1832" i="51"/>
  <c r="G1833" i="51"/>
  <c r="G1834" i="51"/>
  <c r="G1835" i="51"/>
  <c r="G1836" i="51"/>
  <c r="G1837" i="51"/>
  <c r="G1838" i="51"/>
  <c r="G1839" i="51"/>
  <c r="G1840" i="51"/>
  <c r="G1841" i="51"/>
  <c r="G1842" i="51"/>
  <c r="G1843" i="51"/>
  <c r="G1844" i="51"/>
  <c r="G1845" i="51"/>
  <c r="G1846" i="51"/>
  <c r="G1847" i="51"/>
  <c r="G1848" i="51"/>
  <c r="G1849" i="51"/>
  <c r="G1850" i="51"/>
  <c r="G1851" i="51"/>
  <c r="G1852" i="51"/>
  <c r="G1853" i="51"/>
  <c r="G1854" i="51"/>
  <c r="G1855" i="51"/>
  <c r="G1856" i="51"/>
  <c r="G1857" i="51"/>
  <c r="G1858" i="51"/>
  <c r="G1859" i="51"/>
  <c r="G1860" i="51"/>
  <c r="G1861" i="51"/>
  <c r="G1862" i="51"/>
  <c r="G1863" i="51"/>
  <c r="G1864" i="51"/>
  <c r="G1865" i="51"/>
  <c r="G1866" i="51"/>
  <c r="G1867" i="51"/>
  <c r="G1868" i="51"/>
  <c r="G1869" i="51"/>
  <c r="G1870" i="51"/>
  <c r="G1871" i="51"/>
  <c r="G1872" i="51"/>
  <c r="G1873" i="51"/>
  <c r="G1874" i="51"/>
  <c r="G1875" i="51"/>
  <c r="G1876" i="51"/>
  <c r="G1877" i="51"/>
  <c r="G1878" i="51"/>
  <c r="G1879" i="51"/>
  <c r="G1880" i="51"/>
  <c r="G1881" i="51"/>
  <c r="G1882" i="51"/>
  <c r="G1883" i="51"/>
  <c r="G1884" i="51"/>
  <c r="G1885" i="51"/>
  <c r="G1886" i="51"/>
  <c r="G1887" i="51"/>
  <c r="G1888" i="51"/>
  <c r="G1889" i="51"/>
  <c r="G1890" i="51"/>
  <c r="G1891" i="51"/>
  <c r="G1892" i="51"/>
  <c r="G1893" i="51"/>
  <c r="G1894" i="51"/>
  <c r="G1895" i="51"/>
  <c r="G1896" i="51"/>
  <c r="G1897" i="51"/>
  <c r="G1898" i="51"/>
  <c r="G1899" i="51"/>
  <c r="G1900" i="51"/>
  <c r="G1901" i="51"/>
  <c r="G1902" i="51"/>
  <c r="G1903" i="51"/>
  <c r="G1904" i="51"/>
  <c r="G1905" i="51"/>
  <c r="G1906" i="51"/>
  <c r="G1907" i="51"/>
  <c r="G1908" i="51"/>
  <c r="G1909" i="51"/>
  <c r="G1910" i="51"/>
  <c r="G1911" i="51"/>
  <c r="G1912" i="51"/>
  <c r="G1913" i="51"/>
  <c r="G1914" i="51"/>
  <c r="G1915" i="51"/>
  <c r="G1916" i="51"/>
  <c r="G1917" i="51"/>
  <c r="G1918" i="51"/>
  <c r="G1919" i="51"/>
  <c r="G1920" i="51"/>
  <c r="G1921" i="51"/>
  <c r="G1922" i="51"/>
  <c r="G1923" i="51"/>
  <c r="G1924" i="51"/>
  <c r="G1925" i="51"/>
  <c r="G1926" i="51"/>
  <c r="G1927" i="51"/>
  <c r="G1928" i="51"/>
  <c r="G1929" i="51"/>
  <c r="G1930" i="51"/>
  <c r="G1931" i="51"/>
  <c r="G1932" i="51"/>
  <c r="G1933" i="51"/>
  <c r="G1934" i="51"/>
  <c r="G1935" i="51"/>
  <c r="G1936" i="51"/>
  <c r="G1937" i="51"/>
  <c r="G1938" i="51"/>
  <c r="G1939" i="51"/>
  <c r="G1940" i="51"/>
  <c r="G1941" i="51"/>
  <c r="G1942" i="51"/>
  <c r="G1943" i="51"/>
  <c r="G1944" i="51"/>
  <c r="G1945" i="51"/>
  <c r="G1946" i="51"/>
  <c r="G1947" i="51"/>
  <c r="G1948" i="51"/>
  <c r="G1949" i="51"/>
  <c r="G1950" i="51"/>
  <c r="G1951" i="51"/>
  <c r="G1952" i="51"/>
  <c r="G1953" i="51"/>
  <c r="G1954" i="51"/>
  <c r="G1955" i="51"/>
  <c r="G1956" i="51"/>
  <c r="G1957" i="51"/>
  <c r="G1958" i="51"/>
  <c r="G1959" i="51"/>
  <c r="G1960" i="51"/>
  <c r="G1961" i="51"/>
  <c r="G1962" i="51"/>
  <c r="G1963" i="51"/>
  <c r="G1964" i="51"/>
  <c r="G1965" i="51"/>
  <c r="G1966" i="51"/>
  <c r="G1967" i="51"/>
  <c r="G1968" i="51"/>
  <c r="G1969" i="51"/>
  <c r="G1970" i="51"/>
  <c r="G1971" i="51"/>
  <c r="G1972" i="51"/>
  <c r="G1973" i="51"/>
  <c r="G1974" i="51"/>
  <c r="G1975" i="51"/>
  <c r="G1976" i="51"/>
  <c r="G1977" i="51"/>
  <c r="G1978" i="51"/>
  <c r="G1979" i="51"/>
  <c r="G1980" i="51"/>
  <c r="G1981" i="51"/>
  <c r="G1982" i="51"/>
  <c r="G1983" i="51"/>
  <c r="G1984" i="51"/>
  <c r="G1985" i="51"/>
  <c r="G1986" i="51"/>
  <c r="G1987" i="51"/>
  <c r="G1988" i="51"/>
  <c r="G1989" i="51"/>
  <c r="G1990" i="51"/>
  <c r="G1991" i="51"/>
  <c r="G1992" i="51"/>
  <c r="G1993" i="51"/>
  <c r="G1994" i="51"/>
  <c r="G1995" i="51"/>
  <c r="G1996" i="51"/>
  <c r="G1997" i="51"/>
  <c r="G1998" i="51"/>
  <c r="G1999" i="51"/>
  <c r="G2000" i="51"/>
  <c r="G2001" i="51"/>
  <c r="G2002" i="51"/>
  <c r="G2003" i="51"/>
  <c r="G2004" i="51"/>
  <c r="G2005" i="51"/>
  <c r="G2006" i="51"/>
  <c r="G2007" i="51"/>
  <c r="G2008" i="51"/>
  <c r="G2009" i="51"/>
  <c r="G2010" i="51"/>
  <c r="G2011" i="51"/>
  <c r="G2012" i="51"/>
  <c r="G2013" i="51"/>
  <c r="G2014" i="51"/>
  <c r="G2015" i="51"/>
  <c r="G2016" i="51"/>
  <c r="G2017" i="51"/>
  <c r="G2018" i="51"/>
  <c r="G2019" i="51"/>
  <c r="G2020" i="51"/>
  <c r="G2021" i="51"/>
  <c r="G2022" i="51"/>
  <c r="G2023" i="51"/>
  <c r="G2024" i="51"/>
  <c r="G2025" i="51"/>
  <c r="G2026" i="51"/>
  <c r="G2027" i="51"/>
  <c r="G2028" i="51"/>
  <c r="G2029" i="51"/>
  <c r="G2030" i="51"/>
  <c r="G2031" i="51"/>
  <c r="G2032" i="51"/>
  <c r="G2033" i="51"/>
  <c r="G2034" i="51"/>
  <c r="G2035" i="51"/>
  <c r="G2036" i="51"/>
  <c r="G2037" i="51"/>
  <c r="G2038" i="51"/>
  <c r="G2039" i="51"/>
  <c r="G2040" i="51"/>
  <c r="G2041" i="51"/>
  <c r="G2042" i="51"/>
  <c r="G2043" i="51"/>
  <c r="G2044" i="51"/>
  <c r="G2045" i="51"/>
  <c r="G2046" i="51"/>
  <c r="G2047" i="51"/>
  <c r="G2048" i="51"/>
  <c r="G2049" i="51"/>
  <c r="G2050" i="51"/>
  <c r="G2051" i="51"/>
  <c r="G2052" i="51"/>
  <c r="G2053" i="51"/>
  <c r="G2054" i="51"/>
  <c r="G2055" i="51"/>
  <c r="G2056" i="51"/>
  <c r="G2057" i="51"/>
  <c r="G2058" i="51"/>
  <c r="G2059" i="51"/>
  <c r="G2060" i="51"/>
  <c r="G2061" i="51"/>
  <c r="G2062" i="51"/>
  <c r="G2063" i="51"/>
  <c r="G2064" i="51"/>
  <c r="G2065" i="51"/>
  <c r="G2066" i="51"/>
  <c r="G2067" i="51"/>
  <c r="G2068" i="51"/>
  <c r="G2069" i="51"/>
  <c r="G2070" i="51"/>
  <c r="G2071" i="51"/>
  <c r="G2072" i="51"/>
  <c r="G2073" i="51"/>
  <c r="G2074" i="51"/>
  <c r="G2075" i="51"/>
  <c r="G2076" i="51"/>
  <c r="G2077" i="51"/>
  <c r="G2078" i="51"/>
  <c r="G2079" i="51"/>
  <c r="G2080" i="51"/>
  <c r="G2081" i="51"/>
  <c r="G2082" i="51"/>
  <c r="G2083" i="51"/>
  <c r="G2084" i="51"/>
  <c r="G2085" i="51"/>
  <c r="G2086" i="51"/>
  <c r="G2087" i="51"/>
  <c r="G2088" i="51"/>
  <c r="G2089" i="51"/>
  <c r="G2090" i="51"/>
  <c r="G2091" i="51"/>
  <c r="G2092" i="51"/>
  <c r="G2093" i="51"/>
  <c r="G2094" i="51"/>
  <c r="G2095" i="51"/>
  <c r="G2096" i="51"/>
  <c r="G2097" i="51"/>
  <c r="G2098" i="51"/>
  <c r="G2099" i="51"/>
  <c r="G2100" i="51"/>
  <c r="G2101" i="51"/>
  <c r="G2102" i="51"/>
  <c r="G2103" i="51"/>
  <c r="G2104" i="51"/>
  <c r="G2105" i="51"/>
  <c r="G2106" i="51"/>
  <c r="G2107" i="51"/>
  <c r="G2108" i="51"/>
  <c r="G2109" i="51"/>
  <c r="G2110" i="51"/>
  <c r="G2111" i="51"/>
  <c r="G2112" i="51"/>
  <c r="G2113" i="51"/>
  <c r="G2114" i="51"/>
  <c r="G2115" i="51"/>
  <c r="G2116" i="51"/>
  <c r="G2117" i="51"/>
  <c r="G2118" i="51"/>
  <c r="G2119" i="51"/>
  <c r="G2120" i="51"/>
  <c r="G2121" i="51"/>
  <c r="G2122" i="51"/>
  <c r="G2123" i="51"/>
  <c r="G2124" i="51"/>
  <c r="G2125" i="51"/>
  <c r="G2126" i="51"/>
  <c r="G2127" i="51"/>
  <c r="G2128" i="51"/>
  <c r="G2129" i="51"/>
  <c r="G2130" i="51"/>
  <c r="G2131" i="51"/>
  <c r="G2132" i="51"/>
  <c r="G2133" i="51"/>
  <c r="G2134" i="51"/>
  <c r="G2135" i="51"/>
  <c r="G2136" i="51"/>
  <c r="G2137" i="51"/>
  <c r="G2138" i="51"/>
  <c r="G2139" i="51"/>
  <c r="G2140" i="51"/>
  <c r="G2141" i="51"/>
  <c r="G2142" i="51"/>
  <c r="G2143" i="51"/>
  <c r="G2144" i="51"/>
  <c r="G2145" i="51"/>
  <c r="G2146" i="51"/>
  <c r="G2147" i="51"/>
  <c r="G2148" i="51"/>
  <c r="G2149" i="51"/>
  <c r="G2150" i="51"/>
  <c r="G2151" i="51"/>
  <c r="G2152" i="51"/>
  <c r="G2153" i="51"/>
  <c r="G2154" i="51"/>
  <c r="G2155" i="51"/>
  <c r="G2156" i="51"/>
  <c r="G2157" i="51"/>
  <c r="G2158" i="51"/>
  <c r="G2159" i="51"/>
  <c r="G2160" i="51"/>
  <c r="G2161" i="51"/>
  <c r="G2162" i="51"/>
  <c r="G2163" i="51"/>
  <c r="G2164" i="51"/>
  <c r="G2165" i="51"/>
  <c r="G2166" i="51"/>
  <c r="G2167" i="51"/>
  <c r="G2168" i="51"/>
  <c r="G2169" i="51"/>
  <c r="G2170" i="51"/>
  <c r="G2171" i="51"/>
  <c r="G2172" i="51"/>
  <c r="G2173" i="51"/>
  <c r="G2174" i="51"/>
  <c r="G2175" i="51"/>
  <c r="G2176" i="51"/>
  <c r="G2177" i="51"/>
  <c r="G2178" i="51"/>
  <c r="G2179" i="51"/>
  <c r="G2180" i="51"/>
  <c r="G2181" i="51"/>
  <c r="G2182" i="51"/>
  <c r="G2183" i="51"/>
  <c r="G2184" i="51"/>
  <c r="G2185" i="51"/>
  <c r="G2186" i="51"/>
  <c r="G2187" i="51"/>
  <c r="G2188" i="51"/>
  <c r="G2189" i="51"/>
  <c r="G2190" i="51"/>
  <c r="G2191" i="51"/>
  <c r="G2192" i="51"/>
  <c r="G2193" i="51"/>
  <c r="G2194" i="51"/>
  <c r="G2195" i="51"/>
  <c r="G2196" i="51"/>
  <c r="G2197" i="51"/>
  <c r="G2198" i="51"/>
  <c r="G2199" i="51"/>
  <c r="G2200" i="51"/>
  <c r="G2201" i="51"/>
  <c r="G2202" i="51"/>
  <c r="G2203" i="51"/>
  <c r="G2204" i="51"/>
  <c r="G2205" i="51"/>
  <c r="G2206" i="51"/>
  <c r="G2207" i="51"/>
  <c r="G2208" i="51"/>
  <c r="G2209" i="51"/>
  <c r="G2210" i="51"/>
  <c r="G2211" i="51"/>
  <c r="G2212" i="51"/>
  <c r="G2213" i="51"/>
  <c r="G2214" i="51"/>
  <c r="G2215" i="51"/>
  <c r="G2216" i="51"/>
  <c r="G2217" i="51"/>
  <c r="G2218" i="51"/>
  <c r="G2219" i="51"/>
  <c r="G2220" i="51"/>
  <c r="G2221" i="51"/>
  <c r="G2222" i="51"/>
  <c r="G2223" i="51"/>
  <c r="G2224" i="51"/>
  <c r="G2225" i="51"/>
  <c r="G2226" i="51"/>
  <c r="G2227" i="51"/>
  <c r="G2228" i="51"/>
  <c r="G2229" i="51"/>
  <c r="G2230" i="51"/>
  <c r="G2231" i="51"/>
  <c r="G2232" i="51"/>
  <c r="G2233" i="51"/>
  <c r="G2234" i="51"/>
  <c r="G2235" i="51"/>
  <c r="G2236" i="51"/>
  <c r="G2237" i="51"/>
  <c r="G2238" i="51"/>
  <c r="G2239" i="51"/>
  <c r="G2240" i="51"/>
  <c r="G2241" i="51"/>
  <c r="G2242" i="51"/>
  <c r="G2243" i="51"/>
  <c r="G2244" i="51"/>
  <c r="G2245" i="51"/>
  <c r="G2246" i="51"/>
  <c r="G2247" i="51"/>
  <c r="G2248" i="51"/>
  <c r="G2249" i="51"/>
  <c r="G2250" i="51"/>
  <c r="G2251" i="51"/>
  <c r="G2252" i="51"/>
  <c r="G2253" i="51"/>
  <c r="G2254" i="51"/>
  <c r="G2255" i="51"/>
  <c r="G2256" i="51"/>
  <c r="G2257" i="51"/>
  <c r="G2258" i="51"/>
  <c r="G2259" i="51"/>
  <c r="G2260" i="51"/>
  <c r="G2261" i="51"/>
  <c r="G2262" i="51"/>
  <c r="G2263" i="51"/>
  <c r="G2264" i="51"/>
  <c r="G2265" i="51"/>
  <c r="G2266" i="51"/>
  <c r="G2267" i="51"/>
  <c r="G2268" i="51"/>
  <c r="G2269" i="51"/>
  <c r="G2270" i="51"/>
  <c r="G2271" i="51"/>
  <c r="G2272" i="51"/>
  <c r="G2273" i="51"/>
  <c r="G2274" i="51"/>
  <c r="G2275" i="51"/>
  <c r="G2276" i="51"/>
  <c r="G2277" i="51"/>
  <c r="G2278" i="51"/>
  <c r="G2279" i="51"/>
  <c r="G2280" i="51"/>
  <c r="G2281" i="51"/>
  <c r="G2282" i="51"/>
  <c r="G2283" i="51"/>
  <c r="G2284" i="51"/>
  <c r="G2285" i="51"/>
  <c r="G2286" i="51"/>
  <c r="G2287" i="51"/>
  <c r="G2288" i="51"/>
  <c r="G2289" i="51"/>
  <c r="G2290" i="51"/>
  <c r="G2291" i="51"/>
  <c r="G2292" i="51"/>
  <c r="G2293" i="51"/>
  <c r="G2294" i="51"/>
  <c r="G2295" i="51"/>
  <c r="G2296" i="51"/>
  <c r="G2297" i="51"/>
  <c r="G2298" i="51"/>
  <c r="G2299" i="51"/>
  <c r="G2300" i="51"/>
  <c r="G2301" i="51"/>
  <c r="G2302" i="51"/>
  <c r="G2303" i="51"/>
  <c r="G2304" i="51"/>
  <c r="G2305" i="51"/>
  <c r="G2306" i="51"/>
  <c r="G2307" i="51"/>
  <c r="G2308" i="51"/>
  <c r="G2309" i="51"/>
  <c r="G2310" i="51"/>
  <c r="G2311" i="51"/>
  <c r="G2312" i="51"/>
  <c r="G2313" i="51"/>
  <c r="G2314" i="51"/>
  <c r="G2315" i="51"/>
  <c r="G2316" i="51"/>
  <c r="G2317" i="51"/>
  <c r="G2318" i="51"/>
  <c r="G2319" i="51"/>
  <c r="G2320" i="51"/>
  <c r="G2321" i="51"/>
  <c r="G2322" i="51"/>
  <c r="G2323" i="51"/>
  <c r="G2324" i="51"/>
  <c r="G2325" i="51"/>
  <c r="G2326" i="51"/>
  <c r="G2327" i="51"/>
  <c r="G2328" i="51"/>
  <c r="G2329" i="51"/>
  <c r="G2330" i="51"/>
  <c r="G2331" i="51"/>
  <c r="G2332" i="51"/>
  <c r="G2333" i="51"/>
  <c r="G2334" i="51"/>
  <c r="G2335" i="51"/>
  <c r="G2336" i="51"/>
  <c r="G2337" i="51"/>
  <c r="G2338" i="51"/>
  <c r="G2339" i="51"/>
  <c r="G2340" i="51"/>
  <c r="G2341" i="51"/>
  <c r="G2342" i="51"/>
  <c r="G2343" i="51"/>
  <c r="G2344" i="51"/>
  <c r="G2345" i="51"/>
  <c r="G2346" i="51"/>
  <c r="G2347" i="51"/>
  <c r="G2348" i="51"/>
  <c r="G2349" i="51"/>
  <c r="G2350" i="51"/>
  <c r="G2351" i="51"/>
  <c r="G2352" i="51"/>
  <c r="G2353" i="51"/>
  <c r="G2354" i="51"/>
  <c r="G2355" i="51"/>
  <c r="G2356" i="51"/>
  <c r="G2357" i="51"/>
  <c r="G2358" i="51"/>
  <c r="G2359" i="51"/>
  <c r="G2360" i="51"/>
  <c r="G2361" i="51"/>
  <c r="G2362" i="51"/>
  <c r="G2363" i="51"/>
  <c r="G2364" i="51"/>
  <c r="G2365" i="51"/>
  <c r="G2366" i="51"/>
  <c r="G2367" i="51"/>
  <c r="G2368" i="51"/>
  <c r="G2369" i="51"/>
  <c r="G2370" i="51"/>
  <c r="G2371" i="51"/>
  <c r="G2372" i="51"/>
  <c r="G2373" i="51"/>
  <c r="G2374" i="51"/>
  <c r="G2375" i="51"/>
  <c r="G2376" i="51"/>
  <c r="G2377" i="51"/>
  <c r="G2378" i="51"/>
  <c r="G2379" i="51"/>
  <c r="G2380" i="51"/>
  <c r="G2381" i="51"/>
  <c r="G2382" i="51"/>
  <c r="G2383" i="51"/>
  <c r="G2384" i="51"/>
  <c r="G2385" i="51"/>
  <c r="G2386" i="51"/>
  <c r="G2387" i="51"/>
  <c r="G2388" i="51"/>
  <c r="G2389" i="51"/>
  <c r="G2390" i="51"/>
  <c r="G2391" i="51"/>
  <c r="G2392" i="51"/>
  <c r="G2393" i="51"/>
  <c r="G2394" i="51"/>
  <c r="G2395" i="51"/>
  <c r="G2396" i="51"/>
  <c r="G2397" i="51"/>
  <c r="G2398" i="51"/>
  <c r="G2399" i="51"/>
  <c r="G2400" i="51"/>
  <c r="G2401" i="51"/>
  <c r="G2402" i="51"/>
  <c r="G2403" i="51"/>
  <c r="G2404" i="51"/>
  <c r="G2405" i="51"/>
  <c r="G2406" i="51"/>
  <c r="G2407" i="51"/>
  <c r="G2408" i="51"/>
  <c r="G2409" i="51"/>
  <c r="G2410" i="51"/>
  <c r="G2411" i="51"/>
  <c r="G2412" i="51"/>
  <c r="G2413" i="51"/>
  <c r="G2414" i="51"/>
  <c r="G2415" i="51"/>
  <c r="G2416" i="51"/>
  <c r="G2417" i="51"/>
  <c r="G2418" i="51"/>
  <c r="G2419" i="51"/>
  <c r="G2420" i="51"/>
  <c r="G2421" i="51"/>
  <c r="G2422" i="51"/>
  <c r="G2423" i="51"/>
  <c r="G2424" i="51"/>
  <c r="G2425" i="51"/>
  <c r="G2426" i="51"/>
  <c r="G2427" i="51"/>
  <c r="G2428" i="51"/>
  <c r="G2429" i="51"/>
  <c r="G2430" i="51"/>
  <c r="G2431" i="51"/>
  <c r="G2432" i="51"/>
  <c r="G2433" i="51"/>
  <c r="G2434" i="51"/>
  <c r="G2435" i="51"/>
  <c r="G2436" i="51"/>
  <c r="G2437" i="51"/>
  <c r="G2438" i="51"/>
  <c r="G2439" i="51"/>
  <c r="G2440" i="51"/>
  <c r="G2441" i="51"/>
  <c r="G2442" i="51"/>
  <c r="G2443" i="51"/>
  <c r="G2444" i="51"/>
  <c r="G2445" i="51"/>
  <c r="G2446" i="51"/>
  <c r="G2447" i="51"/>
  <c r="G2448" i="51"/>
  <c r="G2449" i="51"/>
  <c r="G2450" i="51"/>
  <c r="G2451" i="51"/>
  <c r="G2452" i="51"/>
  <c r="G2453" i="51"/>
  <c r="G2454" i="51"/>
  <c r="G2455" i="51"/>
  <c r="G2456" i="51"/>
  <c r="G2457" i="51"/>
  <c r="G2458" i="51"/>
  <c r="G2459" i="51"/>
  <c r="G2460" i="51"/>
  <c r="G2461" i="51"/>
  <c r="G2462" i="51"/>
  <c r="G2463" i="51"/>
  <c r="G2464" i="51"/>
  <c r="G2465" i="51"/>
  <c r="G2466" i="51"/>
  <c r="G2467" i="51"/>
  <c r="G2468" i="51"/>
  <c r="G2469" i="51"/>
  <c r="G2470" i="51"/>
  <c r="G2471" i="51"/>
  <c r="G2472" i="51"/>
  <c r="G2473" i="51"/>
  <c r="G2474" i="51"/>
  <c r="G2475" i="51"/>
  <c r="G2476" i="51"/>
  <c r="G2477" i="51"/>
  <c r="G2478" i="51"/>
  <c r="G2479" i="51"/>
  <c r="G2480" i="51"/>
  <c r="G2481" i="51"/>
  <c r="G2482" i="51"/>
  <c r="G2483" i="51"/>
  <c r="G2484" i="51"/>
  <c r="G2485" i="51"/>
  <c r="G2486" i="51"/>
  <c r="G2487" i="51"/>
  <c r="G2488" i="51"/>
  <c r="G2489" i="51"/>
  <c r="G2490" i="51"/>
  <c r="G2491" i="51"/>
  <c r="G2492" i="51"/>
  <c r="G2493" i="51"/>
  <c r="G2494" i="51"/>
  <c r="G2495" i="51"/>
  <c r="G2496" i="51"/>
  <c r="G2497" i="51"/>
  <c r="G2498" i="51"/>
  <c r="G2499" i="51"/>
  <c r="G2500" i="51"/>
  <c r="G2501" i="51"/>
  <c r="G2502" i="51"/>
  <c r="G2503" i="51"/>
  <c r="G2504" i="51"/>
  <c r="G2505" i="51"/>
  <c r="G2506" i="51"/>
  <c r="G2507" i="51"/>
  <c r="G2508" i="51"/>
  <c r="G2509" i="51"/>
  <c r="G2510" i="51"/>
  <c r="G2511" i="51"/>
  <c r="G2512" i="51"/>
  <c r="G2513" i="51"/>
  <c r="G2514" i="51"/>
  <c r="G2515" i="51"/>
  <c r="G2516" i="51"/>
  <c r="G2517" i="51"/>
  <c r="G2518" i="51"/>
  <c r="G2519" i="51"/>
  <c r="G2520" i="51"/>
  <c r="G2521" i="51"/>
  <c r="G2522" i="51"/>
  <c r="G2523" i="51"/>
  <c r="G2524" i="51"/>
  <c r="G2525" i="51"/>
  <c r="G2526" i="51"/>
  <c r="G2527" i="51"/>
  <c r="G2528" i="51"/>
  <c r="G2529" i="51"/>
  <c r="G2530" i="51"/>
  <c r="G2531" i="51"/>
  <c r="G2532" i="51"/>
  <c r="G2533" i="51"/>
  <c r="G2534" i="51"/>
  <c r="G2535" i="51"/>
  <c r="G2536" i="51"/>
  <c r="G2537" i="51"/>
  <c r="G2538" i="51"/>
  <c r="G2539" i="51"/>
  <c r="G2540" i="51"/>
  <c r="G2541" i="51"/>
  <c r="G2542" i="51"/>
  <c r="G2543" i="51"/>
  <c r="G2544" i="51"/>
  <c r="G2545" i="51"/>
  <c r="G2546" i="51"/>
  <c r="G2547" i="51"/>
  <c r="G2548" i="51"/>
  <c r="G2549" i="51"/>
  <c r="G2550" i="51"/>
  <c r="G2551" i="51"/>
  <c r="G2552" i="51"/>
  <c r="G2553" i="51"/>
  <c r="G2554" i="51"/>
  <c r="G2555" i="51"/>
  <c r="G2556" i="51"/>
  <c r="G2557" i="51"/>
  <c r="G2558" i="51"/>
  <c r="G2559" i="51"/>
  <c r="G2560" i="51"/>
  <c r="G2561" i="51"/>
  <c r="G2562" i="51"/>
  <c r="G2563" i="51"/>
  <c r="G2564" i="51"/>
  <c r="G2565" i="51"/>
  <c r="G2566" i="51"/>
  <c r="G2567" i="51"/>
  <c r="G2568" i="51"/>
  <c r="G2569" i="51"/>
  <c r="G2570" i="51"/>
  <c r="G2571" i="51"/>
  <c r="G2572" i="51"/>
  <c r="G2573" i="51"/>
  <c r="G2574" i="51"/>
  <c r="G2575" i="51"/>
  <c r="G2576" i="51"/>
  <c r="G2577" i="51"/>
  <c r="G2578" i="51"/>
  <c r="G2579" i="51"/>
  <c r="G2580" i="51"/>
  <c r="G2581" i="51"/>
  <c r="G2582" i="51"/>
  <c r="G2583" i="51"/>
  <c r="G2584" i="51"/>
  <c r="G2585" i="51"/>
  <c r="G2586" i="51"/>
  <c r="G2587" i="51"/>
  <c r="G2588" i="51"/>
  <c r="G2589" i="51"/>
  <c r="G2590" i="51"/>
  <c r="G2591" i="51"/>
  <c r="G2592" i="51"/>
  <c r="G2593" i="51"/>
  <c r="G2594" i="51"/>
  <c r="G2595" i="51"/>
  <c r="G2596" i="51"/>
  <c r="G2597" i="51"/>
  <c r="G2598" i="51"/>
  <c r="G2599" i="51"/>
  <c r="G2600" i="51"/>
  <c r="G2601" i="51"/>
  <c r="G2602" i="51"/>
  <c r="G2603" i="51"/>
  <c r="G2604" i="51"/>
  <c r="G2605" i="51"/>
  <c r="G2606" i="51"/>
  <c r="G2607" i="51"/>
  <c r="G2608" i="51"/>
  <c r="G2609" i="51"/>
  <c r="G2610" i="51"/>
  <c r="G2611" i="51"/>
  <c r="G2612" i="51"/>
  <c r="G2613" i="51"/>
  <c r="G2614" i="51"/>
  <c r="G2615" i="51"/>
  <c r="G2616" i="51"/>
  <c r="G2617" i="51"/>
  <c r="G2618" i="51"/>
  <c r="G2619" i="51"/>
  <c r="G2620" i="51"/>
  <c r="G2621" i="51"/>
  <c r="G2622" i="51"/>
  <c r="G2623" i="51"/>
  <c r="G2624" i="51"/>
  <c r="G2625" i="51"/>
  <c r="G2626" i="51"/>
  <c r="G2627" i="51"/>
  <c r="G2628" i="51"/>
  <c r="G2629" i="51"/>
  <c r="G2630" i="51"/>
  <c r="G2631" i="51"/>
  <c r="G2632" i="51"/>
  <c r="G2633" i="51"/>
  <c r="G2634" i="51"/>
  <c r="G2635" i="51"/>
  <c r="G2636" i="51"/>
  <c r="G2637" i="51"/>
  <c r="G2638" i="51"/>
  <c r="G2639" i="51"/>
  <c r="G2640" i="51"/>
  <c r="G2641" i="51"/>
  <c r="G2642" i="51"/>
  <c r="G2643" i="51"/>
  <c r="G2644" i="51"/>
  <c r="G2645" i="51"/>
  <c r="G2646" i="51"/>
  <c r="G2647" i="51"/>
  <c r="G2648" i="51"/>
  <c r="G2649" i="51"/>
  <c r="G2650" i="51"/>
  <c r="G2651" i="51"/>
  <c r="G2652" i="51"/>
  <c r="G2653" i="51"/>
  <c r="G2654" i="51"/>
  <c r="G2655" i="51"/>
  <c r="G2656" i="51"/>
  <c r="G2657" i="51"/>
  <c r="G2658" i="51"/>
  <c r="G2659" i="51"/>
  <c r="G2660" i="51"/>
  <c r="G2661" i="51"/>
  <c r="G2662" i="51"/>
  <c r="G2663" i="51"/>
  <c r="G2664" i="51"/>
  <c r="G2665" i="51"/>
  <c r="G2666" i="51"/>
  <c r="G2667" i="51"/>
  <c r="G2668" i="51"/>
  <c r="G2669" i="51"/>
  <c r="G2670" i="51"/>
  <c r="G2671" i="51"/>
  <c r="G2672" i="51"/>
  <c r="G2673" i="51"/>
  <c r="G2674" i="51"/>
  <c r="G2675" i="51"/>
  <c r="G2676" i="51"/>
  <c r="G2677" i="51"/>
  <c r="G2678" i="51"/>
  <c r="G2679" i="51"/>
  <c r="G2680" i="51"/>
  <c r="G2681" i="51"/>
  <c r="G2682" i="51"/>
  <c r="G2683" i="51"/>
  <c r="G2684" i="51"/>
  <c r="G2685" i="51"/>
  <c r="G2686" i="51"/>
  <c r="G2687" i="51"/>
  <c r="G2688" i="51"/>
  <c r="G2689" i="51"/>
  <c r="G2690" i="51"/>
  <c r="G2691" i="51"/>
  <c r="G2692" i="51"/>
  <c r="G2693" i="51"/>
  <c r="G2694" i="51"/>
  <c r="G2695" i="51"/>
  <c r="G2696" i="51"/>
  <c r="G2697" i="51"/>
  <c r="G2698" i="51"/>
  <c r="G2699" i="51"/>
  <c r="G2700" i="51"/>
  <c r="G2701" i="51"/>
  <c r="G2702" i="51"/>
  <c r="G2703" i="51"/>
  <c r="G2704" i="51"/>
  <c r="G2705" i="51"/>
  <c r="G2706" i="51"/>
  <c r="G2707" i="51"/>
  <c r="G2708" i="51"/>
  <c r="G2709" i="51"/>
  <c r="G2710" i="51"/>
  <c r="G2711" i="51"/>
  <c r="G2712" i="51"/>
  <c r="G2713" i="51"/>
  <c r="G2714" i="51"/>
  <c r="G2715" i="51"/>
  <c r="G2716" i="51"/>
  <c r="G2717" i="51"/>
  <c r="G2718" i="51"/>
  <c r="G2719" i="51"/>
  <c r="G2720" i="51"/>
  <c r="G2721" i="51"/>
  <c r="G2722" i="51"/>
  <c r="G2723" i="51"/>
  <c r="G2724" i="51"/>
  <c r="G2725" i="51"/>
  <c r="G2726" i="51"/>
  <c r="G2727" i="51"/>
  <c r="G2728" i="51"/>
  <c r="G2729" i="51"/>
  <c r="G2730" i="51"/>
  <c r="G2731" i="51"/>
  <c r="G2732" i="51"/>
  <c r="G2733" i="51"/>
  <c r="G2734" i="51"/>
  <c r="G2735" i="51"/>
  <c r="G2736" i="51"/>
  <c r="G2737" i="51"/>
  <c r="G2738" i="51"/>
  <c r="G2739" i="51"/>
  <c r="G2740" i="51"/>
  <c r="G2741" i="51"/>
  <c r="G2742" i="51"/>
  <c r="G2743" i="51"/>
  <c r="G2744" i="51"/>
  <c r="G2745" i="51"/>
  <c r="G2746" i="51"/>
  <c r="G2747" i="51"/>
  <c r="G2748" i="51"/>
  <c r="G2749" i="51"/>
  <c r="G2750" i="51"/>
  <c r="G2751" i="51"/>
  <c r="G2752" i="51"/>
  <c r="G2753" i="51"/>
  <c r="G2754" i="51"/>
  <c r="G2755" i="51"/>
  <c r="G2756" i="51"/>
  <c r="G2757" i="51"/>
  <c r="G2758" i="51"/>
  <c r="G2759" i="51"/>
  <c r="G2760" i="51"/>
  <c r="G2761" i="51"/>
  <c r="G2762" i="51"/>
  <c r="G2763" i="51"/>
  <c r="G2764" i="51"/>
  <c r="G2765" i="51"/>
  <c r="G2766" i="51"/>
  <c r="G2767" i="51"/>
  <c r="G2768" i="51"/>
  <c r="G2769" i="51"/>
  <c r="G2770" i="51"/>
  <c r="G2771" i="51"/>
  <c r="G2772" i="51"/>
  <c r="G2773" i="51"/>
  <c r="G2774" i="51"/>
  <c r="G2775" i="51"/>
  <c r="G2776" i="51"/>
  <c r="G2777" i="51"/>
  <c r="G2778" i="51"/>
  <c r="G2779" i="51"/>
  <c r="G2780" i="51"/>
  <c r="G2781" i="51"/>
  <c r="G2782" i="51"/>
  <c r="G2783" i="51"/>
  <c r="G2784" i="51"/>
  <c r="G2785" i="51"/>
  <c r="G2786" i="51"/>
  <c r="G2787" i="51"/>
  <c r="G2788" i="51"/>
  <c r="G2789" i="51"/>
  <c r="G2790" i="51"/>
  <c r="G2791" i="51"/>
  <c r="G2792" i="51"/>
  <c r="G2793" i="51"/>
  <c r="G2794" i="51"/>
  <c r="G2795" i="51"/>
  <c r="G2796" i="51"/>
  <c r="G2797" i="51"/>
  <c r="G2798" i="51"/>
  <c r="G2799" i="51"/>
  <c r="G2800" i="51"/>
  <c r="G2801" i="51"/>
  <c r="G2802" i="51"/>
  <c r="G2803" i="51"/>
  <c r="G2804" i="51"/>
  <c r="G2805" i="51"/>
  <c r="G2806" i="51"/>
  <c r="G2807" i="51"/>
  <c r="G2808" i="51"/>
  <c r="G2809" i="51"/>
  <c r="G2810" i="51"/>
  <c r="G2811" i="51"/>
  <c r="G2812" i="51"/>
  <c r="G2813" i="51"/>
  <c r="G2814" i="51"/>
  <c r="G2815" i="51"/>
  <c r="G2816" i="51"/>
  <c r="G2817" i="51"/>
  <c r="G2818" i="51"/>
  <c r="G2819" i="51"/>
  <c r="G2820" i="51"/>
  <c r="G2821" i="51"/>
  <c r="G2822" i="51"/>
  <c r="G2823" i="51"/>
  <c r="G2824" i="51"/>
  <c r="G2825" i="51"/>
  <c r="G2826" i="51"/>
  <c r="G2827" i="51"/>
  <c r="G2828" i="51"/>
  <c r="G2829" i="51"/>
  <c r="G2830" i="51"/>
  <c r="G2831" i="51"/>
  <c r="G2832" i="51"/>
  <c r="G2833" i="51"/>
  <c r="G2834" i="51"/>
  <c r="G2835" i="51"/>
  <c r="G2836" i="51"/>
  <c r="G2837" i="51"/>
  <c r="G2838" i="51"/>
  <c r="G2839" i="51"/>
  <c r="G2840" i="51"/>
  <c r="G2841" i="51"/>
  <c r="G2842" i="51"/>
  <c r="G2843" i="51"/>
  <c r="G2844" i="51"/>
  <c r="G2845" i="51"/>
  <c r="G2846" i="51"/>
  <c r="G2847" i="51"/>
  <c r="G2848" i="51"/>
  <c r="G2849" i="51"/>
  <c r="G2850" i="51"/>
  <c r="G2851" i="51"/>
  <c r="G2852" i="51"/>
  <c r="G2853" i="51"/>
  <c r="G2854" i="51"/>
  <c r="G2855" i="51"/>
  <c r="G2856" i="51"/>
  <c r="G2857" i="51"/>
  <c r="G2858" i="51"/>
  <c r="G2859" i="51"/>
  <c r="G2860" i="51"/>
  <c r="G2861" i="51"/>
  <c r="G2862" i="51"/>
  <c r="G2863" i="51"/>
  <c r="G2864" i="51"/>
  <c r="G2865" i="51"/>
  <c r="G2866" i="51"/>
  <c r="G2867" i="51"/>
  <c r="G2868" i="51"/>
  <c r="G2869" i="51"/>
  <c r="G2870" i="51"/>
  <c r="G2871" i="51"/>
  <c r="G2872" i="51"/>
  <c r="G2873" i="51"/>
  <c r="G2874" i="51"/>
  <c r="G2875" i="51"/>
  <c r="G2876" i="51"/>
  <c r="G2877" i="51"/>
  <c r="G2878" i="51"/>
  <c r="G2879" i="51"/>
  <c r="G2880" i="51"/>
  <c r="G2881" i="51"/>
  <c r="G2882" i="51"/>
  <c r="G2883" i="51"/>
  <c r="G2884" i="51"/>
  <c r="G2885" i="51"/>
  <c r="G2886" i="51"/>
  <c r="G2887" i="51"/>
  <c r="G2888" i="51"/>
  <c r="G2889" i="51"/>
  <c r="G2890" i="51"/>
  <c r="G2891" i="51"/>
  <c r="G2892" i="51"/>
  <c r="G2893" i="51"/>
  <c r="G2894" i="51"/>
  <c r="G2895" i="51"/>
  <c r="G2896" i="51"/>
  <c r="G2897" i="51"/>
  <c r="G2898" i="51"/>
  <c r="G2899" i="51"/>
  <c r="G2900" i="51"/>
  <c r="G2901" i="51"/>
  <c r="G2902" i="51"/>
  <c r="G2903" i="51"/>
  <c r="G2904" i="51"/>
  <c r="G2905" i="51"/>
  <c r="G2906" i="51"/>
  <c r="G2907" i="51"/>
  <c r="G2908" i="51"/>
  <c r="G2909" i="51"/>
  <c r="G2910" i="51"/>
  <c r="G2911" i="51"/>
  <c r="G2912" i="51"/>
  <c r="G2913" i="51"/>
  <c r="G2914" i="51"/>
  <c r="G2915" i="51"/>
  <c r="G2916" i="51"/>
  <c r="G2917" i="51"/>
  <c r="G2918" i="51"/>
  <c r="G2919" i="51"/>
  <c r="G2920" i="51"/>
  <c r="G2921" i="51"/>
  <c r="G2922" i="51"/>
  <c r="G2923" i="51"/>
  <c r="G2924" i="51"/>
  <c r="G2925" i="51"/>
  <c r="G2926" i="51"/>
  <c r="G2927" i="51"/>
  <c r="G2928" i="51"/>
  <c r="G2929" i="51"/>
  <c r="G2930" i="51"/>
  <c r="G2931" i="51"/>
  <c r="G2932" i="51"/>
  <c r="G2933" i="51"/>
  <c r="G2934" i="51"/>
  <c r="G2935" i="51"/>
  <c r="G2936" i="51"/>
  <c r="G2937" i="51"/>
  <c r="G2938" i="51"/>
  <c r="G2939" i="51"/>
  <c r="G2940" i="51"/>
  <c r="G2941" i="51"/>
  <c r="G2942" i="51"/>
  <c r="G2943" i="51"/>
  <c r="G2944" i="51"/>
  <c r="G2945" i="51"/>
  <c r="G2946" i="51"/>
  <c r="G2947" i="51"/>
  <c r="G2948" i="51"/>
  <c r="G2949" i="51"/>
  <c r="G2950" i="51"/>
  <c r="G2951" i="51"/>
  <c r="G2952" i="51"/>
  <c r="G2953" i="51"/>
  <c r="G2954" i="51"/>
  <c r="G2955" i="51"/>
  <c r="G2956" i="51"/>
  <c r="G2957" i="51"/>
  <c r="G2958" i="51"/>
  <c r="G2959" i="51"/>
  <c r="G2960" i="51"/>
  <c r="G2961" i="51"/>
  <c r="G2962" i="51"/>
  <c r="G2963" i="51"/>
  <c r="G2964" i="51"/>
  <c r="G2965" i="51"/>
  <c r="G2966" i="51"/>
  <c r="G2967" i="51"/>
  <c r="G2968" i="51"/>
  <c r="G2969" i="51"/>
  <c r="G2970" i="51"/>
  <c r="G2971" i="51"/>
  <c r="G2972" i="51"/>
  <c r="G2973" i="51"/>
  <c r="G2974" i="51"/>
  <c r="G2975" i="51"/>
  <c r="G2976" i="51"/>
  <c r="G2977" i="51"/>
  <c r="G2978" i="51"/>
  <c r="G2979" i="51"/>
  <c r="G2980" i="51"/>
  <c r="G2981" i="51"/>
  <c r="G2982" i="51"/>
  <c r="G2983" i="51"/>
  <c r="G2984" i="51"/>
  <c r="G2985" i="51"/>
  <c r="G2986" i="51"/>
  <c r="G2987" i="51"/>
  <c r="G2988" i="51"/>
  <c r="G2989" i="51"/>
  <c r="G2990" i="51"/>
  <c r="G2991" i="51"/>
  <c r="G2992" i="51"/>
  <c r="G2993" i="51"/>
  <c r="G2994" i="51"/>
  <c r="G2995" i="51"/>
  <c r="G2996" i="51"/>
  <c r="G2997" i="51"/>
  <c r="G2998" i="51"/>
  <c r="G2999" i="51"/>
  <c r="G3000" i="51"/>
  <c r="G3001" i="51"/>
  <c r="G3002" i="51"/>
  <c r="G3003" i="51"/>
  <c r="G3004" i="51"/>
  <c r="G3005" i="51"/>
  <c r="G3006" i="51"/>
  <c r="G3007" i="51"/>
  <c r="G3008" i="51"/>
  <c r="G3009" i="51"/>
  <c r="G3010" i="51"/>
  <c r="G3011" i="51"/>
  <c r="G3012" i="51"/>
  <c r="G3013" i="51"/>
  <c r="G3014" i="51"/>
  <c r="G3015" i="51"/>
  <c r="G3016" i="51"/>
  <c r="G3017" i="51"/>
  <c r="G3018" i="51"/>
  <c r="G3019" i="51"/>
  <c r="G3020" i="51"/>
  <c r="G3021" i="51"/>
  <c r="G3022" i="51"/>
  <c r="G3023" i="51"/>
  <c r="G3024" i="51"/>
  <c r="G3025" i="51"/>
  <c r="G3026" i="51"/>
  <c r="G3027" i="51"/>
  <c r="G3028" i="51"/>
  <c r="G3029" i="51"/>
  <c r="G3030" i="51"/>
  <c r="G3031" i="51"/>
  <c r="G3032" i="51"/>
  <c r="G3033" i="51"/>
  <c r="G3034" i="51"/>
  <c r="G3035" i="51"/>
  <c r="G3036" i="51"/>
  <c r="G3037" i="51"/>
  <c r="G3038" i="51"/>
  <c r="G3039" i="51"/>
  <c r="G3040" i="51"/>
  <c r="G3041" i="51"/>
  <c r="G3042" i="51"/>
  <c r="G3043" i="51"/>
  <c r="G3044" i="51"/>
  <c r="G3045" i="51"/>
  <c r="G3046" i="51"/>
  <c r="G3047" i="51"/>
  <c r="G3048" i="51"/>
  <c r="G3049" i="51"/>
  <c r="G3050" i="51"/>
  <c r="G3051" i="51"/>
  <c r="G3052" i="51"/>
  <c r="G3053" i="51"/>
  <c r="G3054" i="51"/>
  <c r="G3055" i="51"/>
  <c r="G3056" i="51"/>
  <c r="G3057" i="51"/>
  <c r="G3058" i="51"/>
  <c r="G3059" i="51"/>
  <c r="G3060" i="51"/>
  <c r="G3061" i="51"/>
  <c r="G3062" i="51"/>
  <c r="G3063" i="51"/>
  <c r="G3064" i="51"/>
  <c r="G3065" i="51"/>
  <c r="G3066" i="51"/>
  <c r="G3067" i="51"/>
  <c r="G3068" i="51"/>
  <c r="G3069" i="51"/>
  <c r="G3070" i="51"/>
  <c r="G3071" i="51"/>
  <c r="G3072" i="51"/>
  <c r="G3073" i="51"/>
  <c r="G3074" i="51"/>
  <c r="G3075" i="51"/>
  <c r="G3076" i="51"/>
  <c r="G3077" i="51"/>
  <c r="G3078" i="51"/>
  <c r="G3079" i="51"/>
  <c r="G3080" i="51"/>
  <c r="G3081" i="51"/>
  <c r="G3082" i="51"/>
  <c r="G3083" i="51"/>
  <c r="G3084" i="51"/>
  <c r="G3085" i="51"/>
  <c r="G3086" i="51"/>
  <c r="G3087" i="51"/>
  <c r="G3088" i="51"/>
  <c r="G3089" i="51"/>
  <c r="G3090" i="51"/>
  <c r="G3091" i="51"/>
  <c r="G3092" i="51"/>
  <c r="G3093" i="51"/>
  <c r="G3094" i="51"/>
  <c r="G3095" i="51"/>
  <c r="G3096" i="51"/>
  <c r="G3097" i="51"/>
  <c r="G3098" i="51"/>
  <c r="G3099" i="51"/>
  <c r="G3100" i="51"/>
  <c r="G3101" i="51"/>
  <c r="G3102" i="51"/>
  <c r="G3103" i="51"/>
  <c r="G3104" i="51"/>
  <c r="G3105" i="51"/>
  <c r="G3106" i="51"/>
  <c r="G3107" i="51"/>
  <c r="G3108" i="51"/>
  <c r="G3109" i="51"/>
  <c r="G3110" i="51"/>
  <c r="G3111" i="51"/>
  <c r="G3112" i="51"/>
  <c r="G3113" i="51"/>
  <c r="G3114" i="51"/>
  <c r="G3115" i="51"/>
  <c r="G3116" i="51"/>
  <c r="G3117" i="51"/>
  <c r="G3118" i="51"/>
  <c r="G3119" i="51"/>
  <c r="G3120" i="51"/>
  <c r="G3121" i="51"/>
  <c r="G3122" i="51"/>
  <c r="G3123" i="51"/>
  <c r="G3124" i="51"/>
  <c r="G3125" i="51"/>
  <c r="G3126" i="51"/>
  <c r="G3127" i="51"/>
  <c r="G3128" i="51"/>
  <c r="G3129" i="51"/>
  <c r="G3130" i="51"/>
  <c r="G3131" i="51"/>
  <c r="G3132" i="51"/>
  <c r="G3133" i="51"/>
  <c r="G3134" i="51"/>
  <c r="G3135" i="51"/>
  <c r="G3136" i="51"/>
  <c r="G3137" i="51"/>
  <c r="G3138" i="51"/>
  <c r="G3139" i="51"/>
  <c r="G3140" i="51"/>
  <c r="G3141" i="51"/>
  <c r="G3142" i="51"/>
  <c r="G3143" i="51"/>
  <c r="G3144" i="51"/>
  <c r="G3145" i="51"/>
  <c r="G3146" i="51"/>
  <c r="G3147" i="51"/>
  <c r="G3148" i="51"/>
  <c r="G3149" i="51"/>
  <c r="G3150" i="51"/>
  <c r="G3151" i="51"/>
  <c r="G3152" i="51"/>
  <c r="G3153" i="51"/>
  <c r="G3154" i="51"/>
  <c r="G3155" i="51"/>
  <c r="G3156" i="51"/>
  <c r="G3157" i="51"/>
  <c r="G3158" i="51"/>
  <c r="G3159" i="51"/>
  <c r="G3160" i="51"/>
  <c r="G3161" i="51"/>
  <c r="G3162" i="51"/>
  <c r="G3163" i="51"/>
  <c r="G3164" i="51"/>
  <c r="G3165" i="51"/>
  <c r="G3166" i="51"/>
  <c r="G3167" i="51"/>
  <c r="G3168" i="51"/>
  <c r="G3169" i="51"/>
  <c r="G3170" i="51"/>
  <c r="G3171" i="51"/>
  <c r="G3172" i="51"/>
  <c r="G3173" i="51"/>
  <c r="G3174" i="51"/>
  <c r="G3175" i="51"/>
  <c r="G3176" i="51"/>
  <c r="G3177" i="51"/>
  <c r="G3178" i="51"/>
  <c r="G3179" i="51"/>
  <c r="G3180" i="51"/>
  <c r="G3181" i="51"/>
  <c r="G3182" i="51"/>
  <c r="G3183" i="51"/>
  <c r="G3184" i="51"/>
  <c r="G3185" i="51"/>
  <c r="G3186" i="51"/>
  <c r="G3187" i="51"/>
  <c r="G3188" i="51"/>
  <c r="G3189" i="51"/>
  <c r="G3190" i="51"/>
  <c r="G3191" i="51"/>
  <c r="G3192" i="51"/>
  <c r="G3193" i="51"/>
  <c r="G3194" i="51"/>
  <c r="G3195" i="51"/>
  <c r="G3196" i="51"/>
  <c r="G3197" i="51"/>
  <c r="G3198" i="51"/>
  <c r="G3199" i="51"/>
  <c r="G3200" i="51"/>
  <c r="G3201" i="51"/>
  <c r="G3202" i="51"/>
  <c r="G3203" i="51"/>
  <c r="G3204" i="51"/>
  <c r="G3205" i="51"/>
  <c r="G3206" i="51"/>
  <c r="G3207" i="51"/>
  <c r="G3208" i="51"/>
  <c r="G3209" i="51"/>
  <c r="G3210" i="51"/>
  <c r="G3211" i="51"/>
  <c r="G3212" i="51"/>
  <c r="G3213" i="51"/>
  <c r="G3214" i="51"/>
  <c r="G3215" i="51"/>
  <c r="G3216" i="51"/>
  <c r="G3217" i="51"/>
  <c r="G3218" i="51"/>
  <c r="G3219" i="51"/>
  <c r="G3220" i="51"/>
  <c r="G3221" i="51"/>
  <c r="G3222" i="51"/>
  <c r="G3223" i="51"/>
  <c r="G3224" i="51"/>
  <c r="G3225" i="51"/>
  <c r="G3226" i="51"/>
  <c r="G3227" i="51"/>
  <c r="G3228" i="51"/>
  <c r="G3229" i="51"/>
  <c r="G3230" i="51"/>
  <c r="G3231" i="51"/>
  <c r="G3232" i="51"/>
  <c r="G3233" i="51"/>
  <c r="G3234" i="51"/>
  <c r="G3235" i="51"/>
  <c r="G3" i="51"/>
  <c r="J130" i="50" l="1"/>
  <c r="L128" i="50"/>
  <c r="J128" i="50"/>
  <c r="L131" i="50"/>
  <c r="F127" i="52"/>
  <c r="F130" i="52"/>
  <c r="F107" i="52"/>
  <c r="F104" i="52"/>
  <c r="F133" i="52"/>
  <c r="F113" i="52"/>
  <c r="F134" i="52"/>
  <c r="F101" i="52"/>
  <c r="J140" i="50"/>
  <c r="M129" i="50"/>
  <c r="K143" i="50"/>
  <c r="K131" i="50"/>
  <c r="J138" i="50"/>
  <c r="K134" i="50"/>
  <c r="M143" i="50"/>
  <c r="J134" i="50"/>
  <c r="M131" i="50"/>
  <c r="M136" i="50"/>
  <c r="J131" i="50"/>
  <c r="M128" i="50"/>
  <c r="J123" i="50"/>
  <c r="K144" i="50"/>
  <c r="K128" i="50"/>
  <c r="K124" i="50"/>
  <c r="F123" i="52"/>
  <c r="F99" i="52"/>
  <c r="F115" i="52"/>
  <c r="F116" i="52"/>
  <c r="F117" i="52"/>
  <c r="F132" i="52"/>
  <c r="F129" i="52"/>
  <c r="F128" i="52"/>
  <c r="F108" i="52"/>
  <c r="F109" i="52"/>
  <c r="F110" i="52"/>
  <c r="F136" i="52"/>
  <c r="F111" i="52"/>
  <c r="F103" i="52"/>
  <c r="F112" i="52"/>
  <c r="F124" i="52"/>
  <c r="F120" i="52"/>
  <c r="F125" i="52"/>
  <c r="F102" i="52"/>
  <c r="F100" i="52"/>
  <c r="F121" i="52"/>
  <c r="F114" i="52"/>
  <c r="F105" i="52"/>
  <c r="F135" i="52"/>
  <c r="F106" i="52"/>
  <c r="F119" i="52"/>
  <c r="F126" i="52"/>
  <c r="F131" i="52"/>
  <c r="F122" i="52"/>
  <c r="F138" i="52"/>
  <c r="F118" i="52"/>
  <c r="M124" i="50"/>
  <c r="M125" i="50"/>
  <c r="M132" i="50"/>
  <c r="J127" i="50"/>
  <c r="M140" i="50"/>
  <c r="J139" i="50"/>
  <c r="K136" i="50"/>
  <c r="K132" i="50"/>
  <c r="J132" i="50"/>
  <c r="J135" i="50"/>
  <c r="M144" i="50"/>
  <c r="J144" i="50"/>
  <c r="M121" i="50"/>
  <c r="M141" i="50"/>
  <c r="K120" i="50"/>
  <c r="M133" i="50"/>
  <c r="L132" i="50"/>
  <c r="J120" i="50"/>
  <c r="L124" i="50"/>
  <c r="J124" i="50"/>
  <c r="L144" i="50"/>
  <c r="L140" i="50"/>
  <c r="M137" i="50"/>
  <c r="M120" i="50"/>
  <c r="K140" i="50"/>
  <c r="L120" i="50"/>
  <c r="L123" i="50"/>
  <c r="K123" i="50"/>
  <c r="K138" i="50"/>
  <c r="K139" i="50"/>
  <c r="L127" i="50"/>
  <c r="K127" i="50"/>
  <c r="J126" i="50"/>
  <c r="K135" i="50"/>
  <c r="M138" i="50"/>
  <c r="L137" i="50"/>
  <c r="K122" i="50"/>
  <c r="L121" i="50"/>
  <c r="M135" i="50"/>
  <c r="M127" i="50"/>
  <c r="M142" i="50"/>
  <c r="J122" i="50"/>
  <c r="M134" i="50"/>
  <c r="K125" i="50"/>
  <c r="K121" i="50"/>
  <c r="K142" i="50"/>
  <c r="L141" i="50"/>
  <c r="K137" i="50"/>
  <c r="L135" i="50"/>
  <c r="J137" i="50"/>
  <c r="K141" i="50"/>
  <c r="L139" i="50"/>
  <c r="L133" i="50"/>
  <c r="K129" i="50"/>
  <c r="M139" i="50"/>
  <c r="J142" i="50"/>
  <c r="J141" i="50"/>
  <c r="K133" i="50"/>
  <c r="K130" i="50"/>
  <c r="L129" i="50"/>
  <c r="K126" i="50"/>
  <c r="L125" i="50"/>
  <c r="M123" i="50"/>
  <c r="J133" i="50"/>
  <c r="M130" i="50"/>
  <c r="J129" i="50"/>
  <c r="M126" i="50"/>
  <c r="J125" i="50"/>
  <c r="M122" i="50"/>
  <c r="J121" i="50"/>
  <c r="L142" i="50"/>
  <c r="L138" i="50"/>
  <c r="L134" i="50"/>
  <c r="L130" i="50"/>
  <c r="L126" i="50"/>
  <c r="L122" i="50"/>
  <c r="AR135" i="50" l="1"/>
  <c r="BP7" i="64" l="1"/>
  <c r="BP8" i="64"/>
  <c r="BP9" i="64"/>
  <c r="BP10" i="64"/>
  <c r="BP11" i="64"/>
  <c r="BP12" i="64"/>
  <c r="BP13" i="64"/>
  <c r="BP14" i="64"/>
  <c r="BP15" i="64"/>
  <c r="BP16" i="64"/>
  <c r="BP17" i="64"/>
  <c r="BP18" i="64"/>
  <c r="BP19" i="64"/>
  <c r="BP21" i="64"/>
  <c r="BP22" i="64"/>
  <c r="BP23" i="64"/>
  <c r="BP24" i="64"/>
  <c r="BP25" i="64"/>
  <c r="BP26" i="64"/>
  <c r="BP27" i="64"/>
  <c r="BP28" i="64"/>
  <c r="BP29" i="64"/>
  <c r="BP30" i="64"/>
  <c r="BP31" i="64"/>
  <c r="BP32" i="64"/>
  <c r="BP34" i="64"/>
  <c r="BP35" i="64"/>
  <c r="BP36" i="64"/>
  <c r="BP37" i="64"/>
  <c r="BP38" i="64"/>
  <c r="BP39" i="64"/>
  <c r="BP40" i="64"/>
  <c r="BP41" i="64"/>
  <c r="BP42" i="64"/>
  <c r="BP43" i="64"/>
  <c r="BP44" i="64"/>
  <c r="BP45" i="64"/>
  <c r="BP46" i="64"/>
  <c r="BP47" i="64"/>
  <c r="BP48" i="64"/>
  <c r="BP49" i="64"/>
  <c r="BP50" i="64"/>
  <c r="BP51" i="64"/>
  <c r="BP52" i="64"/>
  <c r="BP53" i="64"/>
  <c r="BP54" i="64"/>
  <c r="BP56" i="64"/>
  <c r="BP57" i="64"/>
  <c r="BP59" i="64"/>
  <c r="BP60" i="64"/>
  <c r="BP62" i="64"/>
  <c r="BP63" i="64"/>
  <c r="BP64" i="64"/>
  <c r="BP65" i="64"/>
  <c r="BP6" i="64"/>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G12" i="122"/>
  <c r="F6" i="122"/>
  <c r="E6" i="122"/>
  <c r="D6" i="122"/>
  <c r="C6" i="122"/>
  <c r="G5" i="122"/>
  <c r="G4" i="122"/>
  <c r="G6" i="122" l="1"/>
  <c r="AI55" i="64" s="1"/>
  <c r="CK20" i="64"/>
  <c r="CK22" i="64"/>
  <c r="CK21" i="64"/>
  <c r="CK55" i="64"/>
  <c r="AS55" i="64"/>
  <c r="AS61" i="64"/>
  <c r="CK58" i="64"/>
  <c r="CK61" i="64"/>
  <c r="AS58" i="64"/>
  <c r="CK33" i="64"/>
  <c r="AS20" i="64"/>
  <c r="AS33" i="64"/>
  <c r="AI6" i="64"/>
  <c r="AI62" i="64"/>
  <c r="AI56" i="64"/>
  <c r="AI51" i="64"/>
  <c r="AI47" i="64"/>
  <c r="AI43" i="64"/>
  <c r="AI39" i="64"/>
  <c r="AI35" i="64"/>
  <c r="AI30" i="64"/>
  <c r="AI26" i="64"/>
  <c r="AI22" i="64"/>
  <c r="AI17" i="64"/>
  <c r="AI13" i="64"/>
  <c r="AI9" i="64"/>
  <c r="AS65" i="64"/>
  <c r="AS63" i="64"/>
  <c r="AS60" i="64"/>
  <c r="AS57" i="64"/>
  <c r="AS54" i="64"/>
  <c r="AS52" i="64"/>
  <c r="AS50" i="64"/>
  <c r="AS48" i="64"/>
  <c r="AS46" i="64"/>
  <c r="AS44" i="64"/>
  <c r="AS42" i="64"/>
  <c r="AS40" i="64"/>
  <c r="AS38" i="64"/>
  <c r="AS36" i="64"/>
  <c r="AS34" i="64"/>
  <c r="AS31" i="64"/>
  <c r="AS29" i="64"/>
  <c r="AS27" i="64"/>
  <c r="AS25" i="64"/>
  <c r="AS23" i="64"/>
  <c r="AS21" i="64"/>
  <c r="AS18" i="64"/>
  <c r="AS16" i="64"/>
  <c r="AS14" i="64"/>
  <c r="AS12" i="64"/>
  <c r="AS10" i="64"/>
  <c r="AS8" i="64"/>
  <c r="CK65" i="64"/>
  <c r="CK63" i="64"/>
  <c r="CK60" i="64"/>
  <c r="CK57" i="64"/>
  <c r="CK54" i="64"/>
  <c r="CK52" i="64"/>
  <c r="CK50" i="64"/>
  <c r="CK48" i="64"/>
  <c r="CK46" i="64"/>
  <c r="CK44" i="64"/>
  <c r="CK42" i="64"/>
  <c r="CK40" i="64"/>
  <c r="CK38" i="64"/>
  <c r="CK36" i="64"/>
  <c r="CK34" i="64"/>
  <c r="CK31" i="64"/>
  <c r="CK29" i="64"/>
  <c r="CK27" i="64"/>
  <c r="CK25" i="64"/>
  <c r="CK23" i="64"/>
  <c r="CK18" i="64"/>
  <c r="CK16" i="64"/>
  <c r="CK14" i="64"/>
  <c r="CK12" i="64"/>
  <c r="CK10" i="64"/>
  <c r="CK8" i="64"/>
  <c r="AI65" i="64"/>
  <c r="AI63" i="64"/>
  <c r="AI60" i="64"/>
  <c r="AI57" i="64"/>
  <c r="AI54" i="64"/>
  <c r="AI52" i="64"/>
  <c r="AI50" i="64"/>
  <c r="AI48" i="64"/>
  <c r="AI46" i="64"/>
  <c r="AI44" i="64"/>
  <c r="AI42" i="64"/>
  <c r="AI40" i="64"/>
  <c r="AI38" i="64"/>
  <c r="AI36" i="64"/>
  <c r="AI34" i="64"/>
  <c r="AI31" i="64"/>
  <c r="AI29" i="64"/>
  <c r="AI27" i="64"/>
  <c r="AI25" i="64"/>
  <c r="AI23" i="64"/>
  <c r="AI21" i="64"/>
  <c r="AI18" i="64"/>
  <c r="AI16" i="64"/>
  <c r="AI14" i="64"/>
  <c r="AI12" i="64"/>
  <c r="AI10" i="64"/>
  <c r="AI8" i="64"/>
  <c r="AS6" i="64"/>
  <c r="AS64" i="64"/>
  <c r="AS62" i="64"/>
  <c r="AS59" i="64"/>
  <c r="AS56" i="64"/>
  <c r="AS53" i="64"/>
  <c r="AS51" i="64"/>
  <c r="AS49" i="64"/>
  <c r="AS47" i="64"/>
  <c r="AS45" i="64"/>
  <c r="AS43" i="64"/>
  <c r="AS41" i="64"/>
  <c r="AS39" i="64"/>
  <c r="AS37" i="64"/>
  <c r="AS35" i="64"/>
  <c r="AS32" i="64"/>
  <c r="AS30" i="64"/>
  <c r="AS28" i="64"/>
  <c r="AS26" i="64"/>
  <c r="AS24" i="64"/>
  <c r="AS22" i="64"/>
  <c r="AS19" i="64"/>
  <c r="AS17" i="64"/>
  <c r="AS15" i="64"/>
  <c r="AS13" i="64"/>
  <c r="AS11" i="64"/>
  <c r="AS9" i="64"/>
  <c r="AS7" i="64"/>
  <c r="CK6" i="64"/>
  <c r="CK64" i="64"/>
  <c r="CK62" i="64"/>
  <c r="CK59" i="64"/>
  <c r="CK56" i="64"/>
  <c r="CK53" i="64"/>
  <c r="CK51" i="64"/>
  <c r="CK49" i="64"/>
  <c r="CK47" i="64"/>
  <c r="CK45" i="64"/>
  <c r="CK43" i="64"/>
  <c r="CK41" i="64"/>
  <c r="CK39" i="64"/>
  <c r="CK37" i="64"/>
  <c r="CK35" i="64"/>
  <c r="CK32" i="64"/>
  <c r="CK30" i="64"/>
  <c r="CK28" i="64"/>
  <c r="CK26" i="64"/>
  <c r="CK24" i="64"/>
  <c r="CK19" i="64"/>
  <c r="CK17" i="64"/>
  <c r="CK15" i="64"/>
  <c r="CK13" i="64"/>
  <c r="CK11" i="64"/>
  <c r="CK9" i="64"/>
  <c r="CK7" i="64"/>
  <c r="AI7" i="64" l="1"/>
  <c r="AI11" i="64"/>
  <c r="AI15" i="64"/>
  <c r="AI19" i="64"/>
  <c r="AI24" i="64"/>
  <c r="AI28" i="64"/>
  <c r="AI32" i="64"/>
  <c r="AI37" i="64"/>
  <c r="AI41" i="64"/>
  <c r="AI45" i="64"/>
  <c r="AI49" i="64"/>
  <c r="AI53" i="64"/>
  <c r="AI59" i="64"/>
  <c r="AI64" i="64"/>
  <c r="AI20" i="64"/>
  <c r="AI33" i="64"/>
  <c r="AI61" i="64"/>
  <c r="AI58" i="64"/>
  <c r="AW65" i="64"/>
  <c r="AU65" i="64"/>
  <c r="AW64" i="64"/>
  <c r="AU64" i="64"/>
  <c r="AW63" i="64"/>
  <c r="AU63" i="64"/>
  <c r="AW62" i="64"/>
  <c r="AU62" i="64"/>
  <c r="AW61" i="64"/>
  <c r="AU61" i="64"/>
  <c r="AW60" i="64"/>
  <c r="AU60" i="64"/>
  <c r="AW59" i="64"/>
  <c r="AU59" i="64"/>
  <c r="AW58" i="64"/>
  <c r="AU58" i="64"/>
  <c r="AW57" i="64"/>
  <c r="AU57" i="64"/>
  <c r="AW56" i="64"/>
  <c r="AU56" i="64"/>
  <c r="AW55" i="64"/>
  <c r="AU55" i="64"/>
  <c r="AW54" i="64"/>
  <c r="AU54" i="64"/>
  <c r="AW53" i="64"/>
  <c r="AU53" i="64"/>
  <c r="AW52" i="64"/>
  <c r="AU52" i="64"/>
  <c r="AW51" i="64"/>
  <c r="AU51" i="64"/>
  <c r="AW50" i="64"/>
  <c r="AU50" i="64"/>
  <c r="AW49" i="64"/>
  <c r="AU49" i="64"/>
  <c r="AW48" i="64"/>
  <c r="AU48" i="64"/>
  <c r="AW47" i="64"/>
  <c r="AU47" i="64"/>
  <c r="AW46" i="64"/>
  <c r="AU46" i="64"/>
  <c r="AW45" i="64"/>
  <c r="AU45" i="64"/>
  <c r="AW44" i="64"/>
  <c r="AU44" i="64"/>
  <c r="AW43" i="64"/>
  <c r="AU43" i="64"/>
  <c r="AW42" i="64"/>
  <c r="AU42" i="64"/>
  <c r="AW41" i="64"/>
  <c r="AU41" i="64"/>
  <c r="AW40" i="64"/>
  <c r="AU40" i="64"/>
  <c r="AW39" i="64"/>
  <c r="AU39" i="64"/>
  <c r="AW38" i="64"/>
  <c r="AU38" i="64"/>
  <c r="AW37" i="64"/>
  <c r="AU37" i="64"/>
  <c r="AW36" i="64"/>
  <c r="AU36" i="64"/>
  <c r="AW35" i="64"/>
  <c r="AU35" i="64"/>
  <c r="AW34" i="64"/>
  <c r="AU34" i="64"/>
  <c r="AW33" i="64"/>
  <c r="AU33" i="64"/>
  <c r="AW32" i="64"/>
  <c r="AU32" i="64"/>
  <c r="AW31" i="64"/>
  <c r="AU31" i="64"/>
  <c r="AW30" i="64"/>
  <c r="AU30" i="64"/>
  <c r="AW29" i="64"/>
  <c r="AU29" i="64"/>
  <c r="AW28" i="64"/>
  <c r="AU28" i="64"/>
  <c r="AW27" i="64"/>
  <c r="AU27" i="64"/>
  <c r="AW26" i="64"/>
  <c r="AU26" i="64"/>
  <c r="AW25" i="64"/>
  <c r="AU25" i="64"/>
  <c r="AW24" i="64"/>
  <c r="AU24" i="64"/>
  <c r="AW23" i="64"/>
  <c r="AU23" i="64"/>
  <c r="AW22" i="64"/>
  <c r="AU22" i="64"/>
  <c r="AW21" i="64"/>
  <c r="AU21" i="64"/>
  <c r="AW20" i="64"/>
  <c r="AU20" i="64"/>
  <c r="AW19" i="64"/>
  <c r="AU19" i="64"/>
  <c r="AW18" i="64"/>
  <c r="AU18" i="64"/>
  <c r="AW17" i="64"/>
  <c r="AU17" i="64"/>
  <c r="AW16" i="64"/>
  <c r="AU16" i="64"/>
  <c r="AW15" i="64"/>
  <c r="AU15" i="64"/>
  <c r="AW14" i="64"/>
  <c r="AU14" i="64"/>
  <c r="AW13" i="64"/>
  <c r="AU13" i="64"/>
  <c r="AW12" i="64"/>
  <c r="AU12" i="64"/>
  <c r="AW11" i="64"/>
  <c r="AU11" i="64"/>
  <c r="AW10" i="64"/>
  <c r="AU10" i="64"/>
  <c r="AW9" i="64"/>
  <c r="AU9" i="64"/>
  <c r="AW8" i="64"/>
  <c r="AU8" i="64"/>
  <c r="AW7" i="64"/>
  <c r="AU7" i="64"/>
  <c r="AW6" i="64"/>
  <c r="AU6" i="64"/>
  <c r="AV65" i="64"/>
  <c r="AT65" i="64"/>
  <c r="AV64" i="64"/>
  <c r="AT64" i="64"/>
  <c r="AV63" i="64"/>
  <c r="AT63" i="64"/>
  <c r="AV62" i="64"/>
  <c r="AT62" i="64"/>
  <c r="AV61" i="64"/>
  <c r="AT61" i="64"/>
  <c r="AV60" i="64"/>
  <c r="AT60" i="64"/>
  <c r="AV59" i="64"/>
  <c r="AT59" i="64"/>
  <c r="AV58" i="64"/>
  <c r="AT58" i="64"/>
  <c r="AV57" i="64"/>
  <c r="AT57" i="64"/>
  <c r="AV56" i="64"/>
  <c r="AT56" i="64"/>
  <c r="AV55" i="64"/>
  <c r="AT55" i="64"/>
  <c r="AV54" i="64"/>
  <c r="AT54" i="64"/>
  <c r="AV53" i="64"/>
  <c r="AT53" i="64"/>
  <c r="AV52" i="64"/>
  <c r="AT52" i="64"/>
  <c r="AV51" i="64"/>
  <c r="AT51" i="64"/>
  <c r="AV50" i="64"/>
  <c r="AT50" i="64"/>
  <c r="AV49" i="64"/>
  <c r="AT49" i="64"/>
  <c r="AV48" i="64"/>
  <c r="AT48" i="64"/>
  <c r="AV47" i="64"/>
  <c r="AT47" i="64"/>
  <c r="AV46" i="64"/>
  <c r="AT46" i="64"/>
  <c r="AV45" i="64"/>
  <c r="AT45" i="64"/>
  <c r="AV44" i="64"/>
  <c r="AT44" i="64"/>
  <c r="AV43" i="64"/>
  <c r="AT43" i="64"/>
  <c r="AV42" i="64"/>
  <c r="AT42" i="64"/>
  <c r="AV41" i="64"/>
  <c r="AT41" i="64"/>
  <c r="AV40" i="64"/>
  <c r="AT40" i="64"/>
  <c r="AV39" i="64"/>
  <c r="AT39" i="64"/>
  <c r="AV38" i="64"/>
  <c r="AT38" i="64"/>
  <c r="AV37" i="64"/>
  <c r="AT37" i="64"/>
  <c r="AV36" i="64"/>
  <c r="AT36" i="64"/>
  <c r="AV35" i="64"/>
  <c r="AT35" i="64"/>
  <c r="AV34" i="64"/>
  <c r="AT34" i="64"/>
  <c r="AV33" i="64"/>
  <c r="AT33" i="64"/>
  <c r="AV32" i="64"/>
  <c r="AT32" i="64"/>
  <c r="AV31" i="64"/>
  <c r="AT31" i="64"/>
  <c r="AV30" i="64"/>
  <c r="AT30" i="64"/>
  <c r="AV29" i="64"/>
  <c r="AT29" i="64"/>
  <c r="AV28" i="64"/>
  <c r="AT28" i="64"/>
  <c r="AV27" i="64"/>
  <c r="AT27" i="64"/>
  <c r="AV26" i="64"/>
  <c r="AT26" i="64"/>
  <c r="AV25" i="64"/>
  <c r="AT25" i="64"/>
  <c r="AV24" i="64"/>
  <c r="AT24" i="64"/>
  <c r="AV23" i="64"/>
  <c r="AT23" i="64"/>
  <c r="AV22" i="64"/>
  <c r="AT22" i="64"/>
  <c r="AV21" i="64"/>
  <c r="AT21" i="64"/>
  <c r="AV20" i="64"/>
  <c r="AT20" i="64"/>
  <c r="AV19" i="64"/>
  <c r="AT19" i="64"/>
  <c r="AV18" i="64"/>
  <c r="AT18" i="64"/>
  <c r="AV17" i="64"/>
  <c r="AT17" i="64"/>
  <c r="AV16" i="64"/>
  <c r="AT16" i="64"/>
  <c r="AV15" i="64"/>
  <c r="AT15" i="64"/>
  <c r="AV14" i="64"/>
  <c r="AT14" i="64"/>
  <c r="AV13" i="64"/>
  <c r="AT13" i="64"/>
  <c r="AV12" i="64"/>
  <c r="AT12" i="64"/>
  <c r="AV11" i="64"/>
  <c r="AT11" i="64"/>
  <c r="AV10" i="64"/>
  <c r="AT10" i="64"/>
  <c r="AV9" i="64"/>
  <c r="AT9" i="64"/>
  <c r="AV8" i="64"/>
  <c r="AT8" i="64"/>
  <c r="AV7" i="64"/>
  <c r="AT7" i="64"/>
  <c r="AV6" i="64"/>
  <c r="AT6" i="64"/>
  <c r="E88" i="58" l="1"/>
  <c r="D88" i="58"/>
  <c r="C65" i="58"/>
  <c r="C64" i="58"/>
  <c r="U64" i="82"/>
  <c r="U63" i="82"/>
  <c r="U62" i="82"/>
  <c r="U61" i="82"/>
  <c r="U59" i="82"/>
  <c r="U58" i="82"/>
  <c r="U56" i="82"/>
  <c r="U55" i="82"/>
  <c r="U53" i="82"/>
  <c r="U52" i="82"/>
  <c r="U51" i="82"/>
  <c r="U50" i="82"/>
  <c r="U49" i="82"/>
  <c r="U48" i="82"/>
  <c r="U47" i="82"/>
  <c r="U46" i="82"/>
  <c r="U45" i="82"/>
  <c r="U44" i="82"/>
  <c r="U43" i="82"/>
  <c r="U42" i="82"/>
  <c r="U41" i="82"/>
  <c r="U40" i="82"/>
  <c r="U39" i="82"/>
  <c r="U38" i="82"/>
  <c r="U37" i="82"/>
  <c r="U36" i="82"/>
  <c r="U35" i="82"/>
  <c r="U34" i="82"/>
  <c r="U33" i="82"/>
  <c r="U31" i="82"/>
  <c r="U30" i="82"/>
  <c r="U29" i="82"/>
  <c r="U28" i="82"/>
  <c r="U27" i="82"/>
  <c r="U26" i="82"/>
  <c r="U25" i="82"/>
  <c r="U24" i="82"/>
  <c r="U23" i="82"/>
  <c r="U22" i="82"/>
  <c r="U21" i="82"/>
  <c r="U20" i="82"/>
  <c r="U18" i="82"/>
  <c r="U17" i="82"/>
  <c r="U16" i="82"/>
  <c r="U15" i="82"/>
  <c r="U14" i="82"/>
  <c r="U13" i="82"/>
  <c r="U12" i="82"/>
  <c r="U11" i="82"/>
  <c r="U10" i="82"/>
  <c r="U9" i="82"/>
  <c r="U8" i="82"/>
  <c r="U7" i="82"/>
  <c r="U6" i="82"/>
  <c r="U5" i="82"/>
  <c r="R42" i="82"/>
  <c r="S42" i="82"/>
  <c r="T42" i="82"/>
  <c r="R43" i="82"/>
  <c r="S43" i="82"/>
  <c r="T43" i="82"/>
  <c r="R44" i="82"/>
  <c r="S44" i="82"/>
  <c r="T44" i="82"/>
  <c r="R45" i="82"/>
  <c r="S45" i="82"/>
  <c r="T45" i="82"/>
  <c r="R46" i="82"/>
  <c r="S46" i="82"/>
  <c r="T46" i="82"/>
  <c r="R47" i="82"/>
  <c r="S47" i="82"/>
  <c r="T47" i="82"/>
  <c r="R48" i="82"/>
  <c r="S48" i="82"/>
  <c r="T48" i="82"/>
  <c r="R49" i="82"/>
  <c r="S49" i="82"/>
  <c r="T49" i="82"/>
  <c r="R50" i="82"/>
  <c r="S50" i="82"/>
  <c r="T50" i="82"/>
  <c r="R51" i="82"/>
  <c r="S51" i="82"/>
  <c r="T51" i="82"/>
  <c r="R52" i="82"/>
  <c r="S52" i="82"/>
  <c r="T52" i="82"/>
  <c r="R53" i="82"/>
  <c r="S53" i="82"/>
  <c r="T53" i="82"/>
  <c r="R55" i="82"/>
  <c r="S55" i="82"/>
  <c r="T55" i="82"/>
  <c r="R56" i="82"/>
  <c r="S56" i="82"/>
  <c r="T56" i="82"/>
  <c r="R58" i="82"/>
  <c r="S58" i="82"/>
  <c r="T58" i="82"/>
  <c r="R59" i="82"/>
  <c r="S59" i="82"/>
  <c r="T59" i="82"/>
  <c r="R61" i="82"/>
  <c r="S61" i="82"/>
  <c r="T61" i="82"/>
  <c r="R62" i="82"/>
  <c r="S62" i="82"/>
  <c r="T62" i="82"/>
  <c r="R63" i="82"/>
  <c r="S63" i="82"/>
  <c r="T63" i="82"/>
  <c r="R64" i="82"/>
  <c r="S64" i="82"/>
  <c r="T64" i="82"/>
  <c r="R5" i="82"/>
  <c r="S5" i="82"/>
  <c r="T5" i="82"/>
  <c r="R6" i="82"/>
  <c r="S6" i="82"/>
  <c r="T6" i="82"/>
  <c r="R7" i="82"/>
  <c r="S7" i="82"/>
  <c r="T7" i="82"/>
  <c r="R8" i="82"/>
  <c r="S8" i="82"/>
  <c r="T8" i="82"/>
  <c r="R9" i="82"/>
  <c r="S9" i="82"/>
  <c r="T9" i="82"/>
  <c r="R10" i="82"/>
  <c r="S10" i="82"/>
  <c r="T10" i="82"/>
  <c r="R11" i="82"/>
  <c r="S11" i="82"/>
  <c r="T11" i="82"/>
  <c r="R12" i="82"/>
  <c r="S12" i="82"/>
  <c r="T12" i="82"/>
  <c r="R13" i="82"/>
  <c r="S13" i="82"/>
  <c r="T13" i="82"/>
  <c r="R14" i="82"/>
  <c r="S14" i="82"/>
  <c r="T14" i="82"/>
  <c r="R15" i="82"/>
  <c r="S15" i="82"/>
  <c r="T15" i="82"/>
  <c r="R16" i="82"/>
  <c r="S16" i="82"/>
  <c r="T16" i="82"/>
  <c r="R17" i="82"/>
  <c r="S17" i="82"/>
  <c r="T17" i="82"/>
  <c r="R18" i="82"/>
  <c r="S18" i="82"/>
  <c r="T18" i="82"/>
  <c r="R20" i="82"/>
  <c r="S20" i="82"/>
  <c r="T20" i="82"/>
  <c r="R21" i="82"/>
  <c r="S21" i="82"/>
  <c r="T21" i="82"/>
  <c r="R22" i="82"/>
  <c r="S22" i="82"/>
  <c r="T22" i="82"/>
  <c r="R23" i="82"/>
  <c r="S23" i="82"/>
  <c r="T23" i="82"/>
  <c r="R24" i="82"/>
  <c r="S24" i="82"/>
  <c r="T24" i="82"/>
  <c r="R25" i="82"/>
  <c r="S25" i="82"/>
  <c r="T25" i="82"/>
  <c r="R26" i="82"/>
  <c r="S26" i="82"/>
  <c r="T26" i="82"/>
  <c r="R27" i="82"/>
  <c r="S27" i="82"/>
  <c r="T27" i="82"/>
  <c r="R28" i="82"/>
  <c r="S28" i="82"/>
  <c r="T28" i="82"/>
  <c r="R29" i="82"/>
  <c r="S29" i="82"/>
  <c r="T29" i="82"/>
  <c r="R30" i="82"/>
  <c r="S30" i="82"/>
  <c r="T30" i="82"/>
  <c r="R31" i="82"/>
  <c r="S31" i="82"/>
  <c r="T31" i="82"/>
  <c r="R33" i="82"/>
  <c r="S33" i="82"/>
  <c r="T33" i="82"/>
  <c r="R34" i="82"/>
  <c r="S34" i="82"/>
  <c r="T34" i="82"/>
  <c r="R35" i="82"/>
  <c r="S35" i="82"/>
  <c r="T35" i="82"/>
  <c r="R36" i="82"/>
  <c r="S36" i="82"/>
  <c r="T36" i="82"/>
  <c r="R37" i="82"/>
  <c r="S37" i="82"/>
  <c r="T37" i="82"/>
  <c r="R38" i="82"/>
  <c r="S38" i="82"/>
  <c r="T38" i="82"/>
  <c r="R39" i="82"/>
  <c r="S39" i="82"/>
  <c r="T39" i="82"/>
  <c r="R40" i="82"/>
  <c r="S40" i="82"/>
  <c r="T40" i="82"/>
  <c r="T41" i="82"/>
  <c r="R41" i="82"/>
  <c r="S41" i="82"/>
  <c r="B8" i="50"/>
  <c r="C8" i="50"/>
  <c r="D8" i="50"/>
  <c r="E8" i="50"/>
  <c r="F8" i="50"/>
  <c r="G8" i="50"/>
  <c r="H8" i="50"/>
  <c r="I8" i="50"/>
  <c r="U5" i="97"/>
  <c r="W5" i="97" s="1"/>
  <c r="U6" i="97"/>
  <c r="W6" i="97" s="1"/>
  <c r="U7" i="97"/>
  <c r="W7" i="97" s="1"/>
  <c r="U8" i="97"/>
  <c r="W8" i="97" s="1"/>
  <c r="U9" i="97"/>
  <c r="W9" i="97" s="1"/>
  <c r="U10" i="97"/>
  <c r="W10" i="97" s="1"/>
  <c r="U11" i="97"/>
  <c r="W11" i="97" s="1"/>
  <c r="U12" i="97"/>
  <c r="W12" i="97" s="1"/>
  <c r="U13" i="97"/>
  <c r="W13" i="97" s="1"/>
  <c r="U14" i="97"/>
  <c r="W14" i="97" s="1"/>
  <c r="U15" i="97"/>
  <c r="W15" i="97" s="1"/>
  <c r="U16" i="97"/>
  <c r="W16" i="97" s="1"/>
  <c r="U17" i="97"/>
  <c r="W17" i="97" s="1"/>
  <c r="U18" i="97"/>
  <c r="W18" i="97" s="1"/>
  <c r="U19" i="97"/>
  <c r="W19" i="97" s="1"/>
  <c r="U20" i="97"/>
  <c r="W20" i="97" s="1"/>
  <c r="U21" i="97"/>
  <c r="W21" i="97" s="1"/>
  <c r="U22" i="97"/>
  <c r="W22" i="97" s="1"/>
  <c r="U23" i="97"/>
  <c r="W23" i="97" s="1"/>
  <c r="U24" i="97"/>
  <c r="W24" i="97" s="1"/>
  <c r="U25" i="97"/>
  <c r="W25" i="97" s="1"/>
  <c r="U26" i="97"/>
  <c r="W26" i="97" s="1"/>
  <c r="U27" i="97"/>
  <c r="W27" i="97" s="1"/>
  <c r="U28" i="97"/>
  <c r="W28" i="97" s="1"/>
  <c r="U29" i="97"/>
  <c r="W29" i="97" s="1"/>
  <c r="U30" i="97"/>
  <c r="W30" i="97" s="1"/>
  <c r="U31" i="97"/>
  <c r="W31" i="97" s="1"/>
  <c r="U32" i="97"/>
  <c r="W32" i="97" s="1"/>
  <c r="U33" i="97"/>
  <c r="W33" i="97" s="1"/>
  <c r="U34" i="97"/>
  <c r="W34" i="97" s="1"/>
  <c r="U35" i="97"/>
  <c r="W35" i="97" s="1"/>
  <c r="U36" i="97"/>
  <c r="W36" i="97" s="1"/>
  <c r="U37" i="97"/>
  <c r="W37" i="97" s="1"/>
  <c r="U38" i="97"/>
  <c r="W38" i="97" s="1"/>
  <c r="U39" i="97"/>
  <c r="W39" i="97" s="1"/>
  <c r="U40" i="97"/>
  <c r="W40" i="97" s="1"/>
  <c r="U41" i="97"/>
  <c r="W41" i="97" s="1"/>
  <c r="U42" i="97"/>
  <c r="W42" i="97" s="1"/>
  <c r="U43" i="97"/>
  <c r="W43" i="97" s="1"/>
  <c r="U44" i="97"/>
  <c r="W44" i="97" s="1"/>
  <c r="U45" i="97"/>
  <c r="W45" i="97" s="1"/>
  <c r="U46" i="97"/>
  <c r="W46" i="97" s="1"/>
  <c r="U47" i="97"/>
  <c r="W47" i="97" s="1"/>
  <c r="U48" i="97"/>
  <c r="W48" i="97" s="1"/>
  <c r="U49" i="97"/>
  <c r="W49" i="97" s="1"/>
  <c r="U50" i="97"/>
  <c r="W50" i="97" s="1"/>
  <c r="U51" i="97"/>
  <c r="W51" i="97" s="1"/>
  <c r="U52" i="97"/>
  <c r="W52" i="97" s="1"/>
  <c r="U53" i="97"/>
  <c r="W53" i="97" s="1"/>
  <c r="U54" i="97"/>
  <c r="W54" i="97" s="1"/>
  <c r="U55" i="97"/>
  <c r="W55" i="97" s="1"/>
  <c r="U56" i="97"/>
  <c r="W56" i="97" s="1"/>
  <c r="U57" i="97"/>
  <c r="W57" i="97" s="1"/>
  <c r="U58" i="97"/>
  <c r="W58" i="97" s="1"/>
  <c r="U59" i="97"/>
  <c r="W59" i="97" s="1"/>
  <c r="U60" i="97"/>
  <c r="W60" i="97" s="1"/>
  <c r="U61" i="97"/>
  <c r="W61" i="97" s="1"/>
  <c r="U62" i="97"/>
  <c r="W62" i="97" s="1"/>
  <c r="U63" i="97"/>
  <c r="W63" i="97" s="1"/>
  <c r="U64" i="97"/>
  <c r="W64" i="97" s="1"/>
  <c r="U65" i="97"/>
  <c r="W65" i="97" s="1"/>
  <c r="U66" i="97"/>
  <c r="W66" i="97" s="1"/>
  <c r="U67" i="97"/>
  <c r="W67" i="97" s="1"/>
  <c r="U68" i="97"/>
  <c r="W68" i="97" s="1"/>
  <c r="U69" i="97"/>
  <c r="W69" i="97" s="1"/>
  <c r="U70" i="97"/>
  <c r="W70" i="97" s="1"/>
  <c r="U71" i="97"/>
  <c r="W71" i="97" s="1"/>
  <c r="U72" i="97"/>
  <c r="W72" i="97" s="1"/>
  <c r="U73" i="97"/>
  <c r="W73" i="97" s="1"/>
  <c r="U74" i="97"/>
  <c r="W74" i="97" s="1"/>
  <c r="U75" i="97"/>
  <c r="W75" i="97" s="1"/>
  <c r="U76" i="97"/>
  <c r="W76" i="97" s="1"/>
  <c r="U77" i="97"/>
  <c r="W77" i="97" s="1"/>
  <c r="U78" i="97"/>
  <c r="W78" i="97" s="1"/>
  <c r="U79" i="97"/>
  <c r="W79" i="97" s="1"/>
  <c r="U80" i="97"/>
  <c r="W80" i="97" s="1"/>
  <c r="U81" i="97"/>
  <c r="W81" i="97" s="1"/>
  <c r="U82" i="97"/>
  <c r="W82" i="97" s="1"/>
  <c r="U83" i="97"/>
  <c r="W83" i="97" s="1"/>
  <c r="U84" i="97"/>
  <c r="W84" i="97" s="1"/>
  <c r="U85" i="97"/>
  <c r="W85" i="97" s="1"/>
  <c r="U86" i="97"/>
  <c r="W86" i="97" s="1"/>
  <c r="U87" i="97"/>
  <c r="W87" i="97" s="1"/>
  <c r="U88" i="97"/>
  <c r="W88" i="97" s="1"/>
  <c r="U89" i="97"/>
  <c r="W89" i="97" s="1"/>
  <c r="U90" i="97"/>
  <c r="W90" i="97" s="1"/>
  <c r="U91" i="97"/>
  <c r="W91" i="97" s="1"/>
  <c r="U92" i="97"/>
  <c r="W92" i="97" s="1"/>
  <c r="U93" i="97"/>
  <c r="W93" i="97" s="1"/>
  <c r="U94" i="97"/>
  <c r="W94" i="97" s="1"/>
  <c r="U95" i="97"/>
  <c r="W95" i="97" s="1"/>
  <c r="U96" i="97"/>
  <c r="W96" i="97" s="1"/>
  <c r="U97" i="97"/>
  <c r="W97" i="97" s="1"/>
  <c r="U98" i="97"/>
  <c r="W98" i="97" s="1"/>
  <c r="U99" i="97"/>
  <c r="W99" i="97" s="1"/>
  <c r="U100" i="97"/>
  <c r="W100" i="97" s="1"/>
  <c r="U101" i="97"/>
  <c r="W101" i="97" s="1"/>
  <c r="U102" i="97"/>
  <c r="W102" i="97" s="1"/>
  <c r="U103" i="97"/>
  <c r="W103" i="97" s="1"/>
  <c r="U104" i="97"/>
  <c r="W104" i="97" s="1"/>
  <c r="U105" i="97"/>
  <c r="W105" i="97" s="1"/>
  <c r="U106" i="97"/>
  <c r="W106" i="97" s="1"/>
  <c r="U107" i="97"/>
  <c r="W107" i="97" s="1"/>
  <c r="U108" i="97"/>
  <c r="W108" i="97" s="1"/>
  <c r="U109" i="97"/>
  <c r="W109" i="97" s="1"/>
  <c r="U110" i="97"/>
  <c r="W110" i="97" s="1"/>
  <c r="U111" i="97"/>
  <c r="W111" i="97" s="1"/>
  <c r="U112" i="97"/>
  <c r="W112" i="97" s="1"/>
  <c r="U113" i="97"/>
  <c r="W113" i="97" s="1"/>
  <c r="U114" i="97"/>
  <c r="W114" i="97" s="1"/>
  <c r="U115" i="97"/>
  <c r="W115" i="97" s="1"/>
  <c r="U116" i="97"/>
  <c r="W116" i="97" s="1"/>
  <c r="U117" i="97"/>
  <c r="W117" i="97" s="1"/>
  <c r="U118" i="97"/>
  <c r="W118" i="97" s="1"/>
  <c r="U119" i="97"/>
  <c r="W119" i="97" s="1"/>
  <c r="U120" i="97"/>
  <c r="W120" i="97" s="1"/>
  <c r="U121" i="97"/>
  <c r="W121" i="97" s="1"/>
  <c r="U122" i="97"/>
  <c r="W122" i="97" s="1"/>
  <c r="U123" i="97"/>
  <c r="W123" i="97" s="1"/>
  <c r="U124" i="97"/>
  <c r="W124" i="97" s="1"/>
  <c r="U125" i="97"/>
  <c r="W125" i="97" s="1"/>
  <c r="U126" i="97"/>
  <c r="W126" i="97" s="1"/>
  <c r="U127" i="97"/>
  <c r="W127" i="97" s="1"/>
  <c r="U128" i="97"/>
  <c r="W128" i="97" s="1"/>
  <c r="U129" i="97"/>
  <c r="W129" i="97" s="1"/>
  <c r="U130" i="97"/>
  <c r="W130" i="97" s="1"/>
  <c r="U131" i="97"/>
  <c r="W131" i="97" s="1"/>
  <c r="U132" i="97"/>
  <c r="W132" i="97" s="1"/>
  <c r="U133" i="97"/>
  <c r="W133" i="97" s="1"/>
  <c r="U134" i="97"/>
  <c r="W134" i="97" s="1"/>
  <c r="U135" i="97"/>
  <c r="W135" i="97" s="1"/>
  <c r="U136" i="97"/>
  <c r="W136" i="97" s="1"/>
  <c r="U137" i="97"/>
  <c r="W137" i="97" s="1"/>
  <c r="U138" i="97"/>
  <c r="W138" i="97" s="1"/>
  <c r="U139" i="97"/>
  <c r="W139" i="97" s="1"/>
  <c r="U140" i="97"/>
  <c r="W140" i="97" s="1"/>
  <c r="U141" i="97"/>
  <c r="W141" i="97" s="1"/>
  <c r="U142" i="97"/>
  <c r="W142" i="97" s="1"/>
  <c r="U143" i="97"/>
  <c r="W143" i="97" s="1"/>
  <c r="U144" i="97"/>
  <c r="W144" i="97" s="1"/>
  <c r="U145" i="97"/>
  <c r="W145" i="97" s="1"/>
  <c r="U146" i="97"/>
  <c r="W146" i="97" s="1"/>
  <c r="U147" i="97"/>
  <c r="W147" i="97" s="1"/>
  <c r="U148" i="97"/>
  <c r="W148" i="97" s="1"/>
  <c r="U149" i="97"/>
  <c r="W149" i="97" s="1"/>
  <c r="U150" i="97"/>
  <c r="W150" i="97" s="1"/>
  <c r="U151" i="97"/>
  <c r="W151" i="97" s="1"/>
  <c r="U152" i="97"/>
  <c r="W152" i="97" s="1"/>
  <c r="U153" i="97"/>
  <c r="W153" i="97" s="1"/>
  <c r="U154" i="97"/>
  <c r="W154" i="97" s="1"/>
  <c r="U155" i="97"/>
  <c r="W155" i="97" s="1"/>
  <c r="U156" i="97"/>
  <c r="W156" i="97" s="1"/>
  <c r="U157" i="97"/>
  <c r="W157" i="97" s="1"/>
  <c r="U158" i="97"/>
  <c r="W158" i="97" s="1"/>
  <c r="U159" i="97"/>
  <c r="W159" i="97" s="1"/>
  <c r="U160" i="97"/>
  <c r="W160" i="97" s="1"/>
  <c r="U161" i="97"/>
  <c r="W161" i="97" s="1"/>
  <c r="U162" i="97"/>
  <c r="W162" i="97" s="1"/>
  <c r="U163" i="97"/>
  <c r="W163" i="97" s="1"/>
  <c r="U164" i="97"/>
  <c r="W164" i="97" s="1"/>
  <c r="U165" i="97"/>
  <c r="W165" i="97" s="1"/>
  <c r="U166" i="97"/>
  <c r="W166" i="97" s="1"/>
  <c r="U167" i="97"/>
  <c r="W167" i="97" s="1"/>
  <c r="U168" i="97"/>
  <c r="W168" i="97" s="1"/>
  <c r="U169" i="97"/>
  <c r="W169" i="97" s="1"/>
  <c r="U170" i="97"/>
  <c r="W170" i="97" s="1"/>
  <c r="U171" i="97"/>
  <c r="W171" i="97" s="1"/>
  <c r="U172" i="97"/>
  <c r="W172" i="97" s="1"/>
  <c r="U173" i="97"/>
  <c r="W173" i="97" s="1"/>
  <c r="U174" i="97"/>
  <c r="W174" i="97" s="1"/>
  <c r="U175" i="97"/>
  <c r="W175" i="97" s="1"/>
  <c r="U176" i="97"/>
  <c r="W176" i="97" s="1"/>
  <c r="U177" i="97"/>
  <c r="W177" i="97" s="1"/>
  <c r="U178" i="97"/>
  <c r="W178" i="97" s="1"/>
  <c r="U179" i="97"/>
  <c r="W179" i="97" s="1"/>
  <c r="U180" i="97"/>
  <c r="W180" i="97" s="1"/>
  <c r="U181" i="97"/>
  <c r="W181" i="97" s="1"/>
  <c r="U182" i="97"/>
  <c r="W182" i="97" s="1"/>
  <c r="U183" i="97"/>
  <c r="W183" i="97" s="1"/>
  <c r="U184" i="97"/>
  <c r="W184" i="97" s="1"/>
  <c r="U185" i="97"/>
  <c r="W185" i="97" s="1"/>
  <c r="U186" i="97"/>
  <c r="W186" i="97" s="1"/>
  <c r="U187" i="97"/>
  <c r="W187" i="97" s="1"/>
  <c r="U188" i="97"/>
  <c r="W188" i="97" s="1"/>
  <c r="U189" i="97"/>
  <c r="W189" i="97" s="1"/>
  <c r="U190" i="97"/>
  <c r="W190" i="97" s="1"/>
  <c r="U191" i="97"/>
  <c r="W191" i="97" s="1"/>
  <c r="U192" i="97"/>
  <c r="W192" i="97" s="1"/>
  <c r="U193" i="97"/>
  <c r="W193" i="97" s="1"/>
  <c r="U194" i="97"/>
  <c r="W194" i="97" s="1"/>
  <c r="U195" i="97"/>
  <c r="W195" i="97" s="1"/>
  <c r="U196" i="97"/>
  <c r="W196" i="97" s="1"/>
  <c r="U197" i="97"/>
  <c r="W197" i="97" s="1"/>
  <c r="U198" i="97"/>
  <c r="W198" i="97" s="1"/>
  <c r="U199" i="97"/>
  <c r="W199" i="97" s="1"/>
  <c r="U200" i="97"/>
  <c r="W200" i="97" s="1"/>
  <c r="U201" i="97"/>
  <c r="W201" i="97" s="1"/>
  <c r="U202" i="97"/>
  <c r="W202" i="97" s="1"/>
  <c r="U203" i="97"/>
  <c r="W203" i="97" s="1"/>
  <c r="U204" i="97"/>
  <c r="W204" i="97" s="1"/>
  <c r="U205" i="97"/>
  <c r="W205" i="97" s="1"/>
  <c r="U206" i="97"/>
  <c r="W206" i="97" s="1"/>
  <c r="U207" i="97"/>
  <c r="W207" i="97" s="1"/>
  <c r="U208" i="97"/>
  <c r="W208" i="97" s="1"/>
  <c r="U209" i="97"/>
  <c r="W209" i="97" s="1"/>
  <c r="U210" i="97"/>
  <c r="W210" i="97" s="1"/>
  <c r="U211" i="97"/>
  <c r="W211" i="97" s="1"/>
  <c r="U212" i="97"/>
  <c r="W212" i="97" s="1"/>
  <c r="U213" i="97"/>
  <c r="W213" i="97" s="1"/>
  <c r="U214" i="97"/>
  <c r="W214" i="97" s="1"/>
  <c r="U215" i="97"/>
  <c r="W215" i="97" s="1"/>
  <c r="U216" i="97"/>
  <c r="W216" i="97" s="1"/>
  <c r="U217" i="97"/>
  <c r="W217" i="97" s="1"/>
  <c r="U218" i="97"/>
  <c r="W218" i="97" s="1"/>
  <c r="U219" i="97"/>
  <c r="W219" i="97" s="1"/>
  <c r="U220" i="97"/>
  <c r="W220" i="97" s="1"/>
  <c r="U221" i="97"/>
  <c r="W221" i="97" s="1"/>
  <c r="U222" i="97"/>
  <c r="W222" i="97" s="1"/>
  <c r="U223" i="97"/>
  <c r="W223" i="97" s="1"/>
  <c r="U224" i="97"/>
  <c r="W224" i="97" s="1"/>
  <c r="U225" i="97"/>
  <c r="W225" i="97" s="1"/>
  <c r="U226" i="97"/>
  <c r="W226" i="97" s="1"/>
  <c r="U227" i="97"/>
  <c r="W227" i="97" s="1"/>
  <c r="U228" i="97"/>
  <c r="W228" i="97" s="1"/>
  <c r="U229" i="97"/>
  <c r="W229" i="97" s="1"/>
  <c r="U230" i="97"/>
  <c r="W230" i="97" s="1"/>
  <c r="U231" i="97"/>
  <c r="W231" i="97" s="1"/>
  <c r="U232" i="97"/>
  <c r="W232" i="97" s="1"/>
  <c r="U233" i="97"/>
  <c r="W233" i="97" s="1"/>
  <c r="U234" i="97"/>
  <c r="W234" i="97" s="1"/>
  <c r="U235" i="97"/>
  <c r="W235" i="97" s="1"/>
  <c r="U236" i="97"/>
  <c r="W236" i="97" s="1"/>
  <c r="U237" i="97"/>
  <c r="W237" i="97" s="1"/>
  <c r="U238" i="97"/>
  <c r="W238" i="97" s="1"/>
  <c r="U239" i="97"/>
  <c r="W239" i="97" s="1"/>
  <c r="U240" i="97"/>
  <c r="W240" i="97" s="1"/>
  <c r="U241" i="97"/>
  <c r="W241" i="97" s="1"/>
  <c r="U242" i="97"/>
  <c r="W242" i="97" s="1"/>
  <c r="U243" i="97"/>
  <c r="W243" i="97" s="1"/>
  <c r="U244" i="97"/>
  <c r="W244" i="97" s="1"/>
  <c r="U245" i="97"/>
  <c r="W245" i="97" s="1"/>
  <c r="U246" i="97"/>
  <c r="W246" i="97" s="1"/>
  <c r="U247" i="97"/>
  <c r="W247" i="97" s="1"/>
  <c r="U248" i="97"/>
  <c r="W248" i="97" s="1"/>
  <c r="U249" i="97"/>
  <c r="W249" i="97" s="1"/>
  <c r="U250" i="97"/>
  <c r="W250" i="97" s="1"/>
  <c r="U251" i="97"/>
  <c r="W251" i="97" s="1"/>
  <c r="U252" i="97"/>
  <c r="W252" i="97" s="1"/>
  <c r="U253" i="97"/>
  <c r="W253" i="97" s="1"/>
  <c r="U254" i="97"/>
  <c r="W254" i="97" s="1"/>
  <c r="U255" i="97"/>
  <c r="W255" i="97" s="1"/>
  <c r="U256" i="97"/>
  <c r="W256" i="97" s="1"/>
  <c r="U257" i="97"/>
  <c r="W257" i="97" s="1"/>
  <c r="U258" i="97"/>
  <c r="W258" i="97" s="1"/>
  <c r="U259" i="97"/>
  <c r="W259" i="97" s="1"/>
  <c r="U260" i="97"/>
  <c r="W260" i="97" s="1"/>
  <c r="U261" i="97"/>
  <c r="W261" i="97" s="1"/>
  <c r="U262" i="97"/>
  <c r="W262" i="97" s="1"/>
  <c r="U263" i="97"/>
  <c r="W263" i="97" s="1"/>
  <c r="U264" i="97"/>
  <c r="W264" i="97" s="1"/>
  <c r="U265" i="97"/>
  <c r="W265" i="97" s="1"/>
  <c r="U266" i="97"/>
  <c r="W266" i="97" s="1"/>
  <c r="U267" i="97"/>
  <c r="W267" i="97" s="1"/>
  <c r="U268" i="97"/>
  <c r="W268" i="97" s="1"/>
  <c r="U269" i="97"/>
  <c r="W269" i="97" s="1"/>
  <c r="U270" i="97"/>
  <c r="W270" i="97" s="1"/>
  <c r="U271" i="97"/>
  <c r="W271" i="97" s="1"/>
  <c r="U272" i="97"/>
  <c r="W272" i="97" s="1"/>
  <c r="U273" i="97"/>
  <c r="W273" i="97" s="1"/>
  <c r="U274" i="97"/>
  <c r="W274" i="97" s="1"/>
  <c r="U275" i="97"/>
  <c r="W275" i="97" s="1"/>
  <c r="U276" i="97"/>
  <c r="W276" i="97" s="1"/>
  <c r="U277" i="97"/>
  <c r="W277" i="97" s="1"/>
  <c r="U278" i="97"/>
  <c r="W278" i="97" s="1"/>
  <c r="U279" i="97"/>
  <c r="W279" i="97" s="1"/>
  <c r="U280" i="97"/>
  <c r="W280" i="97" s="1"/>
  <c r="U281" i="97"/>
  <c r="W281" i="97" s="1"/>
  <c r="U282" i="97"/>
  <c r="W282" i="97" s="1"/>
  <c r="U283" i="97"/>
  <c r="W283" i="97" s="1"/>
  <c r="U284" i="97"/>
  <c r="W284" i="97" s="1"/>
  <c r="U285" i="97"/>
  <c r="W285" i="97" s="1"/>
  <c r="U286" i="97"/>
  <c r="W286" i="97" s="1"/>
  <c r="U287" i="97"/>
  <c r="W287" i="97" s="1"/>
  <c r="U288" i="97"/>
  <c r="W288" i="97" s="1"/>
  <c r="U289" i="97"/>
  <c r="W289" i="97" s="1"/>
  <c r="U290" i="97"/>
  <c r="W290" i="97" s="1"/>
  <c r="U291" i="97"/>
  <c r="W291" i="97" s="1"/>
  <c r="U292" i="97"/>
  <c r="W292" i="97" s="1"/>
  <c r="U293" i="97"/>
  <c r="W293" i="97" s="1"/>
  <c r="U294" i="97"/>
  <c r="W294" i="97" s="1"/>
  <c r="U295" i="97"/>
  <c r="W295" i="97" s="1"/>
  <c r="U296" i="97"/>
  <c r="W296" i="97" s="1"/>
  <c r="U297" i="97"/>
  <c r="W297" i="97" s="1"/>
  <c r="U298" i="97"/>
  <c r="W298" i="97" s="1"/>
  <c r="U299" i="97"/>
  <c r="W299" i="97" s="1"/>
  <c r="U300" i="97"/>
  <c r="W300" i="97" s="1"/>
  <c r="U301" i="97"/>
  <c r="W301" i="97" s="1"/>
  <c r="U302" i="97"/>
  <c r="W302" i="97" s="1"/>
  <c r="U303" i="97"/>
  <c r="W303" i="97" s="1"/>
  <c r="U304" i="97"/>
  <c r="W304" i="97" s="1"/>
  <c r="U305" i="97"/>
  <c r="W305" i="97" s="1"/>
  <c r="U306" i="97"/>
  <c r="W306" i="97" s="1"/>
  <c r="U307" i="97"/>
  <c r="W307" i="97" s="1"/>
  <c r="U308" i="97"/>
  <c r="W308" i="97" s="1"/>
  <c r="U309" i="97"/>
  <c r="W309" i="97" s="1"/>
  <c r="U310" i="97"/>
  <c r="W310" i="97" s="1"/>
  <c r="U311" i="97"/>
  <c r="W311" i="97" s="1"/>
  <c r="U312" i="97"/>
  <c r="W312" i="97" s="1"/>
  <c r="U313" i="97"/>
  <c r="W313" i="97" s="1"/>
  <c r="U314" i="97"/>
  <c r="W314" i="97" s="1"/>
  <c r="U315" i="97"/>
  <c r="W315" i="97" s="1"/>
  <c r="U316" i="97"/>
  <c r="W316" i="97" s="1"/>
  <c r="U317" i="97"/>
  <c r="W317" i="97" s="1"/>
  <c r="U318" i="97"/>
  <c r="W318" i="97" s="1"/>
  <c r="U319" i="97"/>
  <c r="W319" i="97" s="1"/>
  <c r="U320" i="97"/>
  <c r="W320" i="97" s="1"/>
  <c r="U321" i="97"/>
  <c r="W321" i="97" s="1"/>
  <c r="U322" i="97"/>
  <c r="W322" i="97" s="1"/>
  <c r="U323" i="97"/>
  <c r="W323" i="97" s="1"/>
  <c r="U324" i="97"/>
  <c r="W324" i="97" s="1"/>
  <c r="U325" i="97"/>
  <c r="W325" i="97" s="1"/>
  <c r="U326" i="97"/>
  <c r="W326" i="97" s="1"/>
  <c r="U327" i="97"/>
  <c r="W327" i="97" s="1"/>
  <c r="U328" i="97"/>
  <c r="W328" i="97" s="1"/>
  <c r="U329" i="97"/>
  <c r="W329" i="97" s="1"/>
  <c r="U330" i="97"/>
  <c r="W330" i="97" s="1"/>
  <c r="U331" i="97"/>
  <c r="W331" i="97" s="1"/>
  <c r="U332" i="97"/>
  <c r="W332" i="97" s="1"/>
  <c r="U333" i="97"/>
  <c r="W333" i="97" s="1"/>
  <c r="U334" i="97"/>
  <c r="W334" i="97" s="1"/>
  <c r="U335" i="97"/>
  <c r="W335" i="97" s="1"/>
  <c r="U336" i="97"/>
  <c r="W336" i="97" s="1"/>
  <c r="U337" i="97"/>
  <c r="W337" i="97" s="1"/>
  <c r="U338" i="97"/>
  <c r="W338" i="97" s="1"/>
  <c r="U339" i="97"/>
  <c r="W339" i="97" s="1"/>
  <c r="U340" i="97"/>
  <c r="W340" i="97" s="1"/>
  <c r="U341" i="97"/>
  <c r="W341" i="97" s="1"/>
  <c r="U342" i="97"/>
  <c r="W342" i="97" s="1"/>
  <c r="U343" i="97"/>
  <c r="W343" i="97" s="1"/>
  <c r="U344" i="97"/>
  <c r="W344" i="97" s="1"/>
  <c r="U345" i="97"/>
  <c r="W345" i="97" s="1"/>
  <c r="U346" i="97"/>
  <c r="W346" i="97" s="1"/>
  <c r="U347" i="97"/>
  <c r="W347" i="97" s="1"/>
  <c r="U348" i="97"/>
  <c r="W348" i="97" s="1"/>
  <c r="U349" i="97"/>
  <c r="W349" i="97" s="1"/>
  <c r="U350" i="97"/>
  <c r="W350" i="97" s="1"/>
  <c r="U351" i="97"/>
  <c r="W351" i="97" s="1"/>
  <c r="U352" i="97"/>
  <c r="W352" i="97" s="1"/>
  <c r="U353" i="97"/>
  <c r="W353" i="97" s="1"/>
  <c r="U354" i="97"/>
  <c r="W354" i="97" s="1"/>
  <c r="U355" i="97"/>
  <c r="W355" i="97" s="1"/>
  <c r="U356" i="97"/>
  <c r="W356" i="97" s="1"/>
  <c r="U357" i="97"/>
  <c r="W357" i="97" s="1"/>
  <c r="U358" i="97"/>
  <c r="W358" i="97" s="1"/>
  <c r="U359" i="97"/>
  <c r="W359" i="97" s="1"/>
  <c r="U360" i="97"/>
  <c r="W360" i="97" s="1"/>
  <c r="U361" i="97"/>
  <c r="W361" i="97" s="1"/>
  <c r="U362" i="97"/>
  <c r="W362" i="97" s="1"/>
  <c r="U363" i="97"/>
  <c r="W363" i="97" s="1"/>
  <c r="U364" i="97"/>
  <c r="W364" i="97" s="1"/>
  <c r="U365" i="97"/>
  <c r="W365" i="97" s="1"/>
  <c r="U4" i="97"/>
  <c r="W4" i="97" s="1"/>
  <c r="T5" i="97"/>
  <c r="V5" i="97" s="1"/>
  <c r="T6" i="97"/>
  <c r="V6" i="97" s="1"/>
  <c r="T7" i="97"/>
  <c r="V7" i="97" s="1"/>
  <c r="T8" i="97"/>
  <c r="V8" i="97" s="1"/>
  <c r="T9" i="97"/>
  <c r="V9" i="97" s="1"/>
  <c r="T10" i="97"/>
  <c r="V10" i="97" s="1"/>
  <c r="T11" i="97"/>
  <c r="V11" i="97" s="1"/>
  <c r="T12" i="97"/>
  <c r="V12" i="97" s="1"/>
  <c r="T13" i="97"/>
  <c r="V13" i="97" s="1"/>
  <c r="T14" i="97"/>
  <c r="V14" i="97" s="1"/>
  <c r="T15" i="97"/>
  <c r="V15" i="97" s="1"/>
  <c r="T16" i="97"/>
  <c r="V16" i="97" s="1"/>
  <c r="T17" i="97"/>
  <c r="V17" i="97" s="1"/>
  <c r="T18" i="97"/>
  <c r="V18" i="97" s="1"/>
  <c r="T19" i="97"/>
  <c r="V19" i="97" s="1"/>
  <c r="T20" i="97"/>
  <c r="V20" i="97" s="1"/>
  <c r="T21" i="97"/>
  <c r="V21" i="97" s="1"/>
  <c r="T22" i="97"/>
  <c r="V22" i="97" s="1"/>
  <c r="T23" i="97"/>
  <c r="V23" i="97" s="1"/>
  <c r="T24" i="97"/>
  <c r="V24" i="97" s="1"/>
  <c r="T25" i="97"/>
  <c r="V25" i="97" s="1"/>
  <c r="T26" i="97"/>
  <c r="V26" i="97" s="1"/>
  <c r="T27" i="97"/>
  <c r="V27" i="97" s="1"/>
  <c r="T28" i="97"/>
  <c r="V28" i="97" s="1"/>
  <c r="T29" i="97"/>
  <c r="V29" i="97" s="1"/>
  <c r="T30" i="97"/>
  <c r="V30" i="97" s="1"/>
  <c r="T31" i="97"/>
  <c r="V31" i="97" s="1"/>
  <c r="T32" i="97"/>
  <c r="V32" i="97" s="1"/>
  <c r="T33" i="97"/>
  <c r="V33" i="97" s="1"/>
  <c r="T34" i="97"/>
  <c r="V34" i="97" s="1"/>
  <c r="T35" i="97"/>
  <c r="V35" i="97" s="1"/>
  <c r="T36" i="97"/>
  <c r="V36" i="97" s="1"/>
  <c r="T37" i="97"/>
  <c r="V37" i="97" s="1"/>
  <c r="T38" i="97"/>
  <c r="V38" i="97" s="1"/>
  <c r="T39" i="97"/>
  <c r="V39" i="97" s="1"/>
  <c r="T40" i="97"/>
  <c r="V40" i="97" s="1"/>
  <c r="T41" i="97"/>
  <c r="V41" i="97" s="1"/>
  <c r="T42" i="97"/>
  <c r="V42" i="97" s="1"/>
  <c r="T43" i="97"/>
  <c r="V43" i="97" s="1"/>
  <c r="T44" i="97"/>
  <c r="V44" i="97" s="1"/>
  <c r="T45" i="97"/>
  <c r="V45" i="97" s="1"/>
  <c r="T46" i="97"/>
  <c r="V46" i="97" s="1"/>
  <c r="T47" i="97"/>
  <c r="V47" i="97" s="1"/>
  <c r="T48" i="97"/>
  <c r="V48" i="97" s="1"/>
  <c r="T49" i="97"/>
  <c r="V49" i="97" s="1"/>
  <c r="T50" i="97"/>
  <c r="V50" i="97" s="1"/>
  <c r="T51" i="97"/>
  <c r="V51" i="97" s="1"/>
  <c r="T52" i="97"/>
  <c r="V52" i="97" s="1"/>
  <c r="T53" i="97"/>
  <c r="V53" i="97" s="1"/>
  <c r="T54" i="97"/>
  <c r="V54" i="97" s="1"/>
  <c r="T55" i="97"/>
  <c r="V55" i="97" s="1"/>
  <c r="T56" i="97"/>
  <c r="V56" i="97" s="1"/>
  <c r="T57" i="97"/>
  <c r="V57" i="97" s="1"/>
  <c r="T58" i="97"/>
  <c r="V58" i="97" s="1"/>
  <c r="T59" i="97"/>
  <c r="V59" i="97" s="1"/>
  <c r="T60" i="97"/>
  <c r="V60" i="97" s="1"/>
  <c r="T61" i="97"/>
  <c r="V61" i="97" s="1"/>
  <c r="T62" i="97"/>
  <c r="V62" i="97" s="1"/>
  <c r="T63" i="97"/>
  <c r="V63" i="97" s="1"/>
  <c r="T64" i="97"/>
  <c r="V64" i="97" s="1"/>
  <c r="T65" i="97"/>
  <c r="V65" i="97" s="1"/>
  <c r="T66" i="97"/>
  <c r="V66" i="97" s="1"/>
  <c r="T67" i="97"/>
  <c r="V67" i="97" s="1"/>
  <c r="T68" i="97"/>
  <c r="V68" i="97" s="1"/>
  <c r="T69" i="97"/>
  <c r="V69" i="97" s="1"/>
  <c r="T70" i="97"/>
  <c r="V70" i="97" s="1"/>
  <c r="T71" i="97"/>
  <c r="V71" i="97" s="1"/>
  <c r="T72" i="97"/>
  <c r="V72" i="97" s="1"/>
  <c r="T73" i="97"/>
  <c r="V73" i="97" s="1"/>
  <c r="T74" i="97"/>
  <c r="V74" i="97" s="1"/>
  <c r="T75" i="97"/>
  <c r="V75" i="97" s="1"/>
  <c r="T76" i="97"/>
  <c r="V76" i="97" s="1"/>
  <c r="T77" i="97"/>
  <c r="V77" i="97" s="1"/>
  <c r="T78" i="97"/>
  <c r="V78" i="97" s="1"/>
  <c r="T79" i="97"/>
  <c r="V79" i="97" s="1"/>
  <c r="T80" i="97"/>
  <c r="V80" i="97" s="1"/>
  <c r="T81" i="97"/>
  <c r="V81" i="97" s="1"/>
  <c r="T82" i="97"/>
  <c r="V82" i="97" s="1"/>
  <c r="T83" i="97"/>
  <c r="V83" i="97" s="1"/>
  <c r="T84" i="97"/>
  <c r="V84" i="97" s="1"/>
  <c r="T85" i="97"/>
  <c r="V85" i="97" s="1"/>
  <c r="T86" i="97"/>
  <c r="V86" i="97" s="1"/>
  <c r="T87" i="97"/>
  <c r="V87" i="97" s="1"/>
  <c r="T88" i="97"/>
  <c r="V88" i="97" s="1"/>
  <c r="T89" i="97"/>
  <c r="V89" i="97" s="1"/>
  <c r="T90" i="97"/>
  <c r="V90" i="97" s="1"/>
  <c r="T91" i="97"/>
  <c r="V91" i="97" s="1"/>
  <c r="T92" i="97"/>
  <c r="V92" i="97" s="1"/>
  <c r="T93" i="97"/>
  <c r="V93" i="97" s="1"/>
  <c r="T94" i="97"/>
  <c r="V94" i="97" s="1"/>
  <c r="T95" i="97"/>
  <c r="V95" i="97" s="1"/>
  <c r="T96" i="97"/>
  <c r="V96" i="97" s="1"/>
  <c r="T97" i="97"/>
  <c r="V97" i="97" s="1"/>
  <c r="T98" i="97"/>
  <c r="V98" i="97" s="1"/>
  <c r="T99" i="97"/>
  <c r="V99" i="97" s="1"/>
  <c r="T100" i="97"/>
  <c r="V100" i="97" s="1"/>
  <c r="T101" i="97"/>
  <c r="V101" i="97" s="1"/>
  <c r="T102" i="97"/>
  <c r="V102" i="97" s="1"/>
  <c r="T103" i="97"/>
  <c r="V103" i="97" s="1"/>
  <c r="T104" i="97"/>
  <c r="V104" i="97" s="1"/>
  <c r="T105" i="97"/>
  <c r="V105" i="97" s="1"/>
  <c r="T106" i="97"/>
  <c r="V106" i="97" s="1"/>
  <c r="T107" i="97"/>
  <c r="V107" i="97" s="1"/>
  <c r="T108" i="97"/>
  <c r="V108" i="97" s="1"/>
  <c r="T109" i="97"/>
  <c r="V109" i="97" s="1"/>
  <c r="T110" i="97"/>
  <c r="V110" i="97" s="1"/>
  <c r="T111" i="97"/>
  <c r="V111" i="97" s="1"/>
  <c r="T112" i="97"/>
  <c r="V112" i="97" s="1"/>
  <c r="T113" i="97"/>
  <c r="V113" i="97" s="1"/>
  <c r="T114" i="97"/>
  <c r="V114" i="97" s="1"/>
  <c r="T115" i="97"/>
  <c r="V115" i="97" s="1"/>
  <c r="T116" i="97"/>
  <c r="V116" i="97" s="1"/>
  <c r="T117" i="97"/>
  <c r="V117" i="97" s="1"/>
  <c r="T118" i="97"/>
  <c r="V118" i="97" s="1"/>
  <c r="T119" i="97"/>
  <c r="V119" i="97" s="1"/>
  <c r="T120" i="97"/>
  <c r="V120" i="97" s="1"/>
  <c r="T121" i="97"/>
  <c r="V121" i="97" s="1"/>
  <c r="T122" i="97"/>
  <c r="V122" i="97" s="1"/>
  <c r="T123" i="97"/>
  <c r="V123" i="97" s="1"/>
  <c r="T124" i="97"/>
  <c r="V124" i="97" s="1"/>
  <c r="T125" i="97"/>
  <c r="V125" i="97" s="1"/>
  <c r="T126" i="97"/>
  <c r="V126" i="97" s="1"/>
  <c r="T127" i="97"/>
  <c r="V127" i="97" s="1"/>
  <c r="T128" i="97"/>
  <c r="V128" i="97" s="1"/>
  <c r="T129" i="97"/>
  <c r="V129" i="97" s="1"/>
  <c r="T130" i="97"/>
  <c r="V130" i="97" s="1"/>
  <c r="T131" i="97"/>
  <c r="V131" i="97" s="1"/>
  <c r="T132" i="97"/>
  <c r="V132" i="97" s="1"/>
  <c r="T133" i="97"/>
  <c r="V133" i="97" s="1"/>
  <c r="T134" i="97"/>
  <c r="V134" i="97" s="1"/>
  <c r="T135" i="97"/>
  <c r="V135" i="97" s="1"/>
  <c r="T136" i="97"/>
  <c r="V136" i="97" s="1"/>
  <c r="T137" i="97"/>
  <c r="V137" i="97" s="1"/>
  <c r="T138" i="97"/>
  <c r="V138" i="97" s="1"/>
  <c r="T139" i="97"/>
  <c r="V139" i="97" s="1"/>
  <c r="T140" i="97"/>
  <c r="V140" i="97" s="1"/>
  <c r="T141" i="97"/>
  <c r="V141" i="97" s="1"/>
  <c r="T142" i="97"/>
  <c r="V142" i="97" s="1"/>
  <c r="T143" i="97"/>
  <c r="V143" i="97" s="1"/>
  <c r="T144" i="97"/>
  <c r="V144" i="97" s="1"/>
  <c r="T145" i="97"/>
  <c r="V145" i="97" s="1"/>
  <c r="T146" i="97"/>
  <c r="V146" i="97" s="1"/>
  <c r="T147" i="97"/>
  <c r="V147" i="97" s="1"/>
  <c r="T148" i="97"/>
  <c r="V148" i="97" s="1"/>
  <c r="T149" i="97"/>
  <c r="V149" i="97" s="1"/>
  <c r="T150" i="97"/>
  <c r="V150" i="97" s="1"/>
  <c r="T151" i="97"/>
  <c r="V151" i="97" s="1"/>
  <c r="T152" i="97"/>
  <c r="V152" i="97" s="1"/>
  <c r="T153" i="97"/>
  <c r="V153" i="97" s="1"/>
  <c r="T154" i="97"/>
  <c r="V154" i="97" s="1"/>
  <c r="T155" i="97"/>
  <c r="V155" i="97" s="1"/>
  <c r="T156" i="97"/>
  <c r="V156" i="97" s="1"/>
  <c r="T157" i="97"/>
  <c r="V157" i="97" s="1"/>
  <c r="T158" i="97"/>
  <c r="V158" i="97" s="1"/>
  <c r="T159" i="97"/>
  <c r="V159" i="97" s="1"/>
  <c r="T160" i="97"/>
  <c r="V160" i="97" s="1"/>
  <c r="T161" i="97"/>
  <c r="V161" i="97" s="1"/>
  <c r="T162" i="97"/>
  <c r="V162" i="97" s="1"/>
  <c r="T163" i="97"/>
  <c r="V163" i="97" s="1"/>
  <c r="T164" i="97"/>
  <c r="V164" i="97" s="1"/>
  <c r="T165" i="97"/>
  <c r="V165" i="97" s="1"/>
  <c r="T166" i="97"/>
  <c r="V166" i="97" s="1"/>
  <c r="T167" i="97"/>
  <c r="V167" i="97" s="1"/>
  <c r="T168" i="97"/>
  <c r="V168" i="97" s="1"/>
  <c r="T169" i="97"/>
  <c r="V169" i="97" s="1"/>
  <c r="T170" i="97"/>
  <c r="V170" i="97" s="1"/>
  <c r="T171" i="97"/>
  <c r="V171" i="97" s="1"/>
  <c r="T172" i="97"/>
  <c r="V172" i="97" s="1"/>
  <c r="T173" i="97"/>
  <c r="V173" i="97" s="1"/>
  <c r="T174" i="97"/>
  <c r="V174" i="97" s="1"/>
  <c r="T175" i="97"/>
  <c r="V175" i="97" s="1"/>
  <c r="T176" i="97"/>
  <c r="V176" i="97" s="1"/>
  <c r="T177" i="97"/>
  <c r="V177" i="97" s="1"/>
  <c r="T178" i="97"/>
  <c r="V178" i="97" s="1"/>
  <c r="T179" i="97"/>
  <c r="V179" i="97" s="1"/>
  <c r="T180" i="97"/>
  <c r="V180" i="97" s="1"/>
  <c r="T181" i="97"/>
  <c r="V181" i="97" s="1"/>
  <c r="T182" i="97"/>
  <c r="V182" i="97" s="1"/>
  <c r="T183" i="97"/>
  <c r="V183" i="97" s="1"/>
  <c r="T184" i="97"/>
  <c r="V184" i="97" s="1"/>
  <c r="T185" i="97"/>
  <c r="V185" i="97" s="1"/>
  <c r="T186" i="97"/>
  <c r="V186" i="97" s="1"/>
  <c r="T187" i="97"/>
  <c r="V187" i="97" s="1"/>
  <c r="T188" i="97"/>
  <c r="V188" i="97" s="1"/>
  <c r="T189" i="97"/>
  <c r="V189" i="97" s="1"/>
  <c r="T190" i="97"/>
  <c r="V190" i="97" s="1"/>
  <c r="T191" i="97"/>
  <c r="V191" i="97" s="1"/>
  <c r="T192" i="97"/>
  <c r="V192" i="97" s="1"/>
  <c r="T193" i="97"/>
  <c r="V193" i="97" s="1"/>
  <c r="T194" i="97"/>
  <c r="V194" i="97" s="1"/>
  <c r="T195" i="97"/>
  <c r="V195" i="97" s="1"/>
  <c r="T196" i="97"/>
  <c r="V196" i="97" s="1"/>
  <c r="T197" i="97"/>
  <c r="V197" i="97" s="1"/>
  <c r="T198" i="97"/>
  <c r="V198" i="97" s="1"/>
  <c r="T199" i="97"/>
  <c r="V199" i="97" s="1"/>
  <c r="T200" i="97"/>
  <c r="V200" i="97" s="1"/>
  <c r="T201" i="97"/>
  <c r="V201" i="97" s="1"/>
  <c r="T202" i="97"/>
  <c r="V202" i="97" s="1"/>
  <c r="T203" i="97"/>
  <c r="V203" i="97" s="1"/>
  <c r="T204" i="97"/>
  <c r="V204" i="97" s="1"/>
  <c r="T205" i="97"/>
  <c r="V205" i="97" s="1"/>
  <c r="T206" i="97"/>
  <c r="V206" i="97" s="1"/>
  <c r="T207" i="97"/>
  <c r="V207" i="97" s="1"/>
  <c r="T208" i="97"/>
  <c r="V208" i="97" s="1"/>
  <c r="T209" i="97"/>
  <c r="V209" i="97" s="1"/>
  <c r="T210" i="97"/>
  <c r="V210" i="97" s="1"/>
  <c r="T211" i="97"/>
  <c r="V211" i="97" s="1"/>
  <c r="T212" i="97"/>
  <c r="V212" i="97" s="1"/>
  <c r="T213" i="97"/>
  <c r="V213" i="97" s="1"/>
  <c r="T214" i="97"/>
  <c r="V214" i="97" s="1"/>
  <c r="T215" i="97"/>
  <c r="V215" i="97" s="1"/>
  <c r="T216" i="97"/>
  <c r="V216" i="97" s="1"/>
  <c r="T217" i="97"/>
  <c r="V217" i="97" s="1"/>
  <c r="T218" i="97"/>
  <c r="V218" i="97" s="1"/>
  <c r="T219" i="97"/>
  <c r="V219" i="97" s="1"/>
  <c r="T220" i="97"/>
  <c r="V220" i="97" s="1"/>
  <c r="T221" i="97"/>
  <c r="V221" i="97" s="1"/>
  <c r="T222" i="97"/>
  <c r="V222" i="97" s="1"/>
  <c r="T223" i="97"/>
  <c r="V223" i="97" s="1"/>
  <c r="T224" i="97"/>
  <c r="V224" i="97" s="1"/>
  <c r="T225" i="97"/>
  <c r="V225" i="97" s="1"/>
  <c r="T226" i="97"/>
  <c r="V226" i="97" s="1"/>
  <c r="T227" i="97"/>
  <c r="V227" i="97" s="1"/>
  <c r="T228" i="97"/>
  <c r="V228" i="97" s="1"/>
  <c r="T229" i="97"/>
  <c r="V229" i="97" s="1"/>
  <c r="T230" i="97"/>
  <c r="V230" i="97" s="1"/>
  <c r="T231" i="97"/>
  <c r="V231" i="97" s="1"/>
  <c r="T232" i="97"/>
  <c r="V232" i="97" s="1"/>
  <c r="T233" i="97"/>
  <c r="V233" i="97" s="1"/>
  <c r="T234" i="97"/>
  <c r="V234" i="97" s="1"/>
  <c r="T235" i="97"/>
  <c r="V235" i="97" s="1"/>
  <c r="T236" i="97"/>
  <c r="V236" i="97" s="1"/>
  <c r="T237" i="97"/>
  <c r="V237" i="97" s="1"/>
  <c r="T238" i="97"/>
  <c r="V238" i="97" s="1"/>
  <c r="T239" i="97"/>
  <c r="V239" i="97" s="1"/>
  <c r="T240" i="97"/>
  <c r="V240" i="97" s="1"/>
  <c r="T241" i="97"/>
  <c r="V241" i="97" s="1"/>
  <c r="T242" i="97"/>
  <c r="V242" i="97" s="1"/>
  <c r="T243" i="97"/>
  <c r="V243" i="97" s="1"/>
  <c r="T244" i="97"/>
  <c r="V244" i="97" s="1"/>
  <c r="T245" i="97"/>
  <c r="V245" i="97" s="1"/>
  <c r="T246" i="97"/>
  <c r="V246" i="97" s="1"/>
  <c r="T247" i="97"/>
  <c r="V247" i="97" s="1"/>
  <c r="T248" i="97"/>
  <c r="V248" i="97" s="1"/>
  <c r="T249" i="97"/>
  <c r="V249" i="97" s="1"/>
  <c r="T250" i="97"/>
  <c r="V250" i="97" s="1"/>
  <c r="T251" i="97"/>
  <c r="V251" i="97" s="1"/>
  <c r="T252" i="97"/>
  <c r="V252" i="97" s="1"/>
  <c r="T253" i="97"/>
  <c r="V253" i="97" s="1"/>
  <c r="T254" i="97"/>
  <c r="V254" i="97" s="1"/>
  <c r="T255" i="97"/>
  <c r="V255" i="97" s="1"/>
  <c r="T256" i="97"/>
  <c r="V256" i="97" s="1"/>
  <c r="T257" i="97"/>
  <c r="V257" i="97" s="1"/>
  <c r="T258" i="97"/>
  <c r="V258" i="97" s="1"/>
  <c r="T259" i="97"/>
  <c r="V259" i="97" s="1"/>
  <c r="T260" i="97"/>
  <c r="V260" i="97" s="1"/>
  <c r="T261" i="97"/>
  <c r="V261" i="97" s="1"/>
  <c r="T262" i="97"/>
  <c r="V262" i="97" s="1"/>
  <c r="T263" i="97"/>
  <c r="V263" i="97" s="1"/>
  <c r="T264" i="97"/>
  <c r="V264" i="97" s="1"/>
  <c r="T265" i="97"/>
  <c r="V265" i="97" s="1"/>
  <c r="T266" i="97"/>
  <c r="V266" i="97" s="1"/>
  <c r="T267" i="97"/>
  <c r="V267" i="97" s="1"/>
  <c r="T268" i="97"/>
  <c r="V268" i="97" s="1"/>
  <c r="T269" i="97"/>
  <c r="V269" i="97" s="1"/>
  <c r="T270" i="97"/>
  <c r="V270" i="97" s="1"/>
  <c r="T271" i="97"/>
  <c r="V271" i="97" s="1"/>
  <c r="T272" i="97"/>
  <c r="V272" i="97" s="1"/>
  <c r="T273" i="97"/>
  <c r="V273" i="97" s="1"/>
  <c r="T274" i="97"/>
  <c r="V274" i="97" s="1"/>
  <c r="T275" i="97"/>
  <c r="V275" i="97" s="1"/>
  <c r="T276" i="97"/>
  <c r="V276" i="97" s="1"/>
  <c r="T277" i="97"/>
  <c r="V277" i="97" s="1"/>
  <c r="T278" i="97"/>
  <c r="V278" i="97" s="1"/>
  <c r="T279" i="97"/>
  <c r="V279" i="97" s="1"/>
  <c r="T280" i="97"/>
  <c r="V280" i="97" s="1"/>
  <c r="T281" i="97"/>
  <c r="V281" i="97" s="1"/>
  <c r="T282" i="97"/>
  <c r="V282" i="97" s="1"/>
  <c r="T283" i="97"/>
  <c r="V283" i="97" s="1"/>
  <c r="T284" i="97"/>
  <c r="V284" i="97" s="1"/>
  <c r="T285" i="97"/>
  <c r="V285" i="97" s="1"/>
  <c r="T286" i="97"/>
  <c r="V286" i="97" s="1"/>
  <c r="T287" i="97"/>
  <c r="V287" i="97" s="1"/>
  <c r="T288" i="97"/>
  <c r="V288" i="97" s="1"/>
  <c r="T289" i="97"/>
  <c r="V289" i="97" s="1"/>
  <c r="T290" i="97"/>
  <c r="V290" i="97" s="1"/>
  <c r="T291" i="97"/>
  <c r="V291" i="97" s="1"/>
  <c r="T292" i="97"/>
  <c r="V292" i="97" s="1"/>
  <c r="T293" i="97"/>
  <c r="V293" i="97" s="1"/>
  <c r="T294" i="97"/>
  <c r="V294" i="97" s="1"/>
  <c r="T295" i="97"/>
  <c r="V295" i="97" s="1"/>
  <c r="T296" i="97"/>
  <c r="V296" i="97" s="1"/>
  <c r="T297" i="97"/>
  <c r="V297" i="97" s="1"/>
  <c r="T298" i="97"/>
  <c r="V298" i="97" s="1"/>
  <c r="T299" i="97"/>
  <c r="V299" i="97" s="1"/>
  <c r="T300" i="97"/>
  <c r="V300" i="97" s="1"/>
  <c r="T301" i="97"/>
  <c r="V301" i="97" s="1"/>
  <c r="T302" i="97"/>
  <c r="V302" i="97" s="1"/>
  <c r="T303" i="97"/>
  <c r="V303" i="97" s="1"/>
  <c r="T304" i="97"/>
  <c r="V304" i="97" s="1"/>
  <c r="T305" i="97"/>
  <c r="V305" i="97" s="1"/>
  <c r="T306" i="97"/>
  <c r="V306" i="97" s="1"/>
  <c r="T307" i="97"/>
  <c r="V307" i="97" s="1"/>
  <c r="T308" i="97"/>
  <c r="V308" i="97" s="1"/>
  <c r="T309" i="97"/>
  <c r="V309" i="97" s="1"/>
  <c r="T310" i="97"/>
  <c r="V310" i="97" s="1"/>
  <c r="T311" i="97"/>
  <c r="V311" i="97" s="1"/>
  <c r="T312" i="97"/>
  <c r="V312" i="97" s="1"/>
  <c r="T313" i="97"/>
  <c r="V313" i="97" s="1"/>
  <c r="T314" i="97"/>
  <c r="V314" i="97" s="1"/>
  <c r="T315" i="97"/>
  <c r="V315" i="97" s="1"/>
  <c r="T316" i="97"/>
  <c r="V316" i="97" s="1"/>
  <c r="T317" i="97"/>
  <c r="V317" i="97" s="1"/>
  <c r="T318" i="97"/>
  <c r="V318" i="97" s="1"/>
  <c r="T319" i="97"/>
  <c r="V319" i="97" s="1"/>
  <c r="T320" i="97"/>
  <c r="V320" i="97" s="1"/>
  <c r="T321" i="97"/>
  <c r="V321" i="97" s="1"/>
  <c r="T322" i="97"/>
  <c r="V322" i="97" s="1"/>
  <c r="T323" i="97"/>
  <c r="V323" i="97" s="1"/>
  <c r="T324" i="97"/>
  <c r="V324" i="97" s="1"/>
  <c r="T325" i="97"/>
  <c r="V325" i="97" s="1"/>
  <c r="T326" i="97"/>
  <c r="V326" i="97" s="1"/>
  <c r="T327" i="97"/>
  <c r="V327" i="97" s="1"/>
  <c r="T328" i="97"/>
  <c r="V328" i="97" s="1"/>
  <c r="T329" i="97"/>
  <c r="V329" i="97" s="1"/>
  <c r="T330" i="97"/>
  <c r="V330" i="97" s="1"/>
  <c r="T331" i="97"/>
  <c r="V331" i="97" s="1"/>
  <c r="T332" i="97"/>
  <c r="V332" i="97" s="1"/>
  <c r="T333" i="97"/>
  <c r="V333" i="97" s="1"/>
  <c r="T334" i="97"/>
  <c r="V334" i="97" s="1"/>
  <c r="T335" i="97"/>
  <c r="V335" i="97" s="1"/>
  <c r="T336" i="97"/>
  <c r="V336" i="97" s="1"/>
  <c r="T337" i="97"/>
  <c r="V337" i="97" s="1"/>
  <c r="T338" i="97"/>
  <c r="V338" i="97" s="1"/>
  <c r="T339" i="97"/>
  <c r="V339" i="97" s="1"/>
  <c r="T340" i="97"/>
  <c r="V340" i="97" s="1"/>
  <c r="T341" i="97"/>
  <c r="V341" i="97" s="1"/>
  <c r="T342" i="97"/>
  <c r="V342" i="97" s="1"/>
  <c r="T343" i="97"/>
  <c r="V343" i="97" s="1"/>
  <c r="T344" i="97"/>
  <c r="V344" i="97" s="1"/>
  <c r="T345" i="97"/>
  <c r="V345" i="97" s="1"/>
  <c r="T346" i="97"/>
  <c r="V346" i="97" s="1"/>
  <c r="T347" i="97"/>
  <c r="V347" i="97" s="1"/>
  <c r="T348" i="97"/>
  <c r="V348" i="97" s="1"/>
  <c r="T349" i="97"/>
  <c r="V349" i="97" s="1"/>
  <c r="T350" i="97"/>
  <c r="V350" i="97" s="1"/>
  <c r="T351" i="97"/>
  <c r="V351" i="97" s="1"/>
  <c r="T352" i="97"/>
  <c r="V352" i="97" s="1"/>
  <c r="T353" i="97"/>
  <c r="V353" i="97" s="1"/>
  <c r="T354" i="97"/>
  <c r="V354" i="97" s="1"/>
  <c r="T355" i="97"/>
  <c r="V355" i="97" s="1"/>
  <c r="T356" i="97"/>
  <c r="V356" i="97" s="1"/>
  <c r="T357" i="97"/>
  <c r="V357" i="97" s="1"/>
  <c r="T358" i="97"/>
  <c r="V358" i="97" s="1"/>
  <c r="T359" i="97"/>
  <c r="V359" i="97" s="1"/>
  <c r="T360" i="97"/>
  <c r="V360" i="97" s="1"/>
  <c r="T361" i="97"/>
  <c r="V361" i="97" s="1"/>
  <c r="T362" i="97"/>
  <c r="V362" i="97" s="1"/>
  <c r="T363" i="97"/>
  <c r="V363" i="97" s="1"/>
  <c r="T364" i="97"/>
  <c r="V364" i="97" s="1"/>
  <c r="T365" i="97"/>
  <c r="V365" i="97" s="1"/>
  <c r="T4" i="97"/>
  <c r="V4" i="97" s="1"/>
  <c r="B1" i="50"/>
  <c r="C1" i="50" s="1"/>
  <c r="D1" i="50" s="1"/>
  <c r="E1" i="50" s="1"/>
  <c r="F1" i="50" s="1"/>
  <c r="G1" i="50" s="1"/>
  <c r="H1" i="50" s="1"/>
  <c r="I1" i="50" s="1"/>
  <c r="J1" i="50" s="1"/>
  <c r="K1" i="50" s="1"/>
  <c r="L1" i="50" s="1"/>
  <c r="M1" i="50" s="1"/>
  <c r="N1" i="50" s="1"/>
  <c r="O1" i="50" s="1"/>
  <c r="P1" i="50" s="1"/>
  <c r="Q1" i="50" s="1"/>
  <c r="R1" i="50" s="1"/>
  <c r="S1" i="50" s="1"/>
  <c r="T1" i="50" s="1"/>
  <c r="U1" i="50" s="1"/>
  <c r="V1" i="50" s="1"/>
  <c r="W1" i="50" s="1"/>
  <c r="X1" i="50" s="1"/>
  <c r="Y1" i="50" s="1"/>
  <c r="Z1" i="50" s="1"/>
  <c r="AA1" i="50" s="1"/>
  <c r="AB1" i="50" s="1"/>
  <c r="AC1" i="50" s="1"/>
  <c r="AD1" i="50" s="1"/>
  <c r="AE1" i="50" s="1"/>
  <c r="AF1" i="50" s="1"/>
  <c r="AG1" i="50" s="1"/>
  <c r="AH1" i="50" s="1"/>
  <c r="AI1" i="50" s="1"/>
  <c r="AJ1" i="50" s="1"/>
  <c r="AK1" i="50" s="1"/>
  <c r="AL1" i="50" s="1"/>
  <c r="AM1" i="50" s="1"/>
  <c r="AN1" i="50" s="1"/>
  <c r="AO1" i="50" s="1"/>
  <c r="AP1" i="50" s="1"/>
  <c r="AQ1" i="50" s="1"/>
  <c r="AR1" i="50" s="1"/>
  <c r="AS1" i="50" s="1"/>
  <c r="N6" i="57"/>
  <c r="N7" i="57"/>
  <c r="B86" i="50"/>
  <c r="C86" i="50"/>
  <c r="D86" i="50"/>
  <c r="E86" i="50"/>
  <c r="F86" i="50"/>
  <c r="G86" i="50"/>
  <c r="H86" i="50"/>
  <c r="I86" i="50"/>
  <c r="AT86" i="50"/>
  <c r="B62" i="50"/>
  <c r="C62" i="50"/>
  <c r="D62" i="50"/>
  <c r="E62" i="50"/>
  <c r="F62" i="50"/>
  <c r="G62" i="50"/>
  <c r="H62" i="50"/>
  <c r="I62" i="50"/>
  <c r="AT62" i="50"/>
  <c r="E92" i="58"/>
  <c r="D92" i="58"/>
  <c r="E65" i="58"/>
  <c r="D65" i="58"/>
  <c r="U7" i="57"/>
  <c r="P4" i="57"/>
  <c r="P63" i="57" s="1"/>
  <c r="B5" i="57"/>
  <c r="C5" i="57" s="1"/>
  <c r="D5" i="57" s="1"/>
  <c r="E5" i="57" s="1"/>
  <c r="F5" i="57" s="1"/>
  <c r="G5" i="57" s="1"/>
  <c r="H5" i="57" s="1"/>
  <c r="I5" i="57" s="1"/>
  <c r="J5" i="57" s="1"/>
  <c r="K5" i="57" s="1"/>
  <c r="L5" i="57" s="1"/>
  <c r="M5" i="57" s="1"/>
  <c r="N5" i="57" s="1"/>
  <c r="O5" i="57" s="1"/>
  <c r="P5" i="57" s="1"/>
  <c r="Q5" i="57" s="1"/>
  <c r="R5" i="57" s="1"/>
  <c r="S5" i="57" s="1"/>
  <c r="T5" i="57" s="1"/>
  <c r="U5" i="57" s="1"/>
  <c r="V5" i="57" s="1"/>
  <c r="W5" i="57" s="1"/>
  <c r="X5" i="57" s="1"/>
  <c r="Y5" i="57" s="1"/>
  <c r="Z5" i="57" s="1"/>
  <c r="AA5" i="57" s="1"/>
  <c r="AB5" i="57" s="1"/>
  <c r="AC5" i="57" s="1"/>
  <c r="AD5" i="57" s="1"/>
  <c r="AE5" i="57" s="1"/>
  <c r="AF5" i="57" s="1"/>
  <c r="AG5" i="57" s="1"/>
  <c r="B1" i="58"/>
  <c r="C1" i="58" s="1"/>
  <c r="D1" i="58" s="1"/>
  <c r="E1" i="58" s="1"/>
  <c r="F1" i="58" s="1"/>
  <c r="G1" i="58" s="1"/>
  <c r="H1" i="58" s="1"/>
  <c r="I1" i="58" s="1"/>
  <c r="J1" i="58" s="1"/>
  <c r="K1" i="58" s="1"/>
  <c r="L1" i="58" s="1"/>
  <c r="M1" i="58" s="1"/>
  <c r="N1" i="58" s="1"/>
  <c r="O1" i="58" s="1"/>
  <c r="P1" i="58" s="1"/>
  <c r="Q1" i="58" s="1"/>
  <c r="R1" i="58" s="1"/>
  <c r="S1" i="58" s="1"/>
  <c r="T1" i="58" s="1"/>
  <c r="U1" i="58" s="1"/>
  <c r="V1" i="58" s="1"/>
  <c r="W1" i="58" s="1"/>
  <c r="X1" i="58" s="1"/>
  <c r="Y1" i="58" s="1"/>
  <c r="Z1" i="58" s="1"/>
  <c r="AA1" i="58" s="1"/>
  <c r="AB1" i="58" s="1"/>
  <c r="AC1" i="58" s="1"/>
  <c r="AD1" i="58" s="1"/>
  <c r="AE1" i="58" s="1"/>
  <c r="AF1" i="58" s="1"/>
  <c r="AG1" i="58" s="1"/>
  <c r="AH1" i="58" s="1"/>
  <c r="AI1" i="58" s="1"/>
  <c r="AJ1" i="58" s="1"/>
  <c r="AK1" i="58" s="1"/>
  <c r="AL1" i="58" s="1"/>
  <c r="AM1" i="58" s="1"/>
  <c r="AN1" i="58" s="1"/>
  <c r="AO1" i="58" s="1"/>
  <c r="AP1" i="58" s="1"/>
  <c r="AQ1" i="58" s="1"/>
  <c r="AR1" i="58" s="1"/>
  <c r="AS1" i="58" s="1"/>
  <c r="AT1" i="58" s="1"/>
  <c r="AU1" i="58" s="1"/>
  <c r="AV1" i="58" s="1"/>
  <c r="AW1" i="58" s="1"/>
  <c r="AX1" i="58" s="1"/>
  <c r="AY1" i="58" s="1"/>
  <c r="AZ1" i="58" s="1"/>
  <c r="BA1" i="58" s="1"/>
  <c r="BB1" i="58" s="1"/>
  <c r="BC1" i="58" s="1"/>
  <c r="BD1" i="58" s="1"/>
  <c r="BE1" i="58" s="1"/>
  <c r="BF1" i="58" s="1"/>
  <c r="BG1" i="58" s="1"/>
  <c r="BH1" i="58" s="1"/>
  <c r="BI1" i="58" s="1"/>
  <c r="P13" i="57"/>
  <c r="P17" i="57"/>
  <c r="P21" i="57"/>
  <c r="P25" i="57"/>
  <c r="P29" i="57"/>
  <c r="P33" i="57"/>
  <c r="P37" i="57"/>
  <c r="P41" i="57"/>
  <c r="P45" i="57"/>
  <c r="P49" i="57"/>
  <c r="P53" i="57"/>
  <c r="P57" i="57"/>
  <c r="P61" i="57"/>
  <c r="P67" i="57"/>
  <c r="P71" i="57"/>
  <c r="P75" i="57"/>
  <c r="P79" i="57"/>
  <c r="P83" i="57"/>
  <c r="P88" i="57"/>
  <c r="P92" i="57"/>
  <c r="Q95" i="57"/>
  <c r="Q97" i="57"/>
  <c r="Q99" i="57"/>
  <c r="Q102" i="57"/>
  <c r="Q104" i="57"/>
  <c r="Q106" i="57"/>
  <c r="Q108" i="57"/>
  <c r="Q110" i="57"/>
  <c r="Q112" i="57"/>
  <c r="Q114" i="57"/>
  <c r="Q116" i="57"/>
  <c r="Q118" i="57"/>
  <c r="Q120" i="57"/>
  <c r="AQ5" i="58"/>
  <c r="E11" i="58"/>
  <c r="E12" i="58"/>
  <c r="E13" i="58"/>
  <c r="E14" i="58"/>
  <c r="E15" i="58"/>
  <c r="E16" i="58"/>
  <c r="E17" i="58"/>
  <c r="E18" i="58"/>
  <c r="E19" i="58"/>
  <c r="E20" i="58"/>
  <c r="E21" i="58"/>
  <c r="E22" i="58"/>
  <c r="E23" i="58"/>
  <c r="E24" i="58"/>
  <c r="E25" i="58"/>
  <c r="E26" i="58"/>
  <c r="E27" i="58"/>
  <c r="E28" i="58"/>
  <c r="E29" i="58"/>
  <c r="E30" i="58"/>
  <c r="E31" i="58"/>
  <c r="E32" i="58"/>
  <c r="E33" i="58"/>
  <c r="E34" i="58"/>
  <c r="E35" i="58"/>
  <c r="E36" i="58"/>
  <c r="E37" i="58"/>
  <c r="E38" i="58"/>
  <c r="E39" i="58"/>
  <c r="E40" i="58"/>
  <c r="E41" i="58"/>
  <c r="E42" i="58"/>
  <c r="E43" i="58"/>
  <c r="E44" i="58"/>
  <c r="E45" i="58"/>
  <c r="E46" i="58"/>
  <c r="E47" i="58"/>
  <c r="E48" i="58"/>
  <c r="E49" i="58"/>
  <c r="E50" i="58"/>
  <c r="E51" i="58"/>
  <c r="E52" i="58"/>
  <c r="E53" i="58"/>
  <c r="E54" i="58"/>
  <c r="E55" i="58"/>
  <c r="E56" i="58"/>
  <c r="E57" i="58"/>
  <c r="E58" i="58"/>
  <c r="E59" i="58"/>
  <c r="E60" i="58"/>
  <c r="E61" i="58"/>
  <c r="E62" i="58"/>
  <c r="E63" i="58"/>
  <c r="E66" i="58"/>
  <c r="E67" i="58"/>
  <c r="E68" i="58"/>
  <c r="E69" i="58"/>
  <c r="E70" i="58"/>
  <c r="E71" i="58"/>
  <c r="E72" i="58"/>
  <c r="E73" i="58"/>
  <c r="E74" i="58"/>
  <c r="E75" i="58"/>
  <c r="E76" i="58"/>
  <c r="E77" i="58"/>
  <c r="E78" i="58"/>
  <c r="E79" i="58"/>
  <c r="E80" i="58"/>
  <c r="E81" i="58"/>
  <c r="E82" i="58"/>
  <c r="E64" i="58"/>
  <c r="E83" i="58"/>
  <c r="E84" i="58"/>
  <c r="E85" i="58"/>
  <c r="E86" i="58"/>
  <c r="E87" i="58"/>
  <c r="E89" i="58"/>
  <c r="E90" i="58"/>
  <c r="E91" i="58"/>
  <c r="E93" i="58"/>
  <c r="E94" i="58"/>
  <c r="E95" i="58"/>
  <c r="E96" i="58"/>
  <c r="E97" i="58"/>
  <c r="E98" i="58"/>
  <c r="E99" i="58"/>
  <c r="E100" i="58"/>
  <c r="E101" i="58"/>
  <c r="E102" i="58"/>
  <c r="E103" i="58"/>
  <c r="E104" i="58"/>
  <c r="E105" i="58"/>
  <c r="E106" i="58"/>
  <c r="E107" i="58"/>
  <c r="E108" i="58"/>
  <c r="E109" i="58"/>
  <c r="E110" i="58"/>
  <c r="E111" i="58"/>
  <c r="E112" i="58"/>
  <c r="E113" i="58"/>
  <c r="E114" i="58"/>
  <c r="E115" i="58"/>
  <c r="E116" i="58"/>
  <c r="E117" i="58"/>
  <c r="E118" i="58"/>
  <c r="E119" i="58"/>
  <c r="E10" i="58"/>
  <c r="C63" i="58"/>
  <c r="C62" i="58"/>
  <c r="C61" i="58"/>
  <c r="C60" i="58"/>
  <c r="C59" i="58"/>
  <c r="C58" i="58"/>
  <c r="C57" i="58"/>
  <c r="C56" i="58"/>
  <c r="C55" i="58"/>
  <c r="C54" i="58"/>
  <c r="C53" i="58"/>
  <c r="C52" i="58"/>
  <c r="C51" i="58"/>
  <c r="C50" i="58"/>
  <c r="C49" i="58"/>
  <c r="C48" i="58"/>
  <c r="C47" i="58"/>
  <c r="C46" i="58"/>
  <c r="C45" i="58"/>
  <c r="C44" i="58"/>
  <c r="C43" i="58"/>
  <c r="C42" i="58"/>
  <c r="C41" i="58"/>
  <c r="C40" i="58"/>
  <c r="C39" i="58"/>
  <c r="C38" i="58"/>
  <c r="C37" i="58"/>
  <c r="C36" i="58"/>
  <c r="C35" i="58"/>
  <c r="C34" i="58"/>
  <c r="C33" i="58"/>
  <c r="C32" i="58"/>
  <c r="C31" i="58"/>
  <c r="C30" i="58"/>
  <c r="C29" i="58"/>
  <c r="C28" i="58"/>
  <c r="C27" i="58"/>
  <c r="C26" i="58"/>
  <c r="C25" i="58"/>
  <c r="C24" i="58"/>
  <c r="C23" i="58"/>
  <c r="C22" i="58"/>
  <c r="C21" i="58"/>
  <c r="C20" i="58"/>
  <c r="C19" i="58"/>
  <c r="C18" i="58"/>
  <c r="C17" i="58"/>
  <c r="C16" i="58"/>
  <c r="C15" i="58"/>
  <c r="C14" i="58"/>
  <c r="C13" i="58"/>
  <c r="C12" i="58"/>
  <c r="C11" i="58"/>
  <c r="C10" i="58"/>
  <c r="D11" i="58"/>
  <c r="D12" i="58"/>
  <c r="D13" i="58"/>
  <c r="D14" i="58"/>
  <c r="D15" i="58"/>
  <c r="D16" i="58"/>
  <c r="D17" i="58"/>
  <c r="D18" i="58"/>
  <c r="D19" i="58"/>
  <c r="D20"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6" i="58"/>
  <c r="D67" i="58"/>
  <c r="D68" i="58"/>
  <c r="D69" i="58"/>
  <c r="D70" i="58"/>
  <c r="D71" i="58"/>
  <c r="D72" i="58"/>
  <c r="D73" i="58"/>
  <c r="D74" i="58"/>
  <c r="D75" i="58"/>
  <c r="D76" i="58"/>
  <c r="D77" i="58"/>
  <c r="D78" i="58"/>
  <c r="D79" i="58"/>
  <c r="D80" i="58"/>
  <c r="D81" i="58"/>
  <c r="D82" i="58"/>
  <c r="D64" i="58"/>
  <c r="D83" i="58"/>
  <c r="D84" i="58"/>
  <c r="D85" i="58"/>
  <c r="D86" i="58"/>
  <c r="D87" i="58"/>
  <c r="D89" i="58"/>
  <c r="D90" i="58"/>
  <c r="D91"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0" i="58"/>
  <c r="AT9" i="50"/>
  <c r="AT10" i="50"/>
  <c r="AT11" i="50"/>
  <c r="AT12" i="50"/>
  <c r="AT13" i="50"/>
  <c r="AT14" i="50"/>
  <c r="AT15" i="50"/>
  <c r="AT16" i="50"/>
  <c r="AT17" i="50"/>
  <c r="AT18" i="50"/>
  <c r="AT19" i="50"/>
  <c r="AT20" i="50"/>
  <c r="AT21" i="50"/>
  <c r="AT22" i="50"/>
  <c r="AT23" i="50"/>
  <c r="AT24" i="50"/>
  <c r="AT25" i="50"/>
  <c r="AT26" i="50"/>
  <c r="AT27" i="50"/>
  <c r="AT28" i="50"/>
  <c r="AT29" i="50"/>
  <c r="AT30" i="50"/>
  <c r="AT31" i="50"/>
  <c r="AT32" i="50"/>
  <c r="AT33" i="50"/>
  <c r="AT34" i="50"/>
  <c r="AT35" i="50"/>
  <c r="AT36" i="50"/>
  <c r="AT37" i="50"/>
  <c r="AT38" i="50"/>
  <c r="AT39" i="50"/>
  <c r="AT40" i="50"/>
  <c r="AT41" i="50"/>
  <c r="AT42" i="50"/>
  <c r="AT43" i="50"/>
  <c r="AT44" i="50"/>
  <c r="AT45" i="50"/>
  <c r="AT46" i="50"/>
  <c r="AT47" i="50"/>
  <c r="AT48" i="50"/>
  <c r="AT49" i="50"/>
  <c r="AT50" i="50"/>
  <c r="AT51" i="50"/>
  <c r="AT52" i="50"/>
  <c r="AT53" i="50"/>
  <c r="AT54" i="50"/>
  <c r="AT55" i="50"/>
  <c r="AT56" i="50"/>
  <c r="AT57" i="50"/>
  <c r="AT58" i="50"/>
  <c r="AT59" i="50"/>
  <c r="AT60" i="50"/>
  <c r="AT61" i="50"/>
  <c r="AT63" i="50"/>
  <c r="AT64" i="50"/>
  <c r="AT66" i="50"/>
  <c r="AT67" i="50"/>
  <c r="AT68" i="50"/>
  <c r="AT69" i="50"/>
  <c r="AT70" i="50"/>
  <c r="AT71" i="50"/>
  <c r="AT72" i="50"/>
  <c r="AT73" i="50"/>
  <c r="AT74" i="50"/>
  <c r="AT75" i="50"/>
  <c r="AT76" i="50"/>
  <c r="AT77" i="50"/>
  <c r="AT78" i="50"/>
  <c r="AT79" i="50"/>
  <c r="AT80" i="50"/>
  <c r="AT81" i="50"/>
  <c r="AT82" i="50"/>
  <c r="AT83" i="50"/>
  <c r="AT84" i="50"/>
  <c r="AT85" i="50"/>
  <c r="AT87" i="50"/>
  <c r="AT88" i="50"/>
  <c r="AT89" i="50"/>
  <c r="AT90" i="50"/>
  <c r="AT91" i="50"/>
  <c r="AT92" i="50"/>
  <c r="AT93" i="50"/>
  <c r="AT94" i="50"/>
  <c r="AT95" i="50"/>
  <c r="AT96" i="50"/>
  <c r="AT97" i="50"/>
  <c r="AT98" i="50"/>
  <c r="AT99" i="50"/>
  <c r="AT101" i="50"/>
  <c r="AT102" i="50"/>
  <c r="AT103" i="50"/>
  <c r="AT104" i="50"/>
  <c r="AT105" i="50"/>
  <c r="AT106" i="50"/>
  <c r="AT107" i="50"/>
  <c r="AT108" i="50"/>
  <c r="AT109" i="50"/>
  <c r="AT110" i="50"/>
  <c r="AT111" i="50"/>
  <c r="AT112" i="50"/>
  <c r="AT113" i="50"/>
  <c r="AT114" i="50"/>
  <c r="AT115" i="50"/>
  <c r="AT116" i="50"/>
  <c r="AT117" i="50"/>
  <c r="AT118" i="50"/>
  <c r="AT119" i="50"/>
  <c r="AT8" i="50"/>
  <c r="F4" i="52"/>
  <c r="F5" i="52"/>
  <c r="F6" i="52"/>
  <c r="F7" i="52"/>
  <c r="F8" i="52"/>
  <c r="F9" i="52"/>
  <c r="F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6" i="52"/>
  <c r="F97" i="52"/>
  <c r="F98" i="52"/>
  <c r="F3" i="52"/>
  <c r="E4" i="52"/>
  <c r="B9" i="55" s="1"/>
  <c r="E5" i="52"/>
  <c r="B10" i="55" s="1"/>
  <c r="E6" i="52"/>
  <c r="B11" i="55" s="1"/>
  <c r="E7" i="52"/>
  <c r="B12" i="55" s="1"/>
  <c r="E8" i="52"/>
  <c r="B13" i="55" s="1"/>
  <c r="E9" i="52"/>
  <c r="B14" i="55" s="1"/>
  <c r="E10" i="52"/>
  <c r="B15" i="55" s="1"/>
  <c r="E11" i="52"/>
  <c r="B16" i="55" s="1"/>
  <c r="E12" i="52"/>
  <c r="B17" i="55" s="1"/>
  <c r="E13" i="52"/>
  <c r="B18" i="55" s="1"/>
  <c r="E14" i="52"/>
  <c r="B19" i="55" s="1"/>
  <c r="E15" i="52"/>
  <c r="B20" i="55" s="1"/>
  <c r="E16" i="52"/>
  <c r="B21" i="55" s="1"/>
  <c r="E17" i="52"/>
  <c r="B22" i="55" s="1"/>
  <c r="E18" i="52"/>
  <c r="B23" i="55" s="1"/>
  <c r="E19" i="52"/>
  <c r="B24" i="55" s="1"/>
  <c r="E20" i="52"/>
  <c r="B25" i="55" s="1"/>
  <c r="E21" i="52"/>
  <c r="B26" i="55" s="1"/>
  <c r="E22" i="52"/>
  <c r="B27" i="55" s="1"/>
  <c r="E23" i="52"/>
  <c r="B28" i="55" s="1"/>
  <c r="E24" i="52"/>
  <c r="B29" i="55" s="1"/>
  <c r="E25" i="52"/>
  <c r="B30" i="55" s="1"/>
  <c r="E26" i="52"/>
  <c r="B31" i="55" s="1"/>
  <c r="E27" i="52"/>
  <c r="B32" i="55" s="1"/>
  <c r="E28" i="52"/>
  <c r="B33" i="55" s="1"/>
  <c r="E29" i="52"/>
  <c r="B34" i="55" s="1"/>
  <c r="E30" i="52"/>
  <c r="B35" i="55" s="1"/>
  <c r="E31" i="52"/>
  <c r="B36" i="55" s="1"/>
  <c r="E32" i="52"/>
  <c r="B37" i="55" s="1"/>
  <c r="E33" i="52"/>
  <c r="B38" i="55" s="1"/>
  <c r="E34" i="52"/>
  <c r="B39" i="55" s="1"/>
  <c r="E35" i="52"/>
  <c r="B40" i="55" s="1"/>
  <c r="E36" i="52"/>
  <c r="B41" i="55" s="1"/>
  <c r="E37" i="52"/>
  <c r="B42" i="55" s="1"/>
  <c r="E38" i="52"/>
  <c r="B43" i="55" s="1"/>
  <c r="E39" i="52"/>
  <c r="B44" i="55" s="1"/>
  <c r="E40" i="52"/>
  <c r="B45" i="55" s="1"/>
  <c r="E41" i="52"/>
  <c r="B46" i="55" s="1"/>
  <c r="E42" i="52"/>
  <c r="B47" i="55" s="1"/>
  <c r="E43" i="52"/>
  <c r="B48" i="55" s="1"/>
  <c r="E44" i="52"/>
  <c r="B49" i="55" s="1"/>
  <c r="E45" i="52"/>
  <c r="B50" i="55" s="1"/>
  <c r="E46" i="52"/>
  <c r="B51" i="55" s="1"/>
  <c r="E47" i="52"/>
  <c r="B52" i="55" s="1"/>
  <c r="E48" i="52"/>
  <c r="B53" i="55" s="1"/>
  <c r="E49" i="52"/>
  <c r="B54" i="55" s="1"/>
  <c r="E50" i="52"/>
  <c r="B55" i="55" s="1"/>
  <c r="E51" i="52"/>
  <c r="B56" i="55" s="1"/>
  <c r="E52" i="52"/>
  <c r="B57" i="55" s="1"/>
  <c r="E53" i="52"/>
  <c r="B58" i="55" s="1"/>
  <c r="E54" i="52"/>
  <c r="B59" i="55" s="1"/>
  <c r="E55" i="52"/>
  <c r="B60" i="55" s="1"/>
  <c r="E56" i="52"/>
  <c r="B61" i="55" s="1"/>
  <c r="E57" i="52"/>
  <c r="B62" i="55" s="1"/>
  <c r="E58" i="52"/>
  <c r="B63" i="55" s="1"/>
  <c r="E59" i="52"/>
  <c r="B64" i="55" s="1"/>
  <c r="E61" i="52"/>
  <c r="B66" i="55" s="1"/>
  <c r="E62" i="52"/>
  <c r="B67" i="55" s="1"/>
  <c r="E63" i="52"/>
  <c r="B68" i="55" s="1"/>
  <c r="E64" i="52"/>
  <c r="B69" i="55" s="1"/>
  <c r="E65" i="52"/>
  <c r="B70" i="55" s="1"/>
  <c r="E66" i="52"/>
  <c r="B71" i="55" s="1"/>
  <c r="E67" i="52"/>
  <c r="B72" i="55" s="1"/>
  <c r="E68" i="52"/>
  <c r="B73" i="55" s="1"/>
  <c r="E69" i="52"/>
  <c r="B74" i="55" s="1"/>
  <c r="E70" i="52"/>
  <c r="B75" i="55" s="1"/>
  <c r="E71" i="52"/>
  <c r="B76" i="55" s="1"/>
  <c r="E72" i="52"/>
  <c r="B77" i="55" s="1"/>
  <c r="E73" i="52"/>
  <c r="B78" i="55" s="1"/>
  <c r="E74" i="52"/>
  <c r="B79" i="55" s="1"/>
  <c r="E75" i="52"/>
  <c r="B80" i="55" s="1"/>
  <c r="E76" i="52"/>
  <c r="B81" i="55" s="1"/>
  <c r="E77" i="52"/>
  <c r="B82" i="55" s="1"/>
  <c r="E78" i="52"/>
  <c r="B83" i="55" s="1"/>
  <c r="E79" i="52"/>
  <c r="B84" i="55" s="1"/>
  <c r="E80" i="52"/>
  <c r="B85" i="55" s="1"/>
  <c r="E81" i="52"/>
  <c r="B86" i="55" s="1"/>
  <c r="E82" i="52"/>
  <c r="B87" i="55" s="1"/>
  <c r="E83" i="52"/>
  <c r="B88" i="55" s="1"/>
  <c r="E84" i="52"/>
  <c r="B89" i="55" s="1"/>
  <c r="E85" i="52"/>
  <c r="B90" i="55" s="1"/>
  <c r="E86" i="52"/>
  <c r="B91" i="55" s="1"/>
  <c r="E87" i="52"/>
  <c r="B92" i="55" s="1"/>
  <c r="E88" i="52"/>
  <c r="B93" i="55" s="1"/>
  <c r="E89" i="52"/>
  <c r="B94" i="55" s="1"/>
  <c r="E90" i="52"/>
  <c r="B95" i="55" s="1"/>
  <c r="E91" i="52"/>
  <c r="B96" i="55" s="1"/>
  <c r="E92" i="52"/>
  <c r="B97" i="55" s="1"/>
  <c r="E93" i="52"/>
  <c r="B98" i="55" s="1"/>
  <c r="E94" i="52"/>
  <c r="B99" i="55" s="1"/>
  <c r="E96" i="52"/>
  <c r="B101" i="55" s="1"/>
  <c r="E97" i="52"/>
  <c r="B102" i="55" s="1"/>
  <c r="E98" i="52"/>
  <c r="B103" i="55" s="1"/>
  <c r="E3" i="52"/>
  <c r="B8" i="55" s="1"/>
  <c r="D4" i="52"/>
  <c r="D9" i="55" s="1"/>
  <c r="D5" i="52"/>
  <c r="D10" i="55" s="1"/>
  <c r="D6" i="52"/>
  <c r="D11" i="55" s="1"/>
  <c r="D7" i="52"/>
  <c r="D12" i="55" s="1"/>
  <c r="D8" i="52"/>
  <c r="D13" i="55" s="1"/>
  <c r="D9" i="52"/>
  <c r="D14" i="55" s="1"/>
  <c r="D10" i="52"/>
  <c r="D15" i="55" s="1"/>
  <c r="D11" i="52"/>
  <c r="D16" i="55" s="1"/>
  <c r="D12" i="52"/>
  <c r="D17" i="55" s="1"/>
  <c r="D13" i="52"/>
  <c r="D18" i="55" s="1"/>
  <c r="D14" i="52"/>
  <c r="D19" i="55" s="1"/>
  <c r="D15" i="52"/>
  <c r="D20" i="55" s="1"/>
  <c r="D16" i="52"/>
  <c r="D21" i="55" s="1"/>
  <c r="D17" i="52"/>
  <c r="D22" i="55" s="1"/>
  <c r="D18" i="52"/>
  <c r="D23" i="55" s="1"/>
  <c r="D19" i="52"/>
  <c r="D24" i="55" s="1"/>
  <c r="D20" i="52"/>
  <c r="D25" i="55" s="1"/>
  <c r="D21" i="52"/>
  <c r="D26" i="55" s="1"/>
  <c r="D22" i="52"/>
  <c r="D27" i="55" s="1"/>
  <c r="D23" i="52"/>
  <c r="D28" i="55" s="1"/>
  <c r="D24" i="52"/>
  <c r="D29" i="55" s="1"/>
  <c r="D25" i="52"/>
  <c r="D30" i="55" s="1"/>
  <c r="D26" i="52"/>
  <c r="D31" i="55" s="1"/>
  <c r="D27" i="52"/>
  <c r="D32" i="55" s="1"/>
  <c r="D28" i="52"/>
  <c r="D33" i="55" s="1"/>
  <c r="D29" i="52"/>
  <c r="D34" i="55" s="1"/>
  <c r="D30" i="52"/>
  <c r="D35" i="55" s="1"/>
  <c r="D31" i="52"/>
  <c r="D36" i="55" s="1"/>
  <c r="D32" i="52"/>
  <c r="D37" i="55" s="1"/>
  <c r="D33" i="52"/>
  <c r="D38" i="55" s="1"/>
  <c r="D34" i="52"/>
  <c r="D39" i="55" s="1"/>
  <c r="D35" i="52"/>
  <c r="D40" i="55" s="1"/>
  <c r="D36" i="52"/>
  <c r="D41" i="55" s="1"/>
  <c r="D37" i="52"/>
  <c r="D42" i="55" s="1"/>
  <c r="D38" i="52"/>
  <c r="D43" i="55" s="1"/>
  <c r="D39" i="52"/>
  <c r="D44" i="55" s="1"/>
  <c r="D40" i="52"/>
  <c r="D45" i="55" s="1"/>
  <c r="D41" i="52"/>
  <c r="D46" i="55" s="1"/>
  <c r="D42" i="52"/>
  <c r="D47" i="55" s="1"/>
  <c r="D43" i="52"/>
  <c r="D48" i="55" s="1"/>
  <c r="D44" i="52"/>
  <c r="D49" i="55" s="1"/>
  <c r="D45" i="52"/>
  <c r="D50" i="55" s="1"/>
  <c r="D46" i="52"/>
  <c r="D51" i="55" s="1"/>
  <c r="D47" i="52"/>
  <c r="D52" i="55" s="1"/>
  <c r="D48" i="52"/>
  <c r="D53" i="55" s="1"/>
  <c r="D49" i="52"/>
  <c r="D54" i="55" s="1"/>
  <c r="D50" i="52"/>
  <c r="D55" i="55" s="1"/>
  <c r="D51" i="52"/>
  <c r="D56" i="55" s="1"/>
  <c r="D52" i="52"/>
  <c r="D57" i="55" s="1"/>
  <c r="D53" i="52"/>
  <c r="D58" i="55" s="1"/>
  <c r="D54" i="52"/>
  <c r="D59" i="55" s="1"/>
  <c r="D55" i="52"/>
  <c r="D60" i="55" s="1"/>
  <c r="D56" i="52"/>
  <c r="D61" i="55" s="1"/>
  <c r="D57" i="52"/>
  <c r="D62" i="55" s="1"/>
  <c r="D58" i="52"/>
  <c r="D63" i="55" s="1"/>
  <c r="D59" i="52"/>
  <c r="D64" i="55" s="1"/>
  <c r="D61" i="52"/>
  <c r="D66" i="55" s="1"/>
  <c r="D62" i="52"/>
  <c r="D67" i="55" s="1"/>
  <c r="D63" i="52"/>
  <c r="D68" i="55" s="1"/>
  <c r="D64" i="52"/>
  <c r="D69" i="55" s="1"/>
  <c r="D65" i="52"/>
  <c r="D70" i="55" s="1"/>
  <c r="D66" i="52"/>
  <c r="D71" i="55" s="1"/>
  <c r="D67" i="52"/>
  <c r="D72" i="55" s="1"/>
  <c r="D68" i="52"/>
  <c r="D73" i="55" s="1"/>
  <c r="D69" i="52"/>
  <c r="D74" i="55" s="1"/>
  <c r="D70" i="52"/>
  <c r="D75" i="55" s="1"/>
  <c r="D71" i="52"/>
  <c r="D76" i="55" s="1"/>
  <c r="D72" i="52"/>
  <c r="D77" i="55" s="1"/>
  <c r="D73" i="52"/>
  <c r="D78" i="55" s="1"/>
  <c r="D74" i="52"/>
  <c r="D79" i="55" s="1"/>
  <c r="D75" i="52"/>
  <c r="D80" i="55" s="1"/>
  <c r="D76" i="52"/>
  <c r="D81" i="55" s="1"/>
  <c r="D77" i="52"/>
  <c r="D82" i="55" s="1"/>
  <c r="D78" i="52"/>
  <c r="D83" i="55" s="1"/>
  <c r="D79" i="52"/>
  <c r="D84" i="55" s="1"/>
  <c r="D80" i="52"/>
  <c r="D85" i="55" s="1"/>
  <c r="D81" i="52"/>
  <c r="D86" i="55" s="1"/>
  <c r="D82" i="52"/>
  <c r="D87" i="55" s="1"/>
  <c r="D83" i="52"/>
  <c r="D88" i="55" s="1"/>
  <c r="D84" i="52"/>
  <c r="D89" i="55" s="1"/>
  <c r="D85" i="52"/>
  <c r="D90" i="55" s="1"/>
  <c r="D86" i="52"/>
  <c r="D91" i="55" s="1"/>
  <c r="D87" i="52"/>
  <c r="D92" i="55" s="1"/>
  <c r="D88" i="52"/>
  <c r="D93" i="55" s="1"/>
  <c r="D89" i="52"/>
  <c r="D94" i="55" s="1"/>
  <c r="D90" i="52"/>
  <c r="D95" i="55" s="1"/>
  <c r="D91" i="52"/>
  <c r="D96" i="55" s="1"/>
  <c r="D92" i="52"/>
  <c r="D97" i="55" s="1"/>
  <c r="D93" i="52"/>
  <c r="D98" i="55" s="1"/>
  <c r="D94" i="52"/>
  <c r="D99" i="55" s="1"/>
  <c r="D96" i="52"/>
  <c r="D101" i="55" s="1"/>
  <c r="D97" i="52"/>
  <c r="D102" i="55" s="1"/>
  <c r="D98" i="52"/>
  <c r="D103" i="55" s="1"/>
  <c r="D3" i="52"/>
  <c r="D8" i="55" s="1"/>
  <c r="C4" i="52"/>
  <c r="C9" i="55" s="1"/>
  <c r="C5" i="52"/>
  <c r="C10" i="55" s="1"/>
  <c r="C6" i="52"/>
  <c r="C11" i="55" s="1"/>
  <c r="C7" i="52"/>
  <c r="C12" i="55" s="1"/>
  <c r="C8" i="52"/>
  <c r="C13" i="55" s="1"/>
  <c r="C9" i="52"/>
  <c r="C14" i="55" s="1"/>
  <c r="C10" i="52"/>
  <c r="C15" i="55" s="1"/>
  <c r="C11" i="52"/>
  <c r="C16" i="55" s="1"/>
  <c r="C12" i="52"/>
  <c r="C17" i="55" s="1"/>
  <c r="C13" i="52"/>
  <c r="C18" i="55" s="1"/>
  <c r="C14" i="52"/>
  <c r="C19" i="55" s="1"/>
  <c r="C15" i="52"/>
  <c r="C20" i="55" s="1"/>
  <c r="C16" i="52"/>
  <c r="C21" i="55" s="1"/>
  <c r="C17" i="52"/>
  <c r="C22" i="55" s="1"/>
  <c r="C18" i="52"/>
  <c r="C23" i="55" s="1"/>
  <c r="C19" i="52"/>
  <c r="C24" i="55" s="1"/>
  <c r="C20" i="52"/>
  <c r="C25" i="55" s="1"/>
  <c r="C21" i="52"/>
  <c r="C26" i="55" s="1"/>
  <c r="C22" i="52"/>
  <c r="C27" i="55" s="1"/>
  <c r="C23" i="52"/>
  <c r="C28" i="55" s="1"/>
  <c r="C24" i="52"/>
  <c r="C29" i="55" s="1"/>
  <c r="C25" i="52"/>
  <c r="C30" i="55" s="1"/>
  <c r="C26" i="52"/>
  <c r="C31" i="55" s="1"/>
  <c r="C27" i="52"/>
  <c r="C32" i="55" s="1"/>
  <c r="C28" i="52"/>
  <c r="C33" i="55" s="1"/>
  <c r="C29" i="52"/>
  <c r="C34" i="55" s="1"/>
  <c r="C30" i="52"/>
  <c r="C35" i="55" s="1"/>
  <c r="C31" i="52"/>
  <c r="C36" i="55" s="1"/>
  <c r="C32" i="52"/>
  <c r="C37" i="55" s="1"/>
  <c r="C33" i="52"/>
  <c r="C38" i="55" s="1"/>
  <c r="C34" i="52"/>
  <c r="C39" i="55" s="1"/>
  <c r="C35" i="52"/>
  <c r="C40" i="55" s="1"/>
  <c r="C36" i="52"/>
  <c r="C41" i="55" s="1"/>
  <c r="C37" i="52"/>
  <c r="C42" i="55" s="1"/>
  <c r="C38" i="52"/>
  <c r="C43" i="55" s="1"/>
  <c r="C39" i="52"/>
  <c r="C44" i="55" s="1"/>
  <c r="C40" i="52"/>
  <c r="C45" i="55" s="1"/>
  <c r="C41" i="52"/>
  <c r="C46" i="55" s="1"/>
  <c r="C42" i="52"/>
  <c r="C47" i="55" s="1"/>
  <c r="C43" i="52"/>
  <c r="C48" i="55" s="1"/>
  <c r="C44" i="52"/>
  <c r="C49" i="55" s="1"/>
  <c r="C45" i="52"/>
  <c r="C50" i="55" s="1"/>
  <c r="C46" i="52"/>
  <c r="C51" i="55" s="1"/>
  <c r="C47" i="52"/>
  <c r="C52" i="55" s="1"/>
  <c r="C48" i="52"/>
  <c r="C53" i="55" s="1"/>
  <c r="C49" i="52"/>
  <c r="C54" i="55" s="1"/>
  <c r="C50" i="52"/>
  <c r="C55" i="55" s="1"/>
  <c r="C51" i="52"/>
  <c r="C56" i="55" s="1"/>
  <c r="C52" i="52"/>
  <c r="C57" i="55" s="1"/>
  <c r="C53" i="52"/>
  <c r="C58" i="55" s="1"/>
  <c r="C54" i="52"/>
  <c r="C59" i="55" s="1"/>
  <c r="C55" i="52"/>
  <c r="C60" i="55" s="1"/>
  <c r="C56" i="52"/>
  <c r="C61" i="55" s="1"/>
  <c r="C57" i="52"/>
  <c r="C62" i="55" s="1"/>
  <c r="C58" i="52"/>
  <c r="C63" i="55" s="1"/>
  <c r="C59" i="52"/>
  <c r="C64" i="55" s="1"/>
  <c r="C61" i="52"/>
  <c r="C66" i="55" s="1"/>
  <c r="C62" i="52"/>
  <c r="C67" i="55" s="1"/>
  <c r="C63" i="52"/>
  <c r="C68" i="55" s="1"/>
  <c r="C64" i="52"/>
  <c r="C69" i="55" s="1"/>
  <c r="C65" i="52"/>
  <c r="C70" i="55" s="1"/>
  <c r="C66" i="52"/>
  <c r="C71" i="55" s="1"/>
  <c r="C67" i="52"/>
  <c r="C72" i="55" s="1"/>
  <c r="C68" i="52"/>
  <c r="C73" i="55" s="1"/>
  <c r="C69" i="52"/>
  <c r="C74" i="55" s="1"/>
  <c r="C70" i="52"/>
  <c r="C75" i="55" s="1"/>
  <c r="C71" i="52"/>
  <c r="C76" i="55" s="1"/>
  <c r="C72" i="52"/>
  <c r="C77" i="55" s="1"/>
  <c r="C73" i="52"/>
  <c r="C78" i="55" s="1"/>
  <c r="C74" i="52"/>
  <c r="C79" i="55" s="1"/>
  <c r="C75" i="52"/>
  <c r="C80" i="55" s="1"/>
  <c r="C76" i="52"/>
  <c r="C81" i="55" s="1"/>
  <c r="C77" i="52"/>
  <c r="C82" i="55" s="1"/>
  <c r="C78" i="52"/>
  <c r="C83" i="55" s="1"/>
  <c r="C79" i="52"/>
  <c r="C84" i="55" s="1"/>
  <c r="C80" i="52"/>
  <c r="C85" i="55" s="1"/>
  <c r="C81" i="52"/>
  <c r="C86" i="55" s="1"/>
  <c r="C82" i="52"/>
  <c r="C87" i="55" s="1"/>
  <c r="C83" i="52"/>
  <c r="C88" i="55" s="1"/>
  <c r="C84" i="52"/>
  <c r="C89" i="55" s="1"/>
  <c r="C85" i="52"/>
  <c r="C90" i="55" s="1"/>
  <c r="C86" i="52"/>
  <c r="C91" i="55" s="1"/>
  <c r="C87" i="52"/>
  <c r="C92" i="55" s="1"/>
  <c r="C88" i="52"/>
  <c r="C93" i="55" s="1"/>
  <c r="C89" i="52"/>
  <c r="C94" i="55" s="1"/>
  <c r="C90" i="52"/>
  <c r="C95" i="55" s="1"/>
  <c r="C91" i="52"/>
  <c r="C96" i="55" s="1"/>
  <c r="C92" i="52"/>
  <c r="C97" i="55" s="1"/>
  <c r="C93" i="52"/>
  <c r="C98" i="55" s="1"/>
  <c r="C94" i="52"/>
  <c r="C99" i="55" s="1"/>
  <c r="C96" i="52"/>
  <c r="C101" i="55" s="1"/>
  <c r="C97" i="52"/>
  <c r="C102" i="55" s="1"/>
  <c r="C98" i="52"/>
  <c r="C103" i="55" s="1"/>
  <c r="C3" i="52"/>
  <c r="C8" i="55" s="1"/>
  <c r="B3" i="52"/>
  <c r="E8" i="55" s="1"/>
  <c r="B4" i="52"/>
  <c r="E9" i="55" s="1"/>
  <c r="B5" i="52"/>
  <c r="E10" i="55" s="1"/>
  <c r="B6" i="52"/>
  <c r="E11" i="55" s="1"/>
  <c r="B7" i="52"/>
  <c r="E12" i="55" s="1"/>
  <c r="B8" i="52"/>
  <c r="E13" i="55" s="1"/>
  <c r="B9" i="52"/>
  <c r="E14" i="55" s="1"/>
  <c r="B10" i="52"/>
  <c r="E15" i="55" s="1"/>
  <c r="B11" i="52"/>
  <c r="E16" i="55" s="1"/>
  <c r="B12" i="52"/>
  <c r="E17" i="55" s="1"/>
  <c r="B13" i="52"/>
  <c r="E18" i="55" s="1"/>
  <c r="B14" i="52"/>
  <c r="E19" i="55" s="1"/>
  <c r="B15" i="52"/>
  <c r="E20" i="55" s="1"/>
  <c r="B16" i="52"/>
  <c r="E21" i="55" s="1"/>
  <c r="B17" i="52"/>
  <c r="E22" i="55" s="1"/>
  <c r="B18" i="52"/>
  <c r="E23" i="55" s="1"/>
  <c r="B19" i="52"/>
  <c r="E24" i="55" s="1"/>
  <c r="B20" i="52"/>
  <c r="E25" i="55" s="1"/>
  <c r="B21" i="52"/>
  <c r="E26" i="55" s="1"/>
  <c r="B22" i="52"/>
  <c r="E27" i="55" s="1"/>
  <c r="B23" i="52"/>
  <c r="E28" i="55" s="1"/>
  <c r="B24" i="52"/>
  <c r="E29" i="55" s="1"/>
  <c r="B25" i="52"/>
  <c r="E30" i="55" s="1"/>
  <c r="B26" i="52"/>
  <c r="E31" i="55" s="1"/>
  <c r="B27" i="52"/>
  <c r="E32" i="55" s="1"/>
  <c r="B28" i="52"/>
  <c r="E33" i="55" s="1"/>
  <c r="B29" i="52"/>
  <c r="E34" i="55" s="1"/>
  <c r="B30" i="52"/>
  <c r="E35" i="55" s="1"/>
  <c r="B31" i="52"/>
  <c r="E36" i="55" s="1"/>
  <c r="B32" i="52"/>
  <c r="E37" i="55" s="1"/>
  <c r="B33" i="52"/>
  <c r="E38" i="55" s="1"/>
  <c r="B34" i="52"/>
  <c r="E39" i="55" s="1"/>
  <c r="B35" i="52"/>
  <c r="E40" i="55" s="1"/>
  <c r="B36" i="52"/>
  <c r="E41" i="55" s="1"/>
  <c r="B37" i="52"/>
  <c r="E42" i="55" s="1"/>
  <c r="B38" i="52"/>
  <c r="E43" i="55" s="1"/>
  <c r="B39" i="52"/>
  <c r="E44" i="55" s="1"/>
  <c r="B40" i="52"/>
  <c r="E45" i="55" s="1"/>
  <c r="B41" i="52"/>
  <c r="E46" i="55" s="1"/>
  <c r="B42" i="52"/>
  <c r="E47" i="55" s="1"/>
  <c r="B43" i="52"/>
  <c r="E48" i="55" s="1"/>
  <c r="B44" i="52"/>
  <c r="E49" i="55" s="1"/>
  <c r="B45" i="52"/>
  <c r="E50" i="55" s="1"/>
  <c r="B46" i="52"/>
  <c r="E51" i="55" s="1"/>
  <c r="B47" i="52"/>
  <c r="E52" i="55" s="1"/>
  <c r="B48" i="52"/>
  <c r="E53" i="55" s="1"/>
  <c r="B49" i="52"/>
  <c r="E54" i="55" s="1"/>
  <c r="B50" i="52"/>
  <c r="E55" i="55" s="1"/>
  <c r="B51" i="52"/>
  <c r="E56" i="55" s="1"/>
  <c r="B52" i="52"/>
  <c r="E57" i="55" s="1"/>
  <c r="B53" i="52"/>
  <c r="E58" i="55" s="1"/>
  <c r="B54" i="52"/>
  <c r="E59" i="55" s="1"/>
  <c r="B55" i="52"/>
  <c r="E60" i="55" s="1"/>
  <c r="B56" i="52"/>
  <c r="E61" i="55" s="1"/>
  <c r="B57" i="52"/>
  <c r="E62" i="55" s="1"/>
  <c r="B58" i="52"/>
  <c r="E63" i="55" s="1"/>
  <c r="B59" i="52"/>
  <c r="E64" i="55" s="1"/>
  <c r="B61" i="52"/>
  <c r="E66" i="55" s="1"/>
  <c r="B62" i="52"/>
  <c r="E67" i="55" s="1"/>
  <c r="B63" i="52"/>
  <c r="E68" i="55" s="1"/>
  <c r="B64" i="52"/>
  <c r="E69" i="55" s="1"/>
  <c r="B65" i="52"/>
  <c r="E70" i="55" s="1"/>
  <c r="B66" i="52"/>
  <c r="E71" i="55" s="1"/>
  <c r="B67" i="52"/>
  <c r="E72" i="55" s="1"/>
  <c r="B68" i="52"/>
  <c r="E73" i="55" s="1"/>
  <c r="B69" i="52"/>
  <c r="E74" i="55" s="1"/>
  <c r="B70" i="52"/>
  <c r="E75" i="55" s="1"/>
  <c r="B71" i="52"/>
  <c r="E76" i="55" s="1"/>
  <c r="B72" i="52"/>
  <c r="E77" i="55" s="1"/>
  <c r="B73" i="52"/>
  <c r="E78" i="55" s="1"/>
  <c r="B74" i="52"/>
  <c r="E79" i="55" s="1"/>
  <c r="B75" i="52"/>
  <c r="E80" i="55" s="1"/>
  <c r="B76" i="52"/>
  <c r="E81" i="55" s="1"/>
  <c r="B77" i="52"/>
  <c r="E82" i="55" s="1"/>
  <c r="B78" i="52"/>
  <c r="E83" i="55" s="1"/>
  <c r="B79" i="52"/>
  <c r="E84" i="55" s="1"/>
  <c r="B80" i="52"/>
  <c r="E85" i="55" s="1"/>
  <c r="B81" i="52"/>
  <c r="E86" i="55" s="1"/>
  <c r="B82" i="52"/>
  <c r="E87" i="55" s="1"/>
  <c r="B83" i="52"/>
  <c r="E88" i="55" s="1"/>
  <c r="B84" i="52"/>
  <c r="E89" i="55" s="1"/>
  <c r="B85" i="52"/>
  <c r="E90" i="55" s="1"/>
  <c r="B86" i="52"/>
  <c r="E91" i="55" s="1"/>
  <c r="B87" i="52"/>
  <c r="E92" i="55" s="1"/>
  <c r="B88" i="52"/>
  <c r="E93" i="55" s="1"/>
  <c r="B89" i="52"/>
  <c r="E94" i="55" s="1"/>
  <c r="B90" i="52"/>
  <c r="E95" i="55" s="1"/>
  <c r="B91" i="52"/>
  <c r="E96" i="55" s="1"/>
  <c r="B92" i="52"/>
  <c r="E97" i="55" s="1"/>
  <c r="B93" i="52"/>
  <c r="E98" i="55" s="1"/>
  <c r="B94" i="52"/>
  <c r="E99" i="55" s="1"/>
  <c r="B96" i="52"/>
  <c r="E101" i="55" s="1"/>
  <c r="B97" i="52"/>
  <c r="E102" i="55" s="1"/>
  <c r="B98" i="52"/>
  <c r="E103" i="55" s="1"/>
  <c r="I119" i="50"/>
  <c r="H119" i="50"/>
  <c r="G119" i="50"/>
  <c r="F119" i="50"/>
  <c r="E119" i="50"/>
  <c r="D119" i="50"/>
  <c r="C119" i="50"/>
  <c r="B119" i="50"/>
  <c r="I118" i="50"/>
  <c r="H118" i="50"/>
  <c r="G118" i="50"/>
  <c r="F118" i="50"/>
  <c r="E118" i="50"/>
  <c r="D118" i="50"/>
  <c r="C118" i="50"/>
  <c r="B118" i="50"/>
  <c r="I117" i="50"/>
  <c r="H117" i="50"/>
  <c r="G117" i="50"/>
  <c r="F117" i="50"/>
  <c r="E117" i="50"/>
  <c r="D117" i="50"/>
  <c r="C117" i="50"/>
  <c r="B117" i="50"/>
  <c r="I116" i="50"/>
  <c r="H116" i="50"/>
  <c r="G116" i="50"/>
  <c r="F116" i="50"/>
  <c r="E116" i="50"/>
  <c r="D116" i="50"/>
  <c r="C116" i="50"/>
  <c r="B116" i="50"/>
  <c r="I115" i="50"/>
  <c r="H115" i="50"/>
  <c r="G115" i="50"/>
  <c r="F115" i="50"/>
  <c r="E115" i="50"/>
  <c r="D115" i="50"/>
  <c r="C115" i="50"/>
  <c r="B115" i="50"/>
  <c r="I114" i="50"/>
  <c r="H114" i="50"/>
  <c r="G114" i="50"/>
  <c r="F114" i="50"/>
  <c r="E114" i="50"/>
  <c r="D114" i="50"/>
  <c r="C114" i="50"/>
  <c r="B114" i="50"/>
  <c r="I113" i="50"/>
  <c r="H113" i="50"/>
  <c r="G113" i="50"/>
  <c r="F113" i="50"/>
  <c r="E113" i="50"/>
  <c r="D113" i="50"/>
  <c r="C113" i="50"/>
  <c r="B113" i="50"/>
  <c r="I112" i="50"/>
  <c r="H112" i="50"/>
  <c r="G112" i="50"/>
  <c r="F112" i="50"/>
  <c r="E112" i="50"/>
  <c r="D112" i="50"/>
  <c r="C112" i="50"/>
  <c r="B112" i="50"/>
  <c r="I111" i="50"/>
  <c r="H111" i="50"/>
  <c r="G111" i="50"/>
  <c r="F111" i="50"/>
  <c r="E111" i="50"/>
  <c r="D111" i="50"/>
  <c r="C111" i="50"/>
  <c r="B111" i="50"/>
  <c r="I110" i="50"/>
  <c r="H110" i="50"/>
  <c r="G110" i="50"/>
  <c r="F110" i="50"/>
  <c r="E110" i="50"/>
  <c r="D110" i="50"/>
  <c r="C110" i="50"/>
  <c r="B110" i="50"/>
  <c r="I109" i="50"/>
  <c r="H109" i="50"/>
  <c r="G109" i="50"/>
  <c r="F109" i="50"/>
  <c r="E109" i="50"/>
  <c r="D109" i="50"/>
  <c r="C109" i="50"/>
  <c r="B109" i="50"/>
  <c r="I108" i="50"/>
  <c r="H108" i="50"/>
  <c r="G108" i="50"/>
  <c r="F108" i="50"/>
  <c r="E108" i="50"/>
  <c r="D108" i="50"/>
  <c r="C108" i="50"/>
  <c r="B108" i="50"/>
  <c r="I107" i="50"/>
  <c r="H107" i="50"/>
  <c r="G107" i="50"/>
  <c r="F107" i="50"/>
  <c r="E107" i="50"/>
  <c r="D107" i="50"/>
  <c r="C107" i="50"/>
  <c r="B107" i="50"/>
  <c r="I106" i="50"/>
  <c r="H106" i="50"/>
  <c r="G106" i="50"/>
  <c r="F106" i="50"/>
  <c r="E106" i="50"/>
  <c r="D106" i="50"/>
  <c r="C106" i="50"/>
  <c r="B106" i="50"/>
  <c r="I105" i="50"/>
  <c r="H105" i="50"/>
  <c r="G105" i="50"/>
  <c r="F105" i="50"/>
  <c r="E105" i="50"/>
  <c r="D105" i="50"/>
  <c r="C105" i="50"/>
  <c r="B105" i="50"/>
  <c r="I104" i="50"/>
  <c r="H104" i="50"/>
  <c r="G104" i="50"/>
  <c r="F104" i="50"/>
  <c r="E104" i="50"/>
  <c r="D104" i="50"/>
  <c r="C104" i="50"/>
  <c r="B104" i="50"/>
  <c r="I103" i="50"/>
  <c r="H103" i="50"/>
  <c r="G103" i="50"/>
  <c r="F103" i="50"/>
  <c r="E103" i="50"/>
  <c r="D103" i="50"/>
  <c r="C103" i="50"/>
  <c r="B103" i="50"/>
  <c r="I102" i="50"/>
  <c r="H102" i="50"/>
  <c r="G102" i="50"/>
  <c r="F102" i="50"/>
  <c r="E102" i="50"/>
  <c r="D102" i="50"/>
  <c r="C102" i="50"/>
  <c r="B102" i="50"/>
  <c r="I101" i="50"/>
  <c r="H101" i="50"/>
  <c r="G101" i="50"/>
  <c r="F101" i="50"/>
  <c r="E101" i="50"/>
  <c r="D101" i="50"/>
  <c r="C101" i="50"/>
  <c r="B101" i="50"/>
  <c r="I99" i="50"/>
  <c r="H99" i="50"/>
  <c r="G99" i="50"/>
  <c r="F99" i="50"/>
  <c r="E99" i="50"/>
  <c r="D99" i="50"/>
  <c r="C99" i="50"/>
  <c r="B99" i="50"/>
  <c r="I98" i="50"/>
  <c r="H98" i="50"/>
  <c r="G98" i="50"/>
  <c r="F98" i="50"/>
  <c r="E98" i="50"/>
  <c r="D98" i="50"/>
  <c r="C98" i="50"/>
  <c r="B98" i="50"/>
  <c r="I97" i="50"/>
  <c r="H97" i="50"/>
  <c r="G97" i="50"/>
  <c r="F97" i="50"/>
  <c r="E97" i="50"/>
  <c r="D97" i="50"/>
  <c r="C97" i="50"/>
  <c r="B97" i="50"/>
  <c r="I96" i="50"/>
  <c r="H96" i="50"/>
  <c r="G96" i="50"/>
  <c r="F96" i="50"/>
  <c r="E96" i="50"/>
  <c r="D96" i="50"/>
  <c r="C96" i="50"/>
  <c r="B96" i="50"/>
  <c r="I95" i="50"/>
  <c r="H95" i="50"/>
  <c r="G95" i="50"/>
  <c r="F95" i="50"/>
  <c r="E95" i="50"/>
  <c r="D95" i="50"/>
  <c r="C95" i="50"/>
  <c r="B95" i="50"/>
  <c r="I94" i="50"/>
  <c r="H94" i="50"/>
  <c r="G94" i="50"/>
  <c r="F94" i="50"/>
  <c r="E94" i="50"/>
  <c r="D94" i="50"/>
  <c r="C94" i="50"/>
  <c r="B94" i="50"/>
  <c r="I93" i="50"/>
  <c r="H93" i="50"/>
  <c r="G93" i="50"/>
  <c r="F93" i="50"/>
  <c r="E93" i="50"/>
  <c r="D93" i="50"/>
  <c r="C93" i="50"/>
  <c r="B93" i="50"/>
  <c r="I92" i="50"/>
  <c r="H92" i="50"/>
  <c r="G92" i="50"/>
  <c r="F92" i="50"/>
  <c r="E92" i="50"/>
  <c r="D92" i="50"/>
  <c r="C92" i="50"/>
  <c r="B92" i="50"/>
  <c r="I91" i="50"/>
  <c r="H91" i="50"/>
  <c r="G91" i="50"/>
  <c r="F91" i="50"/>
  <c r="E91" i="50"/>
  <c r="D91" i="50"/>
  <c r="C91" i="50"/>
  <c r="B91" i="50"/>
  <c r="I90" i="50"/>
  <c r="H90" i="50"/>
  <c r="G90" i="50"/>
  <c r="F90" i="50"/>
  <c r="E90" i="50"/>
  <c r="D90" i="50"/>
  <c r="C90" i="50"/>
  <c r="B90" i="50"/>
  <c r="I89" i="50"/>
  <c r="H89" i="50"/>
  <c r="G89" i="50"/>
  <c r="F89" i="50"/>
  <c r="E89" i="50"/>
  <c r="D89" i="50"/>
  <c r="C89" i="50"/>
  <c r="B89" i="50"/>
  <c r="I88" i="50"/>
  <c r="H88" i="50"/>
  <c r="G88" i="50"/>
  <c r="F88" i="50"/>
  <c r="E88" i="50"/>
  <c r="D88" i="50"/>
  <c r="C88" i="50"/>
  <c r="B88" i="50"/>
  <c r="J88" i="50" s="1"/>
  <c r="I87" i="50"/>
  <c r="H87" i="50"/>
  <c r="G87" i="50"/>
  <c r="F87" i="50"/>
  <c r="E87" i="50"/>
  <c r="D87" i="50"/>
  <c r="C87" i="50"/>
  <c r="B87" i="50"/>
  <c r="I85" i="50"/>
  <c r="H85" i="50"/>
  <c r="G85" i="50"/>
  <c r="F85" i="50"/>
  <c r="E85" i="50"/>
  <c r="D85" i="50"/>
  <c r="C85" i="50"/>
  <c r="B85" i="50"/>
  <c r="I84" i="50"/>
  <c r="H84" i="50"/>
  <c r="G84" i="50"/>
  <c r="F84" i="50"/>
  <c r="E84" i="50"/>
  <c r="D84" i="50"/>
  <c r="C84" i="50"/>
  <c r="B84" i="50"/>
  <c r="I83" i="50"/>
  <c r="H83" i="50"/>
  <c r="G83" i="50"/>
  <c r="F83" i="50"/>
  <c r="E83" i="50"/>
  <c r="D83" i="50"/>
  <c r="C83" i="50"/>
  <c r="B83" i="50"/>
  <c r="I82" i="50"/>
  <c r="H82" i="50"/>
  <c r="G82" i="50"/>
  <c r="F82" i="50"/>
  <c r="E82" i="50"/>
  <c r="D82" i="50"/>
  <c r="C82" i="50"/>
  <c r="B82" i="50"/>
  <c r="I81" i="50"/>
  <c r="H81" i="50"/>
  <c r="G81" i="50"/>
  <c r="F81" i="50"/>
  <c r="E81" i="50"/>
  <c r="D81" i="50"/>
  <c r="C81" i="50"/>
  <c r="B81" i="50"/>
  <c r="I80" i="50"/>
  <c r="H80" i="50"/>
  <c r="G80" i="50"/>
  <c r="F80" i="50"/>
  <c r="E80" i="50"/>
  <c r="D80" i="50"/>
  <c r="C80" i="50"/>
  <c r="B80" i="50"/>
  <c r="I79" i="50"/>
  <c r="H79" i="50"/>
  <c r="G79" i="50"/>
  <c r="F79" i="50"/>
  <c r="E79" i="50"/>
  <c r="D79" i="50"/>
  <c r="C79" i="50"/>
  <c r="B79" i="50"/>
  <c r="I78" i="50"/>
  <c r="H78" i="50"/>
  <c r="G78" i="50"/>
  <c r="F78" i="50"/>
  <c r="E78" i="50"/>
  <c r="D78" i="50"/>
  <c r="C78" i="50"/>
  <c r="B78" i="50"/>
  <c r="I77" i="50"/>
  <c r="H77" i="50"/>
  <c r="G77" i="50"/>
  <c r="F77" i="50"/>
  <c r="E77" i="50"/>
  <c r="D77" i="50"/>
  <c r="C77" i="50"/>
  <c r="B77" i="50"/>
  <c r="I76" i="50"/>
  <c r="H76" i="50"/>
  <c r="G76" i="50"/>
  <c r="F76" i="50"/>
  <c r="E76" i="50"/>
  <c r="D76" i="50"/>
  <c r="C76" i="50"/>
  <c r="B76" i="50"/>
  <c r="I75" i="50"/>
  <c r="H75" i="50"/>
  <c r="G75" i="50"/>
  <c r="F75" i="50"/>
  <c r="E75" i="50"/>
  <c r="D75" i="50"/>
  <c r="C75" i="50"/>
  <c r="B75" i="50"/>
  <c r="I74" i="50"/>
  <c r="H74" i="50"/>
  <c r="G74" i="50"/>
  <c r="F74" i="50"/>
  <c r="E74" i="50"/>
  <c r="D74" i="50"/>
  <c r="C74" i="50"/>
  <c r="B74" i="50"/>
  <c r="I73" i="50"/>
  <c r="H73" i="50"/>
  <c r="G73" i="50"/>
  <c r="F73" i="50"/>
  <c r="E73" i="50"/>
  <c r="D73" i="50"/>
  <c r="C73" i="50"/>
  <c r="B73" i="50"/>
  <c r="I72" i="50"/>
  <c r="H72" i="50"/>
  <c r="G72" i="50"/>
  <c r="F72" i="50"/>
  <c r="E72" i="50"/>
  <c r="D72" i="50"/>
  <c r="C72" i="50"/>
  <c r="B72" i="50"/>
  <c r="I71" i="50"/>
  <c r="H71" i="50"/>
  <c r="G71" i="50"/>
  <c r="F71" i="50"/>
  <c r="E71" i="50"/>
  <c r="D71" i="50"/>
  <c r="C71" i="50"/>
  <c r="B71" i="50"/>
  <c r="I70" i="50"/>
  <c r="H70" i="50"/>
  <c r="G70" i="50"/>
  <c r="F70" i="50"/>
  <c r="E70" i="50"/>
  <c r="D70" i="50"/>
  <c r="C70" i="50"/>
  <c r="B70" i="50"/>
  <c r="I69" i="50"/>
  <c r="H69" i="50"/>
  <c r="G69" i="50"/>
  <c r="F69" i="50"/>
  <c r="E69" i="50"/>
  <c r="D69" i="50"/>
  <c r="C69" i="50"/>
  <c r="B69" i="50"/>
  <c r="I68" i="50"/>
  <c r="H68" i="50"/>
  <c r="G68" i="50"/>
  <c r="F68" i="50"/>
  <c r="E68" i="50"/>
  <c r="D68" i="50"/>
  <c r="C68" i="50"/>
  <c r="B68" i="50"/>
  <c r="I67" i="50"/>
  <c r="H67" i="50"/>
  <c r="G67" i="50"/>
  <c r="F67" i="50"/>
  <c r="E67" i="50"/>
  <c r="D67" i="50"/>
  <c r="C67" i="50"/>
  <c r="B67" i="50"/>
  <c r="I66" i="50"/>
  <c r="H66" i="50"/>
  <c r="G66" i="50"/>
  <c r="F66" i="50"/>
  <c r="E66" i="50"/>
  <c r="D66" i="50"/>
  <c r="C66" i="50"/>
  <c r="B66" i="50"/>
  <c r="I64" i="50"/>
  <c r="H64" i="50"/>
  <c r="G64" i="50"/>
  <c r="F64" i="50"/>
  <c r="E64" i="50"/>
  <c r="D64" i="50"/>
  <c r="C64" i="50"/>
  <c r="B64" i="50"/>
  <c r="I63" i="50"/>
  <c r="H63" i="50"/>
  <c r="G63" i="50"/>
  <c r="F63" i="50"/>
  <c r="E63" i="50"/>
  <c r="D63" i="50"/>
  <c r="C63" i="50"/>
  <c r="B63" i="50"/>
  <c r="I61" i="50"/>
  <c r="H61" i="50"/>
  <c r="G61" i="50"/>
  <c r="F61" i="50"/>
  <c r="E61" i="50"/>
  <c r="D61" i="50"/>
  <c r="C61" i="50"/>
  <c r="B61" i="50"/>
  <c r="I60" i="50"/>
  <c r="H60" i="50"/>
  <c r="G60" i="50"/>
  <c r="F60" i="50"/>
  <c r="E60" i="50"/>
  <c r="D60" i="50"/>
  <c r="C60" i="50"/>
  <c r="B60" i="50"/>
  <c r="I59" i="50"/>
  <c r="H59" i="50"/>
  <c r="G59" i="50"/>
  <c r="F59" i="50"/>
  <c r="E59" i="50"/>
  <c r="D59" i="50"/>
  <c r="C59" i="50"/>
  <c r="B59" i="50"/>
  <c r="I58" i="50"/>
  <c r="H58" i="50"/>
  <c r="G58" i="50"/>
  <c r="F58" i="50"/>
  <c r="E58" i="50"/>
  <c r="D58" i="50"/>
  <c r="C58" i="50"/>
  <c r="B58" i="50"/>
  <c r="I57" i="50"/>
  <c r="H57" i="50"/>
  <c r="G57" i="50"/>
  <c r="F57" i="50"/>
  <c r="E57" i="50"/>
  <c r="D57" i="50"/>
  <c r="C57" i="50"/>
  <c r="B57" i="50"/>
  <c r="I56" i="50"/>
  <c r="H56" i="50"/>
  <c r="G56" i="50"/>
  <c r="F56" i="50"/>
  <c r="E56" i="50"/>
  <c r="D56" i="50"/>
  <c r="C56" i="50"/>
  <c r="B56" i="50"/>
  <c r="I55" i="50"/>
  <c r="H55" i="50"/>
  <c r="G55" i="50"/>
  <c r="F55" i="50"/>
  <c r="E55" i="50"/>
  <c r="D55" i="50"/>
  <c r="C55" i="50"/>
  <c r="B55" i="50"/>
  <c r="J55" i="50" s="1"/>
  <c r="I54" i="50"/>
  <c r="H54" i="50"/>
  <c r="G54" i="50"/>
  <c r="F54" i="50"/>
  <c r="E54" i="50"/>
  <c r="D54" i="50"/>
  <c r="C54" i="50"/>
  <c r="B54" i="50"/>
  <c r="I53" i="50"/>
  <c r="H53" i="50"/>
  <c r="G53" i="50"/>
  <c r="F53" i="50"/>
  <c r="E53" i="50"/>
  <c r="D53" i="50"/>
  <c r="C53" i="50"/>
  <c r="B53" i="50"/>
  <c r="I52" i="50"/>
  <c r="H52" i="50"/>
  <c r="G52" i="50"/>
  <c r="F52" i="50"/>
  <c r="E52" i="50"/>
  <c r="D52" i="50"/>
  <c r="C52" i="50"/>
  <c r="B52" i="50"/>
  <c r="I51" i="50"/>
  <c r="H51" i="50"/>
  <c r="G51" i="50"/>
  <c r="F51" i="50"/>
  <c r="E51" i="50"/>
  <c r="D51" i="50"/>
  <c r="C51" i="50"/>
  <c r="B51" i="50"/>
  <c r="I50" i="50"/>
  <c r="H50" i="50"/>
  <c r="G50" i="50"/>
  <c r="F50" i="50"/>
  <c r="E50" i="50"/>
  <c r="D50" i="50"/>
  <c r="C50" i="50"/>
  <c r="B50" i="50"/>
  <c r="I49" i="50"/>
  <c r="H49" i="50"/>
  <c r="G49" i="50"/>
  <c r="F49" i="50"/>
  <c r="E49" i="50"/>
  <c r="D49" i="50"/>
  <c r="C49" i="50"/>
  <c r="B49" i="50"/>
  <c r="I48" i="50"/>
  <c r="H48" i="50"/>
  <c r="G48" i="50"/>
  <c r="F48" i="50"/>
  <c r="E48" i="50"/>
  <c r="D48" i="50"/>
  <c r="C48" i="50"/>
  <c r="B48" i="50"/>
  <c r="I47" i="50"/>
  <c r="H47" i="50"/>
  <c r="G47" i="50"/>
  <c r="F47" i="50"/>
  <c r="E47" i="50"/>
  <c r="D47" i="50"/>
  <c r="C47" i="50"/>
  <c r="B47" i="50"/>
  <c r="I46" i="50"/>
  <c r="H46" i="50"/>
  <c r="G46" i="50"/>
  <c r="F46" i="50"/>
  <c r="E46" i="50"/>
  <c r="D46" i="50"/>
  <c r="C46" i="50"/>
  <c r="B46" i="50"/>
  <c r="I45" i="50"/>
  <c r="H45" i="50"/>
  <c r="G45" i="50"/>
  <c r="F45" i="50"/>
  <c r="E45" i="50"/>
  <c r="D45" i="50"/>
  <c r="C45" i="50"/>
  <c r="B45" i="50"/>
  <c r="I44" i="50"/>
  <c r="H44" i="50"/>
  <c r="G44" i="50"/>
  <c r="F44" i="50"/>
  <c r="E44" i="50"/>
  <c r="D44" i="50"/>
  <c r="C44" i="50"/>
  <c r="B44" i="50"/>
  <c r="I43" i="50"/>
  <c r="H43" i="50"/>
  <c r="G43" i="50"/>
  <c r="F43" i="50"/>
  <c r="E43" i="50"/>
  <c r="D43" i="50"/>
  <c r="C43" i="50"/>
  <c r="B43" i="50"/>
  <c r="I42" i="50"/>
  <c r="H42" i="50"/>
  <c r="G42" i="50"/>
  <c r="F42" i="50"/>
  <c r="E42" i="50"/>
  <c r="D42" i="50"/>
  <c r="C42" i="50"/>
  <c r="B42" i="50"/>
  <c r="I41" i="50"/>
  <c r="H41" i="50"/>
  <c r="G41" i="50"/>
  <c r="F41" i="50"/>
  <c r="E41" i="50"/>
  <c r="D41" i="50"/>
  <c r="C41" i="50"/>
  <c r="B41" i="50"/>
  <c r="I40" i="50"/>
  <c r="H40" i="50"/>
  <c r="G40" i="50"/>
  <c r="F40" i="50"/>
  <c r="E40" i="50"/>
  <c r="D40" i="50"/>
  <c r="C40" i="50"/>
  <c r="B40" i="50"/>
  <c r="I39" i="50"/>
  <c r="H39" i="50"/>
  <c r="G39" i="50"/>
  <c r="F39" i="50"/>
  <c r="E39" i="50"/>
  <c r="D39" i="50"/>
  <c r="C39" i="50"/>
  <c r="B39" i="50"/>
  <c r="I38" i="50"/>
  <c r="H38" i="50"/>
  <c r="G38" i="50"/>
  <c r="F38" i="50"/>
  <c r="E38" i="50"/>
  <c r="D38" i="50"/>
  <c r="C38" i="50"/>
  <c r="B38" i="50"/>
  <c r="I37" i="50"/>
  <c r="H37" i="50"/>
  <c r="G37" i="50"/>
  <c r="F37" i="50"/>
  <c r="E37" i="50"/>
  <c r="D37" i="50"/>
  <c r="C37" i="50"/>
  <c r="B37" i="50"/>
  <c r="I36" i="50"/>
  <c r="H36" i="50"/>
  <c r="G36" i="50"/>
  <c r="F36" i="50"/>
  <c r="E36" i="50"/>
  <c r="D36" i="50"/>
  <c r="C36" i="50"/>
  <c r="B36" i="50"/>
  <c r="I35" i="50"/>
  <c r="H35" i="50"/>
  <c r="G35" i="50"/>
  <c r="F35" i="50"/>
  <c r="E35" i="50"/>
  <c r="D35" i="50"/>
  <c r="C35" i="50"/>
  <c r="B35" i="50"/>
  <c r="I34" i="50"/>
  <c r="H34" i="50"/>
  <c r="G34" i="50"/>
  <c r="F34" i="50"/>
  <c r="E34" i="50"/>
  <c r="D34" i="50"/>
  <c r="C34" i="50"/>
  <c r="B34" i="50"/>
  <c r="I33" i="50"/>
  <c r="H33" i="50"/>
  <c r="G33" i="50"/>
  <c r="F33" i="50"/>
  <c r="E33" i="50"/>
  <c r="D33" i="50"/>
  <c r="C33" i="50"/>
  <c r="B33" i="50"/>
  <c r="I32" i="50"/>
  <c r="H32" i="50"/>
  <c r="G32" i="50"/>
  <c r="F32" i="50"/>
  <c r="E32" i="50"/>
  <c r="D32" i="50"/>
  <c r="C32" i="50"/>
  <c r="B32" i="50"/>
  <c r="I31" i="50"/>
  <c r="H31" i="50"/>
  <c r="G31" i="50"/>
  <c r="F31" i="50"/>
  <c r="E31" i="50"/>
  <c r="D31" i="50"/>
  <c r="C31" i="50"/>
  <c r="B31" i="50"/>
  <c r="I30" i="50"/>
  <c r="H30" i="50"/>
  <c r="G30" i="50"/>
  <c r="F30" i="50"/>
  <c r="E30" i="50"/>
  <c r="D30" i="50"/>
  <c r="C30" i="50"/>
  <c r="B30" i="50"/>
  <c r="I29" i="50"/>
  <c r="H29" i="50"/>
  <c r="G29" i="50"/>
  <c r="F29" i="50"/>
  <c r="E29" i="50"/>
  <c r="D29" i="50"/>
  <c r="C29" i="50"/>
  <c r="B29" i="50"/>
  <c r="I28" i="50"/>
  <c r="H28" i="50"/>
  <c r="G28" i="50"/>
  <c r="F28" i="50"/>
  <c r="E28" i="50"/>
  <c r="D28" i="50"/>
  <c r="C28" i="50"/>
  <c r="B28" i="50"/>
  <c r="I27" i="50"/>
  <c r="H27" i="50"/>
  <c r="G27" i="50"/>
  <c r="F27" i="50"/>
  <c r="E27" i="50"/>
  <c r="D27" i="50"/>
  <c r="C27" i="50"/>
  <c r="B27" i="50"/>
  <c r="I26" i="50"/>
  <c r="H26" i="50"/>
  <c r="G26" i="50"/>
  <c r="F26" i="50"/>
  <c r="E26" i="50"/>
  <c r="D26" i="50"/>
  <c r="C26" i="50"/>
  <c r="B26" i="50"/>
  <c r="I25" i="50"/>
  <c r="H25" i="50"/>
  <c r="G25" i="50"/>
  <c r="F25" i="50"/>
  <c r="E25" i="50"/>
  <c r="D25" i="50"/>
  <c r="C25" i="50"/>
  <c r="B25" i="50"/>
  <c r="I24" i="50"/>
  <c r="H24" i="50"/>
  <c r="G24" i="50"/>
  <c r="F24" i="50"/>
  <c r="E24" i="50"/>
  <c r="D24" i="50"/>
  <c r="C24" i="50"/>
  <c r="B24" i="50"/>
  <c r="I23" i="50"/>
  <c r="H23" i="50"/>
  <c r="G23" i="50"/>
  <c r="F23" i="50"/>
  <c r="E23" i="50"/>
  <c r="D23" i="50"/>
  <c r="C23" i="50"/>
  <c r="B23" i="50"/>
  <c r="I22" i="50"/>
  <c r="H22" i="50"/>
  <c r="G22" i="50"/>
  <c r="F22" i="50"/>
  <c r="E22" i="50"/>
  <c r="D22" i="50"/>
  <c r="C22" i="50"/>
  <c r="B22" i="50"/>
  <c r="I21" i="50"/>
  <c r="H21" i="50"/>
  <c r="G21" i="50"/>
  <c r="F21" i="50"/>
  <c r="E21" i="50"/>
  <c r="D21" i="50"/>
  <c r="C21" i="50"/>
  <c r="B21" i="50"/>
  <c r="I20" i="50"/>
  <c r="H20" i="50"/>
  <c r="G20" i="50"/>
  <c r="F20" i="50"/>
  <c r="E20" i="50"/>
  <c r="D20" i="50"/>
  <c r="C20" i="50"/>
  <c r="B20" i="50"/>
  <c r="I19" i="50"/>
  <c r="H19" i="50"/>
  <c r="G19" i="50"/>
  <c r="F19" i="50"/>
  <c r="E19" i="50"/>
  <c r="D19" i="50"/>
  <c r="C19" i="50"/>
  <c r="B19" i="50"/>
  <c r="I18" i="50"/>
  <c r="H18" i="50"/>
  <c r="G18" i="50"/>
  <c r="F18" i="50"/>
  <c r="E18" i="50"/>
  <c r="D18" i="50"/>
  <c r="C18" i="50"/>
  <c r="B18" i="50"/>
  <c r="I17" i="50"/>
  <c r="H17" i="50"/>
  <c r="G17" i="50"/>
  <c r="F17" i="50"/>
  <c r="E17" i="50"/>
  <c r="D17" i="50"/>
  <c r="C17" i="50"/>
  <c r="B17" i="50"/>
  <c r="I16" i="50"/>
  <c r="H16" i="50"/>
  <c r="G16" i="50"/>
  <c r="F16" i="50"/>
  <c r="E16" i="50"/>
  <c r="D16" i="50"/>
  <c r="C16" i="50"/>
  <c r="B16" i="50"/>
  <c r="I15" i="50"/>
  <c r="H15" i="50"/>
  <c r="G15" i="50"/>
  <c r="F15" i="50"/>
  <c r="E15" i="50"/>
  <c r="D15" i="50"/>
  <c r="C15" i="50"/>
  <c r="B15" i="50"/>
  <c r="I14" i="50"/>
  <c r="H14" i="50"/>
  <c r="G14" i="50"/>
  <c r="F14" i="50"/>
  <c r="E14" i="50"/>
  <c r="D14" i="50"/>
  <c r="C14" i="50"/>
  <c r="B14" i="50"/>
  <c r="I13" i="50"/>
  <c r="H13" i="50"/>
  <c r="G13" i="50"/>
  <c r="F13" i="50"/>
  <c r="E13" i="50"/>
  <c r="D13" i="50"/>
  <c r="C13" i="50"/>
  <c r="B13" i="50"/>
  <c r="I12" i="50"/>
  <c r="H12" i="50"/>
  <c r="G12" i="50"/>
  <c r="F12" i="50"/>
  <c r="E12" i="50"/>
  <c r="D12" i="50"/>
  <c r="C12" i="50"/>
  <c r="B12" i="50"/>
  <c r="I11" i="50"/>
  <c r="H11" i="50"/>
  <c r="G11" i="50"/>
  <c r="F11" i="50"/>
  <c r="E11" i="50"/>
  <c r="D11" i="50"/>
  <c r="C11" i="50"/>
  <c r="B11" i="50"/>
  <c r="I10" i="50"/>
  <c r="H10" i="50"/>
  <c r="G10" i="50"/>
  <c r="F10" i="50"/>
  <c r="E10" i="50"/>
  <c r="D10" i="50"/>
  <c r="C10" i="50"/>
  <c r="B10" i="50"/>
  <c r="I9" i="50"/>
  <c r="H9" i="50"/>
  <c r="G9" i="50"/>
  <c r="F9" i="50"/>
  <c r="E9" i="50"/>
  <c r="D9" i="50"/>
  <c r="C9" i="50"/>
  <c r="B9" i="50"/>
  <c r="P9" i="57" l="1"/>
  <c r="Q119" i="57"/>
  <c r="Q117" i="57"/>
  <c r="Q115" i="57"/>
  <c r="Q113" i="57"/>
  <c r="Q111" i="57"/>
  <c r="Q109" i="57"/>
  <c r="Q107" i="57"/>
  <c r="Q105" i="57"/>
  <c r="Q103" i="57"/>
  <c r="Q100" i="57"/>
  <c r="Q98" i="57"/>
  <c r="Q96" i="57"/>
  <c r="P94" i="57"/>
  <c r="P90" i="57"/>
  <c r="P85" i="57"/>
  <c r="P81" i="57"/>
  <c r="P77" i="57"/>
  <c r="P73" i="57"/>
  <c r="P69" i="57"/>
  <c r="P64" i="57"/>
  <c r="P59" i="57"/>
  <c r="P55" i="57"/>
  <c r="P51" i="57"/>
  <c r="P47" i="57"/>
  <c r="P43" i="57"/>
  <c r="P39" i="57"/>
  <c r="P35" i="57"/>
  <c r="P31" i="57"/>
  <c r="P27" i="57"/>
  <c r="P23" i="57"/>
  <c r="P19" i="57"/>
  <c r="P15" i="57"/>
  <c r="P11" i="57"/>
  <c r="Q63" i="57"/>
  <c r="Q87" i="57"/>
  <c r="Q10" i="57"/>
  <c r="Q11" i="57"/>
  <c r="Q12" i="57"/>
  <c r="Q13" i="57"/>
  <c r="Q14" i="57"/>
  <c r="Q15" i="57"/>
  <c r="Q16" i="57"/>
  <c r="Q17" i="57"/>
  <c r="Q18" i="57"/>
  <c r="Q19" i="57"/>
  <c r="Q20" i="57"/>
  <c r="Q21" i="57"/>
  <c r="Q22" i="57"/>
  <c r="Q23" i="57"/>
  <c r="Q24" i="57"/>
  <c r="Q25" i="57"/>
  <c r="Q26" i="57"/>
  <c r="Q27" i="57"/>
  <c r="Q28" i="57"/>
  <c r="Q29" i="57"/>
  <c r="Q30" i="57"/>
  <c r="Q31" i="57"/>
  <c r="Q32" i="57"/>
  <c r="Q33" i="57"/>
  <c r="Q34" i="57"/>
  <c r="Q35" i="57"/>
  <c r="Q36" i="57"/>
  <c r="Q37" i="57"/>
  <c r="Q38" i="57"/>
  <c r="Q39" i="57"/>
  <c r="Q40" i="57"/>
  <c r="Q41" i="57"/>
  <c r="Q42" i="57"/>
  <c r="Q43" i="57"/>
  <c r="Q44" i="57"/>
  <c r="Q45" i="57"/>
  <c r="Q46" i="57"/>
  <c r="Q47" i="57"/>
  <c r="Q48" i="57"/>
  <c r="Q49" i="57"/>
  <c r="Q50" i="57"/>
  <c r="Q51" i="57"/>
  <c r="Q52" i="57"/>
  <c r="Q53" i="57"/>
  <c r="Q54" i="57"/>
  <c r="Q55" i="57"/>
  <c r="Q56" i="57"/>
  <c r="Q57" i="57"/>
  <c r="Q58" i="57"/>
  <c r="Q59" i="57"/>
  <c r="Q60" i="57"/>
  <c r="Q61" i="57"/>
  <c r="Q62" i="57"/>
  <c r="Q64" i="57"/>
  <c r="Q65" i="57"/>
  <c r="Q67" i="57"/>
  <c r="Q68" i="57"/>
  <c r="Q69" i="57"/>
  <c r="Q70" i="57"/>
  <c r="Q71" i="57"/>
  <c r="Q72" i="57"/>
  <c r="Q73" i="57"/>
  <c r="Q74" i="57"/>
  <c r="Q75" i="57"/>
  <c r="Q76" i="57"/>
  <c r="Q77" i="57"/>
  <c r="Q78" i="57"/>
  <c r="Q79" i="57"/>
  <c r="Q80" i="57"/>
  <c r="Q81" i="57"/>
  <c r="Q82" i="57"/>
  <c r="Q83" i="57"/>
  <c r="Q84" i="57"/>
  <c r="Q85" i="57"/>
  <c r="Q86" i="57"/>
  <c r="Q88" i="57"/>
  <c r="Q89" i="57"/>
  <c r="Q90" i="57"/>
  <c r="Q91" i="57"/>
  <c r="Q92" i="57"/>
  <c r="Q93" i="57"/>
  <c r="Q94" i="57"/>
  <c r="T37" i="57"/>
  <c r="T52" i="57"/>
  <c r="Q9" i="57"/>
  <c r="P120" i="57"/>
  <c r="P119" i="57"/>
  <c r="P118" i="57"/>
  <c r="P117" i="57"/>
  <c r="P116" i="57"/>
  <c r="P115" i="57"/>
  <c r="P114" i="57"/>
  <c r="P113" i="57"/>
  <c r="P112" i="57"/>
  <c r="P111" i="57"/>
  <c r="P110" i="57"/>
  <c r="P109" i="57"/>
  <c r="P108" i="57"/>
  <c r="P107" i="57"/>
  <c r="P106" i="57"/>
  <c r="P105" i="57"/>
  <c r="P104" i="57"/>
  <c r="P103" i="57"/>
  <c r="P102" i="57"/>
  <c r="P100" i="57"/>
  <c r="P99" i="57"/>
  <c r="P98" i="57"/>
  <c r="P97" i="57"/>
  <c r="P96" i="57"/>
  <c r="P95" i="57"/>
  <c r="P93" i="57"/>
  <c r="P91" i="57"/>
  <c r="P89" i="57"/>
  <c r="P86" i="57"/>
  <c r="P84" i="57"/>
  <c r="P82" i="57"/>
  <c r="P80" i="57"/>
  <c r="P78" i="57"/>
  <c r="P76" i="57"/>
  <c r="P74" i="57"/>
  <c r="P72" i="57"/>
  <c r="P70" i="57"/>
  <c r="P68" i="57"/>
  <c r="P65" i="57"/>
  <c r="P62" i="57"/>
  <c r="P60" i="57"/>
  <c r="P58" i="57"/>
  <c r="P56" i="57"/>
  <c r="P54" i="57"/>
  <c r="P52" i="57"/>
  <c r="P50" i="57"/>
  <c r="P48" i="57"/>
  <c r="P46" i="57"/>
  <c r="P44" i="57"/>
  <c r="P42" i="57"/>
  <c r="P40" i="57"/>
  <c r="P38" i="57"/>
  <c r="P36" i="57"/>
  <c r="P34" i="57"/>
  <c r="P32" i="57"/>
  <c r="P30" i="57"/>
  <c r="P28" i="57"/>
  <c r="P26" i="57"/>
  <c r="P24" i="57"/>
  <c r="P22" i="57"/>
  <c r="P20" i="57"/>
  <c r="P18" i="57"/>
  <c r="P16" i="57"/>
  <c r="P14" i="57"/>
  <c r="P12" i="57"/>
  <c r="P10" i="57"/>
  <c r="P87" i="57"/>
  <c r="T116" i="57"/>
  <c r="T61" i="57"/>
  <c r="T13" i="57"/>
  <c r="T77" i="57"/>
  <c r="T28" i="57"/>
  <c r="T110" i="57"/>
  <c r="T84" i="57"/>
  <c r="T57" i="57"/>
  <c r="T33" i="57"/>
  <c r="T114" i="57"/>
  <c r="T98" i="57"/>
  <c r="T74" i="57"/>
  <c r="T48" i="57"/>
  <c r="T24" i="57"/>
  <c r="T112" i="57"/>
  <c r="T108" i="57"/>
  <c r="T86" i="57"/>
  <c r="T82" i="57"/>
  <c r="T59" i="57"/>
  <c r="T55" i="57"/>
  <c r="T35" i="57"/>
  <c r="T31" i="57"/>
  <c r="T11" i="57"/>
  <c r="T9" i="57"/>
  <c r="T100" i="57"/>
  <c r="T96" i="57"/>
  <c r="T76" i="57"/>
  <c r="T72" i="57"/>
  <c r="T50" i="57"/>
  <c r="T46" i="57"/>
  <c r="T26" i="57"/>
  <c r="U101" i="57"/>
  <c r="U66" i="57"/>
  <c r="Q101" i="57"/>
  <c r="Q66" i="57"/>
  <c r="P101" i="57"/>
  <c r="P66" i="57"/>
  <c r="T87" i="57"/>
  <c r="T101" i="57"/>
  <c r="T66" i="57"/>
  <c r="J66" i="50"/>
  <c r="M96" i="50"/>
  <c r="T106" i="57"/>
  <c r="T80" i="57"/>
  <c r="T53" i="57"/>
  <c r="T29" i="57"/>
  <c r="T119" i="57"/>
  <c r="T94" i="57"/>
  <c r="T70" i="57"/>
  <c r="U122" i="57"/>
  <c r="U137" i="57"/>
  <c r="U121" i="57"/>
  <c r="U124" i="57"/>
  <c r="U127" i="57"/>
  <c r="U130" i="57"/>
  <c r="U133" i="57"/>
  <c r="U136" i="57"/>
  <c r="U139" i="57"/>
  <c r="U142" i="57"/>
  <c r="U145" i="57"/>
  <c r="U134" i="57"/>
  <c r="U131" i="57"/>
  <c r="U123" i="57"/>
  <c r="U126" i="57"/>
  <c r="U129" i="57"/>
  <c r="U132" i="57"/>
  <c r="U135" i="57"/>
  <c r="U138" i="57"/>
  <c r="U141" i="57"/>
  <c r="U144" i="57"/>
  <c r="U128" i="57"/>
  <c r="U143" i="57"/>
  <c r="U125" i="57"/>
  <c r="U140" i="57"/>
  <c r="T104" i="57"/>
  <c r="T78" i="57"/>
  <c r="T51" i="57"/>
  <c r="T27" i="57"/>
  <c r="T117" i="57"/>
  <c r="T92" i="57"/>
  <c r="T68" i="57"/>
  <c r="T42" i="57"/>
  <c r="T18" i="57"/>
  <c r="U73" i="57"/>
  <c r="U102" i="57"/>
  <c r="U59" i="57"/>
  <c r="U35" i="57"/>
  <c r="U11" i="57"/>
  <c r="U36" i="57"/>
  <c r="U12" i="57"/>
  <c r="U96" i="57"/>
  <c r="U70" i="57"/>
  <c r="T99" i="57"/>
  <c r="T73" i="57"/>
  <c r="T47" i="57"/>
  <c r="T23" i="57"/>
  <c r="T113" i="57"/>
  <c r="T88" i="57"/>
  <c r="T62" i="57"/>
  <c r="T38" i="57"/>
  <c r="T14" i="57"/>
  <c r="U120" i="57"/>
  <c r="U84" i="57"/>
  <c r="U55" i="57"/>
  <c r="U31" i="57"/>
  <c r="U65" i="57"/>
  <c r="U32" i="57"/>
  <c r="U119" i="57"/>
  <c r="U92" i="57"/>
  <c r="U62" i="57"/>
  <c r="T97" i="57"/>
  <c r="T71" i="57"/>
  <c r="T45" i="57"/>
  <c r="T21" i="57"/>
  <c r="T111" i="57"/>
  <c r="T85" i="57"/>
  <c r="T60" i="57"/>
  <c r="T36" i="57"/>
  <c r="T12" i="57"/>
  <c r="U116" i="57"/>
  <c r="U69" i="57"/>
  <c r="U53" i="57"/>
  <c r="U29" i="57"/>
  <c r="U56" i="57"/>
  <c r="U30" i="57"/>
  <c r="U117" i="57"/>
  <c r="U90" i="57"/>
  <c r="U60" i="57"/>
  <c r="T102" i="57"/>
  <c r="T115" i="57"/>
  <c r="T16" i="57"/>
  <c r="U57" i="57"/>
  <c r="U34" i="57"/>
  <c r="U68" i="57"/>
  <c r="T95" i="57"/>
  <c r="T69" i="57"/>
  <c r="T43" i="57"/>
  <c r="T19" i="57"/>
  <c r="T109" i="57"/>
  <c r="T83" i="57"/>
  <c r="T58" i="57"/>
  <c r="T34" i="57"/>
  <c r="T10" i="57"/>
  <c r="U110" i="57"/>
  <c r="U118" i="57"/>
  <c r="U51" i="57"/>
  <c r="U27" i="57"/>
  <c r="U52" i="57"/>
  <c r="U28" i="57"/>
  <c r="U115" i="57"/>
  <c r="U88" i="57"/>
  <c r="U58" i="57"/>
  <c r="T20" i="57"/>
  <c r="T75" i="57"/>
  <c r="T65" i="57"/>
  <c r="U33" i="57"/>
  <c r="U94" i="57"/>
  <c r="T118" i="57"/>
  <c r="T93" i="57"/>
  <c r="T67" i="57"/>
  <c r="T41" i="57"/>
  <c r="T17" i="57"/>
  <c r="T107" i="57"/>
  <c r="T81" i="57"/>
  <c r="T56" i="57"/>
  <c r="T32" i="57"/>
  <c r="U104" i="57"/>
  <c r="U114" i="57"/>
  <c r="U49" i="57"/>
  <c r="U25" i="57"/>
  <c r="U50" i="57"/>
  <c r="U26" i="57"/>
  <c r="U113" i="57"/>
  <c r="U85" i="57"/>
  <c r="U54" i="57"/>
  <c r="T131" i="57"/>
  <c r="T140" i="57"/>
  <c r="T128" i="57"/>
  <c r="T123" i="57"/>
  <c r="T126" i="57"/>
  <c r="T129" i="57"/>
  <c r="T132" i="57"/>
  <c r="T135" i="57"/>
  <c r="T138" i="57"/>
  <c r="T141" i="57"/>
  <c r="T144" i="57"/>
  <c r="T121" i="57"/>
  <c r="T124" i="57"/>
  <c r="T127" i="57"/>
  <c r="T130" i="57"/>
  <c r="T133" i="57"/>
  <c r="T136" i="57"/>
  <c r="T139" i="57"/>
  <c r="T142" i="57"/>
  <c r="T145" i="57"/>
  <c r="T134" i="57"/>
  <c r="T125" i="57"/>
  <c r="T143" i="57"/>
  <c r="T122" i="57"/>
  <c r="T137" i="57"/>
  <c r="T44" i="57"/>
  <c r="T49" i="57"/>
  <c r="T25" i="57"/>
  <c r="T90" i="57"/>
  <c r="T40" i="57"/>
  <c r="U64" i="57"/>
  <c r="U79" i="57"/>
  <c r="U10" i="57"/>
  <c r="T120" i="57"/>
  <c r="T91" i="57"/>
  <c r="T64" i="57"/>
  <c r="T39" i="57"/>
  <c r="T15" i="57"/>
  <c r="T105" i="57"/>
  <c r="T79" i="57"/>
  <c r="T54" i="57"/>
  <c r="T30" i="57"/>
  <c r="T63" i="57"/>
  <c r="U95" i="57"/>
  <c r="U107" i="57"/>
  <c r="U47" i="57"/>
  <c r="U23" i="57"/>
  <c r="U48" i="57"/>
  <c r="U24" i="57"/>
  <c r="U111" i="57"/>
  <c r="U83" i="57"/>
  <c r="U9" i="57"/>
  <c r="P123" i="57"/>
  <c r="P126" i="57"/>
  <c r="P129" i="57"/>
  <c r="P132" i="57"/>
  <c r="P135" i="57"/>
  <c r="P138" i="57"/>
  <c r="P141" i="57"/>
  <c r="P144" i="57"/>
  <c r="P131" i="57"/>
  <c r="Q137" i="57"/>
  <c r="Q123" i="57"/>
  <c r="Q126" i="57"/>
  <c r="Q129" i="57"/>
  <c r="Q132" i="57"/>
  <c r="Q135" i="57"/>
  <c r="Q138" i="57"/>
  <c r="Q141" i="57"/>
  <c r="Q144" i="57"/>
  <c r="P128" i="57"/>
  <c r="P137" i="57"/>
  <c r="P143" i="57"/>
  <c r="Q131" i="57"/>
  <c r="P122" i="57"/>
  <c r="Q125" i="57"/>
  <c r="P125" i="57"/>
  <c r="P140" i="57"/>
  <c r="Q140" i="57"/>
  <c r="P121" i="57"/>
  <c r="P124" i="57"/>
  <c r="P127" i="57"/>
  <c r="P130" i="57"/>
  <c r="P133" i="57"/>
  <c r="P136" i="57"/>
  <c r="P139" i="57"/>
  <c r="P142" i="57"/>
  <c r="P145" i="57"/>
  <c r="Q122" i="57"/>
  <c r="Q121" i="57"/>
  <c r="Q124" i="57"/>
  <c r="Q127" i="57"/>
  <c r="Q130" i="57"/>
  <c r="Q133" i="57"/>
  <c r="Q136" i="57"/>
  <c r="Q139" i="57"/>
  <c r="Q142" i="57"/>
  <c r="Q145" i="57"/>
  <c r="P134" i="57"/>
  <c r="Q128" i="57"/>
  <c r="Q134" i="57"/>
  <c r="Q143" i="57"/>
  <c r="J80" i="50"/>
  <c r="J33" i="50"/>
  <c r="J77" i="50"/>
  <c r="J118" i="50"/>
  <c r="J16" i="50"/>
  <c r="J34" i="50"/>
  <c r="J49" i="50"/>
  <c r="D35" i="64" s="1"/>
  <c r="J101" i="50"/>
  <c r="J107" i="50"/>
  <c r="K13" i="50"/>
  <c r="C10" i="64" s="1"/>
  <c r="K16" i="50"/>
  <c r="K19" i="50"/>
  <c r="K22" i="50"/>
  <c r="K25" i="50"/>
  <c r="K28" i="50"/>
  <c r="C22" i="64" s="1"/>
  <c r="K34" i="50"/>
  <c r="K37" i="50"/>
  <c r="K43" i="50"/>
  <c r="K49" i="50"/>
  <c r="C35" i="64" s="1"/>
  <c r="K52" i="50"/>
  <c r="K55" i="50"/>
  <c r="K58" i="50"/>
  <c r="K66" i="50"/>
  <c r="K69" i="50"/>
  <c r="K75" i="50"/>
  <c r="K78" i="50"/>
  <c r="K81" i="50"/>
  <c r="K84" i="50"/>
  <c r="K88" i="50"/>
  <c r="K91" i="50"/>
  <c r="K97" i="50"/>
  <c r="K104" i="50"/>
  <c r="K107" i="50"/>
  <c r="K110" i="50"/>
  <c r="K116" i="50"/>
  <c r="M110" i="50"/>
  <c r="M119" i="50"/>
  <c r="J99" i="50"/>
  <c r="J63" i="50"/>
  <c r="K85" i="50"/>
  <c r="K112" i="50"/>
  <c r="J32" i="50"/>
  <c r="J50" i="50"/>
  <c r="L85" i="50"/>
  <c r="K8" i="50"/>
  <c r="C6" i="64" s="1"/>
  <c r="J85" i="50"/>
  <c r="J92" i="50"/>
  <c r="M11" i="50"/>
  <c r="M14" i="50"/>
  <c r="M17" i="50"/>
  <c r="E14" i="64" s="1"/>
  <c r="M20" i="50"/>
  <c r="M23" i="50"/>
  <c r="E18" i="64" s="1"/>
  <c r="M26" i="50"/>
  <c r="E21" i="64" s="1"/>
  <c r="M29" i="50"/>
  <c r="M32" i="50"/>
  <c r="M35" i="50"/>
  <c r="E27" i="64" s="1"/>
  <c r="M38" i="50"/>
  <c r="M41" i="50"/>
  <c r="M44" i="50"/>
  <c r="M47" i="50"/>
  <c r="M50" i="50"/>
  <c r="M53" i="50"/>
  <c r="M56" i="50"/>
  <c r="M59" i="50"/>
  <c r="M63" i="50"/>
  <c r="M67" i="50"/>
  <c r="M70" i="50"/>
  <c r="M73" i="50"/>
  <c r="M76" i="50"/>
  <c r="M79" i="50"/>
  <c r="M82" i="50"/>
  <c r="M85" i="50"/>
  <c r="M89" i="50"/>
  <c r="M92" i="50"/>
  <c r="M95" i="50"/>
  <c r="M98" i="50"/>
  <c r="J8" i="50"/>
  <c r="D6" i="64" s="1"/>
  <c r="J86" i="50"/>
  <c r="L107" i="50"/>
  <c r="L116" i="50"/>
  <c r="M43" i="50"/>
  <c r="M84" i="50"/>
  <c r="M94" i="50"/>
  <c r="M97" i="50"/>
  <c r="L49" i="50"/>
  <c r="J48" i="50"/>
  <c r="J96" i="50"/>
  <c r="Z3" i="50"/>
  <c r="R3" i="50"/>
  <c r="M10" i="50"/>
  <c r="M13" i="50"/>
  <c r="M16" i="50"/>
  <c r="M22" i="50"/>
  <c r="M25" i="50"/>
  <c r="M34" i="50"/>
  <c r="E26" i="64" s="1"/>
  <c r="M40" i="50"/>
  <c r="M46" i="50"/>
  <c r="M49" i="50"/>
  <c r="E35" i="64" s="1"/>
  <c r="M55" i="50"/>
  <c r="M45" i="50"/>
  <c r="M64" i="50"/>
  <c r="M83" i="50"/>
  <c r="M99" i="50"/>
  <c r="M103" i="50"/>
  <c r="M24" i="50"/>
  <c r="J17" i="50"/>
  <c r="D14" i="64" s="1"/>
  <c r="J20" i="50"/>
  <c r="J67" i="50"/>
  <c r="J79" i="50"/>
  <c r="J98" i="50"/>
  <c r="J117" i="50"/>
  <c r="K63" i="50"/>
  <c r="J81" i="50"/>
  <c r="M86" i="50"/>
  <c r="L94" i="50"/>
  <c r="M58" i="50"/>
  <c r="E39" i="64" s="1"/>
  <c r="M66" i="50"/>
  <c r="M69" i="50"/>
  <c r="E43" i="64" s="1"/>
  <c r="M75" i="50"/>
  <c r="M78" i="50"/>
  <c r="M81" i="50"/>
  <c r="M91" i="50"/>
  <c r="M101" i="50"/>
  <c r="M104" i="50"/>
  <c r="M107" i="50"/>
  <c r="M116" i="50"/>
  <c r="M8" i="50"/>
  <c r="E6" i="64" s="1"/>
  <c r="L69" i="50"/>
  <c r="M102" i="50"/>
  <c r="M105" i="50"/>
  <c r="M108" i="50"/>
  <c r="M111" i="50"/>
  <c r="M114" i="50"/>
  <c r="M117" i="50"/>
  <c r="J10" i="50"/>
  <c r="J22" i="50"/>
  <c r="J31" i="50"/>
  <c r="J37" i="50"/>
  <c r="J43" i="50"/>
  <c r="J46" i="50"/>
  <c r="J52" i="50"/>
  <c r="J61" i="50"/>
  <c r="J69" i="50"/>
  <c r="J72" i="50"/>
  <c r="J75" i="50"/>
  <c r="J78" i="50"/>
  <c r="J84" i="50"/>
  <c r="J94" i="50"/>
  <c r="D50" i="64" s="1"/>
  <c r="J97" i="50"/>
  <c r="J104" i="50"/>
  <c r="J110" i="50"/>
  <c r="J116" i="50"/>
  <c r="D65" i="64" s="1"/>
  <c r="J83" i="50"/>
  <c r="J87" i="50"/>
  <c r="J90" i="50"/>
  <c r="J103" i="50"/>
  <c r="J109" i="50"/>
  <c r="J112" i="50"/>
  <c r="K48" i="50"/>
  <c r="J30" i="50"/>
  <c r="J64" i="50"/>
  <c r="J68" i="50"/>
  <c r="J71" i="50"/>
  <c r="L8" i="50"/>
  <c r="F6" i="64" s="1"/>
  <c r="L88" i="50"/>
  <c r="L91" i="50"/>
  <c r="L97" i="50"/>
  <c r="L101" i="50"/>
  <c r="L104" i="50"/>
  <c r="L110" i="50"/>
  <c r="L113" i="50"/>
  <c r="L119" i="50"/>
  <c r="M15" i="50"/>
  <c r="E12" i="64" s="1"/>
  <c r="M33" i="50"/>
  <c r="M48" i="50"/>
  <c r="M60" i="50"/>
  <c r="M68" i="50"/>
  <c r="M71" i="50"/>
  <c r="M74" i="50"/>
  <c r="M77" i="50"/>
  <c r="M80" i="50"/>
  <c r="M87" i="50"/>
  <c r="M90" i="50"/>
  <c r="M93" i="50"/>
  <c r="M106" i="50"/>
  <c r="M109" i="50"/>
  <c r="M112" i="50"/>
  <c r="M115" i="50"/>
  <c r="M118" i="50"/>
  <c r="M9" i="50"/>
  <c r="E7" i="64" s="1"/>
  <c r="J9" i="50"/>
  <c r="D7" i="64" s="1"/>
  <c r="J24" i="50"/>
  <c r="J41" i="50"/>
  <c r="J45" i="50"/>
  <c r="J51" i="50"/>
  <c r="J54" i="50"/>
  <c r="J57" i="50"/>
  <c r="J59" i="50"/>
  <c r="J70" i="50"/>
  <c r="D44" i="64" s="1"/>
  <c r="J76" i="50"/>
  <c r="J82" i="50"/>
  <c r="J89" i="50"/>
  <c r="J95" i="50"/>
  <c r="J102" i="50"/>
  <c r="J105" i="50"/>
  <c r="J106" i="50"/>
  <c r="J108" i="50"/>
  <c r="J111" i="50"/>
  <c r="J114" i="50"/>
  <c r="J115" i="50"/>
  <c r="M18" i="50"/>
  <c r="M21" i="50"/>
  <c r="M27" i="50"/>
  <c r="M39" i="50"/>
  <c r="M51" i="50"/>
  <c r="J12" i="50"/>
  <c r="J23" i="50"/>
  <c r="K9" i="50"/>
  <c r="C7" i="64" s="1"/>
  <c r="K11" i="50"/>
  <c r="K12" i="50"/>
  <c r="K17" i="50"/>
  <c r="K20" i="50"/>
  <c r="C17" i="64" s="1"/>
  <c r="K21" i="50"/>
  <c r="K26" i="50"/>
  <c r="C21" i="64" s="1"/>
  <c r="K29" i="50"/>
  <c r="K30" i="50"/>
  <c r="K32" i="50"/>
  <c r="K38" i="50"/>
  <c r="K39" i="50"/>
  <c r="K44" i="50"/>
  <c r="K47" i="50"/>
  <c r="K50" i="50"/>
  <c r="K53" i="50"/>
  <c r="K56" i="50"/>
  <c r="K57" i="50"/>
  <c r="K59" i="50"/>
  <c r="C40" i="64" s="1"/>
  <c r="K60" i="50"/>
  <c r="K67" i="50"/>
  <c r="K68" i="50"/>
  <c r="C65" i="64" s="1"/>
  <c r="K70" i="50"/>
  <c r="K73" i="50"/>
  <c r="K74" i="50"/>
  <c r="K79" i="50"/>
  <c r="K83" i="50"/>
  <c r="K89" i="50"/>
  <c r="K92" i="50"/>
  <c r="K95" i="50"/>
  <c r="C51" i="64" s="1"/>
  <c r="K96" i="50"/>
  <c r="K99" i="50"/>
  <c r="K102" i="50"/>
  <c r="K103" i="50"/>
  <c r="K105" i="50"/>
  <c r="K106" i="50"/>
  <c r="K108" i="50"/>
  <c r="K109" i="50"/>
  <c r="K111" i="50"/>
  <c r="K114" i="50"/>
  <c r="K117" i="50"/>
  <c r="K118" i="50"/>
  <c r="K62" i="50"/>
  <c r="M12" i="50"/>
  <c r="E9" i="64" s="1"/>
  <c r="M36" i="50"/>
  <c r="M42" i="50"/>
  <c r="M54" i="50"/>
  <c r="M57" i="50"/>
  <c r="J11" i="50"/>
  <c r="D8" i="64" s="1"/>
  <c r="J15" i="50"/>
  <c r="D12" i="64" s="1"/>
  <c r="J18" i="50"/>
  <c r="D15" i="64" s="1"/>
  <c r="J21" i="50"/>
  <c r="J26" i="50"/>
  <c r="J29" i="50"/>
  <c r="J35" i="50"/>
  <c r="J38" i="50"/>
  <c r="J53" i="50"/>
  <c r="L11" i="50"/>
  <c r="L20" i="50"/>
  <c r="L26" i="50"/>
  <c r="L29" i="50"/>
  <c r="L44" i="50"/>
  <c r="L47" i="50"/>
  <c r="L59" i="50"/>
  <c r="L67" i="50"/>
  <c r="L79" i="50"/>
  <c r="L89" i="50"/>
  <c r="L95" i="50"/>
  <c r="L98" i="50"/>
  <c r="L99" i="50"/>
  <c r="L103" i="50"/>
  <c r="L105" i="50"/>
  <c r="L108" i="50"/>
  <c r="L111" i="50"/>
  <c r="L114" i="50"/>
  <c r="L115" i="50"/>
  <c r="L117" i="50"/>
  <c r="L118" i="50"/>
  <c r="L102" i="50"/>
  <c r="L92" i="50"/>
  <c r="L17" i="50"/>
  <c r="L14" i="50"/>
  <c r="F11" i="64" s="1"/>
  <c r="L32" i="50"/>
  <c r="L53" i="50"/>
  <c r="L82" i="50"/>
  <c r="K14" i="50"/>
  <c r="C11" i="64" s="1"/>
  <c r="K41" i="50"/>
  <c r="K76" i="50"/>
  <c r="K82" i="50"/>
  <c r="K98" i="50"/>
  <c r="M37" i="50"/>
  <c r="M61" i="50"/>
  <c r="K33" i="50"/>
  <c r="M62" i="50"/>
  <c r="L90" i="50"/>
  <c r="L93" i="50"/>
  <c r="L112" i="50"/>
  <c r="L62" i="50"/>
  <c r="M30" i="50"/>
  <c r="J14" i="50"/>
  <c r="D11" i="64" s="1"/>
  <c r="J47" i="50"/>
  <c r="J56" i="50"/>
  <c r="K10" i="50"/>
  <c r="K15" i="50"/>
  <c r="C12" i="64" s="1"/>
  <c r="K18" i="50"/>
  <c r="K24" i="50"/>
  <c r="K27" i="50"/>
  <c r="K31" i="50"/>
  <c r="K36" i="50"/>
  <c r="K40" i="50"/>
  <c r="K42" i="50"/>
  <c r="K45" i="50"/>
  <c r="K46" i="50"/>
  <c r="K51" i="50"/>
  <c r="K54" i="50"/>
  <c r="K61" i="50"/>
  <c r="K64" i="50"/>
  <c r="K71" i="50"/>
  <c r="K72" i="50"/>
  <c r="K77" i="50"/>
  <c r="K80" i="50"/>
  <c r="K87" i="50"/>
  <c r="K90" i="50"/>
  <c r="K93" i="50"/>
  <c r="K94" i="50"/>
  <c r="K101" i="50"/>
  <c r="K113" i="50"/>
  <c r="K115" i="50"/>
  <c r="K119" i="50"/>
  <c r="K86" i="50"/>
  <c r="C48" i="64" s="1"/>
  <c r="J44" i="50"/>
  <c r="J73" i="50"/>
  <c r="K23" i="50"/>
  <c r="K35" i="50"/>
  <c r="J62" i="50"/>
  <c r="M72" i="50"/>
  <c r="M88" i="50"/>
  <c r="M113" i="50"/>
  <c r="J13" i="50"/>
  <c r="J19" i="50"/>
  <c r="J25" i="50"/>
  <c r="J27" i="50"/>
  <c r="J28" i="50"/>
  <c r="J36" i="50"/>
  <c r="J39" i="50"/>
  <c r="J40" i="50"/>
  <c r="J42" i="50"/>
  <c r="D31" i="64" s="1"/>
  <c r="J58" i="50"/>
  <c r="J60" i="50"/>
  <c r="J74" i="50"/>
  <c r="D46" i="64" s="1"/>
  <c r="J91" i="50"/>
  <c r="J93" i="50"/>
  <c r="J113" i="50"/>
  <c r="J119" i="50"/>
  <c r="L86" i="50"/>
  <c r="L9" i="50"/>
  <c r="L12" i="50"/>
  <c r="L13" i="50"/>
  <c r="L15" i="50"/>
  <c r="L18" i="50"/>
  <c r="L21" i="50"/>
  <c r="L24" i="50"/>
  <c r="L25" i="50"/>
  <c r="L27" i="50"/>
  <c r="L28" i="50"/>
  <c r="L30" i="50"/>
  <c r="L33" i="50"/>
  <c r="L36" i="50"/>
  <c r="L39" i="50"/>
  <c r="L42" i="50"/>
  <c r="L43" i="50"/>
  <c r="L45" i="50"/>
  <c r="L46" i="50"/>
  <c r="L48" i="50"/>
  <c r="L51" i="50"/>
  <c r="L54" i="50"/>
  <c r="L57" i="50"/>
  <c r="L60" i="50"/>
  <c r="L64" i="50"/>
  <c r="L68" i="50"/>
  <c r="L71" i="50"/>
  <c r="L74" i="50"/>
  <c r="L77" i="50"/>
  <c r="L78" i="50"/>
  <c r="L80" i="50"/>
  <c r="L81" i="50"/>
  <c r="L83" i="50"/>
  <c r="L87" i="50"/>
  <c r="L63" i="50"/>
  <c r="L23" i="50"/>
  <c r="L35" i="50"/>
  <c r="L38" i="50"/>
  <c r="L41" i="50"/>
  <c r="L50" i="50"/>
  <c r="L56" i="50"/>
  <c r="L70" i="50"/>
  <c r="L73" i="50"/>
  <c r="L76" i="50"/>
  <c r="L10" i="50"/>
  <c r="L19" i="50"/>
  <c r="L37" i="50"/>
  <c r="L40" i="50"/>
  <c r="L16" i="50"/>
  <c r="L22" i="50"/>
  <c r="L31" i="50"/>
  <c r="L34" i="50"/>
  <c r="L52" i="50"/>
  <c r="L55" i="50"/>
  <c r="L58" i="50"/>
  <c r="L61" i="50"/>
  <c r="L66" i="50"/>
  <c r="L72" i="50"/>
  <c r="L75" i="50"/>
  <c r="L84" i="50"/>
  <c r="M19" i="50"/>
  <c r="M28" i="50"/>
  <c r="M31" i="50"/>
  <c r="M52" i="50"/>
  <c r="E36" i="64" s="1"/>
  <c r="L96" i="50"/>
  <c r="L106" i="50"/>
  <c r="L109" i="50"/>
  <c r="T22" i="57" l="1"/>
  <c r="T89" i="57"/>
  <c r="T103" i="57"/>
  <c r="U87" i="57"/>
  <c r="U72" i="57"/>
  <c r="U76" i="57"/>
  <c r="U81" i="57"/>
  <c r="U100" i="57"/>
  <c r="U105" i="57"/>
  <c r="U14" i="57"/>
  <c r="U18" i="57"/>
  <c r="U22" i="57"/>
  <c r="U40" i="57"/>
  <c r="U44" i="57"/>
  <c r="U13" i="57"/>
  <c r="U17" i="57"/>
  <c r="U21" i="57"/>
  <c r="U39" i="57"/>
  <c r="U43" i="57"/>
  <c r="U67" i="57"/>
  <c r="U82" i="57"/>
  <c r="U99" i="57"/>
  <c r="U108" i="57"/>
  <c r="U71" i="57"/>
  <c r="U86" i="57"/>
  <c r="U89" i="57"/>
  <c r="U106" i="57"/>
  <c r="U63" i="57"/>
  <c r="U74" i="57"/>
  <c r="U77" i="57"/>
  <c r="U98" i="57"/>
  <c r="U103" i="57"/>
  <c r="U109" i="57"/>
  <c r="U16" i="57"/>
  <c r="U20" i="57"/>
  <c r="U38" i="57"/>
  <c r="U42" i="57"/>
  <c r="U46" i="57"/>
  <c r="U15" i="57"/>
  <c r="U19" i="57"/>
  <c r="U37" i="57"/>
  <c r="U41" i="57"/>
  <c r="U45" i="57"/>
  <c r="U75" i="57"/>
  <c r="U91" i="57"/>
  <c r="U93" i="57"/>
  <c r="U61" i="57"/>
  <c r="U78" i="57"/>
  <c r="U80" i="57"/>
  <c r="U97" i="57"/>
  <c r="U112" i="57"/>
  <c r="F55" i="64"/>
  <c r="D43" i="64"/>
  <c r="E44" i="64"/>
  <c r="C47" i="64"/>
  <c r="D55" i="64"/>
  <c r="E55" i="64"/>
  <c r="E48" i="64"/>
  <c r="C55" i="64"/>
  <c r="C43" i="64"/>
  <c r="F62" i="64"/>
  <c r="C58" i="64"/>
  <c r="D63" i="64"/>
  <c r="C36" i="64"/>
  <c r="D26" i="64"/>
  <c r="E37" i="64"/>
  <c r="C54" i="64"/>
  <c r="E62" i="64"/>
  <c r="C63" i="64"/>
  <c r="C26" i="64"/>
  <c r="E63" i="64"/>
  <c r="D62" i="64"/>
  <c r="E20" i="64"/>
  <c r="C20" i="64"/>
  <c r="F61" i="64"/>
  <c r="D20" i="64"/>
  <c r="C61" i="64"/>
  <c r="F33" i="64"/>
  <c r="C16" i="64"/>
  <c r="E59" i="64"/>
  <c r="E64" i="64"/>
  <c r="E29" i="64"/>
  <c r="D33" i="64"/>
  <c r="E61" i="64"/>
  <c r="D58" i="64"/>
  <c r="D61" i="64"/>
  <c r="E58" i="64"/>
  <c r="F20" i="64"/>
  <c r="F58" i="64"/>
  <c r="E33" i="64"/>
  <c r="D54" i="64"/>
  <c r="F57" i="64"/>
  <c r="C38" i="64"/>
  <c r="F63" i="64"/>
  <c r="D51" i="64"/>
  <c r="E60" i="64"/>
  <c r="F35" i="64"/>
  <c r="C39" i="64"/>
  <c r="D36" i="64"/>
  <c r="E51" i="64"/>
  <c r="C59" i="64"/>
  <c r="C27" i="64"/>
  <c r="C33" i="64"/>
  <c r="C9" i="64"/>
  <c r="D40" i="64"/>
  <c r="D59" i="64"/>
  <c r="E13" i="64"/>
  <c r="F65" i="64"/>
  <c r="E53" i="64"/>
  <c r="E11" i="64"/>
  <c r="E50" i="64"/>
  <c r="C28" i="64"/>
  <c r="E40" i="64"/>
  <c r="C8" i="64"/>
  <c r="E57" i="64"/>
  <c r="E10" i="64"/>
  <c r="E8" i="64"/>
  <c r="D60" i="64"/>
  <c r="D38" i="64"/>
  <c r="F64" i="64"/>
  <c r="D52" i="64"/>
  <c r="D25" i="64"/>
  <c r="E65" i="64"/>
  <c r="D48" i="64"/>
  <c r="C52" i="64"/>
  <c r="F13" i="64"/>
  <c r="F8" i="64"/>
  <c r="D18" i="64"/>
  <c r="E41" i="64"/>
  <c r="E30" i="64"/>
  <c r="C13" i="64"/>
  <c r="E24" i="64"/>
  <c r="E19" i="64"/>
  <c r="D9" i="64"/>
  <c r="D57" i="64"/>
  <c r="E49" i="64"/>
  <c r="E34" i="64"/>
  <c r="D13" i="64"/>
  <c r="D21" i="64"/>
  <c r="E54" i="64"/>
  <c r="E56" i="64"/>
  <c r="F50" i="64"/>
  <c r="D53" i="64"/>
  <c r="C37" i="64"/>
  <c r="E46" i="64"/>
  <c r="D24" i="64"/>
  <c r="F41" i="64"/>
  <c r="D47" i="64"/>
  <c r="D49" i="64"/>
  <c r="C44" i="64"/>
  <c r="F59" i="64"/>
  <c r="C64" i="64"/>
  <c r="D41" i="64"/>
  <c r="F60" i="64"/>
  <c r="D45" i="64"/>
  <c r="D42" i="64"/>
  <c r="C57" i="64"/>
  <c r="C53" i="64"/>
  <c r="C15" i="64"/>
  <c r="E28" i="64"/>
  <c r="E16" i="64"/>
  <c r="E15" i="64"/>
  <c r="C49" i="64"/>
  <c r="D19" i="64"/>
  <c r="F56" i="64"/>
  <c r="F44" i="64"/>
  <c r="C14" i="64"/>
  <c r="F53" i="64"/>
  <c r="C34" i="64"/>
  <c r="C19" i="64"/>
  <c r="C18" i="64"/>
  <c r="C31" i="64"/>
  <c r="F49" i="64"/>
  <c r="C62" i="64"/>
  <c r="C45" i="64"/>
  <c r="C25" i="64"/>
  <c r="E45" i="64"/>
  <c r="D27" i="64"/>
  <c r="C29" i="64"/>
  <c r="F34" i="64"/>
  <c r="D16" i="64"/>
  <c r="C60" i="64"/>
  <c r="C24" i="64"/>
  <c r="C23" i="64"/>
  <c r="D64" i="64"/>
  <c r="D37" i="64"/>
  <c r="E32" i="64"/>
  <c r="E31" i="64"/>
  <c r="C30" i="64"/>
  <c r="C46" i="64"/>
  <c r="F24" i="64"/>
  <c r="C41" i="64"/>
  <c r="E22" i="64"/>
  <c r="F52" i="64"/>
  <c r="E42" i="64"/>
  <c r="D56" i="64"/>
  <c r="D39" i="64"/>
  <c r="C42" i="64"/>
  <c r="D17" i="64"/>
  <c r="C50" i="64"/>
  <c r="D30" i="64"/>
  <c r="D29" i="64"/>
  <c r="E52" i="64"/>
  <c r="C56" i="64"/>
  <c r="D32" i="64"/>
  <c r="D28" i="64"/>
  <c r="E47" i="64"/>
  <c r="C32" i="64"/>
  <c r="E25" i="64"/>
  <c r="D34" i="64"/>
  <c r="D23" i="64"/>
  <c r="D10" i="64"/>
  <c r="F54" i="64"/>
  <c r="D22" i="64"/>
  <c r="F15" i="64"/>
  <c r="F12" i="64"/>
  <c r="F16" i="64"/>
  <c r="F47" i="64"/>
  <c r="F39" i="64"/>
  <c r="F25" i="64"/>
  <c r="F28" i="64"/>
  <c r="F42" i="64"/>
  <c r="F10" i="64"/>
  <c r="F31" i="64"/>
  <c r="F40" i="64"/>
  <c r="F45" i="64"/>
  <c r="E38" i="64"/>
  <c r="F21" i="64"/>
  <c r="F38" i="64"/>
  <c r="E23" i="64"/>
  <c r="F17" i="64"/>
  <c r="F19" i="64"/>
  <c r="F14" i="64"/>
  <c r="E17" i="64"/>
  <c r="F43" i="64"/>
  <c r="F27" i="64"/>
  <c r="F18" i="64"/>
  <c r="F30" i="64"/>
  <c r="F36" i="64"/>
  <c r="F51" i="64"/>
  <c r="F48" i="64"/>
  <c r="F46" i="64"/>
  <c r="F37" i="64"/>
  <c r="F32" i="64"/>
  <c r="F29" i="64"/>
  <c r="F26" i="64"/>
  <c r="F23" i="64"/>
  <c r="F22" i="64"/>
  <c r="F9" i="64"/>
  <c r="F7" i="64"/>
  <c r="E4" i="55" l="1"/>
  <c r="G100" i="55" l="1"/>
  <c r="F100" i="55"/>
  <c r="I100" i="55"/>
  <c r="H100" i="55"/>
  <c r="G65" i="55"/>
  <c r="H65" i="55"/>
  <c r="F65" i="55"/>
  <c r="I65" i="55"/>
  <c r="I145" i="55"/>
  <c r="I143" i="55"/>
  <c r="I141" i="55"/>
  <c r="I139" i="55"/>
  <c r="I137" i="55"/>
  <c r="I135" i="55"/>
  <c r="I133" i="55"/>
  <c r="I131" i="55"/>
  <c r="I129" i="55"/>
  <c r="I127" i="55"/>
  <c r="I125" i="55"/>
  <c r="I123" i="55"/>
  <c r="I121" i="55"/>
  <c r="I119" i="55"/>
  <c r="I117" i="55"/>
  <c r="I115" i="55"/>
  <c r="I113" i="55"/>
  <c r="I111" i="55"/>
  <c r="I109" i="55"/>
  <c r="I107" i="55"/>
  <c r="I105" i="55"/>
  <c r="I103" i="55"/>
  <c r="H102" i="55"/>
  <c r="H101" i="55"/>
  <c r="H99" i="55"/>
  <c r="H98" i="55"/>
  <c r="H97" i="55"/>
  <c r="H96" i="55"/>
  <c r="H95" i="55"/>
  <c r="H94" i="55"/>
  <c r="H93" i="55"/>
  <c r="H92" i="55"/>
  <c r="H91" i="55"/>
  <c r="H90" i="55"/>
  <c r="H89" i="55"/>
  <c r="H88" i="55"/>
  <c r="H87" i="55"/>
  <c r="H86" i="55"/>
  <c r="H85" i="55"/>
  <c r="H84" i="55"/>
  <c r="H83" i="55"/>
  <c r="H82" i="55"/>
  <c r="H81" i="55"/>
  <c r="F9" i="55"/>
  <c r="F10" i="55"/>
  <c r="F11" i="55"/>
  <c r="F12" i="55"/>
  <c r="F13" i="55"/>
  <c r="F14" i="55"/>
  <c r="F15" i="55"/>
  <c r="F16" i="55"/>
  <c r="F17" i="55"/>
  <c r="F18" i="55"/>
  <c r="F19" i="55"/>
  <c r="F20" i="55"/>
  <c r="F21" i="55"/>
  <c r="N21" i="50" s="1"/>
  <c r="F22" i="55"/>
  <c r="F23" i="55"/>
  <c r="F24" i="55"/>
  <c r="F25" i="55"/>
  <c r="N25" i="50" s="1"/>
  <c r="F26" i="55"/>
  <c r="F27" i="55"/>
  <c r="F28" i="55"/>
  <c r="F29" i="55"/>
  <c r="N29" i="50" s="1"/>
  <c r="R29" i="50" s="1"/>
  <c r="AD29" i="50" s="1"/>
  <c r="F30" i="55"/>
  <c r="F31" i="55"/>
  <c r="F32" i="55"/>
  <c r="F33" i="55"/>
  <c r="F34" i="55"/>
  <c r="F35" i="55"/>
  <c r="F36" i="55"/>
  <c r="F37" i="55"/>
  <c r="F38" i="55"/>
  <c r="F39" i="55"/>
  <c r="F40" i="55"/>
  <c r="F41" i="55"/>
  <c r="F42" i="55"/>
  <c r="F43" i="55"/>
  <c r="F44" i="55"/>
  <c r="F45" i="55"/>
  <c r="F46" i="55"/>
  <c r="F47" i="55"/>
  <c r="F48" i="55"/>
  <c r="F49" i="55"/>
  <c r="F50" i="55"/>
  <c r="F51" i="55"/>
  <c r="F52" i="55"/>
  <c r="F53" i="55"/>
  <c r="F54" i="55"/>
  <c r="F55" i="55"/>
  <c r="F56" i="55"/>
  <c r="F57" i="55"/>
  <c r="F58" i="55"/>
  <c r="F59" i="55"/>
  <c r="F60" i="55"/>
  <c r="F61" i="55"/>
  <c r="V61" i="50" s="1"/>
  <c r="F62" i="55"/>
  <c r="F63" i="55"/>
  <c r="F64" i="55"/>
  <c r="F66" i="55"/>
  <c r="F67" i="55"/>
  <c r="I9" i="55"/>
  <c r="I10" i="55"/>
  <c r="I11" i="55"/>
  <c r="I12" i="55"/>
  <c r="I13" i="55"/>
  <c r="I14" i="55"/>
  <c r="I15" i="55"/>
  <c r="I16" i="55"/>
  <c r="I17" i="55"/>
  <c r="I18" i="55"/>
  <c r="I19" i="55"/>
  <c r="I20" i="55"/>
  <c r="I21" i="55"/>
  <c r="I22" i="55"/>
  <c r="I23" i="55"/>
  <c r="I24" i="55"/>
  <c r="I25" i="55"/>
  <c r="I26" i="55"/>
  <c r="I27" i="55"/>
  <c r="I28" i="55"/>
  <c r="I29" i="55"/>
  <c r="I30" i="55"/>
  <c r="I31" i="55"/>
  <c r="I32" i="55"/>
  <c r="I33" i="55"/>
  <c r="I34" i="55"/>
  <c r="I35" i="55"/>
  <c r="H9" i="55"/>
  <c r="H10" i="55"/>
  <c r="H11" i="55"/>
  <c r="H12" i="55"/>
  <c r="H13" i="55"/>
  <c r="H14" i="55"/>
  <c r="H15" i="55"/>
  <c r="H16" i="55"/>
  <c r="H17" i="55"/>
  <c r="H18" i="55"/>
  <c r="H19" i="55"/>
  <c r="H20" i="55"/>
  <c r="H21" i="55"/>
  <c r="H22" i="55"/>
  <c r="H23" i="55"/>
  <c r="H24" i="55"/>
  <c r="H25" i="55"/>
  <c r="H26" i="55"/>
  <c r="H27" i="55"/>
  <c r="H28" i="55"/>
  <c r="H29" i="55"/>
  <c r="H30" i="55"/>
  <c r="H31" i="55"/>
  <c r="H32" i="55"/>
  <c r="H33" i="55"/>
  <c r="H34" i="55"/>
  <c r="H35" i="55"/>
  <c r="H36" i="55"/>
  <c r="H37" i="55"/>
  <c r="H38" i="55"/>
  <c r="H39" i="55"/>
  <c r="H40" i="55"/>
  <c r="H41" i="55"/>
  <c r="H42" i="55"/>
  <c r="H43" i="55"/>
  <c r="H44" i="55"/>
  <c r="H45" i="55"/>
  <c r="H46" i="55"/>
  <c r="H47" i="55"/>
  <c r="H48" i="55"/>
  <c r="H49" i="55"/>
  <c r="H50" i="55"/>
  <c r="H51" i="55"/>
  <c r="H52" i="55"/>
  <c r="H53" i="55"/>
  <c r="H54" i="55"/>
  <c r="H55" i="55"/>
  <c r="H56" i="55"/>
  <c r="H57" i="55"/>
  <c r="H58" i="55"/>
  <c r="H59" i="55"/>
  <c r="H60" i="55"/>
  <c r="H61" i="55"/>
  <c r="H62" i="55"/>
  <c r="H63" i="55"/>
  <c r="H64" i="55"/>
  <c r="H66" i="55"/>
  <c r="G9" i="55"/>
  <c r="G10" i="55"/>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6" i="55"/>
  <c r="G67" i="55"/>
  <c r="F68" i="55"/>
  <c r="F69" i="55"/>
  <c r="F70" i="55"/>
  <c r="F71" i="55"/>
  <c r="F72" i="55"/>
  <c r="F73" i="55"/>
  <c r="F74" i="55"/>
  <c r="F75" i="55"/>
  <c r="F76" i="55"/>
  <c r="F77" i="55"/>
  <c r="F78" i="55"/>
  <c r="F79" i="55"/>
  <c r="F80" i="55"/>
  <c r="V80" i="50" s="1"/>
  <c r="Z80" i="50" s="1"/>
  <c r="AH80" i="50" s="1"/>
  <c r="F81" i="55"/>
  <c r="F83" i="55"/>
  <c r="F85" i="55"/>
  <c r="F87" i="55"/>
  <c r="F89" i="55"/>
  <c r="F91" i="55"/>
  <c r="F93" i="55"/>
  <c r="F95" i="55"/>
  <c r="F97" i="55"/>
  <c r="F99" i="55"/>
  <c r="F102" i="55"/>
  <c r="H67" i="55"/>
  <c r="I68" i="55"/>
  <c r="I69" i="55"/>
  <c r="I70" i="55"/>
  <c r="I71" i="55"/>
  <c r="I72" i="55"/>
  <c r="I73" i="55"/>
  <c r="I74" i="55"/>
  <c r="I75" i="55"/>
  <c r="I76" i="55"/>
  <c r="I77" i="55"/>
  <c r="I78" i="55"/>
  <c r="I79" i="55"/>
  <c r="I104" i="55"/>
  <c r="I108" i="55"/>
  <c r="I112" i="55"/>
  <c r="I36" i="55"/>
  <c r="I38" i="55"/>
  <c r="I40" i="55"/>
  <c r="I42" i="55"/>
  <c r="I44" i="55"/>
  <c r="I46" i="55"/>
  <c r="I48" i="55"/>
  <c r="I50" i="55"/>
  <c r="I52" i="55"/>
  <c r="I54" i="55"/>
  <c r="I56" i="55"/>
  <c r="I58" i="55"/>
  <c r="I60" i="55"/>
  <c r="I62" i="55"/>
  <c r="I64" i="55"/>
  <c r="I67" i="55"/>
  <c r="H69" i="55"/>
  <c r="H71" i="55"/>
  <c r="H73" i="55"/>
  <c r="H75" i="55"/>
  <c r="H77" i="55"/>
  <c r="H79" i="55"/>
  <c r="F82" i="55"/>
  <c r="F86" i="55"/>
  <c r="F90" i="55"/>
  <c r="F94" i="55"/>
  <c r="F98" i="55"/>
  <c r="F103" i="55"/>
  <c r="G69" i="55"/>
  <c r="G71" i="55"/>
  <c r="G73" i="55"/>
  <c r="G75" i="55"/>
  <c r="G77" i="55"/>
  <c r="G79" i="55"/>
  <c r="I106" i="55"/>
  <c r="I114" i="55"/>
  <c r="I118" i="55"/>
  <c r="I122" i="55"/>
  <c r="I126" i="55"/>
  <c r="I130" i="55"/>
  <c r="I134" i="55"/>
  <c r="I138" i="55"/>
  <c r="I142" i="55"/>
  <c r="G81" i="55"/>
  <c r="G82" i="55"/>
  <c r="G83" i="55"/>
  <c r="G84" i="55"/>
  <c r="G85" i="55"/>
  <c r="G86" i="55"/>
  <c r="G87" i="55"/>
  <c r="G88" i="55"/>
  <c r="G89" i="55"/>
  <c r="G90" i="55"/>
  <c r="G91" i="55"/>
  <c r="G92" i="55"/>
  <c r="G93" i="55"/>
  <c r="G94" i="55"/>
  <c r="G95" i="55"/>
  <c r="G96" i="55"/>
  <c r="G97" i="55"/>
  <c r="G98" i="55"/>
  <c r="G99" i="55"/>
  <c r="G101" i="55"/>
  <c r="G102" i="55"/>
  <c r="G103" i="55"/>
  <c r="G106" i="55"/>
  <c r="G110" i="55"/>
  <c r="G114" i="55"/>
  <c r="G118" i="55"/>
  <c r="G122" i="55"/>
  <c r="G126" i="55"/>
  <c r="G130" i="55"/>
  <c r="G134" i="55"/>
  <c r="G138" i="55"/>
  <c r="G142" i="55"/>
  <c r="I80" i="55"/>
  <c r="G105" i="55"/>
  <c r="G109" i="55"/>
  <c r="G113" i="55"/>
  <c r="G117" i="55"/>
  <c r="G121" i="55"/>
  <c r="G125" i="55"/>
  <c r="G129" i="55"/>
  <c r="G133" i="55"/>
  <c r="G137" i="55"/>
  <c r="G141" i="55"/>
  <c r="H104" i="55"/>
  <c r="H105" i="55"/>
  <c r="H106" i="55"/>
  <c r="H108" i="55"/>
  <c r="H111" i="55"/>
  <c r="H113" i="55"/>
  <c r="H115" i="55"/>
  <c r="H118" i="55"/>
  <c r="H120" i="55"/>
  <c r="H123" i="55"/>
  <c r="H125" i="55"/>
  <c r="H128" i="55"/>
  <c r="H130" i="55"/>
  <c r="H132" i="55"/>
  <c r="H135" i="55"/>
  <c r="H137" i="55"/>
  <c r="H140" i="55"/>
  <c r="H142" i="55"/>
  <c r="H144" i="55"/>
  <c r="I37" i="55"/>
  <c r="I39" i="55"/>
  <c r="I41" i="55"/>
  <c r="I43" i="55"/>
  <c r="I45" i="55"/>
  <c r="I47" i="55"/>
  <c r="I49" i="55"/>
  <c r="I51" i="55"/>
  <c r="I53" i="55"/>
  <c r="I55" i="55"/>
  <c r="I57" i="55"/>
  <c r="I59" i="55"/>
  <c r="I61" i="55"/>
  <c r="I63" i="55"/>
  <c r="I66" i="55"/>
  <c r="H68" i="55"/>
  <c r="H70" i="55"/>
  <c r="H72" i="55"/>
  <c r="H74" i="55"/>
  <c r="H76" i="55"/>
  <c r="H78" i="55"/>
  <c r="H80" i="55"/>
  <c r="F84" i="55"/>
  <c r="N84" i="50" s="1"/>
  <c r="F88" i="55"/>
  <c r="V88" i="50" s="1"/>
  <c r="F92" i="55"/>
  <c r="F96" i="55"/>
  <c r="N96" i="50" s="1"/>
  <c r="F101" i="55"/>
  <c r="V101" i="50" s="1"/>
  <c r="Z101" i="50" s="1"/>
  <c r="AH101" i="50" s="1"/>
  <c r="G68" i="55"/>
  <c r="G70" i="55"/>
  <c r="G72" i="55"/>
  <c r="G74" i="55"/>
  <c r="G76" i="55"/>
  <c r="G78" i="55"/>
  <c r="G80" i="55"/>
  <c r="I110" i="55"/>
  <c r="I116" i="55"/>
  <c r="I120" i="55"/>
  <c r="I124" i="55"/>
  <c r="I128" i="55"/>
  <c r="I132" i="55"/>
  <c r="I136" i="55"/>
  <c r="I140" i="55"/>
  <c r="I144" i="55"/>
  <c r="I81" i="55"/>
  <c r="I82" i="55"/>
  <c r="I83" i="55"/>
  <c r="I84" i="55"/>
  <c r="I85" i="55"/>
  <c r="I86" i="55"/>
  <c r="I87" i="55"/>
  <c r="I88" i="55"/>
  <c r="I89" i="55"/>
  <c r="I90" i="55"/>
  <c r="I91" i="55"/>
  <c r="I92" i="55"/>
  <c r="I93" i="55"/>
  <c r="I94" i="55"/>
  <c r="I95" i="55"/>
  <c r="I96" i="55"/>
  <c r="I97" i="55"/>
  <c r="I98" i="55"/>
  <c r="I99" i="55"/>
  <c r="I101" i="55"/>
  <c r="I102" i="55"/>
  <c r="G104" i="55"/>
  <c r="G108" i="55"/>
  <c r="G112" i="55"/>
  <c r="G116" i="55"/>
  <c r="G120" i="55"/>
  <c r="G124" i="55"/>
  <c r="G128" i="55"/>
  <c r="G132" i="55"/>
  <c r="G136" i="55"/>
  <c r="G140" i="55"/>
  <c r="G144" i="55"/>
  <c r="H103" i="55"/>
  <c r="G107" i="55"/>
  <c r="G111" i="55"/>
  <c r="G115" i="55"/>
  <c r="G119" i="55"/>
  <c r="G123" i="55"/>
  <c r="G127" i="55"/>
  <c r="G131" i="55"/>
  <c r="G135" i="55"/>
  <c r="G139" i="55"/>
  <c r="G143" i="55"/>
  <c r="F104" i="55"/>
  <c r="F105" i="55"/>
  <c r="F106" i="55"/>
  <c r="F107" i="55"/>
  <c r="F108" i="55"/>
  <c r="F109" i="55"/>
  <c r="F110" i="55"/>
  <c r="N110" i="50" s="1"/>
  <c r="R110" i="50" s="1"/>
  <c r="AD110" i="50" s="1"/>
  <c r="F111" i="55"/>
  <c r="F112" i="55"/>
  <c r="N112" i="50" s="1"/>
  <c r="F113" i="55"/>
  <c r="F114" i="55"/>
  <c r="F115" i="55"/>
  <c r="F116" i="55"/>
  <c r="F117" i="55"/>
  <c r="F118" i="55"/>
  <c r="F119" i="55"/>
  <c r="F120" i="55"/>
  <c r="F121" i="55"/>
  <c r="F122" i="55"/>
  <c r="F123" i="55"/>
  <c r="F124" i="55"/>
  <c r="F125" i="55"/>
  <c r="F126" i="55"/>
  <c r="F127" i="55"/>
  <c r="F128" i="55"/>
  <c r="F129" i="55"/>
  <c r="F130" i="55"/>
  <c r="F131" i="55"/>
  <c r="F132" i="55"/>
  <c r="F133" i="55"/>
  <c r="F134" i="55"/>
  <c r="F135" i="55"/>
  <c r="F136" i="55"/>
  <c r="F137" i="55"/>
  <c r="F138" i="55"/>
  <c r="F139" i="55"/>
  <c r="F140" i="55"/>
  <c r="F141" i="55"/>
  <c r="F142" i="55"/>
  <c r="F143" i="55"/>
  <c r="F144" i="55"/>
  <c r="F145" i="55"/>
  <c r="G145" i="55"/>
  <c r="H107" i="55"/>
  <c r="H109" i="55"/>
  <c r="H110" i="55"/>
  <c r="H112" i="55"/>
  <c r="H114" i="55"/>
  <c r="H116" i="55"/>
  <c r="H117" i="55"/>
  <c r="H119" i="55"/>
  <c r="H121" i="55"/>
  <c r="H122" i="55"/>
  <c r="H124" i="55"/>
  <c r="H126" i="55"/>
  <c r="H127" i="55"/>
  <c r="H129" i="55"/>
  <c r="H131" i="55"/>
  <c r="H133" i="55"/>
  <c r="H134" i="55"/>
  <c r="H136" i="55"/>
  <c r="H138" i="55"/>
  <c r="H139" i="55"/>
  <c r="H141" i="55"/>
  <c r="H143" i="55"/>
  <c r="H145" i="55"/>
  <c r="V94" i="50"/>
  <c r="H8" i="55"/>
  <c r="N77" i="50"/>
  <c r="R77" i="50" s="1"/>
  <c r="AD77" i="50" s="1"/>
  <c r="V75" i="50"/>
  <c r="I8" i="55"/>
  <c r="N14" i="50"/>
  <c r="R14" i="50" s="1"/>
  <c r="AD14" i="50" s="1"/>
  <c r="F8" i="55"/>
  <c r="V12" i="50"/>
  <c r="Z12" i="50" s="1"/>
  <c r="AH12" i="50" s="1"/>
  <c r="V48" i="50"/>
  <c r="V40" i="50"/>
  <c r="N75" i="50"/>
  <c r="R75" i="50" s="1"/>
  <c r="AD75" i="50" s="1"/>
  <c r="N81" i="50"/>
  <c r="G8" i="55"/>
  <c r="X100" i="50" l="1"/>
  <c r="AB100" i="50" s="1"/>
  <c r="AJ100" i="50" s="1"/>
  <c r="H101" i="57" s="1"/>
  <c r="X101" i="57" s="1"/>
  <c r="V100" i="50"/>
  <c r="Z100" i="50" s="1"/>
  <c r="AH100" i="50" s="1"/>
  <c r="F101" i="57" s="1"/>
  <c r="N101" i="57" s="1"/>
  <c r="R101" i="57" s="1"/>
  <c r="V101" i="57" s="1"/>
  <c r="P100" i="50"/>
  <c r="T100" i="50" s="1"/>
  <c r="AF100" i="50" s="1"/>
  <c r="N100" i="50"/>
  <c r="R100" i="50" s="1"/>
  <c r="AD100" i="50" s="1"/>
  <c r="Y100" i="50"/>
  <c r="AC100" i="50" s="1"/>
  <c r="AK100" i="50" s="1"/>
  <c r="I101" i="57" s="1"/>
  <c r="Y101" i="57" s="1"/>
  <c r="W100" i="50"/>
  <c r="AA100" i="50" s="1"/>
  <c r="AI100" i="50" s="1"/>
  <c r="G101" i="57" s="1"/>
  <c r="O101" i="57" s="1"/>
  <c r="S101" i="57" s="1"/>
  <c r="W101" i="57" s="1"/>
  <c r="Q100" i="50"/>
  <c r="U100" i="50" s="1"/>
  <c r="AG100" i="50" s="1"/>
  <c r="O100" i="50"/>
  <c r="S100" i="50" s="1"/>
  <c r="AE100" i="50" s="1"/>
  <c r="Y65" i="50"/>
  <c r="AC65" i="50" s="1"/>
  <c r="AK65" i="50" s="1"/>
  <c r="I66" i="57" s="1"/>
  <c r="Y66" i="57" s="1"/>
  <c r="W65" i="50"/>
  <c r="AA65" i="50" s="1"/>
  <c r="AI65" i="50" s="1"/>
  <c r="G66" i="57" s="1"/>
  <c r="Q65" i="50"/>
  <c r="U65" i="50" s="1"/>
  <c r="AG65" i="50" s="1"/>
  <c r="O65" i="50"/>
  <c r="S65" i="50" s="1"/>
  <c r="AE65" i="50" s="1"/>
  <c r="X65" i="50"/>
  <c r="AB65" i="50" s="1"/>
  <c r="AJ65" i="50" s="1"/>
  <c r="H66" i="57" s="1"/>
  <c r="X66" i="57" s="1"/>
  <c r="V65" i="50"/>
  <c r="Z65" i="50" s="1"/>
  <c r="AH65" i="50" s="1"/>
  <c r="F66" i="57" s="1"/>
  <c r="N66" i="57" s="1"/>
  <c r="R66" i="57" s="1"/>
  <c r="V66" i="57" s="1"/>
  <c r="P65" i="50"/>
  <c r="T65" i="50" s="1"/>
  <c r="AF65" i="50" s="1"/>
  <c r="N65" i="50"/>
  <c r="R65" i="50" s="1"/>
  <c r="AD65" i="50" s="1"/>
  <c r="Q88" i="50"/>
  <c r="Y8" i="50"/>
  <c r="AC8" i="50" s="1"/>
  <c r="AK8" i="50" s="1"/>
  <c r="I9" i="57" s="1"/>
  <c r="Y9" i="57" s="1"/>
  <c r="N88" i="50"/>
  <c r="Q61" i="50"/>
  <c r="U61" i="50" s="1"/>
  <c r="AG61" i="50" s="1"/>
  <c r="V36" i="50"/>
  <c r="Z36" i="50" s="1"/>
  <c r="AH36" i="50" s="1"/>
  <c r="Y29" i="50"/>
  <c r="AC29" i="50" s="1"/>
  <c r="AK29" i="50" s="1"/>
  <c r="Q29" i="50"/>
  <c r="U29" i="50" s="1"/>
  <c r="AG29" i="50" s="1"/>
  <c r="V29" i="50"/>
  <c r="Z29" i="50" s="1"/>
  <c r="AH29" i="50" s="1"/>
  <c r="AL29" i="50" s="1"/>
  <c r="X84" i="50"/>
  <c r="AB84" i="50" s="1"/>
  <c r="AJ84" i="50" s="1"/>
  <c r="V109" i="50"/>
  <c r="Z109" i="50" s="1"/>
  <c r="AH109" i="50" s="1"/>
  <c r="O29" i="50"/>
  <c r="S29" i="50" s="1"/>
  <c r="AE29" i="50" s="1"/>
  <c r="N73" i="50"/>
  <c r="R73" i="50" s="1"/>
  <c r="AD73" i="50" s="1"/>
  <c r="V16" i="50"/>
  <c r="Z16" i="50" s="1"/>
  <c r="AH16" i="50" s="1"/>
  <c r="X29" i="50"/>
  <c r="AB29" i="50" s="1"/>
  <c r="AJ29" i="50" s="1"/>
  <c r="O75" i="50"/>
  <c r="N99" i="50"/>
  <c r="R99" i="50" s="1"/>
  <c r="AD99" i="50" s="1"/>
  <c r="V71" i="50"/>
  <c r="Z71" i="50" s="1"/>
  <c r="AH71" i="50" s="1"/>
  <c r="N118" i="50"/>
  <c r="R118" i="50" s="1"/>
  <c r="AD118" i="50" s="1"/>
  <c r="N30" i="50"/>
  <c r="R30" i="50" s="1"/>
  <c r="AD30" i="50" s="1"/>
  <c r="V79" i="50"/>
  <c r="Z79" i="50" s="1"/>
  <c r="AH79" i="50" s="1"/>
  <c r="Y80" i="50"/>
  <c r="AC80" i="50" s="1"/>
  <c r="AK80" i="50" s="1"/>
  <c r="Y60" i="50"/>
  <c r="AC60" i="50" s="1"/>
  <c r="AK60" i="50" s="1"/>
  <c r="V10" i="50"/>
  <c r="Z10" i="50" s="1"/>
  <c r="AH10" i="50" s="1"/>
  <c r="F11" i="57" s="1"/>
  <c r="Q109" i="50"/>
  <c r="U109" i="50" s="1"/>
  <c r="AG109" i="50" s="1"/>
  <c r="N109" i="50"/>
  <c r="R109" i="50" s="1"/>
  <c r="AD109" i="50" s="1"/>
  <c r="V44" i="50"/>
  <c r="Z44" i="50" s="1"/>
  <c r="AH44" i="50" s="1"/>
  <c r="F45" i="57" s="1"/>
  <c r="Q75" i="50"/>
  <c r="U75" i="50" s="1"/>
  <c r="AG75" i="50" s="1"/>
  <c r="Q81" i="50"/>
  <c r="U81" i="50" s="1"/>
  <c r="AG81" i="50" s="1"/>
  <c r="W102" i="50"/>
  <c r="AA102" i="50" s="1"/>
  <c r="AI102" i="50" s="1"/>
  <c r="V42" i="50"/>
  <c r="Z42" i="50" s="1"/>
  <c r="AH42" i="50" s="1"/>
  <c r="V112" i="50"/>
  <c r="Z112" i="50" s="1"/>
  <c r="AH112" i="50" s="1"/>
  <c r="W38" i="50"/>
  <c r="AA38" i="50" s="1"/>
  <c r="AI38" i="50" s="1"/>
  <c r="G39" i="57" s="1"/>
  <c r="P81" i="50"/>
  <c r="T81" i="50" s="1"/>
  <c r="AF81" i="50" s="1"/>
  <c r="Y82" i="50"/>
  <c r="AC82" i="50" s="1"/>
  <c r="AK82" i="50" s="1"/>
  <c r="X87" i="50"/>
  <c r="AB87" i="50" s="1"/>
  <c r="AJ87" i="50" s="1"/>
  <c r="P116" i="50"/>
  <c r="T116" i="50" s="1"/>
  <c r="AF116" i="50" s="1"/>
  <c r="N113" i="50"/>
  <c r="R113" i="50" s="1"/>
  <c r="AD113" i="50" s="1"/>
  <c r="Y36" i="50"/>
  <c r="AC36" i="50" s="1"/>
  <c r="AK36" i="50" s="1"/>
  <c r="I37" i="57" s="1"/>
  <c r="Y37" i="57" s="1"/>
  <c r="V81" i="50"/>
  <c r="Z81" i="50" s="1"/>
  <c r="AH81" i="50" s="1"/>
  <c r="W39" i="50"/>
  <c r="AA39" i="50" s="1"/>
  <c r="AI39" i="50" s="1"/>
  <c r="Y54" i="50"/>
  <c r="AC54" i="50" s="1"/>
  <c r="AK54" i="50" s="1"/>
  <c r="I55" i="57" s="1"/>
  <c r="Y55" i="57" s="1"/>
  <c r="O58" i="50"/>
  <c r="S58" i="50" s="1"/>
  <c r="AE58" i="50" s="1"/>
  <c r="W112" i="50"/>
  <c r="AA112" i="50" s="1"/>
  <c r="AI112" i="50" s="1"/>
  <c r="V11" i="50"/>
  <c r="Z11" i="50" s="1"/>
  <c r="AH11" i="50" s="1"/>
  <c r="F12" i="57" s="1"/>
  <c r="O28" i="50"/>
  <c r="S28" i="50" s="1"/>
  <c r="AE28" i="50" s="1"/>
  <c r="C29" i="57" s="1"/>
  <c r="P11" i="50"/>
  <c r="T11" i="50" s="1"/>
  <c r="AF11" i="50" s="1"/>
  <c r="N38" i="50"/>
  <c r="R38" i="50" s="1"/>
  <c r="AD38" i="50" s="1"/>
  <c r="B39" i="57" s="1"/>
  <c r="N106" i="50"/>
  <c r="R106" i="50" s="1"/>
  <c r="AD106" i="50" s="1"/>
  <c r="N35" i="50"/>
  <c r="R35" i="50" s="1"/>
  <c r="AD35" i="50" s="1"/>
  <c r="B36" i="57" s="1"/>
  <c r="W11" i="50"/>
  <c r="AA11" i="50" s="1"/>
  <c r="AI11" i="50" s="1"/>
  <c r="N49" i="50"/>
  <c r="R49" i="50" s="1"/>
  <c r="AD49" i="50" s="1"/>
  <c r="B50" i="57" s="1"/>
  <c r="Y112" i="50"/>
  <c r="AC112" i="50" s="1"/>
  <c r="AK112" i="50" s="1"/>
  <c r="V58" i="50"/>
  <c r="Z58" i="50" s="1"/>
  <c r="AH58" i="50" s="1"/>
  <c r="F59" i="57" s="1"/>
  <c r="V13" i="50"/>
  <c r="Z13" i="50" s="1"/>
  <c r="AH13" i="50" s="1"/>
  <c r="F14" i="57" s="1"/>
  <c r="O81" i="50"/>
  <c r="S81" i="50" s="1"/>
  <c r="AE81" i="50" s="1"/>
  <c r="V39" i="50"/>
  <c r="Z39" i="50" s="1"/>
  <c r="AH39" i="50" s="1"/>
  <c r="V102" i="50"/>
  <c r="Z102" i="50" s="1"/>
  <c r="AH102" i="50" s="1"/>
  <c r="N11" i="50"/>
  <c r="R11" i="50" s="1"/>
  <c r="AD11" i="50" s="1"/>
  <c r="V28" i="50"/>
  <c r="Z28" i="50" s="1"/>
  <c r="AH28" i="50" s="1"/>
  <c r="F29" i="57" s="1"/>
  <c r="X75" i="50"/>
  <c r="AB75" i="50" s="1"/>
  <c r="AJ75" i="50" s="1"/>
  <c r="N24" i="50"/>
  <c r="R24" i="50" s="1"/>
  <c r="AD24" i="50" s="1"/>
  <c r="V37" i="50"/>
  <c r="Z37" i="50" s="1"/>
  <c r="AH37" i="50" s="1"/>
  <c r="F38" i="57" s="1"/>
  <c r="N92" i="50"/>
  <c r="R92" i="50" s="1"/>
  <c r="AD92" i="50" s="1"/>
  <c r="Q11" i="50"/>
  <c r="U11" i="50" s="1"/>
  <c r="AG11" i="50" s="1"/>
  <c r="E12" i="57" s="1"/>
  <c r="I67" i="58" s="1"/>
  <c r="J8" i="101" s="1"/>
  <c r="W12" i="50"/>
  <c r="AA12" i="50" s="1"/>
  <c r="AI12" i="50" s="1"/>
  <c r="G13" i="57" s="1"/>
  <c r="N28" i="50"/>
  <c r="R28" i="50" s="1"/>
  <c r="AD28" i="50" s="1"/>
  <c r="N27" i="50"/>
  <c r="R27" i="50" s="1"/>
  <c r="AD27" i="50" s="1"/>
  <c r="B28" i="57" s="1"/>
  <c r="V62" i="50"/>
  <c r="V25" i="50"/>
  <c r="Z25" i="50" s="1"/>
  <c r="AH25" i="50" s="1"/>
  <c r="F26" i="57" s="1"/>
  <c r="P102" i="50"/>
  <c r="T102" i="50" s="1"/>
  <c r="AF102" i="50" s="1"/>
  <c r="W109" i="50"/>
  <c r="AA109" i="50" s="1"/>
  <c r="AI109" i="50" s="1"/>
  <c r="N36" i="50"/>
  <c r="R36" i="50" s="1"/>
  <c r="AD36" i="50" s="1"/>
  <c r="B37" i="57" s="1"/>
  <c r="J37" i="57" s="1"/>
  <c r="W60" i="50"/>
  <c r="AA60" i="50" s="1"/>
  <c r="AI60" i="50" s="1"/>
  <c r="V104" i="50"/>
  <c r="N60" i="50"/>
  <c r="R60" i="50" s="1"/>
  <c r="AD60" i="50" s="1"/>
  <c r="O87" i="50"/>
  <c r="S87" i="50" s="1"/>
  <c r="AE87" i="50" s="1"/>
  <c r="V51" i="50"/>
  <c r="Z51" i="50" s="1"/>
  <c r="AH51" i="50" s="1"/>
  <c r="F52" i="57" s="1"/>
  <c r="N17" i="50"/>
  <c r="R17" i="50" s="1"/>
  <c r="AD17" i="50" s="1"/>
  <c r="O42" i="50"/>
  <c r="S42" i="50" s="1"/>
  <c r="AE42" i="50" s="1"/>
  <c r="Q48" i="50"/>
  <c r="O101" i="50"/>
  <c r="S101" i="50" s="1"/>
  <c r="AE101" i="50" s="1"/>
  <c r="N42" i="50"/>
  <c r="R42" i="50" s="1"/>
  <c r="AD42" i="50" s="1"/>
  <c r="O48" i="50"/>
  <c r="S48" i="50" s="1"/>
  <c r="AE48" i="50" s="1"/>
  <c r="C49" i="57" s="1"/>
  <c r="N48" i="50"/>
  <c r="R48" i="50" s="1"/>
  <c r="AD48" i="50" s="1"/>
  <c r="X44" i="50"/>
  <c r="AB44" i="50" s="1"/>
  <c r="AJ44" i="50" s="1"/>
  <c r="H45" i="57" s="1"/>
  <c r="X45" i="57" s="1"/>
  <c r="W104" i="50"/>
  <c r="AA104" i="50" s="1"/>
  <c r="AI104" i="50" s="1"/>
  <c r="Y88" i="50"/>
  <c r="AC88" i="50" s="1"/>
  <c r="AK88" i="50" s="1"/>
  <c r="P109" i="50"/>
  <c r="T109" i="50" s="1"/>
  <c r="AF109" i="50" s="1"/>
  <c r="Q112" i="50"/>
  <c r="U112" i="50" s="1"/>
  <c r="AG112" i="50" s="1"/>
  <c r="N13" i="50"/>
  <c r="R13" i="50" s="1"/>
  <c r="AD13" i="50" s="1"/>
  <c r="B14" i="57" s="1"/>
  <c r="F69" i="58" s="1"/>
  <c r="Y13" i="50"/>
  <c r="AC13" i="50" s="1"/>
  <c r="AK13" i="50" s="1"/>
  <c r="N62" i="50"/>
  <c r="R62" i="50" s="1"/>
  <c r="AD62" i="50" s="1"/>
  <c r="O46" i="50"/>
  <c r="S46" i="50" s="1"/>
  <c r="AE46" i="50" s="1"/>
  <c r="C47" i="57" s="1"/>
  <c r="W94" i="50"/>
  <c r="AA94" i="50" s="1"/>
  <c r="AI94" i="50" s="1"/>
  <c r="X95" i="50"/>
  <c r="AB95" i="50" s="1"/>
  <c r="AJ95" i="50" s="1"/>
  <c r="P99" i="50"/>
  <c r="T99" i="50" s="1"/>
  <c r="AF99" i="50" s="1"/>
  <c r="Q94" i="50"/>
  <c r="U94" i="50" s="1"/>
  <c r="AG94" i="50" s="1"/>
  <c r="Y102" i="50"/>
  <c r="AC102" i="50" s="1"/>
  <c r="AK102" i="50" s="1"/>
  <c r="Y77" i="50"/>
  <c r="AC77" i="50" s="1"/>
  <c r="AK77" i="50" s="1"/>
  <c r="X104" i="50"/>
  <c r="AB104" i="50" s="1"/>
  <c r="AJ104" i="50" s="1"/>
  <c r="N94" i="50"/>
  <c r="R94" i="50" s="1"/>
  <c r="AD94" i="50" s="1"/>
  <c r="O112" i="50"/>
  <c r="S112" i="50" s="1"/>
  <c r="AE112" i="50" s="1"/>
  <c r="W71" i="50"/>
  <c r="AA71" i="50" s="1"/>
  <c r="AI71" i="50" s="1"/>
  <c r="N44" i="50"/>
  <c r="R44" i="50" s="1"/>
  <c r="AD44" i="50" s="1"/>
  <c r="Y109" i="50"/>
  <c r="AC109" i="50" s="1"/>
  <c r="AK109" i="50" s="1"/>
  <c r="X94" i="50"/>
  <c r="AB94" i="50" s="1"/>
  <c r="AJ94" i="50" s="1"/>
  <c r="V110" i="50"/>
  <c r="Z110" i="50" s="1"/>
  <c r="AH110" i="50" s="1"/>
  <c r="P28" i="50"/>
  <c r="T28" i="50" s="1"/>
  <c r="AF28" i="50" s="1"/>
  <c r="N61" i="50"/>
  <c r="R61" i="50" s="1"/>
  <c r="AD61" i="50" s="1"/>
  <c r="W81" i="50"/>
  <c r="AA81" i="50" s="1"/>
  <c r="AI81" i="50" s="1"/>
  <c r="Y58" i="50"/>
  <c r="AC58" i="50" s="1"/>
  <c r="AK58" i="50" s="1"/>
  <c r="X58" i="50"/>
  <c r="AB58" i="50" s="1"/>
  <c r="AJ58" i="50" s="1"/>
  <c r="N58" i="50"/>
  <c r="R58" i="50" s="1"/>
  <c r="AD58" i="50" s="1"/>
  <c r="B59" i="57" s="1"/>
  <c r="W13" i="50"/>
  <c r="AA13" i="50" s="1"/>
  <c r="AI13" i="50" s="1"/>
  <c r="G14" i="57" s="1"/>
  <c r="V95" i="50"/>
  <c r="Z95" i="50" s="1"/>
  <c r="AH95" i="50" s="1"/>
  <c r="O34" i="50"/>
  <c r="S34" i="50" s="1"/>
  <c r="AE34" i="50" s="1"/>
  <c r="X13" i="50"/>
  <c r="AB13" i="50" s="1"/>
  <c r="AJ13" i="50" s="1"/>
  <c r="H14" i="57" s="1"/>
  <c r="X14" i="57" s="1"/>
  <c r="L69" i="58" s="1"/>
  <c r="X109" i="50"/>
  <c r="AB109" i="50" s="1"/>
  <c r="AJ109" i="50" s="1"/>
  <c r="W58" i="50"/>
  <c r="AA58" i="50" s="1"/>
  <c r="AI58" i="50" s="1"/>
  <c r="N39" i="50"/>
  <c r="R39" i="50" s="1"/>
  <c r="AD39" i="50" s="1"/>
  <c r="AL39" i="50" s="1"/>
  <c r="P110" i="50"/>
  <c r="T110" i="50" s="1"/>
  <c r="AF110" i="50" s="1"/>
  <c r="P49" i="50"/>
  <c r="T49" i="50" s="1"/>
  <c r="AF49" i="50" s="1"/>
  <c r="W36" i="50"/>
  <c r="AA36" i="50" s="1"/>
  <c r="AI36" i="50" s="1"/>
  <c r="N102" i="50"/>
  <c r="R102" i="50" s="1"/>
  <c r="AD102" i="50" s="1"/>
  <c r="Y95" i="50"/>
  <c r="AC95" i="50" s="1"/>
  <c r="AK95" i="50" s="1"/>
  <c r="O8" i="50"/>
  <c r="S8" i="50" s="1"/>
  <c r="AE8" i="50" s="1"/>
  <c r="X92" i="50"/>
  <c r="AB92" i="50" s="1"/>
  <c r="AJ92" i="50" s="1"/>
  <c r="V54" i="50"/>
  <c r="Z54" i="50" s="1"/>
  <c r="AH54" i="50" s="1"/>
  <c r="V99" i="50"/>
  <c r="Z99" i="50" s="1"/>
  <c r="AH99" i="50" s="1"/>
  <c r="F100" i="57" s="1"/>
  <c r="W118" i="50"/>
  <c r="AA118" i="50" s="1"/>
  <c r="AI118" i="50" s="1"/>
  <c r="N8" i="50"/>
  <c r="R8" i="50" s="1"/>
  <c r="AD8" i="50" s="1"/>
  <c r="B9" i="57" s="1"/>
  <c r="F66" i="58" s="1"/>
  <c r="I6" i="101" s="1"/>
  <c r="N46" i="50"/>
  <c r="R46" i="50" s="1"/>
  <c r="AD46" i="50" s="1"/>
  <c r="O94" i="50"/>
  <c r="S94" i="50" s="1"/>
  <c r="AE94" i="50" s="1"/>
  <c r="X8" i="50"/>
  <c r="AB8" i="50" s="1"/>
  <c r="AJ8" i="50" s="1"/>
  <c r="P95" i="50"/>
  <c r="T95" i="50" s="1"/>
  <c r="AF95" i="50" s="1"/>
  <c r="W42" i="50"/>
  <c r="AA42" i="50" s="1"/>
  <c r="AI42" i="50" s="1"/>
  <c r="Y38" i="50"/>
  <c r="AC38" i="50" s="1"/>
  <c r="AK38" i="50" s="1"/>
  <c r="I39" i="57" s="1"/>
  <c r="Y39" i="57" s="1"/>
  <c r="Q53" i="50"/>
  <c r="U53" i="50" s="1"/>
  <c r="AG53" i="50" s="1"/>
  <c r="N95" i="50"/>
  <c r="R95" i="50" s="1"/>
  <c r="AD95" i="50" s="1"/>
  <c r="X76" i="50"/>
  <c r="AB76" i="50" s="1"/>
  <c r="AJ76" i="50" s="1"/>
  <c r="Y46" i="50"/>
  <c r="AC46" i="50" s="1"/>
  <c r="AK46" i="50" s="1"/>
  <c r="I47" i="57" s="1"/>
  <c r="Y47" i="57" s="1"/>
  <c r="Q95" i="50"/>
  <c r="U95" i="50" s="1"/>
  <c r="AG95" i="50" s="1"/>
  <c r="P75" i="50"/>
  <c r="T75" i="50" s="1"/>
  <c r="AF75" i="50" s="1"/>
  <c r="W95" i="50"/>
  <c r="AA95" i="50" s="1"/>
  <c r="AI95" i="50" s="1"/>
  <c r="Y99" i="50"/>
  <c r="AC99" i="50" s="1"/>
  <c r="AK99" i="50" s="1"/>
  <c r="I100" i="57" s="1"/>
  <c r="Y100" i="57" s="1"/>
  <c r="W99" i="50"/>
  <c r="AA99" i="50" s="1"/>
  <c r="AI99" i="50" s="1"/>
  <c r="X77" i="50"/>
  <c r="AB77" i="50" s="1"/>
  <c r="AJ77" i="50" s="1"/>
  <c r="X24" i="50"/>
  <c r="AB24" i="50" s="1"/>
  <c r="AJ24" i="50" s="1"/>
  <c r="V21" i="50"/>
  <c r="Z21" i="50" s="1"/>
  <c r="AH21" i="50" s="1"/>
  <c r="W76" i="50"/>
  <c r="AA76" i="50" s="1"/>
  <c r="AI76" i="50" s="1"/>
  <c r="Q73" i="50"/>
  <c r="U73" i="50" s="1"/>
  <c r="AG73" i="50" s="1"/>
  <c r="Q107" i="50"/>
  <c r="U107" i="50" s="1"/>
  <c r="AG107" i="50" s="1"/>
  <c r="W30" i="50"/>
  <c r="AA30" i="50" s="1"/>
  <c r="AI30" i="50" s="1"/>
  <c r="W106" i="50"/>
  <c r="AA106" i="50" s="1"/>
  <c r="AI106" i="50" s="1"/>
  <c r="Q102" i="50"/>
  <c r="U102" i="50" s="1"/>
  <c r="AG102" i="50" s="1"/>
  <c r="Q10" i="50"/>
  <c r="U10" i="50" s="1"/>
  <c r="AG10" i="50" s="1"/>
  <c r="W21" i="50"/>
  <c r="AA21" i="50" s="1"/>
  <c r="AI21" i="50" s="1"/>
  <c r="W16" i="50"/>
  <c r="AA16" i="50" s="1"/>
  <c r="AI16" i="50" s="1"/>
  <c r="X11" i="50"/>
  <c r="AB11" i="50" s="1"/>
  <c r="AJ11" i="50" s="1"/>
  <c r="P42" i="50"/>
  <c r="T42" i="50" s="1"/>
  <c r="AF42" i="50" s="1"/>
  <c r="O53" i="50"/>
  <c r="S53" i="50" s="1"/>
  <c r="AE53" i="50" s="1"/>
  <c r="X81" i="50"/>
  <c r="AB81" i="50" s="1"/>
  <c r="AJ81" i="50" s="1"/>
  <c r="X12" i="50"/>
  <c r="AB12" i="50" s="1"/>
  <c r="AJ12" i="50" s="1"/>
  <c r="W28" i="50"/>
  <c r="AA28" i="50" s="1"/>
  <c r="AI28" i="50" s="1"/>
  <c r="W24" i="50"/>
  <c r="AA24" i="50" s="1"/>
  <c r="AI24" i="50" s="1"/>
  <c r="O68" i="50"/>
  <c r="S68" i="50" s="1"/>
  <c r="AE68" i="50" s="1"/>
  <c r="P84" i="50"/>
  <c r="T84" i="50" s="1"/>
  <c r="AF84" i="50" s="1"/>
  <c r="P113" i="50"/>
  <c r="T113" i="50" s="1"/>
  <c r="AF113" i="50" s="1"/>
  <c r="P10" i="50"/>
  <c r="T10" i="50" s="1"/>
  <c r="AF10" i="50" s="1"/>
  <c r="Y16" i="50"/>
  <c r="AC16" i="50" s="1"/>
  <c r="AK16" i="50" s="1"/>
  <c r="X30" i="50"/>
  <c r="AB30" i="50" s="1"/>
  <c r="AJ30" i="50" s="1"/>
  <c r="X17" i="50"/>
  <c r="AB17" i="50" s="1"/>
  <c r="AJ17" i="50" s="1"/>
  <c r="P106" i="50"/>
  <c r="T106" i="50" s="1"/>
  <c r="AF106" i="50" s="1"/>
  <c r="W116" i="50"/>
  <c r="AA116" i="50" s="1"/>
  <c r="AI116" i="50" s="1"/>
  <c r="W68" i="50"/>
  <c r="AA68" i="50" s="1"/>
  <c r="AI68" i="50" s="1"/>
  <c r="N16" i="50"/>
  <c r="R16" i="50" s="1"/>
  <c r="AD16" i="50" s="1"/>
  <c r="Y61" i="50"/>
  <c r="AC61" i="50" s="1"/>
  <c r="AK61" i="50" s="1"/>
  <c r="O106" i="50"/>
  <c r="S106" i="50" s="1"/>
  <c r="AE106" i="50" s="1"/>
  <c r="Y53" i="50"/>
  <c r="AC53" i="50" s="1"/>
  <c r="AK53" i="50" s="1"/>
  <c r="W48" i="50"/>
  <c r="AA48" i="50" s="1"/>
  <c r="AI48" i="50" s="1"/>
  <c r="Q17" i="50"/>
  <c r="U17" i="50" s="1"/>
  <c r="AG17" i="50" s="1"/>
  <c r="W10" i="50"/>
  <c r="AA10" i="50" s="1"/>
  <c r="AI10" i="50" s="1"/>
  <c r="P51" i="50"/>
  <c r="T51" i="50" s="1"/>
  <c r="AF51" i="50" s="1"/>
  <c r="P25" i="50"/>
  <c r="T25" i="50" s="1"/>
  <c r="AF25" i="50" s="1"/>
  <c r="V116" i="50"/>
  <c r="Z116" i="50" s="1"/>
  <c r="AH116" i="50" s="1"/>
  <c r="Q82" i="50"/>
  <c r="U82" i="50" s="1"/>
  <c r="AG82" i="50" s="1"/>
  <c r="Y84" i="50"/>
  <c r="AC84" i="50" s="1"/>
  <c r="AK84" i="50" s="1"/>
  <c r="X35" i="50"/>
  <c r="AB35" i="50" s="1"/>
  <c r="AJ35" i="50" s="1"/>
  <c r="W96" i="50"/>
  <c r="AA96" i="50" s="1"/>
  <c r="AI96" i="50" s="1"/>
  <c r="P118" i="50"/>
  <c r="T118" i="50" s="1"/>
  <c r="AF118" i="50" s="1"/>
  <c r="X62" i="50"/>
  <c r="AB62" i="50" s="1"/>
  <c r="AJ62" i="50" s="1"/>
  <c r="X27" i="50"/>
  <c r="AB27" i="50" s="1"/>
  <c r="AJ27" i="50" s="1"/>
  <c r="H28" i="57" s="1"/>
  <c r="X28" i="57" s="1"/>
  <c r="X113" i="50"/>
  <c r="AB113" i="50" s="1"/>
  <c r="AJ113" i="50" s="1"/>
  <c r="N116" i="50"/>
  <c r="R116" i="50" s="1"/>
  <c r="AD116" i="50" s="1"/>
  <c r="V68" i="50"/>
  <c r="Z68" i="50" s="1"/>
  <c r="AH68" i="50" s="1"/>
  <c r="Y25" i="50"/>
  <c r="AC25" i="50" s="1"/>
  <c r="AK25" i="50" s="1"/>
  <c r="P82" i="50"/>
  <c r="T82" i="50" s="1"/>
  <c r="AF82" i="50" s="1"/>
  <c r="V82" i="50"/>
  <c r="Z82" i="50" s="1"/>
  <c r="AH82" i="50" s="1"/>
  <c r="Y106" i="50"/>
  <c r="AC106" i="50" s="1"/>
  <c r="AK106" i="50" s="1"/>
  <c r="Q106" i="50"/>
  <c r="U106" i="50" s="1"/>
  <c r="AG106" i="50" s="1"/>
  <c r="Q38" i="50"/>
  <c r="U38" i="50" s="1"/>
  <c r="AG38" i="50" s="1"/>
  <c r="V84" i="50"/>
  <c r="Z84" i="50" s="1"/>
  <c r="AH84" i="50" s="1"/>
  <c r="V35" i="50"/>
  <c r="Z35" i="50" s="1"/>
  <c r="AH35" i="50" s="1"/>
  <c r="F36" i="57" s="1"/>
  <c r="W53" i="50"/>
  <c r="AA53" i="50" s="1"/>
  <c r="AI53" i="50" s="1"/>
  <c r="N53" i="50"/>
  <c r="R53" i="50" s="1"/>
  <c r="AD53" i="50" s="1"/>
  <c r="N80" i="50"/>
  <c r="R80" i="50" s="1"/>
  <c r="AD80" i="50" s="1"/>
  <c r="AL80" i="50" s="1"/>
  <c r="AP80" i="50" s="1"/>
  <c r="O27" i="50"/>
  <c r="S27" i="50" s="1"/>
  <c r="AE27" i="50" s="1"/>
  <c r="Y27" i="50"/>
  <c r="AC27" i="50" s="1"/>
  <c r="AK27" i="50" s="1"/>
  <c r="O62" i="50"/>
  <c r="S62" i="50" s="1"/>
  <c r="AE62" i="50" s="1"/>
  <c r="Q116" i="50"/>
  <c r="U116" i="50" s="1"/>
  <c r="AG116" i="50" s="1"/>
  <c r="V113" i="50"/>
  <c r="Z113" i="50" s="1"/>
  <c r="AH113" i="50" s="1"/>
  <c r="X116" i="50"/>
  <c r="AB116" i="50" s="1"/>
  <c r="AJ116" i="50" s="1"/>
  <c r="N68" i="50"/>
  <c r="R68" i="50" s="1"/>
  <c r="AD68" i="50" s="1"/>
  <c r="Q25" i="50"/>
  <c r="U25" i="50" s="1"/>
  <c r="AG25" i="50" s="1"/>
  <c r="W25" i="50"/>
  <c r="AA25" i="50" s="1"/>
  <c r="AI25" i="50" s="1"/>
  <c r="N82" i="50"/>
  <c r="R82" i="50" s="1"/>
  <c r="AD82" i="50" s="1"/>
  <c r="V106" i="50"/>
  <c r="Z106" i="50" s="1"/>
  <c r="AH106" i="50" s="1"/>
  <c r="X42" i="50"/>
  <c r="AB42" i="50" s="1"/>
  <c r="AJ42" i="50" s="1"/>
  <c r="O38" i="50"/>
  <c r="S38" i="50" s="1"/>
  <c r="AE38" i="50" s="1"/>
  <c r="Q84" i="50"/>
  <c r="U84" i="50" s="1"/>
  <c r="AG84" i="50" s="1"/>
  <c r="X99" i="50"/>
  <c r="AB99" i="50" s="1"/>
  <c r="AJ99" i="50" s="1"/>
  <c r="Y94" i="50"/>
  <c r="AC94" i="50" s="1"/>
  <c r="AK94" i="50" s="1"/>
  <c r="P35" i="50"/>
  <c r="T35" i="50" s="1"/>
  <c r="AF35" i="50" s="1"/>
  <c r="V53" i="50"/>
  <c r="Z53" i="50" s="1"/>
  <c r="AH53" i="50" s="1"/>
  <c r="W27" i="50"/>
  <c r="AA27" i="50" s="1"/>
  <c r="AI27" i="50" s="1"/>
  <c r="W82" i="50"/>
  <c r="AA82" i="50" s="1"/>
  <c r="AI82" i="50" s="1"/>
  <c r="Q87" i="50"/>
  <c r="U87" i="50" s="1"/>
  <c r="AG87" i="50" s="1"/>
  <c r="W35" i="50"/>
  <c r="AA35" i="50" s="1"/>
  <c r="AI35" i="50" s="1"/>
  <c r="Y71" i="50"/>
  <c r="AC71" i="50" s="1"/>
  <c r="AK71" i="50" s="1"/>
  <c r="Y107" i="50"/>
  <c r="AC107" i="50" s="1"/>
  <c r="AK107" i="50" s="1"/>
  <c r="X82" i="50"/>
  <c r="AB82" i="50" s="1"/>
  <c r="AJ82" i="50" s="1"/>
  <c r="O84" i="50"/>
  <c r="S84" i="50" s="1"/>
  <c r="AE84" i="50" s="1"/>
  <c r="Y92" i="50"/>
  <c r="AC92" i="50" s="1"/>
  <c r="AK92" i="50" s="1"/>
  <c r="O113" i="50"/>
  <c r="S113" i="50" s="1"/>
  <c r="AE113" i="50" s="1"/>
  <c r="Q35" i="50"/>
  <c r="U35" i="50" s="1"/>
  <c r="AG35" i="50" s="1"/>
  <c r="Q113" i="50"/>
  <c r="U113" i="50" s="1"/>
  <c r="AG113" i="50" s="1"/>
  <c r="O25" i="50"/>
  <c r="S25" i="50" s="1"/>
  <c r="AE25" i="50" s="1"/>
  <c r="C26" i="57" s="1"/>
  <c r="V38" i="50"/>
  <c r="Z38" i="50" s="1"/>
  <c r="AH38" i="50" s="1"/>
  <c r="N37" i="50"/>
  <c r="R37" i="50" s="1"/>
  <c r="AD37" i="50" s="1"/>
  <c r="Y96" i="50"/>
  <c r="AC96" i="50" s="1"/>
  <c r="AK96" i="50" s="1"/>
  <c r="N40" i="50"/>
  <c r="R40" i="50" s="1"/>
  <c r="AD40" i="50" s="1"/>
  <c r="V27" i="50"/>
  <c r="Z27" i="50" s="1"/>
  <c r="AH27" i="50" s="1"/>
  <c r="N76" i="50"/>
  <c r="R76" i="50" s="1"/>
  <c r="AD76" i="50" s="1"/>
  <c r="B77" i="57" s="1"/>
  <c r="F123" i="58" s="1"/>
  <c r="Q30" i="50"/>
  <c r="U30" i="50" s="1"/>
  <c r="AG30" i="50" s="1"/>
  <c r="Q51" i="50"/>
  <c r="U51" i="50" s="1"/>
  <c r="AG51" i="50" s="1"/>
  <c r="X107" i="50"/>
  <c r="AB107" i="50" s="1"/>
  <c r="AJ107" i="50" s="1"/>
  <c r="W40" i="50"/>
  <c r="AA40" i="50" s="1"/>
  <c r="AI40" i="50" s="1"/>
  <c r="Y79" i="50"/>
  <c r="AC79" i="50" s="1"/>
  <c r="AK79" i="50" s="1"/>
  <c r="Q24" i="50"/>
  <c r="U24" i="50" s="1"/>
  <c r="AG24" i="50" s="1"/>
  <c r="W77" i="50"/>
  <c r="AA77" i="50" s="1"/>
  <c r="AI77" i="50" s="1"/>
  <c r="Q92" i="50"/>
  <c r="U92" i="50" s="1"/>
  <c r="AG92" i="50" s="1"/>
  <c r="V92" i="50"/>
  <c r="Z92" i="50" s="1"/>
  <c r="AH92" i="50" s="1"/>
  <c r="V107" i="50"/>
  <c r="Z107" i="50" s="1"/>
  <c r="AH107" i="50" s="1"/>
  <c r="F108" i="57" s="1"/>
  <c r="V30" i="50"/>
  <c r="Z30" i="50" s="1"/>
  <c r="AH30" i="50" s="1"/>
  <c r="V77" i="50"/>
  <c r="Z77" i="50" s="1"/>
  <c r="AH77" i="50" s="1"/>
  <c r="AL77" i="50" s="1"/>
  <c r="AP77" i="50" s="1"/>
  <c r="W87" i="50"/>
  <c r="AA87" i="50" s="1"/>
  <c r="AI87" i="50" s="1"/>
  <c r="N87" i="50"/>
  <c r="R87" i="50" s="1"/>
  <c r="AD87" i="50" s="1"/>
  <c r="P29" i="50"/>
  <c r="T29" i="50" s="1"/>
  <c r="AF29" i="50" s="1"/>
  <c r="V17" i="50"/>
  <c r="Z17" i="50" s="1"/>
  <c r="AH17" i="50" s="1"/>
  <c r="Q71" i="50"/>
  <c r="U71" i="50" s="1"/>
  <c r="AG71" i="50" s="1"/>
  <c r="W84" i="50"/>
  <c r="AA84" i="50" s="1"/>
  <c r="AI84" i="50" s="1"/>
  <c r="P24" i="50"/>
  <c r="T24" i="50" s="1"/>
  <c r="AF24" i="50" s="1"/>
  <c r="V24" i="50"/>
  <c r="Z24" i="50" s="1"/>
  <c r="AH24" i="50" s="1"/>
  <c r="V73" i="50"/>
  <c r="Z73" i="50" s="1"/>
  <c r="AH73" i="50" s="1"/>
  <c r="X37" i="50"/>
  <c r="AB37" i="50" s="1"/>
  <c r="AJ37" i="50" s="1"/>
  <c r="H38" i="57" s="1"/>
  <c r="X38" i="57" s="1"/>
  <c r="N10" i="50"/>
  <c r="R10" i="50" s="1"/>
  <c r="AD10" i="50" s="1"/>
  <c r="Q96" i="50"/>
  <c r="U96" i="50" s="1"/>
  <c r="AG96" i="50" s="1"/>
  <c r="O96" i="50"/>
  <c r="S96" i="50" s="1"/>
  <c r="AE96" i="50" s="1"/>
  <c r="Q80" i="50"/>
  <c r="U80" i="50" s="1"/>
  <c r="AG80" i="50" s="1"/>
  <c r="X80" i="50"/>
  <c r="AB80" i="50" s="1"/>
  <c r="AJ80" i="50" s="1"/>
  <c r="Y40" i="50"/>
  <c r="AC40" i="50" s="1"/>
  <c r="AK40" i="50" s="1"/>
  <c r="X118" i="50"/>
  <c r="AB118" i="50" s="1"/>
  <c r="AJ118" i="50" s="1"/>
  <c r="P76" i="50"/>
  <c r="T76" i="50" s="1"/>
  <c r="AF76" i="50" s="1"/>
  <c r="V76" i="50"/>
  <c r="Z76" i="50" s="1"/>
  <c r="AH76" i="50" s="1"/>
  <c r="F77" i="57" s="1"/>
  <c r="Q14" i="50"/>
  <c r="U14" i="50" s="1"/>
  <c r="AG14" i="50" s="1"/>
  <c r="Y118" i="50"/>
  <c r="AC118" i="50" s="1"/>
  <c r="AK118" i="50" s="1"/>
  <c r="O79" i="50"/>
  <c r="S79" i="50" s="1"/>
  <c r="AE79" i="50" s="1"/>
  <c r="V14" i="50"/>
  <c r="Z14" i="50" s="1"/>
  <c r="AH14" i="50" s="1"/>
  <c r="P92" i="50"/>
  <c r="T92" i="50" s="1"/>
  <c r="AF92" i="50" s="1"/>
  <c r="N107" i="50"/>
  <c r="R107" i="50" s="1"/>
  <c r="AD107" i="50" s="1"/>
  <c r="O30" i="50"/>
  <c r="S30" i="50" s="1"/>
  <c r="AE30" i="50" s="1"/>
  <c r="Q77" i="50"/>
  <c r="U77" i="50" s="1"/>
  <c r="AG77" i="50" s="1"/>
  <c r="P87" i="50"/>
  <c r="T87" i="50" s="1"/>
  <c r="AF87" i="50" s="1"/>
  <c r="V87" i="50"/>
  <c r="Z87" i="50" s="1"/>
  <c r="AH87" i="50" s="1"/>
  <c r="N71" i="50"/>
  <c r="R71" i="50" s="1"/>
  <c r="AD71" i="50" s="1"/>
  <c r="N51" i="50"/>
  <c r="R51" i="50" s="1"/>
  <c r="AD51" i="50" s="1"/>
  <c r="O24" i="50"/>
  <c r="S24" i="50" s="1"/>
  <c r="AE24" i="50" s="1"/>
  <c r="O35" i="50"/>
  <c r="S35" i="50" s="1"/>
  <c r="AE35" i="50" s="1"/>
  <c r="C36" i="57" s="1"/>
  <c r="Y73" i="50"/>
  <c r="AC73" i="50" s="1"/>
  <c r="AK73" i="50" s="1"/>
  <c r="P37" i="50"/>
  <c r="T37" i="50" s="1"/>
  <c r="AF37" i="50" s="1"/>
  <c r="W37" i="50"/>
  <c r="AA37" i="50" s="1"/>
  <c r="AI37" i="50" s="1"/>
  <c r="N79" i="50"/>
  <c r="R79" i="50" s="1"/>
  <c r="AD79" i="50" s="1"/>
  <c r="Y10" i="50"/>
  <c r="AC10" i="50" s="1"/>
  <c r="AK10" i="50" s="1"/>
  <c r="I11" i="57" s="1"/>
  <c r="Y11" i="57" s="1"/>
  <c r="M12" i="58" s="1"/>
  <c r="X96" i="50"/>
  <c r="AB96" i="50" s="1"/>
  <c r="AJ96" i="50" s="1"/>
  <c r="V96" i="50"/>
  <c r="Z96" i="50" s="1"/>
  <c r="AH96" i="50" s="1"/>
  <c r="P80" i="50"/>
  <c r="T80" i="50" s="1"/>
  <c r="AF80" i="50" s="1"/>
  <c r="W80" i="50"/>
  <c r="AA80" i="50" s="1"/>
  <c r="AI80" i="50" s="1"/>
  <c r="X110" i="50"/>
  <c r="AB110" i="50" s="1"/>
  <c r="AJ110" i="50" s="1"/>
  <c r="Q40" i="50"/>
  <c r="U40" i="50" s="1"/>
  <c r="AG40" i="50" s="1"/>
  <c r="X40" i="50"/>
  <c r="AB40" i="50" s="1"/>
  <c r="AJ40" i="50" s="1"/>
  <c r="Y48" i="50"/>
  <c r="AC48" i="50" s="1"/>
  <c r="AK48" i="50" s="1"/>
  <c r="V118" i="50"/>
  <c r="Z118" i="50" s="1"/>
  <c r="AH118" i="50" s="1"/>
  <c r="O76" i="50"/>
  <c r="S76" i="50" s="1"/>
  <c r="AE76" i="50" s="1"/>
  <c r="X16" i="50"/>
  <c r="AB16" i="50" s="1"/>
  <c r="AJ16" i="50" s="1"/>
  <c r="W73" i="50"/>
  <c r="AA73" i="50" s="1"/>
  <c r="AI73" i="50" s="1"/>
  <c r="O107" i="50"/>
  <c r="S107" i="50" s="1"/>
  <c r="AE107" i="50" s="1"/>
  <c r="X79" i="50"/>
  <c r="AB79" i="50" s="1"/>
  <c r="AJ79" i="50" s="1"/>
  <c r="O92" i="50"/>
  <c r="S92" i="50" s="1"/>
  <c r="AE92" i="50" s="1"/>
  <c r="O17" i="50"/>
  <c r="S17" i="50" s="1"/>
  <c r="AE17" i="50" s="1"/>
  <c r="C18" i="57" s="1"/>
  <c r="Y87" i="50"/>
  <c r="AC87" i="50" s="1"/>
  <c r="AK87" i="50" s="1"/>
  <c r="O37" i="50"/>
  <c r="S37" i="50" s="1"/>
  <c r="AE37" i="50" s="1"/>
  <c r="P96" i="50"/>
  <c r="T96" i="50" s="1"/>
  <c r="AF96" i="50" s="1"/>
  <c r="O80" i="50"/>
  <c r="S80" i="50" s="1"/>
  <c r="AE80" i="50" s="1"/>
  <c r="P40" i="50"/>
  <c r="T40" i="50" s="1"/>
  <c r="AF40" i="50" s="1"/>
  <c r="Y76" i="50"/>
  <c r="AC76" i="50" s="1"/>
  <c r="AK76" i="50" s="1"/>
  <c r="P14" i="50"/>
  <c r="T14" i="50" s="1"/>
  <c r="AF14" i="50" s="1"/>
  <c r="X34" i="50"/>
  <c r="AB34" i="50" s="1"/>
  <c r="AJ34" i="50" s="1"/>
  <c r="H35" i="57" s="1"/>
  <c r="X35" i="57" s="1"/>
  <c r="L77" i="58" s="1"/>
  <c r="Y37" i="50"/>
  <c r="AC37" i="50" s="1"/>
  <c r="AK37" i="50" s="1"/>
  <c r="I38" i="57" s="1"/>
  <c r="Y38" i="57" s="1"/>
  <c r="X73" i="50"/>
  <c r="AB73" i="50" s="1"/>
  <c r="AJ73" i="50" s="1"/>
  <c r="P53" i="50"/>
  <c r="T53" i="50" s="1"/>
  <c r="AF53" i="50" s="1"/>
  <c r="Y116" i="50"/>
  <c r="AC116" i="50" s="1"/>
  <c r="AK116" i="50" s="1"/>
  <c r="Q54" i="50"/>
  <c r="U54" i="50" s="1"/>
  <c r="AG54" i="50" s="1"/>
  <c r="V49" i="50"/>
  <c r="Z49" i="50" s="1"/>
  <c r="AH49" i="50" s="1"/>
  <c r="F50" i="57" s="1"/>
  <c r="W29" i="50"/>
  <c r="AA29" i="50" s="1"/>
  <c r="AI29" i="50" s="1"/>
  <c r="G30" i="57" s="1"/>
  <c r="P104" i="50"/>
  <c r="T104" i="50" s="1"/>
  <c r="AF104" i="50" s="1"/>
  <c r="N104" i="50"/>
  <c r="R104" i="50" s="1"/>
  <c r="AD104" i="50" s="1"/>
  <c r="N34" i="50"/>
  <c r="R34" i="50" s="1"/>
  <c r="AD34" i="50" s="1"/>
  <c r="W34" i="50"/>
  <c r="AA34" i="50" s="1"/>
  <c r="AI34" i="50" s="1"/>
  <c r="G35" i="57" s="1"/>
  <c r="V8" i="50"/>
  <c r="Z8" i="50" s="1"/>
  <c r="AH8" i="50" s="1"/>
  <c r="F9" i="57" s="1"/>
  <c r="P94" i="50"/>
  <c r="T94" i="50" s="1"/>
  <c r="AF94" i="50" s="1"/>
  <c r="D95" i="57" s="1"/>
  <c r="P73" i="50"/>
  <c r="T73" i="50" s="1"/>
  <c r="AF73" i="50" s="1"/>
  <c r="O12" i="50"/>
  <c r="S12" i="50" s="1"/>
  <c r="AE12" i="50" s="1"/>
  <c r="C13" i="57" s="1"/>
  <c r="G68" i="58" s="1"/>
  <c r="H9" i="101" s="1"/>
  <c r="Q37" i="50"/>
  <c r="U37" i="50" s="1"/>
  <c r="AG37" i="50" s="1"/>
  <c r="Q27" i="50"/>
  <c r="U27" i="50" s="1"/>
  <c r="AG27" i="50" s="1"/>
  <c r="E28" i="57" s="1"/>
  <c r="W46" i="50"/>
  <c r="AA46" i="50" s="1"/>
  <c r="AI46" i="50" s="1"/>
  <c r="Q60" i="50"/>
  <c r="U60" i="50" s="1"/>
  <c r="AG60" i="50" s="1"/>
  <c r="P60" i="50"/>
  <c r="T60" i="50" s="1"/>
  <c r="AF60" i="50" s="1"/>
  <c r="W44" i="50"/>
  <c r="AA44" i="50" s="1"/>
  <c r="AI44" i="50" s="1"/>
  <c r="Q12" i="50"/>
  <c r="U12" i="50" s="1"/>
  <c r="AG12" i="50" s="1"/>
  <c r="Y44" i="50"/>
  <c r="AC44" i="50" s="1"/>
  <c r="AK44" i="50" s="1"/>
  <c r="X14" i="50"/>
  <c r="AB14" i="50" s="1"/>
  <c r="AJ14" i="50" s="1"/>
  <c r="H15" i="57" s="1"/>
  <c r="X15" i="57" s="1"/>
  <c r="L14" i="58" s="1"/>
  <c r="N54" i="50"/>
  <c r="R54" i="50" s="1"/>
  <c r="AD54" i="50" s="1"/>
  <c r="B55" i="57" s="1"/>
  <c r="F41" i="58" s="1"/>
  <c r="I38" i="101" s="1"/>
  <c r="W62" i="50"/>
  <c r="AA62" i="50" s="1"/>
  <c r="AI62" i="50" s="1"/>
  <c r="O13" i="50"/>
  <c r="S13" i="50" s="1"/>
  <c r="AE13" i="50" s="1"/>
  <c r="C14" i="57" s="1"/>
  <c r="Y104" i="50"/>
  <c r="AC104" i="50" s="1"/>
  <c r="AK104" i="50" s="1"/>
  <c r="Q104" i="50"/>
  <c r="U104" i="50" s="1"/>
  <c r="AG104" i="50" s="1"/>
  <c r="P34" i="50"/>
  <c r="T34" i="50" s="1"/>
  <c r="AF34" i="50" s="1"/>
  <c r="V34" i="50"/>
  <c r="Z34" i="50" s="1"/>
  <c r="AH34" i="50" s="1"/>
  <c r="F35" i="57" s="1"/>
  <c r="Q8" i="50"/>
  <c r="U8" i="50" s="1"/>
  <c r="AG8" i="50" s="1"/>
  <c r="N12" i="50"/>
  <c r="R12" i="50" s="1"/>
  <c r="AD12" i="50" s="1"/>
  <c r="AL12" i="50" s="1"/>
  <c r="X53" i="50"/>
  <c r="AB53" i="50" s="1"/>
  <c r="AJ53" i="50" s="1"/>
  <c r="V46" i="50"/>
  <c r="Z46" i="50" s="1"/>
  <c r="AH46" i="50" s="1"/>
  <c r="V60" i="50"/>
  <c r="Z60" i="50" s="1"/>
  <c r="AH60" i="50" s="1"/>
  <c r="Q49" i="50"/>
  <c r="U49" i="50" s="1"/>
  <c r="AG49" i="50" s="1"/>
  <c r="O49" i="50"/>
  <c r="S49" i="50" s="1"/>
  <c r="AE49" i="50" s="1"/>
  <c r="O54" i="50"/>
  <c r="S54" i="50" s="1"/>
  <c r="AE54" i="50" s="1"/>
  <c r="O104" i="50"/>
  <c r="S104" i="50" s="1"/>
  <c r="AE104" i="50" s="1"/>
  <c r="P8" i="50"/>
  <c r="T8" i="50" s="1"/>
  <c r="AF8" i="50" s="1"/>
  <c r="D9" i="57" s="1"/>
  <c r="H66" i="58" s="1"/>
  <c r="K6" i="101" s="1"/>
  <c r="P12" i="50"/>
  <c r="T12" i="50" s="1"/>
  <c r="AF12" i="50" s="1"/>
  <c r="D13" i="57" s="1"/>
  <c r="H68" i="58" s="1"/>
  <c r="K9" i="101" s="1"/>
  <c r="O116" i="50"/>
  <c r="S116" i="50" s="1"/>
  <c r="AE116" i="50" s="1"/>
  <c r="P30" i="50"/>
  <c r="T30" i="50" s="1"/>
  <c r="AF30" i="50" s="1"/>
  <c r="P58" i="50"/>
  <c r="T58" i="50" s="1"/>
  <c r="AF58" i="50" s="1"/>
  <c r="X51" i="50"/>
  <c r="AB51" i="50" s="1"/>
  <c r="AJ51" i="50" s="1"/>
  <c r="Q46" i="50"/>
  <c r="U46" i="50" s="1"/>
  <c r="AG46" i="50" s="1"/>
  <c r="O118" i="50"/>
  <c r="S118" i="50" s="1"/>
  <c r="AE118" i="50" s="1"/>
  <c r="X112" i="50"/>
  <c r="AB112" i="50" s="1"/>
  <c r="AJ112" i="50" s="1"/>
  <c r="W101" i="50"/>
  <c r="AA101" i="50" s="1"/>
  <c r="AI101" i="50" s="1"/>
  <c r="O60" i="50"/>
  <c r="S60" i="50" s="1"/>
  <c r="AE60" i="50" s="1"/>
  <c r="W92" i="50"/>
  <c r="AA92" i="50" s="1"/>
  <c r="AI92" i="50" s="1"/>
  <c r="Q16" i="50"/>
  <c r="U16" i="50" s="1"/>
  <c r="AG16" i="50" s="1"/>
  <c r="O11" i="50"/>
  <c r="S11" i="50" s="1"/>
  <c r="AE11" i="50" s="1"/>
  <c r="X10" i="50"/>
  <c r="AB10" i="50" s="1"/>
  <c r="AJ10" i="50" s="1"/>
  <c r="H11" i="57" s="1"/>
  <c r="Q118" i="50"/>
  <c r="U118" i="50" s="1"/>
  <c r="AG118" i="50" s="1"/>
  <c r="X101" i="50"/>
  <c r="AB101" i="50" s="1"/>
  <c r="AJ101" i="50" s="1"/>
  <c r="W107" i="50"/>
  <c r="AA107" i="50" s="1"/>
  <c r="AI107" i="50" s="1"/>
  <c r="Y51" i="50"/>
  <c r="AC51" i="50" s="1"/>
  <c r="AK51" i="50" s="1"/>
  <c r="O73" i="50"/>
  <c r="S73" i="50" s="1"/>
  <c r="AE73" i="50" s="1"/>
  <c r="O82" i="50"/>
  <c r="S82" i="50" s="1"/>
  <c r="AE82" i="50" s="1"/>
  <c r="Q101" i="50"/>
  <c r="U101" i="50" s="1"/>
  <c r="AG101" i="50" s="1"/>
  <c r="P16" i="50"/>
  <c r="T16" i="50" s="1"/>
  <c r="AF16" i="50" s="1"/>
  <c r="Y24" i="50"/>
  <c r="AC24" i="50" s="1"/>
  <c r="AK24" i="50" s="1"/>
  <c r="O109" i="50"/>
  <c r="S109" i="50" s="1"/>
  <c r="AE109" i="50" s="1"/>
  <c r="O102" i="50"/>
  <c r="S102" i="50" s="1"/>
  <c r="AE102" i="50" s="1"/>
  <c r="O39" i="50"/>
  <c r="S39" i="50" s="1"/>
  <c r="AE39" i="50" s="1"/>
  <c r="W113" i="50"/>
  <c r="AA113" i="50" s="1"/>
  <c r="AI113" i="50" s="1"/>
  <c r="O16" i="50"/>
  <c r="S16" i="50" s="1"/>
  <c r="AE16" i="50" s="1"/>
  <c r="Y49" i="50"/>
  <c r="AC49" i="50" s="1"/>
  <c r="AK49" i="50" s="1"/>
  <c r="W8" i="50"/>
  <c r="AA8" i="50" s="1"/>
  <c r="Q79" i="50"/>
  <c r="U79" i="50" s="1"/>
  <c r="AG79" i="50" s="1"/>
  <c r="E80" i="57" s="1"/>
  <c r="P79" i="50"/>
  <c r="T79" i="50" s="1"/>
  <c r="AF79" i="50" s="1"/>
  <c r="X49" i="50"/>
  <c r="AB49" i="50" s="1"/>
  <c r="AJ49" i="50" s="1"/>
  <c r="O36" i="50"/>
  <c r="S36" i="50" s="1"/>
  <c r="AE36" i="50" s="1"/>
  <c r="C37" i="57" s="1"/>
  <c r="Y21" i="50"/>
  <c r="AC21" i="50" s="1"/>
  <c r="AK21" i="50" s="1"/>
  <c r="W17" i="50"/>
  <c r="AA17" i="50" s="1"/>
  <c r="AI17" i="50" s="1"/>
  <c r="W49" i="50"/>
  <c r="AA49" i="50" s="1"/>
  <c r="AI49" i="50" s="1"/>
  <c r="G50" i="57" s="1"/>
  <c r="Y11" i="50"/>
  <c r="AC11" i="50" s="1"/>
  <c r="AK11" i="50" s="1"/>
  <c r="Y12" i="50"/>
  <c r="AC12" i="50" s="1"/>
  <c r="AK12" i="50" s="1"/>
  <c r="X21" i="50"/>
  <c r="AB21" i="50" s="1"/>
  <c r="AJ21" i="50" s="1"/>
  <c r="Q76" i="50"/>
  <c r="U76" i="50" s="1"/>
  <c r="AG76" i="50" s="1"/>
  <c r="Q44" i="50"/>
  <c r="U44" i="50" s="1"/>
  <c r="AG44" i="50" s="1"/>
  <c r="N101" i="50"/>
  <c r="R101" i="50" s="1"/>
  <c r="AD101" i="50" s="1"/>
  <c r="B102" i="57" s="1"/>
  <c r="Q21" i="50"/>
  <c r="U21" i="50" s="1"/>
  <c r="AG21" i="50" s="1"/>
  <c r="Y14" i="50"/>
  <c r="AC14" i="50" s="1"/>
  <c r="AK14" i="50" s="1"/>
  <c r="I15" i="57" s="1"/>
  <c r="Y15" i="57" s="1"/>
  <c r="M14" i="58" s="1"/>
  <c r="P44" i="50"/>
  <c r="T44" i="50" s="1"/>
  <c r="AF44" i="50" s="1"/>
  <c r="Q62" i="50"/>
  <c r="U62" i="50" s="1"/>
  <c r="AG62" i="50" s="1"/>
  <c r="Y30" i="50"/>
  <c r="AC30" i="50" s="1"/>
  <c r="AK30" i="50" s="1"/>
  <c r="P112" i="50"/>
  <c r="T112" i="50" s="1"/>
  <c r="AF112" i="50" s="1"/>
  <c r="N26" i="50"/>
  <c r="R26" i="50" s="1"/>
  <c r="AD26" i="50" s="1"/>
  <c r="O26" i="50"/>
  <c r="S26" i="50" s="1"/>
  <c r="AE26" i="50" s="1"/>
  <c r="P26" i="50"/>
  <c r="T26" i="50" s="1"/>
  <c r="AF26" i="50" s="1"/>
  <c r="Q26" i="50"/>
  <c r="U26" i="50" s="1"/>
  <c r="AG26" i="50" s="1"/>
  <c r="E27" i="57" s="1"/>
  <c r="W26" i="50"/>
  <c r="AA26" i="50" s="1"/>
  <c r="AI26" i="50" s="1"/>
  <c r="X26" i="50"/>
  <c r="AB26" i="50" s="1"/>
  <c r="AJ26" i="50" s="1"/>
  <c r="Y26" i="50"/>
  <c r="AC26" i="50" s="1"/>
  <c r="AK26" i="50" s="1"/>
  <c r="V26" i="50"/>
  <c r="Z26" i="50" s="1"/>
  <c r="AH26" i="50" s="1"/>
  <c r="O14" i="50"/>
  <c r="S14" i="50" s="1"/>
  <c r="AE14" i="50" s="1"/>
  <c r="C15" i="57" s="1"/>
  <c r="G14" i="58" s="1"/>
  <c r="H11" i="101" s="1"/>
  <c r="Y101" i="50"/>
  <c r="AC101" i="50" s="1"/>
  <c r="AK101" i="50" s="1"/>
  <c r="V33" i="50"/>
  <c r="Z33" i="50" s="1"/>
  <c r="AH33" i="50" s="1"/>
  <c r="W33" i="50"/>
  <c r="AA33" i="50" s="1"/>
  <c r="AI33" i="50" s="1"/>
  <c r="G34" i="57" s="1"/>
  <c r="N33" i="50"/>
  <c r="R33" i="50" s="1"/>
  <c r="AD33" i="50" s="1"/>
  <c r="B34" i="57" s="1"/>
  <c r="O33" i="50"/>
  <c r="S33" i="50" s="1"/>
  <c r="AE33" i="50" s="1"/>
  <c r="P33" i="50"/>
  <c r="T33" i="50" s="1"/>
  <c r="AF33" i="50" s="1"/>
  <c r="D34" i="57" s="1"/>
  <c r="Q33" i="50"/>
  <c r="U33" i="50" s="1"/>
  <c r="AG33" i="50" s="1"/>
  <c r="X33" i="50"/>
  <c r="AB33" i="50" s="1"/>
  <c r="AJ33" i="50" s="1"/>
  <c r="H34" i="57" s="1"/>
  <c r="X34" i="57" s="1"/>
  <c r="Y33" i="50"/>
  <c r="AC33" i="50" s="1"/>
  <c r="AK33" i="50" s="1"/>
  <c r="V9" i="50"/>
  <c r="Z9" i="50" s="1"/>
  <c r="AH9" i="50" s="1"/>
  <c r="F10" i="57" s="1"/>
  <c r="W9" i="50"/>
  <c r="AA9" i="50" s="1"/>
  <c r="AI9" i="50" s="1"/>
  <c r="G10" i="57" s="1"/>
  <c r="N9" i="50"/>
  <c r="R9" i="50" s="1"/>
  <c r="AD9" i="50" s="1"/>
  <c r="O9" i="50"/>
  <c r="S9" i="50" s="1"/>
  <c r="AE9" i="50" s="1"/>
  <c r="P9" i="50"/>
  <c r="T9" i="50" s="1"/>
  <c r="AF9" i="50" s="1"/>
  <c r="D10" i="57" s="1"/>
  <c r="H10" i="58" s="1"/>
  <c r="K7" i="101" s="1"/>
  <c r="Q9" i="50"/>
  <c r="U9" i="50" s="1"/>
  <c r="AG9" i="50" s="1"/>
  <c r="E10" i="57" s="1"/>
  <c r="I10" i="58" s="1"/>
  <c r="X9" i="50"/>
  <c r="AB9" i="50" s="1"/>
  <c r="AJ9" i="50" s="1"/>
  <c r="H10" i="57" s="1"/>
  <c r="X10" i="57" s="1"/>
  <c r="L10" i="58" s="1"/>
  <c r="Y9" i="50"/>
  <c r="AC9" i="50" s="1"/>
  <c r="AK9" i="50" s="1"/>
  <c r="I10" i="57" s="1"/>
  <c r="Y10" i="57" s="1"/>
  <c r="M10" i="58" s="1"/>
  <c r="W88" i="50"/>
  <c r="AA88" i="50" s="1"/>
  <c r="AI88" i="50" s="1"/>
  <c r="G89" i="57" s="1"/>
  <c r="P48" i="50"/>
  <c r="T48" i="50" s="1"/>
  <c r="AF48" i="50" s="1"/>
  <c r="X48" i="50"/>
  <c r="AB48" i="50" s="1"/>
  <c r="AJ48" i="50" s="1"/>
  <c r="Q42" i="50"/>
  <c r="U42" i="50" s="1"/>
  <c r="AG42" i="50" s="1"/>
  <c r="Y42" i="50"/>
  <c r="AC42" i="50" s="1"/>
  <c r="AK42" i="50" s="1"/>
  <c r="P39" i="50"/>
  <c r="T39" i="50" s="1"/>
  <c r="AF39" i="50" s="1"/>
  <c r="D40" i="57" s="1"/>
  <c r="X39" i="50"/>
  <c r="AB39" i="50" s="1"/>
  <c r="AJ39" i="50" s="1"/>
  <c r="P46" i="50"/>
  <c r="T46" i="50" s="1"/>
  <c r="AF46" i="50" s="1"/>
  <c r="X68" i="50"/>
  <c r="AB68" i="50" s="1"/>
  <c r="AJ68" i="50" s="1"/>
  <c r="V123" i="50"/>
  <c r="Z123" i="50" s="1"/>
  <c r="AH123" i="50" s="1"/>
  <c r="W123" i="50"/>
  <c r="AA123" i="50" s="1"/>
  <c r="AI123" i="50" s="1"/>
  <c r="X123" i="50"/>
  <c r="AB123" i="50" s="1"/>
  <c r="AJ123" i="50" s="1"/>
  <c r="Y123" i="50"/>
  <c r="AC123" i="50" s="1"/>
  <c r="AK123" i="50" s="1"/>
  <c r="N123" i="50"/>
  <c r="R123" i="50" s="1"/>
  <c r="AD123" i="50" s="1"/>
  <c r="O123" i="50"/>
  <c r="S123" i="50" s="1"/>
  <c r="AE123" i="50" s="1"/>
  <c r="P123" i="50"/>
  <c r="T123" i="50" s="1"/>
  <c r="AF123" i="50" s="1"/>
  <c r="Q123" i="50"/>
  <c r="U123" i="50" s="1"/>
  <c r="AG123" i="50" s="1"/>
  <c r="N20" i="50"/>
  <c r="R20" i="50" s="1"/>
  <c r="AD20" i="50" s="1"/>
  <c r="O20" i="50"/>
  <c r="S20" i="50" s="1"/>
  <c r="AE20" i="50" s="1"/>
  <c r="P20" i="50"/>
  <c r="T20" i="50" s="1"/>
  <c r="AF20" i="50" s="1"/>
  <c r="Q20" i="50"/>
  <c r="U20" i="50" s="1"/>
  <c r="AG20" i="50" s="1"/>
  <c r="V20" i="50"/>
  <c r="Z20" i="50" s="1"/>
  <c r="AH20" i="50" s="1"/>
  <c r="W20" i="50"/>
  <c r="AA20" i="50" s="1"/>
  <c r="AI20" i="50" s="1"/>
  <c r="X20" i="50"/>
  <c r="AB20" i="50" s="1"/>
  <c r="AJ20" i="50" s="1"/>
  <c r="Y20" i="50"/>
  <c r="AC20" i="50" s="1"/>
  <c r="AK20" i="50" s="1"/>
  <c r="R112" i="50"/>
  <c r="AD112" i="50" s="1"/>
  <c r="V111" i="50"/>
  <c r="Z111" i="50" s="1"/>
  <c r="AH111" i="50" s="1"/>
  <c r="F112" i="57" s="1"/>
  <c r="W111" i="50"/>
  <c r="AA111" i="50" s="1"/>
  <c r="AI111" i="50" s="1"/>
  <c r="G112" i="57" s="1"/>
  <c r="X111" i="50"/>
  <c r="AB111" i="50" s="1"/>
  <c r="AJ111" i="50" s="1"/>
  <c r="Y111" i="50"/>
  <c r="AC111" i="50" s="1"/>
  <c r="AK111" i="50" s="1"/>
  <c r="N111" i="50"/>
  <c r="R111" i="50" s="1"/>
  <c r="AD111" i="50" s="1"/>
  <c r="P111" i="50"/>
  <c r="T111" i="50" s="1"/>
  <c r="AF111" i="50" s="1"/>
  <c r="O111" i="50"/>
  <c r="S111" i="50" s="1"/>
  <c r="AE111" i="50" s="1"/>
  <c r="Q111" i="50"/>
  <c r="U111" i="50" s="1"/>
  <c r="AG111" i="50" s="1"/>
  <c r="V114" i="50"/>
  <c r="Z114" i="50" s="1"/>
  <c r="AH114" i="50" s="1"/>
  <c r="W114" i="50"/>
  <c r="AA114" i="50" s="1"/>
  <c r="AI114" i="50" s="1"/>
  <c r="X114" i="50"/>
  <c r="AB114" i="50" s="1"/>
  <c r="AJ114" i="50" s="1"/>
  <c r="Y114" i="50"/>
  <c r="AC114" i="50" s="1"/>
  <c r="AK114" i="50" s="1"/>
  <c r="N114" i="50"/>
  <c r="R114" i="50" s="1"/>
  <c r="AD114" i="50" s="1"/>
  <c r="O114" i="50"/>
  <c r="S114" i="50" s="1"/>
  <c r="AE114" i="50" s="1"/>
  <c r="Q114" i="50"/>
  <c r="U114" i="50" s="1"/>
  <c r="AG114" i="50" s="1"/>
  <c r="P114" i="50"/>
  <c r="T114" i="50" s="1"/>
  <c r="AF114" i="50" s="1"/>
  <c r="V129" i="50"/>
  <c r="Z129" i="50" s="1"/>
  <c r="AH129" i="50" s="1"/>
  <c r="W129" i="50"/>
  <c r="AA129" i="50" s="1"/>
  <c r="AI129" i="50" s="1"/>
  <c r="X129" i="50"/>
  <c r="AB129" i="50" s="1"/>
  <c r="AJ129" i="50" s="1"/>
  <c r="Y129" i="50"/>
  <c r="AC129" i="50" s="1"/>
  <c r="AK129" i="50" s="1"/>
  <c r="P129" i="50"/>
  <c r="T129" i="50" s="1"/>
  <c r="AF129" i="50" s="1"/>
  <c r="Q129" i="50"/>
  <c r="U129" i="50" s="1"/>
  <c r="AG129" i="50" s="1"/>
  <c r="N129" i="50"/>
  <c r="R129" i="50" s="1"/>
  <c r="AD129" i="50" s="1"/>
  <c r="O129" i="50"/>
  <c r="S129" i="50" s="1"/>
  <c r="AE129" i="50" s="1"/>
  <c r="V139" i="50"/>
  <c r="Z139" i="50" s="1"/>
  <c r="AH139" i="50" s="1"/>
  <c r="F140" i="57" s="1"/>
  <c r="N139" i="50"/>
  <c r="R139" i="50" s="1"/>
  <c r="AD139" i="50" s="1"/>
  <c r="W139" i="50"/>
  <c r="AA139" i="50" s="1"/>
  <c r="AI139" i="50" s="1"/>
  <c r="G140" i="57" s="1"/>
  <c r="O139" i="50"/>
  <c r="S139" i="50" s="1"/>
  <c r="AE139" i="50" s="1"/>
  <c r="X139" i="50"/>
  <c r="AB139" i="50" s="1"/>
  <c r="AJ139" i="50" s="1"/>
  <c r="P139" i="50"/>
  <c r="T139" i="50" s="1"/>
  <c r="AF139" i="50" s="1"/>
  <c r="Q139" i="50"/>
  <c r="U139" i="50" s="1"/>
  <c r="AG139" i="50" s="1"/>
  <c r="Y139" i="50"/>
  <c r="AC139" i="50" s="1"/>
  <c r="AK139" i="50" s="1"/>
  <c r="N136" i="50"/>
  <c r="R136" i="50" s="1"/>
  <c r="AD136" i="50" s="1"/>
  <c r="O136" i="50"/>
  <c r="S136" i="50" s="1"/>
  <c r="AE136" i="50" s="1"/>
  <c r="P136" i="50"/>
  <c r="T136" i="50" s="1"/>
  <c r="AF136" i="50" s="1"/>
  <c r="V136" i="50"/>
  <c r="Z136" i="50" s="1"/>
  <c r="AH136" i="50" s="1"/>
  <c r="W136" i="50"/>
  <c r="AA136" i="50" s="1"/>
  <c r="AI136" i="50" s="1"/>
  <c r="X136" i="50"/>
  <c r="AB136" i="50" s="1"/>
  <c r="AJ136" i="50" s="1"/>
  <c r="Q136" i="50"/>
  <c r="U136" i="50" s="1"/>
  <c r="AG136" i="50" s="1"/>
  <c r="Y136" i="50"/>
  <c r="AC136" i="50" s="1"/>
  <c r="AK136" i="50" s="1"/>
  <c r="V121" i="50"/>
  <c r="Z121" i="50" s="1"/>
  <c r="AH121" i="50" s="1"/>
  <c r="W121" i="50"/>
  <c r="AA121" i="50" s="1"/>
  <c r="AI121" i="50" s="1"/>
  <c r="X121" i="50"/>
  <c r="AB121" i="50" s="1"/>
  <c r="AJ121" i="50" s="1"/>
  <c r="O121" i="50"/>
  <c r="S121" i="50" s="1"/>
  <c r="AE121" i="50" s="1"/>
  <c r="N121" i="50"/>
  <c r="R121" i="50" s="1"/>
  <c r="AD121" i="50" s="1"/>
  <c r="P121" i="50"/>
  <c r="T121" i="50" s="1"/>
  <c r="AF121" i="50" s="1"/>
  <c r="Q121" i="50"/>
  <c r="U121" i="50" s="1"/>
  <c r="AG121" i="50" s="1"/>
  <c r="Y121" i="50"/>
  <c r="AC121" i="50" s="1"/>
  <c r="AK121" i="50" s="1"/>
  <c r="V18" i="50"/>
  <c r="Z18" i="50" s="1"/>
  <c r="AH18" i="50" s="1"/>
  <c r="W18" i="50"/>
  <c r="AA18" i="50" s="1"/>
  <c r="AI18" i="50" s="1"/>
  <c r="N18" i="50"/>
  <c r="R18" i="50" s="1"/>
  <c r="AD18" i="50" s="1"/>
  <c r="O18" i="50"/>
  <c r="S18" i="50" s="1"/>
  <c r="AE18" i="50" s="1"/>
  <c r="P18" i="50"/>
  <c r="T18" i="50" s="1"/>
  <c r="AF18" i="50" s="1"/>
  <c r="Q18" i="50"/>
  <c r="U18" i="50" s="1"/>
  <c r="AG18" i="50" s="1"/>
  <c r="X18" i="50"/>
  <c r="AB18" i="50" s="1"/>
  <c r="AJ18" i="50" s="1"/>
  <c r="Y18" i="50"/>
  <c r="AC18" i="50" s="1"/>
  <c r="AK18" i="50" s="1"/>
  <c r="Y17" i="50"/>
  <c r="AC17" i="50" s="1"/>
  <c r="AK17" i="50" s="1"/>
  <c r="W61" i="50"/>
  <c r="AA61" i="50" s="1"/>
  <c r="AI61" i="50" s="1"/>
  <c r="O61" i="50"/>
  <c r="S61" i="50" s="1"/>
  <c r="AE61" i="50" s="1"/>
  <c r="P77" i="50"/>
  <c r="T77" i="50" s="1"/>
  <c r="AF77" i="50" s="1"/>
  <c r="X71" i="50"/>
  <c r="AB71" i="50" s="1"/>
  <c r="AJ71" i="50" s="1"/>
  <c r="V85" i="50"/>
  <c r="Z85" i="50" s="1"/>
  <c r="AH85" i="50" s="1"/>
  <c r="W85" i="50"/>
  <c r="AA85" i="50" s="1"/>
  <c r="AI85" i="50" s="1"/>
  <c r="Q85" i="50"/>
  <c r="U85" i="50" s="1"/>
  <c r="AG85" i="50" s="1"/>
  <c r="N85" i="50"/>
  <c r="R85" i="50" s="1"/>
  <c r="AD85" i="50" s="1"/>
  <c r="O85" i="50"/>
  <c r="S85" i="50" s="1"/>
  <c r="AE85" i="50" s="1"/>
  <c r="P85" i="50"/>
  <c r="T85" i="50" s="1"/>
  <c r="AF85" i="50" s="1"/>
  <c r="X85" i="50"/>
  <c r="AB85" i="50" s="1"/>
  <c r="AJ85" i="50" s="1"/>
  <c r="Y85" i="50"/>
  <c r="AC85" i="50" s="1"/>
  <c r="AK85" i="50" s="1"/>
  <c r="N32" i="50"/>
  <c r="R32" i="50" s="1"/>
  <c r="AD32" i="50" s="1"/>
  <c r="B33" i="57" s="1"/>
  <c r="O32" i="50"/>
  <c r="S32" i="50" s="1"/>
  <c r="AE32" i="50" s="1"/>
  <c r="P32" i="50"/>
  <c r="T32" i="50" s="1"/>
  <c r="AF32" i="50" s="1"/>
  <c r="D33" i="57" s="1"/>
  <c r="Q32" i="50"/>
  <c r="U32" i="50" s="1"/>
  <c r="AG32" i="50" s="1"/>
  <c r="W32" i="50"/>
  <c r="AA32" i="50" s="1"/>
  <c r="AI32" i="50" s="1"/>
  <c r="V32" i="50"/>
  <c r="Z32" i="50" s="1"/>
  <c r="AH32" i="50" s="1"/>
  <c r="X32" i="50"/>
  <c r="AB32" i="50" s="1"/>
  <c r="AJ32" i="50" s="1"/>
  <c r="H33" i="57" s="1"/>
  <c r="X33" i="57" s="1"/>
  <c r="Y32" i="50"/>
  <c r="AC32" i="50" s="1"/>
  <c r="AK32" i="50" s="1"/>
  <c r="P71" i="50"/>
  <c r="T71" i="50" s="1"/>
  <c r="AF71" i="50" s="1"/>
  <c r="Q13" i="50"/>
  <c r="U13" i="50" s="1"/>
  <c r="AG13" i="50" s="1"/>
  <c r="Z75" i="50"/>
  <c r="AH75" i="50" s="1"/>
  <c r="F76" i="57" s="1"/>
  <c r="V74" i="50"/>
  <c r="Z74" i="50" s="1"/>
  <c r="AH74" i="50" s="1"/>
  <c r="W74" i="50"/>
  <c r="AA74" i="50" s="1"/>
  <c r="AI74" i="50" s="1"/>
  <c r="X74" i="50"/>
  <c r="AB74" i="50" s="1"/>
  <c r="AJ74" i="50" s="1"/>
  <c r="Y74" i="50"/>
  <c r="AC74" i="50" s="1"/>
  <c r="AK74" i="50" s="1"/>
  <c r="O74" i="50"/>
  <c r="S74" i="50" s="1"/>
  <c r="AE74" i="50" s="1"/>
  <c r="C75" i="57" s="1"/>
  <c r="N74" i="50"/>
  <c r="R74" i="50" s="1"/>
  <c r="AD74" i="50" s="1"/>
  <c r="P74" i="50"/>
  <c r="T74" i="50" s="1"/>
  <c r="AF74" i="50" s="1"/>
  <c r="Q74" i="50"/>
  <c r="U74" i="50" s="1"/>
  <c r="AG74" i="50" s="1"/>
  <c r="E75" i="57" s="1"/>
  <c r="X61" i="50"/>
  <c r="AB61" i="50" s="1"/>
  <c r="AJ61" i="50" s="1"/>
  <c r="P61" i="50"/>
  <c r="T61" i="50" s="1"/>
  <c r="AF61" i="50" s="1"/>
  <c r="N130" i="50"/>
  <c r="R130" i="50" s="1"/>
  <c r="AD130" i="50" s="1"/>
  <c r="O130" i="50"/>
  <c r="S130" i="50" s="1"/>
  <c r="AE130" i="50" s="1"/>
  <c r="P130" i="50"/>
  <c r="T130" i="50" s="1"/>
  <c r="AF130" i="50" s="1"/>
  <c r="V130" i="50"/>
  <c r="Z130" i="50" s="1"/>
  <c r="AH130" i="50" s="1"/>
  <c r="W130" i="50"/>
  <c r="AA130" i="50" s="1"/>
  <c r="AI130" i="50" s="1"/>
  <c r="X130" i="50"/>
  <c r="AB130" i="50" s="1"/>
  <c r="AJ130" i="50" s="1"/>
  <c r="Y130" i="50"/>
  <c r="AC130" i="50" s="1"/>
  <c r="AK130" i="50" s="1"/>
  <c r="Q130" i="50"/>
  <c r="U130" i="50" s="1"/>
  <c r="AG130" i="50" s="1"/>
  <c r="O21" i="50"/>
  <c r="S21" i="50" s="1"/>
  <c r="AE21" i="50" s="1"/>
  <c r="X88" i="50"/>
  <c r="AB88" i="50" s="1"/>
  <c r="AJ88" i="50" s="1"/>
  <c r="V86" i="50"/>
  <c r="Z86" i="50" s="1"/>
  <c r="AH86" i="50" s="1"/>
  <c r="W86" i="50"/>
  <c r="AA86" i="50" s="1"/>
  <c r="AI86" i="50" s="1"/>
  <c r="X86" i="50"/>
  <c r="AB86" i="50" s="1"/>
  <c r="AJ86" i="50" s="1"/>
  <c r="Y86" i="50"/>
  <c r="AC86" i="50" s="1"/>
  <c r="AK86" i="50" s="1"/>
  <c r="O86" i="50"/>
  <c r="S86" i="50" s="1"/>
  <c r="AE86" i="50" s="1"/>
  <c r="N86" i="50"/>
  <c r="R86" i="50" s="1"/>
  <c r="AD86" i="50" s="1"/>
  <c r="P86" i="50"/>
  <c r="T86" i="50" s="1"/>
  <c r="AF86" i="50" s="1"/>
  <c r="Q86" i="50"/>
  <c r="U86" i="50" s="1"/>
  <c r="AG86" i="50" s="1"/>
  <c r="X102" i="50"/>
  <c r="AB102" i="50" s="1"/>
  <c r="AJ102" i="50" s="1"/>
  <c r="Y81" i="50"/>
  <c r="AC81" i="50" s="1"/>
  <c r="AK81" i="50" s="1"/>
  <c r="I82" i="57" s="1"/>
  <c r="X36" i="50"/>
  <c r="AB36" i="50" s="1"/>
  <c r="AJ36" i="50" s="1"/>
  <c r="H37" i="57" s="1"/>
  <c r="W51" i="50"/>
  <c r="AA51" i="50" s="1"/>
  <c r="AI51" i="50" s="1"/>
  <c r="O51" i="50"/>
  <c r="S51" i="50" s="1"/>
  <c r="AE51" i="50" s="1"/>
  <c r="V117" i="50"/>
  <c r="Z117" i="50" s="1"/>
  <c r="AH117" i="50" s="1"/>
  <c r="W117" i="50"/>
  <c r="AA117" i="50" s="1"/>
  <c r="AI117" i="50" s="1"/>
  <c r="X117" i="50"/>
  <c r="AB117" i="50" s="1"/>
  <c r="AJ117" i="50" s="1"/>
  <c r="Y117" i="50"/>
  <c r="AC117" i="50" s="1"/>
  <c r="AK117" i="50" s="1"/>
  <c r="N117" i="50"/>
  <c r="R117" i="50" s="1"/>
  <c r="AD117" i="50" s="1"/>
  <c r="O117" i="50"/>
  <c r="S117" i="50" s="1"/>
  <c r="AE117" i="50" s="1"/>
  <c r="P117" i="50"/>
  <c r="T117" i="50" s="1"/>
  <c r="AF117" i="50" s="1"/>
  <c r="Q117" i="50"/>
  <c r="U117" i="50" s="1"/>
  <c r="AG117" i="50" s="1"/>
  <c r="O95" i="50"/>
  <c r="S95" i="50" s="1"/>
  <c r="AE95" i="50" s="1"/>
  <c r="N56" i="50"/>
  <c r="R56" i="50" s="1"/>
  <c r="AD56" i="50" s="1"/>
  <c r="B57" i="57" s="1"/>
  <c r="F45" i="58" s="1"/>
  <c r="O56" i="50"/>
  <c r="S56" i="50" s="1"/>
  <c r="AE56" i="50" s="1"/>
  <c r="C57" i="57" s="1"/>
  <c r="P56" i="50"/>
  <c r="T56" i="50" s="1"/>
  <c r="AF56" i="50" s="1"/>
  <c r="V56" i="50"/>
  <c r="Z56" i="50" s="1"/>
  <c r="AH56" i="50" s="1"/>
  <c r="F57" i="57" s="1"/>
  <c r="W56" i="50"/>
  <c r="AA56" i="50" s="1"/>
  <c r="AI56" i="50" s="1"/>
  <c r="G57" i="57" s="1"/>
  <c r="X56" i="50"/>
  <c r="AB56" i="50" s="1"/>
  <c r="AJ56" i="50" s="1"/>
  <c r="Y56" i="50"/>
  <c r="AC56" i="50" s="1"/>
  <c r="AK56" i="50" s="1"/>
  <c r="I57" i="57" s="1"/>
  <c r="Y57" i="57" s="1"/>
  <c r="M45" i="58" s="1"/>
  <c r="Q56" i="50"/>
  <c r="U56" i="50" s="1"/>
  <c r="AG56" i="50" s="1"/>
  <c r="V132" i="50"/>
  <c r="Z132" i="50" s="1"/>
  <c r="AH132" i="50" s="1"/>
  <c r="W132" i="50"/>
  <c r="AA132" i="50" s="1"/>
  <c r="AI132" i="50" s="1"/>
  <c r="X132" i="50"/>
  <c r="AB132" i="50" s="1"/>
  <c r="AJ132" i="50" s="1"/>
  <c r="Y132" i="50"/>
  <c r="AC132" i="50" s="1"/>
  <c r="AK132" i="50" s="1"/>
  <c r="P132" i="50"/>
  <c r="T132" i="50" s="1"/>
  <c r="AF132" i="50" s="1"/>
  <c r="Q132" i="50"/>
  <c r="U132" i="50" s="1"/>
  <c r="AG132" i="50" s="1"/>
  <c r="O132" i="50"/>
  <c r="S132" i="50" s="1"/>
  <c r="AE132" i="50" s="1"/>
  <c r="N132" i="50"/>
  <c r="R132" i="50" s="1"/>
  <c r="AD132" i="50" s="1"/>
  <c r="V133" i="50"/>
  <c r="Z133" i="50" s="1"/>
  <c r="AH133" i="50" s="1"/>
  <c r="N133" i="50"/>
  <c r="R133" i="50" s="1"/>
  <c r="AD133" i="50" s="1"/>
  <c r="W133" i="50"/>
  <c r="AA133" i="50" s="1"/>
  <c r="AI133" i="50" s="1"/>
  <c r="O133" i="50"/>
  <c r="S133" i="50" s="1"/>
  <c r="AE133" i="50" s="1"/>
  <c r="X133" i="50"/>
  <c r="AB133" i="50" s="1"/>
  <c r="AJ133" i="50" s="1"/>
  <c r="P133" i="50"/>
  <c r="T133" i="50" s="1"/>
  <c r="AF133" i="50" s="1"/>
  <c r="Q133" i="50"/>
  <c r="U133" i="50" s="1"/>
  <c r="AG133" i="50" s="1"/>
  <c r="Y133" i="50"/>
  <c r="AC133" i="50" s="1"/>
  <c r="AK133" i="50" s="1"/>
  <c r="P38" i="50"/>
  <c r="T38" i="50" s="1"/>
  <c r="AF38" i="50" s="1"/>
  <c r="X38" i="50"/>
  <c r="AB38" i="50" s="1"/>
  <c r="AJ38" i="50" s="1"/>
  <c r="H39" i="57" s="1"/>
  <c r="P54" i="50"/>
  <c r="T54" i="50" s="1"/>
  <c r="AF54" i="50" s="1"/>
  <c r="X54" i="50"/>
  <c r="AB54" i="50" s="1"/>
  <c r="AJ54" i="50" s="1"/>
  <c r="H55" i="57" s="1"/>
  <c r="X55" i="57" s="1"/>
  <c r="O44" i="50"/>
  <c r="S44" i="50" s="1"/>
  <c r="AE44" i="50" s="1"/>
  <c r="C45" i="57" s="1"/>
  <c r="P36" i="50"/>
  <c r="T36" i="50" s="1"/>
  <c r="AF36" i="50" s="1"/>
  <c r="Q110" i="50"/>
  <c r="U110" i="50" s="1"/>
  <c r="AG110" i="50" s="1"/>
  <c r="Y110" i="50"/>
  <c r="AC110" i="50" s="1"/>
  <c r="AK110" i="50" s="1"/>
  <c r="N72" i="50"/>
  <c r="R72" i="50" s="1"/>
  <c r="AD72" i="50" s="1"/>
  <c r="O72" i="50"/>
  <c r="S72" i="50" s="1"/>
  <c r="AE72" i="50" s="1"/>
  <c r="P72" i="50"/>
  <c r="T72" i="50" s="1"/>
  <c r="AF72" i="50" s="1"/>
  <c r="Q72" i="50"/>
  <c r="U72" i="50" s="1"/>
  <c r="AG72" i="50" s="1"/>
  <c r="V72" i="50"/>
  <c r="Z72" i="50" s="1"/>
  <c r="AH72" i="50" s="1"/>
  <c r="F73" i="57" s="1"/>
  <c r="W72" i="50"/>
  <c r="AA72" i="50" s="1"/>
  <c r="AI72" i="50" s="1"/>
  <c r="X72" i="50"/>
  <c r="AB72" i="50" s="1"/>
  <c r="AJ72" i="50" s="1"/>
  <c r="Y72" i="50"/>
  <c r="AC72" i="50" s="1"/>
  <c r="AK72" i="50" s="1"/>
  <c r="I73" i="57" s="1"/>
  <c r="Y73" i="57" s="1"/>
  <c r="O71" i="50"/>
  <c r="S71" i="50" s="1"/>
  <c r="AE71" i="50" s="1"/>
  <c r="Y34" i="50"/>
  <c r="AC34" i="50" s="1"/>
  <c r="AK34" i="50" s="1"/>
  <c r="V55" i="50"/>
  <c r="Z55" i="50" s="1"/>
  <c r="AH55" i="50" s="1"/>
  <c r="W55" i="50"/>
  <c r="AA55" i="50" s="1"/>
  <c r="AI55" i="50" s="1"/>
  <c r="X55" i="50"/>
  <c r="AB55" i="50" s="1"/>
  <c r="AJ55" i="50" s="1"/>
  <c r="Y55" i="50"/>
  <c r="AC55" i="50" s="1"/>
  <c r="AK55" i="50" s="1"/>
  <c r="N55" i="50"/>
  <c r="R55" i="50" s="1"/>
  <c r="AD55" i="50" s="1"/>
  <c r="O55" i="50"/>
  <c r="S55" i="50" s="1"/>
  <c r="AE55" i="50" s="1"/>
  <c r="P55" i="50"/>
  <c r="T55" i="50" s="1"/>
  <c r="AF55" i="50" s="1"/>
  <c r="Q55" i="50"/>
  <c r="U55" i="50" s="1"/>
  <c r="AG55" i="50" s="1"/>
  <c r="V70" i="50"/>
  <c r="Z70" i="50" s="1"/>
  <c r="AH70" i="50" s="1"/>
  <c r="F71" i="57" s="1"/>
  <c r="W70" i="50"/>
  <c r="AA70" i="50" s="1"/>
  <c r="AI70" i="50" s="1"/>
  <c r="G71" i="57" s="1"/>
  <c r="Q70" i="50"/>
  <c r="U70" i="50" s="1"/>
  <c r="AG70" i="50" s="1"/>
  <c r="E71" i="57" s="1"/>
  <c r="X70" i="50"/>
  <c r="AB70" i="50" s="1"/>
  <c r="AJ70" i="50" s="1"/>
  <c r="Y70" i="50"/>
  <c r="AC70" i="50" s="1"/>
  <c r="AK70" i="50" s="1"/>
  <c r="O70" i="50"/>
  <c r="S70" i="50" s="1"/>
  <c r="AE70" i="50" s="1"/>
  <c r="N70" i="50"/>
  <c r="R70" i="50" s="1"/>
  <c r="AD70" i="50" s="1"/>
  <c r="P70" i="50"/>
  <c r="T70" i="50" s="1"/>
  <c r="AF70" i="50" s="1"/>
  <c r="Y28" i="50"/>
  <c r="AC28" i="50" s="1"/>
  <c r="AK28" i="50" s="1"/>
  <c r="Q28" i="50"/>
  <c r="U28" i="50" s="1"/>
  <c r="AG28" i="50" s="1"/>
  <c r="P68" i="50"/>
  <c r="T68" i="50" s="1"/>
  <c r="AF68" i="50" s="1"/>
  <c r="V89" i="50"/>
  <c r="Z89" i="50" s="1"/>
  <c r="AH89" i="50" s="1"/>
  <c r="W89" i="50"/>
  <c r="AA89" i="50" s="1"/>
  <c r="AI89" i="50" s="1"/>
  <c r="X89" i="50"/>
  <c r="AB89" i="50" s="1"/>
  <c r="AJ89" i="50" s="1"/>
  <c r="Y89" i="50"/>
  <c r="AC89" i="50" s="1"/>
  <c r="AK89" i="50" s="1"/>
  <c r="I90" i="57" s="1"/>
  <c r="Y90" i="57" s="1"/>
  <c r="N89" i="50"/>
  <c r="R89" i="50" s="1"/>
  <c r="AD89" i="50" s="1"/>
  <c r="O89" i="50"/>
  <c r="S89" i="50" s="1"/>
  <c r="AE89" i="50" s="1"/>
  <c r="P89" i="50"/>
  <c r="T89" i="50" s="1"/>
  <c r="AF89" i="50" s="1"/>
  <c r="Q89" i="50"/>
  <c r="U89" i="50" s="1"/>
  <c r="AG89" i="50" s="1"/>
  <c r="E90" i="57" s="1"/>
  <c r="O77" i="50"/>
  <c r="S77" i="50" s="1"/>
  <c r="AE77" i="50" s="1"/>
  <c r="V97" i="50"/>
  <c r="Z97" i="50" s="1"/>
  <c r="AH97" i="50" s="1"/>
  <c r="F98" i="57" s="1"/>
  <c r="W97" i="50"/>
  <c r="AA97" i="50" s="1"/>
  <c r="AI97" i="50" s="1"/>
  <c r="Q97" i="50"/>
  <c r="U97" i="50" s="1"/>
  <c r="AG97" i="50" s="1"/>
  <c r="X97" i="50"/>
  <c r="AB97" i="50" s="1"/>
  <c r="AJ97" i="50" s="1"/>
  <c r="O97" i="50"/>
  <c r="S97" i="50" s="1"/>
  <c r="AE97" i="50" s="1"/>
  <c r="C98" i="57" s="1"/>
  <c r="Y97" i="50"/>
  <c r="AC97" i="50" s="1"/>
  <c r="AK97" i="50" s="1"/>
  <c r="I98" i="57" s="1"/>
  <c r="Y98" i="57" s="1"/>
  <c r="N97" i="50"/>
  <c r="R97" i="50" s="1"/>
  <c r="AD97" i="50" s="1"/>
  <c r="P97" i="50"/>
  <c r="T97" i="50" s="1"/>
  <c r="AF97" i="50" s="1"/>
  <c r="P17" i="50"/>
  <c r="T17" i="50" s="1"/>
  <c r="AF17" i="50" s="1"/>
  <c r="O88" i="50"/>
  <c r="S88" i="50" s="1"/>
  <c r="AE88" i="50" s="1"/>
  <c r="V67" i="50"/>
  <c r="Z67" i="50" s="1"/>
  <c r="AH67" i="50" s="1"/>
  <c r="F68" i="57" s="1"/>
  <c r="W67" i="50"/>
  <c r="AA67" i="50" s="1"/>
  <c r="AI67" i="50" s="1"/>
  <c r="G68" i="57" s="1"/>
  <c r="Q67" i="50"/>
  <c r="U67" i="50" s="1"/>
  <c r="AG67" i="50" s="1"/>
  <c r="X67" i="50"/>
  <c r="AB67" i="50" s="1"/>
  <c r="AJ67" i="50" s="1"/>
  <c r="Y67" i="50"/>
  <c r="AC67" i="50" s="1"/>
  <c r="AK67" i="50" s="1"/>
  <c r="O67" i="50"/>
  <c r="S67" i="50" s="1"/>
  <c r="AE67" i="50" s="1"/>
  <c r="P67" i="50"/>
  <c r="T67" i="50" s="1"/>
  <c r="AF67" i="50" s="1"/>
  <c r="D68" i="57" s="1"/>
  <c r="N67" i="50"/>
  <c r="R67" i="50" s="1"/>
  <c r="AD67" i="50" s="1"/>
  <c r="B68" i="57" s="1"/>
  <c r="W14" i="50"/>
  <c r="AA14" i="50" s="1"/>
  <c r="AI14" i="50" s="1"/>
  <c r="G15" i="57" s="1"/>
  <c r="X106" i="50"/>
  <c r="AB106" i="50" s="1"/>
  <c r="AJ106" i="50" s="1"/>
  <c r="V22" i="50"/>
  <c r="Z22" i="50" s="1"/>
  <c r="AH22" i="50" s="1"/>
  <c r="W22" i="50"/>
  <c r="AA22" i="50" s="1"/>
  <c r="AI22" i="50" s="1"/>
  <c r="G23" i="57" s="1"/>
  <c r="X22" i="50"/>
  <c r="AB22" i="50" s="1"/>
  <c r="AJ22" i="50" s="1"/>
  <c r="H23" i="57" s="1"/>
  <c r="Y22" i="50"/>
  <c r="AC22" i="50" s="1"/>
  <c r="AK22" i="50" s="1"/>
  <c r="I23" i="57" s="1"/>
  <c r="Y23" i="57" s="1"/>
  <c r="N22" i="50"/>
  <c r="R22" i="50" s="1"/>
  <c r="AD22" i="50" s="1"/>
  <c r="O22" i="50"/>
  <c r="S22" i="50" s="1"/>
  <c r="AE22" i="50" s="1"/>
  <c r="P22" i="50"/>
  <c r="T22" i="50" s="1"/>
  <c r="AF22" i="50" s="1"/>
  <c r="D23" i="57" s="1"/>
  <c r="Q22" i="50"/>
  <c r="U22" i="50" s="1"/>
  <c r="AG22" i="50" s="1"/>
  <c r="X25" i="50"/>
  <c r="AB25" i="50" s="1"/>
  <c r="AJ25" i="50" s="1"/>
  <c r="V138" i="50"/>
  <c r="Z138" i="50" s="1"/>
  <c r="AH138" i="50" s="1"/>
  <c r="W138" i="50"/>
  <c r="AA138" i="50" s="1"/>
  <c r="AI138" i="50" s="1"/>
  <c r="X138" i="50"/>
  <c r="AB138" i="50" s="1"/>
  <c r="AJ138" i="50" s="1"/>
  <c r="Y138" i="50"/>
  <c r="AC138" i="50" s="1"/>
  <c r="AK138" i="50" s="1"/>
  <c r="P138" i="50"/>
  <c r="T138" i="50" s="1"/>
  <c r="AF138" i="50" s="1"/>
  <c r="Q138" i="50"/>
  <c r="U138" i="50" s="1"/>
  <c r="AG138" i="50" s="1"/>
  <c r="O138" i="50"/>
  <c r="S138" i="50" s="1"/>
  <c r="AE138" i="50" s="1"/>
  <c r="N138" i="50"/>
  <c r="R138" i="50" s="1"/>
  <c r="AD138" i="50" s="1"/>
  <c r="V131" i="50"/>
  <c r="Z131" i="50" s="1"/>
  <c r="AH131" i="50" s="1"/>
  <c r="W131" i="50"/>
  <c r="AA131" i="50" s="1"/>
  <c r="AI131" i="50" s="1"/>
  <c r="X131" i="50"/>
  <c r="AB131" i="50" s="1"/>
  <c r="AJ131" i="50" s="1"/>
  <c r="Y131" i="50"/>
  <c r="AC131" i="50" s="1"/>
  <c r="AK131" i="50" s="1"/>
  <c r="N131" i="50"/>
  <c r="R131" i="50" s="1"/>
  <c r="AD131" i="50" s="1"/>
  <c r="O131" i="50"/>
  <c r="S131" i="50" s="1"/>
  <c r="AE131" i="50" s="1"/>
  <c r="P131" i="50"/>
  <c r="T131" i="50" s="1"/>
  <c r="AF131" i="50" s="1"/>
  <c r="Q131" i="50"/>
  <c r="U131" i="50" s="1"/>
  <c r="AG131" i="50" s="1"/>
  <c r="V140" i="50"/>
  <c r="Z140" i="50" s="1"/>
  <c r="AH140" i="50" s="1"/>
  <c r="W140" i="50"/>
  <c r="AA140" i="50" s="1"/>
  <c r="AI140" i="50" s="1"/>
  <c r="X140" i="50"/>
  <c r="AB140" i="50" s="1"/>
  <c r="AJ140" i="50" s="1"/>
  <c r="H141" i="57" s="1"/>
  <c r="X141" i="57" s="1"/>
  <c r="N140" i="50"/>
  <c r="R140" i="50" s="1"/>
  <c r="AD140" i="50" s="1"/>
  <c r="Y140" i="50"/>
  <c r="AC140" i="50" s="1"/>
  <c r="AK140" i="50" s="1"/>
  <c r="I141" i="57" s="1"/>
  <c r="Y141" i="57" s="1"/>
  <c r="O140" i="50"/>
  <c r="S140" i="50" s="1"/>
  <c r="AE140" i="50" s="1"/>
  <c r="P140" i="50"/>
  <c r="T140" i="50" s="1"/>
  <c r="AF140" i="50" s="1"/>
  <c r="Q140" i="50"/>
  <c r="U140" i="50" s="1"/>
  <c r="AG140" i="50" s="1"/>
  <c r="P13" i="50"/>
  <c r="T13" i="50" s="1"/>
  <c r="AF13" i="50" s="1"/>
  <c r="D14" i="57" s="1"/>
  <c r="V45" i="50"/>
  <c r="Z45" i="50" s="1"/>
  <c r="AH45" i="50" s="1"/>
  <c r="W45" i="50"/>
  <c r="AA45" i="50" s="1"/>
  <c r="AI45" i="50" s="1"/>
  <c r="N45" i="50"/>
  <c r="R45" i="50" s="1"/>
  <c r="AD45" i="50" s="1"/>
  <c r="O45" i="50"/>
  <c r="S45" i="50" s="1"/>
  <c r="AE45" i="50" s="1"/>
  <c r="P45" i="50"/>
  <c r="T45" i="50" s="1"/>
  <c r="AF45" i="50" s="1"/>
  <c r="Q45" i="50"/>
  <c r="U45" i="50" s="1"/>
  <c r="AG45" i="50" s="1"/>
  <c r="X45" i="50"/>
  <c r="AB45" i="50" s="1"/>
  <c r="AJ45" i="50" s="1"/>
  <c r="Y45" i="50"/>
  <c r="AC45" i="50" s="1"/>
  <c r="AK45" i="50" s="1"/>
  <c r="V64" i="50"/>
  <c r="Z64" i="50" s="1"/>
  <c r="AH64" i="50" s="1"/>
  <c r="W64" i="50"/>
  <c r="AA64" i="50" s="1"/>
  <c r="AI64" i="50" s="1"/>
  <c r="X64" i="50"/>
  <c r="AB64" i="50" s="1"/>
  <c r="AJ64" i="50" s="1"/>
  <c r="Y64" i="50"/>
  <c r="AC64" i="50" s="1"/>
  <c r="AK64" i="50" s="1"/>
  <c r="I65" i="57" s="1"/>
  <c r="Y65" i="57" s="1"/>
  <c r="N64" i="50"/>
  <c r="R64" i="50" s="1"/>
  <c r="AD64" i="50" s="1"/>
  <c r="O64" i="50"/>
  <c r="S64" i="50" s="1"/>
  <c r="AE64" i="50" s="1"/>
  <c r="P64" i="50"/>
  <c r="T64" i="50" s="1"/>
  <c r="AF64" i="50" s="1"/>
  <c r="Q64" i="50"/>
  <c r="U64" i="50" s="1"/>
  <c r="AG64" i="50" s="1"/>
  <c r="E65" i="57" s="1"/>
  <c r="X60" i="50"/>
  <c r="AB60" i="50" s="1"/>
  <c r="AJ60" i="50" s="1"/>
  <c r="W79" i="50"/>
  <c r="AA79" i="50" s="1"/>
  <c r="AI79" i="50" s="1"/>
  <c r="Y113" i="50"/>
  <c r="AC113" i="50" s="1"/>
  <c r="AK113" i="50" s="1"/>
  <c r="Q34" i="50"/>
  <c r="U34" i="50" s="1"/>
  <c r="AG34" i="50" s="1"/>
  <c r="V19" i="50"/>
  <c r="Z19" i="50" s="1"/>
  <c r="AH19" i="50" s="1"/>
  <c r="W19" i="50"/>
  <c r="AA19" i="50" s="1"/>
  <c r="AI19" i="50" s="1"/>
  <c r="G20" i="57" s="1"/>
  <c r="X19" i="50"/>
  <c r="AB19" i="50" s="1"/>
  <c r="AJ19" i="50" s="1"/>
  <c r="H20" i="57" s="1"/>
  <c r="X20" i="57" s="1"/>
  <c r="Y19" i="50"/>
  <c r="AC19" i="50" s="1"/>
  <c r="AK19" i="50" s="1"/>
  <c r="I20" i="57" s="1"/>
  <c r="Y20" i="57" s="1"/>
  <c r="N19" i="50"/>
  <c r="R19" i="50" s="1"/>
  <c r="AD19" i="50" s="1"/>
  <c r="O19" i="50"/>
  <c r="S19" i="50" s="1"/>
  <c r="AE19" i="50" s="1"/>
  <c r="P19" i="50"/>
  <c r="T19" i="50" s="1"/>
  <c r="AF19" i="50" s="1"/>
  <c r="D20" i="57" s="1"/>
  <c r="Q19" i="50"/>
  <c r="U19" i="50" s="1"/>
  <c r="AG19" i="50" s="1"/>
  <c r="E20" i="57" s="1"/>
  <c r="O10" i="50"/>
  <c r="S10" i="50" s="1"/>
  <c r="AE10" i="50" s="1"/>
  <c r="C11" i="57" s="1"/>
  <c r="G12" i="58" s="1"/>
  <c r="W75" i="50"/>
  <c r="AA75" i="50" s="1"/>
  <c r="AI75" i="50" s="1"/>
  <c r="O103" i="50"/>
  <c r="S103" i="50" s="1"/>
  <c r="AE103" i="50" s="1"/>
  <c r="P103" i="50"/>
  <c r="T103" i="50" s="1"/>
  <c r="AF103" i="50" s="1"/>
  <c r="V103" i="50"/>
  <c r="Z103" i="50" s="1"/>
  <c r="AH103" i="50" s="1"/>
  <c r="Q103" i="50"/>
  <c r="U103" i="50" s="1"/>
  <c r="AG103" i="50" s="1"/>
  <c r="W103" i="50"/>
  <c r="AA103" i="50" s="1"/>
  <c r="AI103" i="50" s="1"/>
  <c r="X103" i="50"/>
  <c r="AB103" i="50" s="1"/>
  <c r="AJ103" i="50" s="1"/>
  <c r="Y103" i="50"/>
  <c r="AC103" i="50" s="1"/>
  <c r="AK103" i="50" s="1"/>
  <c r="N103" i="50"/>
  <c r="R103" i="50" s="1"/>
  <c r="AD103" i="50" s="1"/>
  <c r="P88" i="50"/>
  <c r="T88" i="50" s="1"/>
  <c r="AF88" i="50" s="1"/>
  <c r="P107" i="50"/>
  <c r="T107" i="50" s="1"/>
  <c r="AF107" i="50" s="1"/>
  <c r="X46" i="50"/>
  <c r="AB46" i="50" s="1"/>
  <c r="AJ46" i="50" s="1"/>
  <c r="V31" i="50"/>
  <c r="Z31" i="50" s="1"/>
  <c r="AH31" i="50" s="1"/>
  <c r="W31" i="50"/>
  <c r="AA31" i="50" s="1"/>
  <c r="AI31" i="50" s="1"/>
  <c r="X31" i="50"/>
  <c r="AB31" i="50" s="1"/>
  <c r="AJ31" i="50" s="1"/>
  <c r="Y31" i="50"/>
  <c r="AC31" i="50" s="1"/>
  <c r="AK31" i="50" s="1"/>
  <c r="N31" i="50"/>
  <c r="R31" i="50" s="1"/>
  <c r="AD31" i="50" s="1"/>
  <c r="O31" i="50"/>
  <c r="S31" i="50" s="1"/>
  <c r="AE31" i="50" s="1"/>
  <c r="C32" i="57" s="1"/>
  <c r="P31" i="50"/>
  <c r="T31" i="50" s="1"/>
  <c r="AF31" i="50" s="1"/>
  <c r="D32" i="57" s="1"/>
  <c r="Q31" i="50"/>
  <c r="U31" i="50" s="1"/>
  <c r="AG31" i="50" s="1"/>
  <c r="Z94" i="50"/>
  <c r="AH94" i="50" s="1"/>
  <c r="O93" i="50"/>
  <c r="S93" i="50" s="1"/>
  <c r="AE93" i="50" s="1"/>
  <c r="N93" i="50"/>
  <c r="R93" i="50" s="1"/>
  <c r="AD93" i="50" s="1"/>
  <c r="P93" i="50"/>
  <c r="T93" i="50" s="1"/>
  <c r="AF93" i="50" s="1"/>
  <c r="D94" i="57" s="1"/>
  <c r="H127" i="58" s="1"/>
  <c r="Q93" i="50"/>
  <c r="U93" i="50" s="1"/>
  <c r="AG93" i="50" s="1"/>
  <c r="V93" i="50"/>
  <c r="Z93" i="50" s="1"/>
  <c r="AH93" i="50" s="1"/>
  <c r="W93" i="50"/>
  <c r="AA93" i="50" s="1"/>
  <c r="AI93" i="50" s="1"/>
  <c r="G94" i="57" s="1"/>
  <c r="X93" i="50"/>
  <c r="AB93" i="50" s="1"/>
  <c r="AJ93" i="50" s="1"/>
  <c r="H94" i="57" s="1"/>
  <c r="X94" i="57" s="1"/>
  <c r="L127" i="58" s="1"/>
  <c r="Y93" i="50"/>
  <c r="AC93" i="50" s="1"/>
  <c r="AK93" i="50" s="1"/>
  <c r="V115" i="50"/>
  <c r="Z115" i="50" s="1"/>
  <c r="AH115" i="50" s="1"/>
  <c r="W115" i="50"/>
  <c r="AA115" i="50" s="1"/>
  <c r="AI115" i="50" s="1"/>
  <c r="X115" i="50"/>
  <c r="AB115" i="50" s="1"/>
  <c r="AJ115" i="50" s="1"/>
  <c r="Q115" i="50"/>
  <c r="U115" i="50" s="1"/>
  <c r="AG115" i="50" s="1"/>
  <c r="Y115" i="50"/>
  <c r="AC115" i="50" s="1"/>
  <c r="AK115" i="50" s="1"/>
  <c r="N115" i="50"/>
  <c r="R115" i="50" s="1"/>
  <c r="AD115" i="50" s="1"/>
  <c r="B111" i="57" s="1"/>
  <c r="O115" i="50"/>
  <c r="S115" i="50" s="1"/>
  <c r="AE115" i="50" s="1"/>
  <c r="P115" i="50"/>
  <c r="T115" i="50" s="1"/>
  <c r="AF115" i="50" s="1"/>
  <c r="V126" i="50"/>
  <c r="Z126" i="50" s="1"/>
  <c r="AH126" i="50" s="1"/>
  <c r="W126" i="50"/>
  <c r="AA126" i="50" s="1"/>
  <c r="AI126" i="50" s="1"/>
  <c r="X126" i="50"/>
  <c r="AB126" i="50" s="1"/>
  <c r="AJ126" i="50" s="1"/>
  <c r="Y126" i="50"/>
  <c r="AC126" i="50" s="1"/>
  <c r="AK126" i="50" s="1"/>
  <c r="O126" i="50"/>
  <c r="S126" i="50" s="1"/>
  <c r="AE126" i="50" s="1"/>
  <c r="P126" i="50"/>
  <c r="T126" i="50" s="1"/>
  <c r="AF126" i="50" s="1"/>
  <c r="Q126" i="50"/>
  <c r="U126" i="50" s="1"/>
  <c r="AG126" i="50" s="1"/>
  <c r="N126" i="50"/>
  <c r="R126" i="50" s="1"/>
  <c r="AD126" i="50" s="1"/>
  <c r="V52" i="50"/>
  <c r="Z52" i="50" s="1"/>
  <c r="AH52" i="50" s="1"/>
  <c r="W52" i="50"/>
  <c r="AA52" i="50" s="1"/>
  <c r="AI52" i="50" s="1"/>
  <c r="G53" i="57" s="1"/>
  <c r="X52" i="50"/>
  <c r="AB52" i="50" s="1"/>
  <c r="AJ52" i="50" s="1"/>
  <c r="Y52" i="50"/>
  <c r="AC52" i="50" s="1"/>
  <c r="AK52" i="50" s="1"/>
  <c r="P52" i="50"/>
  <c r="T52" i="50" s="1"/>
  <c r="AF52" i="50" s="1"/>
  <c r="N52" i="50"/>
  <c r="R52" i="50" s="1"/>
  <c r="AD52" i="50" s="1"/>
  <c r="B53" i="57" s="1"/>
  <c r="O52" i="50"/>
  <c r="S52" i="50" s="1"/>
  <c r="AE52" i="50" s="1"/>
  <c r="Q52" i="50"/>
  <c r="U52" i="50" s="1"/>
  <c r="AG52" i="50" s="1"/>
  <c r="N23" i="50"/>
  <c r="R23" i="50" s="1"/>
  <c r="AD23" i="50" s="1"/>
  <c r="O23" i="50"/>
  <c r="S23" i="50" s="1"/>
  <c r="AE23" i="50" s="1"/>
  <c r="C24" i="57" s="1"/>
  <c r="P23" i="50"/>
  <c r="T23" i="50" s="1"/>
  <c r="AF23" i="50" s="1"/>
  <c r="Q23" i="50"/>
  <c r="U23" i="50" s="1"/>
  <c r="AG23" i="50" s="1"/>
  <c r="V23" i="50"/>
  <c r="Z23" i="50" s="1"/>
  <c r="AH23" i="50" s="1"/>
  <c r="W23" i="50"/>
  <c r="AA23" i="50" s="1"/>
  <c r="AI23" i="50" s="1"/>
  <c r="G24" i="57" s="1"/>
  <c r="X23" i="50"/>
  <c r="AB23" i="50" s="1"/>
  <c r="AJ23" i="50" s="1"/>
  <c r="Y23" i="50"/>
  <c r="AC23" i="50" s="1"/>
  <c r="AK23" i="50" s="1"/>
  <c r="I24" i="57" s="1"/>
  <c r="Y24" i="57" s="1"/>
  <c r="Q68" i="50"/>
  <c r="U68" i="50" s="1"/>
  <c r="AG68" i="50" s="1"/>
  <c r="O40" i="50"/>
  <c r="S40" i="50" s="1"/>
  <c r="AE40" i="50" s="1"/>
  <c r="P21" i="50"/>
  <c r="T21" i="50" s="1"/>
  <c r="AF21" i="50" s="1"/>
  <c r="Z48" i="50"/>
  <c r="AH48" i="50" s="1"/>
  <c r="N50" i="50"/>
  <c r="R50" i="50" s="1"/>
  <c r="AD50" i="50" s="1"/>
  <c r="O50" i="50"/>
  <c r="S50" i="50" s="1"/>
  <c r="AE50" i="50" s="1"/>
  <c r="P50" i="50"/>
  <c r="T50" i="50" s="1"/>
  <c r="AF50" i="50" s="1"/>
  <c r="Q50" i="50"/>
  <c r="U50" i="50" s="1"/>
  <c r="AG50" i="50" s="1"/>
  <c r="V50" i="50"/>
  <c r="Z50" i="50" s="1"/>
  <c r="AH50" i="50" s="1"/>
  <c r="W50" i="50"/>
  <c r="AA50" i="50" s="1"/>
  <c r="AI50" i="50" s="1"/>
  <c r="G51" i="57" s="1"/>
  <c r="X50" i="50"/>
  <c r="AB50" i="50" s="1"/>
  <c r="AJ50" i="50" s="1"/>
  <c r="Y50" i="50"/>
  <c r="AC50" i="50" s="1"/>
  <c r="AK50" i="50" s="1"/>
  <c r="I51" i="57" s="1"/>
  <c r="Y51" i="57" s="1"/>
  <c r="V119" i="50"/>
  <c r="Z119" i="50" s="1"/>
  <c r="AH119" i="50" s="1"/>
  <c r="W119" i="50"/>
  <c r="AA119" i="50" s="1"/>
  <c r="AI119" i="50" s="1"/>
  <c r="Q119" i="50"/>
  <c r="U119" i="50" s="1"/>
  <c r="AG119" i="50" s="1"/>
  <c r="X119" i="50"/>
  <c r="AB119" i="50" s="1"/>
  <c r="AJ119" i="50" s="1"/>
  <c r="P119" i="50"/>
  <c r="T119" i="50" s="1"/>
  <c r="AF119" i="50" s="1"/>
  <c r="Y119" i="50"/>
  <c r="AC119" i="50" s="1"/>
  <c r="AK119" i="50" s="1"/>
  <c r="O119" i="50"/>
  <c r="S119" i="50" s="1"/>
  <c r="AE119" i="50" s="1"/>
  <c r="N119" i="50"/>
  <c r="R119" i="50" s="1"/>
  <c r="AD119" i="50" s="1"/>
  <c r="N47" i="50"/>
  <c r="R47" i="50" s="1"/>
  <c r="AD47" i="50" s="1"/>
  <c r="O47" i="50"/>
  <c r="S47" i="50" s="1"/>
  <c r="AE47" i="50" s="1"/>
  <c r="P47" i="50"/>
  <c r="T47" i="50" s="1"/>
  <c r="AF47" i="50" s="1"/>
  <c r="Q47" i="50"/>
  <c r="U47" i="50" s="1"/>
  <c r="AG47" i="50" s="1"/>
  <c r="V47" i="50"/>
  <c r="Z47" i="50" s="1"/>
  <c r="AH47" i="50" s="1"/>
  <c r="F48" i="57" s="1"/>
  <c r="W47" i="50"/>
  <c r="AA47" i="50" s="1"/>
  <c r="AI47" i="50" s="1"/>
  <c r="G48" i="57" s="1"/>
  <c r="X47" i="50"/>
  <c r="AB47" i="50" s="1"/>
  <c r="AJ47" i="50" s="1"/>
  <c r="H48" i="57" s="1"/>
  <c r="X48" i="57" s="1"/>
  <c r="Y47" i="50"/>
  <c r="AC47" i="50" s="1"/>
  <c r="AK47" i="50" s="1"/>
  <c r="V125" i="50"/>
  <c r="Z125" i="50" s="1"/>
  <c r="AH125" i="50" s="1"/>
  <c r="F126" i="57" s="1"/>
  <c r="W125" i="50"/>
  <c r="AA125" i="50" s="1"/>
  <c r="AI125" i="50" s="1"/>
  <c r="Q125" i="50"/>
  <c r="U125" i="50" s="1"/>
  <c r="AG125" i="50" s="1"/>
  <c r="X125" i="50"/>
  <c r="AB125" i="50" s="1"/>
  <c r="AJ125" i="50" s="1"/>
  <c r="Y125" i="50"/>
  <c r="AC125" i="50" s="1"/>
  <c r="AK125" i="50" s="1"/>
  <c r="I126" i="57" s="1"/>
  <c r="Y126" i="57" s="1"/>
  <c r="P125" i="50"/>
  <c r="T125" i="50" s="1"/>
  <c r="AF125" i="50" s="1"/>
  <c r="N125" i="50"/>
  <c r="R125" i="50" s="1"/>
  <c r="AD125" i="50" s="1"/>
  <c r="O125" i="50"/>
  <c r="S125" i="50" s="1"/>
  <c r="AE125" i="50" s="1"/>
  <c r="Z61" i="50"/>
  <c r="AH61" i="50" s="1"/>
  <c r="V63" i="50"/>
  <c r="Z63" i="50" s="1"/>
  <c r="AH63" i="50" s="1"/>
  <c r="W63" i="50"/>
  <c r="AA63" i="50" s="1"/>
  <c r="AI63" i="50" s="1"/>
  <c r="G64" i="57" s="1"/>
  <c r="Q63" i="50"/>
  <c r="U63" i="50" s="1"/>
  <c r="AG63" i="50" s="1"/>
  <c r="X63" i="50"/>
  <c r="AB63" i="50" s="1"/>
  <c r="AJ63" i="50" s="1"/>
  <c r="O63" i="50"/>
  <c r="S63" i="50" s="1"/>
  <c r="AE63" i="50" s="1"/>
  <c r="C64" i="57" s="1"/>
  <c r="Y63" i="50"/>
  <c r="AC63" i="50" s="1"/>
  <c r="AK63" i="50" s="1"/>
  <c r="P63" i="50"/>
  <c r="T63" i="50" s="1"/>
  <c r="AF63" i="50" s="1"/>
  <c r="N63" i="50"/>
  <c r="R63" i="50" s="1"/>
  <c r="AD63" i="50" s="1"/>
  <c r="B64" i="57" s="1"/>
  <c r="Y39" i="50"/>
  <c r="AC39" i="50" s="1"/>
  <c r="AK39" i="50" s="1"/>
  <c r="Y75" i="50"/>
  <c r="AC75" i="50" s="1"/>
  <c r="AK75" i="50" s="1"/>
  <c r="I76" i="57" s="1"/>
  <c r="Y76" i="57" s="1"/>
  <c r="V83" i="50"/>
  <c r="Z83" i="50" s="1"/>
  <c r="AH83" i="50" s="1"/>
  <c r="W83" i="50"/>
  <c r="AA83" i="50" s="1"/>
  <c r="AI83" i="50" s="1"/>
  <c r="X83" i="50"/>
  <c r="AB83" i="50" s="1"/>
  <c r="AJ83" i="50" s="1"/>
  <c r="Y83" i="50"/>
  <c r="AC83" i="50" s="1"/>
  <c r="AK83" i="50" s="1"/>
  <c r="Q83" i="50"/>
  <c r="U83" i="50" s="1"/>
  <c r="AG83" i="50" s="1"/>
  <c r="O83" i="50"/>
  <c r="S83" i="50" s="1"/>
  <c r="AE83" i="50" s="1"/>
  <c r="N83" i="50"/>
  <c r="R83" i="50" s="1"/>
  <c r="AD83" i="50" s="1"/>
  <c r="P83" i="50"/>
  <c r="T83" i="50" s="1"/>
  <c r="AF83" i="50" s="1"/>
  <c r="N69" i="50"/>
  <c r="R69" i="50" s="1"/>
  <c r="AD69" i="50" s="1"/>
  <c r="O69" i="50"/>
  <c r="S69" i="50" s="1"/>
  <c r="AE69" i="50" s="1"/>
  <c r="P69" i="50"/>
  <c r="T69" i="50" s="1"/>
  <c r="AF69" i="50" s="1"/>
  <c r="Q69" i="50"/>
  <c r="U69" i="50" s="1"/>
  <c r="AG69" i="50" s="1"/>
  <c r="E70" i="57" s="1"/>
  <c r="X69" i="50"/>
  <c r="AB69" i="50" s="1"/>
  <c r="AJ69" i="50" s="1"/>
  <c r="H70" i="57" s="1"/>
  <c r="X70" i="57" s="1"/>
  <c r="Y69" i="50"/>
  <c r="AC69" i="50" s="1"/>
  <c r="AK69" i="50" s="1"/>
  <c r="I70" i="57" s="1"/>
  <c r="Y70" i="57" s="1"/>
  <c r="V69" i="50"/>
  <c r="Z69" i="50" s="1"/>
  <c r="AH69" i="50" s="1"/>
  <c r="W69" i="50"/>
  <c r="AA69" i="50" s="1"/>
  <c r="AI69" i="50" s="1"/>
  <c r="N66" i="50"/>
  <c r="R66" i="50" s="1"/>
  <c r="AD66" i="50" s="1"/>
  <c r="B67" i="57" s="1"/>
  <c r="O66" i="50"/>
  <c r="S66" i="50" s="1"/>
  <c r="AE66" i="50" s="1"/>
  <c r="V66" i="50"/>
  <c r="Z66" i="50" s="1"/>
  <c r="AH66" i="50" s="1"/>
  <c r="W66" i="50"/>
  <c r="AA66" i="50" s="1"/>
  <c r="AI66" i="50" s="1"/>
  <c r="G67" i="57" s="1"/>
  <c r="X66" i="50"/>
  <c r="AB66" i="50" s="1"/>
  <c r="AJ66" i="50" s="1"/>
  <c r="P66" i="50"/>
  <c r="T66" i="50" s="1"/>
  <c r="AF66" i="50" s="1"/>
  <c r="Q66" i="50"/>
  <c r="U66" i="50" s="1"/>
  <c r="AG66" i="50" s="1"/>
  <c r="Y66" i="50"/>
  <c r="AC66" i="50" s="1"/>
  <c r="AK66" i="50" s="1"/>
  <c r="N124" i="50"/>
  <c r="R124" i="50" s="1"/>
  <c r="AD124" i="50" s="1"/>
  <c r="P124" i="50"/>
  <c r="T124" i="50" s="1"/>
  <c r="AF124" i="50" s="1"/>
  <c r="V124" i="50"/>
  <c r="Z124" i="50" s="1"/>
  <c r="AH124" i="50" s="1"/>
  <c r="O124" i="50"/>
  <c r="S124" i="50" s="1"/>
  <c r="AE124" i="50" s="1"/>
  <c r="W124" i="50"/>
  <c r="AA124" i="50" s="1"/>
  <c r="AI124" i="50" s="1"/>
  <c r="Q124" i="50"/>
  <c r="U124" i="50" s="1"/>
  <c r="AG124" i="50" s="1"/>
  <c r="X124" i="50"/>
  <c r="AB124" i="50" s="1"/>
  <c r="AJ124" i="50" s="1"/>
  <c r="Y124" i="50"/>
  <c r="AC124" i="50" s="1"/>
  <c r="AK124" i="50" s="1"/>
  <c r="V144" i="50"/>
  <c r="Z144" i="50" s="1"/>
  <c r="AH144" i="50" s="1"/>
  <c r="W144" i="50"/>
  <c r="AA144" i="50" s="1"/>
  <c r="AI144" i="50" s="1"/>
  <c r="X144" i="50"/>
  <c r="AB144" i="50" s="1"/>
  <c r="AJ144" i="50" s="1"/>
  <c r="Y144" i="50"/>
  <c r="AC144" i="50" s="1"/>
  <c r="AK144" i="50" s="1"/>
  <c r="P144" i="50"/>
  <c r="T144" i="50" s="1"/>
  <c r="AF144" i="50" s="1"/>
  <c r="Q144" i="50"/>
  <c r="U144" i="50" s="1"/>
  <c r="AG144" i="50" s="1"/>
  <c r="O144" i="50"/>
  <c r="S144" i="50" s="1"/>
  <c r="AE144" i="50" s="1"/>
  <c r="N144" i="50"/>
  <c r="R144" i="50" s="1"/>
  <c r="AD144" i="50" s="1"/>
  <c r="R96" i="50"/>
  <c r="AD96" i="50" s="1"/>
  <c r="V108" i="50"/>
  <c r="Z108" i="50" s="1"/>
  <c r="AH108" i="50" s="1"/>
  <c r="F109" i="57" s="1"/>
  <c r="W108" i="50"/>
  <c r="AA108" i="50" s="1"/>
  <c r="AI108" i="50" s="1"/>
  <c r="X108" i="50"/>
  <c r="AB108" i="50" s="1"/>
  <c r="AJ108" i="50" s="1"/>
  <c r="Y108" i="50"/>
  <c r="AC108" i="50" s="1"/>
  <c r="AK108" i="50" s="1"/>
  <c r="O108" i="50"/>
  <c r="S108" i="50" s="1"/>
  <c r="AE108" i="50" s="1"/>
  <c r="N108" i="50"/>
  <c r="R108" i="50" s="1"/>
  <c r="AD108" i="50" s="1"/>
  <c r="P108" i="50"/>
  <c r="T108" i="50" s="1"/>
  <c r="AF108" i="50" s="1"/>
  <c r="Q108" i="50"/>
  <c r="U108" i="50" s="1"/>
  <c r="AG108" i="50" s="1"/>
  <c r="Y68" i="50"/>
  <c r="AC68" i="50" s="1"/>
  <c r="AK68" i="50" s="1"/>
  <c r="Y62" i="50"/>
  <c r="AC62" i="50" s="1"/>
  <c r="AK62" i="50" s="1"/>
  <c r="Q58" i="50"/>
  <c r="U58" i="50" s="1"/>
  <c r="AG58" i="50" s="1"/>
  <c r="O110" i="50"/>
  <c r="S110" i="50" s="1"/>
  <c r="AE110" i="50" s="1"/>
  <c r="V57" i="50"/>
  <c r="Z57" i="50" s="1"/>
  <c r="AH57" i="50" s="1"/>
  <c r="W57" i="50"/>
  <c r="AA57" i="50" s="1"/>
  <c r="AI57" i="50" s="1"/>
  <c r="G58" i="57" s="1"/>
  <c r="N57" i="50"/>
  <c r="R57" i="50" s="1"/>
  <c r="AD57" i="50" s="1"/>
  <c r="O57" i="50"/>
  <c r="S57" i="50" s="1"/>
  <c r="AE57" i="50" s="1"/>
  <c r="Q57" i="50"/>
  <c r="U57" i="50" s="1"/>
  <c r="AG57" i="50" s="1"/>
  <c r="X57" i="50"/>
  <c r="AB57" i="50" s="1"/>
  <c r="AJ57" i="50" s="1"/>
  <c r="Y57" i="50"/>
  <c r="AC57" i="50" s="1"/>
  <c r="AK57" i="50" s="1"/>
  <c r="P57" i="50"/>
  <c r="T57" i="50" s="1"/>
  <c r="AF57" i="50" s="1"/>
  <c r="D58" i="57" s="1"/>
  <c r="N41" i="50"/>
  <c r="R41" i="50" s="1"/>
  <c r="AD41" i="50" s="1"/>
  <c r="O41" i="50"/>
  <c r="S41" i="50" s="1"/>
  <c r="AE41" i="50" s="1"/>
  <c r="P41" i="50"/>
  <c r="T41" i="50" s="1"/>
  <c r="AF41" i="50" s="1"/>
  <c r="Q41" i="50"/>
  <c r="U41" i="50" s="1"/>
  <c r="AG41" i="50" s="1"/>
  <c r="V41" i="50"/>
  <c r="Z41" i="50" s="1"/>
  <c r="AH41" i="50" s="1"/>
  <c r="W41" i="50"/>
  <c r="AA41" i="50" s="1"/>
  <c r="AI41" i="50" s="1"/>
  <c r="X41" i="50"/>
  <c r="AB41" i="50" s="1"/>
  <c r="AJ41" i="50" s="1"/>
  <c r="Y41" i="50"/>
  <c r="AC41" i="50" s="1"/>
  <c r="AK41" i="50" s="1"/>
  <c r="V120" i="50"/>
  <c r="Z120" i="50" s="1"/>
  <c r="AH120" i="50" s="1"/>
  <c r="W120" i="50"/>
  <c r="AA120" i="50" s="1"/>
  <c r="AI120" i="50" s="1"/>
  <c r="X120" i="50"/>
  <c r="AB120" i="50" s="1"/>
  <c r="AJ120" i="50" s="1"/>
  <c r="Y120" i="50"/>
  <c r="AC120" i="50" s="1"/>
  <c r="AK120" i="50" s="1"/>
  <c r="N120" i="50"/>
  <c r="R120" i="50" s="1"/>
  <c r="AD120" i="50" s="1"/>
  <c r="O120" i="50"/>
  <c r="S120" i="50" s="1"/>
  <c r="AE120" i="50" s="1"/>
  <c r="P120" i="50"/>
  <c r="T120" i="50" s="1"/>
  <c r="AF120" i="50" s="1"/>
  <c r="Q120" i="50"/>
  <c r="U120" i="50" s="1"/>
  <c r="AG120" i="50" s="1"/>
  <c r="V98" i="50"/>
  <c r="Z98" i="50" s="1"/>
  <c r="AH98" i="50" s="1"/>
  <c r="F99" i="57" s="1"/>
  <c r="W98" i="50"/>
  <c r="AA98" i="50" s="1"/>
  <c r="AI98" i="50" s="1"/>
  <c r="X98" i="50"/>
  <c r="AB98" i="50" s="1"/>
  <c r="AJ98" i="50" s="1"/>
  <c r="Y98" i="50"/>
  <c r="AC98" i="50" s="1"/>
  <c r="AK98" i="50" s="1"/>
  <c r="Q98" i="50"/>
  <c r="U98" i="50" s="1"/>
  <c r="AG98" i="50" s="1"/>
  <c r="E99" i="57" s="1"/>
  <c r="I93" i="58" s="1"/>
  <c r="J53" i="101" s="1"/>
  <c r="P98" i="50"/>
  <c r="T98" i="50" s="1"/>
  <c r="AF98" i="50" s="1"/>
  <c r="N98" i="50"/>
  <c r="R98" i="50" s="1"/>
  <c r="AD98" i="50" s="1"/>
  <c r="B99" i="57" s="1"/>
  <c r="O98" i="50"/>
  <c r="S98" i="50" s="1"/>
  <c r="AE98" i="50" s="1"/>
  <c r="C99" i="57" s="1"/>
  <c r="Q99" i="50"/>
  <c r="U99" i="50" s="1"/>
  <c r="AG99" i="50" s="1"/>
  <c r="E100" i="57" s="1"/>
  <c r="Q39" i="50"/>
  <c r="U39" i="50" s="1"/>
  <c r="AG39" i="50" s="1"/>
  <c r="P27" i="50"/>
  <c r="T27" i="50" s="1"/>
  <c r="AF27" i="50" s="1"/>
  <c r="D28" i="57" s="1"/>
  <c r="N59" i="50"/>
  <c r="R59" i="50" s="1"/>
  <c r="AD59" i="50" s="1"/>
  <c r="O59" i="50"/>
  <c r="S59" i="50" s="1"/>
  <c r="AE59" i="50" s="1"/>
  <c r="P59" i="50"/>
  <c r="T59" i="50" s="1"/>
  <c r="AF59" i="50" s="1"/>
  <c r="D60" i="57" s="1"/>
  <c r="V59" i="50"/>
  <c r="Z59" i="50" s="1"/>
  <c r="AH59" i="50" s="1"/>
  <c r="Q59" i="50"/>
  <c r="U59" i="50" s="1"/>
  <c r="AG59" i="50" s="1"/>
  <c r="W59" i="50"/>
  <c r="AA59" i="50" s="1"/>
  <c r="AI59" i="50" s="1"/>
  <c r="X59" i="50"/>
  <c r="AB59" i="50" s="1"/>
  <c r="AJ59" i="50" s="1"/>
  <c r="Y59" i="50"/>
  <c r="AC59" i="50" s="1"/>
  <c r="AK59" i="50" s="1"/>
  <c r="I60" i="57" s="1"/>
  <c r="Y60" i="57" s="1"/>
  <c r="V105" i="50"/>
  <c r="Z105" i="50" s="1"/>
  <c r="AH105" i="50" s="1"/>
  <c r="W105" i="50"/>
  <c r="AA105" i="50" s="1"/>
  <c r="AI105" i="50" s="1"/>
  <c r="G106" i="57" s="1"/>
  <c r="X105" i="50"/>
  <c r="AB105" i="50" s="1"/>
  <c r="AJ105" i="50" s="1"/>
  <c r="Y105" i="50"/>
  <c r="AC105" i="50" s="1"/>
  <c r="AK105" i="50" s="1"/>
  <c r="I106" i="57" s="1"/>
  <c r="Y106" i="57" s="1"/>
  <c r="N105" i="50"/>
  <c r="R105" i="50" s="1"/>
  <c r="AD105" i="50" s="1"/>
  <c r="O105" i="50"/>
  <c r="S105" i="50" s="1"/>
  <c r="AE105" i="50" s="1"/>
  <c r="P105" i="50"/>
  <c r="T105" i="50" s="1"/>
  <c r="AF105" i="50" s="1"/>
  <c r="D106" i="57" s="1"/>
  <c r="Q105" i="50"/>
  <c r="U105" i="50" s="1"/>
  <c r="AG105" i="50" s="1"/>
  <c r="E106" i="57" s="1"/>
  <c r="V122" i="50"/>
  <c r="Z122" i="50" s="1"/>
  <c r="AH122" i="50" s="1"/>
  <c r="W122" i="50"/>
  <c r="AA122" i="50" s="1"/>
  <c r="AI122" i="50" s="1"/>
  <c r="Q122" i="50"/>
  <c r="U122" i="50" s="1"/>
  <c r="AG122" i="50" s="1"/>
  <c r="X122" i="50"/>
  <c r="AB122" i="50" s="1"/>
  <c r="AJ122" i="50" s="1"/>
  <c r="Y122" i="50"/>
  <c r="AC122" i="50" s="1"/>
  <c r="AK122" i="50" s="1"/>
  <c r="O122" i="50"/>
  <c r="S122" i="50" s="1"/>
  <c r="AE122" i="50" s="1"/>
  <c r="N122" i="50"/>
  <c r="R122" i="50" s="1"/>
  <c r="AD122" i="50" s="1"/>
  <c r="P122" i="50"/>
  <c r="T122" i="50" s="1"/>
  <c r="AF122" i="50" s="1"/>
  <c r="V127" i="50"/>
  <c r="Z127" i="50" s="1"/>
  <c r="AH127" i="50" s="1"/>
  <c r="W127" i="50"/>
  <c r="AA127" i="50" s="1"/>
  <c r="AI127" i="50" s="1"/>
  <c r="N127" i="50"/>
  <c r="R127" i="50" s="1"/>
  <c r="AD127" i="50" s="1"/>
  <c r="X127" i="50"/>
  <c r="AB127" i="50" s="1"/>
  <c r="AJ127" i="50" s="1"/>
  <c r="H128" i="57" s="1"/>
  <c r="X128" i="57" s="1"/>
  <c r="O127" i="50"/>
  <c r="S127" i="50" s="1"/>
  <c r="AE127" i="50" s="1"/>
  <c r="Q127" i="50"/>
  <c r="U127" i="50" s="1"/>
  <c r="AG127" i="50" s="1"/>
  <c r="P127" i="50"/>
  <c r="T127" i="50" s="1"/>
  <c r="AF127" i="50" s="1"/>
  <c r="Y127" i="50"/>
  <c r="AC127" i="50" s="1"/>
  <c r="AK127" i="50" s="1"/>
  <c r="N142" i="50"/>
  <c r="R142" i="50" s="1"/>
  <c r="AD142" i="50" s="1"/>
  <c r="O142" i="50"/>
  <c r="S142" i="50" s="1"/>
  <c r="AE142" i="50" s="1"/>
  <c r="P142" i="50"/>
  <c r="T142" i="50" s="1"/>
  <c r="AF142" i="50" s="1"/>
  <c r="X142" i="50"/>
  <c r="AB142" i="50" s="1"/>
  <c r="AJ142" i="50" s="1"/>
  <c r="Y142" i="50"/>
  <c r="AC142" i="50" s="1"/>
  <c r="AK142" i="50" s="1"/>
  <c r="W142" i="50"/>
  <c r="AA142" i="50" s="1"/>
  <c r="AI142" i="50" s="1"/>
  <c r="Q142" i="50"/>
  <c r="U142" i="50" s="1"/>
  <c r="AG142" i="50" s="1"/>
  <c r="V142" i="50"/>
  <c r="Z142" i="50" s="1"/>
  <c r="AH142" i="50" s="1"/>
  <c r="V135" i="50"/>
  <c r="Z135" i="50" s="1"/>
  <c r="AH135" i="50" s="1"/>
  <c r="W135" i="50"/>
  <c r="AA135" i="50" s="1"/>
  <c r="AI135" i="50" s="1"/>
  <c r="X135" i="50"/>
  <c r="AB135" i="50" s="1"/>
  <c r="AJ135" i="50" s="1"/>
  <c r="Y135" i="50"/>
  <c r="AC135" i="50" s="1"/>
  <c r="AK135" i="50" s="1"/>
  <c r="P135" i="50"/>
  <c r="T135" i="50" s="1"/>
  <c r="AF135" i="50" s="1"/>
  <c r="Q135" i="50"/>
  <c r="U135" i="50" s="1"/>
  <c r="AG135" i="50" s="1"/>
  <c r="N135" i="50"/>
  <c r="R135" i="50" s="1"/>
  <c r="AD135" i="50" s="1"/>
  <c r="O135" i="50"/>
  <c r="S135" i="50" s="1"/>
  <c r="AE135" i="50" s="1"/>
  <c r="V141" i="50"/>
  <c r="Z141" i="50" s="1"/>
  <c r="AH141" i="50" s="1"/>
  <c r="W141" i="50"/>
  <c r="AA141" i="50" s="1"/>
  <c r="AI141" i="50" s="1"/>
  <c r="G142" i="57" s="1"/>
  <c r="X141" i="50"/>
  <c r="AB141" i="50" s="1"/>
  <c r="AJ141" i="50" s="1"/>
  <c r="H142" i="57" s="1"/>
  <c r="X142" i="57" s="1"/>
  <c r="Y141" i="50"/>
  <c r="AC141" i="50" s="1"/>
  <c r="AK141" i="50" s="1"/>
  <c r="P141" i="50"/>
  <c r="T141" i="50" s="1"/>
  <c r="AF141" i="50" s="1"/>
  <c r="Q141" i="50"/>
  <c r="U141" i="50" s="1"/>
  <c r="AG141" i="50" s="1"/>
  <c r="N141" i="50"/>
  <c r="R141" i="50" s="1"/>
  <c r="AD141" i="50" s="1"/>
  <c r="O141" i="50"/>
  <c r="S141" i="50" s="1"/>
  <c r="AE141" i="50" s="1"/>
  <c r="V137" i="50"/>
  <c r="Z137" i="50" s="1"/>
  <c r="AH137" i="50" s="1"/>
  <c r="W137" i="50"/>
  <c r="AA137" i="50" s="1"/>
  <c r="AI137" i="50" s="1"/>
  <c r="X137" i="50"/>
  <c r="AB137" i="50" s="1"/>
  <c r="AJ137" i="50" s="1"/>
  <c r="Y137" i="50"/>
  <c r="AC137" i="50" s="1"/>
  <c r="AK137" i="50" s="1"/>
  <c r="I138" i="57" s="1"/>
  <c r="Y138" i="57" s="1"/>
  <c r="N137" i="50"/>
  <c r="R137" i="50" s="1"/>
  <c r="AD137" i="50" s="1"/>
  <c r="O137" i="50"/>
  <c r="S137" i="50" s="1"/>
  <c r="AE137" i="50" s="1"/>
  <c r="P137" i="50"/>
  <c r="T137" i="50" s="1"/>
  <c r="AF137" i="50" s="1"/>
  <c r="Q137" i="50"/>
  <c r="U137" i="50" s="1"/>
  <c r="AG137" i="50" s="1"/>
  <c r="V91" i="50"/>
  <c r="Z91" i="50" s="1"/>
  <c r="AH91" i="50" s="1"/>
  <c r="W91" i="50"/>
  <c r="AA91" i="50" s="1"/>
  <c r="AI91" i="50" s="1"/>
  <c r="G92" i="57" s="1"/>
  <c r="Q91" i="50"/>
  <c r="U91" i="50" s="1"/>
  <c r="AG91" i="50" s="1"/>
  <c r="X91" i="50"/>
  <c r="AB91" i="50" s="1"/>
  <c r="AJ91" i="50" s="1"/>
  <c r="Y91" i="50"/>
  <c r="AC91" i="50" s="1"/>
  <c r="AK91" i="50" s="1"/>
  <c r="P91" i="50"/>
  <c r="T91" i="50" s="1"/>
  <c r="AF91" i="50" s="1"/>
  <c r="D92" i="57" s="1"/>
  <c r="N91" i="50"/>
  <c r="R91" i="50" s="1"/>
  <c r="AD91" i="50" s="1"/>
  <c r="O91" i="50"/>
  <c r="S91" i="50" s="1"/>
  <c r="AE91" i="50" s="1"/>
  <c r="C92" i="57" s="1"/>
  <c r="W54" i="50"/>
  <c r="AA54" i="50" s="1"/>
  <c r="AI54" i="50" s="1"/>
  <c r="Y35" i="50"/>
  <c r="AC35" i="50" s="1"/>
  <c r="AK35" i="50" s="1"/>
  <c r="X28" i="50"/>
  <c r="AB28" i="50" s="1"/>
  <c r="AJ28" i="50" s="1"/>
  <c r="H29" i="57" s="1"/>
  <c r="X29" i="57" s="1"/>
  <c r="V43" i="50"/>
  <c r="Z43" i="50" s="1"/>
  <c r="AH43" i="50" s="1"/>
  <c r="W43" i="50"/>
  <c r="AA43" i="50" s="1"/>
  <c r="AI43" i="50" s="1"/>
  <c r="X43" i="50"/>
  <c r="AB43" i="50" s="1"/>
  <c r="AJ43" i="50" s="1"/>
  <c r="Y43" i="50"/>
  <c r="AC43" i="50" s="1"/>
  <c r="AK43" i="50" s="1"/>
  <c r="N43" i="50"/>
  <c r="R43" i="50" s="1"/>
  <c r="AD43" i="50" s="1"/>
  <c r="O43" i="50"/>
  <c r="S43" i="50" s="1"/>
  <c r="AE43" i="50" s="1"/>
  <c r="P43" i="50"/>
  <c r="T43" i="50" s="1"/>
  <c r="AF43" i="50" s="1"/>
  <c r="D44" i="57" s="1"/>
  <c r="Q43" i="50"/>
  <c r="U43" i="50" s="1"/>
  <c r="AG43" i="50" s="1"/>
  <c r="N90" i="50"/>
  <c r="R90" i="50" s="1"/>
  <c r="AD90" i="50" s="1"/>
  <c r="B91" i="57" s="1"/>
  <c r="O90" i="50"/>
  <c r="S90" i="50" s="1"/>
  <c r="AE90" i="50" s="1"/>
  <c r="V90" i="50"/>
  <c r="Z90" i="50" s="1"/>
  <c r="AH90" i="50" s="1"/>
  <c r="F91" i="57" s="1"/>
  <c r="W90" i="50"/>
  <c r="AA90" i="50" s="1"/>
  <c r="AI90" i="50" s="1"/>
  <c r="X90" i="50"/>
  <c r="AB90" i="50" s="1"/>
  <c r="AJ90" i="50" s="1"/>
  <c r="P90" i="50"/>
  <c r="T90" i="50" s="1"/>
  <c r="AF90" i="50" s="1"/>
  <c r="Y90" i="50"/>
  <c r="AC90" i="50" s="1"/>
  <c r="AK90" i="50" s="1"/>
  <c r="Q90" i="50"/>
  <c r="U90" i="50" s="1"/>
  <c r="AG90" i="50" s="1"/>
  <c r="V15" i="50"/>
  <c r="Z15" i="50" s="1"/>
  <c r="AH15" i="50" s="1"/>
  <c r="F16" i="57" s="1"/>
  <c r="W15" i="50"/>
  <c r="AA15" i="50" s="1"/>
  <c r="AI15" i="50" s="1"/>
  <c r="N15" i="50"/>
  <c r="R15" i="50" s="1"/>
  <c r="AD15" i="50" s="1"/>
  <c r="B16" i="57" s="1"/>
  <c r="F70" i="58" s="1"/>
  <c r="O15" i="50"/>
  <c r="S15" i="50" s="1"/>
  <c r="AE15" i="50" s="1"/>
  <c r="C16" i="57" s="1"/>
  <c r="G70" i="58" s="1"/>
  <c r="P15" i="50"/>
  <c r="T15" i="50" s="1"/>
  <c r="AF15" i="50" s="1"/>
  <c r="D16" i="57" s="1"/>
  <c r="H70" i="58" s="1"/>
  <c r="K12" i="101" s="1"/>
  <c r="Q15" i="50"/>
  <c r="U15" i="50" s="1"/>
  <c r="AG15" i="50" s="1"/>
  <c r="E16" i="57" s="1"/>
  <c r="X15" i="50"/>
  <c r="AB15" i="50" s="1"/>
  <c r="AJ15" i="50" s="1"/>
  <c r="H16" i="57" s="1"/>
  <c r="X16" i="57" s="1"/>
  <c r="L70" i="58" s="1"/>
  <c r="Y15" i="50"/>
  <c r="AC15" i="50" s="1"/>
  <c r="AK15" i="50" s="1"/>
  <c r="V143" i="50"/>
  <c r="Z143" i="50" s="1"/>
  <c r="AH143" i="50" s="1"/>
  <c r="W143" i="50"/>
  <c r="AA143" i="50" s="1"/>
  <c r="AI143" i="50" s="1"/>
  <c r="X143" i="50"/>
  <c r="AB143" i="50" s="1"/>
  <c r="AJ143" i="50" s="1"/>
  <c r="Y143" i="50"/>
  <c r="AC143" i="50" s="1"/>
  <c r="AK143" i="50" s="1"/>
  <c r="N143" i="50"/>
  <c r="R143" i="50" s="1"/>
  <c r="AD143" i="50" s="1"/>
  <c r="O143" i="50"/>
  <c r="S143" i="50" s="1"/>
  <c r="AE143" i="50" s="1"/>
  <c r="P143" i="50"/>
  <c r="T143" i="50" s="1"/>
  <c r="AF143" i="50" s="1"/>
  <c r="Q143" i="50"/>
  <c r="U143" i="50" s="1"/>
  <c r="AG143" i="50" s="1"/>
  <c r="V128" i="50"/>
  <c r="Z128" i="50" s="1"/>
  <c r="AH128" i="50" s="1"/>
  <c r="F129" i="57" s="1"/>
  <c r="W128" i="50"/>
  <c r="AA128" i="50" s="1"/>
  <c r="AI128" i="50" s="1"/>
  <c r="Q128" i="50"/>
  <c r="U128" i="50" s="1"/>
  <c r="AG128" i="50" s="1"/>
  <c r="X128" i="50"/>
  <c r="AB128" i="50" s="1"/>
  <c r="AJ128" i="50" s="1"/>
  <c r="Y128" i="50"/>
  <c r="AC128" i="50" s="1"/>
  <c r="AK128" i="50" s="1"/>
  <c r="N128" i="50"/>
  <c r="R128" i="50" s="1"/>
  <c r="AD128" i="50" s="1"/>
  <c r="O128" i="50"/>
  <c r="S128" i="50" s="1"/>
  <c r="AE128" i="50" s="1"/>
  <c r="P128" i="50"/>
  <c r="T128" i="50" s="1"/>
  <c r="AF128" i="50" s="1"/>
  <c r="V134" i="50"/>
  <c r="Z134" i="50" s="1"/>
  <c r="AH134" i="50" s="1"/>
  <c r="W134" i="50"/>
  <c r="AA134" i="50" s="1"/>
  <c r="AI134" i="50" s="1"/>
  <c r="X134" i="50"/>
  <c r="AB134" i="50" s="1"/>
  <c r="AJ134" i="50" s="1"/>
  <c r="H135" i="57" s="1"/>
  <c r="X135" i="57" s="1"/>
  <c r="N134" i="50"/>
  <c r="R134" i="50" s="1"/>
  <c r="AD134" i="50" s="1"/>
  <c r="Y134" i="50"/>
  <c r="AC134" i="50" s="1"/>
  <c r="AK134" i="50" s="1"/>
  <c r="O134" i="50"/>
  <c r="S134" i="50" s="1"/>
  <c r="AE134" i="50" s="1"/>
  <c r="P134" i="50"/>
  <c r="T134" i="50" s="1"/>
  <c r="AF134" i="50" s="1"/>
  <c r="Q134" i="50"/>
  <c r="U134" i="50" s="1"/>
  <c r="AG134" i="50" s="1"/>
  <c r="N78" i="50"/>
  <c r="R78" i="50" s="1"/>
  <c r="AD78" i="50" s="1"/>
  <c r="B78" i="57" s="1"/>
  <c r="O78" i="50"/>
  <c r="S78" i="50" s="1"/>
  <c r="AE78" i="50" s="1"/>
  <c r="C79" i="57" s="1"/>
  <c r="V78" i="50"/>
  <c r="Z78" i="50" s="1"/>
  <c r="AH78" i="50" s="1"/>
  <c r="F79" i="57" s="1"/>
  <c r="W78" i="50"/>
  <c r="AA78" i="50" s="1"/>
  <c r="AI78" i="50" s="1"/>
  <c r="G79" i="57" s="1"/>
  <c r="X78" i="50"/>
  <c r="AB78" i="50" s="1"/>
  <c r="AJ78" i="50" s="1"/>
  <c r="H79" i="57" s="1"/>
  <c r="P78" i="50"/>
  <c r="T78" i="50" s="1"/>
  <c r="AF78" i="50" s="1"/>
  <c r="Q78" i="50"/>
  <c r="U78" i="50" s="1"/>
  <c r="AG78" i="50" s="1"/>
  <c r="Y78" i="50"/>
  <c r="AC78" i="50" s="1"/>
  <c r="AK78" i="50" s="1"/>
  <c r="P62" i="50"/>
  <c r="T62" i="50" s="1"/>
  <c r="AF62" i="50" s="1"/>
  <c r="O99" i="50"/>
  <c r="S99" i="50" s="1"/>
  <c r="AE99" i="50" s="1"/>
  <c r="Q36" i="50"/>
  <c r="U36" i="50" s="1"/>
  <c r="AG36" i="50" s="1"/>
  <c r="E37" i="57" s="1"/>
  <c r="W110" i="50"/>
  <c r="AA110" i="50" s="1"/>
  <c r="AI110" i="50" s="1"/>
  <c r="P101" i="50"/>
  <c r="T101" i="50" s="1"/>
  <c r="AF101" i="50" s="1"/>
  <c r="R81" i="50"/>
  <c r="AD81" i="50" s="1"/>
  <c r="R25" i="50"/>
  <c r="AD25" i="50" s="1"/>
  <c r="R88" i="50"/>
  <c r="AD88" i="50" s="1"/>
  <c r="U48" i="50"/>
  <c r="AG48" i="50" s="1"/>
  <c r="Z40" i="50"/>
  <c r="AH40" i="50" s="1"/>
  <c r="Z104" i="50"/>
  <c r="AH104" i="50" s="1"/>
  <c r="R84" i="50"/>
  <c r="AD84" i="50" s="1"/>
  <c r="S75" i="50"/>
  <c r="AE75" i="50" s="1"/>
  <c r="C76" i="57" s="1"/>
  <c r="R21" i="50"/>
  <c r="AD21" i="50" s="1"/>
  <c r="U88" i="50"/>
  <c r="AG88" i="50" s="1"/>
  <c r="E89" i="57" s="1"/>
  <c r="Z88" i="50"/>
  <c r="AH88" i="50" s="1"/>
  <c r="Z62" i="50"/>
  <c r="AH62" i="50" s="1"/>
  <c r="F63" i="57" s="1"/>
  <c r="AP39" i="50"/>
  <c r="O66" i="57" l="1"/>
  <c r="S66" i="57" s="1"/>
  <c r="W66" i="57" s="1"/>
  <c r="AL65" i="50"/>
  <c r="B66" i="57"/>
  <c r="C66" i="57"/>
  <c r="AM65" i="50"/>
  <c r="AQ65" i="50" s="1"/>
  <c r="AM100" i="50"/>
  <c r="C101" i="57"/>
  <c r="AL100" i="50"/>
  <c r="B101" i="57"/>
  <c r="F130" i="58" s="1"/>
  <c r="N130" i="58" s="1"/>
  <c r="AO8" i="50"/>
  <c r="AS8" i="50" s="1"/>
  <c r="AN65" i="50"/>
  <c r="D66" i="57"/>
  <c r="AO65" i="50"/>
  <c r="E66" i="57"/>
  <c r="AO100" i="50"/>
  <c r="E101" i="57"/>
  <c r="AN100" i="50"/>
  <c r="D101" i="57"/>
  <c r="Y11" i="82"/>
  <c r="H12" i="101"/>
  <c r="AA6" i="82"/>
  <c r="J7" i="101"/>
  <c r="BH12" i="64"/>
  <c r="H9" i="125" s="1"/>
  <c r="I12" i="101"/>
  <c r="Z9" i="82"/>
  <c r="I10" i="101"/>
  <c r="H123" i="57"/>
  <c r="X123" i="57" s="1"/>
  <c r="G123" i="57"/>
  <c r="E120" i="57"/>
  <c r="F116" i="57"/>
  <c r="F104" i="57"/>
  <c r="C104" i="57"/>
  <c r="I68" i="57"/>
  <c r="Y68" i="57" s="1"/>
  <c r="E68" i="57"/>
  <c r="F74" i="57"/>
  <c r="N74" i="57" s="1"/>
  <c r="R74" i="57" s="1"/>
  <c r="V74" i="57" s="1"/>
  <c r="H108" i="57"/>
  <c r="X108" i="57" s="1"/>
  <c r="C114" i="57"/>
  <c r="I95" i="57"/>
  <c r="Y95" i="57" s="1"/>
  <c r="E85" i="57"/>
  <c r="B83" i="57"/>
  <c r="F83" i="57"/>
  <c r="G117" i="57"/>
  <c r="H82" i="57"/>
  <c r="X82" i="57" s="1"/>
  <c r="G77" i="57"/>
  <c r="H77" i="57"/>
  <c r="X77" i="57" s="1"/>
  <c r="L123" i="58" s="1"/>
  <c r="B103" i="57"/>
  <c r="D110" i="57"/>
  <c r="I83" i="57"/>
  <c r="Y83" i="57" s="1"/>
  <c r="E82" i="57"/>
  <c r="M82" i="57" s="1"/>
  <c r="I131" i="57"/>
  <c r="Y131" i="57" s="1"/>
  <c r="G129" i="57"/>
  <c r="F123" i="57"/>
  <c r="C111" i="57"/>
  <c r="H125" i="57"/>
  <c r="X125" i="57" s="1"/>
  <c r="F125" i="57"/>
  <c r="F70" i="57"/>
  <c r="B70" i="57"/>
  <c r="F36" i="58" s="1"/>
  <c r="G126" i="57"/>
  <c r="O126" i="57" s="1"/>
  <c r="S126" i="57" s="1"/>
  <c r="W126" i="57" s="1"/>
  <c r="I120" i="57"/>
  <c r="Y120" i="57" s="1"/>
  <c r="H120" i="57"/>
  <c r="X120" i="57" s="1"/>
  <c r="D116" i="57"/>
  <c r="E104" i="57"/>
  <c r="D104" i="57"/>
  <c r="H68" i="57"/>
  <c r="X68" i="57" s="1"/>
  <c r="C89" i="57"/>
  <c r="K89" i="57" s="1"/>
  <c r="C78" i="57"/>
  <c r="G83" i="58" s="1"/>
  <c r="B90" i="57"/>
  <c r="D118" i="57"/>
  <c r="H89" i="57"/>
  <c r="X89" i="57" s="1"/>
  <c r="H131" i="57"/>
  <c r="X131" i="57" s="1"/>
  <c r="F131" i="57"/>
  <c r="N131" i="57" s="1"/>
  <c r="R131" i="57" s="1"/>
  <c r="V131" i="57" s="1"/>
  <c r="D115" i="57"/>
  <c r="H74" i="57"/>
  <c r="X74" i="57" s="1"/>
  <c r="D88" i="57"/>
  <c r="H47" i="58" s="1"/>
  <c r="C80" i="57"/>
  <c r="G84" i="58" s="1"/>
  <c r="D77" i="57"/>
  <c r="H123" i="58" s="1"/>
  <c r="G85" i="57"/>
  <c r="B88" i="57"/>
  <c r="F47" i="58" s="1"/>
  <c r="F117" i="57"/>
  <c r="D76" i="57"/>
  <c r="I96" i="57"/>
  <c r="Y96" i="57" s="1"/>
  <c r="M48" i="58" s="1"/>
  <c r="B93" i="57"/>
  <c r="F126" i="58" s="1"/>
  <c r="F82" i="57"/>
  <c r="N82" i="57" s="1"/>
  <c r="R82" i="57" s="1"/>
  <c r="V82" i="57" s="1"/>
  <c r="H88" i="57"/>
  <c r="X88" i="57" s="1"/>
  <c r="N48" i="57"/>
  <c r="R48" i="57" s="1"/>
  <c r="V48" i="57" s="1"/>
  <c r="AL47" i="50"/>
  <c r="AP47" i="50" s="1"/>
  <c r="N52" i="57"/>
  <c r="R52" i="57" s="1"/>
  <c r="V52" i="57" s="1"/>
  <c r="J117" i="58" s="1"/>
  <c r="B110" i="57"/>
  <c r="AM38" i="50"/>
  <c r="AQ38" i="50" s="1"/>
  <c r="AL11" i="50"/>
  <c r="AP11" i="50" s="1"/>
  <c r="AL73" i="50"/>
  <c r="AP73" i="50" s="1"/>
  <c r="C30" i="57"/>
  <c r="K30" i="57" s="1"/>
  <c r="AL109" i="50"/>
  <c r="AP109" i="50" s="1"/>
  <c r="B74" i="57"/>
  <c r="J74" i="57" s="1"/>
  <c r="AO60" i="50"/>
  <c r="AS60" i="50" s="1"/>
  <c r="AL102" i="50"/>
  <c r="AP102" i="50" s="1"/>
  <c r="AO101" i="50"/>
  <c r="AS101" i="50" s="1"/>
  <c r="AL28" i="50"/>
  <c r="AP28" i="50" s="1"/>
  <c r="F52" i="58"/>
  <c r="H143" i="57"/>
  <c r="X143" i="57" s="1"/>
  <c r="L113" i="58" s="1"/>
  <c r="H138" i="57"/>
  <c r="X138" i="57" s="1"/>
  <c r="G141" i="57"/>
  <c r="O141" i="57" s="1"/>
  <c r="S141" i="57" s="1"/>
  <c r="W141" i="57" s="1"/>
  <c r="I144" i="57"/>
  <c r="Y144" i="57" s="1"/>
  <c r="F138" i="57"/>
  <c r="I123" i="57"/>
  <c r="Y123" i="57" s="1"/>
  <c r="F106" i="57"/>
  <c r="F107" i="57"/>
  <c r="H114" i="57"/>
  <c r="X114" i="57" s="1"/>
  <c r="D111" i="57"/>
  <c r="H62" i="58" s="1"/>
  <c r="K58" i="101" s="1"/>
  <c r="B114" i="57"/>
  <c r="G127" i="57"/>
  <c r="F128" i="57"/>
  <c r="N128" i="57" s="1"/>
  <c r="R128" i="57" s="1"/>
  <c r="V128" i="57" s="1"/>
  <c r="H144" i="57"/>
  <c r="X144" i="57" s="1"/>
  <c r="H116" i="57"/>
  <c r="X116" i="57" s="1"/>
  <c r="H139" i="57"/>
  <c r="X139" i="57" s="1"/>
  <c r="I140" i="57"/>
  <c r="Y140" i="57" s="1"/>
  <c r="M143" i="58" s="1"/>
  <c r="E112" i="57"/>
  <c r="D113" i="57"/>
  <c r="C117" i="57"/>
  <c r="I119" i="57"/>
  <c r="Y119" i="57" s="1"/>
  <c r="B107" i="57"/>
  <c r="D117" i="57"/>
  <c r="G121" i="57"/>
  <c r="G116" i="57"/>
  <c r="H104" i="57"/>
  <c r="N104" i="57" s="1"/>
  <c r="R104" i="57" s="1"/>
  <c r="V104" i="57" s="1"/>
  <c r="G139" i="57"/>
  <c r="F134" i="57"/>
  <c r="G118" i="57"/>
  <c r="H122" i="57"/>
  <c r="X122" i="57" s="1"/>
  <c r="AL37" i="50"/>
  <c r="AP37" i="50" s="1"/>
  <c r="H113" i="57"/>
  <c r="X113" i="57" s="1"/>
  <c r="C116" i="57"/>
  <c r="G100" i="58" s="1"/>
  <c r="C59" i="57"/>
  <c r="G49" i="58" s="1"/>
  <c r="D108" i="57"/>
  <c r="AB108" i="57" s="1"/>
  <c r="G138" i="57"/>
  <c r="O138" i="57" s="1"/>
  <c r="S138" i="57" s="1"/>
  <c r="W138" i="57" s="1"/>
  <c r="F121" i="57"/>
  <c r="C109" i="57"/>
  <c r="G145" i="57"/>
  <c r="G104" i="57"/>
  <c r="D103" i="57"/>
  <c r="H94" i="58" s="1"/>
  <c r="D107" i="57"/>
  <c r="F141" i="57"/>
  <c r="N141" i="57" s="1"/>
  <c r="R141" i="57" s="1"/>
  <c r="V141" i="57" s="1"/>
  <c r="H136" i="57"/>
  <c r="X136" i="57" s="1"/>
  <c r="L139" i="58" s="1"/>
  <c r="F136" i="57"/>
  <c r="N136" i="57" s="1"/>
  <c r="R136" i="57" s="1"/>
  <c r="V136" i="57" s="1"/>
  <c r="F145" i="57"/>
  <c r="H126" i="57"/>
  <c r="X126" i="57" s="1"/>
  <c r="L109" i="58" s="1"/>
  <c r="I132" i="57"/>
  <c r="Y132" i="57" s="1"/>
  <c r="I93" i="57"/>
  <c r="Y93" i="57" s="1"/>
  <c r="M126" i="58" s="1"/>
  <c r="G133" i="57"/>
  <c r="F110" i="57"/>
  <c r="J110" i="57" s="1"/>
  <c r="G144" i="57"/>
  <c r="F143" i="57"/>
  <c r="N143" i="57" s="1"/>
  <c r="R143" i="57" s="1"/>
  <c r="V143" i="57" s="1"/>
  <c r="H132" i="57"/>
  <c r="X132" i="57" s="1"/>
  <c r="I137" i="57"/>
  <c r="Y137" i="57" s="1"/>
  <c r="M141" i="58" s="1"/>
  <c r="B61" i="57"/>
  <c r="F55" i="58" s="1"/>
  <c r="B95" i="57"/>
  <c r="F92" i="58" s="1"/>
  <c r="I50" i="101" s="1"/>
  <c r="AL58" i="50"/>
  <c r="AP58" i="50" s="1"/>
  <c r="AL36" i="50"/>
  <c r="B29" i="57"/>
  <c r="F74" i="58" s="1"/>
  <c r="I22" i="101" s="1"/>
  <c r="AL92" i="50"/>
  <c r="AP92" i="50" s="1"/>
  <c r="C82" i="57"/>
  <c r="G85" i="58" s="1"/>
  <c r="AO82" i="50"/>
  <c r="AS82" i="50" s="1"/>
  <c r="AL60" i="50"/>
  <c r="AP60" i="50" s="1"/>
  <c r="C72" i="57"/>
  <c r="C100" i="57"/>
  <c r="G129" i="58" s="1"/>
  <c r="I143" i="57"/>
  <c r="Y143" i="57" s="1"/>
  <c r="C51" i="57"/>
  <c r="G35" i="58" s="1"/>
  <c r="G132" i="57"/>
  <c r="F27" i="57"/>
  <c r="I117" i="57"/>
  <c r="Y117" i="57" s="1"/>
  <c r="E39" i="57"/>
  <c r="M39" i="57" s="1"/>
  <c r="I110" i="57"/>
  <c r="Y110" i="57" s="1"/>
  <c r="F113" i="57"/>
  <c r="D83" i="57"/>
  <c r="H86" i="58" s="1"/>
  <c r="F135" i="57"/>
  <c r="N135" i="57" s="1"/>
  <c r="R135" i="57" s="1"/>
  <c r="V135" i="57" s="1"/>
  <c r="G70" i="57"/>
  <c r="O70" i="57" s="1"/>
  <c r="S70" i="57" s="1"/>
  <c r="W70" i="57" s="1"/>
  <c r="F49" i="57"/>
  <c r="E53" i="57"/>
  <c r="E46" i="57"/>
  <c r="B23" i="57"/>
  <c r="H133" i="57"/>
  <c r="X133" i="57" s="1"/>
  <c r="E118" i="57"/>
  <c r="B75" i="57"/>
  <c r="G33" i="57"/>
  <c r="F86" i="57"/>
  <c r="H137" i="57"/>
  <c r="X137" i="57" s="1"/>
  <c r="C115" i="57"/>
  <c r="G98" i="58" s="1"/>
  <c r="H61" i="101" s="1"/>
  <c r="H27" i="57"/>
  <c r="X27" i="57" s="1"/>
  <c r="H80" i="57"/>
  <c r="X80" i="57" s="1"/>
  <c r="F114" i="57"/>
  <c r="I107" i="57"/>
  <c r="Y107" i="57" s="1"/>
  <c r="M56" i="58" s="1"/>
  <c r="I85" i="57"/>
  <c r="Y85" i="57" s="1"/>
  <c r="H13" i="57"/>
  <c r="X13" i="57" s="1"/>
  <c r="L68" i="58" s="1"/>
  <c r="P68" i="58" s="1"/>
  <c r="E74" i="57"/>
  <c r="I81" i="58" s="1"/>
  <c r="F96" i="57"/>
  <c r="G72" i="57"/>
  <c r="I14" i="57"/>
  <c r="Y14" i="57" s="1"/>
  <c r="M69" i="58" s="1"/>
  <c r="C108" i="57"/>
  <c r="G58" i="58" s="1"/>
  <c r="H57" i="101" s="1"/>
  <c r="I122" i="57"/>
  <c r="Y122" i="57" s="1"/>
  <c r="B89" i="57"/>
  <c r="D82" i="57"/>
  <c r="L82" i="57" s="1"/>
  <c r="B100" i="57"/>
  <c r="F129" i="58" s="1"/>
  <c r="I136" i="57"/>
  <c r="Y136" i="57" s="1"/>
  <c r="I128" i="57"/>
  <c r="Y128" i="57" s="1"/>
  <c r="I121" i="57"/>
  <c r="Y121" i="57" s="1"/>
  <c r="M104" i="58" s="1"/>
  <c r="E109" i="57"/>
  <c r="D53" i="57"/>
  <c r="H37" i="58" s="1"/>
  <c r="I116" i="57"/>
  <c r="Y116" i="57" s="1"/>
  <c r="C94" i="57"/>
  <c r="G127" i="58" s="1"/>
  <c r="D89" i="57"/>
  <c r="AB89" i="57" s="1"/>
  <c r="C71" i="57"/>
  <c r="K71" i="57" s="1"/>
  <c r="I111" i="57"/>
  <c r="Y111" i="57" s="1"/>
  <c r="E57" i="57"/>
  <c r="M57" i="57" s="1"/>
  <c r="G131" i="57"/>
  <c r="O131" i="57" s="1"/>
  <c r="S131" i="57" s="1"/>
  <c r="W131" i="57" s="1"/>
  <c r="H75" i="57"/>
  <c r="X75" i="57" s="1"/>
  <c r="L82" i="58" s="1"/>
  <c r="C33" i="57"/>
  <c r="G75" i="58" s="1"/>
  <c r="C62" i="57"/>
  <c r="H115" i="57"/>
  <c r="X115" i="57" s="1"/>
  <c r="AB115" i="57" s="1"/>
  <c r="I124" i="57"/>
  <c r="Y124" i="57" s="1"/>
  <c r="D27" i="57"/>
  <c r="I50" i="57"/>
  <c r="Y50" i="57" s="1"/>
  <c r="M121" i="58" s="1"/>
  <c r="I52" i="57"/>
  <c r="Y52" i="57" s="1"/>
  <c r="M117" i="58" s="1"/>
  <c r="E47" i="57"/>
  <c r="M47" i="57" s="1"/>
  <c r="F47" i="57"/>
  <c r="D15" i="57"/>
  <c r="H14" i="58" s="1"/>
  <c r="B108" i="57"/>
  <c r="J108" i="57" s="1"/>
  <c r="C97" i="57"/>
  <c r="G128" i="58" s="1"/>
  <c r="G88" i="57"/>
  <c r="D26" i="57"/>
  <c r="H24" i="58" s="1"/>
  <c r="K20" i="101" s="1"/>
  <c r="G43" i="57"/>
  <c r="G137" i="57"/>
  <c r="E117" i="57"/>
  <c r="H134" i="57"/>
  <c r="X134" i="57" s="1"/>
  <c r="L138" i="58" s="1"/>
  <c r="C118" i="57"/>
  <c r="I75" i="57"/>
  <c r="Y75" i="57" s="1"/>
  <c r="AC75" i="57" s="1"/>
  <c r="F137" i="57"/>
  <c r="N137" i="57" s="1"/>
  <c r="R137" i="57" s="1"/>
  <c r="V137" i="57" s="1"/>
  <c r="C119" i="57"/>
  <c r="H100" i="57"/>
  <c r="X100" i="57" s="1"/>
  <c r="B15" i="57"/>
  <c r="F14" i="58" s="1"/>
  <c r="I11" i="101" s="1"/>
  <c r="I129" i="57"/>
  <c r="Y129" i="57" s="1"/>
  <c r="F144" i="57"/>
  <c r="F62" i="58"/>
  <c r="I58" i="101" s="1"/>
  <c r="H121" i="57"/>
  <c r="X121" i="57" s="1"/>
  <c r="D109" i="57"/>
  <c r="I145" i="57"/>
  <c r="Y145" i="57" s="1"/>
  <c r="I53" i="57"/>
  <c r="E116" i="57"/>
  <c r="F95" i="57"/>
  <c r="B104" i="57"/>
  <c r="J104" i="57" s="1"/>
  <c r="I139" i="57"/>
  <c r="Y139" i="57" s="1"/>
  <c r="M142" i="58" s="1"/>
  <c r="F22" i="57"/>
  <c r="I71" i="57"/>
  <c r="Y71" i="57" s="1"/>
  <c r="M38" i="58" s="1"/>
  <c r="E111" i="57"/>
  <c r="I119" i="58" s="1"/>
  <c r="J59" i="101" s="1"/>
  <c r="G134" i="57"/>
  <c r="B87" i="57"/>
  <c r="G115" i="57"/>
  <c r="H124" i="57"/>
  <c r="X124" i="57" s="1"/>
  <c r="L107" i="58" s="1"/>
  <c r="C34" i="57"/>
  <c r="G76" i="58" s="1"/>
  <c r="C27" i="57"/>
  <c r="G26" i="58" s="1"/>
  <c r="C17" i="57"/>
  <c r="G120" i="58" s="1"/>
  <c r="H13" i="101" s="1"/>
  <c r="G108" i="57"/>
  <c r="H52" i="57"/>
  <c r="X52" i="57" s="1"/>
  <c r="L117" i="58" s="1"/>
  <c r="E13" i="57"/>
  <c r="I68" i="58" s="1"/>
  <c r="B35" i="57"/>
  <c r="J35" i="57" s="1"/>
  <c r="I77" i="57"/>
  <c r="Y77" i="57" s="1"/>
  <c r="M123" i="58" s="1"/>
  <c r="G38" i="57"/>
  <c r="O38" i="57" s="1"/>
  <c r="S38" i="57" s="1"/>
  <c r="W38" i="57" s="1"/>
  <c r="E97" i="57"/>
  <c r="I128" i="58" s="1"/>
  <c r="C28" i="57"/>
  <c r="G28" i="58" s="1"/>
  <c r="F69" i="57"/>
  <c r="AN51" i="50"/>
  <c r="AR51" i="50" s="1"/>
  <c r="H12" i="57"/>
  <c r="X12" i="57" s="1"/>
  <c r="L67" i="58" s="1"/>
  <c r="H78" i="57"/>
  <c r="X78" i="57" s="1"/>
  <c r="L83" i="58" s="1"/>
  <c r="G37" i="57"/>
  <c r="O37" i="57" s="1"/>
  <c r="S37" i="57" s="1"/>
  <c r="W37" i="57" s="1"/>
  <c r="I59" i="57"/>
  <c r="Y59" i="57" s="1"/>
  <c r="M49" i="58" s="1"/>
  <c r="H72" i="57"/>
  <c r="X72" i="57" s="1"/>
  <c r="L40" i="58" s="1"/>
  <c r="G120" i="57"/>
  <c r="F133" i="57"/>
  <c r="I115" i="57"/>
  <c r="Y115" i="57" s="1"/>
  <c r="B113" i="57"/>
  <c r="C74" i="57"/>
  <c r="G81" i="58" s="1"/>
  <c r="B79" i="57"/>
  <c r="F42" i="58" s="1"/>
  <c r="AO95" i="50"/>
  <c r="AS95" i="50" s="1"/>
  <c r="G113" i="57"/>
  <c r="H129" i="57"/>
  <c r="X129" i="57" s="1"/>
  <c r="L132" i="58" s="1"/>
  <c r="I16" i="57"/>
  <c r="Y16" i="57" s="1"/>
  <c r="M70" i="58" s="1"/>
  <c r="F44" i="57"/>
  <c r="G136" i="57"/>
  <c r="D99" i="57"/>
  <c r="H93" i="58" s="1"/>
  <c r="H58" i="57"/>
  <c r="X58" i="57" s="1"/>
  <c r="AB58" i="57" s="1"/>
  <c r="H145" i="57"/>
  <c r="X145" i="57" s="1"/>
  <c r="D70" i="57"/>
  <c r="L70" i="57" s="1"/>
  <c r="I104" i="57"/>
  <c r="Y104" i="57" s="1"/>
  <c r="AC104" i="57" s="1"/>
  <c r="B65" i="57"/>
  <c r="H107" i="57"/>
  <c r="X107" i="57" s="1"/>
  <c r="D37" i="57"/>
  <c r="L37" i="57" s="1"/>
  <c r="H118" i="57"/>
  <c r="X118" i="57" s="1"/>
  <c r="AB118" i="57" s="1"/>
  <c r="F75" i="57"/>
  <c r="I86" i="57"/>
  <c r="Y86" i="57" s="1"/>
  <c r="M124" i="58" s="1"/>
  <c r="F115" i="57"/>
  <c r="G124" i="57"/>
  <c r="I13" i="57"/>
  <c r="Y13" i="57" s="1"/>
  <c r="M68" i="58" s="1"/>
  <c r="G114" i="57"/>
  <c r="D59" i="57"/>
  <c r="H49" i="58" s="1"/>
  <c r="G45" i="57"/>
  <c r="K45" i="57" s="1"/>
  <c r="F119" i="57"/>
  <c r="F15" i="57"/>
  <c r="N15" i="57" s="1"/>
  <c r="R15" i="57" s="1"/>
  <c r="V15" i="57" s="1"/>
  <c r="J14" i="58" s="1"/>
  <c r="B11" i="57"/>
  <c r="J11" i="57" s="1"/>
  <c r="F30" i="57"/>
  <c r="F28" i="57"/>
  <c r="J28" i="57" s="1"/>
  <c r="I108" i="57"/>
  <c r="Y108" i="57" s="1"/>
  <c r="B117" i="57"/>
  <c r="J117" i="57" s="1"/>
  <c r="G11" i="57"/>
  <c r="O11" i="57" s="1"/>
  <c r="S11" i="57" s="1"/>
  <c r="W11" i="57" s="1"/>
  <c r="G100" i="57"/>
  <c r="O100" i="57" s="1"/>
  <c r="S100" i="57" s="1"/>
  <c r="W100" i="57" s="1"/>
  <c r="K129" i="58" s="1"/>
  <c r="G82" i="57"/>
  <c r="I103" i="57"/>
  <c r="Y103" i="57" s="1"/>
  <c r="G12" i="57"/>
  <c r="F13" i="57"/>
  <c r="I142" i="57"/>
  <c r="Y142" i="57" s="1"/>
  <c r="F24" i="57"/>
  <c r="F139" i="57"/>
  <c r="H90" i="57"/>
  <c r="X90" i="57" s="1"/>
  <c r="C112" i="57"/>
  <c r="K112" i="57" s="1"/>
  <c r="E21" i="57"/>
  <c r="I71" i="58" s="1"/>
  <c r="D114" i="57"/>
  <c r="E11" i="57"/>
  <c r="I12" i="58" s="1"/>
  <c r="Q12" i="58" s="1"/>
  <c r="Y12" i="58" s="1"/>
  <c r="G96" i="57"/>
  <c r="D100" i="57"/>
  <c r="H129" i="58" s="1"/>
  <c r="B30" i="57"/>
  <c r="F116" i="58" s="1"/>
  <c r="I135" i="57"/>
  <c r="Y135" i="57" s="1"/>
  <c r="F60" i="57"/>
  <c r="H99" i="57"/>
  <c r="X99" i="57" s="1"/>
  <c r="L93" i="58" s="1"/>
  <c r="H109" i="57"/>
  <c r="I125" i="57"/>
  <c r="Y125" i="57" s="1"/>
  <c r="B120" i="57"/>
  <c r="E24" i="57"/>
  <c r="AC24" i="57" s="1"/>
  <c r="I127" i="57"/>
  <c r="Y127" i="57" s="1"/>
  <c r="M110" i="58" s="1"/>
  <c r="I94" i="57"/>
  <c r="Y94" i="57" s="1"/>
  <c r="M127" i="58" s="1"/>
  <c r="G65" i="57"/>
  <c r="O65" i="57" s="1"/>
  <c r="S65" i="57" s="1"/>
  <c r="W65" i="57" s="1"/>
  <c r="H73" i="57"/>
  <c r="X73" i="57" s="1"/>
  <c r="G122" i="57"/>
  <c r="G130" i="57"/>
  <c r="D112" i="57"/>
  <c r="C38" i="57"/>
  <c r="C25" i="57"/>
  <c r="G22" i="58" s="1"/>
  <c r="H19" i="101" s="1"/>
  <c r="E15" i="57"/>
  <c r="I14" i="58" s="1"/>
  <c r="H63" i="57"/>
  <c r="X63" i="57" s="1"/>
  <c r="E103" i="57"/>
  <c r="AM58" i="50"/>
  <c r="AQ58" i="50" s="1"/>
  <c r="F111" i="57"/>
  <c r="J111" i="57" s="1"/>
  <c r="G110" i="57"/>
  <c r="E110" i="57"/>
  <c r="F124" i="57"/>
  <c r="D11" i="57"/>
  <c r="H12" i="58" s="1"/>
  <c r="F51" i="57"/>
  <c r="F118" i="57"/>
  <c r="H130" i="57"/>
  <c r="X130" i="57" s="1"/>
  <c r="L133" i="58" s="1"/>
  <c r="H69" i="57"/>
  <c r="X69" i="57" s="1"/>
  <c r="F34" i="57"/>
  <c r="J34" i="57" s="1"/>
  <c r="G36" i="57"/>
  <c r="K36" i="57" s="1"/>
  <c r="F89" i="57"/>
  <c r="N89" i="57" s="1"/>
  <c r="R89" i="57" s="1"/>
  <c r="V89" i="57" s="1"/>
  <c r="B82" i="57"/>
  <c r="J82" i="57" s="1"/>
  <c r="I79" i="57"/>
  <c r="O79" i="57" s="1"/>
  <c r="S79" i="57" s="1"/>
  <c r="W79" i="57" s="1"/>
  <c r="AA79" i="57" s="1"/>
  <c r="I36" i="57"/>
  <c r="Y36" i="57" s="1"/>
  <c r="G143" i="57"/>
  <c r="G128" i="57"/>
  <c r="C106" i="57"/>
  <c r="G109" i="57"/>
  <c r="D51" i="57"/>
  <c r="H127" i="57"/>
  <c r="X127" i="57" s="1"/>
  <c r="L131" i="58" s="1"/>
  <c r="I32" i="57"/>
  <c r="Y32" i="57" s="1"/>
  <c r="F20" i="57"/>
  <c r="N20" i="57" s="1"/>
  <c r="R20" i="57" s="1"/>
  <c r="V20" i="57" s="1"/>
  <c r="F65" i="57"/>
  <c r="G73" i="57"/>
  <c r="O73" i="57" s="1"/>
  <c r="S73" i="57" s="1"/>
  <c r="W73" i="57" s="1"/>
  <c r="F87" i="57"/>
  <c r="F122" i="57"/>
  <c r="H140" i="57"/>
  <c r="X140" i="57" s="1"/>
  <c r="F130" i="57"/>
  <c r="C110" i="57"/>
  <c r="G62" i="58" s="1"/>
  <c r="H58" i="101" s="1"/>
  <c r="AO54" i="50"/>
  <c r="AS54" i="50" s="1"/>
  <c r="I88" i="57"/>
  <c r="Y88" i="57" s="1"/>
  <c r="M47" i="58" s="1"/>
  <c r="H111" i="57"/>
  <c r="X111" i="57" s="1"/>
  <c r="AL51" i="50"/>
  <c r="AP51" i="50" s="1"/>
  <c r="D25" i="57"/>
  <c r="H22" i="58" s="1"/>
  <c r="F39" i="57"/>
  <c r="N39" i="57" s="1"/>
  <c r="R39" i="57" s="1"/>
  <c r="V39" i="57" s="1"/>
  <c r="Z39" i="57" s="1"/>
  <c r="F85" i="57"/>
  <c r="D119" i="57"/>
  <c r="H102" i="58" s="1"/>
  <c r="G107" i="57"/>
  <c r="E96" i="57"/>
  <c r="G119" i="57"/>
  <c r="H110" i="57"/>
  <c r="B12" i="57"/>
  <c r="D12" i="57"/>
  <c r="H67" i="58" s="1"/>
  <c r="K8" i="101" s="1"/>
  <c r="B119" i="57"/>
  <c r="I130" i="57"/>
  <c r="Y130" i="57" s="1"/>
  <c r="M134" i="58" s="1"/>
  <c r="I26" i="57"/>
  <c r="Y26" i="57" s="1"/>
  <c r="F142" i="57"/>
  <c r="N142" i="57" s="1"/>
  <c r="R142" i="57" s="1"/>
  <c r="V142" i="57" s="1"/>
  <c r="D39" i="57"/>
  <c r="H13" i="58" s="1"/>
  <c r="I112" i="57"/>
  <c r="Y112" i="57" s="1"/>
  <c r="G28" i="57"/>
  <c r="F103" i="57"/>
  <c r="J103" i="57" s="1"/>
  <c r="G135" i="57"/>
  <c r="G16" i="57"/>
  <c r="K16" i="57" s="1"/>
  <c r="G125" i="57"/>
  <c r="B51" i="57"/>
  <c r="F127" i="57"/>
  <c r="F94" i="57"/>
  <c r="N94" i="57" s="1"/>
  <c r="R94" i="57" s="1"/>
  <c r="V94" i="57" s="1"/>
  <c r="J127" i="58" s="1"/>
  <c r="I114" i="57"/>
  <c r="Y114" i="57" s="1"/>
  <c r="F132" i="57"/>
  <c r="C23" i="57"/>
  <c r="K23" i="57" s="1"/>
  <c r="I134" i="57"/>
  <c r="Y134" i="57" s="1"/>
  <c r="I133" i="57"/>
  <c r="Y133" i="57" s="1"/>
  <c r="C96" i="57"/>
  <c r="G86" i="57"/>
  <c r="E115" i="57"/>
  <c r="H50" i="57"/>
  <c r="X50" i="57" s="1"/>
  <c r="L121" i="58" s="1"/>
  <c r="C55" i="57"/>
  <c r="G41" i="58" s="1"/>
  <c r="D81" i="57"/>
  <c r="H44" i="58" s="1"/>
  <c r="F88" i="57"/>
  <c r="N88" i="57" s="1"/>
  <c r="R88" i="57" s="1"/>
  <c r="V88" i="57" s="1"/>
  <c r="H119" i="57"/>
  <c r="X119" i="57" s="1"/>
  <c r="I80" i="57"/>
  <c r="Y80" i="57" s="1"/>
  <c r="M84" i="58" s="1"/>
  <c r="E114" i="57"/>
  <c r="H117" i="57"/>
  <c r="X117" i="57" s="1"/>
  <c r="E107" i="57"/>
  <c r="B17" i="57"/>
  <c r="F120" i="58" s="1"/>
  <c r="I13" i="101" s="1"/>
  <c r="G29" i="57"/>
  <c r="K29" i="57" s="1"/>
  <c r="E108" i="57"/>
  <c r="F55" i="57"/>
  <c r="J55" i="57" s="1"/>
  <c r="F37" i="57"/>
  <c r="N37" i="57" s="1"/>
  <c r="R37" i="57" s="1"/>
  <c r="V37" i="57" s="1"/>
  <c r="B25" i="57"/>
  <c r="F22" i="58" s="1"/>
  <c r="AL24" i="50"/>
  <c r="AP24" i="50" s="1"/>
  <c r="J14" i="57"/>
  <c r="AM60" i="50"/>
  <c r="AQ60" i="50" s="1"/>
  <c r="G61" i="57"/>
  <c r="AL13" i="50"/>
  <c r="I10" i="64" s="1"/>
  <c r="M10" i="64" s="1"/>
  <c r="BH10" i="64"/>
  <c r="H7" i="125" s="1"/>
  <c r="D41" i="57"/>
  <c r="H17" i="58" s="1"/>
  <c r="AO118" i="50"/>
  <c r="AS118" i="50" s="1"/>
  <c r="AN95" i="50"/>
  <c r="AR95" i="50" s="1"/>
  <c r="E93" i="57"/>
  <c r="I126" i="58" s="1"/>
  <c r="B13" i="57"/>
  <c r="AN92" i="50"/>
  <c r="AR92" i="50" s="1"/>
  <c r="AO77" i="50"/>
  <c r="AS77" i="50" s="1"/>
  <c r="AO76" i="50"/>
  <c r="AS76" i="50" s="1"/>
  <c r="E54" i="57"/>
  <c r="AM96" i="50"/>
  <c r="AQ96" i="50" s="1"/>
  <c r="AM24" i="50"/>
  <c r="AQ24" i="50" s="1"/>
  <c r="AL95" i="50"/>
  <c r="AP95" i="50" s="1"/>
  <c r="B96" i="57"/>
  <c r="E55" i="57"/>
  <c r="M55" i="57" s="1"/>
  <c r="AO53" i="50"/>
  <c r="AS53" i="50" s="1"/>
  <c r="AL110" i="50"/>
  <c r="AP110" i="50" s="1"/>
  <c r="AL38" i="50"/>
  <c r="AP38" i="50" s="1"/>
  <c r="B52" i="57"/>
  <c r="J52" i="57" s="1"/>
  <c r="AN75" i="50"/>
  <c r="AR75" i="50" s="1"/>
  <c r="G59" i="57"/>
  <c r="G93" i="57"/>
  <c r="AM28" i="50"/>
  <c r="AQ28" i="50" s="1"/>
  <c r="D93" i="57"/>
  <c r="H126" i="58" s="1"/>
  <c r="AN8" i="50"/>
  <c r="K6" i="64" s="1"/>
  <c r="O6" i="64" s="1"/>
  <c r="AN35" i="50"/>
  <c r="AR35" i="50" s="1"/>
  <c r="AO109" i="50"/>
  <c r="AS109" i="50" s="1"/>
  <c r="K13" i="57"/>
  <c r="E9" i="57"/>
  <c r="I66" i="58" s="1"/>
  <c r="AM76" i="50"/>
  <c r="AQ76" i="50" s="1"/>
  <c r="AN11" i="50"/>
  <c r="AM107" i="50"/>
  <c r="AQ107" i="50" s="1"/>
  <c r="AN82" i="50"/>
  <c r="AR82" i="50" s="1"/>
  <c r="C102" i="57"/>
  <c r="AL54" i="50"/>
  <c r="AP54" i="50" s="1"/>
  <c r="AM13" i="50"/>
  <c r="AQ13" i="50" s="1"/>
  <c r="AM37" i="50"/>
  <c r="AQ37" i="50" s="1"/>
  <c r="AL96" i="50"/>
  <c r="AP96" i="50" s="1"/>
  <c r="AM36" i="50"/>
  <c r="AQ36" i="50" s="1"/>
  <c r="G25" i="57"/>
  <c r="E83" i="57"/>
  <c r="I62" i="57"/>
  <c r="Y62" i="57" s="1"/>
  <c r="M57" i="58" s="1"/>
  <c r="AO58" i="50"/>
  <c r="AS58" i="50" s="1"/>
  <c r="AO37" i="50"/>
  <c r="AS37" i="50" s="1"/>
  <c r="AN116" i="50"/>
  <c r="AR116" i="50" s="1"/>
  <c r="AM118" i="50"/>
  <c r="AQ118" i="50" s="1"/>
  <c r="AO73" i="50"/>
  <c r="AS73" i="50" s="1"/>
  <c r="AN34" i="50"/>
  <c r="K26" i="64" s="1"/>
  <c r="O26" i="64" s="1"/>
  <c r="AN118" i="50"/>
  <c r="AR118" i="50" s="1"/>
  <c r="AL16" i="50"/>
  <c r="K14" i="57"/>
  <c r="AO24" i="50"/>
  <c r="AS24" i="50" s="1"/>
  <c r="AL118" i="50"/>
  <c r="AP118" i="50" s="1"/>
  <c r="AL35" i="50"/>
  <c r="AP35" i="50" s="1"/>
  <c r="AL68" i="50"/>
  <c r="AO107" i="50"/>
  <c r="AS107" i="50" s="1"/>
  <c r="D52" i="57"/>
  <c r="L52" i="57" s="1"/>
  <c r="AL20" i="50"/>
  <c r="AP20" i="50" s="1"/>
  <c r="AN77" i="50"/>
  <c r="AR77" i="50" s="1"/>
  <c r="B38" i="57"/>
  <c r="J38" i="57" s="1"/>
  <c r="AL33" i="50"/>
  <c r="AP33" i="50" s="1"/>
  <c r="AL107" i="50"/>
  <c r="AP107" i="50" s="1"/>
  <c r="H9" i="57"/>
  <c r="X9" i="57" s="1"/>
  <c r="L66" i="58" s="1"/>
  <c r="P66" i="58" s="1"/>
  <c r="I74" i="57"/>
  <c r="Y74" i="57" s="1"/>
  <c r="AL116" i="50"/>
  <c r="AP116" i="50" s="1"/>
  <c r="AL10" i="50"/>
  <c r="AP10" i="50" s="1"/>
  <c r="E119" i="57"/>
  <c r="I97" i="57"/>
  <c r="Y97" i="57" s="1"/>
  <c r="M128" i="58" s="1"/>
  <c r="AN37" i="50"/>
  <c r="AR37" i="50" s="1"/>
  <c r="AM92" i="50"/>
  <c r="AQ92" i="50" s="1"/>
  <c r="AM80" i="50"/>
  <c r="AQ80" i="50" s="1"/>
  <c r="AO92" i="50"/>
  <c r="AS92" i="50" s="1"/>
  <c r="AM101" i="50"/>
  <c r="AQ101" i="50" s="1"/>
  <c r="AL87" i="50"/>
  <c r="AP87" i="50" s="1"/>
  <c r="AL53" i="50"/>
  <c r="AP53" i="50" s="1"/>
  <c r="AN60" i="50"/>
  <c r="AR60" i="50" s="1"/>
  <c r="AM73" i="50"/>
  <c r="AQ73" i="50" s="1"/>
  <c r="AL76" i="50"/>
  <c r="AP76" i="50" s="1"/>
  <c r="AO87" i="50"/>
  <c r="AS87" i="50" s="1"/>
  <c r="C12" i="57"/>
  <c r="AM11" i="50"/>
  <c r="AQ11" i="50" s="1"/>
  <c r="AO12" i="50"/>
  <c r="J9" i="64" s="1"/>
  <c r="N9" i="64" s="1"/>
  <c r="E102" i="57"/>
  <c r="AN76" i="50"/>
  <c r="AR76" i="50" s="1"/>
  <c r="AL8" i="50"/>
  <c r="AP8" i="50" s="1"/>
  <c r="D38" i="57"/>
  <c r="L38" i="57" s="1"/>
  <c r="E88" i="57"/>
  <c r="AL14" i="50"/>
  <c r="I11" i="64" s="1"/>
  <c r="M11" i="64" s="1"/>
  <c r="B54" i="57"/>
  <c r="F39" i="58" s="1"/>
  <c r="AL49" i="50"/>
  <c r="I35" i="64" s="1"/>
  <c r="M35" i="64" s="1"/>
  <c r="C39" i="57"/>
  <c r="G13" i="58" s="1"/>
  <c r="AN53" i="50"/>
  <c r="K37" i="64" s="1"/>
  <c r="O37" i="64" s="1"/>
  <c r="AN80" i="50"/>
  <c r="AR80" i="50" s="1"/>
  <c r="E25" i="57"/>
  <c r="I22" i="58" s="1"/>
  <c r="AN12" i="50"/>
  <c r="K9" i="64" s="1"/>
  <c r="O9" i="64" s="1"/>
  <c r="AL113" i="50"/>
  <c r="AP113" i="50" s="1"/>
  <c r="AM27" i="50"/>
  <c r="AQ27" i="50" s="1"/>
  <c r="AN110" i="50"/>
  <c r="AR110" i="50" s="1"/>
  <c r="H54" i="57"/>
  <c r="X54" i="57" s="1"/>
  <c r="L39" i="58" s="1"/>
  <c r="AO10" i="50"/>
  <c r="AS10" i="50" s="1"/>
  <c r="AO116" i="50"/>
  <c r="AS116" i="50" s="1"/>
  <c r="AL82" i="50"/>
  <c r="AP82" i="50" s="1"/>
  <c r="E40" i="57"/>
  <c r="I15" i="58" s="1"/>
  <c r="AL27" i="50"/>
  <c r="AP27" i="50" s="1"/>
  <c r="AM54" i="50"/>
  <c r="AQ54" i="50" s="1"/>
  <c r="AO68" i="50"/>
  <c r="AS68" i="50" s="1"/>
  <c r="AM116" i="50"/>
  <c r="AQ116" i="50" s="1"/>
  <c r="AM29" i="50"/>
  <c r="AQ29" i="50" s="1"/>
  <c r="AM34" i="50"/>
  <c r="AQ34" i="50" s="1"/>
  <c r="C61" i="57"/>
  <c r="AM82" i="50"/>
  <c r="AQ82" i="50" s="1"/>
  <c r="G69" i="58"/>
  <c r="H10" i="101" s="1"/>
  <c r="AL34" i="50"/>
  <c r="AP34" i="50" s="1"/>
  <c r="AO56" i="50"/>
  <c r="AS56" i="50" s="1"/>
  <c r="AM12" i="50"/>
  <c r="H9" i="64" s="1"/>
  <c r="L9" i="64" s="1"/>
  <c r="AN14" i="50"/>
  <c r="AM86" i="50"/>
  <c r="E59" i="57"/>
  <c r="I9" i="64"/>
  <c r="M9" i="64" s="1"/>
  <c r="AP12" i="50"/>
  <c r="B97" i="57"/>
  <c r="F128" i="58" s="1"/>
  <c r="AM45" i="50"/>
  <c r="AQ45" i="50" s="1"/>
  <c r="AL78" i="50"/>
  <c r="AP78" i="50" s="1"/>
  <c r="F80" i="57"/>
  <c r="AN52" i="50"/>
  <c r="AR52" i="50" s="1"/>
  <c r="L76" i="58"/>
  <c r="AO28" i="50"/>
  <c r="AS28" i="50" s="1"/>
  <c r="AN28" i="50"/>
  <c r="AR28" i="50" s="1"/>
  <c r="E61" i="57"/>
  <c r="I55" i="58" s="1"/>
  <c r="AO90" i="50"/>
  <c r="AS90" i="50" s="1"/>
  <c r="AO20" i="50"/>
  <c r="AS20" i="50" s="1"/>
  <c r="AM33" i="50"/>
  <c r="AQ33" i="50" s="1"/>
  <c r="AN33" i="50"/>
  <c r="AR33" i="50" s="1"/>
  <c r="AO34" i="50"/>
  <c r="AS34" i="50" s="1"/>
  <c r="AL101" i="50"/>
  <c r="AP101" i="50" s="1"/>
  <c r="AO110" i="50"/>
  <c r="AS110" i="50" s="1"/>
  <c r="D61" i="57"/>
  <c r="H55" i="58" s="1"/>
  <c r="AM90" i="50"/>
  <c r="AQ90" i="50" s="1"/>
  <c r="H53" i="57"/>
  <c r="X53" i="57" s="1"/>
  <c r="AM32" i="50"/>
  <c r="AQ32" i="50" s="1"/>
  <c r="AM77" i="50"/>
  <c r="AQ77" i="50" s="1"/>
  <c r="AM56" i="50"/>
  <c r="AQ56" i="50" s="1"/>
  <c r="G74" i="57"/>
  <c r="E30" i="57"/>
  <c r="I116" i="58" s="1"/>
  <c r="J23" i="101" s="1"/>
  <c r="AN86" i="50"/>
  <c r="AR86" i="50" s="1"/>
  <c r="E48" i="57"/>
  <c r="I31" i="58" s="1"/>
  <c r="N29" i="57"/>
  <c r="R29" i="57" s="1"/>
  <c r="V29" i="57" s="1"/>
  <c r="B69" i="57"/>
  <c r="AO32" i="50"/>
  <c r="AS32" i="50" s="1"/>
  <c r="AO98" i="50"/>
  <c r="AS98" i="50" s="1"/>
  <c r="E33" i="57"/>
  <c r="D96" i="57"/>
  <c r="H48" i="58" s="1"/>
  <c r="AM109" i="50"/>
  <c r="AQ109" i="50" s="1"/>
  <c r="AN70" i="50"/>
  <c r="AR70" i="50" s="1"/>
  <c r="E29" i="57"/>
  <c r="I74" i="58" s="1"/>
  <c r="C87" i="57"/>
  <c r="G46" i="58" s="1"/>
  <c r="L74" i="58"/>
  <c r="AL106" i="50"/>
  <c r="AP106" i="50" s="1"/>
  <c r="AM111" i="50"/>
  <c r="AQ111" i="50" s="1"/>
  <c r="I29" i="57"/>
  <c r="Y29" i="57" s="1"/>
  <c r="AN38" i="50"/>
  <c r="AR38" i="50" s="1"/>
  <c r="J57" i="57"/>
  <c r="AL72" i="50"/>
  <c r="AP72" i="50" s="1"/>
  <c r="AO39" i="50"/>
  <c r="AS39" i="50" s="1"/>
  <c r="AM67" i="50"/>
  <c r="AQ67" i="50" s="1"/>
  <c r="J68" i="57"/>
  <c r="AL97" i="50"/>
  <c r="AP97" i="50" s="1"/>
  <c r="AL75" i="50"/>
  <c r="AP75" i="50" s="1"/>
  <c r="G55" i="57"/>
  <c r="O55" i="57" s="1"/>
  <c r="S55" i="57" s="1"/>
  <c r="W55" i="57" s="1"/>
  <c r="AL56" i="50"/>
  <c r="AP56" i="50" s="1"/>
  <c r="AC90" i="57"/>
  <c r="AN23" i="50"/>
  <c r="AR23" i="50" s="1"/>
  <c r="M73" i="58"/>
  <c r="AO86" i="50"/>
  <c r="AO113" i="50"/>
  <c r="AS113" i="50" s="1"/>
  <c r="AN114" i="50"/>
  <c r="AR114" i="50" s="1"/>
  <c r="H86" i="57"/>
  <c r="X86" i="57" s="1"/>
  <c r="L124" i="58" s="1"/>
  <c r="H75" i="58"/>
  <c r="AL45" i="50"/>
  <c r="AP45" i="50" s="1"/>
  <c r="F120" i="57"/>
  <c r="AL119" i="50"/>
  <c r="AP119" i="50" s="1"/>
  <c r="AM52" i="50"/>
  <c r="AQ52" i="50" s="1"/>
  <c r="C53" i="57"/>
  <c r="G37" i="58" s="1"/>
  <c r="J16" i="57"/>
  <c r="AO80" i="50"/>
  <c r="AS80" i="50" s="1"/>
  <c r="AM105" i="50"/>
  <c r="AQ105" i="50" s="1"/>
  <c r="H21" i="57"/>
  <c r="X21" i="57" s="1"/>
  <c r="H57" i="57"/>
  <c r="N57" i="57" s="1"/>
  <c r="R57" i="57" s="1"/>
  <c r="V57" i="57" s="1"/>
  <c r="L112" i="58"/>
  <c r="G42" i="58"/>
  <c r="AM89" i="50"/>
  <c r="AQ89" i="50" s="1"/>
  <c r="I38" i="58"/>
  <c r="AO111" i="50"/>
  <c r="AS111" i="50" s="1"/>
  <c r="D24" i="57"/>
  <c r="H73" i="58" s="1"/>
  <c r="AB34" i="57"/>
  <c r="AO114" i="50"/>
  <c r="AS114" i="50" s="1"/>
  <c r="I99" i="57"/>
  <c r="Y99" i="57" s="1"/>
  <c r="Z11" i="82"/>
  <c r="AM114" i="50"/>
  <c r="AQ114" i="50" s="1"/>
  <c r="AN117" i="50"/>
  <c r="AR117" i="50" s="1"/>
  <c r="M13" i="58"/>
  <c r="B98" i="57"/>
  <c r="F50" i="58" s="1"/>
  <c r="F21" i="57"/>
  <c r="AM97" i="50"/>
  <c r="AQ97" i="50" s="1"/>
  <c r="AM23" i="50"/>
  <c r="AQ23" i="50" s="1"/>
  <c r="AL94" i="50"/>
  <c r="AP94" i="50" s="1"/>
  <c r="AM103" i="50"/>
  <c r="AQ103" i="50" s="1"/>
  <c r="AN98" i="50"/>
  <c r="AL86" i="50"/>
  <c r="AP86" i="50" s="1"/>
  <c r="AN105" i="50"/>
  <c r="AR105" i="50" s="1"/>
  <c r="AM113" i="50"/>
  <c r="AQ113" i="50" s="1"/>
  <c r="AO52" i="50"/>
  <c r="AS52" i="50" s="1"/>
  <c r="G52" i="57"/>
  <c r="AO83" i="50"/>
  <c r="AS83" i="50" s="1"/>
  <c r="O15" i="57"/>
  <c r="S15" i="57" s="1"/>
  <c r="W15" i="57" s="1"/>
  <c r="K14" i="58" s="1"/>
  <c r="O14" i="58" s="1"/>
  <c r="AO93" i="50"/>
  <c r="AS93" i="50" s="1"/>
  <c r="E94" i="57"/>
  <c r="D65" i="57"/>
  <c r="F90" i="57"/>
  <c r="AL89" i="50"/>
  <c r="AP89" i="50" s="1"/>
  <c r="E139" i="57"/>
  <c r="AO138" i="50"/>
  <c r="AS138" i="50" s="1"/>
  <c r="E98" i="57"/>
  <c r="AO97" i="50"/>
  <c r="AS97" i="50" s="1"/>
  <c r="E131" i="57"/>
  <c r="AO130" i="50"/>
  <c r="AS130" i="50" s="1"/>
  <c r="B115" i="57"/>
  <c r="AL114" i="50"/>
  <c r="AP114" i="50" s="1"/>
  <c r="AO89" i="50"/>
  <c r="AS89" i="50" s="1"/>
  <c r="AN135" i="50"/>
  <c r="D136" i="57"/>
  <c r="E121" i="57"/>
  <c r="AO120" i="50"/>
  <c r="AS120" i="50" s="1"/>
  <c r="AL85" i="50"/>
  <c r="AP85" i="50" s="1"/>
  <c r="B86" i="57"/>
  <c r="F124" i="58" s="1"/>
  <c r="AN89" i="50"/>
  <c r="AR89" i="50" s="1"/>
  <c r="E86" i="57"/>
  <c r="I124" i="58" s="1"/>
  <c r="AO85" i="50"/>
  <c r="AS85" i="50" s="1"/>
  <c r="AL98" i="50"/>
  <c r="AP98" i="50" s="1"/>
  <c r="B133" i="57"/>
  <c r="AL132" i="50"/>
  <c r="AP132" i="50" s="1"/>
  <c r="AO78" i="50"/>
  <c r="AS78" i="50" s="1"/>
  <c r="E79" i="57"/>
  <c r="I42" i="58" s="1"/>
  <c r="AN143" i="50"/>
  <c r="D144" i="57"/>
  <c r="C133" i="57"/>
  <c r="AM132" i="50"/>
  <c r="AQ132" i="50" s="1"/>
  <c r="D79" i="57"/>
  <c r="L79" i="57" s="1"/>
  <c r="AN78" i="50"/>
  <c r="AR78" i="50" s="1"/>
  <c r="C144" i="57"/>
  <c r="AM143" i="50"/>
  <c r="AQ143" i="50" s="1"/>
  <c r="AO126" i="50"/>
  <c r="AS126" i="50" s="1"/>
  <c r="E127" i="57"/>
  <c r="B94" i="57"/>
  <c r="F127" i="58" s="1"/>
  <c r="AL93" i="50"/>
  <c r="AP93" i="50" s="1"/>
  <c r="X39" i="57"/>
  <c r="AO132" i="50"/>
  <c r="AS132" i="50" s="1"/>
  <c r="E133" i="57"/>
  <c r="E136" i="57"/>
  <c r="AO135" i="50"/>
  <c r="AS135" i="50" s="1"/>
  <c r="AN97" i="50"/>
  <c r="AR97" i="50" s="1"/>
  <c r="H98" i="57"/>
  <c r="X98" i="57" s="1"/>
  <c r="H106" i="57"/>
  <c r="X106" i="57" s="1"/>
  <c r="AL142" i="50"/>
  <c r="AP142" i="50" s="1"/>
  <c r="B143" i="57"/>
  <c r="AO131" i="50"/>
  <c r="AS131" i="50" s="1"/>
  <c r="E132" i="57"/>
  <c r="I118" i="57"/>
  <c r="AO117" i="50"/>
  <c r="AS117" i="50" s="1"/>
  <c r="AN127" i="50"/>
  <c r="AR127" i="50" s="1"/>
  <c r="D128" i="57"/>
  <c r="D55" i="57"/>
  <c r="H41" i="58" s="1"/>
  <c r="AN54" i="50"/>
  <c r="AR54" i="50" s="1"/>
  <c r="D57" i="57"/>
  <c r="H45" i="58" s="1"/>
  <c r="AN56" i="50"/>
  <c r="AR56" i="50" s="1"/>
  <c r="M90" i="57"/>
  <c r="AL90" i="50"/>
  <c r="AP90" i="50" s="1"/>
  <c r="AO119" i="50"/>
  <c r="AS119" i="50" s="1"/>
  <c r="B144" i="57"/>
  <c r="AL143" i="50"/>
  <c r="AM144" i="50"/>
  <c r="AQ144" i="50" s="1"/>
  <c r="C145" i="57"/>
  <c r="C120" i="57"/>
  <c r="AM119" i="50"/>
  <c r="AQ119" i="50" s="1"/>
  <c r="AL52" i="50"/>
  <c r="AP52" i="50" s="1"/>
  <c r="F53" i="57"/>
  <c r="J53" i="57" s="1"/>
  <c r="D127" i="57"/>
  <c r="AN126" i="50"/>
  <c r="AR126" i="50" s="1"/>
  <c r="D133" i="57"/>
  <c r="AN132" i="50"/>
  <c r="AR132" i="50" s="1"/>
  <c r="B112" i="57"/>
  <c r="J112" i="57" s="1"/>
  <c r="AL111" i="50"/>
  <c r="AP111" i="50" s="1"/>
  <c r="AL23" i="50"/>
  <c r="AP23" i="50" s="1"/>
  <c r="B24" i="57"/>
  <c r="D86" i="57"/>
  <c r="H124" i="58" s="1"/>
  <c r="P124" i="58" s="1"/>
  <c r="AN85" i="50"/>
  <c r="AR85" i="50" s="1"/>
  <c r="AO105" i="50"/>
  <c r="AS105" i="50" s="1"/>
  <c r="C123" i="57"/>
  <c r="AM122" i="50"/>
  <c r="AQ122" i="50" s="1"/>
  <c r="AM85" i="50"/>
  <c r="AQ85" i="50" s="1"/>
  <c r="C86" i="57"/>
  <c r="G124" i="58" s="1"/>
  <c r="AN39" i="50"/>
  <c r="C142" i="57"/>
  <c r="AM141" i="50"/>
  <c r="AQ141" i="50" s="1"/>
  <c r="AL141" i="50"/>
  <c r="B142" i="57"/>
  <c r="AN131" i="50"/>
  <c r="AR131" i="50" s="1"/>
  <c r="D132" i="57"/>
  <c r="AN128" i="50"/>
  <c r="AR128" i="50" s="1"/>
  <c r="D129" i="57"/>
  <c r="D125" i="57"/>
  <c r="AN124" i="50"/>
  <c r="AR124" i="50" s="1"/>
  <c r="AO72" i="50"/>
  <c r="AS72" i="50" s="1"/>
  <c r="E73" i="57"/>
  <c r="M73" i="57" s="1"/>
  <c r="D145" i="57"/>
  <c r="AN144" i="50"/>
  <c r="AR144" i="50" s="1"/>
  <c r="B125" i="57"/>
  <c r="AL124" i="50"/>
  <c r="AP124" i="50" s="1"/>
  <c r="AO47" i="50"/>
  <c r="AS47" i="50" s="1"/>
  <c r="I48" i="57"/>
  <c r="Y48" i="57" s="1"/>
  <c r="D120" i="57"/>
  <c r="AN119" i="50"/>
  <c r="AR119" i="50" s="1"/>
  <c r="B71" i="57"/>
  <c r="J71" i="57" s="1"/>
  <c r="AL70" i="50"/>
  <c r="AP70" i="50" s="1"/>
  <c r="D73" i="57"/>
  <c r="H80" i="58" s="1"/>
  <c r="AN72" i="50"/>
  <c r="AR72" i="50" s="1"/>
  <c r="E137" i="57"/>
  <c r="AO136" i="50"/>
  <c r="AS136" i="50" s="1"/>
  <c r="H112" i="57"/>
  <c r="AN111" i="50"/>
  <c r="AR111" i="50" s="1"/>
  <c r="AM142" i="50"/>
  <c r="AQ142" i="50" s="1"/>
  <c r="C143" i="57"/>
  <c r="AN138" i="50"/>
  <c r="AR138" i="50" s="1"/>
  <c r="D139" i="57"/>
  <c r="E123" i="57"/>
  <c r="AO122" i="50"/>
  <c r="AS122" i="50" s="1"/>
  <c r="E145" i="57"/>
  <c r="AO144" i="50"/>
  <c r="AS144" i="50" s="1"/>
  <c r="C127" i="57"/>
  <c r="AM126" i="50"/>
  <c r="AQ126" i="50" s="1"/>
  <c r="B18" i="57"/>
  <c r="F16" i="58" s="1"/>
  <c r="C140" i="57"/>
  <c r="AM139" i="50"/>
  <c r="AQ139" i="50" s="1"/>
  <c r="AL64" i="50"/>
  <c r="AP64" i="50" s="1"/>
  <c r="B106" i="57"/>
  <c r="AL105" i="50"/>
  <c r="AP105" i="50" s="1"/>
  <c r="G90" i="57"/>
  <c r="O90" i="57" s="1"/>
  <c r="S90" i="57" s="1"/>
  <c r="W90" i="57" s="1"/>
  <c r="E14" i="57"/>
  <c r="AO13" i="50"/>
  <c r="AL139" i="50"/>
  <c r="AP139" i="50" s="1"/>
  <c r="B140" i="57"/>
  <c r="E124" i="57"/>
  <c r="AO123" i="50"/>
  <c r="AS123" i="50" s="1"/>
  <c r="C129" i="57"/>
  <c r="AM128" i="50"/>
  <c r="AQ128" i="50" s="1"/>
  <c r="AO141" i="50"/>
  <c r="AS141" i="50" s="1"/>
  <c r="E142" i="57"/>
  <c r="AM127" i="50"/>
  <c r="AQ127" i="50" s="1"/>
  <c r="C128" i="57"/>
  <c r="E122" i="57"/>
  <c r="AO121" i="50"/>
  <c r="AS121" i="50" s="1"/>
  <c r="AN136" i="50"/>
  <c r="D137" i="57"/>
  <c r="B130" i="57"/>
  <c r="AL129" i="50"/>
  <c r="AP129" i="50" s="1"/>
  <c r="C124" i="57"/>
  <c r="AM123" i="50"/>
  <c r="AQ123" i="50" s="1"/>
  <c r="D62" i="57"/>
  <c r="H57" i="58" s="1"/>
  <c r="AO51" i="50"/>
  <c r="AS51" i="50" s="1"/>
  <c r="E87" i="57"/>
  <c r="I46" i="58" s="1"/>
  <c r="AN20" i="50"/>
  <c r="AR20" i="50" s="1"/>
  <c r="B73" i="57"/>
  <c r="F80" i="58" s="1"/>
  <c r="E138" i="57"/>
  <c r="AO137" i="50"/>
  <c r="AS137" i="50" s="1"/>
  <c r="B121" i="57"/>
  <c r="AL120" i="50"/>
  <c r="AP120" i="50" s="1"/>
  <c r="B126" i="57"/>
  <c r="AL125" i="50"/>
  <c r="AP125" i="50" s="1"/>
  <c r="AO140" i="50"/>
  <c r="AS140" i="50" s="1"/>
  <c r="E141" i="57"/>
  <c r="AN133" i="50"/>
  <c r="AR133" i="50" s="1"/>
  <c r="D134" i="57"/>
  <c r="D122" i="57"/>
  <c r="AN121" i="50"/>
  <c r="AR121" i="50" s="1"/>
  <c r="AM136" i="50"/>
  <c r="AQ136" i="50" s="1"/>
  <c r="C137" i="57"/>
  <c r="AO129" i="50"/>
  <c r="AS129" i="50" s="1"/>
  <c r="E130" i="57"/>
  <c r="AL123" i="50"/>
  <c r="AP123" i="50" s="1"/>
  <c r="B124" i="57"/>
  <c r="O24" i="57"/>
  <c r="S24" i="57" s="1"/>
  <c r="W24" i="57" s="1"/>
  <c r="AA24" i="57" s="1"/>
  <c r="E135" i="57"/>
  <c r="AO134" i="50"/>
  <c r="AS134" i="50" s="1"/>
  <c r="AN137" i="50"/>
  <c r="AR137" i="50" s="1"/>
  <c r="D138" i="57"/>
  <c r="E143" i="57"/>
  <c r="AO142" i="50"/>
  <c r="AS142" i="50" s="1"/>
  <c r="B128" i="57"/>
  <c r="AL127" i="50"/>
  <c r="AP127" i="50" s="1"/>
  <c r="AN125" i="50"/>
  <c r="AR125" i="50" s="1"/>
  <c r="D126" i="57"/>
  <c r="D141" i="57"/>
  <c r="AN140" i="50"/>
  <c r="AR140" i="50" s="1"/>
  <c r="B122" i="57"/>
  <c r="AL121" i="50"/>
  <c r="AP121" i="50" s="1"/>
  <c r="AL136" i="50"/>
  <c r="B137" i="57"/>
  <c r="AN129" i="50"/>
  <c r="AR129" i="50" s="1"/>
  <c r="D130" i="57"/>
  <c r="E128" i="57"/>
  <c r="AO127" i="50"/>
  <c r="AS127" i="50" s="1"/>
  <c r="D142" i="57"/>
  <c r="AN141" i="50"/>
  <c r="AR141" i="50" s="1"/>
  <c r="C126" i="57"/>
  <c r="AM125" i="50"/>
  <c r="AQ125" i="50" s="1"/>
  <c r="AL131" i="50"/>
  <c r="AP131" i="50" s="1"/>
  <c r="B132" i="57"/>
  <c r="I27" i="57"/>
  <c r="Y27" i="57" s="1"/>
  <c r="M26" i="58" s="1"/>
  <c r="AN134" i="50"/>
  <c r="AR134" i="50" s="1"/>
  <c r="D135" i="57"/>
  <c r="E129" i="57"/>
  <c r="AO128" i="50"/>
  <c r="AS128" i="50" s="1"/>
  <c r="AM137" i="50"/>
  <c r="AQ137" i="50" s="1"/>
  <c r="C138" i="57"/>
  <c r="C141" i="57"/>
  <c r="AM140" i="50"/>
  <c r="AQ140" i="50" s="1"/>
  <c r="C134" i="57"/>
  <c r="AM133" i="50"/>
  <c r="AQ133" i="50" s="1"/>
  <c r="D131" i="57"/>
  <c r="AN130" i="50"/>
  <c r="AR130" i="50" s="1"/>
  <c r="C122" i="57"/>
  <c r="AM121" i="50"/>
  <c r="AQ121" i="50" s="1"/>
  <c r="H42" i="57"/>
  <c r="X42" i="57" s="1"/>
  <c r="E134" i="57"/>
  <c r="AO133" i="50"/>
  <c r="AS133" i="50" s="1"/>
  <c r="C77" i="57"/>
  <c r="G123" i="58" s="1"/>
  <c r="B46" i="57"/>
  <c r="AO46" i="50"/>
  <c r="AS46" i="50" s="1"/>
  <c r="AO70" i="50"/>
  <c r="AS70" i="50" s="1"/>
  <c r="AM78" i="50"/>
  <c r="AQ78" i="50" s="1"/>
  <c r="B21" i="57"/>
  <c r="C65" i="57"/>
  <c r="AO18" i="50"/>
  <c r="AS18" i="50" s="1"/>
  <c r="AM134" i="50"/>
  <c r="AQ134" i="50" s="1"/>
  <c r="C135" i="57"/>
  <c r="AL137" i="50"/>
  <c r="AP137" i="50" s="1"/>
  <c r="B138" i="57"/>
  <c r="E125" i="57"/>
  <c r="AO124" i="50"/>
  <c r="AS124" i="50" s="1"/>
  <c r="AM130" i="50"/>
  <c r="AQ130" i="50" s="1"/>
  <c r="C131" i="57"/>
  <c r="AO139" i="50"/>
  <c r="AS139" i="50" s="1"/>
  <c r="E140" i="57"/>
  <c r="D121" i="57"/>
  <c r="AN120" i="50"/>
  <c r="AR120" i="50" s="1"/>
  <c r="AM129" i="50"/>
  <c r="AQ129" i="50" s="1"/>
  <c r="C130" i="57"/>
  <c r="M90" i="58"/>
  <c r="AL128" i="50"/>
  <c r="AP128" i="50" s="1"/>
  <c r="B129" i="57"/>
  <c r="C121" i="57"/>
  <c r="AM120" i="50"/>
  <c r="AQ120" i="50" s="1"/>
  <c r="AL26" i="50"/>
  <c r="AP26" i="50" s="1"/>
  <c r="AM135" i="50"/>
  <c r="AQ135" i="50" s="1"/>
  <c r="C136" i="57"/>
  <c r="D123" i="57"/>
  <c r="AN122" i="50"/>
  <c r="AR122" i="50" s="1"/>
  <c r="E126" i="57"/>
  <c r="AO125" i="50"/>
  <c r="AS125" i="50" s="1"/>
  <c r="B141" i="57"/>
  <c r="AL140" i="50"/>
  <c r="AP140" i="50" s="1"/>
  <c r="AL138" i="50"/>
  <c r="AP138" i="50" s="1"/>
  <c r="B139" i="57"/>
  <c r="AL133" i="50"/>
  <c r="AP133" i="50" s="1"/>
  <c r="B134" i="57"/>
  <c r="B131" i="57"/>
  <c r="AL130" i="50"/>
  <c r="AP130" i="50" s="1"/>
  <c r="AN139" i="50"/>
  <c r="AR139" i="50" s="1"/>
  <c r="D140" i="57"/>
  <c r="AM131" i="50"/>
  <c r="AQ131" i="50" s="1"/>
  <c r="C132" i="57"/>
  <c r="AN123" i="50"/>
  <c r="AR123" i="50" s="1"/>
  <c r="D124" i="57"/>
  <c r="E35" i="57"/>
  <c r="AL134" i="50"/>
  <c r="AP134" i="50" s="1"/>
  <c r="B135" i="57"/>
  <c r="AO143" i="50"/>
  <c r="AS143" i="50" s="1"/>
  <c r="E144" i="57"/>
  <c r="AL135" i="50"/>
  <c r="AP135" i="50" s="1"/>
  <c r="B136" i="57"/>
  <c r="D143" i="57"/>
  <c r="AN142" i="50"/>
  <c r="AR142" i="50" s="1"/>
  <c r="AL122" i="50"/>
  <c r="AP122" i="50" s="1"/>
  <c r="B123" i="57"/>
  <c r="B145" i="57"/>
  <c r="AL144" i="50"/>
  <c r="AP144" i="50" s="1"/>
  <c r="C125" i="57"/>
  <c r="AM124" i="50"/>
  <c r="AQ124" i="50" s="1"/>
  <c r="AL126" i="50"/>
  <c r="AP126" i="50" s="1"/>
  <c r="B127" i="57"/>
  <c r="C139" i="57"/>
  <c r="AM138" i="50"/>
  <c r="AQ138" i="50" s="1"/>
  <c r="B118" i="57"/>
  <c r="AL117" i="50"/>
  <c r="AP117" i="50" s="1"/>
  <c r="AN102" i="50"/>
  <c r="AR102" i="50" s="1"/>
  <c r="AM48" i="50"/>
  <c r="AQ48" i="50" s="1"/>
  <c r="AI8" i="50"/>
  <c r="G9" i="57" s="1"/>
  <c r="O9" i="57" s="1"/>
  <c r="S9" i="57" s="1"/>
  <c r="W9" i="57" s="1"/>
  <c r="K66" i="58" s="1"/>
  <c r="AC3" i="50"/>
  <c r="AM30" i="50"/>
  <c r="AQ30" i="50" s="1"/>
  <c r="AN59" i="50"/>
  <c r="AR59" i="50" s="1"/>
  <c r="AD3" i="50"/>
  <c r="D90" i="57"/>
  <c r="AN25" i="50"/>
  <c r="L28" i="58"/>
  <c r="I28" i="58"/>
  <c r="AM93" i="50"/>
  <c r="AQ93" i="50" s="1"/>
  <c r="AM95" i="50"/>
  <c r="AQ95" i="50" s="1"/>
  <c r="AF3" i="50"/>
  <c r="H56" i="58"/>
  <c r="K56" i="101" s="1"/>
  <c r="AE3" i="50"/>
  <c r="AN81" i="50"/>
  <c r="AR81" i="50" s="1"/>
  <c r="AG3" i="50"/>
  <c r="AM98" i="50"/>
  <c r="AQ98" i="50" s="1"/>
  <c r="G63" i="58"/>
  <c r="G98" i="57"/>
  <c r="K98" i="57" s="1"/>
  <c r="AK3" i="50"/>
  <c r="AN44" i="50"/>
  <c r="AJ3" i="50"/>
  <c r="M11" i="58"/>
  <c r="AH3" i="50"/>
  <c r="P127" i="58"/>
  <c r="F61" i="58"/>
  <c r="F86" i="58"/>
  <c r="G45" i="58"/>
  <c r="H76" i="58"/>
  <c r="F76" i="58"/>
  <c r="F83" i="58"/>
  <c r="L41" i="58"/>
  <c r="M129" i="58"/>
  <c r="I129" i="58"/>
  <c r="G125" i="58"/>
  <c r="J50" i="57"/>
  <c r="F121" i="58"/>
  <c r="I35" i="101" s="1"/>
  <c r="H51" i="58"/>
  <c r="G78" i="58"/>
  <c r="G16" i="58"/>
  <c r="F49" i="58"/>
  <c r="H125" i="58"/>
  <c r="P125" i="58" s="1"/>
  <c r="M78" i="58"/>
  <c r="G82" i="58"/>
  <c r="F91" i="58"/>
  <c r="F13" i="58"/>
  <c r="F78" i="58"/>
  <c r="N78" i="58" s="1"/>
  <c r="M80" i="58"/>
  <c r="G24" i="58"/>
  <c r="H20" i="101" s="1"/>
  <c r="J91" i="57"/>
  <c r="G74" i="58"/>
  <c r="H22" i="101" s="1"/>
  <c r="M64" i="58"/>
  <c r="F34" i="58"/>
  <c r="G50" i="58"/>
  <c r="H64" i="58"/>
  <c r="I44" i="57"/>
  <c r="Y44" i="57" s="1"/>
  <c r="H19" i="57"/>
  <c r="X19" i="57" s="1"/>
  <c r="L20" i="58" s="1"/>
  <c r="AM50" i="50"/>
  <c r="AQ50" i="50" s="1"/>
  <c r="I31" i="57"/>
  <c r="Y31" i="57" s="1"/>
  <c r="I58" i="57"/>
  <c r="Y58" i="57" s="1"/>
  <c r="M51" i="58" s="1"/>
  <c r="H64" i="57"/>
  <c r="X64" i="57" s="1"/>
  <c r="L61" i="58" s="1"/>
  <c r="AC65" i="57"/>
  <c r="I78" i="57"/>
  <c r="Y78" i="57" s="1"/>
  <c r="M83" i="58" s="1"/>
  <c r="F58" i="57"/>
  <c r="G49" i="57"/>
  <c r="K49" i="57" s="1"/>
  <c r="I17" i="57"/>
  <c r="Y17" i="57" s="1"/>
  <c r="M120" i="58" s="1"/>
  <c r="H44" i="57"/>
  <c r="X44" i="57" s="1"/>
  <c r="L25" i="58" s="1"/>
  <c r="F42" i="57"/>
  <c r="G18" i="57"/>
  <c r="K18" i="57" s="1"/>
  <c r="G81" i="57"/>
  <c r="H31" i="57"/>
  <c r="X31" i="57" s="1"/>
  <c r="I22" i="57"/>
  <c r="Y22" i="57" s="1"/>
  <c r="M115" i="58" s="1"/>
  <c r="G69" i="57"/>
  <c r="AN113" i="50"/>
  <c r="AR113" i="50" s="1"/>
  <c r="F46" i="57"/>
  <c r="H83" i="57"/>
  <c r="I91" i="57"/>
  <c r="Y91" i="57" s="1"/>
  <c r="G44" i="57"/>
  <c r="AM81" i="50"/>
  <c r="AQ81" i="50" s="1"/>
  <c r="F18" i="57"/>
  <c r="G54" i="57"/>
  <c r="I81" i="57"/>
  <c r="Y81" i="57" s="1"/>
  <c r="I67" i="57"/>
  <c r="Y67" i="57" s="1"/>
  <c r="AO115" i="50"/>
  <c r="AS115" i="50" s="1"/>
  <c r="F43" i="57"/>
  <c r="H26" i="57"/>
  <c r="X26" i="57" s="1"/>
  <c r="H71" i="57"/>
  <c r="X71" i="57" s="1"/>
  <c r="F25" i="57"/>
  <c r="H15" i="58"/>
  <c r="O39" i="57"/>
  <c r="S39" i="57" s="1"/>
  <c r="W39" i="57" s="1"/>
  <c r="F93" i="58"/>
  <c r="E17" i="57"/>
  <c r="I120" i="58" s="1"/>
  <c r="J13" i="101" s="1"/>
  <c r="AO38" i="50"/>
  <c r="AS38" i="50" s="1"/>
  <c r="E42" i="57"/>
  <c r="B43" i="57"/>
  <c r="D30" i="57"/>
  <c r="AM35" i="50"/>
  <c r="L28" i="57"/>
  <c r="E38" i="57"/>
  <c r="C35" i="57"/>
  <c r="G34" i="58" s="1"/>
  <c r="B80" i="57"/>
  <c r="AM70" i="50"/>
  <c r="AQ70" i="50" s="1"/>
  <c r="D35" i="57"/>
  <c r="C54" i="57"/>
  <c r="D56" i="57"/>
  <c r="H53" i="58" s="1"/>
  <c r="D97" i="57"/>
  <c r="L34" i="57"/>
  <c r="AN93" i="50"/>
  <c r="AR93" i="50" s="1"/>
  <c r="AM117" i="50"/>
  <c r="D72" i="57"/>
  <c r="C90" i="57"/>
  <c r="G93" i="58" s="1"/>
  <c r="C107" i="57"/>
  <c r="D91" i="57"/>
  <c r="D98" i="57"/>
  <c r="B49" i="57"/>
  <c r="AO26" i="50"/>
  <c r="AS26" i="50" s="1"/>
  <c r="B41" i="57"/>
  <c r="AO96" i="50"/>
  <c r="AS96" i="50" s="1"/>
  <c r="C70" i="57"/>
  <c r="C58" i="57"/>
  <c r="E78" i="57"/>
  <c r="E67" i="57"/>
  <c r="D19" i="57"/>
  <c r="H20" i="58" s="1"/>
  <c r="D54" i="57"/>
  <c r="H39" i="58" s="1"/>
  <c r="J99" i="57"/>
  <c r="E84" i="57"/>
  <c r="I89" i="58" s="1"/>
  <c r="D43" i="57"/>
  <c r="H23" i="58" s="1"/>
  <c r="C20" i="57"/>
  <c r="E50" i="57"/>
  <c r="I121" i="58" s="1"/>
  <c r="J35" i="101" s="1"/>
  <c r="N45" i="57"/>
  <c r="R45" i="57" s="1"/>
  <c r="V45" i="57" s="1"/>
  <c r="N79" i="57"/>
  <c r="R79" i="57" s="1"/>
  <c r="V79" i="57" s="1"/>
  <c r="J36" i="57"/>
  <c r="F37" i="58"/>
  <c r="X79" i="57"/>
  <c r="O106" i="57"/>
  <c r="S106" i="57" s="1"/>
  <c r="W106" i="57" s="1"/>
  <c r="L94" i="57"/>
  <c r="AC106" i="57"/>
  <c r="M106" i="57"/>
  <c r="O57" i="57"/>
  <c r="S57" i="57" s="1"/>
  <c r="W57" i="57" s="1"/>
  <c r="K57" i="57"/>
  <c r="I12" i="57"/>
  <c r="AO11" i="50"/>
  <c r="J8" i="64" s="1"/>
  <c r="N8" i="64" s="1"/>
  <c r="D67" i="57"/>
  <c r="G95" i="57"/>
  <c r="G87" i="57"/>
  <c r="F56" i="57"/>
  <c r="F54" i="57"/>
  <c r="I41" i="57"/>
  <c r="Y41" i="57" s="1"/>
  <c r="I40" i="57"/>
  <c r="Y40" i="57" s="1"/>
  <c r="F64" i="57"/>
  <c r="J64" i="57" s="1"/>
  <c r="AL63" i="50"/>
  <c r="AP63" i="50" s="1"/>
  <c r="F62" i="57"/>
  <c r="B85" i="57"/>
  <c r="B81" i="57"/>
  <c r="F44" i="58" s="1"/>
  <c r="G47" i="57"/>
  <c r="O47" i="57" s="1"/>
  <c r="S47" i="57" s="1"/>
  <c r="W47" i="57" s="1"/>
  <c r="G46" i="57"/>
  <c r="B76" i="57"/>
  <c r="F64" i="58" s="1"/>
  <c r="G32" i="57"/>
  <c r="K32" i="57" s="1"/>
  <c r="G31" i="57"/>
  <c r="D74" i="57"/>
  <c r="AN73" i="50"/>
  <c r="AR73" i="50" s="1"/>
  <c r="AL48" i="50"/>
  <c r="AP48" i="50" s="1"/>
  <c r="B48" i="57"/>
  <c r="H95" i="57"/>
  <c r="X95" i="57" s="1"/>
  <c r="H87" i="57"/>
  <c r="C88" i="57"/>
  <c r="C83" i="57"/>
  <c r="C85" i="57"/>
  <c r="C81" i="57"/>
  <c r="G44" i="58" s="1"/>
  <c r="F81" i="57"/>
  <c r="D69" i="57"/>
  <c r="E91" i="57"/>
  <c r="I91" i="58" s="1"/>
  <c r="H41" i="57"/>
  <c r="AN40" i="50"/>
  <c r="AR40" i="50" s="1"/>
  <c r="F41" i="57"/>
  <c r="F40" i="57"/>
  <c r="H105" i="57"/>
  <c r="X105" i="57" s="1"/>
  <c r="H93" i="57"/>
  <c r="X93" i="57" s="1"/>
  <c r="G103" i="57"/>
  <c r="G91" i="57"/>
  <c r="I89" i="57"/>
  <c r="O89" i="57" s="1"/>
  <c r="S89" i="57" s="1"/>
  <c r="W89" i="57" s="1"/>
  <c r="I84" i="57"/>
  <c r="G80" i="57"/>
  <c r="G76" i="57"/>
  <c r="O76" i="57" s="1"/>
  <c r="S76" i="57" s="1"/>
  <c r="W76" i="57" s="1"/>
  <c r="H25" i="57"/>
  <c r="X25" i="57" s="1"/>
  <c r="AN24" i="50"/>
  <c r="AR24" i="50" s="1"/>
  <c r="H24" i="57"/>
  <c r="AN104" i="50"/>
  <c r="E81" i="57"/>
  <c r="E77" i="57"/>
  <c r="I123" i="58" s="1"/>
  <c r="C105" i="57"/>
  <c r="C93" i="57"/>
  <c r="D48" i="57"/>
  <c r="AN47" i="50"/>
  <c r="AR47" i="50" s="1"/>
  <c r="D47" i="57"/>
  <c r="E72" i="57"/>
  <c r="I82" i="58" s="1"/>
  <c r="E69" i="57"/>
  <c r="I79" i="58" s="1"/>
  <c r="J42" i="101" s="1"/>
  <c r="D18" i="57"/>
  <c r="B40" i="57"/>
  <c r="I63" i="57"/>
  <c r="Y63" i="57" s="1"/>
  <c r="M65" i="58" s="1"/>
  <c r="I61" i="57"/>
  <c r="D22" i="57"/>
  <c r="H115" i="58" s="1"/>
  <c r="H85" i="57"/>
  <c r="X85" i="57" s="1"/>
  <c r="H81" i="57"/>
  <c r="X81" i="57" s="1"/>
  <c r="L44" i="58" s="1"/>
  <c r="D71" i="57"/>
  <c r="H38" i="58" s="1"/>
  <c r="N38" i="57"/>
  <c r="R38" i="57" s="1"/>
  <c r="V38" i="57" s="1"/>
  <c r="J77" i="57"/>
  <c r="H47" i="57"/>
  <c r="X47" i="57" s="1"/>
  <c r="L31" i="58" s="1"/>
  <c r="H46" i="57"/>
  <c r="I72" i="57"/>
  <c r="Y72" i="57" s="1"/>
  <c r="I69" i="57"/>
  <c r="Y69" i="57" s="1"/>
  <c r="M79" i="58" s="1"/>
  <c r="AL99" i="50"/>
  <c r="AP99" i="50" s="1"/>
  <c r="I34" i="57"/>
  <c r="I33" i="57"/>
  <c r="H51" i="57"/>
  <c r="X51" i="57" s="1"/>
  <c r="H49" i="57"/>
  <c r="X49" i="57" s="1"/>
  <c r="L33" i="58" s="1"/>
  <c r="H40" i="57"/>
  <c r="Y82" i="57"/>
  <c r="C103" i="57"/>
  <c r="G94" i="58" s="1"/>
  <c r="C91" i="57"/>
  <c r="G91" i="58" s="1"/>
  <c r="AN46" i="50"/>
  <c r="AR46" i="50" s="1"/>
  <c r="H67" i="57"/>
  <c r="X67" i="57" s="1"/>
  <c r="I56" i="57"/>
  <c r="Y56" i="57" s="1"/>
  <c r="I54" i="57"/>
  <c r="Y54" i="57" s="1"/>
  <c r="M39" i="58" s="1"/>
  <c r="I113" i="57"/>
  <c r="Y113" i="57" s="1"/>
  <c r="M97" i="58" s="1"/>
  <c r="I102" i="57"/>
  <c r="Y102" i="57" s="1"/>
  <c r="H22" i="57"/>
  <c r="X22" i="57" s="1"/>
  <c r="B116" i="57"/>
  <c r="B105" i="57"/>
  <c r="D84" i="57"/>
  <c r="AN83" i="50"/>
  <c r="AR83" i="50" s="1"/>
  <c r="B45" i="57"/>
  <c r="AL44" i="50"/>
  <c r="F102" i="57"/>
  <c r="J102" i="57" s="1"/>
  <c r="H103" i="57"/>
  <c r="X103" i="57" s="1"/>
  <c r="H18" i="57"/>
  <c r="X18" i="57" s="1"/>
  <c r="H61" i="57"/>
  <c r="X61" i="57" s="1"/>
  <c r="H30" i="57"/>
  <c r="I19" i="57"/>
  <c r="Y19" i="57" s="1"/>
  <c r="G56" i="57"/>
  <c r="C41" i="57"/>
  <c r="C60" i="57"/>
  <c r="H60" i="57"/>
  <c r="E22" i="57"/>
  <c r="I72" i="58" s="1"/>
  <c r="D85" i="57"/>
  <c r="F19" i="57"/>
  <c r="D105" i="57"/>
  <c r="E76" i="57"/>
  <c r="I84" i="58" s="1"/>
  <c r="F61" i="57"/>
  <c r="H96" i="57"/>
  <c r="X96" i="57" s="1"/>
  <c r="I25" i="57"/>
  <c r="Y25" i="57" s="1"/>
  <c r="G42" i="57"/>
  <c r="I43" i="57"/>
  <c r="Y43" i="57" s="1"/>
  <c r="C21" i="57"/>
  <c r="E60" i="57"/>
  <c r="D31" i="57"/>
  <c r="H32" i="58" s="1"/>
  <c r="G63" i="57"/>
  <c r="F105" i="57"/>
  <c r="F93" i="57"/>
  <c r="B56" i="57"/>
  <c r="I92" i="57"/>
  <c r="Y92" i="57" s="1"/>
  <c r="C31" i="57"/>
  <c r="G30" i="58" s="1"/>
  <c r="C84" i="57"/>
  <c r="H36" i="57"/>
  <c r="X36" i="57" s="1"/>
  <c r="F17" i="57"/>
  <c r="I35" i="57"/>
  <c r="F92" i="57"/>
  <c r="B60" i="57"/>
  <c r="G62" i="57"/>
  <c r="I49" i="57"/>
  <c r="Y49" i="57" s="1"/>
  <c r="M35" i="58" s="1"/>
  <c r="G60" i="57"/>
  <c r="O60" i="57" s="1"/>
  <c r="S60" i="57" s="1"/>
  <c r="W60" i="57" s="1"/>
  <c r="E56" i="57"/>
  <c r="I43" i="58" s="1"/>
  <c r="C43" i="57"/>
  <c r="C69" i="57"/>
  <c r="G79" i="58" s="1"/>
  <c r="H42" i="101" s="1"/>
  <c r="D17" i="57"/>
  <c r="H120" i="58" s="1"/>
  <c r="K13" i="101" s="1"/>
  <c r="D45" i="57"/>
  <c r="H25" i="58" s="1"/>
  <c r="K33" i="101" s="1"/>
  <c r="D29" i="57"/>
  <c r="H74" i="58" s="1"/>
  <c r="K22" i="101" s="1"/>
  <c r="G83" i="57"/>
  <c r="G22" i="57"/>
  <c r="G41" i="57"/>
  <c r="M37" i="57"/>
  <c r="AM53" i="50"/>
  <c r="AQ53" i="50" s="1"/>
  <c r="C67" i="57"/>
  <c r="G122" i="58" s="1"/>
  <c r="N35" i="57"/>
  <c r="R35" i="57" s="1"/>
  <c r="V35" i="57" s="1"/>
  <c r="E58" i="57"/>
  <c r="D42" i="57"/>
  <c r="H19" i="58" s="1"/>
  <c r="K30" i="101" s="1"/>
  <c r="E43" i="57"/>
  <c r="F84" i="57"/>
  <c r="F67" i="57"/>
  <c r="J67" i="57" s="1"/>
  <c r="D87" i="57"/>
  <c r="H92" i="58" s="1"/>
  <c r="K50" i="101" s="1"/>
  <c r="D102" i="57"/>
  <c r="I105" i="57"/>
  <c r="Y105" i="57" s="1"/>
  <c r="M54" i="58" s="1"/>
  <c r="I45" i="57"/>
  <c r="Y45" i="57" s="1"/>
  <c r="E49" i="57"/>
  <c r="G19" i="57"/>
  <c r="I18" i="57"/>
  <c r="Y18" i="57" s="1"/>
  <c r="G99" i="57"/>
  <c r="C68" i="57"/>
  <c r="G61" i="58" s="1"/>
  <c r="F78" i="57"/>
  <c r="F97" i="57"/>
  <c r="H84" i="57"/>
  <c r="X84" i="57" s="1"/>
  <c r="I87" i="57"/>
  <c r="Y87" i="57" s="1"/>
  <c r="H76" i="57"/>
  <c r="H65" i="57"/>
  <c r="X65" i="57" s="1"/>
  <c r="B58" i="57"/>
  <c r="F32" i="57"/>
  <c r="B92" i="57"/>
  <c r="C95" i="57"/>
  <c r="B42" i="57"/>
  <c r="F72" i="57"/>
  <c r="G21" i="57"/>
  <c r="I64" i="57"/>
  <c r="Y64" i="57" s="1"/>
  <c r="H102" i="57"/>
  <c r="X102" i="57" s="1"/>
  <c r="H17" i="57"/>
  <c r="X17" i="57" s="1"/>
  <c r="D80" i="57"/>
  <c r="G97" i="57"/>
  <c r="I21" i="57"/>
  <c r="Y21" i="57" s="1"/>
  <c r="M71" i="58" s="1"/>
  <c r="H92" i="57"/>
  <c r="X92" i="57" s="1"/>
  <c r="L125" i="58" s="1"/>
  <c r="H97" i="57"/>
  <c r="X97" i="57" s="1"/>
  <c r="H62" i="57"/>
  <c r="X62" i="57" s="1"/>
  <c r="G40" i="57"/>
  <c r="H32" i="57"/>
  <c r="X32" i="57" s="1"/>
  <c r="L75" i="58" s="1"/>
  <c r="G17" i="57"/>
  <c r="C56" i="57"/>
  <c r="I42" i="57"/>
  <c r="Y42" i="57" s="1"/>
  <c r="F31" i="57"/>
  <c r="C40" i="57"/>
  <c r="H43" i="57"/>
  <c r="X43" i="57" s="1"/>
  <c r="L21" i="58" s="1"/>
  <c r="E41" i="57"/>
  <c r="I17" i="58" s="1"/>
  <c r="J29" i="101" s="1"/>
  <c r="C19" i="57"/>
  <c r="G18" i="58" s="1"/>
  <c r="D21" i="57"/>
  <c r="H71" i="58" s="1"/>
  <c r="C46" i="57"/>
  <c r="G27" i="58" s="1"/>
  <c r="H34" i="101" s="1"/>
  <c r="G78" i="57"/>
  <c r="C48" i="57"/>
  <c r="G33" i="58" s="1"/>
  <c r="E19" i="57"/>
  <c r="D78" i="57"/>
  <c r="D46" i="57"/>
  <c r="AN45" i="50"/>
  <c r="AR45" i="50" s="1"/>
  <c r="H91" i="57"/>
  <c r="AN90" i="50"/>
  <c r="G84" i="57"/>
  <c r="AM83" i="50"/>
  <c r="AQ83" i="50" s="1"/>
  <c r="I30" i="57"/>
  <c r="AO29" i="50"/>
  <c r="G27" i="57"/>
  <c r="AM26" i="50"/>
  <c r="AQ26" i="50" s="1"/>
  <c r="C73" i="57"/>
  <c r="AM72" i="50"/>
  <c r="AQ72" i="50" s="1"/>
  <c r="M65" i="57"/>
  <c r="I46" i="57"/>
  <c r="Y46" i="57" s="1"/>
  <c r="M29" i="58" s="1"/>
  <c r="AO45" i="50"/>
  <c r="AS45" i="50" s="1"/>
  <c r="E105" i="57"/>
  <c r="AO104" i="50"/>
  <c r="E45" i="57"/>
  <c r="AO44" i="50"/>
  <c r="E34" i="57"/>
  <c r="AO33" i="50"/>
  <c r="B26" i="57"/>
  <c r="F24" i="58" s="1"/>
  <c r="I20" i="101" s="1"/>
  <c r="AL25" i="50"/>
  <c r="H59" i="57"/>
  <c r="AN58" i="50"/>
  <c r="AR58" i="50" s="1"/>
  <c r="AL69" i="50"/>
  <c r="AP69" i="50" s="1"/>
  <c r="AO21" i="50"/>
  <c r="AS21" i="50" s="1"/>
  <c r="E26" i="57"/>
  <c r="I24" i="58" s="1"/>
  <c r="J20" i="101" s="1"/>
  <c r="AO25" i="50"/>
  <c r="AO64" i="50"/>
  <c r="N70" i="57"/>
  <c r="R70" i="57" s="1"/>
  <c r="V70" i="57" s="1"/>
  <c r="F33" i="57"/>
  <c r="J33" i="57" s="1"/>
  <c r="AL32" i="50"/>
  <c r="AP32" i="50" s="1"/>
  <c r="D50" i="57"/>
  <c r="H121" i="58" s="1"/>
  <c r="K35" i="101" s="1"/>
  <c r="AN49" i="50"/>
  <c r="G111" i="57"/>
  <c r="AM110" i="50"/>
  <c r="E62" i="57"/>
  <c r="AO61" i="50"/>
  <c r="AS61" i="50" s="1"/>
  <c r="E51" i="57"/>
  <c r="AO50" i="50"/>
  <c r="AS50" i="50" s="1"/>
  <c r="G75" i="57"/>
  <c r="AM74" i="50"/>
  <c r="AQ74" i="50" s="1"/>
  <c r="B22" i="57"/>
  <c r="F72" i="58" s="1"/>
  <c r="AL21" i="50"/>
  <c r="AP21" i="50" s="1"/>
  <c r="I28" i="57"/>
  <c r="AO27" i="50"/>
  <c r="AS27" i="50" s="1"/>
  <c r="G26" i="57"/>
  <c r="AM25" i="50"/>
  <c r="I109" i="57"/>
  <c r="AO108" i="50"/>
  <c r="I23" i="64"/>
  <c r="M23" i="64" s="1"/>
  <c r="B62" i="57"/>
  <c r="AL61" i="50"/>
  <c r="AP61" i="50" s="1"/>
  <c r="B109" i="57"/>
  <c r="F60" i="58" s="1"/>
  <c r="AL108" i="50"/>
  <c r="D75" i="57"/>
  <c r="AN74" i="50"/>
  <c r="AR74" i="50" s="1"/>
  <c r="F23" i="57"/>
  <c r="AL22" i="50"/>
  <c r="AP22" i="50" s="1"/>
  <c r="O51" i="57"/>
  <c r="S51" i="57" s="1"/>
  <c r="W51" i="57" s="1"/>
  <c r="AL79" i="50"/>
  <c r="AP79" i="50" s="1"/>
  <c r="AM21" i="50"/>
  <c r="AQ21" i="50" s="1"/>
  <c r="AM44" i="50"/>
  <c r="H33" i="64" s="1"/>
  <c r="L33" i="64" s="1"/>
  <c r="AN29" i="50"/>
  <c r="AR29" i="50" s="1"/>
  <c r="AM17" i="50"/>
  <c r="AQ17" i="50" s="1"/>
  <c r="AL17" i="50"/>
  <c r="AP17" i="50" s="1"/>
  <c r="AO14" i="50"/>
  <c r="J11" i="64" s="1"/>
  <c r="N11" i="64" s="1"/>
  <c r="AN16" i="50"/>
  <c r="AR16" i="50" s="1"/>
  <c r="AL50" i="50"/>
  <c r="AP50" i="50" s="1"/>
  <c r="AO31" i="50"/>
  <c r="AS31" i="50" s="1"/>
  <c r="AO75" i="50"/>
  <c r="AS75" i="50" s="1"/>
  <c r="AB94" i="57"/>
  <c r="AM87" i="50"/>
  <c r="AQ87" i="50" s="1"/>
  <c r="AL74" i="50"/>
  <c r="AP74" i="50" s="1"/>
  <c r="AO17" i="50"/>
  <c r="AS17" i="50" s="1"/>
  <c r="AL67" i="50"/>
  <c r="AP67" i="50" s="1"/>
  <c r="AO69" i="50"/>
  <c r="AS69" i="50" s="1"/>
  <c r="AO67" i="50"/>
  <c r="AS67" i="50" s="1"/>
  <c r="AN79" i="50"/>
  <c r="AR79" i="50" s="1"/>
  <c r="AO55" i="50"/>
  <c r="AS55" i="50" s="1"/>
  <c r="AM46" i="50"/>
  <c r="AQ46" i="50" s="1"/>
  <c r="AN64" i="50"/>
  <c r="AR64" i="50" s="1"/>
  <c r="AN61" i="50"/>
  <c r="AR61" i="50" s="1"/>
  <c r="AM18" i="50"/>
  <c r="AO81" i="50"/>
  <c r="AS81" i="50" s="1"/>
  <c r="AL81" i="50"/>
  <c r="AP81" i="50" s="1"/>
  <c r="D36" i="57"/>
  <c r="AM75" i="50"/>
  <c r="AQ75" i="50" s="1"/>
  <c r="N10" i="57"/>
  <c r="R10" i="57" s="1"/>
  <c r="V10" i="57" s="1"/>
  <c r="J10" i="58" s="1"/>
  <c r="L16" i="57"/>
  <c r="AN103" i="50"/>
  <c r="AN71" i="50"/>
  <c r="AO49" i="50"/>
  <c r="AO94" i="50"/>
  <c r="AS94" i="50" s="1"/>
  <c r="AN96" i="50"/>
  <c r="AR96" i="50" s="1"/>
  <c r="AO35" i="50"/>
  <c r="AS35" i="50" s="1"/>
  <c r="AN13" i="50"/>
  <c r="AR13" i="50" s="1"/>
  <c r="AN41" i="50"/>
  <c r="AR41" i="50" s="1"/>
  <c r="AM88" i="50"/>
  <c r="AQ88" i="50" s="1"/>
  <c r="AM57" i="50"/>
  <c r="AO63" i="50"/>
  <c r="AS63" i="50" s="1"/>
  <c r="AB68" i="57"/>
  <c r="AN27" i="50"/>
  <c r="AC70" i="57"/>
  <c r="AO106" i="50"/>
  <c r="AS106" i="50" s="1"/>
  <c r="AO84" i="50"/>
  <c r="AS84" i="50" s="1"/>
  <c r="AM39" i="50"/>
  <c r="AN106" i="50"/>
  <c r="AR106" i="50" s="1"/>
  <c r="AM108" i="50"/>
  <c r="N14" i="57"/>
  <c r="R14" i="57" s="1"/>
  <c r="V14" i="57" s="1"/>
  <c r="J69" i="58" s="1"/>
  <c r="N69" i="58" s="1"/>
  <c r="M70" i="57"/>
  <c r="AN67" i="50"/>
  <c r="AM84" i="50"/>
  <c r="AQ84" i="50" s="1"/>
  <c r="AO48" i="50"/>
  <c r="AS48" i="50" s="1"/>
  <c r="AM68" i="50"/>
  <c r="Q10" i="58"/>
  <c r="AM79" i="50"/>
  <c r="AQ79" i="50" s="1"/>
  <c r="L68" i="57"/>
  <c r="AP36" i="50"/>
  <c r="AN42" i="50"/>
  <c r="AR42" i="50" s="1"/>
  <c r="AB14" i="57"/>
  <c r="T10" i="64" s="1"/>
  <c r="L10" i="57"/>
  <c r="AM102" i="50"/>
  <c r="AQ102" i="50" s="1"/>
  <c r="AN99" i="50"/>
  <c r="AR99" i="50" s="1"/>
  <c r="AL66" i="50"/>
  <c r="AP66" i="50" s="1"/>
  <c r="AN18" i="50"/>
  <c r="AB28" i="57"/>
  <c r="N68" i="57"/>
  <c r="R68" i="57" s="1"/>
  <c r="V68" i="57" s="1"/>
  <c r="AB16" i="57"/>
  <c r="T12" i="64" s="1"/>
  <c r="AO23" i="50"/>
  <c r="AM99" i="50"/>
  <c r="AN88" i="50"/>
  <c r="AR88" i="50" s="1"/>
  <c r="AO74" i="50"/>
  <c r="AS74" i="50" s="1"/>
  <c r="I90" i="58"/>
  <c r="E32" i="57"/>
  <c r="AO71" i="50"/>
  <c r="AL104" i="50"/>
  <c r="I55" i="64" s="1"/>
  <c r="M55" i="64" s="1"/>
  <c r="D63" i="57"/>
  <c r="H118" i="58" s="1"/>
  <c r="AN62" i="50"/>
  <c r="B72" i="57"/>
  <c r="F40" i="58" s="1"/>
  <c r="I45" i="101" s="1"/>
  <c r="AL71" i="50"/>
  <c r="I45" i="64" s="1"/>
  <c r="M45" i="64" s="1"/>
  <c r="AL40" i="50"/>
  <c r="E64" i="57"/>
  <c r="AN17" i="50"/>
  <c r="AN108" i="50"/>
  <c r="AO88" i="50"/>
  <c r="AM42" i="50"/>
  <c r="AL55" i="50"/>
  <c r="AP55" i="50" s="1"/>
  <c r="E63" i="57"/>
  <c r="I118" i="58" s="1"/>
  <c r="AO62" i="50"/>
  <c r="E36" i="57"/>
  <c r="I34" i="58" s="1"/>
  <c r="J27" i="101" s="1"/>
  <c r="AN69" i="50"/>
  <c r="AR69" i="50" s="1"/>
  <c r="AO9" i="50"/>
  <c r="AS9" i="50" s="1"/>
  <c r="G102" i="57"/>
  <c r="AL88" i="50"/>
  <c r="B47" i="57"/>
  <c r="F29" i="58" s="1"/>
  <c r="AL46" i="50"/>
  <c r="AP46" i="50" s="1"/>
  <c r="AN107" i="50"/>
  <c r="AR107" i="50" s="1"/>
  <c r="AM14" i="50"/>
  <c r="H11" i="64" s="1"/>
  <c r="L11" i="64" s="1"/>
  <c r="B27" i="57"/>
  <c r="AL18" i="50"/>
  <c r="I15" i="64" s="1"/>
  <c r="M15" i="64" s="1"/>
  <c r="B19" i="57"/>
  <c r="F18" i="58" s="1"/>
  <c r="I15" i="101" s="1"/>
  <c r="AM47" i="50"/>
  <c r="AQ47" i="50" s="1"/>
  <c r="AN15" i="50"/>
  <c r="K12" i="64" s="1"/>
  <c r="O12" i="64" s="1"/>
  <c r="C63" i="57"/>
  <c r="G118" i="58" s="1"/>
  <c r="AM62" i="50"/>
  <c r="K15" i="57"/>
  <c r="G73" i="58"/>
  <c r="AL84" i="50"/>
  <c r="AP84" i="50" s="1"/>
  <c r="AN84" i="50"/>
  <c r="AR84" i="50" s="1"/>
  <c r="AM20" i="50"/>
  <c r="AQ20" i="50" s="1"/>
  <c r="O23" i="57"/>
  <c r="S23" i="57" s="1"/>
  <c r="W23" i="57" s="1"/>
  <c r="M100" i="57"/>
  <c r="AL103" i="50"/>
  <c r="AO22" i="50"/>
  <c r="AS22" i="50" s="1"/>
  <c r="AO40" i="50"/>
  <c r="J29" i="64" s="1"/>
  <c r="N29" i="64" s="1"/>
  <c r="BI7" i="64"/>
  <c r="I4" i="125" s="1"/>
  <c r="AC100" i="57"/>
  <c r="AM49" i="50"/>
  <c r="C50" i="57"/>
  <c r="G121" i="58" s="1"/>
  <c r="H35" i="101" s="1"/>
  <c r="AO103" i="50"/>
  <c r="AS103" i="50" s="1"/>
  <c r="AO42" i="50"/>
  <c r="AS42" i="50" s="1"/>
  <c r="C22" i="57"/>
  <c r="AM69" i="50"/>
  <c r="AQ69" i="50" s="1"/>
  <c r="AL42" i="50"/>
  <c r="AO99" i="50"/>
  <c r="AM63" i="50"/>
  <c r="AQ63" i="50" s="1"/>
  <c r="AN101" i="50"/>
  <c r="AR101" i="50" s="1"/>
  <c r="B63" i="57"/>
  <c r="F118" i="58" s="1"/>
  <c r="AL62" i="50"/>
  <c r="AL30" i="50"/>
  <c r="I24" i="64" s="1"/>
  <c r="M24" i="64" s="1"/>
  <c r="B31" i="57"/>
  <c r="F30" i="58" s="1"/>
  <c r="AM10" i="50"/>
  <c r="AQ10" i="50" s="1"/>
  <c r="L23" i="57"/>
  <c r="AO59" i="50"/>
  <c r="AS59" i="50" s="1"/>
  <c r="AN68" i="50"/>
  <c r="E23" i="57"/>
  <c r="B84" i="57"/>
  <c r="AL83" i="50"/>
  <c r="AP83" i="50" s="1"/>
  <c r="AL59" i="50"/>
  <c r="AP59" i="50" s="1"/>
  <c r="AM59" i="50"/>
  <c r="AQ59" i="50" s="1"/>
  <c r="AO57" i="50"/>
  <c r="AB20" i="57"/>
  <c r="AM9" i="50"/>
  <c r="AQ9" i="50" s="1"/>
  <c r="AM71" i="50"/>
  <c r="H56" i="57"/>
  <c r="AN55" i="50"/>
  <c r="AR55" i="50" s="1"/>
  <c r="BG12" i="64"/>
  <c r="G9" i="125" s="1"/>
  <c r="AN32" i="50"/>
  <c r="AR32" i="50" s="1"/>
  <c r="AO79" i="50"/>
  <c r="AS79" i="50" s="1"/>
  <c r="AN30" i="50"/>
  <c r="AR30" i="50" s="1"/>
  <c r="AM15" i="50"/>
  <c r="H12" i="64" s="1"/>
  <c r="L12" i="64" s="1"/>
  <c r="E18" i="57"/>
  <c r="O20" i="57"/>
  <c r="S20" i="57" s="1"/>
  <c r="W20" i="57" s="1"/>
  <c r="L33" i="57"/>
  <c r="AM22" i="50"/>
  <c r="AB33" i="57"/>
  <c r="AM61" i="50"/>
  <c r="AQ61" i="50" s="1"/>
  <c r="AL57" i="50"/>
  <c r="AL41" i="50"/>
  <c r="AN57" i="50"/>
  <c r="AM31" i="50"/>
  <c r="AQ31" i="50" s="1"/>
  <c r="C42" i="57"/>
  <c r="AM41" i="50"/>
  <c r="AO66" i="50"/>
  <c r="AS66" i="50" s="1"/>
  <c r="AM66" i="50"/>
  <c r="AO41" i="50"/>
  <c r="AR39" i="50"/>
  <c r="AL15" i="50"/>
  <c r="AL115" i="50"/>
  <c r="AP115" i="50" s="1"/>
  <c r="AO15" i="50"/>
  <c r="AN66" i="50"/>
  <c r="AR66" i="50" s="1"/>
  <c r="AM16" i="50"/>
  <c r="AN9" i="50"/>
  <c r="K7" i="64" s="1"/>
  <c r="O7" i="64" s="1"/>
  <c r="K24" i="57"/>
  <c r="AN94" i="50"/>
  <c r="AR94" i="50" s="1"/>
  <c r="AM55" i="50"/>
  <c r="AQ55" i="50" s="1"/>
  <c r="AM115" i="50"/>
  <c r="AQ115" i="50" s="1"/>
  <c r="AC37" i="57"/>
  <c r="AN26" i="50"/>
  <c r="AR26" i="50" s="1"/>
  <c r="AM40" i="50"/>
  <c r="AN115" i="50"/>
  <c r="AR115" i="50" s="1"/>
  <c r="N16" i="57"/>
  <c r="R16" i="57" s="1"/>
  <c r="V16" i="57" s="1"/>
  <c r="E52" i="57"/>
  <c r="E95" i="57"/>
  <c r="I92" i="58" s="1"/>
  <c r="J50" i="101" s="1"/>
  <c r="J59" i="57"/>
  <c r="C10" i="57"/>
  <c r="K10" i="57" s="1"/>
  <c r="I70" i="58"/>
  <c r="J12" i="101" s="1"/>
  <c r="L20" i="57"/>
  <c r="B10" i="57"/>
  <c r="AL9" i="50"/>
  <c r="K92" i="57"/>
  <c r="K79" i="57"/>
  <c r="AN109" i="50"/>
  <c r="AR109" i="50" s="1"/>
  <c r="AP29" i="50"/>
  <c r="AM94" i="50"/>
  <c r="AL91" i="50"/>
  <c r="AP91" i="50" s="1"/>
  <c r="AB10" i="57"/>
  <c r="T7" i="64" s="1"/>
  <c r="AM91" i="50"/>
  <c r="AQ91" i="50" s="1"/>
  <c r="AM106" i="50"/>
  <c r="AQ106" i="50" s="1"/>
  <c r="AN50" i="50"/>
  <c r="AR50" i="50" s="1"/>
  <c r="E92" i="57"/>
  <c r="I125" i="58" s="1"/>
  <c r="AO91" i="50"/>
  <c r="AS91" i="50" s="1"/>
  <c r="D64" i="57"/>
  <c r="H63" i="58" s="1"/>
  <c r="AN63" i="50"/>
  <c r="AR63" i="50" s="1"/>
  <c r="AN31" i="50"/>
  <c r="AR31" i="50" s="1"/>
  <c r="AN91" i="50"/>
  <c r="AR91" i="50" s="1"/>
  <c r="AL112" i="50"/>
  <c r="H28" i="58"/>
  <c r="L14" i="57"/>
  <c r="H69" i="58"/>
  <c r="M20" i="57"/>
  <c r="AN36" i="50"/>
  <c r="AC10" i="57"/>
  <c r="S7" i="64" s="1"/>
  <c r="AN22" i="50"/>
  <c r="AR22" i="50" s="1"/>
  <c r="AN112" i="50"/>
  <c r="AO36" i="50"/>
  <c r="D49" i="57"/>
  <c r="AN48" i="50"/>
  <c r="AR48" i="50" s="1"/>
  <c r="AN43" i="50"/>
  <c r="AR43" i="50" s="1"/>
  <c r="AM64" i="50"/>
  <c r="AQ64" i="50" s="1"/>
  <c r="AN19" i="50"/>
  <c r="AL19" i="50"/>
  <c r="B20" i="57"/>
  <c r="AN87" i="50"/>
  <c r="K49" i="64" s="1"/>
  <c r="O49" i="64" s="1"/>
  <c r="C9" i="57"/>
  <c r="K64" i="57"/>
  <c r="B32" i="57"/>
  <c r="AL31" i="50"/>
  <c r="AP31" i="50" s="1"/>
  <c r="AO102" i="50"/>
  <c r="AS102" i="50" s="1"/>
  <c r="AM19" i="50"/>
  <c r="G105" i="57"/>
  <c r="AM104" i="50"/>
  <c r="H55" i="64" s="1"/>
  <c r="L55" i="64" s="1"/>
  <c r="AC20" i="57"/>
  <c r="X23" i="57"/>
  <c r="AN10" i="50"/>
  <c r="AR10" i="50" s="1"/>
  <c r="X11" i="57"/>
  <c r="N11" i="57"/>
  <c r="R11" i="57" s="1"/>
  <c r="V11" i="57" s="1"/>
  <c r="AM43" i="50"/>
  <c r="AQ43" i="50" s="1"/>
  <c r="C44" i="57"/>
  <c r="X37" i="57"/>
  <c r="AO19" i="50"/>
  <c r="J16" i="64" s="1"/>
  <c r="N16" i="64" s="1"/>
  <c r="C113" i="57"/>
  <c r="AM112" i="50"/>
  <c r="E113" i="57"/>
  <c r="AO112" i="50"/>
  <c r="O10" i="57"/>
  <c r="S10" i="57" s="1"/>
  <c r="W10" i="57" s="1"/>
  <c r="K10" i="58" s="1"/>
  <c r="B44" i="57"/>
  <c r="AL43" i="50"/>
  <c r="AP43" i="50" s="1"/>
  <c r="E31" i="57"/>
  <c r="I30" i="58" s="1"/>
  <c r="AO30" i="50"/>
  <c r="M10" i="57"/>
  <c r="AN21" i="50"/>
  <c r="AR21" i="50" s="1"/>
  <c r="AO43" i="50"/>
  <c r="AS43" i="50" s="1"/>
  <c r="E44" i="57"/>
  <c r="AM51" i="50"/>
  <c r="C52" i="57"/>
  <c r="AO16" i="50"/>
  <c r="BG11" i="64"/>
  <c r="G8" i="125" s="1"/>
  <c r="Y10" i="82"/>
  <c r="BG9" i="64"/>
  <c r="G6" i="125" s="1"/>
  <c r="Y8" i="82"/>
  <c r="M66" i="58"/>
  <c r="BH38" i="64"/>
  <c r="H35" i="125" s="1"/>
  <c r="Z37" i="82"/>
  <c r="AA52" i="82"/>
  <c r="BI53" i="64"/>
  <c r="I50" i="125" s="1"/>
  <c r="BJ12" i="64"/>
  <c r="J9" i="125" s="1"/>
  <c r="AB11" i="82"/>
  <c r="P70" i="58"/>
  <c r="AB5" i="82"/>
  <c r="BJ6" i="64"/>
  <c r="BJ7" i="64"/>
  <c r="J4" i="125" s="1"/>
  <c r="P10" i="58"/>
  <c r="AB6" i="82"/>
  <c r="BH6" i="64"/>
  <c r="Z5" i="82"/>
  <c r="BJ9" i="64"/>
  <c r="J6" i="125" s="1"/>
  <c r="AB8" i="82"/>
  <c r="J9" i="57"/>
  <c r="AA7" i="82"/>
  <c r="BI8" i="64"/>
  <c r="I5" i="125" s="1"/>
  <c r="H3" i="125" l="1"/>
  <c r="J3" i="125"/>
  <c r="M61" i="58"/>
  <c r="G89" i="58"/>
  <c r="H95" i="58"/>
  <c r="J6" i="64"/>
  <c r="N6" i="64" s="1"/>
  <c r="L88" i="57"/>
  <c r="N108" i="57"/>
  <c r="R108" i="57" s="1"/>
  <c r="V108" i="57" s="1"/>
  <c r="Z108" i="57" s="1"/>
  <c r="I95" i="58"/>
  <c r="M92" i="58"/>
  <c r="Q92" i="58" s="1"/>
  <c r="O83" i="57"/>
  <c r="S83" i="57" s="1"/>
  <c r="W83" i="57" s="1"/>
  <c r="K86" i="58" s="1"/>
  <c r="I28" i="64"/>
  <c r="M28" i="64" s="1"/>
  <c r="O95" i="57"/>
  <c r="S95" i="57" s="1"/>
  <c r="W95" i="57" s="1"/>
  <c r="AA95" i="57" s="1"/>
  <c r="I130" i="58"/>
  <c r="Q130" i="58" s="1"/>
  <c r="M83" i="57"/>
  <c r="L104" i="58"/>
  <c r="L135" i="58"/>
  <c r="M135" i="58"/>
  <c r="K117" i="57"/>
  <c r="J83" i="57"/>
  <c r="Z101" i="57"/>
  <c r="J101" i="57"/>
  <c r="AD101" i="57" s="1"/>
  <c r="AA101" i="57"/>
  <c r="K101" i="57"/>
  <c r="AE101" i="57" s="1"/>
  <c r="Z66" i="57"/>
  <c r="J66" i="57"/>
  <c r="AD66" i="57" s="1"/>
  <c r="Z70" i="57"/>
  <c r="G130" i="58"/>
  <c r="O130" i="58" s="1"/>
  <c r="AB101" i="57"/>
  <c r="L101" i="57"/>
  <c r="AF101" i="57" s="1"/>
  <c r="AC101" i="57"/>
  <c r="M101" i="57"/>
  <c r="AG101" i="57" s="1"/>
  <c r="AC66" i="57"/>
  <c r="M66" i="57"/>
  <c r="AG66" i="57" s="1"/>
  <c r="AB66" i="57"/>
  <c r="L66" i="57"/>
  <c r="AF66" i="57" s="1"/>
  <c r="F122" i="58"/>
  <c r="N122" i="58" s="1"/>
  <c r="AA66" i="57"/>
  <c r="K66" i="57"/>
  <c r="N125" i="57"/>
  <c r="R125" i="57" s="1"/>
  <c r="V125" i="57" s="1"/>
  <c r="J109" i="58" s="1"/>
  <c r="F90" i="58"/>
  <c r="L77" i="57"/>
  <c r="N83" i="57"/>
  <c r="R83" i="57" s="1"/>
  <c r="V83" i="57" s="1"/>
  <c r="J86" i="58" s="1"/>
  <c r="N86" i="58" s="1"/>
  <c r="N123" i="57"/>
  <c r="R123" i="57" s="1"/>
  <c r="V123" i="57" s="1"/>
  <c r="J90" i="57"/>
  <c r="J70" i="57"/>
  <c r="BJ10" i="64"/>
  <c r="J7" i="125" s="1"/>
  <c r="K10" i="101"/>
  <c r="BJ17" i="64"/>
  <c r="J14" i="125" s="1"/>
  <c r="K17" i="101"/>
  <c r="Y23" i="82"/>
  <c r="H24" i="101"/>
  <c r="AB24" i="82"/>
  <c r="K25" i="101"/>
  <c r="BJ44" i="64"/>
  <c r="J41" i="125" s="1"/>
  <c r="K44" i="101"/>
  <c r="Z46" i="82"/>
  <c r="I47" i="101"/>
  <c r="Z35" i="82"/>
  <c r="I36" i="101"/>
  <c r="BJ37" i="64"/>
  <c r="J34" i="125" s="1"/>
  <c r="K37" i="101"/>
  <c r="Y26" i="82"/>
  <c r="H27" i="101"/>
  <c r="BJ47" i="64"/>
  <c r="J44" i="125" s="1"/>
  <c r="K47" i="101"/>
  <c r="BH27" i="64"/>
  <c r="H24" i="125" s="1"/>
  <c r="I27" i="101"/>
  <c r="AB48" i="82"/>
  <c r="K49" i="101"/>
  <c r="Z42" i="82"/>
  <c r="I43" i="101"/>
  <c r="Y45" i="82"/>
  <c r="H46" i="101"/>
  <c r="BH39" i="64"/>
  <c r="H36" i="125" s="1"/>
  <c r="I39" i="101"/>
  <c r="Z13" i="82"/>
  <c r="I14" i="101"/>
  <c r="BH52" i="64"/>
  <c r="H49" i="125" s="1"/>
  <c r="I52" i="101"/>
  <c r="AB17" i="82"/>
  <c r="K18" i="101"/>
  <c r="BI44" i="64"/>
  <c r="I41" i="125" s="1"/>
  <c r="J44" i="101"/>
  <c r="Y47" i="82"/>
  <c r="H48" i="101"/>
  <c r="BJ51" i="64"/>
  <c r="J48" i="125" s="1"/>
  <c r="K51" i="101"/>
  <c r="AA18" i="82"/>
  <c r="J19" i="101"/>
  <c r="BJ29" i="64"/>
  <c r="J26" i="125" s="1"/>
  <c r="K29" i="101"/>
  <c r="Y37" i="82"/>
  <c r="H38" i="101"/>
  <c r="BH23" i="64"/>
  <c r="H20" i="125" s="1"/>
  <c r="I23" i="101"/>
  <c r="BJ53" i="64"/>
  <c r="J50" i="125" s="1"/>
  <c r="K53" i="101"/>
  <c r="BI24" i="64"/>
  <c r="I21" i="125" s="1"/>
  <c r="J24" i="101"/>
  <c r="Z23" i="82"/>
  <c r="I24" i="101"/>
  <c r="Y17" i="82"/>
  <c r="H18" i="101"/>
  <c r="BG15" i="64"/>
  <c r="G12" i="125" s="1"/>
  <c r="H15" i="101"/>
  <c r="BI46" i="64"/>
  <c r="I43" i="125" s="1"/>
  <c r="J46" i="101"/>
  <c r="BJ32" i="64"/>
  <c r="J29" i="125" s="1"/>
  <c r="K32" i="101"/>
  <c r="BJ16" i="64"/>
  <c r="J13" i="125" s="1"/>
  <c r="K16" i="101"/>
  <c r="Y52" i="82"/>
  <c r="H53" i="101"/>
  <c r="BH53" i="64"/>
  <c r="H50" i="125" s="1"/>
  <c r="I53" i="101"/>
  <c r="BG52" i="64"/>
  <c r="G49" i="125" s="1"/>
  <c r="H52" i="101"/>
  <c r="BH49" i="64"/>
  <c r="H46" i="125" s="1"/>
  <c r="I49" i="101"/>
  <c r="BG14" i="64"/>
  <c r="G11" i="125" s="1"/>
  <c r="H14" i="101"/>
  <c r="BJ40" i="64"/>
  <c r="J37" i="125" s="1"/>
  <c r="K40" i="101"/>
  <c r="BI48" i="64"/>
  <c r="I45" i="125" s="1"/>
  <c r="J48" i="101"/>
  <c r="AB37" i="82"/>
  <c r="K38" i="101"/>
  <c r="Y35" i="82"/>
  <c r="H36" i="101"/>
  <c r="AA21" i="82"/>
  <c r="J22" i="101"/>
  <c r="BH37" i="64"/>
  <c r="H34" i="125" s="1"/>
  <c r="I37" i="101"/>
  <c r="AA5" i="82"/>
  <c r="J6" i="101"/>
  <c r="Z18" i="82"/>
  <c r="I19" i="101"/>
  <c r="BJ19" i="64"/>
  <c r="J16" i="125" s="1"/>
  <c r="K19" i="101"/>
  <c r="BI11" i="64"/>
  <c r="I8" i="125" s="1"/>
  <c r="J11" i="101"/>
  <c r="BI17" i="64"/>
  <c r="I14" i="125" s="1"/>
  <c r="J17" i="101"/>
  <c r="BJ39" i="64"/>
  <c r="J36" i="125" s="1"/>
  <c r="K39" i="101"/>
  <c r="BI9" i="64"/>
  <c r="I6" i="125" s="1"/>
  <c r="J9" i="101"/>
  <c r="Y20" i="82"/>
  <c r="H21" i="101"/>
  <c r="P14" i="58"/>
  <c r="K11" i="101"/>
  <c r="BJ36" i="64"/>
  <c r="J33" i="125" s="1"/>
  <c r="K36" i="101"/>
  <c r="BG39" i="64"/>
  <c r="G36" i="125" s="1"/>
  <c r="H39" i="101"/>
  <c r="Z53" i="82"/>
  <c r="I54" i="101"/>
  <c r="AC68" i="57"/>
  <c r="M120" i="57"/>
  <c r="AB77" i="57"/>
  <c r="J45" i="64"/>
  <c r="N45" i="64" s="1"/>
  <c r="O68" i="57"/>
  <c r="S68" i="57" s="1"/>
  <c r="W68" i="57" s="1"/>
  <c r="AA68" i="57" s="1"/>
  <c r="M68" i="57"/>
  <c r="J55" i="64"/>
  <c r="N55" i="64" s="1"/>
  <c r="L89" i="58"/>
  <c r="N77" i="57"/>
  <c r="R77" i="57" s="1"/>
  <c r="V77" i="57" s="1"/>
  <c r="J123" i="58" s="1"/>
  <c r="N123" i="58" s="1"/>
  <c r="K55" i="64"/>
  <c r="O55" i="64" s="1"/>
  <c r="I85" i="58"/>
  <c r="L81" i="58"/>
  <c r="P123" i="58"/>
  <c r="AC120" i="57"/>
  <c r="K53" i="64"/>
  <c r="O53" i="64" s="1"/>
  <c r="AC96" i="57"/>
  <c r="S51" i="64" s="1"/>
  <c r="O120" i="57"/>
  <c r="S120" i="57" s="1"/>
  <c r="W120" i="57" s="1"/>
  <c r="AA120" i="57" s="1"/>
  <c r="AC85" i="57"/>
  <c r="H100" i="58"/>
  <c r="AB116" i="57"/>
  <c r="N86" i="57"/>
  <c r="R86" i="57" s="1"/>
  <c r="V86" i="57" s="1"/>
  <c r="J124" i="58" s="1"/>
  <c r="N124" i="58" s="1"/>
  <c r="N132" i="57"/>
  <c r="R132" i="57" s="1"/>
  <c r="V132" i="57" s="1"/>
  <c r="J89" i="57"/>
  <c r="N138" i="57"/>
  <c r="R138" i="57" s="1"/>
  <c r="V138" i="57" s="1"/>
  <c r="N129" i="57"/>
  <c r="R129" i="57" s="1"/>
  <c r="V129" i="57" s="1"/>
  <c r="Z129" i="57" s="1"/>
  <c r="N133" i="57"/>
  <c r="R133" i="57" s="1"/>
  <c r="V133" i="57" s="1"/>
  <c r="I8" i="64"/>
  <c r="M8" i="64" s="1"/>
  <c r="M132" i="58"/>
  <c r="N60" i="57"/>
  <c r="R60" i="57" s="1"/>
  <c r="V60" i="57" s="1"/>
  <c r="Z60" i="57" s="1"/>
  <c r="J58" i="64"/>
  <c r="N58" i="64" s="1"/>
  <c r="F81" i="58"/>
  <c r="G116" i="58"/>
  <c r="AB113" i="57"/>
  <c r="N116" i="57"/>
  <c r="R116" i="57" s="1"/>
  <c r="V116" i="57" s="1"/>
  <c r="Z116" i="57" s="1"/>
  <c r="H19" i="64"/>
  <c r="L19" i="64" s="1"/>
  <c r="J60" i="57"/>
  <c r="X104" i="57"/>
  <c r="L95" i="58" s="1"/>
  <c r="P95" i="58" s="1"/>
  <c r="O144" i="57"/>
  <c r="S144" i="57" s="1"/>
  <c r="W144" i="57" s="1"/>
  <c r="AA144" i="57" s="1"/>
  <c r="H119" i="58"/>
  <c r="M75" i="57"/>
  <c r="AG75" i="57" s="1"/>
  <c r="BH54" i="64"/>
  <c r="H51" i="125" s="1"/>
  <c r="K28" i="57"/>
  <c r="AC116" i="57"/>
  <c r="I58" i="64"/>
  <c r="M58" i="64" s="1"/>
  <c r="O118" i="57"/>
  <c r="S118" i="57" s="1"/>
  <c r="W118" i="57" s="1"/>
  <c r="K102" i="58" s="1"/>
  <c r="M119" i="58"/>
  <c r="Q119" i="58" s="1"/>
  <c r="O110" i="57"/>
  <c r="S110" i="57" s="1"/>
  <c r="W110" i="57" s="1"/>
  <c r="AA110" i="57" s="1"/>
  <c r="M108" i="58"/>
  <c r="I59" i="58"/>
  <c r="L59" i="57"/>
  <c r="L104" i="57"/>
  <c r="AC39" i="57"/>
  <c r="AG39" i="57" s="1"/>
  <c r="L108" i="58"/>
  <c r="Y9" i="82"/>
  <c r="O103" i="57"/>
  <c r="S103" i="57" s="1"/>
  <c r="W103" i="57" s="1"/>
  <c r="AA103" i="57" s="1"/>
  <c r="I109" i="58"/>
  <c r="O123" i="57"/>
  <c r="S123" i="57" s="1"/>
  <c r="W123" i="57" s="1"/>
  <c r="AA123" i="57" s="1"/>
  <c r="G110" i="58"/>
  <c r="AB107" i="57"/>
  <c r="BG21" i="64"/>
  <c r="G18" i="125" s="1"/>
  <c r="L26" i="58"/>
  <c r="I110" i="58"/>
  <c r="Q110" i="58" s="1"/>
  <c r="L102" i="58"/>
  <c r="P102" i="58" s="1"/>
  <c r="J107" i="57"/>
  <c r="K58" i="64"/>
  <c r="O58" i="64" s="1"/>
  <c r="O140" i="57"/>
  <c r="S140" i="57" s="1"/>
  <c r="W140" i="57" s="1"/>
  <c r="AA140" i="57" s="1"/>
  <c r="N114" i="57"/>
  <c r="R114" i="57" s="1"/>
  <c r="V114" i="57" s="1"/>
  <c r="J98" i="58" s="1"/>
  <c r="H103" i="58"/>
  <c r="N118" i="57"/>
  <c r="R118" i="57" s="1"/>
  <c r="V118" i="57" s="1"/>
  <c r="Z118" i="57" s="1"/>
  <c r="O104" i="57"/>
  <c r="S104" i="57" s="1"/>
  <c r="W104" i="57" s="1"/>
  <c r="AA104" i="57" s="1"/>
  <c r="L98" i="58"/>
  <c r="K118" i="57"/>
  <c r="I108" i="58"/>
  <c r="K116" i="57"/>
  <c r="O80" i="57"/>
  <c r="S80" i="57" s="1"/>
  <c r="W80" i="57" s="1"/>
  <c r="K84" i="58" s="1"/>
  <c r="O84" i="58" s="1"/>
  <c r="W84" i="58" s="1"/>
  <c r="O94" i="57"/>
  <c r="S94" i="57" s="1"/>
  <c r="W94" i="57" s="1"/>
  <c r="K127" i="58" s="1"/>
  <c r="O127" i="58" s="1"/>
  <c r="P67" i="58"/>
  <c r="G59" i="58"/>
  <c r="J17" i="57"/>
  <c r="M82" i="58"/>
  <c r="Q82" i="58" s="1"/>
  <c r="Y82" i="58" s="1"/>
  <c r="K109" i="57"/>
  <c r="N139" i="57"/>
  <c r="R139" i="57" s="1"/>
  <c r="V139" i="57" s="1"/>
  <c r="J142" i="58" s="1"/>
  <c r="J61" i="57"/>
  <c r="O52" i="57"/>
  <c r="S52" i="57" s="1"/>
  <c r="W52" i="57" s="1"/>
  <c r="AA52" i="57" s="1"/>
  <c r="AB15" i="57"/>
  <c r="T11" i="64" s="1"/>
  <c r="N122" i="57"/>
  <c r="R122" i="57" s="1"/>
  <c r="V122" i="57" s="1"/>
  <c r="Z122" i="57" s="1"/>
  <c r="F12" i="58"/>
  <c r="H104" i="58"/>
  <c r="I45" i="58"/>
  <c r="Q45" i="58" s="1"/>
  <c r="M109" i="58"/>
  <c r="M137" i="58"/>
  <c r="O137" i="57"/>
  <c r="S137" i="57" s="1"/>
  <c r="W137" i="57" s="1"/>
  <c r="K141" i="58" s="1"/>
  <c r="O121" i="57"/>
  <c r="S121" i="57" s="1"/>
  <c r="W121" i="57" s="1"/>
  <c r="K104" i="58" s="1"/>
  <c r="N34" i="57"/>
  <c r="R34" i="57" s="1"/>
  <c r="V34" i="57" s="1"/>
  <c r="Z34" i="57" s="1"/>
  <c r="O75" i="57"/>
  <c r="S75" i="57" s="1"/>
  <c r="W75" i="57" s="1"/>
  <c r="AA75" i="57" s="1"/>
  <c r="N130" i="57"/>
  <c r="R130" i="57" s="1"/>
  <c r="V130" i="57" s="1"/>
  <c r="L96" i="58"/>
  <c r="F107" i="58"/>
  <c r="J106" i="57"/>
  <c r="M114" i="58"/>
  <c r="J24" i="57"/>
  <c r="N12" i="57"/>
  <c r="R12" i="57" s="1"/>
  <c r="V12" i="57" s="1"/>
  <c r="J67" i="58" s="1"/>
  <c r="K82" i="57"/>
  <c r="L114" i="58"/>
  <c r="M98" i="58"/>
  <c r="I58" i="58"/>
  <c r="J57" i="101" s="1"/>
  <c r="I101" i="58"/>
  <c r="M100" i="58"/>
  <c r="J114" i="57"/>
  <c r="K104" i="57"/>
  <c r="O122" i="57"/>
  <c r="S122" i="57" s="1"/>
  <c r="W122" i="57" s="1"/>
  <c r="K106" i="58" s="1"/>
  <c r="J135" i="58"/>
  <c r="I62" i="58"/>
  <c r="N144" i="57"/>
  <c r="R144" i="57" s="1"/>
  <c r="V144" i="57" s="1"/>
  <c r="J144" i="58" s="1"/>
  <c r="L136" i="58"/>
  <c r="M96" i="58"/>
  <c r="F58" i="58"/>
  <c r="L140" i="58"/>
  <c r="J100" i="57"/>
  <c r="L111" i="58"/>
  <c r="M16" i="57"/>
  <c r="L11" i="57"/>
  <c r="F56" i="58"/>
  <c r="I56" i="101" s="1"/>
  <c r="AC57" i="57"/>
  <c r="AG57" i="57" s="1"/>
  <c r="AC103" i="57"/>
  <c r="M145" i="58"/>
  <c r="H97" i="58"/>
  <c r="J139" i="58"/>
  <c r="J132" i="58"/>
  <c r="M94" i="57"/>
  <c r="L116" i="57"/>
  <c r="H101" i="58"/>
  <c r="K62" i="101" s="1"/>
  <c r="H108" i="58"/>
  <c r="I102" i="58"/>
  <c r="O93" i="57"/>
  <c r="S93" i="57" s="1"/>
  <c r="W93" i="57" s="1"/>
  <c r="K126" i="58" s="1"/>
  <c r="I97" i="58"/>
  <c r="Q97" i="58" s="1"/>
  <c r="J113" i="57"/>
  <c r="L144" i="58"/>
  <c r="L141" i="58"/>
  <c r="H98" i="58"/>
  <c r="L115" i="57"/>
  <c r="AF115" i="57" s="1"/>
  <c r="M133" i="58"/>
  <c r="F100" i="58"/>
  <c r="N115" i="57"/>
  <c r="R115" i="57" s="1"/>
  <c r="V115" i="57" s="1"/>
  <c r="Z115" i="57" s="1"/>
  <c r="M131" i="58"/>
  <c r="G97" i="58"/>
  <c r="L99" i="58"/>
  <c r="I13" i="58"/>
  <c r="Q13" i="58" s="1"/>
  <c r="Y13" i="58" s="1"/>
  <c r="I113" i="58"/>
  <c r="AB53" i="57"/>
  <c r="Q126" i="58"/>
  <c r="L145" i="58"/>
  <c r="F102" i="58"/>
  <c r="L110" i="58"/>
  <c r="M139" i="58"/>
  <c r="J29" i="57"/>
  <c r="L39" i="57"/>
  <c r="I103" i="58"/>
  <c r="G102" i="58"/>
  <c r="M113" i="58"/>
  <c r="L134" i="58"/>
  <c r="O115" i="57"/>
  <c r="S115" i="57" s="1"/>
  <c r="W115" i="57" s="1"/>
  <c r="AA115" i="57" s="1"/>
  <c r="M93" i="57"/>
  <c r="M104" i="57"/>
  <c r="AG104" i="57" s="1"/>
  <c r="I54" i="58"/>
  <c r="J55" i="101" s="1"/>
  <c r="L111" i="57"/>
  <c r="I96" i="58"/>
  <c r="M115" i="57"/>
  <c r="K38" i="57"/>
  <c r="J140" i="58"/>
  <c r="M140" i="58"/>
  <c r="J136" i="58"/>
  <c r="H52" i="58"/>
  <c r="AC80" i="57"/>
  <c r="H112" i="58"/>
  <c r="AB39" i="57"/>
  <c r="J96" i="57"/>
  <c r="N110" i="57"/>
  <c r="R110" i="57" s="1"/>
  <c r="V110" i="57" s="1"/>
  <c r="Z110" i="57" s="1"/>
  <c r="AD110" i="57" s="1"/>
  <c r="G54" i="58"/>
  <c r="H55" i="101" s="1"/>
  <c r="L105" i="58"/>
  <c r="F85" i="58"/>
  <c r="M80" i="57"/>
  <c r="H54" i="58"/>
  <c r="K55" i="101" s="1"/>
  <c r="Z29" i="57"/>
  <c r="M105" i="58"/>
  <c r="M111" i="58"/>
  <c r="J141" i="58"/>
  <c r="L143" i="58"/>
  <c r="N117" i="57"/>
  <c r="R117" i="57" s="1"/>
  <c r="V117" i="57" s="1"/>
  <c r="Z117" i="57" s="1"/>
  <c r="AD117" i="57" s="1"/>
  <c r="N58" i="57"/>
  <c r="R58" i="57" s="1"/>
  <c r="V58" i="57" s="1"/>
  <c r="Z58" i="57" s="1"/>
  <c r="J113" i="58"/>
  <c r="M136" i="58"/>
  <c r="M138" i="58"/>
  <c r="L137" i="58"/>
  <c r="G96" i="58"/>
  <c r="L142" i="58"/>
  <c r="M144" i="58"/>
  <c r="L108" i="57"/>
  <c r="AF108" i="57" s="1"/>
  <c r="F97" i="58"/>
  <c r="N63" i="57"/>
  <c r="R63" i="57" s="1"/>
  <c r="V63" i="57" s="1"/>
  <c r="Z63" i="57" s="1"/>
  <c r="L97" i="58"/>
  <c r="M32" i="58"/>
  <c r="J95" i="57"/>
  <c r="AC111" i="57"/>
  <c r="M103" i="57"/>
  <c r="L58" i="57"/>
  <c r="AF58" i="57" s="1"/>
  <c r="M24" i="57"/>
  <c r="AG24" i="57" s="1"/>
  <c r="J115" i="57"/>
  <c r="K119" i="57"/>
  <c r="O119" i="57"/>
  <c r="S119" i="57" s="1"/>
  <c r="W119" i="57" s="1"/>
  <c r="AA119" i="57" s="1"/>
  <c r="J88" i="57"/>
  <c r="K11" i="57"/>
  <c r="O77" i="57"/>
  <c r="S77" i="57" s="1"/>
  <c r="W77" i="57" s="1"/>
  <c r="AA77" i="57" s="1"/>
  <c r="N126" i="57"/>
  <c r="R126" i="57" s="1"/>
  <c r="V126" i="57" s="1"/>
  <c r="Z126" i="57" s="1"/>
  <c r="N111" i="57"/>
  <c r="R111" i="57" s="1"/>
  <c r="V111" i="57" s="1"/>
  <c r="Z111" i="57" s="1"/>
  <c r="AD111" i="57" s="1"/>
  <c r="O143" i="57"/>
  <c r="S143" i="57" s="1"/>
  <c r="W143" i="57" s="1"/>
  <c r="M53" i="57"/>
  <c r="AB13" i="57"/>
  <c r="T9" i="64" s="1"/>
  <c r="X9" i="64" s="1"/>
  <c r="N75" i="57"/>
  <c r="R75" i="57" s="1"/>
  <c r="V75" i="57" s="1"/>
  <c r="Z75" i="57" s="1"/>
  <c r="Q68" i="58"/>
  <c r="Y68" i="58" s="1"/>
  <c r="N72" i="57"/>
  <c r="R72" i="57" s="1"/>
  <c r="V72" i="57" s="1"/>
  <c r="J40" i="58" s="1"/>
  <c r="N40" i="58" s="1"/>
  <c r="J38" i="64"/>
  <c r="N38" i="64" s="1"/>
  <c r="G57" i="58"/>
  <c r="I39" i="64"/>
  <c r="M39" i="64" s="1"/>
  <c r="AC74" i="57"/>
  <c r="K59" i="57"/>
  <c r="AB117" i="57"/>
  <c r="O107" i="57"/>
  <c r="S107" i="57" s="1"/>
  <c r="W107" i="57" s="1"/>
  <c r="AA107" i="57" s="1"/>
  <c r="BJ8" i="64"/>
  <c r="J5" i="125" s="1"/>
  <c r="AA8" i="82"/>
  <c r="K37" i="57"/>
  <c r="AC93" i="57"/>
  <c r="O130" i="57"/>
  <c r="S130" i="57" s="1"/>
  <c r="W130" i="57" s="1"/>
  <c r="K134" i="58" s="1"/>
  <c r="L15" i="57"/>
  <c r="O117" i="57"/>
  <c r="S117" i="57" s="1"/>
  <c r="W117" i="57" s="1"/>
  <c r="AA117" i="57" s="1"/>
  <c r="AE117" i="57" s="1"/>
  <c r="M117" i="57"/>
  <c r="N113" i="57"/>
  <c r="R113" i="57" s="1"/>
  <c r="V113" i="57" s="1"/>
  <c r="Z113" i="57" s="1"/>
  <c r="I19" i="64"/>
  <c r="M19" i="64" s="1"/>
  <c r="O132" i="57"/>
  <c r="S132" i="57" s="1"/>
  <c r="W132" i="57" s="1"/>
  <c r="K135" i="58" s="1"/>
  <c r="L118" i="58"/>
  <c r="P118" i="58" s="1"/>
  <c r="L114" i="57"/>
  <c r="L90" i="58"/>
  <c r="G99" i="58"/>
  <c r="J25" i="57"/>
  <c r="G11" i="58"/>
  <c r="H96" i="58"/>
  <c r="AB7" i="82"/>
  <c r="AB114" i="57"/>
  <c r="L113" i="57"/>
  <c r="O85" i="57"/>
  <c r="S85" i="57" s="1"/>
  <c r="W85" i="57" s="1"/>
  <c r="AA85" i="57" s="1"/>
  <c r="Q123" i="58"/>
  <c r="Y123" i="58" s="1"/>
  <c r="I41" i="58"/>
  <c r="AC13" i="57"/>
  <c r="S9" i="64" s="1"/>
  <c r="W9" i="64" s="1"/>
  <c r="AB80" i="57"/>
  <c r="O135" i="57"/>
  <c r="S135" i="57" s="1"/>
  <c r="W135" i="57" s="1"/>
  <c r="N107" i="57"/>
  <c r="R107" i="57" s="1"/>
  <c r="V107" i="57" s="1"/>
  <c r="Z107" i="57" s="1"/>
  <c r="K106" i="57"/>
  <c r="I39" i="58"/>
  <c r="J15" i="57"/>
  <c r="J51" i="64"/>
  <c r="N51" i="64" s="1"/>
  <c r="M96" i="57"/>
  <c r="J51" i="57"/>
  <c r="L109" i="57"/>
  <c r="K115" i="57"/>
  <c r="L107" i="57"/>
  <c r="N55" i="57"/>
  <c r="R55" i="57" s="1"/>
  <c r="V55" i="57" s="1"/>
  <c r="J41" i="58" s="1"/>
  <c r="N41" i="58" s="1"/>
  <c r="K34" i="57"/>
  <c r="L12" i="57"/>
  <c r="O125" i="57"/>
  <c r="S125" i="57" s="1"/>
  <c r="W125" i="57" s="1"/>
  <c r="AA125" i="57" s="1"/>
  <c r="O136" i="57"/>
  <c r="S136" i="57" s="1"/>
  <c r="W136" i="57" s="1"/>
  <c r="K140" i="58" s="1"/>
  <c r="I60" i="58"/>
  <c r="L89" i="57"/>
  <c r="AF89" i="57" s="1"/>
  <c r="K17" i="57"/>
  <c r="N78" i="57"/>
  <c r="R78" i="57" s="1"/>
  <c r="V78" i="57" s="1"/>
  <c r="Z78" i="57" s="1"/>
  <c r="L101" i="58"/>
  <c r="L27" i="57"/>
  <c r="M62" i="58"/>
  <c r="I48" i="58"/>
  <c r="N50" i="57"/>
  <c r="R50" i="57" s="1"/>
  <c r="V50" i="57" s="1"/>
  <c r="J121" i="58" s="1"/>
  <c r="AP13" i="50"/>
  <c r="L99" i="57"/>
  <c r="G119" i="58"/>
  <c r="O133" i="57"/>
  <c r="S133" i="57" s="1"/>
  <c r="W133" i="57" s="1"/>
  <c r="L118" i="57"/>
  <c r="AF118" i="57" s="1"/>
  <c r="O53" i="57"/>
  <c r="S53" i="57" s="1"/>
  <c r="W53" i="57" s="1"/>
  <c r="AA53" i="57" s="1"/>
  <c r="F35" i="58"/>
  <c r="O142" i="57"/>
  <c r="S142" i="57" s="1"/>
  <c r="W142" i="57" s="1"/>
  <c r="K112" i="58" s="1"/>
  <c r="AB10" i="82"/>
  <c r="L9" i="57"/>
  <c r="M111" i="57"/>
  <c r="J13" i="57"/>
  <c r="L100" i="58"/>
  <c r="N80" i="57"/>
  <c r="R80" i="57" s="1"/>
  <c r="V80" i="57" s="1"/>
  <c r="Z80" i="57" s="1"/>
  <c r="F96" i="58"/>
  <c r="N27" i="57"/>
  <c r="R27" i="57" s="1"/>
  <c r="V27" i="57" s="1"/>
  <c r="Z27" i="57" s="1"/>
  <c r="N100" i="57"/>
  <c r="R100" i="57" s="1"/>
  <c r="V100" i="57" s="1"/>
  <c r="J129" i="58" s="1"/>
  <c r="N129" i="58" s="1"/>
  <c r="N73" i="57"/>
  <c r="R73" i="57" s="1"/>
  <c r="V73" i="57" s="1"/>
  <c r="J80" i="58" s="1"/>
  <c r="N80" i="58" s="1"/>
  <c r="N140" i="57"/>
  <c r="R140" i="57" s="1"/>
  <c r="V140" i="57" s="1"/>
  <c r="N69" i="57"/>
  <c r="R69" i="57" s="1"/>
  <c r="V69" i="57" s="1"/>
  <c r="Z69" i="57" s="1"/>
  <c r="K96" i="57"/>
  <c r="M88" i="57"/>
  <c r="K25" i="57"/>
  <c r="O36" i="57"/>
  <c r="S36" i="57" s="1"/>
  <c r="W36" i="57" s="1"/>
  <c r="AA36" i="57" s="1"/>
  <c r="AE36" i="57" s="1"/>
  <c r="J65" i="57"/>
  <c r="O114" i="57"/>
  <c r="S114" i="57" s="1"/>
  <c r="W114" i="57" s="1"/>
  <c r="AA114" i="57" s="1"/>
  <c r="K94" i="57"/>
  <c r="N127" i="57"/>
  <c r="R127" i="57" s="1"/>
  <c r="V127" i="57" s="1"/>
  <c r="Z127" i="57" s="1"/>
  <c r="AC15" i="57"/>
  <c r="S11" i="64" s="1"/>
  <c r="W11" i="64" s="1"/>
  <c r="AA55" i="57"/>
  <c r="O134" i="57"/>
  <c r="S134" i="57" s="1"/>
  <c r="W134" i="57" s="1"/>
  <c r="J87" i="57"/>
  <c r="Y79" i="57"/>
  <c r="M42" i="58" s="1"/>
  <c r="Q42" i="58" s="1"/>
  <c r="Y42" i="58" s="1"/>
  <c r="AC71" i="57"/>
  <c r="S44" i="64" s="1"/>
  <c r="O112" i="57"/>
  <c r="S112" i="57" s="1"/>
  <c r="W112" i="57" s="1"/>
  <c r="AA112" i="57" s="1"/>
  <c r="AE112" i="57" s="1"/>
  <c r="L13" i="57"/>
  <c r="F77" i="58"/>
  <c r="I26" i="101" s="1"/>
  <c r="K61" i="57"/>
  <c r="O129" i="57"/>
  <c r="S129" i="57" s="1"/>
  <c r="W129" i="57" s="1"/>
  <c r="AA129" i="57" s="1"/>
  <c r="J69" i="57"/>
  <c r="L79" i="58"/>
  <c r="J79" i="57"/>
  <c r="N134" i="57"/>
  <c r="R134" i="57" s="1"/>
  <c r="V134" i="57" s="1"/>
  <c r="J137" i="58" s="1"/>
  <c r="O145" i="57"/>
  <c r="S145" i="57" s="1"/>
  <c r="W145" i="57" s="1"/>
  <c r="M112" i="57"/>
  <c r="AB100" i="57"/>
  <c r="M71" i="57"/>
  <c r="F48" i="58"/>
  <c r="K110" i="57"/>
  <c r="AB99" i="57"/>
  <c r="J30" i="57"/>
  <c r="O108" i="57"/>
  <c r="S108" i="57" s="1"/>
  <c r="W108" i="57" s="1"/>
  <c r="AA108" i="57" s="1"/>
  <c r="AC114" i="57"/>
  <c r="H39" i="64"/>
  <c r="L39" i="64" s="1"/>
  <c r="AB111" i="57"/>
  <c r="O71" i="57"/>
  <c r="S71" i="57" s="1"/>
  <c r="W71" i="57" s="1"/>
  <c r="AA71" i="57" s="1"/>
  <c r="AE71" i="57" s="1"/>
  <c r="K65" i="57"/>
  <c r="J27" i="57"/>
  <c r="M15" i="57"/>
  <c r="N124" i="57"/>
  <c r="R124" i="57" s="1"/>
  <c r="V124" i="57" s="1"/>
  <c r="J108" i="58" s="1"/>
  <c r="N13" i="57"/>
  <c r="R13" i="57" s="1"/>
  <c r="V13" i="57" s="1"/>
  <c r="J68" i="58" s="1"/>
  <c r="N119" i="57"/>
  <c r="R119" i="57" s="1"/>
  <c r="V119" i="57" s="1"/>
  <c r="Z119" i="57" s="1"/>
  <c r="BJ11" i="64"/>
  <c r="J8" i="125" s="1"/>
  <c r="O50" i="57"/>
  <c r="S50" i="57" s="1"/>
  <c r="W50" i="57" s="1"/>
  <c r="AA50" i="57" s="1"/>
  <c r="Q35" i="64" s="1"/>
  <c r="M107" i="58"/>
  <c r="K72" i="57"/>
  <c r="K33" i="57"/>
  <c r="AC110" i="57"/>
  <c r="J12" i="57"/>
  <c r="F67" i="58"/>
  <c r="I8" i="101" s="1"/>
  <c r="O82" i="57"/>
  <c r="S82" i="57" s="1"/>
  <c r="W82" i="57" s="1"/>
  <c r="AA82" i="57" s="1"/>
  <c r="AB119" i="57"/>
  <c r="T63" i="64" s="1"/>
  <c r="M110" i="57"/>
  <c r="AB27" i="57"/>
  <c r="J75" i="57"/>
  <c r="AB70" i="57"/>
  <c r="AF70" i="57" s="1"/>
  <c r="Y53" i="57"/>
  <c r="M37" i="58" s="1"/>
  <c r="O96" i="57"/>
  <c r="S96" i="57" s="1"/>
  <c r="W96" i="57" s="1"/>
  <c r="AA96" i="57" s="1"/>
  <c r="M107" i="57"/>
  <c r="F46" i="58"/>
  <c r="L129" i="58"/>
  <c r="P129" i="58" s="1"/>
  <c r="M11" i="57"/>
  <c r="L117" i="57"/>
  <c r="O59" i="57"/>
  <c r="S59" i="57" s="1"/>
  <c r="W59" i="57" s="1"/>
  <c r="AA59" i="57" s="1"/>
  <c r="X110" i="57"/>
  <c r="AB110" i="57" s="1"/>
  <c r="O14" i="57"/>
  <c r="S14" i="57" s="1"/>
  <c r="W14" i="57" s="1"/>
  <c r="J13" i="64"/>
  <c r="N13" i="64" s="1"/>
  <c r="L100" i="57"/>
  <c r="AC107" i="57"/>
  <c r="I54" i="64"/>
  <c r="M54" i="64" s="1"/>
  <c r="H13" i="64"/>
  <c r="L13" i="64" s="1"/>
  <c r="AC115" i="57"/>
  <c r="O16" i="57"/>
  <c r="S16" i="57" s="1"/>
  <c r="W16" i="57" s="1"/>
  <c r="K70" i="58" s="1"/>
  <c r="O70" i="58" s="1"/>
  <c r="W70" i="58" s="1"/>
  <c r="H20" i="64"/>
  <c r="L20" i="64" s="1"/>
  <c r="N109" i="57"/>
  <c r="R109" i="57" s="1"/>
  <c r="V109" i="57" s="1"/>
  <c r="Z109" i="57" s="1"/>
  <c r="I29" i="58"/>
  <c r="Q29" i="58" s="1"/>
  <c r="O124" i="57"/>
  <c r="S124" i="57" s="1"/>
  <c r="W124" i="57" s="1"/>
  <c r="AA124" i="57" s="1"/>
  <c r="K51" i="57"/>
  <c r="AC59" i="57"/>
  <c r="S39" i="64" s="1"/>
  <c r="I100" i="58"/>
  <c r="J39" i="57"/>
  <c r="AD39" i="57" s="1"/>
  <c r="J119" i="57"/>
  <c r="O88" i="57"/>
  <c r="S88" i="57" s="1"/>
  <c r="W88" i="57" s="1"/>
  <c r="AA88" i="57" s="1"/>
  <c r="O86" i="57"/>
  <c r="S86" i="57" s="1"/>
  <c r="W86" i="57" s="1"/>
  <c r="K124" i="58" s="1"/>
  <c r="O124" i="58" s="1"/>
  <c r="W124" i="58" s="1"/>
  <c r="AC117" i="57"/>
  <c r="F68" i="58"/>
  <c r="H50" i="64"/>
  <c r="L50" i="64" s="1"/>
  <c r="L110" i="57"/>
  <c r="AC16" i="57"/>
  <c r="S12" i="64" s="1"/>
  <c r="J23" i="57"/>
  <c r="X109" i="57"/>
  <c r="L103" i="58" s="1"/>
  <c r="AC47" i="57"/>
  <c r="AG47" i="57" s="1"/>
  <c r="G101" i="58"/>
  <c r="H48" i="64"/>
  <c r="L48" i="64" s="1"/>
  <c r="I42" i="64"/>
  <c r="M42" i="64" s="1"/>
  <c r="AC108" i="57"/>
  <c r="O116" i="57"/>
  <c r="S116" i="57" s="1"/>
  <c r="W116" i="57" s="1"/>
  <c r="AA116" i="57" s="1"/>
  <c r="M116" i="57"/>
  <c r="K100" i="57"/>
  <c r="K108" i="57"/>
  <c r="Q124" i="58"/>
  <c r="Y124" i="58" s="1"/>
  <c r="M13" i="57"/>
  <c r="K11" i="64"/>
  <c r="O11" i="64" s="1"/>
  <c r="M108" i="57"/>
  <c r="M114" i="57"/>
  <c r="O13" i="57"/>
  <c r="S13" i="57" s="1"/>
  <c r="W13" i="57" s="1"/>
  <c r="K68" i="58" s="1"/>
  <c r="O68" i="58" s="1"/>
  <c r="W68" i="58" s="1"/>
  <c r="L119" i="57"/>
  <c r="N28" i="57"/>
  <c r="R28" i="57" s="1"/>
  <c r="V28" i="57" s="1"/>
  <c r="Z28" i="57" s="1"/>
  <c r="M85" i="57"/>
  <c r="AG85" i="57" s="1"/>
  <c r="F59" i="58"/>
  <c r="I60" i="101" s="1"/>
  <c r="H26" i="58"/>
  <c r="J10" i="64"/>
  <c r="N10" i="64" s="1"/>
  <c r="K114" i="57"/>
  <c r="M99" i="58"/>
  <c r="M88" i="58"/>
  <c r="O127" i="57"/>
  <c r="S127" i="57" s="1"/>
  <c r="W127" i="57" s="1"/>
  <c r="K110" i="58" s="1"/>
  <c r="AC55" i="57"/>
  <c r="AG55" i="57" s="1"/>
  <c r="I20" i="64"/>
  <c r="M20" i="64" s="1"/>
  <c r="L56" i="58"/>
  <c r="P56" i="58" s="1"/>
  <c r="N99" i="57"/>
  <c r="R99" i="57" s="1"/>
  <c r="V99" i="57" s="1"/>
  <c r="J93" i="58" s="1"/>
  <c r="N93" i="58" s="1"/>
  <c r="O139" i="57"/>
  <c r="S139" i="57" s="1"/>
  <c r="W139" i="57" s="1"/>
  <c r="K142" i="58" s="1"/>
  <c r="O128" i="57"/>
  <c r="S128" i="57" s="1"/>
  <c r="W128" i="57" s="1"/>
  <c r="J48" i="64"/>
  <c r="N48" i="64" s="1"/>
  <c r="G60" i="58"/>
  <c r="AC11" i="57"/>
  <c r="Q128" i="58"/>
  <c r="Y128" i="58" s="1"/>
  <c r="I13" i="64"/>
  <c r="M13" i="64" s="1"/>
  <c r="I98" i="58"/>
  <c r="J61" i="101" s="1"/>
  <c r="N121" i="57"/>
  <c r="R121" i="57" s="1"/>
  <c r="V121" i="57" s="1"/>
  <c r="J105" i="58" s="1"/>
  <c r="L90" i="57"/>
  <c r="N145" i="57"/>
  <c r="R145" i="57" s="1"/>
  <c r="V145" i="57" s="1"/>
  <c r="AB12" i="57"/>
  <c r="T8" i="64" s="1"/>
  <c r="K8" i="64"/>
  <c r="O8" i="64" s="1"/>
  <c r="I22" i="64"/>
  <c r="M22" i="64" s="1"/>
  <c r="J63" i="64"/>
  <c r="N63" i="64" s="1"/>
  <c r="BI6" i="64"/>
  <c r="M9" i="57"/>
  <c r="J26" i="64"/>
  <c r="N26" i="64" s="1"/>
  <c r="J19" i="64"/>
  <c r="N19" i="64" s="1"/>
  <c r="F11" i="58"/>
  <c r="J37" i="64"/>
  <c r="N37" i="64" s="1"/>
  <c r="J39" i="64"/>
  <c r="N39" i="64" s="1"/>
  <c r="AR8" i="50"/>
  <c r="M97" i="57"/>
  <c r="AP16" i="50"/>
  <c r="K59" i="64"/>
  <c r="O59" i="64" s="1"/>
  <c r="I51" i="64"/>
  <c r="M51" i="64" s="1"/>
  <c r="AP68" i="50"/>
  <c r="H22" i="64"/>
  <c r="L22" i="64" s="1"/>
  <c r="AR11" i="50"/>
  <c r="K39" i="57"/>
  <c r="O62" i="57"/>
  <c r="S62" i="57" s="1"/>
  <c r="W62" i="57" s="1"/>
  <c r="AA62" i="57" s="1"/>
  <c r="AC119" i="57"/>
  <c r="O74" i="57"/>
  <c r="S74" i="57" s="1"/>
  <c r="W74" i="57" s="1"/>
  <c r="AA74" i="57" s="1"/>
  <c r="F117" i="58"/>
  <c r="N117" i="58" s="1"/>
  <c r="Z52" i="57"/>
  <c r="AD52" i="57" s="1"/>
  <c r="K47" i="64"/>
  <c r="O47" i="64" s="1"/>
  <c r="I37" i="64"/>
  <c r="M37" i="64" s="1"/>
  <c r="H28" i="64"/>
  <c r="L28" i="64" s="1"/>
  <c r="I27" i="64"/>
  <c r="M27" i="64" s="1"/>
  <c r="F51" i="58"/>
  <c r="AR34" i="50"/>
  <c r="M81" i="58"/>
  <c r="Q81" i="58" s="1"/>
  <c r="Y81" i="58" s="1"/>
  <c r="I59" i="64"/>
  <c r="M59" i="64" s="1"/>
  <c r="AS12" i="50"/>
  <c r="AB52" i="57"/>
  <c r="AC9" i="57"/>
  <c r="I63" i="64"/>
  <c r="M63" i="64" s="1"/>
  <c r="Q66" i="58"/>
  <c r="K102" i="57"/>
  <c r="K27" i="64"/>
  <c r="O27" i="64" s="1"/>
  <c r="AB9" i="57"/>
  <c r="T6" i="64" s="1"/>
  <c r="X6" i="64" s="1"/>
  <c r="M74" i="57"/>
  <c r="I47" i="58"/>
  <c r="N9" i="57"/>
  <c r="R9" i="57" s="1"/>
  <c r="V9" i="57" s="1"/>
  <c r="J66" i="58" s="1"/>
  <c r="N66" i="58" s="1"/>
  <c r="AQ86" i="50"/>
  <c r="M59" i="57"/>
  <c r="G55" i="58"/>
  <c r="AQ12" i="50"/>
  <c r="H23" i="64"/>
  <c r="L23" i="64" s="1"/>
  <c r="AC97" i="57"/>
  <c r="M119" i="57"/>
  <c r="I49" i="58"/>
  <c r="I86" i="58"/>
  <c r="I49" i="64"/>
  <c r="M49" i="64" s="1"/>
  <c r="H63" i="64"/>
  <c r="L63" i="64" s="1"/>
  <c r="I38" i="64"/>
  <c r="M38" i="64" s="1"/>
  <c r="K74" i="57"/>
  <c r="AC83" i="57"/>
  <c r="H10" i="64"/>
  <c r="L10" i="64" s="1"/>
  <c r="I26" i="64"/>
  <c r="M26" i="64" s="1"/>
  <c r="J97" i="57"/>
  <c r="AP49" i="50"/>
  <c r="AB38" i="57"/>
  <c r="AF38" i="57" s="1"/>
  <c r="H11" i="58"/>
  <c r="N54" i="57"/>
  <c r="R54" i="57" s="1"/>
  <c r="V54" i="57" s="1"/>
  <c r="Z54" i="57" s="1"/>
  <c r="R37" i="64" s="1"/>
  <c r="AR53" i="50"/>
  <c r="J49" i="64"/>
  <c r="N49" i="64" s="1"/>
  <c r="M61" i="57"/>
  <c r="AR12" i="50"/>
  <c r="I6" i="64"/>
  <c r="M6" i="64" s="1"/>
  <c r="BG10" i="64"/>
  <c r="G7" i="125" s="1"/>
  <c r="J80" i="57"/>
  <c r="O97" i="57"/>
  <c r="S97" i="57" s="1"/>
  <c r="W97" i="57" s="1"/>
  <c r="K128" i="58" s="1"/>
  <c r="O128" i="58" s="1"/>
  <c r="W128" i="58" s="1"/>
  <c r="J74" i="58"/>
  <c r="N74" i="58" s="1"/>
  <c r="AC88" i="57"/>
  <c r="S49" i="64" s="1"/>
  <c r="H8" i="64"/>
  <c r="L8" i="64" s="1"/>
  <c r="N14" i="58"/>
  <c r="Z15" i="57"/>
  <c r="R11" i="64" s="1"/>
  <c r="V11" i="64" s="1"/>
  <c r="AP14" i="50"/>
  <c r="P76" i="58"/>
  <c r="K12" i="57"/>
  <c r="G67" i="58"/>
  <c r="H8" i="101" s="1"/>
  <c r="H38" i="64"/>
  <c r="L38" i="64" s="1"/>
  <c r="AR14" i="50"/>
  <c r="H26" i="64"/>
  <c r="L26" i="64" s="1"/>
  <c r="AS112" i="50"/>
  <c r="J61" i="64"/>
  <c r="N61" i="64" s="1"/>
  <c r="AP112" i="50"/>
  <c r="I61" i="64"/>
  <c r="M61" i="64" s="1"/>
  <c r="BG58" i="64"/>
  <c r="G55" i="125" s="1"/>
  <c r="Y57" i="82"/>
  <c r="AQ104" i="50"/>
  <c r="AR104" i="50"/>
  <c r="BG20" i="64"/>
  <c r="G17" i="125" s="1"/>
  <c r="Y19" i="82"/>
  <c r="AR44" i="50"/>
  <c r="K33" i="64"/>
  <c r="O33" i="64" s="1"/>
  <c r="AB19" i="82"/>
  <c r="BJ20" i="64"/>
  <c r="J17" i="125" s="1"/>
  <c r="AP104" i="50"/>
  <c r="AS104" i="50"/>
  <c r="AQ112" i="50"/>
  <c r="H61" i="64"/>
  <c r="L61" i="64" s="1"/>
  <c r="AS25" i="50"/>
  <c r="J20" i="64"/>
  <c r="N20" i="64" s="1"/>
  <c r="AS44" i="50"/>
  <c r="J33" i="64"/>
  <c r="N33" i="64" s="1"/>
  <c r="BJ33" i="64"/>
  <c r="J30" i="125" s="1"/>
  <c r="AB32" i="82"/>
  <c r="AQ108" i="50"/>
  <c r="H58" i="64"/>
  <c r="L58" i="64" s="1"/>
  <c r="AR25" i="50"/>
  <c r="K20" i="64"/>
  <c r="O20" i="64" s="1"/>
  <c r="AR112" i="50"/>
  <c r="K61" i="64"/>
  <c r="O61" i="64" s="1"/>
  <c r="AA19" i="82"/>
  <c r="BI20" i="64"/>
  <c r="I17" i="125" s="1"/>
  <c r="Z19" i="82"/>
  <c r="BH20" i="64"/>
  <c r="H17" i="125" s="1"/>
  <c r="AP44" i="50"/>
  <c r="I33" i="64"/>
  <c r="M33" i="64" s="1"/>
  <c r="L53" i="57"/>
  <c r="K22" i="64"/>
  <c r="O22" i="64" s="1"/>
  <c r="O48" i="57"/>
  <c r="S48" i="57" s="1"/>
  <c r="W48" i="57" s="1"/>
  <c r="K31" i="58" s="1"/>
  <c r="AF34" i="57"/>
  <c r="AG90" i="57"/>
  <c r="AB98" i="57"/>
  <c r="T52" i="64" s="1"/>
  <c r="AC48" i="57"/>
  <c r="J62" i="64"/>
  <c r="N62" i="64" s="1"/>
  <c r="K87" i="57"/>
  <c r="I60" i="64"/>
  <c r="M60" i="64" s="1"/>
  <c r="P75" i="58"/>
  <c r="I127" i="58"/>
  <c r="Q127" i="58" s="1"/>
  <c r="J60" i="64"/>
  <c r="N60" i="64" s="1"/>
  <c r="J59" i="64"/>
  <c r="N59" i="64" s="1"/>
  <c r="AS86" i="50"/>
  <c r="L37" i="58"/>
  <c r="P37" i="58" s="1"/>
  <c r="J52" i="64"/>
  <c r="N52" i="64" s="1"/>
  <c r="AB55" i="57"/>
  <c r="T38" i="64" s="1"/>
  <c r="K15" i="64"/>
  <c r="O15" i="64" s="1"/>
  <c r="J18" i="57"/>
  <c r="K48" i="64"/>
  <c r="O48" i="64" s="1"/>
  <c r="K44" i="64"/>
  <c r="O44" i="64" s="1"/>
  <c r="H52" i="64"/>
  <c r="L52" i="64" s="1"/>
  <c r="F79" i="58"/>
  <c r="P41" i="58"/>
  <c r="F38" i="58"/>
  <c r="M33" i="57"/>
  <c r="N90" i="57"/>
  <c r="R90" i="57" s="1"/>
  <c r="V90" i="57" s="1"/>
  <c r="Z90" i="57" s="1"/>
  <c r="J53" i="64"/>
  <c r="N53" i="64" s="1"/>
  <c r="L54" i="58"/>
  <c r="J21" i="57"/>
  <c r="AC29" i="57"/>
  <c r="N42" i="57"/>
  <c r="R42" i="57" s="1"/>
  <c r="V42" i="57" s="1"/>
  <c r="Z42" i="57" s="1"/>
  <c r="H62" i="64"/>
  <c r="L62" i="64" s="1"/>
  <c r="I75" i="58"/>
  <c r="I57" i="64"/>
  <c r="M57" i="64" s="1"/>
  <c r="M86" i="57"/>
  <c r="O29" i="57"/>
  <c r="S29" i="57" s="1"/>
  <c r="W29" i="57" s="1"/>
  <c r="AA29" i="57" s="1"/>
  <c r="AC73" i="57"/>
  <c r="AG73" i="57" s="1"/>
  <c r="F119" i="58"/>
  <c r="I59" i="101" s="1"/>
  <c r="M79" i="57"/>
  <c r="I48" i="64"/>
  <c r="M48" i="64" s="1"/>
  <c r="I47" i="64"/>
  <c r="M47" i="64" s="1"/>
  <c r="I65" i="64"/>
  <c r="M65" i="64" s="1"/>
  <c r="K41" i="58"/>
  <c r="O41" i="58" s="1"/>
  <c r="AA43" i="82"/>
  <c r="AA15" i="57"/>
  <c r="Q11" i="64" s="1"/>
  <c r="U11" i="64" s="1"/>
  <c r="I50" i="64"/>
  <c r="M50" i="64" s="1"/>
  <c r="H60" i="64"/>
  <c r="L60" i="64" s="1"/>
  <c r="AS13" i="50"/>
  <c r="H56" i="64"/>
  <c r="L56" i="64" s="1"/>
  <c r="M29" i="57"/>
  <c r="K65" i="64"/>
  <c r="O65" i="64" s="1"/>
  <c r="K55" i="57"/>
  <c r="N21" i="57"/>
  <c r="R21" i="57" s="1"/>
  <c r="V21" i="57" s="1"/>
  <c r="J71" i="58" s="1"/>
  <c r="M48" i="57"/>
  <c r="M99" i="57"/>
  <c r="K53" i="57"/>
  <c r="F54" i="58"/>
  <c r="I55" i="101" s="1"/>
  <c r="Q38" i="58"/>
  <c r="K64" i="64"/>
  <c r="O64" i="64" s="1"/>
  <c r="L106" i="57"/>
  <c r="AB106" i="57"/>
  <c r="I80" i="58"/>
  <c r="Q80" i="58" s="1"/>
  <c r="I64" i="64"/>
  <c r="M64" i="64" s="1"/>
  <c r="N106" i="57"/>
  <c r="R106" i="57" s="1"/>
  <c r="V106" i="57" s="1"/>
  <c r="L55" i="57"/>
  <c r="AG120" i="57"/>
  <c r="I34" i="64"/>
  <c r="M34" i="64" s="1"/>
  <c r="J44" i="64"/>
  <c r="N44" i="64" s="1"/>
  <c r="K62" i="64"/>
  <c r="O62" i="64" s="1"/>
  <c r="H36" i="64"/>
  <c r="L36" i="64" s="1"/>
  <c r="AR98" i="50"/>
  <c r="J98" i="57"/>
  <c r="M31" i="58"/>
  <c r="Q31" i="58" s="1"/>
  <c r="H53" i="64"/>
  <c r="L53" i="64" s="1"/>
  <c r="K86" i="57"/>
  <c r="BG36" i="64"/>
  <c r="G33" i="125" s="1"/>
  <c r="AB90" i="57"/>
  <c r="L50" i="58"/>
  <c r="L86" i="57"/>
  <c r="AF86" i="57" s="1"/>
  <c r="I53" i="64"/>
  <c r="M53" i="64" s="1"/>
  <c r="J64" i="64"/>
  <c r="N64" i="64" s="1"/>
  <c r="AC86" i="57"/>
  <c r="I21" i="64"/>
  <c r="M21" i="64" s="1"/>
  <c r="AM8" i="50"/>
  <c r="O99" i="57"/>
  <c r="S99" i="57" s="1"/>
  <c r="W99" i="57" s="1"/>
  <c r="K93" i="58" s="1"/>
  <c r="O93" i="58" s="1"/>
  <c r="W93" i="58" s="1"/>
  <c r="I44" i="64"/>
  <c r="M44" i="64" s="1"/>
  <c r="X57" i="57"/>
  <c r="L45" i="58" s="1"/>
  <c r="P45" i="58" s="1"/>
  <c r="AC94" i="57"/>
  <c r="AC27" i="57"/>
  <c r="J107" i="58"/>
  <c r="K56" i="64"/>
  <c r="O56" i="64" s="1"/>
  <c r="L57" i="57"/>
  <c r="L73" i="57"/>
  <c r="J46" i="57"/>
  <c r="M93" i="58"/>
  <c r="Q93" i="58" s="1"/>
  <c r="Y93" i="58" s="1"/>
  <c r="F98" i="58"/>
  <c r="I61" i="101" s="1"/>
  <c r="K52" i="64"/>
  <c r="O52" i="64" s="1"/>
  <c r="I62" i="64"/>
  <c r="M62" i="64" s="1"/>
  <c r="AC99" i="57"/>
  <c r="AI3" i="50"/>
  <c r="N120" i="57"/>
  <c r="R120" i="57" s="1"/>
  <c r="V120" i="57" s="1"/>
  <c r="Z120" i="57" s="1"/>
  <c r="J120" i="57"/>
  <c r="J121" i="57"/>
  <c r="F104" i="58"/>
  <c r="AC145" i="57"/>
  <c r="M145" i="57"/>
  <c r="I114" i="58"/>
  <c r="F134" i="58"/>
  <c r="J131" i="57"/>
  <c r="Z131" i="57"/>
  <c r="I141" i="58"/>
  <c r="Q141" i="58" s="1"/>
  <c r="AC138" i="57"/>
  <c r="M138" i="57"/>
  <c r="G133" i="58"/>
  <c r="K130" i="57"/>
  <c r="H137" i="58"/>
  <c r="AB134" i="57"/>
  <c r="L134" i="57"/>
  <c r="L124" i="57"/>
  <c r="AB124" i="57"/>
  <c r="M125" i="57"/>
  <c r="AC125" i="57"/>
  <c r="F140" i="58"/>
  <c r="J137" i="57"/>
  <c r="AD137" i="57" s="1"/>
  <c r="Z137" i="57"/>
  <c r="I140" i="58"/>
  <c r="M137" i="57"/>
  <c r="AC137" i="57"/>
  <c r="AB145" i="57"/>
  <c r="L145" i="57"/>
  <c r="AF145" i="57" s="1"/>
  <c r="H114" i="58"/>
  <c r="AP141" i="50"/>
  <c r="G114" i="58"/>
  <c r="K120" i="57"/>
  <c r="Q90" i="58"/>
  <c r="I77" i="58"/>
  <c r="AB86" i="57"/>
  <c r="K38" i="64"/>
  <c r="O38" i="64" s="1"/>
  <c r="J135" i="57"/>
  <c r="AD135" i="57" s="1"/>
  <c r="F138" i="58"/>
  <c r="Z135" i="57"/>
  <c r="J139" i="57"/>
  <c r="F142" i="58"/>
  <c r="Z128" i="57"/>
  <c r="F131" i="58"/>
  <c r="J128" i="57"/>
  <c r="J124" i="57"/>
  <c r="AC141" i="57"/>
  <c r="I143" i="58"/>
  <c r="Q143" i="58" s="1"/>
  <c r="M141" i="57"/>
  <c r="M124" i="57"/>
  <c r="AC124" i="57"/>
  <c r="H142" i="58"/>
  <c r="P142" i="58" s="1"/>
  <c r="AB139" i="57"/>
  <c r="L139" i="57"/>
  <c r="K145" i="57"/>
  <c r="M127" i="57"/>
  <c r="AC127" i="57"/>
  <c r="M121" i="57"/>
  <c r="AC121" i="57"/>
  <c r="I104" i="58"/>
  <c r="I142" i="58"/>
  <c r="Q142" i="58" s="1"/>
  <c r="M139" i="57"/>
  <c r="AC139" i="57"/>
  <c r="L143" i="57"/>
  <c r="AB143" i="57"/>
  <c r="H113" i="58"/>
  <c r="P113" i="58" s="1"/>
  <c r="G142" i="58"/>
  <c r="K139" i="57"/>
  <c r="I131" i="58"/>
  <c r="M128" i="57"/>
  <c r="AC128" i="57"/>
  <c r="L132" i="57"/>
  <c r="AF132" i="57" s="1"/>
  <c r="AB132" i="57"/>
  <c r="H135" i="58"/>
  <c r="P135" i="58" s="1"/>
  <c r="AB130" i="57"/>
  <c r="H133" i="58"/>
  <c r="P133" i="58" s="1"/>
  <c r="L130" i="57"/>
  <c r="K129" i="57"/>
  <c r="G132" i="58"/>
  <c r="AB144" i="57"/>
  <c r="L144" i="57"/>
  <c r="H144" i="58"/>
  <c r="P144" i="58" s="1"/>
  <c r="G139" i="58"/>
  <c r="K136" i="57"/>
  <c r="J143" i="57"/>
  <c r="Z143" i="57"/>
  <c r="F113" i="58"/>
  <c r="K125" i="57"/>
  <c r="G108" i="58"/>
  <c r="G141" i="58"/>
  <c r="AA138" i="57"/>
  <c r="K138" i="57"/>
  <c r="K126" i="57"/>
  <c r="AA126" i="57"/>
  <c r="G109" i="58"/>
  <c r="M106" i="58"/>
  <c r="AC112" i="57"/>
  <c r="K142" i="57"/>
  <c r="H139" i="58"/>
  <c r="P139" i="58" s="1"/>
  <c r="AB136" i="57"/>
  <c r="L136" i="57"/>
  <c r="AF136" i="57" s="1"/>
  <c r="G112" i="58"/>
  <c r="K90" i="58"/>
  <c r="L13" i="58"/>
  <c r="P13" i="58" s="1"/>
  <c r="J122" i="57"/>
  <c r="F105" i="58"/>
  <c r="AC143" i="57"/>
  <c r="M143" i="57"/>
  <c r="AC130" i="57"/>
  <c r="I133" i="58"/>
  <c r="M130" i="57"/>
  <c r="G131" i="58"/>
  <c r="K128" i="57"/>
  <c r="J140" i="57"/>
  <c r="F111" i="58"/>
  <c r="K143" i="57"/>
  <c r="G113" i="58"/>
  <c r="G145" i="58"/>
  <c r="Y118" i="57"/>
  <c r="M102" i="58" s="1"/>
  <c r="M118" i="57"/>
  <c r="J127" i="57"/>
  <c r="I137" i="58"/>
  <c r="AC134" i="57"/>
  <c r="M134" i="57"/>
  <c r="H145" i="58"/>
  <c r="P145" i="58" s="1"/>
  <c r="J125" i="57"/>
  <c r="F108" i="58"/>
  <c r="AC144" i="57"/>
  <c r="M144" i="57"/>
  <c r="I144" i="58"/>
  <c r="AA141" i="57"/>
  <c r="G143" i="58"/>
  <c r="K141" i="57"/>
  <c r="H140" i="58"/>
  <c r="P140" i="58" s="1"/>
  <c r="L137" i="57"/>
  <c r="AF137" i="57" s="1"/>
  <c r="AB137" i="57"/>
  <c r="J142" i="57"/>
  <c r="Z142" i="57"/>
  <c r="F112" i="58"/>
  <c r="K132" i="57"/>
  <c r="G135" i="58"/>
  <c r="AB121" i="57"/>
  <c r="L121" i="57"/>
  <c r="J73" i="57"/>
  <c r="N53" i="57"/>
  <c r="R53" i="57" s="1"/>
  <c r="V53" i="57" s="1"/>
  <c r="Z53" i="57" s="1"/>
  <c r="AD53" i="57" s="1"/>
  <c r="J145" i="57"/>
  <c r="AD145" i="57" s="1"/>
  <c r="Z145" i="57"/>
  <c r="F114" i="58"/>
  <c r="J141" i="57"/>
  <c r="F143" i="58"/>
  <c r="Z141" i="57"/>
  <c r="M140" i="57"/>
  <c r="AC140" i="57"/>
  <c r="I111" i="58"/>
  <c r="Z138" i="57"/>
  <c r="F141" i="58"/>
  <c r="J138" i="57"/>
  <c r="AD138" i="57" s="1"/>
  <c r="L142" i="57"/>
  <c r="AB142" i="57"/>
  <c r="AB138" i="57"/>
  <c r="L138" i="57"/>
  <c r="AF138" i="57" s="1"/>
  <c r="H141" i="58"/>
  <c r="P141" i="58" s="1"/>
  <c r="K140" i="57"/>
  <c r="G111" i="58"/>
  <c r="F144" i="58"/>
  <c r="J144" i="57"/>
  <c r="Z144" i="57"/>
  <c r="G103" i="58"/>
  <c r="H64" i="101" s="1"/>
  <c r="K144" i="57"/>
  <c r="G144" i="58"/>
  <c r="Z133" i="57"/>
  <c r="J133" i="57"/>
  <c r="F136" i="58"/>
  <c r="J65" i="64"/>
  <c r="N65" i="64" s="1"/>
  <c r="L127" i="57"/>
  <c r="AB127" i="57"/>
  <c r="I134" i="58"/>
  <c r="Q134" i="58" s="1"/>
  <c r="M131" i="57"/>
  <c r="AC131" i="57"/>
  <c r="K77" i="57"/>
  <c r="F145" i="58"/>
  <c r="I135" i="58"/>
  <c r="AC132" i="57"/>
  <c r="M132" i="57"/>
  <c r="L123" i="57"/>
  <c r="AB123" i="57"/>
  <c r="H106" i="58"/>
  <c r="J130" i="57"/>
  <c r="F133" i="58"/>
  <c r="Z132" i="57"/>
  <c r="J132" i="57"/>
  <c r="AD132" i="57" s="1"/>
  <c r="F135" i="58"/>
  <c r="M123" i="57"/>
  <c r="AC123" i="57"/>
  <c r="I106" i="58"/>
  <c r="M122" i="57"/>
  <c r="AC122" i="57"/>
  <c r="I105" i="58"/>
  <c r="I36" i="64"/>
  <c r="M36" i="64" s="1"/>
  <c r="J15" i="64"/>
  <c r="N15" i="64" s="1"/>
  <c r="M27" i="57"/>
  <c r="M35" i="57"/>
  <c r="M98" i="57"/>
  <c r="J13" i="58"/>
  <c r="N13" i="58" s="1"/>
  <c r="J56" i="64"/>
  <c r="N56" i="64" s="1"/>
  <c r="I50" i="58"/>
  <c r="F73" i="58"/>
  <c r="J123" i="57"/>
  <c r="Z123" i="57"/>
  <c r="F106" i="58"/>
  <c r="K122" i="57"/>
  <c r="G105" i="58"/>
  <c r="M129" i="57"/>
  <c r="AC129" i="57"/>
  <c r="I132" i="58"/>
  <c r="G140" i="58"/>
  <c r="K137" i="57"/>
  <c r="J126" i="57"/>
  <c r="F109" i="58"/>
  <c r="H107" i="58"/>
  <c r="P107" i="58" s="1"/>
  <c r="AB125" i="57"/>
  <c r="L125" i="57"/>
  <c r="L133" i="57"/>
  <c r="H136" i="58"/>
  <c r="P136" i="58" s="1"/>
  <c r="AB133" i="57"/>
  <c r="H131" i="58"/>
  <c r="P131" i="58" s="1"/>
  <c r="AB128" i="57"/>
  <c r="L128" i="57"/>
  <c r="L122" i="57"/>
  <c r="AB122" i="57"/>
  <c r="F139" i="58"/>
  <c r="Z136" i="57"/>
  <c r="J136" i="57"/>
  <c r="AD136" i="57" s="1"/>
  <c r="G137" i="58"/>
  <c r="K134" i="57"/>
  <c r="K133" i="57"/>
  <c r="G136" i="58"/>
  <c r="AB126" i="57"/>
  <c r="L126" i="57"/>
  <c r="H109" i="58"/>
  <c r="P109" i="58" s="1"/>
  <c r="F137" i="58"/>
  <c r="J134" i="57"/>
  <c r="H105" i="58"/>
  <c r="BJ38" i="64"/>
  <c r="J35" i="125" s="1"/>
  <c r="K54" i="64"/>
  <c r="O54" i="64" s="1"/>
  <c r="F101" i="58"/>
  <c r="J118" i="57"/>
  <c r="L140" i="57"/>
  <c r="AB140" i="57"/>
  <c r="H111" i="58"/>
  <c r="AC126" i="57"/>
  <c r="M126" i="57"/>
  <c r="G134" i="58"/>
  <c r="K131" i="57"/>
  <c r="AA131" i="57"/>
  <c r="H138" i="58"/>
  <c r="P138" i="58" s="1"/>
  <c r="L135" i="57"/>
  <c r="AF135" i="57" s="1"/>
  <c r="AB135" i="57"/>
  <c r="I145" i="58"/>
  <c r="H65" i="64"/>
  <c r="L65" i="64" s="1"/>
  <c r="AC14" i="57"/>
  <c r="S10" i="64" s="1"/>
  <c r="I69" i="58"/>
  <c r="J10" i="101" s="1"/>
  <c r="M14" i="57"/>
  <c r="L120" i="57"/>
  <c r="AB120" i="57"/>
  <c r="L129" i="57"/>
  <c r="AF129" i="57" s="1"/>
  <c r="AB129" i="57"/>
  <c r="H132" i="58"/>
  <c r="P132" i="58" s="1"/>
  <c r="I139" i="58"/>
  <c r="M136" i="57"/>
  <c r="AC136" i="57"/>
  <c r="J129" i="57"/>
  <c r="F132" i="58"/>
  <c r="K124" i="57"/>
  <c r="K123" i="57"/>
  <c r="G106" i="58"/>
  <c r="X112" i="57"/>
  <c r="L59" i="58" s="1"/>
  <c r="L112" i="57"/>
  <c r="N112" i="57"/>
  <c r="R112" i="57" s="1"/>
  <c r="V112" i="57" s="1"/>
  <c r="I56" i="64"/>
  <c r="M56" i="64" s="1"/>
  <c r="J86" i="57"/>
  <c r="K73" i="58"/>
  <c r="O73" i="58" s="1"/>
  <c r="J94" i="57"/>
  <c r="F110" i="58"/>
  <c r="AC98" i="57"/>
  <c r="N98" i="57"/>
  <c r="R98" i="57" s="1"/>
  <c r="V98" i="57" s="1"/>
  <c r="K121" i="57"/>
  <c r="G104" i="58"/>
  <c r="K135" i="57"/>
  <c r="G138" i="58"/>
  <c r="H110" i="58"/>
  <c r="L131" i="57"/>
  <c r="H134" i="58"/>
  <c r="AB131" i="57"/>
  <c r="L141" i="57"/>
  <c r="AB141" i="57"/>
  <c r="H143" i="58"/>
  <c r="M135" i="57"/>
  <c r="I138" i="58"/>
  <c r="AC135" i="57"/>
  <c r="M142" i="57"/>
  <c r="AC142" i="57"/>
  <c r="I112" i="58"/>
  <c r="K127" i="57"/>
  <c r="M133" i="57"/>
  <c r="I136" i="58"/>
  <c r="AC133" i="57"/>
  <c r="J112" i="58"/>
  <c r="K40" i="64"/>
  <c r="O40" i="64" s="1"/>
  <c r="H24" i="64"/>
  <c r="L24" i="64" s="1"/>
  <c r="H90" i="58"/>
  <c r="P28" i="58"/>
  <c r="AA9" i="57"/>
  <c r="Q6" i="64" s="1"/>
  <c r="BJ18" i="64"/>
  <c r="J15" i="125" s="1"/>
  <c r="O98" i="57"/>
  <c r="S98" i="57" s="1"/>
  <c r="W98" i="57" s="1"/>
  <c r="L18" i="58"/>
  <c r="K35" i="64"/>
  <c r="O35" i="64" s="1"/>
  <c r="AR49" i="50"/>
  <c r="K56" i="58"/>
  <c r="BI22" i="64"/>
  <c r="I19" i="125" s="1"/>
  <c r="N49" i="57"/>
  <c r="R49" i="57" s="1"/>
  <c r="V49" i="57" s="1"/>
  <c r="J33" i="58" s="1"/>
  <c r="J54" i="64"/>
  <c r="N54" i="64" s="1"/>
  <c r="AS108" i="50"/>
  <c r="AR27" i="50"/>
  <c r="H21" i="64"/>
  <c r="L21" i="64" s="1"/>
  <c r="Q84" i="58"/>
  <c r="Y84" i="58" s="1"/>
  <c r="O78" i="57"/>
  <c r="S78" i="57" s="1"/>
  <c r="W78" i="57" s="1"/>
  <c r="K83" i="58" s="1"/>
  <c r="O83" i="58" s="1"/>
  <c r="N19" i="57"/>
  <c r="R19" i="57" s="1"/>
  <c r="V19" i="57" s="1"/>
  <c r="Z19" i="57" s="1"/>
  <c r="I64" i="58"/>
  <c r="J45" i="58"/>
  <c r="N45" i="58" s="1"/>
  <c r="AA16" i="82"/>
  <c r="Y38" i="82"/>
  <c r="G90" i="58"/>
  <c r="Q129" i="58"/>
  <c r="Y129" i="58" s="1"/>
  <c r="O44" i="57"/>
  <c r="S44" i="57" s="1"/>
  <c r="W44" i="57" s="1"/>
  <c r="AA44" i="57" s="1"/>
  <c r="M17" i="58"/>
  <c r="Q17" i="58" s="1"/>
  <c r="M81" i="57"/>
  <c r="AB18" i="82"/>
  <c r="H30" i="58"/>
  <c r="G53" i="58"/>
  <c r="F99" i="58"/>
  <c r="M33" i="58"/>
  <c r="Z38" i="82"/>
  <c r="K80" i="58"/>
  <c r="I11" i="58"/>
  <c r="J77" i="58"/>
  <c r="F23" i="58"/>
  <c r="L32" i="58"/>
  <c r="P32" i="58" s="1"/>
  <c r="H34" i="58"/>
  <c r="BI19" i="64"/>
  <c r="I16" i="125" s="1"/>
  <c r="K78" i="58"/>
  <c r="O78" i="58" s="1"/>
  <c r="BG38" i="64"/>
  <c r="G35" i="125" s="1"/>
  <c r="G17" i="58"/>
  <c r="M46" i="58"/>
  <c r="Q46" i="58" s="1"/>
  <c r="Y46" i="58" s="1"/>
  <c r="L72" i="58"/>
  <c r="P44" i="58"/>
  <c r="Q71" i="58"/>
  <c r="M53" i="58"/>
  <c r="H77" i="58"/>
  <c r="M21" i="58"/>
  <c r="I35" i="58"/>
  <c r="Q35" i="58" s="1"/>
  <c r="Y35" i="58" s="1"/>
  <c r="AC50" i="57"/>
  <c r="S35" i="64" s="1"/>
  <c r="M27" i="58"/>
  <c r="F17" i="58"/>
  <c r="H43" i="58"/>
  <c r="G80" i="58"/>
  <c r="H18" i="58"/>
  <c r="BI27" i="64"/>
  <c r="I24" i="125" s="1"/>
  <c r="AA26" i="82"/>
  <c r="BI29" i="64"/>
  <c r="I26" i="125" s="1"/>
  <c r="AA28" i="82"/>
  <c r="BG42" i="64"/>
  <c r="G39" i="125" s="1"/>
  <c r="Y41" i="82"/>
  <c r="BH13" i="64"/>
  <c r="H10" i="125" s="1"/>
  <c r="Z12" i="82"/>
  <c r="BG13" i="64"/>
  <c r="G10" i="125" s="1"/>
  <c r="Y12" i="82"/>
  <c r="L130" i="58"/>
  <c r="H59" i="58"/>
  <c r="K60" i="101" s="1"/>
  <c r="H130" i="58"/>
  <c r="P130" i="58" s="1"/>
  <c r="L36" i="58"/>
  <c r="L122" i="58"/>
  <c r="BH14" i="64"/>
  <c r="H11" i="125" s="1"/>
  <c r="N26" i="57"/>
  <c r="R26" i="57" s="1"/>
  <c r="V26" i="57" s="1"/>
  <c r="J47" i="58"/>
  <c r="N47" i="58" s="1"/>
  <c r="O81" i="57"/>
  <c r="S81" i="57" s="1"/>
  <c r="W81" i="57" s="1"/>
  <c r="K44" i="58" s="1"/>
  <c r="O44" i="58" s="1"/>
  <c r="L65" i="58"/>
  <c r="L87" i="58"/>
  <c r="Q79" i="58"/>
  <c r="Y79" i="58" s="1"/>
  <c r="Q120" i="58"/>
  <c r="Y120" i="58" s="1"/>
  <c r="BI13" i="64"/>
  <c r="I10" i="125" s="1"/>
  <c r="AA12" i="82"/>
  <c r="M36" i="58"/>
  <c r="M122" i="58"/>
  <c r="L16" i="58"/>
  <c r="L120" i="58"/>
  <c r="P120" i="58" s="1"/>
  <c r="Z48" i="82"/>
  <c r="M25" i="58"/>
  <c r="J85" i="58"/>
  <c r="N84" i="57"/>
  <c r="R84" i="57" s="1"/>
  <c r="V84" i="57" s="1"/>
  <c r="J89" i="58" s="1"/>
  <c r="M63" i="58"/>
  <c r="N127" i="58"/>
  <c r="L78" i="58"/>
  <c r="Y13" i="82"/>
  <c r="BG35" i="64"/>
  <c r="G32" i="125" s="1"/>
  <c r="Y34" i="82"/>
  <c r="G56" i="58"/>
  <c r="I23" i="58"/>
  <c r="M23" i="58"/>
  <c r="O31" i="57"/>
  <c r="S31" i="57" s="1"/>
  <c r="W31" i="57" s="1"/>
  <c r="AA31" i="57" s="1"/>
  <c r="Q121" i="58"/>
  <c r="Y121" i="58" s="1"/>
  <c r="BI35" i="64"/>
  <c r="I32" i="125" s="1"/>
  <c r="AA34" i="82"/>
  <c r="M67" i="57"/>
  <c r="I122" i="58"/>
  <c r="Q122" i="58" s="1"/>
  <c r="H46" i="58"/>
  <c r="K48" i="101" s="1"/>
  <c r="M44" i="58"/>
  <c r="BH35" i="64"/>
  <c r="H32" i="125" s="1"/>
  <c r="Z34" i="82"/>
  <c r="H36" i="58"/>
  <c r="H122" i="58"/>
  <c r="P122" i="58" s="1"/>
  <c r="L128" i="58"/>
  <c r="F94" i="58"/>
  <c r="F125" i="58"/>
  <c r="M94" i="58"/>
  <c r="M125" i="58"/>
  <c r="Q125" i="58" s="1"/>
  <c r="M59" i="58"/>
  <c r="M130" i="58"/>
  <c r="K64" i="58"/>
  <c r="H58" i="58"/>
  <c r="H128" i="58"/>
  <c r="P128" i="58" s="1"/>
  <c r="H50" i="58"/>
  <c r="K52" i="101" s="1"/>
  <c r="BJ13" i="64"/>
  <c r="J10" i="125" s="1"/>
  <c r="AB12" i="82"/>
  <c r="P121" i="58"/>
  <c r="BJ35" i="64"/>
  <c r="J32" i="125" s="1"/>
  <c r="AB34" i="82"/>
  <c r="J20" i="58"/>
  <c r="AB39" i="82"/>
  <c r="Z51" i="82"/>
  <c r="M18" i="58"/>
  <c r="M58" i="57"/>
  <c r="F53" i="58"/>
  <c r="L126" i="58"/>
  <c r="P126" i="58" s="1"/>
  <c r="G95" i="58"/>
  <c r="G126" i="58"/>
  <c r="G43" i="58"/>
  <c r="K45" i="58"/>
  <c r="O45" i="58" s="1"/>
  <c r="O129" i="58"/>
  <c r="W129" i="58" s="1"/>
  <c r="BH19" i="64"/>
  <c r="H16" i="125" s="1"/>
  <c r="BH43" i="64"/>
  <c r="H40" i="125" s="1"/>
  <c r="BJ49" i="64"/>
  <c r="J46" i="125" s="1"/>
  <c r="AB43" i="82"/>
  <c r="AB28" i="82"/>
  <c r="Y51" i="82"/>
  <c r="BG46" i="64"/>
  <c r="G43" i="125" s="1"/>
  <c r="AB46" i="82"/>
  <c r="BG34" i="64"/>
  <c r="G31" i="125" s="1"/>
  <c r="Y33" i="82"/>
  <c r="Z14" i="82"/>
  <c r="BH15" i="64"/>
  <c r="H12" i="125" s="1"/>
  <c r="BJ22" i="64"/>
  <c r="J19" i="125" s="1"/>
  <c r="AB21" i="82"/>
  <c r="P74" i="58"/>
  <c r="Z44" i="82"/>
  <c r="BH45" i="64"/>
  <c r="H42" i="125" s="1"/>
  <c r="AB29" i="82"/>
  <c r="BJ30" i="64"/>
  <c r="J27" i="125" s="1"/>
  <c r="H83" i="58"/>
  <c r="P83" i="58" s="1"/>
  <c r="N36" i="57"/>
  <c r="R36" i="57" s="1"/>
  <c r="V36" i="57" s="1"/>
  <c r="J34" i="58" s="1"/>
  <c r="N34" i="58" s="1"/>
  <c r="J54" i="57"/>
  <c r="F15" i="58"/>
  <c r="I76" i="58"/>
  <c r="K13" i="58"/>
  <c r="O13" i="58" s="1"/>
  <c r="K42" i="58"/>
  <c r="O42" i="58" s="1"/>
  <c r="W42" i="58" s="1"/>
  <c r="G36" i="58"/>
  <c r="I33" i="58"/>
  <c r="AA23" i="82"/>
  <c r="P93" i="58"/>
  <c r="BH47" i="64"/>
  <c r="H44" i="125" s="1"/>
  <c r="L24" i="58"/>
  <c r="P24" i="58" s="1"/>
  <c r="H40" i="58"/>
  <c r="F19" i="58"/>
  <c r="I16" i="58"/>
  <c r="G87" i="58"/>
  <c r="H91" i="58"/>
  <c r="L85" i="58"/>
  <c r="L63" i="58"/>
  <c r="P63" i="58" s="1"/>
  <c r="L38" i="58"/>
  <c r="P38" i="58" s="1"/>
  <c r="L94" i="58"/>
  <c r="P94" i="58" s="1"/>
  <c r="AB36" i="57"/>
  <c r="G92" i="58"/>
  <c r="M52" i="58"/>
  <c r="M91" i="58"/>
  <c r="Q91" i="58" s="1"/>
  <c r="Y91" i="58" s="1"/>
  <c r="M15" i="58"/>
  <c r="Q15" i="58" s="1"/>
  <c r="M24" i="58"/>
  <c r="Q24" i="58" s="1"/>
  <c r="Y24" i="58" s="1"/>
  <c r="M22" i="58"/>
  <c r="Q22" i="58" s="1"/>
  <c r="Y22" i="58" s="1"/>
  <c r="Z22" i="82"/>
  <c r="H82" i="58"/>
  <c r="F95" i="58"/>
  <c r="H88" i="58"/>
  <c r="N96" i="57"/>
  <c r="R96" i="57" s="1"/>
  <c r="V96" i="57" s="1"/>
  <c r="J48" i="58" s="1"/>
  <c r="Z26" i="82"/>
  <c r="AB52" i="82"/>
  <c r="AB96" i="57"/>
  <c r="I117" i="58"/>
  <c r="Q117" i="58" s="1"/>
  <c r="M85" i="58"/>
  <c r="L71" i="58"/>
  <c r="P71" i="58" s="1"/>
  <c r="L42" i="58"/>
  <c r="L34" i="58"/>
  <c r="H21" i="58"/>
  <c r="H16" i="58"/>
  <c r="I87" i="58"/>
  <c r="Z36" i="82"/>
  <c r="O58" i="57"/>
  <c r="S58" i="57" s="1"/>
  <c r="W58" i="57" s="1"/>
  <c r="AA58" i="57" s="1"/>
  <c r="I19" i="58"/>
  <c r="G23" i="58"/>
  <c r="I57" i="58"/>
  <c r="Q57" i="58" s="1"/>
  <c r="K11" i="58"/>
  <c r="L96" i="57"/>
  <c r="AB26" i="57"/>
  <c r="G71" i="58"/>
  <c r="H79" i="58"/>
  <c r="K42" i="101" s="1"/>
  <c r="M95" i="58"/>
  <c r="M72" i="58"/>
  <c r="Q72" i="58" s="1"/>
  <c r="M19" i="58"/>
  <c r="G47" i="58"/>
  <c r="G86" i="58"/>
  <c r="I21" i="58"/>
  <c r="N47" i="57"/>
  <c r="R47" i="57" s="1"/>
  <c r="V47" i="57" s="1"/>
  <c r="J31" i="58" s="1"/>
  <c r="G51" i="58"/>
  <c r="G19" i="58"/>
  <c r="BG22" i="64"/>
  <c r="G19" i="125" s="1"/>
  <c r="Y21" i="82"/>
  <c r="F43" i="58"/>
  <c r="L23" i="58"/>
  <c r="P23" i="58" s="1"/>
  <c r="F21" i="58"/>
  <c r="G72" i="58"/>
  <c r="M43" i="58"/>
  <c r="Q43" i="58" s="1"/>
  <c r="L35" i="58"/>
  <c r="M40" i="58"/>
  <c r="L88" i="58"/>
  <c r="G15" i="58"/>
  <c r="AA47" i="82"/>
  <c r="G31" i="58"/>
  <c r="I83" i="58"/>
  <c r="Q83" i="58" s="1"/>
  <c r="Y83" i="58" s="1"/>
  <c r="L80" i="58"/>
  <c r="P80" i="58" s="1"/>
  <c r="J42" i="58"/>
  <c r="N42" i="58" s="1"/>
  <c r="G77" i="58"/>
  <c r="H26" i="101" s="1"/>
  <c r="H84" i="58"/>
  <c r="AG65" i="57"/>
  <c r="X83" i="57"/>
  <c r="L86" i="58" s="1"/>
  <c r="AA65" i="57"/>
  <c r="N31" i="57"/>
  <c r="R31" i="57" s="1"/>
  <c r="V31" i="57" s="1"/>
  <c r="Z31" i="57" s="1"/>
  <c r="N71" i="57"/>
  <c r="R71" i="57" s="1"/>
  <c r="V71" i="57" s="1"/>
  <c r="J81" i="58" s="1"/>
  <c r="N85" i="57"/>
  <c r="R85" i="57" s="1"/>
  <c r="V85" i="57" s="1"/>
  <c r="AA39" i="57"/>
  <c r="O67" i="57"/>
  <c r="S67" i="57" s="1"/>
  <c r="W67" i="57" s="1"/>
  <c r="AB44" i="57"/>
  <c r="L26" i="57"/>
  <c r="O91" i="57"/>
  <c r="S91" i="57" s="1"/>
  <c r="W91" i="57" s="1"/>
  <c r="AA91" i="57" s="1"/>
  <c r="AA38" i="57"/>
  <c r="L44" i="57"/>
  <c r="N44" i="57"/>
  <c r="R44" i="57" s="1"/>
  <c r="V44" i="57" s="1"/>
  <c r="J25" i="58" s="1"/>
  <c r="J21" i="64"/>
  <c r="N21" i="64" s="1"/>
  <c r="P25" i="58"/>
  <c r="L83" i="57"/>
  <c r="BH11" i="64"/>
  <c r="H8" i="125" s="1"/>
  <c r="H44" i="64"/>
  <c r="L44" i="64" s="1"/>
  <c r="O22" i="57"/>
  <c r="S22" i="57" s="1"/>
  <c r="W22" i="57" s="1"/>
  <c r="K115" i="58" s="1"/>
  <c r="Z10" i="82"/>
  <c r="H16" i="64"/>
  <c r="L16" i="64" s="1"/>
  <c r="J43" i="57"/>
  <c r="L35" i="57"/>
  <c r="M78" i="57"/>
  <c r="AC78" i="57"/>
  <c r="AB73" i="57"/>
  <c r="Z79" i="57"/>
  <c r="AB35" i="57"/>
  <c r="Z52" i="82"/>
  <c r="P39" i="58"/>
  <c r="K54" i="57"/>
  <c r="K107" i="57"/>
  <c r="AB36" i="82"/>
  <c r="K58" i="57"/>
  <c r="O63" i="57"/>
  <c r="S63" i="57" s="1"/>
  <c r="W63" i="57" s="1"/>
  <c r="K65" i="58" s="1"/>
  <c r="BG27" i="64"/>
  <c r="G24" i="125" s="1"/>
  <c r="M17" i="57"/>
  <c r="F87" i="58"/>
  <c r="M38" i="57"/>
  <c r="AC67" i="57"/>
  <c r="S43" i="64" s="1"/>
  <c r="P20" i="58"/>
  <c r="I36" i="58"/>
  <c r="K35" i="57"/>
  <c r="K20" i="57"/>
  <c r="J49" i="57"/>
  <c r="AC38" i="57"/>
  <c r="S28" i="64" s="1"/>
  <c r="BG53" i="64"/>
  <c r="G50" i="125" s="1"/>
  <c r="L98" i="57"/>
  <c r="H60" i="58"/>
  <c r="AQ117" i="50"/>
  <c r="AA90" i="57"/>
  <c r="N64" i="57"/>
  <c r="R64" i="57" s="1"/>
  <c r="V64" i="57" s="1"/>
  <c r="J61" i="58" s="1"/>
  <c r="N61" i="58" s="1"/>
  <c r="J31" i="64"/>
  <c r="N31" i="64" s="1"/>
  <c r="L72" i="57"/>
  <c r="AB72" i="57"/>
  <c r="AS11" i="50"/>
  <c r="AQ35" i="50"/>
  <c r="H27" i="64"/>
  <c r="L27" i="64" s="1"/>
  <c r="K21" i="57"/>
  <c r="K90" i="57"/>
  <c r="K19" i="64"/>
  <c r="O19" i="64" s="1"/>
  <c r="L19" i="57"/>
  <c r="AB15" i="82"/>
  <c r="AP108" i="50"/>
  <c r="K29" i="64"/>
  <c r="O29" i="64" s="1"/>
  <c r="I14" i="64"/>
  <c r="M14" i="64" s="1"/>
  <c r="AB79" i="57"/>
  <c r="AF79" i="57" s="1"/>
  <c r="AF52" i="57"/>
  <c r="K70" i="57"/>
  <c r="M50" i="57"/>
  <c r="J41" i="57"/>
  <c r="K93" i="57"/>
  <c r="L54" i="57"/>
  <c r="J50" i="64"/>
  <c r="N50" i="64" s="1"/>
  <c r="K16" i="64"/>
  <c r="O16" i="64" s="1"/>
  <c r="K32" i="64"/>
  <c r="O32" i="64" s="1"/>
  <c r="H54" i="64"/>
  <c r="L54" i="64" s="1"/>
  <c r="AB54" i="57"/>
  <c r="T37" i="64" s="1"/>
  <c r="X37" i="64" s="1"/>
  <c r="J40" i="64"/>
  <c r="N40" i="64" s="1"/>
  <c r="AS33" i="50"/>
  <c r="I43" i="64"/>
  <c r="M43" i="64" s="1"/>
  <c r="H45" i="64"/>
  <c r="L45" i="64" s="1"/>
  <c r="K23" i="64"/>
  <c r="O23" i="64" s="1"/>
  <c r="AB19" i="57"/>
  <c r="T16" i="64" s="1"/>
  <c r="AC18" i="57"/>
  <c r="AA45" i="82"/>
  <c r="L22" i="57"/>
  <c r="N33" i="57"/>
  <c r="R33" i="57" s="1"/>
  <c r="V33" i="57" s="1"/>
  <c r="Z33" i="57" s="1"/>
  <c r="AD33" i="57" s="1"/>
  <c r="F57" i="58"/>
  <c r="J56" i="57"/>
  <c r="AG70" i="57"/>
  <c r="Z45" i="57"/>
  <c r="R33" i="64" s="1"/>
  <c r="AA73" i="57"/>
  <c r="Z57" i="57"/>
  <c r="M72" i="57"/>
  <c r="BG24" i="64"/>
  <c r="G21" i="125" s="1"/>
  <c r="AA106" i="57"/>
  <c r="AB95" i="57"/>
  <c r="N65" i="57"/>
  <c r="R65" i="57" s="1"/>
  <c r="V65" i="57" s="1"/>
  <c r="L65" i="57"/>
  <c r="AG106" i="57"/>
  <c r="L69" i="57"/>
  <c r="AB69" i="57"/>
  <c r="M34" i="57"/>
  <c r="AB31" i="82"/>
  <c r="L51" i="57"/>
  <c r="L95" i="57"/>
  <c r="O41" i="57"/>
  <c r="S41" i="57" s="1"/>
  <c r="W41" i="57" s="1"/>
  <c r="N41" i="57"/>
  <c r="R41" i="57" s="1"/>
  <c r="V41" i="57" s="1"/>
  <c r="N95" i="57"/>
  <c r="R95" i="57" s="1"/>
  <c r="V95" i="57" s="1"/>
  <c r="I88" i="58"/>
  <c r="K75" i="57"/>
  <c r="O43" i="57"/>
  <c r="S43" i="57" s="1"/>
  <c r="W43" i="57" s="1"/>
  <c r="BH36" i="64"/>
  <c r="H33" i="125" s="1"/>
  <c r="AA70" i="57"/>
  <c r="AB93" i="57"/>
  <c r="O42" i="57"/>
  <c r="S42" i="57" s="1"/>
  <c r="W42" i="57" s="1"/>
  <c r="O113" i="57"/>
  <c r="S113" i="57" s="1"/>
  <c r="W113" i="57" s="1"/>
  <c r="K97" i="58" s="1"/>
  <c r="AA51" i="57"/>
  <c r="L93" i="57"/>
  <c r="AB47" i="57"/>
  <c r="K43" i="57"/>
  <c r="N93" i="57"/>
  <c r="R93" i="57" s="1"/>
  <c r="V93" i="57" s="1"/>
  <c r="AC81" i="57"/>
  <c r="Z94" i="57"/>
  <c r="AC42" i="57"/>
  <c r="AC41" i="57"/>
  <c r="AC49" i="57"/>
  <c r="AA37" i="57"/>
  <c r="J58" i="57"/>
  <c r="L103" i="57"/>
  <c r="AB105" i="57"/>
  <c r="T55" i="64" s="1"/>
  <c r="L74" i="57"/>
  <c r="L47" i="57"/>
  <c r="AB18" i="57"/>
  <c r="L87" i="57"/>
  <c r="L81" i="57"/>
  <c r="O102" i="57"/>
  <c r="S102" i="57" s="1"/>
  <c r="W102" i="57" s="1"/>
  <c r="BH24" i="64"/>
  <c r="H21" i="125" s="1"/>
  <c r="N67" i="57"/>
  <c r="R67" i="57" s="1"/>
  <c r="V67" i="57" s="1"/>
  <c r="L42" i="57"/>
  <c r="Y14" i="82"/>
  <c r="K99" i="57"/>
  <c r="L85" i="57"/>
  <c r="Z74" i="57"/>
  <c r="AD74" i="57" s="1"/>
  <c r="N102" i="57"/>
  <c r="R102" i="57" s="1"/>
  <c r="V102" i="57" s="1"/>
  <c r="AC64" i="57"/>
  <c r="AC40" i="57"/>
  <c r="O64" i="57"/>
  <c r="S64" i="57" s="1"/>
  <c r="W64" i="57" s="1"/>
  <c r="O40" i="57"/>
  <c r="S40" i="57" s="1"/>
  <c r="W40" i="57" s="1"/>
  <c r="K15" i="58" s="1"/>
  <c r="J85" i="57"/>
  <c r="M40" i="57"/>
  <c r="AB103" i="57"/>
  <c r="Q14" i="58"/>
  <c r="Y14" i="58" s="1"/>
  <c r="AE79" i="57"/>
  <c r="N105" i="57"/>
  <c r="R105" i="57" s="1"/>
  <c r="V105" i="57" s="1"/>
  <c r="Z105" i="57" s="1"/>
  <c r="R55" i="64" s="1"/>
  <c r="V55" i="64" s="1"/>
  <c r="Z35" i="57"/>
  <c r="M41" i="57"/>
  <c r="AB74" i="57"/>
  <c r="K47" i="57"/>
  <c r="AB42" i="57"/>
  <c r="W14" i="58"/>
  <c r="N18" i="57"/>
  <c r="R18" i="57" s="1"/>
  <c r="V18" i="57" s="1"/>
  <c r="AB85" i="57"/>
  <c r="AA10" i="82"/>
  <c r="AB65" i="57"/>
  <c r="AB17" i="57"/>
  <c r="K76" i="57"/>
  <c r="AB16" i="82"/>
  <c r="M49" i="57"/>
  <c r="O49" i="57"/>
  <c r="S49" i="57" s="1"/>
  <c r="W49" i="57" s="1"/>
  <c r="K33" i="58" s="1"/>
  <c r="O33" i="58" s="1"/>
  <c r="J105" i="57"/>
  <c r="AB62" i="57"/>
  <c r="O32" i="57"/>
  <c r="S32" i="57" s="1"/>
  <c r="W32" i="57" s="1"/>
  <c r="AA32" i="57" s="1"/>
  <c r="AE32" i="57" s="1"/>
  <c r="O56" i="57"/>
  <c r="S56" i="57" s="1"/>
  <c r="W56" i="57" s="1"/>
  <c r="Y18" i="82"/>
  <c r="J78" i="57"/>
  <c r="N92" i="57"/>
  <c r="R92" i="57" s="1"/>
  <c r="V92" i="57" s="1"/>
  <c r="AB43" i="57"/>
  <c r="AB51" i="57"/>
  <c r="K62" i="57"/>
  <c r="N51" i="57"/>
  <c r="R51" i="57" s="1"/>
  <c r="V51" i="57" s="1"/>
  <c r="K60" i="57"/>
  <c r="L17" i="57"/>
  <c r="J93" i="57"/>
  <c r="L43" i="57"/>
  <c r="L92" i="57"/>
  <c r="AC82" i="57"/>
  <c r="O17" i="57"/>
  <c r="S17" i="57" s="1"/>
  <c r="W17" i="57" s="1"/>
  <c r="K120" i="58" s="1"/>
  <c r="O120" i="58" s="1"/>
  <c r="W120" i="58" s="1"/>
  <c r="M25" i="57"/>
  <c r="O46" i="57"/>
  <c r="S46" i="57" s="1"/>
  <c r="W46" i="57" s="1"/>
  <c r="K29" i="58" s="1"/>
  <c r="O92" i="57"/>
  <c r="S92" i="57" s="1"/>
  <c r="W92" i="57" s="1"/>
  <c r="K83" i="57"/>
  <c r="M43" i="57"/>
  <c r="X7" i="64"/>
  <c r="J42" i="57"/>
  <c r="N43" i="57"/>
  <c r="R43" i="57" s="1"/>
  <c r="V43" i="57" s="1"/>
  <c r="J21" i="58" s="1"/>
  <c r="M42" i="57"/>
  <c r="N40" i="57"/>
  <c r="R40" i="57" s="1"/>
  <c r="V40" i="57" s="1"/>
  <c r="K14" i="64"/>
  <c r="O14" i="64" s="1"/>
  <c r="K13" i="64"/>
  <c r="X76" i="57"/>
  <c r="L64" i="58" s="1"/>
  <c r="P64" i="58" s="1"/>
  <c r="N76" i="57"/>
  <c r="R76" i="57" s="1"/>
  <c r="V76" i="57" s="1"/>
  <c r="M86" i="58"/>
  <c r="F84" i="58"/>
  <c r="J76" i="57"/>
  <c r="AC21" i="57"/>
  <c r="S17" i="64" s="1"/>
  <c r="AB61" i="57"/>
  <c r="O19" i="57"/>
  <c r="S19" i="57" s="1"/>
  <c r="W19" i="57" s="1"/>
  <c r="H27" i="58"/>
  <c r="K34" i="101" s="1"/>
  <c r="AB45" i="57"/>
  <c r="T33" i="64" s="1"/>
  <c r="L45" i="57"/>
  <c r="L61" i="57"/>
  <c r="K95" i="57"/>
  <c r="L67" i="57"/>
  <c r="M21" i="57"/>
  <c r="K50" i="64"/>
  <c r="O50" i="64" s="1"/>
  <c r="AC76" i="57"/>
  <c r="S47" i="64" s="1"/>
  <c r="H47" i="64"/>
  <c r="L47" i="64" s="1"/>
  <c r="K19" i="57"/>
  <c r="G20" i="58"/>
  <c r="H16" i="101" s="1"/>
  <c r="L80" i="57"/>
  <c r="H87" i="58"/>
  <c r="H99" i="58"/>
  <c r="L105" i="57"/>
  <c r="X40" i="57"/>
  <c r="L15" i="58" s="1"/>
  <c r="P15" i="58" s="1"/>
  <c r="L40" i="57"/>
  <c r="X46" i="57"/>
  <c r="N46" i="57"/>
  <c r="R46" i="57" s="1"/>
  <c r="V46" i="57" s="1"/>
  <c r="J27" i="58" s="1"/>
  <c r="Y84" i="57"/>
  <c r="M87" i="58" s="1"/>
  <c r="M84" i="57"/>
  <c r="AC91" i="57"/>
  <c r="I52" i="58"/>
  <c r="J54" i="101" s="1"/>
  <c r="M91" i="57"/>
  <c r="K88" i="57"/>
  <c r="G48" i="58"/>
  <c r="H51" i="101" s="1"/>
  <c r="O18" i="57"/>
  <c r="S18" i="57" s="1"/>
  <c r="W18" i="57" s="1"/>
  <c r="J92" i="57"/>
  <c r="H31" i="58"/>
  <c r="P31" i="58" s="1"/>
  <c r="AA20" i="57"/>
  <c r="AR108" i="50"/>
  <c r="AC72" i="57"/>
  <c r="S46" i="64" s="1"/>
  <c r="AB48" i="57"/>
  <c r="H33" i="58"/>
  <c r="P33" i="58" s="1"/>
  <c r="L48" i="57"/>
  <c r="N22" i="57"/>
  <c r="R22" i="57" s="1"/>
  <c r="V22" i="57" s="1"/>
  <c r="K67" i="57"/>
  <c r="M46" i="57"/>
  <c r="M76" i="57"/>
  <c r="G38" i="58"/>
  <c r="H44" i="101" s="1"/>
  <c r="K68" i="57"/>
  <c r="G32" i="58"/>
  <c r="H25" i="101" s="1"/>
  <c r="K31" i="57"/>
  <c r="Y89" i="57"/>
  <c r="M89" i="57"/>
  <c r="F88" i="58"/>
  <c r="J81" i="57"/>
  <c r="O87" i="57"/>
  <c r="S87" i="57" s="1"/>
  <c r="W87" i="57" s="1"/>
  <c r="K46" i="58" s="1"/>
  <c r="O46" i="58" s="1"/>
  <c r="W46" i="58" s="1"/>
  <c r="AC54" i="57"/>
  <c r="AB102" i="57"/>
  <c r="G115" i="58"/>
  <c r="Z48" i="57"/>
  <c r="J48" i="57"/>
  <c r="AD48" i="57" s="1"/>
  <c r="F33" i="58"/>
  <c r="AR17" i="50"/>
  <c r="Z14" i="57"/>
  <c r="AD14" i="57" s="1"/>
  <c r="AQ18" i="50"/>
  <c r="L76" i="57"/>
  <c r="Z38" i="57"/>
  <c r="AD38" i="57" s="1"/>
  <c r="K85" i="57"/>
  <c r="O72" i="57"/>
  <c r="S72" i="57" s="1"/>
  <c r="W72" i="57" s="1"/>
  <c r="AP40" i="50"/>
  <c r="I29" i="64"/>
  <c r="M29" i="64" s="1"/>
  <c r="J34" i="64"/>
  <c r="N34" i="64" s="1"/>
  <c r="J40" i="57"/>
  <c r="J27" i="64"/>
  <c r="N27" i="64" s="1"/>
  <c r="G40" i="58"/>
  <c r="H45" i="101" s="1"/>
  <c r="K69" i="57"/>
  <c r="Y33" i="57"/>
  <c r="M75" i="58" s="1"/>
  <c r="O33" i="57"/>
  <c r="S33" i="57" s="1"/>
  <c r="W33" i="57" s="1"/>
  <c r="Y61" i="57"/>
  <c r="M55" i="58" s="1"/>
  <c r="Q55" i="58" s="1"/>
  <c r="O61" i="57"/>
  <c r="S61" i="57" s="1"/>
  <c r="W61" i="57" s="1"/>
  <c r="K55" i="58" s="1"/>
  <c r="I44" i="58"/>
  <c r="AC77" i="57"/>
  <c r="M77" i="57"/>
  <c r="K30" i="64"/>
  <c r="O30" i="64" s="1"/>
  <c r="K103" i="57"/>
  <c r="N32" i="57"/>
  <c r="R32" i="57" s="1"/>
  <c r="V32" i="57" s="1"/>
  <c r="Z82" i="57"/>
  <c r="AB67" i="57"/>
  <c r="L31" i="57"/>
  <c r="AC60" i="57"/>
  <c r="L18" i="57"/>
  <c r="AB82" i="57"/>
  <c r="AQ110" i="50"/>
  <c r="H59" i="64"/>
  <c r="L59" i="64" s="1"/>
  <c r="F27" i="58"/>
  <c r="I34" i="101" s="1"/>
  <c r="J45" i="57"/>
  <c r="Y34" i="57"/>
  <c r="O34" i="57"/>
  <c r="S34" i="57" s="1"/>
  <c r="W34" i="57" s="1"/>
  <c r="X41" i="57"/>
  <c r="L41" i="57"/>
  <c r="N87" i="57"/>
  <c r="R87" i="57" s="1"/>
  <c r="V87" i="57" s="1"/>
  <c r="J46" i="58" s="1"/>
  <c r="X87" i="57"/>
  <c r="L46" i="58" s="1"/>
  <c r="N62" i="57"/>
  <c r="R62" i="57" s="1"/>
  <c r="V62" i="57" s="1"/>
  <c r="J57" i="58" s="1"/>
  <c r="O69" i="57"/>
  <c r="S69" i="57" s="1"/>
  <c r="W69" i="57" s="1"/>
  <c r="K79" i="58" s="1"/>
  <c r="O79" i="58" s="1"/>
  <c r="W79" i="58" s="1"/>
  <c r="H15" i="64"/>
  <c r="L15" i="64" s="1"/>
  <c r="G29" i="58"/>
  <c r="K46" i="57"/>
  <c r="K39" i="64"/>
  <c r="O39" i="64" s="1"/>
  <c r="Y35" i="57"/>
  <c r="O35" i="57"/>
  <c r="S35" i="57" s="1"/>
  <c r="W35" i="57" s="1"/>
  <c r="M60" i="57"/>
  <c r="Z104" i="57"/>
  <c r="AA76" i="57"/>
  <c r="AA57" i="57"/>
  <c r="AB92" i="57"/>
  <c r="I40" i="64"/>
  <c r="M40" i="64" s="1"/>
  <c r="J30" i="64"/>
  <c r="N30" i="64" s="1"/>
  <c r="AC87" i="57"/>
  <c r="L102" i="57"/>
  <c r="AS49" i="50"/>
  <c r="J35" i="64"/>
  <c r="K42" i="64"/>
  <c r="I51" i="58"/>
  <c r="J40" i="101" s="1"/>
  <c r="AC58" i="57"/>
  <c r="I53" i="58"/>
  <c r="M56" i="57"/>
  <c r="AC56" i="57"/>
  <c r="I115" i="58"/>
  <c r="Q115" i="58" s="1"/>
  <c r="M22" i="57"/>
  <c r="AC22" i="57"/>
  <c r="M102" i="57"/>
  <c r="J47" i="64"/>
  <c r="N47" i="64" s="1"/>
  <c r="AQ25" i="50"/>
  <c r="K21" i="64"/>
  <c r="O21" i="64" s="1"/>
  <c r="M54" i="57"/>
  <c r="AB71" i="57"/>
  <c r="T44" i="64" s="1"/>
  <c r="H81" i="58"/>
  <c r="L71" i="57"/>
  <c r="L25" i="57"/>
  <c r="BJ25" i="64"/>
  <c r="J22" i="125" s="1"/>
  <c r="AF28" i="57"/>
  <c r="K78" i="57"/>
  <c r="K40" i="57"/>
  <c r="M87" i="57"/>
  <c r="L97" i="57"/>
  <c r="J24" i="64"/>
  <c r="N24" i="64" s="1"/>
  <c r="J23" i="64"/>
  <c r="H85" i="58"/>
  <c r="L78" i="57"/>
  <c r="AB78" i="57"/>
  <c r="O21" i="57"/>
  <c r="S21" i="57" s="1"/>
  <c r="W21" i="57" s="1"/>
  <c r="K71" i="58" s="1"/>
  <c r="H89" i="58"/>
  <c r="P89" i="58" s="1"/>
  <c r="L84" i="57"/>
  <c r="AB84" i="57"/>
  <c r="N25" i="57"/>
  <c r="R25" i="57" s="1"/>
  <c r="V25" i="57" s="1"/>
  <c r="AC102" i="57"/>
  <c r="H25" i="64"/>
  <c r="L25" i="64" s="1"/>
  <c r="AB25" i="57"/>
  <c r="L62" i="57"/>
  <c r="AC25" i="57"/>
  <c r="S19" i="64" s="1"/>
  <c r="AF68" i="57"/>
  <c r="AB29" i="57"/>
  <c r="T22" i="64" s="1"/>
  <c r="L29" i="57"/>
  <c r="H116" i="58"/>
  <c r="K23" i="101" s="1"/>
  <c r="N61" i="57"/>
  <c r="R61" i="57" s="1"/>
  <c r="V61" i="57" s="1"/>
  <c r="J116" i="57"/>
  <c r="K24" i="64"/>
  <c r="O24" i="64" s="1"/>
  <c r="L32" i="57"/>
  <c r="AB32" i="57"/>
  <c r="AB81" i="57"/>
  <c r="K41" i="57"/>
  <c r="H4" i="57"/>
  <c r="AC46" i="57"/>
  <c r="AR90" i="50"/>
  <c r="AB97" i="57"/>
  <c r="N17" i="57"/>
  <c r="R17" i="57" s="1"/>
  <c r="V17" i="57" s="1"/>
  <c r="J120" i="58" s="1"/>
  <c r="N120" i="58" s="1"/>
  <c r="K46" i="64"/>
  <c r="O46" i="64" s="1"/>
  <c r="H49" i="64"/>
  <c r="L49" i="64" s="1"/>
  <c r="I4" i="57"/>
  <c r="I20" i="58"/>
  <c r="J16" i="101" s="1"/>
  <c r="M19" i="57"/>
  <c r="O54" i="57"/>
  <c r="S54" i="57" s="1"/>
  <c r="W54" i="57" s="1"/>
  <c r="K39" i="58" s="1"/>
  <c r="X60" i="57"/>
  <c r="L51" i="58" s="1"/>
  <c r="P51" i="58" s="1"/>
  <c r="L60" i="57"/>
  <c r="O45" i="57"/>
  <c r="S45" i="57" s="1"/>
  <c r="W45" i="57" s="1"/>
  <c r="K25" i="58" s="1"/>
  <c r="M69" i="57"/>
  <c r="I40" i="58"/>
  <c r="J45" i="101" s="1"/>
  <c r="AC69" i="57"/>
  <c r="S42" i="64" s="1"/>
  <c r="X24" i="57"/>
  <c r="L73" i="58" s="1"/>
  <c r="P73" i="58" s="1"/>
  <c r="N24" i="57"/>
  <c r="R24" i="57" s="1"/>
  <c r="V24" i="57" s="1"/>
  <c r="L24" i="57"/>
  <c r="N81" i="57"/>
  <c r="R81" i="57" s="1"/>
  <c r="V81" i="57" s="1"/>
  <c r="J44" i="58" s="1"/>
  <c r="N44" i="58" s="1"/>
  <c r="O25" i="57"/>
  <c r="S25" i="57" s="1"/>
  <c r="W25" i="57" s="1"/>
  <c r="K22" i="58" s="1"/>
  <c r="O22" i="58" s="1"/>
  <c r="W22" i="58" s="1"/>
  <c r="AF16" i="57"/>
  <c r="L21" i="57"/>
  <c r="H72" i="58"/>
  <c r="AB21" i="57"/>
  <c r="T17" i="64" s="1"/>
  <c r="Y12" i="57"/>
  <c r="M12" i="57"/>
  <c r="O12" i="57"/>
  <c r="S12" i="57" s="1"/>
  <c r="W12" i="57" s="1"/>
  <c r="Z68" i="57"/>
  <c r="K56" i="57"/>
  <c r="AB31" i="57"/>
  <c r="AQ49" i="50"/>
  <c r="H35" i="64"/>
  <c r="N97" i="57"/>
  <c r="R97" i="57" s="1"/>
  <c r="V97" i="57" s="1"/>
  <c r="K80" i="57"/>
  <c r="K34" i="64"/>
  <c r="O34" i="64" s="1"/>
  <c r="K48" i="57"/>
  <c r="X30" i="57"/>
  <c r="L116" i="58" s="1"/>
  <c r="L30" i="57"/>
  <c r="L47" i="58"/>
  <c r="P47" i="58" s="1"/>
  <c r="G52" i="58"/>
  <c r="H54" i="101" s="1"/>
  <c r="K91" i="57"/>
  <c r="K97" i="57"/>
  <c r="K81" i="57"/>
  <c r="G88" i="58"/>
  <c r="N30" i="57"/>
  <c r="R30" i="57" s="1"/>
  <c r="V30" i="57" s="1"/>
  <c r="J116" i="58" s="1"/>
  <c r="N116" i="58" s="1"/>
  <c r="N103" i="57"/>
  <c r="R103" i="57" s="1"/>
  <c r="V103" i="57" s="1"/>
  <c r="M41" i="58"/>
  <c r="I99" i="58"/>
  <c r="AC105" i="57"/>
  <c r="S55" i="64" s="1"/>
  <c r="M105" i="57"/>
  <c r="J36" i="64"/>
  <c r="N36" i="64" s="1"/>
  <c r="J43" i="64"/>
  <c r="N43" i="64" s="1"/>
  <c r="AF94" i="57"/>
  <c r="K84" i="57"/>
  <c r="O84" i="57"/>
  <c r="S84" i="57" s="1"/>
  <c r="W84" i="57" s="1"/>
  <c r="K87" i="58" s="1"/>
  <c r="J32" i="64"/>
  <c r="N32" i="64" s="1"/>
  <c r="H42" i="58"/>
  <c r="L75" i="57"/>
  <c r="AB75" i="57"/>
  <c r="Y28" i="57"/>
  <c r="M28" i="58" s="1"/>
  <c r="Q28" i="58" s="1"/>
  <c r="Y28" i="58" s="1"/>
  <c r="O28" i="57"/>
  <c r="S28" i="57" s="1"/>
  <c r="W28" i="57" s="1"/>
  <c r="M28" i="57"/>
  <c r="X59" i="57"/>
  <c r="L49" i="58" s="1"/>
  <c r="P49" i="58" s="1"/>
  <c r="N59" i="57"/>
  <c r="R59" i="57" s="1"/>
  <c r="V59" i="57" s="1"/>
  <c r="J49" i="58" s="1"/>
  <c r="N49" i="58" s="1"/>
  <c r="F4" i="57"/>
  <c r="AS23" i="50"/>
  <c r="M62" i="57"/>
  <c r="AC62" i="57"/>
  <c r="I63" i="58"/>
  <c r="I37" i="58"/>
  <c r="J36" i="101" s="1"/>
  <c r="AC51" i="57"/>
  <c r="M51" i="57"/>
  <c r="AC32" i="57"/>
  <c r="H78" i="58"/>
  <c r="AR9" i="50"/>
  <c r="AF20" i="57"/>
  <c r="H64" i="64"/>
  <c r="L64" i="64" s="1"/>
  <c r="I18" i="64"/>
  <c r="M18" i="64" s="1"/>
  <c r="F63" i="58"/>
  <c r="J62" i="57"/>
  <c r="F115" i="58"/>
  <c r="J22" i="57"/>
  <c r="AC26" i="57"/>
  <c r="S20" i="64" s="1"/>
  <c r="I26" i="58"/>
  <c r="J21" i="101" s="1"/>
  <c r="M26" i="57"/>
  <c r="G64" i="58"/>
  <c r="H47" i="101" s="1"/>
  <c r="K73" i="57"/>
  <c r="Y109" i="57"/>
  <c r="M58" i="58" s="1"/>
  <c r="M109" i="57"/>
  <c r="O109" i="57"/>
  <c r="S109" i="57" s="1"/>
  <c r="W109" i="57" s="1"/>
  <c r="L50" i="57"/>
  <c r="H117" i="58"/>
  <c r="P117" i="58" s="1"/>
  <c r="AB50" i="57"/>
  <c r="T35" i="64" s="1"/>
  <c r="H34" i="64"/>
  <c r="L34" i="64" s="1"/>
  <c r="AQ44" i="50"/>
  <c r="F103" i="58"/>
  <c r="J109" i="57"/>
  <c r="BG18" i="64"/>
  <c r="G15" i="125" s="1"/>
  <c r="AA60" i="57"/>
  <c r="AF14" i="57"/>
  <c r="J22" i="64"/>
  <c r="N22" i="64" s="1"/>
  <c r="AS29" i="50"/>
  <c r="AP25" i="50"/>
  <c r="O111" i="57"/>
  <c r="S111" i="57" s="1"/>
  <c r="W111" i="57" s="1"/>
  <c r="K111" i="57"/>
  <c r="AC43" i="57"/>
  <c r="L46" i="57"/>
  <c r="H29" i="58"/>
  <c r="X91" i="57"/>
  <c r="L91" i="58" s="1"/>
  <c r="N91" i="57"/>
  <c r="R91" i="57" s="1"/>
  <c r="V91" i="57" s="1"/>
  <c r="J91" i="58" s="1"/>
  <c r="N91" i="58" s="1"/>
  <c r="L91" i="57"/>
  <c r="J26" i="57"/>
  <c r="F26" i="58"/>
  <c r="I21" i="101" s="1"/>
  <c r="AA41" i="82"/>
  <c r="BI42" i="64"/>
  <c r="I39" i="125" s="1"/>
  <c r="AS14" i="50"/>
  <c r="K22" i="57"/>
  <c r="AR67" i="50"/>
  <c r="J57" i="64"/>
  <c r="N57" i="64" s="1"/>
  <c r="AS88" i="50"/>
  <c r="J42" i="64"/>
  <c r="AS64" i="50"/>
  <c r="I27" i="58"/>
  <c r="J34" i="101" s="1"/>
  <c r="M45" i="57"/>
  <c r="AC45" i="57"/>
  <c r="S33" i="64" s="1"/>
  <c r="Y30" i="57"/>
  <c r="M116" i="58" s="1"/>
  <c r="Q116" i="58" s="1"/>
  <c r="M30" i="57"/>
  <c r="O30" i="57"/>
  <c r="S30" i="57" s="1"/>
  <c r="W30" i="57" s="1"/>
  <c r="K116" i="58" s="1"/>
  <c r="K26" i="57"/>
  <c r="O26" i="57"/>
  <c r="S26" i="57" s="1"/>
  <c r="W26" i="57" s="1"/>
  <c r="M20" i="58"/>
  <c r="AC19" i="57"/>
  <c r="H51" i="64"/>
  <c r="L51" i="64" s="1"/>
  <c r="AA47" i="57"/>
  <c r="N23" i="57"/>
  <c r="R23" i="57" s="1"/>
  <c r="V23" i="57" s="1"/>
  <c r="Z23" i="57" s="1"/>
  <c r="H7" i="64"/>
  <c r="L7" i="64" s="1"/>
  <c r="K60" i="64"/>
  <c r="O60" i="64" s="1"/>
  <c r="K27" i="57"/>
  <c r="O27" i="57"/>
  <c r="S27" i="57" s="1"/>
  <c r="W27" i="57" s="1"/>
  <c r="AQ99" i="50"/>
  <c r="AG37" i="57"/>
  <c r="K63" i="64"/>
  <c r="O63" i="64" s="1"/>
  <c r="F28" i="58"/>
  <c r="J18" i="64"/>
  <c r="N18" i="64" s="1"/>
  <c r="K31" i="64"/>
  <c r="O31" i="64" s="1"/>
  <c r="H29" i="64"/>
  <c r="L29" i="64" s="1"/>
  <c r="AQ39" i="50"/>
  <c r="L36" i="57"/>
  <c r="AR18" i="50"/>
  <c r="I18" i="58"/>
  <c r="J15" i="101" s="1"/>
  <c r="K10" i="64"/>
  <c r="O10" i="64" s="1"/>
  <c r="M32" i="57"/>
  <c r="AP103" i="50"/>
  <c r="M18" i="57"/>
  <c r="AR103" i="50"/>
  <c r="AR71" i="50"/>
  <c r="AQ68" i="50"/>
  <c r="K25" i="64"/>
  <c r="O25" i="64" s="1"/>
  <c r="AS40" i="50"/>
  <c r="I30" i="64"/>
  <c r="M30" i="64" s="1"/>
  <c r="J7" i="64"/>
  <c r="N7" i="64" s="1"/>
  <c r="H40" i="64"/>
  <c r="L40" i="64" s="1"/>
  <c r="AQ57" i="50"/>
  <c r="I52" i="64"/>
  <c r="M52" i="64" s="1"/>
  <c r="AP88" i="50"/>
  <c r="AR62" i="50"/>
  <c r="K41" i="64"/>
  <c r="AG100" i="57"/>
  <c r="AP42" i="50"/>
  <c r="I32" i="64"/>
  <c r="M32" i="64" s="1"/>
  <c r="Z89" i="57"/>
  <c r="H65" i="58"/>
  <c r="K41" i="101" s="1"/>
  <c r="L63" i="57"/>
  <c r="AB63" i="57"/>
  <c r="AP71" i="50"/>
  <c r="I46" i="64"/>
  <c r="M46" i="64" s="1"/>
  <c r="BH50" i="64"/>
  <c r="H47" i="125" s="1"/>
  <c r="Z49" i="82"/>
  <c r="K50" i="57"/>
  <c r="G117" i="58"/>
  <c r="AS57" i="50"/>
  <c r="AA49" i="82"/>
  <c r="BI50" i="64"/>
  <c r="I47" i="125" s="1"/>
  <c r="J41" i="64"/>
  <c r="N41" i="64" s="1"/>
  <c r="AS62" i="50"/>
  <c r="AS71" i="50"/>
  <c r="J46" i="64"/>
  <c r="AE24" i="57"/>
  <c r="AS99" i="50"/>
  <c r="J19" i="57"/>
  <c r="F20" i="58"/>
  <c r="I16" i="101" s="1"/>
  <c r="M63" i="57"/>
  <c r="AC63" i="57"/>
  <c r="S41" i="64" s="1"/>
  <c r="I65" i="58"/>
  <c r="J41" i="101" s="1"/>
  <c r="M64" i="57"/>
  <c r="I61" i="58"/>
  <c r="F65" i="58"/>
  <c r="I41" i="101" s="1"/>
  <c r="J63" i="57"/>
  <c r="AA100" i="57"/>
  <c r="X12" i="64"/>
  <c r="I16" i="64"/>
  <c r="M16" i="64" s="1"/>
  <c r="AP18" i="50"/>
  <c r="F31" i="58"/>
  <c r="J47" i="57"/>
  <c r="F32" i="58"/>
  <c r="I25" i="101" s="1"/>
  <c r="J31" i="57"/>
  <c r="BJ50" i="64"/>
  <c r="J47" i="125" s="1"/>
  <c r="AB49" i="82"/>
  <c r="AQ62" i="50"/>
  <c r="H41" i="64"/>
  <c r="L41" i="64" s="1"/>
  <c r="M36" i="57"/>
  <c r="AC36" i="57"/>
  <c r="I78" i="58"/>
  <c r="AA23" i="57"/>
  <c r="Q18" i="64" s="1"/>
  <c r="AP30" i="50"/>
  <c r="I25" i="64"/>
  <c r="M25" i="64" s="1"/>
  <c r="AA89" i="57"/>
  <c r="G65" i="58"/>
  <c r="H41" i="101" s="1"/>
  <c r="K63" i="57"/>
  <c r="F82" i="58"/>
  <c r="I46" i="101" s="1"/>
  <c r="J72" i="57"/>
  <c r="AR15" i="50"/>
  <c r="AQ14" i="50"/>
  <c r="I41" i="64"/>
  <c r="M41" i="64" s="1"/>
  <c r="AP62" i="50"/>
  <c r="AQ42" i="50"/>
  <c r="H32" i="64"/>
  <c r="L32" i="64" s="1"/>
  <c r="BI23" i="64"/>
  <c r="I20" i="125" s="1"/>
  <c r="F89" i="58"/>
  <c r="J84" i="57"/>
  <c r="AA22" i="82"/>
  <c r="M23" i="57"/>
  <c r="AC23" i="57"/>
  <c r="S18" i="64" s="1"/>
  <c r="I73" i="58"/>
  <c r="J18" i="101" s="1"/>
  <c r="K43" i="64"/>
  <c r="O43" i="64" s="1"/>
  <c r="AQ15" i="50"/>
  <c r="Z21" i="82"/>
  <c r="AR68" i="50"/>
  <c r="K45" i="64"/>
  <c r="BH22" i="64"/>
  <c r="H19" i="125" s="1"/>
  <c r="AF33" i="57"/>
  <c r="AF10" i="57"/>
  <c r="BG19" i="64"/>
  <c r="G16" i="125" s="1"/>
  <c r="AB35" i="82"/>
  <c r="AS41" i="50"/>
  <c r="AQ22" i="50"/>
  <c r="H18" i="64"/>
  <c r="L18" i="64" s="1"/>
  <c r="X56" i="57"/>
  <c r="L43" i="58" s="1"/>
  <c r="N56" i="57"/>
  <c r="R56" i="57" s="1"/>
  <c r="V56" i="57" s="1"/>
  <c r="J43" i="58" s="1"/>
  <c r="L56" i="57"/>
  <c r="AQ71" i="50"/>
  <c r="H46" i="64"/>
  <c r="AB38" i="82"/>
  <c r="M52" i="57"/>
  <c r="G10" i="58"/>
  <c r="I12" i="64"/>
  <c r="M12" i="64" s="1"/>
  <c r="AP15" i="50"/>
  <c r="AQ41" i="50"/>
  <c r="H31" i="64"/>
  <c r="L31" i="64" s="1"/>
  <c r="K18" i="64"/>
  <c r="O18" i="64" s="1"/>
  <c r="K42" i="57"/>
  <c r="G21" i="58"/>
  <c r="H31" i="101" s="1"/>
  <c r="AB50" i="82"/>
  <c r="AR57" i="50"/>
  <c r="K36" i="64"/>
  <c r="O36" i="64" s="1"/>
  <c r="H14" i="64"/>
  <c r="L14" i="64" s="1"/>
  <c r="AQ16" i="50"/>
  <c r="I31" i="64"/>
  <c r="M31" i="64" s="1"/>
  <c r="AP41" i="50"/>
  <c r="AS15" i="50"/>
  <c r="J12" i="64"/>
  <c r="K57" i="64"/>
  <c r="H30" i="64"/>
  <c r="L30" i="64" s="1"/>
  <c r="AQ40" i="50"/>
  <c r="K51" i="58"/>
  <c r="AC52" i="57"/>
  <c r="AQ66" i="50"/>
  <c r="H43" i="64"/>
  <c r="J70" i="58"/>
  <c r="N70" i="58" s="1"/>
  <c r="Z16" i="57"/>
  <c r="AP57" i="50"/>
  <c r="AG20" i="57"/>
  <c r="AB9" i="82"/>
  <c r="AG10" i="57"/>
  <c r="I56" i="58"/>
  <c r="J56" i="101" s="1"/>
  <c r="M95" i="57"/>
  <c r="AC95" i="57"/>
  <c r="H57" i="64"/>
  <c r="AQ94" i="50"/>
  <c r="K12" i="58"/>
  <c r="O12" i="58" s="1"/>
  <c r="W12" i="58" s="1"/>
  <c r="AA12" i="58" s="1"/>
  <c r="AA11" i="57"/>
  <c r="I7" i="64"/>
  <c r="M7" i="64" s="1"/>
  <c r="AP9" i="50"/>
  <c r="Q70" i="58"/>
  <c r="Y70" i="58" s="1"/>
  <c r="BI12" i="64"/>
  <c r="I9" i="125" s="1"/>
  <c r="AA11" i="82"/>
  <c r="J10" i="57"/>
  <c r="F10" i="58"/>
  <c r="I7" i="101" s="1"/>
  <c r="Z10" i="57"/>
  <c r="R7" i="64" s="1"/>
  <c r="P69" i="58"/>
  <c r="I94" i="58"/>
  <c r="M92" i="57"/>
  <c r="AC92" i="57"/>
  <c r="BG48" i="64"/>
  <c r="G45" i="125" s="1"/>
  <c r="C4" i="57"/>
  <c r="K28" i="64"/>
  <c r="O28" i="64" s="1"/>
  <c r="AR36" i="50"/>
  <c r="J28" i="64"/>
  <c r="AS36" i="50"/>
  <c r="L64" i="57"/>
  <c r="AB64" i="57"/>
  <c r="H61" i="58"/>
  <c r="D4" i="57"/>
  <c r="L48" i="58"/>
  <c r="P48" i="58" s="1"/>
  <c r="AB88" i="57"/>
  <c r="J11" i="58"/>
  <c r="Z37" i="57"/>
  <c r="L11" i="58"/>
  <c r="AB37" i="57"/>
  <c r="K51" i="64"/>
  <c r="O51" i="64" s="1"/>
  <c r="AR87" i="50"/>
  <c r="AB23" i="57"/>
  <c r="J12" i="58"/>
  <c r="Z11" i="57"/>
  <c r="AD11" i="57" s="1"/>
  <c r="H17" i="64"/>
  <c r="AQ19" i="50"/>
  <c r="F75" i="58"/>
  <c r="J32" i="57"/>
  <c r="AS19" i="50"/>
  <c r="J17" i="64"/>
  <c r="L12" i="58"/>
  <c r="P12" i="58" s="1"/>
  <c r="AB11" i="57"/>
  <c r="J20" i="57"/>
  <c r="Z20" i="57"/>
  <c r="F71" i="58"/>
  <c r="I17" i="101" s="1"/>
  <c r="G25" i="58"/>
  <c r="H33" i="101" s="1"/>
  <c r="K44" i="57"/>
  <c r="O105" i="57"/>
  <c r="S105" i="57" s="1"/>
  <c r="W105" i="57" s="1"/>
  <c r="K105" i="57"/>
  <c r="B4" i="57"/>
  <c r="I17" i="64"/>
  <c r="M17" i="64" s="1"/>
  <c r="AP19" i="50"/>
  <c r="AR19" i="50"/>
  <c r="K17" i="64"/>
  <c r="H35" i="58"/>
  <c r="AB49" i="57"/>
  <c r="L49" i="57"/>
  <c r="AF49" i="57" s="1"/>
  <c r="H42" i="64"/>
  <c r="L42" i="64" s="1"/>
  <c r="G66" i="58"/>
  <c r="K9" i="57"/>
  <c r="Z88" i="57"/>
  <c r="G4" i="57"/>
  <c r="AC113" i="57"/>
  <c r="M113" i="57"/>
  <c r="I107" i="58"/>
  <c r="I32" i="58"/>
  <c r="J25" i="101" s="1"/>
  <c r="AC31" i="57"/>
  <c r="M31" i="57"/>
  <c r="AS16" i="50"/>
  <c r="J14" i="64"/>
  <c r="N14" i="64" s="1"/>
  <c r="AS30" i="50"/>
  <c r="J25" i="64"/>
  <c r="N25" i="64" s="1"/>
  <c r="E4" i="57"/>
  <c r="F25" i="58"/>
  <c r="I33" i="101" s="1"/>
  <c r="J44" i="57"/>
  <c r="L115" i="58"/>
  <c r="P115" i="58" s="1"/>
  <c r="AB22" i="57"/>
  <c r="G39" i="58"/>
  <c r="H37" i="101" s="1"/>
  <c r="K52" i="57"/>
  <c r="AA10" i="57"/>
  <c r="Q7" i="64" s="1"/>
  <c r="AQ51" i="50"/>
  <c r="H37" i="64"/>
  <c r="L37" i="64" s="1"/>
  <c r="M16" i="58"/>
  <c r="AC17" i="57"/>
  <c r="S13" i="64" s="1"/>
  <c r="I25" i="58"/>
  <c r="J33" i="101" s="1"/>
  <c r="AC44" i="57"/>
  <c r="M44" i="57"/>
  <c r="G107" i="58"/>
  <c r="K113" i="57"/>
  <c r="I3" i="125" l="1"/>
  <c r="I64" i="101"/>
  <c r="AA83" i="57"/>
  <c r="Q95" i="58"/>
  <c r="Q61" i="58"/>
  <c r="I62" i="101"/>
  <c r="AG83" i="57"/>
  <c r="AD70" i="57"/>
  <c r="Q135" i="58"/>
  <c r="Z125" i="57"/>
  <c r="H65" i="101"/>
  <c r="H62" i="101"/>
  <c r="I65" i="101"/>
  <c r="J64" i="101"/>
  <c r="J63" i="101"/>
  <c r="K64" i="101"/>
  <c r="I63" i="101"/>
  <c r="J62" i="101"/>
  <c r="K63" i="101"/>
  <c r="AF77" i="57"/>
  <c r="AE66" i="57"/>
  <c r="Z77" i="57"/>
  <c r="AD77" i="57" s="1"/>
  <c r="Z83" i="57"/>
  <c r="AD83" i="57" s="1"/>
  <c r="AG68" i="57"/>
  <c r="O66" i="58"/>
  <c r="W66" i="58" s="1"/>
  <c r="H6" i="101"/>
  <c r="Y6" i="82"/>
  <c r="H7" i="101"/>
  <c r="BG30" i="64"/>
  <c r="G27" i="125" s="1"/>
  <c r="H30" i="101"/>
  <c r="BG17" i="64"/>
  <c r="G14" i="125" s="1"/>
  <c r="H17" i="101"/>
  <c r="BI30" i="64"/>
  <c r="I27" i="125" s="1"/>
  <c r="J30" i="101"/>
  <c r="AB13" i="82"/>
  <c r="K14" i="101"/>
  <c r="Y49" i="82"/>
  <c r="H50" i="101"/>
  <c r="AA13" i="82"/>
  <c r="J14" i="101"/>
  <c r="AB44" i="82"/>
  <c r="K45" i="101"/>
  <c r="BG43" i="64"/>
  <c r="G40" i="125" s="1"/>
  <c r="H43" i="101"/>
  <c r="N15" i="58"/>
  <c r="BJ57" i="64"/>
  <c r="J54" i="125" s="1"/>
  <c r="K57" i="101"/>
  <c r="BJ43" i="64"/>
  <c r="J40" i="125" s="1"/>
  <c r="K43" i="101"/>
  <c r="BI32" i="64"/>
  <c r="I29" i="125" s="1"/>
  <c r="J32" i="101"/>
  <c r="Z28" i="82"/>
  <c r="I29" i="101"/>
  <c r="BH18" i="64"/>
  <c r="H15" i="125" s="1"/>
  <c r="I18" i="101"/>
  <c r="AA25" i="82"/>
  <c r="J26" i="101"/>
  <c r="Z43" i="82"/>
  <c r="I44" i="101"/>
  <c r="BH42" i="64"/>
  <c r="H39" i="125" s="1"/>
  <c r="I42" i="101"/>
  <c r="BJ28" i="64"/>
  <c r="J25" i="125" s="1"/>
  <c r="K28" i="101"/>
  <c r="AA38" i="82"/>
  <c r="J39" i="101"/>
  <c r="BH40" i="64"/>
  <c r="H37" i="125" s="1"/>
  <c r="I40" i="101"/>
  <c r="BJ21" i="64"/>
  <c r="J18" i="125" s="1"/>
  <c r="K21" i="101"/>
  <c r="BG60" i="64"/>
  <c r="G57" i="125" s="1"/>
  <c r="H59" i="101"/>
  <c r="Q48" i="58"/>
  <c r="Y48" i="58" s="1"/>
  <c r="J51" i="101"/>
  <c r="AA36" i="82"/>
  <c r="J37" i="101"/>
  <c r="AA37" i="82"/>
  <c r="J38" i="101"/>
  <c r="AB61" i="82"/>
  <c r="K61" i="101"/>
  <c r="P104" i="58"/>
  <c r="K65" i="101"/>
  <c r="BG61" i="64"/>
  <c r="G58" i="125" s="1"/>
  <c r="H60" i="101"/>
  <c r="Y22" i="82"/>
  <c r="H23" i="101"/>
  <c r="AA42" i="82"/>
  <c r="J43" i="101"/>
  <c r="BH31" i="64"/>
  <c r="H28" i="125" s="1"/>
  <c r="I31" i="101"/>
  <c r="BG40" i="64"/>
  <c r="G37" i="125" s="1"/>
  <c r="H40" i="101"/>
  <c r="BI31" i="64"/>
  <c r="I28" i="125" s="1"/>
  <c r="J31" i="101"/>
  <c r="BG49" i="64"/>
  <c r="G46" i="125" s="1"/>
  <c r="H49" i="101"/>
  <c r="Y31" i="82"/>
  <c r="H32" i="101"/>
  <c r="BJ31" i="64"/>
  <c r="J28" i="125" s="1"/>
  <c r="K31" i="101"/>
  <c r="BJ46" i="64"/>
  <c r="J43" i="125" s="1"/>
  <c r="K46" i="101"/>
  <c r="Z29" i="82"/>
  <c r="I30" i="101"/>
  <c r="BG57" i="64"/>
  <c r="G54" i="125" s="1"/>
  <c r="H56" i="101"/>
  <c r="BJ15" i="64"/>
  <c r="J12" i="125" s="1"/>
  <c r="K15" i="101"/>
  <c r="P77" i="58"/>
  <c r="K26" i="101"/>
  <c r="BG29" i="64"/>
  <c r="G26" i="125" s="1"/>
  <c r="H29" i="101"/>
  <c r="AB26" i="82"/>
  <c r="K27" i="101"/>
  <c r="Z31" i="82"/>
  <c r="I32" i="101"/>
  <c r="Q11" i="58"/>
  <c r="Y11" i="58" s="1"/>
  <c r="J28" i="101"/>
  <c r="AB23" i="82"/>
  <c r="K24" i="101"/>
  <c r="AA46" i="82"/>
  <c r="J47" i="101"/>
  <c r="BI52" i="64"/>
  <c r="I49" i="125" s="1"/>
  <c r="J52" i="101"/>
  <c r="Q104" i="58"/>
  <c r="Y104" i="58" s="1"/>
  <c r="J65" i="101"/>
  <c r="AA48" i="82"/>
  <c r="J49" i="101"/>
  <c r="BH28" i="64"/>
  <c r="H25" i="125" s="1"/>
  <c r="I28" i="101"/>
  <c r="BH9" i="64"/>
  <c r="H6" i="125" s="1"/>
  <c r="I9" i="101"/>
  <c r="Z47" i="82"/>
  <c r="I48" i="101"/>
  <c r="Z50" i="82"/>
  <c r="I51" i="101"/>
  <c r="Y27" i="82"/>
  <c r="H28" i="101"/>
  <c r="BJ54" i="64"/>
  <c r="J51" i="125" s="1"/>
  <c r="K54" i="101"/>
  <c r="Y61" i="82"/>
  <c r="H63" i="101"/>
  <c r="Z57" i="82"/>
  <c r="I57" i="101"/>
  <c r="AA58" i="82"/>
  <c r="J58" i="101"/>
  <c r="BI60" i="64"/>
  <c r="I57" i="125" s="1"/>
  <c r="J60" i="101"/>
  <c r="BJ59" i="64"/>
  <c r="J56" i="125" s="1"/>
  <c r="K59" i="101"/>
  <c r="X55" i="64"/>
  <c r="AG96" i="57"/>
  <c r="AF116" i="57"/>
  <c r="W55" i="64"/>
  <c r="K61" i="58"/>
  <c r="O61" i="58" s="1"/>
  <c r="W61" i="58" s="1"/>
  <c r="Q85" i="58"/>
  <c r="Y85" i="58" s="1"/>
  <c r="X123" i="58"/>
  <c r="P100" i="58"/>
  <c r="N31" i="58"/>
  <c r="Z86" i="57"/>
  <c r="V124" i="58"/>
  <c r="Z124" i="58" s="1"/>
  <c r="AD129" i="57"/>
  <c r="J133" i="58"/>
  <c r="AD144" i="57"/>
  <c r="N43" i="58"/>
  <c r="P43" i="58"/>
  <c r="Q132" i="58"/>
  <c r="Y132" i="58" s="1"/>
  <c r="J51" i="58"/>
  <c r="N51" i="58" s="1"/>
  <c r="BI64" i="64"/>
  <c r="I61" i="125" s="1"/>
  <c r="Y110" i="58"/>
  <c r="AA59" i="82"/>
  <c r="AB58" i="82"/>
  <c r="Z62" i="82"/>
  <c r="AF113" i="57"/>
  <c r="BJ64" i="64"/>
  <c r="J61" i="125" s="1"/>
  <c r="BI62" i="64"/>
  <c r="I59" i="125" s="1"/>
  <c r="Z59" i="82"/>
  <c r="K123" i="58"/>
  <c r="O123" i="58" s="1"/>
  <c r="W123" i="58" s="1"/>
  <c r="AC123" i="58" s="1"/>
  <c r="BH56" i="64"/>
  <c r="H53" i="125" s="1"/>
  <c r="BH55" i="64"/>
  <c r="H52" i="125" s="1"/>
  <c r="Z54" i="82"/>
  <c r="BJ63" i="64"/>
  <c r="J60" i="125" s="1"/>
  <c r="BJ56" i="64"/>
  <c r="J53" i="125" s="1"/>
  <c r="BJ55" i="64"/>
  <c r="J52" i="125" s="1"/>
  <c r="AB54" i="82"/>
  <c r="BG63" i="64"/>
  <c r="G60" i="125" s="1"/>
  <c r="BG62" i="64"/>
  <c r="G59" i="125" s="1"/>
  <c r="BI63" i="64"/>
  <c r="I60" i="125" s="1"/>
  <c r="Z61" i="82"/>
  <c r="Z56" i="82"/>
  <c r="BJ60" i="64"/>
  <c r="J57" i="125" s="1"/>
  <c r="Z60" i="82"/>
  <c r="AB56" i="82"/>
  <c r="P108" i="58"/>
  <c r="BI61" i="64"/>
  <c r="I58" i="125" s="1"/>
  <c r="BG59" i="64"/>
  <c r="G56" i="125" s="1"/>
  <c r="BG56" i="64"/>
  <c r="G53" i="125" s="1"/>
  <c r="BG55" i="64"/>
  <c r="G52" i="125" s="1"/>
  <c r="Y54" i="82"/>
  <c r="Z58" i="82"/>
  <c r="Y58" i="82"/>
  <c r="O116" i="58"/>
  <c r="W116" i="58" s="1"/>
  <c r="BH59" i="64"/>
  <c r="H56" i="125" s="1"/>
  <c r="K101" i="58"/>
  <c r="O101" i="58" s="1"/>
  <c r="W101" i="58" s="1"/>
  <c r="BI56" i="64"/>
  <c r="I53" i="125" s="1"/>
  <c r="BI55" i="64"/>
  <c r="I52" i="125" s="1"/>
  <c r="AA54" i="82"/>
  <c r="AA57" i="82"/>
  <c r="AB62" i="82"/>
  <c r="K137" i="58"/>
  <c r="O137" i="58" s="1"/>
  <c r="W137" i="58" s="1"/>
  <c r="J100" i="58"/>
  <c r="AA136" i="57"/>
  <c r="AE136" i="57" s="1"/>
  <c r="S61" i="64"/>
  <c r="W61" i="64" s="1"/>
  <c r="AF11" i="57"/>
  <c r="N81" i="58"/>
  <c r="AB59" i="82"/>
  <c r="K62" i="58"/>
  <c r="O62" i="58" s="1"/>
  <c r="W62" i="58" s="1"/>
  <c r="P54" i="58"/>
  <c r="K58" i="58"/>
  <c r="O58" i="58" s="1"/>
  <c r="W58" i="58" s="1"/>
  <c r="K38" i="58"/>
  <c r="O38" i="58" s="1"/>
  <c r="W38" i="58" s="1"/>
  <c r="AB104" i="57"/>
  <c r="Y116" i="58"/>
  <c r="AD60" i="57"/>
  <c r="Q59" i="58"/>
  <c r="Y59" i="58" s="1"/>
  <c r="AB63" i="82"/>
  <c r="AA94" i="57"/>
  <c r="AE94" i="57" s="1"/>
  <c r="AA60" i="82"/>
  <c r="BG23" i="64"/>
  <c r="G20" i="125" s="1"/>
  <c r="Y55" i="82"/>
  <c r="J119" i="58"/>
  <c r="N119" i="58" s="1"/>
  <c r="V119" i="58" s="1"/>
  <c r="AA62" i="82"/>
  <c r="T36" i="64"/>
  <c r="X36" i="64" s="1"/>
  <c r="O97" i="58"/>
  <c r="W97" i="58" s="1"/>
  <c r="AE38" i="57"/>
  <c r="AA61" i="82"/>
  <c r="J26" i="58"/>
  <c r="N26" i="58" s="1"/>
  <c r="P114" i="58"/>
  <c r="AB55" i="82"/>
  <c r="Z124" i="57"/>
  <c r="AD124" i="57" s="1"/>
  <c r="AF53" i="57"/>
  <c r="J114" i="58"/>
  <c r="K114" i="58"/>
  <c r="O114" i="58" s="1"/>
  <c r="W114" i="58" s="1"/>
  <c r="AD107" i="57"/>
  <c r="Q108" i="58"/>
  <c r="Y108" i="58" s="1"/>
  <c r="AF144" i="57"/>
  <c r="AA93" i="57"/>
  <c r="AE93" i="57" s="1"/>
  <c r="AA118" i="57"/>
  <c r="AE118" i="57" s="1"/>
  <c r="AG116" i="57"/>
  <c r="N12" i="58"/>
  <c r="V12" i="58" s="1"/>
  <c r="Z100" i="57"/>
  <c r="AD100" i="57" s="1"/>
  <c r="P99" i="58"/>
  <c r="Q109" i="58"/>
  <c r="Y109" i="58" s="1"/>
  <c r="N107" i="58"/>
  <c r="J60" i="58"/>
  <c r="N60" i="58" s="1"/>
  <c r="AE11" i="57"/>
  <c r="T62" i="64"/>
  <c r="X62" i="64" s="1"/>
  <c r="J101" i="58"/>
  <c r="N101" i="58" s="1"/>
  <c r="O110" i="58"/>
  <c r="W110" i="58" s="1"/>
  <c r="P96" i="58"/>
  <c r="AF139" i="57"/>
  <c r="K143" i="58"/>
  <c r="O143" i="58" s="1"/>
  <c r="W143" i="58" s="1"/>
  <c r="AF107" i="57"/>
  <c r="W51" i="64"/>
  <c r="Z12" i="57"/>
  <c r="R8" i="64" s="1"/>
  <c r="V8" i="64" s="1"/>
  <c r="AE116" i="57"/>
  <c r="Y97" i="58"/>
  <c r="AA80" i="57"/>
  <c r="AE80" i="57" s="1"/>
  <c r="Q136" i="58"/>
  <c r="Y136" i="58" s="1"/>
  <c r="P105" i="58"/>
  <c r="AA137" i="57"/>
  <c r="AE137" i="57" s="1"/>
  <c r="K98" i="58"/>
  <c r="O98" i="58" s="1"/>
  <c r="W98" i="58" s="1"/>
  <c r="AG117" i="57"/>
  <c r="Q96" i="58"/>
  <c r="Y96" i="58" s="1"/>
  <c r="R22" i="64"/>
  <c r="V22" i="64" s="1"/>
  <c r="AG115" i="57"/>
  <c r="AG80" i="57"/>
  <c r="Z114" i="57"/>
  <c r="AD114" i="57" s="1"/>
  <c r="Q39" i="64"/>
  <c r="U39" i="64" s="1"/>
  <c r="AA122" i="57"/>
  <c r="AE122" i="57" s="1"/>
  <c r="AG9" i="57"/>
  <c r="J62" i="58"/>
  <c r="N62" i="58" s="1"/>
  <c r="AF111" i="57"/>
  <c r="Q62" i="58"/>
  <c r="Y62" i="58" s="1"/>
  <c r="AF114" i="57"/>
  <c r="AE119" i="57"/>
  <c r="N48" i="58"/>
  <c r="BH57" i="64"/>
  <c r="H54" i="125" s="1"/>
  <c r="X12" i="58"/>
  <c r="X121" i="58"/>
  <c r="Y60" i="82"/>
  <c r="N121" i="58"/>
  <c r="Y45" i="58"/>
  <c r="P103" i="58"/>
  <c r="BH51" i="64"/>
  <c r="H48" i="125" s="1"/>
  <c r="P97" i="58"/>
  <c r="X97" i="58" s="1"/>
  <c r="Q39" i="58"/>
  <c r="Y39" i="58" s="1"/>
  <c r="BI37" i="64"/>
  <c r="I34" i="125" s="1"/>
  <c r="Q140" i="58"/>
  <c r="Y140" i="58" s="1"/>
  <c r="N67" i="58"/>
  <c r="Q113" i="58"/>
  <c r="Y113" i="58" s="1"/>
  <c r="Y119" i="58"/>
  <c r="Y59" i="82"/>
  <c r="AG103" i="57"/>
  <c r="BH58" i="64"/>
  <c r="H55" i="125" s="1"/>
  <c r="W13" i="58"/>
  <c r="AC13" i="58" s="1"/>
  <c r="N85" i="58"/>
  <c r="AD29" i="57"/>
  <c r="T56" i="64"/>
  <c r="X56" i="64" s="1"/>
  <c r="AA63" i="82"/>
  <c r="AG111" i="57"/>
  <c r="P98" i="58"/>
  <c r="AE96" i="57"/>
  <c r="K85" i="58"/>
  <c r="O85" i="58" s="1"/>
  <c r="W85" i="58" s="1"/>
  <c r="W45" i="58"/>
  <c r="Q63" i="64"/>
  <c r="U63" i="64" s="1"/>
  <c r="AF133" i="57"/>
  <c r="AG112" i="57"/>
  <c r="Z139" i="57"/>
  <c r="AD139" i="57" s="1"/>
  <c r="Q114" i="58"/>
  <c r="Y114" i="58" s="1"/>
  <c r="Q144" i="58"/>
  <c r="AG13" i="57"/>
  <c r="K95" i="58"/>
  <c r="O95" i="58" s="1"/>
  <c r="W95" i="58" s="1"/>
  <c r="J56" i="58"/>
  <c r="N56" i="58" s="1"/>
  <c r="BI59" i="64"/>
  <c r="I56" i="125" s="1"/>
  <c r="Q138" i="58"/>
  <c r="AA121" i="57"/>
  <c r="AE121" i="57" s="1"/>
  <c r="P137" i="58"/>
  <c r="AE108" i="57"/>
  <c r="AF39" i="57"/>
  <c r="L62" i="58"/>
  <c r="P62" i="58" s="1"/>
  <c r="X62" i="58" s="1"/>
  <c r="AA13" i="57"/>
  <c r="Q9" i="64" s="1"/>
  <c r="U9" i="64" s="1"/>
  <c r="P143" i="58"/>
  <c r="AF15" i="57"/>
  <c r="AG108" i="57"/>
  <c r="X68" i="58"/>
  <c r="AA50" i="82"/>
  <c r="BI58" i="64"/>
  <c r="I55" i="125" s="1"/>
  <c r="BG28" i="64"/>
  <c r="G25" i="125" s="1"/>
  <c r="AG114" i="57"/>
  <c r="AF27" i="57"/>
  <c r="BH48" i="64"/>
  <c r="H45" i="125" s="1"/>
  <c r="AG94" i="57"/>
  <c r="Y62" i="82"/>
  <c r="N11" i="58"/>
  <c r="AE106" i="57"/>
  <c r="AD133" i="57"/>
  <c r="BJ62" i="64"/>
  <c r="J59" i="125" s="1"/>
  <c r="J111" i="58"/>
  <c r="N111" i="58" s="1"/>
  <c r="AG93" i="57"/>
  <c r="J84" i="58"/>
  <c r="N84" i="58" s="1"/>
  <c r="O11" i="58"/>
  <c r="W11" i="58" s="1"/>
  <c r="K117" i="58"/>
  <c r="Y117" i="58" s="1"/>
  <c r="BH63" i="64"/>
  <c r="H60" i="125" s="1"/>
  <c r="AA16" i="57"/>
  <c r="Q12" i="64" s="1"/>
  <c r="U12" i="64" s="1"/>
  <c r="BI51" i="64"/>
  <c r="I48" i="125" s="1"/>
  <c r="AA127" i="57"/>
  <c r="AE127" i="57" s="1"/>
  <c r="P134" i="58"/>
  <c r="T65" i="64"/>
  <c r="X65" i="64" s="1"/>
  <c r="AA130" i="57"/>
  <c r="AE130" i="57" s="1"/>
  <c r="Z72" i="57"/>
  <c r="AD72" i="57" s="1"/>
  <c r="N46" i="58"/>
  <c r="V46" i="58" s="1"/>
  <c r="Q58" i="58"/>
  <c r="Y58" i="58" s="1"/>
  <c r="Z27" i="82"/>
  <c r="J28" i="58"/>
  <c r="N28" i="58" s="1"/>
  <c r="N68" i="58"/>
  <c r="V68" i="58" s="1"/>
  <c r="AF99" i="57"/>
  <c r="X129" i="58"/>
  <c r="K82" i="58"/>
  <c r="O82" i="58" s="1"/>
  <c r="W82" i="58" s="1"/>
  <c r="AC82" i="58" s="1"/>
  <c r="N77" i="58"/>
  <c r="Q54" i="58"/>
  <c r="Y54" i="58" s="1"/>
  <c r="P101" i="58"/>
  <c r="AA55" i="82"/>
  <c r="Q145" i="58"/>
  <c r="AG74" i="57"/>
  <c r="O102" i="58"/>
  <c r="W102" i="58" s="1"/>
  <c r="K131" i="58"/>
  <c r="O131" i="58" s="1"/>
  <c r="W131" i="58" s="1"/>
  <c r="Z8" i="82"/>
  <c r="Z130" i="57"/>
  <c r="AD130" i="57" s="1"/>
  <c r="Z99" i="57"/>
  <c r="R59" i="64" s="1"/>
  <c r="V59" i="64" s="1"/>
  <c r="Q98" i="58"/>
  <c r="Y98" i="58" s="1"/>
  <c r="Z50" i="57"/>
  <c r="R35" i="64" s="1"/>
  <c r="V35" i="64" s="1"/>
  <c r="Q137" i="58"/>
  <c r="Y137" i="58" s="1"/>
  <c r="Q133" i="58"/>
  <c r="Y133" i="58" s="1"/>
  <c r="J143" i="58"/>
  <c r="N143" i="58" s="1"/>
  <c r="AD115" i="57"/>
  <c r="J134" i="58"/>
  <c r="Q102" i="58"/>
  <c r="Y102" i="58" s="1"/>
  <c r="Q139" i="58"/>
  <c r="Y139" i="58" s="1"/>
  <c r="N105" i="58"/>
  <c r="K138" i="58"/>
  <c r="O138" i="58" s="1"/>
  <c r="K119" i="58"/>
  <c r="O119" i="58" s="1"/>
  <c r="W119" i="58" s="1"/>
  <c r="K111" i="58"/>
  <c r="O111" i="58" s="1"/>
  <c r="W111" i="58" s="1"/>
  <c r="AE115" i="57"/>
  <c r="J138" i="58"/>
  <c r="P112" i="58"/>
  <c r="K47" i="58"/>
  <c r="O47" i="58" s="1"/>
  <c r="W47" i="58" s="1"/>
  <c r="Z55" i="57"/>
  <c r="AD55" i="57" s="1"/>
  <c r="AB53" i="82"/>
  <c r="K54" i="58"/>
  <c r="O54" i="58" s="1"/>
  <c r="W54" i="58" s="1"/>
  <c r="S56" i="64"/>
  <c r="W56" i="64" s="1"/>
  <c r="AE59" i="57"/>
  <c r="K145" i="58"/>
  <c r="K113" i="58"/>
  <c r="O113" i="58" s="1"/>
  <c r="W113" i="58" s="1"/>
  <c r="Q131" i="58"/>
  <c r="Y131" i="58" s="1"/>
  <c r="AF110" i="57"/>
  <c r="K60" i="58"/>
  <c r="O60" i="58" s="1"/>
  <c r="W60" i="58" s="1"/>
  <c r="Q88" i="58"/>
  <c r="Y88" i="58" s="1"/>
  <c r="Q105" i="58"/>
  <c r="K132" i="58"/>
  <c r="O132" i="58" s="1"/>
  <c r="W132" i="58" s="1"/>
  <c r="K136" i="58"/>
  <c r="O136" i="58" s="1"/>
  <c r="W136" i="58" s="1"/>
  <c r="S65" i="64"/>
  <c r="W65" i="64" s="1"/>
  <c r="AA132" i="57"/>
  <c r="AE132" i="57" s="1"/>
  <c r="K139" i="58"/>
  <c r="O139" i="58" s="1"/>
  <c r="W139" i="58" s="1"/>
  <c r="K144" i="58"/>
  <c r="Y144" i="58" s="1"/>
  <c r="S54" i="64"/>
  <c r="W54" i="64" s="1"/>
  <c r="P110" i="58"/>
  <c r="K108" i="58"/>
  <c r="O108" i="58" s="1"/>
  <c r="W108" i="58" s="1"/>
  <c r="K109" i="58"/>
  <c r="O109" i="58" s="1"/>
  <c r="W109" i="58" s="1"/>
  <c r="T57" i="64"/>
  <c r="X57" i="64" s="1"/>
  <c r="AF130" i="57"/>
  <c r="J104" i="58"/>
  <c r="N104" i="58" s="1"/>
  <c r="AA68" i="58"/>
  <c r="M60" i="58"/>
  <c r="Q60" i="58" s="1"/>
  <c r="Y60" i="58" s="1"/>
  <c r="K133" i="58"/>
  <c r="O133" i="58" s="1"/>
  <c r="W133" i="58" s="1"/>
  <c r="R58" i="64"/>
  <c r="V58" i="64" s="1"/>
  <c r="AA135" i="57"/>
  <c r="AE135" i="57" s="1"/>
  <c r="J145" i="58"/>
  <c r="J131" i="58"/>
  <c r="N131" i="58" s="1"/>
  <c r="AA145" i="57"/>
  <c r="AE145" i="57" s="1"/>
  <c r="AE110" i="57"/>
  <c r="P90" i="58"/>
  <c r="AC53" i="57"/>
  <c r="S36" i="64" s="1"/>
  <c r="W36" i="64" s="1"/>
  <c r="AA143" i="57"/>
  <c r="AE143" i="57" s="1"/>
  <c r="S59" i="64"/>
  <c r="W59" i="64" s="1"/>
  <c r="W41" i="58"/>
  <c r="AF117" i="57"/>
  <c r="J82" i="58"/>
  <c r="N82" i="58" s="1"/>
  <c r="P11" i="58"/>
  <c r="J83" i="58"/>
  <c r="N83" i="58" s="1"/>
  <c r="Q41" i="58"/>
  <c r="Y41" i="58" s="1"/>
  <c r="AF13" i="57"/>
  <c r="S57" i="64"/>
  <c r="W57" i="64" s="1"/>
  <c r="AF80" i="57"/>
  <c r="R46" i="64"/>
  <c r="V46" i="64" s="1"/>
  <c r="Q107" i="58"/>
  <c r="K88" i="58"/>
  <c r="O88" i="58" s="1"/>
  <c r="W88" i="58" s="1"/>
  <c r="Z140" i="57"/>
  <c r="AD75" i="57"/>
  <c r="AG107" i="57"/>
  <c r="K121" i="58"/>
  <c r="O121" i="58" s="1"/>
  <c r="W121" i="58" s="1"/>
  <c r="AA121" i="58" s="1"/>
  <c r="Q38" i="64"/>
  <c r="U38" i="64" s="1"/>
  <c r="BI38" i="64"/>
  <c r="I35" i="125" s="1"/>
  <c r="W10" i="64"/>
  <c r="Z134" i="57"/>
  <c r="K100" i="58"/>
  <c r="O100" i="58" s="1"/>
  <c r="W100" i="58" s="1"/>
  <c r="T43" i="64"/>
  <c r="X43" i="64" s="1"/>
  <c r="J79" i="58"/>
  <c r="N79" i="58" s="1"/>
  <c r="V79" i="58" s="1"/>
  <c r="V129" i="58"/>
  <c r="AA128" i="57"/>
  <c r="AE128" i="57" s="1"/>
  <c r="Z73" i="57"/>
  <c r="AD73" i="57" s="1"/>
  <c r="Q100" i="58"/>
  <c r="Y100" i="58" s="1"/>
  <c r="AD27" i="57"/>
  <c r="K37" i="58"/>
  <c r="O37" i="58" s="1"/>
  <c r="W37" i="58" s="1"/>
  <c r="P26" i="58"/>
  <c r="J102" i="58"/>
  <c r="N102" i="58" s="1"/>
  <c r="BI39" i="64"/>
  <c r="I36" i="125" s="1"/>
  <c r="AA134" i="57"/>
  <c r="AE134" i="57" s="1"/>
  <c r="AB20" i="82"/>
  <c r="AA142" i="57"/>
  <c r="AG15" i="57"/>
  <c r="J110" i="58"/>
  <c r="K49" i="58"/>
  <c r="O49" i="58" s="1"/>
  <c r="W49" i="58" s="1"/>
  <c r="K107" i="58"/>
  <c r="O107" i="58" s="1"/>
  <c r="K96" i="58"/>
  <c r="O96" i="58" s="1"/>
  <c r="W96" i="58" s="1"/>
  <c r="AD79" i="57"/>
  <c r="T53" i="64"/>
  <c r="X53" i="64" s="1"/>
  <c r="Z13" i="57"/>
  <c r="R9" i="64" s="1"/>
  <c r="V9" i="64" s="1"/>
  <c r="AA133" i="57"/>
  <c r="AE133" i="57" s="1"/>
  <c r="AG16" i="57"/>
  <c r="AE55" i="57"/>
  <c r="AA139" i="57"/>
  <c r="AE139" i="57" s="1"/>
  <c r="BH61" i="64"/>
  <c r="H58" i="125" s="1"/>
  <c r="AB109" i="57"/>
  <c r="T58" i="64" s="1"/>
  <c r="X58" i="64" s="1"/>
  <c r="AF119" i="57"/>
  <c r="AD119" i="57"/>
  <c r="L60" i="58"/>
  <c r="AG11" i="57"/>
  <c r="AE114" i="57"/>
  <c r="AF100" i="57"/>
  <c r="X11" i="64"/>
  <c r="AC68" i="58"/>
  <c r="K48" i="58"/>
  <c r="O48" i="58" s="1"/>
  <c r="W48" i="58" s="1"/>
  <c r="AC79" i="57"/>
  <c r="AG79" i="57" s="1"/>
  <c r="T59" i="64"/>
  <c r="X59" i="64" s="1"/>
  <c r="Z121" i="57"/>
  <c r="AD121" i="57" s="1"/>
  <c r="AA128" i="58"/>
  <c r="AG110" i="57"/>
  <c r="AG71" i="57"/>
  <c r="Z25" i="82"/>
  <c r="BH26" i="64"/>
  <c r="H23" i="125" s="1"/>
  <c r="AF12" i="57"/>
  <c r="AE39" i="57"/>
  <c r="AG59" i="57"/>
  <c r="AA86" i="57"/>
  <c r="AE86" i="57" s="1"/>
  <c r="AF90" i="57"/>
  <c r="AB27" i="82"/>
  <c r="K69" i="58"/>
  <c r="O69" i="58" s="1"/>
  <c r="AA14" i="57"/>
  <c r="Z9" i="57"/>
  <c r="R6" i="64" s="1"/>
  <c r="V6" i="64" s="1"/>
  <c r="X8" i="64"/>
  <c r="W19" i="64"/>
  <c r="L58" i="58"/>
  <c r="P58" i="58" s="1"/>
  <c r="Z7" i="82"/>
  <c r="BH8" i="64"/>
  <c r="H5" i="125" s="1"/>
  <c r="W39" i="64"/>
  <c r="BI49" i="64"/>
  <c r="I46" i="125" s="1"/>
  <c r="AG97" i="57"/>
  <c r="AE62" i="57"/>
  <c r="S6" i="64"/>
  <c r="W6" i="64" s="1"/>
  <c r="X33" i="64"/>
  <c r="AG88" i="57"/>
  <c r="K57" i="58"/>
  <c r="O57" i="58" s="1"/>
  <c r="W57" i="58" s="1"/>
  <c r="J39" i="58"/>
  <c r="N39" i="58" s="1"/>
  <c r="O55" i="58"/>
  <c r="W55" i="58" s="1"/>
  <c r="V37" i="64"/>
  <c r="K81" i="58"/>
  <c r="O81" i="58" s="1"/>
  <c r="W81" i="58" s="1"/>
  <c r="AC81" i="58" s="1"/>
  <c r="AA97" i="57"/>
  <c r="AE97" i="57" s="1"/>
  <c r="AD15" i="57"/>
  <c r="AE74" i="57"/>
  <c r="AG119" i="57"/>
  <c r="Q47" i="58"/>
  <c r="Y47" i="58" s="1"/>
  <c r="AD80" i="57"/>
  <c r="Q86" i="58"/>
  <c r="Y86" i="58" s="1"/>
  <c r="AF9" i="57"/>
  <c r="Z39" i="82"/>
  <c r="Q49" i="58"/>
  <c r="Y49" i="58" s="1"/>
  <c r="Y55" i="58"/>
  <c r="V33" i="64"/>
  <c r="AC128" i="58"/>
  <c r="W49" i="64"/>
  <c r="AG48" i="57"/>
  <c r="W33" i="64"/>
  <c r="BG8" i="64"/>
  <c r="G5" i="125" s="1"/>
  <c r="Y7" i="82"/>
  <c r="AA48" i="57"/>
  <c r="AE48" i="57" s="1"/>
  <c r="BH60" i="64"/>
  <c r="H57" i="125" s="1"/>
  <c r="AF98" i="57"/>
  <c r="W20" i="64"/>
  <c r="AA32" i="82"/>
  <c r="BI33" i="64"/>
  <c r="I30" i="125" s="1"/>
  <c r="BG33" i="64"/>
  <c r="G30" i="125" s="1"/>
  <c r="Y32" i="82"/>
  <c r="BJ61" i="64"/>
  <c r="J58" i="125" s="1"/>
  <c r="AB60" i="82"/>
  <c r="AD113" i="57"/>
  <c r="AB57" i="82"/>
  <c r="BJ58" i="64"/>
  <c r="J55" i="125" s="1"/>
  <c r="AG143" i="57"/>
  <c r="AE129" i="57"/>
  <c r="Z32" i="82"/>
  <c r="BH33" i="64"/>
  <c r="H30" i="125" s="1"/>
  <c r="T21" i="64"/>
  <c r="X21" i="64" s="1"/>
  <c r="T20" i="64"/>
  <c r="X20" i="64" s="1"/>
  <c r="X22" i="64"/>
  <c r="AF55" i="57"/>
  <c r="AG144" i="57"/>
  <c r="AG124" i="57"/>
  <c r="Y90" i="58"/>
  <c r="AA124" i="58"/>
  <c r="Z21" i="57"/>
  <c r="AD21" i="57" s="1"/>
  <c r="AG145" i="57"/>
  <c r="AG27" i="57"/>
  <c r="S21" i="64"/>
  <c r="W21" i="64" s="1"/>
  <c r="N109" i="58"/>
  <c r="AD118" i="57"/>
  <c r="AG29" i="57"/>
  <c r="AG86" i="57"/>
  <c r="W127" i="58"/>
  <c r="AF106" i="57"/>
  <c r="Y127" i="58"/>
  <c r="AG133" i="57"/>
  <c r="BH62" i="64"/>
  <c r="H59" i="125" s="1"/>
  <c r="AE15" i="57"/>
  <c r="Z106" i="57"/>
  <c r="AD106" i="57" s="1"/>
  <c r="AE123" i="57"/>
  <c r="AG132" i="57"/>
  <c r="V41" i="58"/>
  <c r="X44" i="64"/>
  <c r="J19" i="58"/>
  <c r="N19" i="58" s="1"/>
  <c r="Z41" i="82"/>
  <c r="AF124" i="57"/>
  <c r="X124" i="58"/>
  <c r="J90" i="58"/>
  <c r="N90" i="58" s="1"/>
  <c r="BH44" i="64"/>
  <c r="H41" i="125" s="1"/>
  <c r="Q75" i="58"/>
  <c r="Y75" i="58" s="1"/>
  <c r="AE140" i="57"/>
  <c r="AG130" i="57"/>
  <c r="H6" i="64"/>
  <c r="L6" i="64" s="1"/>
  <c r="J54" i="58"/>
  <c r="N54" i="58" s="1"/>
  <c r="AQ8" i="50"/>
  <c r="Z55" i="82"/>
  <c r="T64" i="64"/>
  <c r="X64" i="64" s="1"/>
  <c r="AF126" i="57"/>
  <c r="AD126" i="57"/>
  <c r="AD123" i="57"/>
  <c r="AC124" i="58"/>
  <c r="S53" i="64"/>
  <c r="W53" i="64" s="1"/>
  <c r="W44" i="64"/>
  <c r="AF123" i="57"/>
  <c r="Z98" i="57"/>
  <c r="AD98" i="57" s="1"/>
  <c r="N108" i="58"/>
  <c r="AE138" i="57"/>
  <c r="O112" i="58"/>
  <c r="W112" i="58" s="1"/>
  <c r="J103" i="58"/>
  <c r="N103" i="58" s="1"/>
  <c r="AB57" i="57"/>
  <c r="AF57" i="57" s="1"/>
  <c r="Q106" i="58"/>
  <c r="Y106" i="58" s="1"/>
  <c r="AA51" i="82"/>
  <c r="AE120" i="57"/>
  <c r="AE9" i="57"/>
  <c r="AE77" i="57"/>
  <c r="AG138" i="57"/>
  <c r="AA99" i="57"/>
  <c r="Q53" i="64" s="1"/>
  <c r="U53" i="64" s="1"/>
  <c r="AE131" i="57"/>
  <c r="AG123" i="57"/>
  <c r="AG137" i="57"/>
  <c r="AG98" i="57"/>
  <c r="X38" i="64"/>
  <c r="AG127" i="57"/>
  <c r="Z17" i="82"/>
  <c r="AG14" i="57"/>
  <c r="AD134" i="57"/>
  <c r="AG139" i="57"/>
  <c r="AG125" i="57"/>
  <c r="AG126" i="57"/>
  <c r="AF125" i="57"/>
  <c r="AG99" i="57"/>
  <c r="AG141" i="57"/>
  <c r="AG122" i="57"/>
  <c r="J50" i="58"/>
  <c r="N50" i="58" s="1"/>
  <c r="X52" i="64"/>
  <c r="AF134" i="57"/>
  <c r="N98" i="58"/>
  <c r="AD120" i="57"/>
  <c r="O140" i="58"/>
  <c r="W140" i="58" s="1"/>
  <c r="BI26" i="64"/>
  <c r="I23" i="125" s="1"/>
  <c r="AD86" i="57"/>
  <c r="AD128" i="57"/>
  <c r="N137" i="58"/>
  <c r="AD141" i="57"/>
  <c r="N112" i="58"/>
  <c r="AD143" i="57"/>
  <c r="AF143" i="57"/>
  <c r="N142" i="58"/>
  <c r="N140" i="58"/>
  <c r="AG135" i="57"/>
  <c r="J106" i="58"/>
  <c r="N106" i="58" s="1"/>
  <c r="Z112" i="57"/>
  <c r="AD112" i="57" s="1"/>
  <c r="AG136" i="57"/>
  <c r="AF140" i="57"/>
  <c r="N135" i="58"/>
  <c r="AD142" i="57"/>
  <c r="M112" i="58"/>
  <c r="Q112" i="58" s="1"/>
  <c r="Y112" i="58" s="1"/>
  <c r="AC118" i="57"/>
  <c r="S62" i="64" s="1"/>
  <c r="W62" i="64" s="1"/>
  <c r="M101" i="58"/>
  <c r="Q101" i="58" s="1"/>
  <c r="Y101" i="58" s="1"/>
  <c r="AE126" i="57"/>
  <c r="N132" i="58"/>
  <c r="N139" i="58"/>
  <c r="L106" i="58"/>
  <c r="P106" i="58" s="1"/>
  <c r="AB112" i="57"/>
  <c r="L119" i="58"/>
  <c r="P119" i="58" s="1"/>
  <c r="V109" i="58"/>
  <c r="N145" i="58"/>
  <c r="AF142" i="57"/>
  <c r="AD125" i="57"/>
  <c r="X13" i="58"/>
  <c r="P111" i="58"/>
  <c r="BJ65" i="64"/>
  <c r="J62" i="125" s="1"/>
  <c r="AB64" i="82"/>
  <c r="N136" i="58"/>
  <c r="AF141" i="57"/>
  <c r="O106" i="58"/>
  <c r="W106" i="58" s="1"/>
  <c r="AF122" i="57"/>
  <c r="N133" i="58"/>
  <c r="AE144" i="57"/>
  <c r="N138" i="58"/>
  <c r="AD131" i="57"/>
  <c r="Q69" i="58"/>
  <c r="Y69" i="58" s="1"/>
  <c r="BI10" i="64"/>
  <c r="I7" i="125" s="1"/>
  <c r="AA9" i="82"/>
  <c r="AF127" i="57"/>
  <c r="N113" i="58"/>
  <c r="AG129" i="57"/>
  <c r="S60" i="64"/>
  <c r="W60" i="64" s="1"/>
  <c r="Y63" i="82"/>
  <c r="BG64" i="64"/>
  <c r="G61" i="125" s="1"/>
  <c r="N141" i="58"/>
  <c r="O141" i="58"/>
  <c r="W141" i="58" s="1"/>
  <c r="Y141" i="58"/>
  <c r="AG128" i="57"/>
  <c r="Y134" i="58"/>
  <c r="O134" i="58"/>
  <c r="W134" i="58" s="1"/>
  <c r="BH65" i="64"/>
  <c r="H62" i="125" s="1"/>
  <c r="Z64" i="82"/>
  <c r="Y135" i="58"/>
  <c r="O135" i="58"/>
  <c r="W135" i="58" s="1"/>
  <c r="AD122" i="57"/>
  <c r="AE125" i="57"/>
  <c r="AD127" i="57"/>
  <c r="AF128" i="57"/>
  <c r="AG131" i="57"/>
  <c r="AF121" i="57"/>
  <c r="AE141" i="57"/>
  <c r="O104" i="58"/>
  <c r="W104" i="58" s="1"/>
  <c r="AG121" i="57"/>
  <c r="N144" i="58"/>
  <c r="BG65" i="64"/>
  <c r="G62" i="125" s="1"/>
  <c r="Y64" i="82"/>
  <c r="AG140" i="57"/>
  <c r="O142" i="58"/>
  <c r="W142" i="58" s="1"/>
  <c r="Y142" i="58"/>
  <c r="AG142" i="57"/>
  <c r="AF131" i="57"/>
  <c r="AE124" i="57"/>
  <c r="AF120" i="57"/>
  <c r="Q111" i="58"/>
  <c r="Y111" i="58" s="1"/>
  <c r="BI65" i="64"/>
  <c r="I62" i="125" s="1"/>
  <c r="AA64" i="82"/>
  <c r="Y143" i="58"/>
  <c r="AG134" i="57"/>
  <c r="Z49" i="57"/>
  <c r="AD49" i="57" s="1"/>
  <c r="X49" i="58"/>
  <c r="X14" i="58"/>
  <c r="V93" i="58"/>
  <c r="X93" i="58"/>
  <c r="V66" i="58"/>
  <c r="X24" i="58"/>
  <c r="X70" i="58"/>
  <c r="V45" i="58"/>
  <c r="V14" i="58"/>
  <c r="V70" i="58"/>
  <c r="X83" i="58"/>
  <c r="P78" i="58"/>
  <c r="K50" i="58"/>
  <c r="O50" i="58" s="1"/>
  <c r="W50" i="58" s="1"/>
  <c r="AA98" i="57"/>
  <c r="AE98" i="57" s="1"/>
  <c r="AG81" i="57"/>
  <c r="AC120" i="58"/>
  <c r="AA120" i="58"/>
  <c r="AG50" i="57"/>
  <c r="AF50" i="57"/>
  <c r="O90" i="58"/>
  <c r="W90" i="58" s="1"/>
  <c r="Q64" i="58"/>
  <c r="Y64" i="58" s="1"/>
  <c r="K23" i="58"/>
  <c r="O23" i="58" s="1"/>
  <c r="W23" i="58" s="1"/>
  <c r="BI47" i="64"/>
  <c r="I44" i="125" s="1"/>
  <c r="J18" i="58"/>
  <c r="N18" i="58" s="1"/>
  <c r="AA78" i="57"/>
  <c r="AE78" i="57" s="1"/>
  <c r="Y31" i="58"/>
  <c r="Q23" i="58"/>
  <c r="Y23" i="58" s="1"/>
  <c r="BH32" i="64"/>
  <c r="H29" i="125" s="1"/>
  <c r="O80" i="58"/>
  <c r="W80" i="58" s="1"/>
  <c r="Q33" i="58"/>
  <c r="Y33" i="58" s="1"/>
  <c r="Q18" i="58"/>
  <c r="Y18" i="58" s="1"/>
  <c r="AB25" i="82"/>
  <c r="AA31" i="82"/>
  <c r="BJ24" i="64"/>
  <c r="J21" i="125" s="1"/>
  <c r="Q51" i="64"/>
  <c r="U51" i="64" s="1"/>
  <c r="BJ26" i="64"/>
  <c r="J23" i="125" s="1"/>
  <c r="Z26" i="57"/>
  <c r="T45" i="64"/>
  <c r="X45" i="64" s="1"/>
  <c r="AA129" i="58"/>
  <c r="AG60" i="57"/>
  <c r="P87" i="58"/>
  <c r="Y43" i="58"/>
  <c r="S37" i="64"/>
  <c r="W37" i="64" s="1"/>
  <c r="Y17" i="58"/>
  <c r="T42" i="64"/>
  <c r="X42" i="64" s="1"/>
  <c r="J87" i="58"/>
  <c r="N87" i="58" s="1"/>
  <c r="Z84" i="57"/>
  <c r="AD84" i="57" s="1"/>
  <c r="Q57" i="64"/>
  <c r="U57" i="64" s="1"/>
  <c r="AC42" i="58"/>
  <c r="AA27" i="82"/>
  <c r="Y80" i="58"/>
  <c r="T41" i="64"/>
  <c r="X41" i="64" s="1"/>
  <c r="W78" i="58"/>
  <c r="BI28" i="64"/>
  <c r="I25" i="125" s="1"/>
  <c r="BJ27" i="64"/>
  <c r="J24" i="125" s="1"/>
  <c r="P34" i="58"/>
  <c r="AC129" i="58"/>
  <c r="BH29" i="64"/>
  <c r="H26" i="125" s="1"/>
  <c r="Y28" i="82"/>
  <c r="AF36" i="57"/>
  <c r="P18" i="58"/>
  <c r="AB42" i="82"/>
  <c r="P36" i="58"/>
  <c r="Q28" i="64"/>
  <c r="U28" i="64" s="1"/>
  <c r="P59" i="58"/>
  <c r="P46" i="58"/>
  <c r="X46" i="58" s="1"/>
  <c r="AB83" i="57"/>
  <c r="AF83" i="57" s="1"/>
  <c r="T25" i="64"/>
  <c r="X25" i="64" s="1"/>
  <c r="AB14" i="82"/>
  <c r="AF54" i="57"/>
  <c r="AD54" i="57"/>
  <c r="AB51" i="82"/>
  <c r="P50" i="58"/>
  <c r="BJ52" i="64"/>
  <c r="J49" i="125" s="1"/>
  <c r="X120" i="58"/>
  <c r="J58" i="58"/>
  <c r="N58" i="58" s="1"/>
  <c r="V58" i="58" s="1"/>
  <c r="J128" i="58"/>
  <c r="Z93" i="57"/>
  <c r="AD93" i="57" s="1"/>
  <c r="J126" i="58"/>
  <c r="N126" i="58" s="1"/>
  <c r="K21" i="58"/>
  <c r="O21" i="58" s="1"/>
  <c r="W21" i="58" s="1"/>
  <c r="Y95" i="58"/>
  <c r="AB47" i="82"/>
  <c r="BJ48" i="64"/>
  <c r="J45" i="125" s="1"/>
  <c r="V120" i="58"/>
  <c r="AA79" i="58"/>
  <c r="K94" i="58"/>
  <c r="O94" i="58" s="1"/>
  <c r="W94" i="58" s="1"/>
  <c r="K125" i="58"/>
  <c r="J32" i="58"/>
  <c r="N32" i="58" s="1"/>
  <c r="S29" i="64"/>
  <c r="W29" i="64" s="1"/>
  <c r="AA81" i="57"/>
  <c r="AE81" i="57" s="1"/>
  <c r="AF26" i="57"/>
  <c r="AA102" i="57"/>
  <c r="AE102" i="57" s="1"/>
  <c r="K130" i="58"/>
  <c r="O126" i="58"/>
  <c r="W126" i="58" s="1"/>
  <c r="Y126" i="58"/>
  <c r="R49" i="64"/>
  <c r="V49" i="64" s="1"/>
  <c r="O56" i="58"/>
  <c r="W56" i="58" s="1"/>
  <c r="J115" i="58"/>
  <c r="N115" i="58" s="1"/>
  <c r="J65" i="58"/>
  <c r="N65" i="58" s="1"/>
  <c r="Y56" i="82"/>
  <c r="J94" i="58"/>
  <c r="N94" i="58" s="1"/>
  <c r="J125" i="58"/>
  <c r="J59" i="58"/>
  <c r="N59" i="58" s="1"/>
  <c r="J130" i="58"/>
  <c r="J36" i="58"/>
  <c r="N36" i="58" s="1"/>
  <c r="J122" i="58"/>
  <c r="R16" i="64"/>
  <c r="V16" i="64" s="1"/>
  <c r="J64" i="58"/>
  <c r="N64" i="58" s="1"/>
  <c r="AF48" i="57"/>
  <c r="K19" i="58"/>
  <c r="O19" i="58" s="1"/>
  <c r="W19" i="58" s="1"/>
  <c r="R21" i="64"/>
  <c r="V21" i="64" s="1"/>
  <c r="K36" i="58"/>
  <c r="O36" i="58" s="1"/>
  <c r="W36" i="58" s="1"/>
  <c r="K122" i="58"/>
  <c r="Z47" i="57"/>
  <c r="AD47" i="57" s="1"/>
  <c r="K32" i="58"/>
  <c r="O32" i="58" s="1"/>
  <c r="W32" i="58" s="1"/>
  <c r="W44" i="58"/>
  <c r="Q36" i="64"/>
  <c r="U36" i="64" s="1"/>
  <c r="S15" i="64"/>
  <c r="W15" i="64" s="1"/>
  <c r="T46" i="64"/>
  <c r="X46" i="64" s="1"/>
  <c r="AA29" i="82"/>
  <c r="AA30" i="82"/>
  <c r="Q19" i="58"/>
  <c r="Y19" i="58" s="1"/>
  <c r="Q21" i="58"/>
  <c r="Y21" i="58" s="1"/>
  <c r="O71" i="58"/>
  <c r="W71" i="58" s="1"/>
  <c r="P16" i="58"/>
  <c r="Y42" i="82"/>
  <c r="P85" i="58"/>
  <c r="X85" i="58" s="1"/>
  <c r="W33" i="58"/>
  <c r="P21" i="58"/>
  <c r="Y39" i="82"/>
  <c r="P40" i="58"/>
  <c r="BJ45" i="64"/>
  <c r="J42" i="125" s="1"/>
  <c r="AA42" i="58"/>
  <c r="Y71" i="58"/>
  <c r="Y72" i="58"/>
  <c r="BJ14" i="64"/>
  <c r="J11" i="125" s="1"/>
  <c r="BG32" i="64"/>
  <c r="G29" i="125" s="1"/>
  <c r="Y57" i="58"/>
  <c r="P88" i="58"/>
  <c r="AB45" i="82"/>
  <c r="Q87" i="58"/>
  <c r="Y87" i="58" s="1"/>
  <c r="P86" i="58"/>
  <c r="O15" i="58"/>
  <c r="Y15" i="58"/>
  <c r="W15" i="58"/>
  <c r="K53" i="58"/>
  <c r="O53" i="58" s="1"/>
  <c r="W53" i="58" s="1"/>
  <c r="K16" i="58"/>
  <c r="O16" i="58" s="1"/>
  <c r="W16" i="58" s="1"/>
  <c r="T27" i="64"/>
  <c r="X27" i="64" s="1"/>
  <c r="T26" i="64"/>
  <c r="X26" i="64" s="1"/>
  <c r="AF96" i="57"/>
  <c r="Q49" i="64"/>
  <c r="U49" i="64" s="1"/>
  <c r="S48" i="64"/>
  <c r="W48" i="64" s="1"/>
  <c r="R26" i="64"/>
  <c r="V26" i="64" s="1"/>
  <c r="K63" i="58"/>
  <c r="O63" i="58" s="1"/>
  <c r="W63" i="58" s="1"/>
  <c r="N57" i="58"/>
  <c r="O31" i="58"/>
  <c r="W31" i="58" s="1"/>
  <c r="O51" i="58"/>
  <c r="W51" i="58" s="1"/>
  <c r="Y92" i="58"/>
  <c r="X35" i="64"/>
  <c r="BI14" i="64"/>
  <c r="I11" i="125" s="1"/>
  <c r="Y25" i="82"/>
  <c r="BG26" i="64"/>
  <c r="G23" i="125" s="1"/>
  <c r="J17" i="58"/>
  <c r="N17" i="58" s="1"/>
  <c r="J15" i="58"/>
  <c r="P91" i="58"/>
  <c r="X91" i="58" s="1"/>
  <c r="BJ42" i="64"/>
  <c r="J39" i="125" s="1"/>
  <c r="AB41" i="82"/>
  <c r="Y48" i="82"/>
  <c r="S50" i="64"/>
  <c r="W50" i="64" s="1"/>
  <c r="J37" i="58"/>
  <c r="N37" i="58" s="1"/>
  <c r="J35" i="58"/>
  <c r="AE65" i="57"/>
  <c r="BG50" i="64"/>
  <c r="G47" i="125" s="1"/>
  <c r="AB30" i="82"/>
  <c r="S31" i="64"/>
  <c r="W31" i="64" s="1"/>
  <c r="S45" i="64"/>
  <c r="W45" i="64" s="1"/>
  <c r="K72" i="58"/>
  <c r="O72" i="58" s="1"/>
  <c r="W72" i="58" s="1"/>
  <c r="S40" i="64"/>
  <c r="W40" i="64" s="1"/>
  <c r="T14" i="64"/>
  <c r="X14" i="64" s="1"/>
  <c r="T13" i="64"/>
  <c r="T31" i="64"/>
  <c r="X31" i="64" s="1"/>
  <c r="Q47" i="64"/>
  <c r="U47" i="64" s="1"/>
  <c r="BH30" i="64"/>
  <c r="H27" i="125" s="1"/>
  <c r="P79" i="58"/>
  <c r="X79" i="58" s="1"/>
  <c r="O86" i="58"/>
  <c r="W86" i="58" s="1"/>
  <c r="S34" i="64"/>
  <c r="W34" i="64" s="1"/>
  <c r="Y29" i="82"/>
  <c r="Z30" i="82"/>
  <c r="T15" i="64"/>
  <c r="X15" i="64" s="1"/>
  <c r="O87" i="58"/>
  <c r="W87" i="58" s="1"/>
  <c r="T32" i="64"/>
  <c r="X32" i="64" s="1"/>
  <c r="R40" i="64"/>
  <c r="V40" i="64" s="1"/>
  <c r="P82" i="58"/>
  <c r="X82" i="58" s="1"/>
  <c r="Y16" i="82"/>
  <c r="AF44" i="57"/>
  <c r="J78" i="58"/>
  <c r="Z36" i="57"/>
  <c r="AD36" i="57" s="1"/>
  <c r="K52" i="58"/>
  <c r="O52" i="58" s="1"/>
  <c r="W52" i="58" s="1"/>
  <c r="K91" i="58"/>
  <c r="O91" i="58" s="1"/>
  <c r="W91" i="58" s="1"/>
  <c r="AA22" i="58"/>
  <c r="N21" i="58"/>
  <c r="AF84" i="57"/>
  <c r="Q16" i="58"/>
  <c r="Y16" i="58" s="1"/>
  <c r="S25" i="64"/>
  <c r="W25" i="64" s="1"/>
  <c r="W13" i="64"/>
  <c r="J72" i="58"/>
  <c r="N72" i="58" s="1"/>
  <c r="J75" i="58"/>
  <c r="N75" i="58" s="1"/>
  <c r="L29" i="58"/>
  <c r="P29" i="58" s="1"/>
  <c r="L27" i="58"/>
  <c r="P27" i="58" s="1"/>
  <c r="S30" i="64"/>
  <c r="W30" i="64" s="1"/>
  <c r="J38" i="58"/>
  <c r="N38" i="58" s="1"/>
  <c r="J96" i="58"/>
  <c r="N96" i="58" s="1"/>
  <c r="Z96" i="57"/>
  <c r="AD96" i="57" s="1"/>
  <c r="W83" i="58"/>
  <c r="Z71" i="57"/>
  <c r="AD71" i="57" s="1"/>
  <c r="AA67" i="57"/>
  <c r="Q43" i="64" s="1"/>
  <c r="U43" i="64" s="1"/>
  <c r="Z85" i="57"/>
  <c r="AD85" i="57" s="1"/>
  <c r="Z44" i="57"/>
  <c r="AD44" i="57" s="1"/>
  <c r="O115" i="58"/>
  <c r="W115" i="58" s="1"/>
  <c r="AA22" i="57"/>
  <c r="AE22" i="57" s="1"/>
  <c r="AA63" i="57"/>
  <c r="Q41" i="64" s="1"/>
  <c r="U41" i="64" s="1"/>
  <c r="AC14" i="58"/>
  <c r="AG78" i="57"/>
  <c r="AF72" i="57"/>
  <c r="AF35" i="57"/>
  <c r="AF73" i="57"/>
  <c r="AE107" i="57"/>
  <c r="AG38" i="57"/>
  <c r="BI43" i="64"/>
  <c r="I40" i="125" s="1"/>
  <c r="AA93" i="58"/>
  <c r="AC93" i="58"/>
  <c r="Q36" i="58"/>
  <c r="Y36" i="58" s="1"/>
  <c r="X16" i="64"/>
  <c r="AG67" i="57"/>
  <c r="AF19" i="57"/>
  <c r="AE70" i="57"/>
  <c r="AE90" i="57"/>
  <c r="Z64" i="57"/>
  <c r="AD64" i="57" s="1"/>
  <c r="AG18" i="57"/>
  <c r="AE29" i="57"/>
  <c r="AF93" i="57"/>
  <c r="J95" i="58"/>
  <c r="N95" i="58" s="1"/>
  <c r="AF22" i="57"/>
  <c r="AE53" i="57"/>
  <c r="AF81" i="57"/>
  <c r="AF43" i="57"/>
  <c r="J76" i="58"/>
  <c r="N76" i="58" s="1"/>
  <c r="AE91" i="57"/>
  <c r="AE75" i="57"/>
  <c r="AG87" i="57"/>
  <c r="O29" i="58"/>
  <c r="W29" i="58" s="1"/>
  <c r="AE47" i="57"/>
  <c r="Z95" i="57"/>
  <c r="AE73" i="57"/>
  <c r="Z51" i="57"/>
  <c r="R36" i="64" s="1"/>
  <c r="V36" i="64" s="1"/>
  <c r="AD45" i="57"/>
  <c r="AE51" i="57"/>
  <c r="Z102" i="57"/>
  <c r="AD102" i="57" s="1"/>
  <c r="AD57" i="57"/>
  <c r="Z65" i="57"/>
  <c r="AD65" i="57" s="1"/>
  <c r="Z41" i="57"/>
  <c r="J99" i="58"/>
  <c r="N99" i="58" s="1"/>
  <c r="AD78" i="57"/>
  <c r="AF74" i="57"/>
  <c r="AF103" i="57"/>
  <c r="AE50" i="57"/>
  <c r="AA14" i="58"/>
  <c r="AF69" i="57"/>
  <c r="AG32" i="57"/>
  <c r="AD109" i="57"/>
  <c r="AA41" i="57"/>
  <c r="AG49" i="57"/>
  <c r="AG42" i="57"/>
  <c r="AF85" i="57"/>
  <c r="AD19" i="57"/>
  <c r="AF95" i="57"/>
  <c r="AD116" i="57"/>
  <c r="AA17" i="57"/>
  <c r="AB46" i="57"/>
  <c r="AF46" i="57" s="1"/>
  <c r="X63" i="64"/>
  <c r="AF71" i="57"/>
  <c r="AD94" i="57"/>
  <c r="AE85" i="57"/>
  <c r="AD90" i="57"/>
  <c r="Z92" i="57"/>
  <c r="AD92" i="57" s="1"/>
  <c r="K59" i="58"/>
  <c r="O59" i="58" s="1"/>
  <c r="W59" i="58" s="1"/>
  <c r="Y115" i="58"/>
  <c r="Z76" i="57"/>
  <c r="AF105" i="57"/>
  <c r="AG41" i="57"/>
  <c r="AF47" i="57"/>
  <c r="AA46" i="57"/>
  <c r="AE46" i="57" s="1"/>
  <c r="AA113" i="57"/>
  <c r="Z22" i="57"/>
  <c r="AD22" i="57" s="1"/>
  <c r="AE103" i="57"/>
  <c r="AC79" i="58"/>
  <c r="AE37" i="57"/>
  <c r="AA42" i="57"/>
  <c r="AA43" i="57"/>
  <c r="Q32" i="64" s="1"/>
  <c r="U32" i="64" s="1"/>
  <c r="AG40" i="57"/>
  <c r="AD58" i="57"/>
  <c r="AF102" i="57"/>
  <c r="AD82" i="57"/>
  <c r="AE104" i="57"/>
  <c r="AG21" i="57"/>
  <c r="AG54" i="57"/>
  <c r="AF18" i="57"/>
  <c r="AA64" i="57"/>
  <c r="AE64" i="57" s="1"/>
  <c r="AG91" i="57"/>
  <c r="AF67" i="57"/>
  <c r="AG76" i="57"/>
  <c r="AA56" i="57"/>
  <c r="AE56" i="57" s="1"/>
  <c r="R10" i="64"/>
  <c r="V10" i="64" s="1"/>
  <c r="Z32" i="57"/>
  <c r="AD32" i="57" s="1"/>
  <c r="AD42" i="57"/>
  <c r="AE60" i="57"/>
  <c r="U7" i="64"/>
  <c r="AD35" i="57"/>
  <c r="AF17" i="57"/>
  <c r="AD104" i="57"/>
  <c r="AG46" i="57"/>
  <c r="AE82" i="57"/>
  <c r="Z67" i="57"/>
  <c r="AD67" i="57" s="1"/>
  <c r="Z18" i="57"/>
  <c r="W7" i="64"/>
  <c r="AG105" i="57"/>
  <c r="AF32" i="57"/>
  <c r="AF25" i="57"/>
  <c r="AF42" i="57"/>
  <c r="AG102" i="57"/>
  <c r="AA92" i="57"/>
  <c r="AE92" i="57" s="1"/>
  <c r="AC22" i="58"/>
  <c r="AD105" i="57"/>
  <c r="K17" i="58"/>
  <c r="O17" i="58" s="1"/>
  <c r="W17" i="58" s="1"/>
  <c r="AA40" i="57"/>
  <c r="AE83" i="57"/>
  <c r="AG64" i="57"/>
  <c r="AG25" i="57"/>
  <c r="AA84" i="58"/>
  <c r="AF78" i="57"/>
  <c r="AF65" i="57"/>
  <c r="J73" i="58"/>
  <c r="N73" i="58" s="1"/>
  <c r="AF92" i="57"/>
  <c r="AE88" i="57"/>
  <c r="Z97" i="57"/>
  <c r="AD97" i="57" s="1"/>
  <c r="AF21" i="57"/>
  <c r="AE76" i="57"/>
  <c r="J23" i="58"/>
  <c r="N23" i="58" s="1"/>
  <c r="Z43" i="57"/>
  <c r="R31" i="64" s="1"/>
  <c r="V31" i="64" s="1"/>
  <c r="Z40" i="57"/>
  <c r="AD40" i="57" s="1"/>
  <c r="AG77" i="57"/>
  <c r="AF51" i="57"/>
  <c r="AA21" i="57"/>
  <c r="AE21" i="57" s="1"/>
  <c r="AG69" i="57"/>
  <c r="AF62" i="57"/>
  <c r="K35" i="58"/>
  <c r="O35" i="58" s="1"/>
  <c r="W35" i="58" s="1"/>
  <c r="AA49" i="57"/>
  <c r="AE49" i="57" s="1"/>
  <c r="AG82" i="57"/>
  <c r="AF45" i="57"/>
  <c r="K75" i="58"/>
  <c r="O75" i="58" s="1"/>
  <c r="W75" i="58" s="1"/>
  <c r="V4" i="57"/>
  <c r="V3" i="57" s="1"/>
  <c r="O42" i="64"/>
  <c r="M34" i="58"/>
  <c r="Q34" i="58" s="1"/>
  <c r="Y34" i="58" s="1"/>
  <c r="AC35" i="57"/>
  <c r="K77" i="58"/>
  <c r="O77" i="58" s="1"/>
  <c r="W77" i="58" s="1"/>
  <c r="AA34" i="57"/>
  <c r="K118" i="58"/>
  <c r="O118" i="58" s="1"/>
  <c r="W118" i="58" s="1"/>
  <c r="AA61" i="57"/>
  <c r="AE61" i="57" s="1"/>
  <c r="Y24" i="82"/>
  <c r="BG25" i="64"/>
  <c r="G22" i="125" s="1"/>
  <c r="Q20" i="58"/>
  <c r="Y20" i="58" s="1"/>
  <c r="K24" i="58"/>
  <c r="O24" i="58" s="1"/>
  <c r="W24" i="58" s="1"/>
  <c r="AA25" i="57"/>
  <c r="K43" i="58"/>
  <c r="O43" i="58" s="1"/>
  <c r="AA54" i="57"/>
  <c r="AE54" i="57" s="1"/>
  <c r="N35" i="64"/>
  <c r="W35" i="64"/>
  <c r="M77" i="58"/>
  <c r="Q77" i="58" s="1"/>
  <c r="Y77" i="58" s="1"/>
  <c r="AC34" i="57"/>
  <c r="M118" i="58"/>
  <c r="Q118" i="58" s="1"/>
  <c r="Y118" i="58" s="1"/>
  <c r="AC61" i="57"/>
  <c r="AG61" i="57" s="1"/>
  <c r="M89" i="58"/>
  <c r="Q89" i="58" s="1"/>
  <c r="Y89" i="58" s="1"/>
  <c r="AC84" i="57"/>
  <c r="AG84" i="57" s="1"/>
  <c r="BG16" i="64"/>
  <c r="G13" i="125" s="1"/>
  <c r="Y15" i="82"/>
  <c r="J97" i="58"/>
  <c r="N97" i="58" s="1"/>
  <c r="Z103" i="57"/>
  <c r="AD103" i="57" s="1"/>
  <c r="AF97" i="57"/>
  <c r="O13" i="64"/>
  <c r="K34" i="58"/>
  <c r="O34" i="58" s="1"/>
  <c r="W34" i="58" s="1"/>
  <c r="AA35" i="57"/>
  <c r="N33" i="58"/>
  <c r="Y43" i="82"/>
  <c r="BG44" i="64"/>
  <c r="G41" i="125" s="1"/>
  <c r="Y38" i="58"/>
  <c r="J29" i="58"/>
  <c r="N29" i="58" s="1"/>
  <c r="Z46" i="57"/>
  <c r="AD46" i="57" s="1"/>
  <c r="J92" i="58"/>
  <c r="Z87" i="57"/>
  <c r="R48" i="64" s="1"/>
  <c r="V48" i="64" s="1"/>
  <c r="L57" i="58"/>
  <c r="P57" i="58" s="1"/>
  <c r="AB60" i="57"/>
  <c r="BG54" i="64"/>
  <c r="G51" i="125" s="1"/>
  <c r="Y53" i="82"/>
  <c r="K67" i="58"/>
  <c r="O67" i="58" s="1"/>
  <c r="AA12" i="57"/>
  <c r="J88" i="58"/>
  <c r="N88" i="58" s="1"/>
  <c r="Z81" i="57"/>
  <c r="AD81" i="57" s="1"/>
  <c r="AA15" i="82"/>
  <c r="BI16" i="64"/>
  <c r="I13" i="125" s="1"/>
  <c r="P81" i="58"/>
  <c r="X81" i="58"/>
  <c r="J30" i="58"/>
  <c r="N30" i="58" s="1"/>
  <c r="Z30" i="57"/>
  <c r="R23" i="64" s="1"/>
  <c r="V23" i="64" s="1"/>
  <c r="K27" i="58"/>
  <c r="O27" i="58" s="1"/>
  <c r="W27" i="58" s="1"/>
  <c r="AA45" i="57"/>
  <c r="Q33" i="64" s="1"/>
  <c r="U33" i="64" s="1"/>
  <c r="M50" i="58"/>
  <c r="Q50" i="58" s="1"/>
  <c r="Y50" i="58" s="1"/>
  <c r="AC89" i="57"/>
  <c r="S52" i="64" s="1"/>
  <c r="W52" i="64" s="1"/>
  <c r="K20" i="58"/>
  <c r="O20" i="58" s="1"/>
  <c r="W20" i="58" s="1"/>
  <c r="AA19" i="57"/>
  <c r="AE57" i="57"/>
  <c r="AE20" i="57"/>
  <c r="AF31" i="57"/>
  <c r="T49" i="64"/>
  <c r="X49" i="64" s="1"/>
  <c r="AG58" i="57"/>
  <c r="Z33" i="82"/>
  <c r="BH34" i="64"/>
  <c r="H31" i="125" s="1"/>
  <c r="N27" i="58"/>
  <c r="K76" i="58"/>
  <c r="O76" i="58" s="1"/>
  <c r="W76" i="58" s="1"/>
  <c r="AA33" i="57"/>
  <c r="AE33" i="57" s="1"/>
  <c r="K18" i="58"/>
  <c r="O18" i="58" s="1"/>
  <c r="W18" i="58" s="1"/>
  <c r="AA18" i="57"/>
  <c r="W47" i="64"/>
  <c r="W43" i="64"/>
  <c r="Y4" i="57"/>
  <c r="Y3" i="57" s="1"/>
  <c r="AG72" i="57"/>
  <c r="AG26" i="57"/>
  <c r="AA72" i="57"/>
  <c r="M67" i="58"/>
  <c r="Q67" i="58" s="1"/>
  <c r="AC12" i="57"/>
  <c r="S8" i="64" s="1"/>
  <c r="W8" i="64" s="1"/>
  <c r="J22" i="58"/>
  <c r="N22" i="58" s="1"/>
  <c r="V22" i="58" s="1"/>
  <c r="Z24" i="57"/>
  <c r="R18" i="64" s="1"/>
  <c r="V18" i="64" s="1"/>
  <c r="N23" i="64"/>
  <c r="AG22" i="57"/>
  <c r="M76" i="58"/>
  <c r="Q76" i="58" s="1"/>
  <c r="Y76" i="58" s="1"/>
  <c r="AC33" i="57"/>
  <c r="AG33" i="57" s="1"/>
  <c r="L17" i="58"/>
  <c r="P17" i="58" s="1"/>
  <c r="AB40" i="57"/>
  <c r="AF82" i="57"/>
  <c r="Q53" i="58"/>
  <c r="Y53" i="58" s="1"/>
  <c r="L84" i="58"/>
  <c r="AB76" i="57"/>
  <c r="AF76" i="57" s="1"/>
  <c r="AC84" i="58"/>
  <c r="AD68" i="57"/>
  <c r="AD28" i="57"/>
  <c r="AD69" i="57"/>
  <c r="L35" i="64"/>
  <c r="U35" i="64"/>
  <c r="L22" i="58"/>
  <c r="P22" i="58" s="1"/>
  <c r="X22" i="58" s="1"/>
  <c r="AB24" i="57"/>
  <c r="T19" i="64" s="1"/>
  <c r="X19" i="64" s="1"/>
  <c r="J118" i="58"/>
  <c r="Z61" i="57"/>
  <c r="AD61" i="57" s="1"/>
  <c r="K40" i="58"/>
  <c r="O40" i="58" s="1"/>
  <c r="W40" i="58" s="1"/>
  <c r="AA69" i="57"/>
  <c r="Q42" i="64" s="1"/>
  <c r="U42" i="64" s="1"/>
  <c r="K92" i="58"/>
  <c r="O92" i="58" s="1"/>
  <c r="W92" i="58" s="1"/>
  <c r="AA87" i="57"/>
  <c r="Q48" i="64" s="1"/>
  <c r="U48" i="64" s="1"/>
  <c r="Y50" i="82"/>
  <c r="BG51" i="64"/>
  <c r="G48" i="125" s="1"/>
  <c r="AF61" i="57"/>
  <c r="AB33" i="82"/>
  <c r="BJ34" i="64"/>
  <c r="J31" i="125" s="1"/>
  <c r="BI54" i="64"/>
  <c r="I51" i="125" s="1"/>
  <c r="Q52" i="58"/>
  <c r="Y52" i="58" s="1"/>
  <c r="AA53" i="82"/>
  <c r="L19" i="58"/>
  <c r="P19" i="58" s="1"/>
  <c r="AB41" i="57"/>
  <c r="T30" i="64" s="1"/>
  <c r="X30" i="64" s="1"/>
  <c r="S38" i="64"/>
  <c r="W38" i="64" s="1"/>
  <c r="L30" i="58"/>
  <c r="P30" i="58" s="1"/>
  <c r="AB30" i="57"/>
  <c r="T24" i="64" s="1"/>
  <c r="X24" i="64" s="1"/>
  <c r="P116" i="58"/>
  <c r="BJ23" i="64"/>
  <c r="J20" i="125" s="1"/>
  <c r="AB22" i="82"/>
  <c r="J24" i="58"/>
  <c r="N24" i="58" s="1"/>
  <c r="Z25" i="57"/>
  <c r="AD25" i="57" s="1"/>
  <c r="J63" i="58"/>
  <c r="N63" i="58" s="1"/>
  <c r="Z62" i="57"/>
  <c r="AD62" i="57" s="1"/>
  <c r="Y44" i="82"/>
  <c r="BG45" i="64"/>
  <c r="G42" i="125" s="1"/>
  <c r="Y29" i="58"/>
  <c r="Q51" i="58"/>
  <c r="Y51" i="58" s="1"/>
  <c r="AA39" i="82"/>
  <c r="BI40" i="64"/>
  <c r="I37" i="125" s="1"/>
  <c r="Q44" i="58"/>
  <c r="Y44" i="58" s="1"/>
  <c r="P72" i="58"/>
  <c r="AA44" i="82"/>
  <c r="BI45" i="64"/>
  <c r="I42" i="125" s="1"/>
  <c r="Q40" i="58"/>
  <c r="Y40" i="58" s="1"/>
  <c r="J16" i="58"/>
  <c r="N16" i="58" s="1"/>
  <c r="Z17" i="57"/>
  <c r="R13" i="64" s="1"/>
  <c r="AF29" i="57"/>
  <c r="AG56" i="57"/>
  <c r="L92" i="58"/>
  <c r="P92" i="58" s="1"/>
  <c r="AB87" i="57"/>
  <c r="T48" i="64" s="1"/>
  <c r="X48" i="64" s="1"/>
  <c r="M30" i="58"/>
  <c r="Q30" i="58" s="1"/>
  <c r="Y30" i="58" s="1"/>
  <c r="AC30" i="57"/>
  <c r="AF75" i="57"/>
  <c r="AA14" i="82"/>
  <c r="K30" i="58"/>
  <c r="O30" i="58" s="1"/>
  <c r="W30" i="58" s="1"/>
  <c r="AA30" i="57"/>
  <c r="Q23" i="64" s="1"/>
  <c r="U23" i="64" s="1"/>
  <c r="BH21" i="64"/>
  <c r="H18" i="125" s="1"/>
  <c r="Z20" i="82"/>
  <c r="K105" i="58"/>
  <c r="AA111" i="57"/>
  <c r="AE111" i="57" s="1"/>
  <c r="AG51" i="57"/>
  <c r="M74" i="58"/>
  <c r="Q74" i="58" s="1"/>
  <c r="Y74" i="58" s="1"/>
  <c r="AC28" i="57"/>
  <c r="S22" i="64" s="1"/>
  <c r="W22" i="64" s="1"/>
  <c r="K89" i="58"/>
  <c r="O89" i="58" s="1"/>
  <c r="W89" i="58" s="1"/>
  <c r="AA84" i="57"/>
  <c r="AE84" i="57" s="1"/>
  <c r="K103" i="58"/>
  <c r="O103" i="58" s="1"/>
  <c r="W103" i="58" s="1"/>
  <c r="AA109" i="57"/>
  <c r="Q58" i="64" s="1"/>
  <c r="U58" i="64" s="1"/>
  <c r="W18" i="64"/>
  <c r="M103" i="58"/>
  <c r="Q103" i="58" s="1"/>
  <c r="Y103" i="58" s="1"/>
  <c r="AC109" i="57"/>
  <c r="P42" i="58"/>
  <c r="X42" i="58" s="1"/>
  <c r="V42" i="58"/>
  <c r="K28" i="58"/>
  <c r="O28" i="58" s="1"/>
  <c r="W28" i="58" s="1"/>
  <c r="AA27" i="57"/>
  <c r="AE27" i="57" s="1"/>
  <c r="J52" i="58"/>
  <c r="N52" i="58" s="1"/>
  <c r="Z91" i="57"/>
  <c r="Q44" i="64"/>
  <c r="U44" i="64" s="1"/>
  <c r="AE68" i="57"/>
  <c r="BH64" i="64"/>
  <c r="H61" i="125" s="1"/>
  <c r="Z63" i="82"/>
  <c r="L52" i="58"/>
  <c r="P52" i="58" s="1"/>
  <c r="AB91" i="57"/>
  <c r="T54" i="64" s="1"/>
  <c r="X54" i="64" s="1"/>
  <c r="AG45" i="57"/>
  <c r="AG62" i="57"/>
  <c r="X4" i="57"/>
  <c r="X3" i="57" s="1"/>
  <c r="AG19" i="57"/>
  <c r="S16" i="64"/>
  <c r="W16" i="64" s="1"/>
  <c r="BI34" i="64"/>
  <c r="I31" i="125" s="1"/>
  <c r="Q27" i="58"/>
  <c r="Y27" i="58" s="1"/>
  <c r="AA33" i="82"/>
  <c r="Q26" i="58"/>
  <c r="Y26" i="58" s="1"/>
  <c r="AA20" i="82"/>
  <c r="BI21" i="64"/>
  <c r="I18" i="125" s="1"/>
  <c r="J55" i="58"/>
  <c r="N55" i="58" s="1"/>
  <c r="Z59" i="57"/>
  <c r="AD59" i="57" s="1"/>
  <c r="BI36" i="64"/>
  <c r="I33" i="125" s="1"/>
  <c r="AA35" i="82"/>
  <c r="Q37" i="58"/>
  <c r="Y37" i="58" s="1"/>
  <c r="Q63" i="58"/>
  <c r="Y63" i="58" s="1"/>
  <c r="W4" i="57"/>
  <c r="W3" i="57" s="1"/>
  <c r="L55" i="58"/>
  <c r="P55" i="58" s="1"/>
  <c r="AB59" i="57"/>
  <c r="AF59" i="57" s="1"/>
  <c r="W73" i="58"/>
  <c r="K26" i="58"/>
  <c r="O26" i="58" s="1"/>
  <c r="W26" i="58" s="1"/>
  <c r="AA26" i="57"/>
  <c r="Q20" i="64" s="1"/>
  <c r="U20" i="64" s="1"/>
  <c r="N42" i="64"/>
  <c r="W42" i="64"/>
  <c r="S32" i="64"/>
  <c r="W32" i="64" s="1"/>
  <c r="AG43" i="57"/>
  <c r="O64" i="58"/>
  <c r="W64" i="58" s="1"/>
  <c r="BG47" i="64"/>
  <c r="G44" i="125" s="1"/>
  <c r="Y46" i="82"/>
  <c r="K74" i="58"/>
  <c r="O74" i="58" s="1"/>
  <c r="W74" i="58" s="1"/>
  <c r="AA28" i="57"/>
  <c r="Q99" i="58"/>
  <c r="Y99" i="58" s="1"/>
  <c r="AD34" i="57"/>
  <c r="X10" i="64"/>
  <c r="AE95" i="57"/>
  <c r="BI15" i="64"/>
  <c r="I12" i="125" s="1"/>
  <c r="W41" i="64"/>
  <c r="AG36" i="57"/>
  <c r="AG63" i="57"/>
  <c r="BH25" i="64"/>
  <c r="H22" i="125" s="1"/>
  <c r="Z24" i="82"/>
  <c r="AF63" i="57"/>
  <c r="Y61" i="58"/>
  <c r="BI41" i="64"/>
  <c r="I38" i="125" s="1"/>
  <c r="Q65" i="58"/>
  <c r="Y65" i="58" s="1"/>
  <c r="AA40" i="82"/>
  <c r="N46" i="64"/>
  <c r="W46" i="64"/>
  <c r="BJ41" i="64"/>
  <c r="J38" i="125" s="1"/>
  <c r="AB40" i="82"/>
  <c r="P65" i="58"/>
  <c r="O41" i="64"/>
  <c r="Q78" i="58"/>
  <c r="AD89" i="57"/>
  <c r="AE23" i="57"/>
  <c r="BH46" i="64"/>
  <c r="H43" i="125" s="1"/>
  <c r="Z45" i="82"/>
  <c r="AE100" i="57"/>
  <c r="AD31" i="57"/>
  <c r="Z15" i="82"/>
  <c r="BH16" i="64"/>
  <c r="H13" i="125" s="1"/>
  <c r="N20" i="58"/>
  <c r="BH41" i="64"/>
  <c r="H38" i="125" s="1"/>
  <c r="Z40" i="82"/>
  <c r="BG41" i="64"/>
  <c r="G38" i="125" s="1"/>
  <c r="Y40" i="82"/>
  <c r="O65" i="58"/>
  <c r="W65" i="58" s="1"/>
  <c r="R63" i="64"/>
  <c r="V63" i="64" s="1"/>
  <c r="AD108" i="57"/>
  <c r="AE89" i="57"/>
  <c r="AD63" i="57"/>
  <c r="AG52" i="57"/>
  <c r="O10" i="58"/>
  <c r="W10" i="58" s="1"/>
  <c r="AG113" i="57"/>
  <c r="N89" i="58"/>
  <c r="BG7" i="64"/>
  <c r="G4" i="125" s="1"/>
  <c r="AA17" i="82"/>
  <c r="Q73" i="58"/>
  <c r="Y73" i="58" s="1"/>
  <c r="BI18" i="64"/>
  <c r="I15" i="125" s="1"/>
  <c r="O45" i="64"/>
  <c r="AG23" i="57"/>
  <c r="L53" i="58"/>
  <c r="P53" i="58" s="1"/>
  <c r="AB56" i="57"/>
  <c r="AF56" i="57" s="1"/>
  <c r="L46" i="64"/>
  <c r="J53" i="58"/>
  <c r="Z56" i="57"/>
  <c r="AD56" i="57" s="1"/>
  <c r="Y10" i="58"/>
  <c r="U18" i="64"/>
  <c r="Y30" i="82"/>
  <c r="BG31" i="64"/>
  <c r="G28" i="125" s="1"/>
  <c r="G5" i="58"/>
  <c r="N12" i="64"/>
  <c r="W12" i="64"/>
  <c r="L43" i="64"/>
  <c r="R12" i="64"/>
  <c r="V12" i="64" s="1"/>
  <c r="AD16" i="57"/>
  <c r="AC70" i="58"/>
  <c r="Q40" i="64"/>
  <c r="U40" i="64" s="1"/>
  <c r="AE58" i="57"/>
  <c r="O57" i="64"/>
  <c r="AA46" i="58"/>
  <c r="AD10" i="57"/>
  <c r="V7" i="64"/>
  <c r="Z6" i="82"/>
  <c r="N10" i="58"/>
  <c r="BH7" i="64"/>
  <c r="L57" i="64"/>
  <c r="AC12" i="58"/>
  <c r="AG31" i="57"/>
  <c r="AG95" i="57"/>
  <c r="AE44" i="57"/>
  <c r="AA70" i="58"/>
  <c r="BI57" i="64"/>
  <c r="I54" i="125" s="1"/>
  <c r="Q56" i="58"/>
  <c r="Y56" i="58" s="1"/>
  <c r="AA56" i="82"/>
  <c r="AG92" i="57"/>
  <c r="Q94" i="58"/>
  <c r="Y94" i="58" s="1"/>
  <c r="N28" i="64"/>
  <c r="W28" i="64"/>
  <c r="AF64" i="57"/>
  <c r="AC46" i="58"/>
  <c r="P61" i="58"/>
  <c r="T28" i="64"/>
  <c r="X28" i="64" s="1"/>
  <c r="AF37" i="57"/>
  <c r="K99" i="58"/>
  <c r="O99" i="58" s="1"/>
  <c r="W99" i="58" s="1"/>
  <c r="AA105" i="57"/>
  <c r="L17" i="64"/>
  <c r="AD23" i="57"/>
  <c r="R28" i="64"/>
  <c r="V28" i="64" s="1"/>
  <c r="AD37" i="57"/>
  <c r="AD88" i="57"/>
  <c r="N71" i="58"/>
  <c r="BH17" i="64"/>
  <c r="H14" i="125" s="1"/>
  <c r="Z16" i="82"/>
  <c r="P35" i="58"/>
  <c r="O17" i="64"/>
  <c r="X17" i="64"/>
  <c r="AD20" i="57"/>
  <c r="Q25" i="64"/>
  <c r="U25" i="64" s="1"/>
  <c r="AE31" i="57"/>
  <c r="AF23" i="57"/>
  <c r="N17" i="64"/>
  <c r="W17" i="64"/>
  <c r="BG6" i="64"/>
  <c r="Y5" i="82"/>
  <c r="T51" i="64"/>
  <c r="X51" i="64" s="1"/>
  <c r="AF88" i="57"/>
  <c r="H5" i="58"/>
  <c r="O25" i="58"/>
  <c r="W25" i="58" s="1"/>
  <c r="N25" i="58"/>
  <c r="AE10" i="57"/>
  <c r="AG44" i="57"/>
  <c r="F5" i="58"/>
  <c r="Q25" i="58"/>
  <c r="Y25" i="58" s="1"/>
  <c r="I5" i="58"/>
  <c r="AE52" i="57"/>
  <c r="BI25" i="64"/>
  <c r="I22" i="125" s="1"/>
  <c r="Q32" i="58"/>
  <c r="Y32" i="58" s="1"/>
  <c r="AA24" i="82"/>
  <c r="S14" i="64"/>
  <c r="W14" i="64" s="1"/>
  <c r="AG17" i="57"/>
  <c r="Y36" i="82"/>
  <c r="O39" i="58"/>
  <c r="W39" i="58" s="1"/>
  <c r="BG37" i="64"/>
  <c r="G34" i="125" s="1"/>
  <c r="G3" i="125" l="1"/>
  <c r="H4" i="125"/>
  <c r="Y145" i="58"/>
  <c r="V133" i="58"/>
  <c r="Z133" i="58" s="1"/>
  <c r="V15" i="58"/>
  <c r="Z15" i="58" s="1"/>
  <c r="AA85" i="58"/>
  <c r="AB124" i="58"/>
  <c r="AG124" i="58" s="1"/>
  <c r="N114" i="58"/>
  <c r="X58" i="58"/>
  <c r="AB58" i="58" s="1"/>
  <c r="V97" i="58"/>
  <c r="AB97" i="58" s="1"/>
  <c r="X45" i="58"/>
  <c r="Z45" i="58" s="1"/>
  <c r="V116" i="58"/>
  <c r="V49" i="58"/>
  <c r="AB49" i="58" s="1"/>
  <c r="X55" i="58"/>
  <c r="V13" i="58"/>
  <c r="Z13" i="58" s="1"/>
  <c r="V54" i="58"/>
  <c r="X102" i="58"/>
  <c r="X119" i="58"/>
  <c r="Z119" i="58" s="1"/>
  <c r="X116" i="58"/>
  <c r="V127" i="58"/>
  <c r="V102" i="58"/>
  <c r="V123" i="58"/>
  <c r="AB123" i="58" s="1"/>
  <c r="AF123" i="58" s="1"/>
  <c r="X11" i="58"/>
  <c r="X134" i="58"/>
  <c r="AA110" i="58"/>
  <c r="R64" i="64"/>
  <c r="V64" i="64" s="1"/>
  <c r="N134" i="58"/>
  <c r="V134" i="58" s="1"/>
  <c r="AA116" i="58"/>
  <c r="V95" i="58"/>
  <c r="V98" i="58"/>
  <c r="V55" i="58"/>
  <c r="V82" i="58"/>
  <c r="AB82" i="58" s="1"/>
  <c r="V85" i="58"/>
  <c r="Z85" i="58" s="1"/>
  <c r="AE85" i="58" s="1"/>
  <c r="X48" i="58"/>
  <c r="V121" i="58"/>
  <c r="AB121" i="58" s="1"/>
  <c r="X41" i="58"/>
  <c r="Z41" i="58" s="1"/>
  <c r="X100" i="58"/>
  <c r="X98" i="58"/>
  <c r="X59" i="58"/>
  <c r="V20" i="58"/>
  <c r="X127" i="58"/>
  <c r="X54" i="58"/>
  <c r="AC62" i="58"/>
  <c r="AA123" i="58"/>
  <c r="Q62" i="64"/>
  <c r="U62" i="64" s="1"/>
  <c r="N100" i="58"/>
  <c r="V100" i="58" s="1"/>
  <c r="Q56" i="64"/>
  <c r="U56" i="64" s="1"/>
  <c r="Q55" i="64"/>
  <c r="U55" i="64" s="1"/>
  <c r="AC116" i="58"/>
  <c r="AA13" i="58"/>
  <c r="AD12" i="57"/>
  <c r="AF104" i="57"/>
  <c r="AA62" i="58"/>
  <c r="AA45" i="58"/>
  <c r="X114" i="58"/>
  <c r="AC110" i="58"/>
  <c r="AC59" i="58"/>
  <c r="AF109" i="57"/>
  <c r="AD99" i="57"/>
  <c r="R62" i="64"/>
  <c r="V62" i="64" s="1"/>
  <c r="Z129" i="58"/>
  <c r="AD129" i="58" s="1"/>
  <c r="R45" i="64"/>
  <c r="V45" i="64" s="1"/>
  <c r="V60" i="58"/>
  <c r="R65" i="64"/>
  <c r="V65" i="64" s="1"/>
  <c r="AC97" i="58"/>
  <c r="V62" i="58"/>
  <c r="AB62" i="58" s="1"/>
  <c r="V101" i="58"/>
  <c r="O117" i="58"/>
  <c r="W117" i="58" s="1"/>
  <c r="AC117" i="58" s="1"/>
  <c r="R38" i="64"/>
  <c r="V38" i="64" s="1"/>
  <c r="O144" i="58"/>
  <c r="W144" i="58" s="1"/>
  <c r="AA144" i="58" s="1"/>
  <c r="X28" i="58"/>
  <c r="V28" i="58"/>
  <c r="AE16" i="57"/>
  <c r="Z12" i="58"/>
  <c r="AE12" i="58" s="1"/>
  <c r="AC119" i="58"/>
  <c r="AA54" i="58"/>
  <c r="AC98" i="58"/>
  <c r="AC45" i="58"/>
  <c r="AB68" i="58"/>
  <c r="AF68" i="58" s="1"/>
  <c r="W138" i="58"/>
  <c r="AC11" i="58"/>
  <c r="AA82" i="58"/>
  <c r="Y138" i="58"/>
  <c r="AA96" i="58"/>
  <c r="R57" i="64"/>
  <c r="V57" i="64" s="1"/>
  <c r="AA97" i="58"/>
  <c r="AA58" i="58"/>
  <c r="AE13" i="57"/>
  <c r="AC85" i="58"/>
  <c r="Z68" i="58"/>
  <c r="AD68" i="58" s="1"/>
  <c r="AD140" i="57"/>
  <c r="AA60" i="58"/>
  <c r="AC60" i="58"/>
  <c r="AC102" i="58"/>
  <c r="AA102" i="58"/>
  <c r="AD50" i="57"/>
  <c r="O145" i="58"/>
  <c r="W145" i="58" s="1"/>
  <c r="AC109" i="58"/>
  <c r="AA119" i="58"/>
  <c r="AC58" i="58"/>
  <c r="AG53" i="57"/>
  <c r="AD9" i="57"/>
  <c r="AC54" i="58"/>
  <c r="R53" i="64"/>
  <c r="V53" i="64" s="1"/>
  <c r="Q54" i="64"/>
  <c r="U54" i="64" s="1"/>
  <c r="T60" i="64"/>
  <c r="X60" i="64" s="1"/>
  <c r="T61" i="64"/>
  <c r="X61" i="64" s="1"/>
  <c r="AC96" i="58"/>
  <c r="R61" i="64"/>
  <c r="V61" i="64" s="1"/>
  <c r="S63" i="64"/>
  <c r="W63" i="64" s="1"/>
  <c r="Q65" i="64"/>
  <c r="U65" i="64" s="1"/>
  <c r="AC41" i="58"/>
  <c r="Q60" i="64"/>
  <c r="U60" i="64" s="1"/>
  <c r="AA100" i="58"/>
  <c r="AC100" i="58"/>
  <c r="AE142" i="57"/>
  <c r="X110" i="58"/>
  <c r="N110" i="58"/>
  <c r="V110" i="58" s="1"/>
  <c r="AC121" i="58"/>
  <c r="AA41" i="58"/>
  <c r="AA98" i="58"/>
  <c r="P60" i="58"/>
  <c r="X60" i="58"/>
  <c r="AC101" i="58"/>
  <c r="AD13" i="57"/>
  <c r="Q10" i="64"/>
  <c r="U10" i="64" s="1"/>
  <c r="AE14" i="57"/>
  <c r="AA55" i="58"/>
  <c r="V81" i="58"/>
  <c r="Z81" i="58" s="1"/>
  <c r="AA81" i="58"/>
  <c r="AC55" i="58"/>
  <c r="AA90" i="58"/>
  <c r="AA49" i="58"/>
  <c r="AC49" i="58"/>
  <c r="R17" i="64"/>
  <c r="V17" i="64" s="1"/>
  <c r="AA137" i="58"/>
  <c r="AE105" i="57"/>
  <c r="AE113" i="57"/>
  <c r="Q61" i="64"/>
  <c r="U61" i="64" s="1"/>
  <c r="S64" i="64"/>
  <c r="W64" i="64" s="1"/>
  <c r="S58" i="64"/>
  <c r="W58" i="64" s="1"/>
  <c r="AD26" i="57"/>
  <c r="R20" i="64"/>
  <c r="V20" i="64" s="1"/>
  <c r="R56" i="64"/>
  <c r="V56" i="64" s="1"/>
  <c r="V90" i="58"/>
  <c r="X90" i="58"/>
  <c r="AE124" i="58"/>
  <c r="AB12" i="58"/>
  <c r="AG12" i="58" s="1"/>
  <c r="AA75" i="58"/>
  <c r="AC127" i="58"/>
  <c r="Z93" i="58"/>
  <c r="AE93" i="58" s="1"/>
  <c r="AA127" i="58"/>
  <c r="U6" i="64"/>
  <c r="AB129" i="58"/>
  <c r="AG129" i="58" s="1"/>
  <c r="V113" i="58"/>
  <c r="V88" i="58"/>
  <c r="X17" i="58"/>
  <c r="V83" i="58"/>
  <c r="AB83" i="58" s="1"/>
  <c r="X109" i="58"/>
  <c r="Z109" i="58" s="1"/>
  <c r="X71" i="58"/>
  <c r="V26" i="58"/>
  <c r="V72" i="58"/>
  <c r="AD124" i="58"/>
  <c r="V112" i="58"/>
  <c r="X72" i="58"/>
  <c r="V61" i="58"/>
  <c r="V57" i="58"/>
  <c r="X113" i="58"/>
  <c r="V23" i="58"/>
  <c r="V111" i="58"/>
  <c r="X131" i="58"/>
  <c r="V137" i="58"/>
  <c r="V131" i="58"/>
  <c r="X137" i="58"/>
  <c r="V143" i="58"/>
  <c r="X112" i="58"/>
  <c r="X69" i="58"/>
  <c r="X143" i="58"/>
  <c r="X104" i="58"/>
  <c r="X108" i="58"/>
  <c r="X101" i="58"/>
  <c r="V104" i="58"/>
  <c r="V108" i="58"/>
  <c r="X65" i="58"/>
  <c r="X95" i="58"/>
  <c r="X111" i="58"/>
  <c r="AE99" i="57"/>
  <c r="Z14" i="58"/>
  <c r="AE14" i="58" s="1"/>
  <c r="AC137" i="58"/>
  <c r="AC139" i="58"/>
  <c r="X139" i="58"/>
  <c r="AB139" i="58" s="1"/>
  <c r="V106" i="58"/>
  <c r="R52" i="64"/>
  <c r="V52" i="64" s="1"/>
  <c r="AC132" i="58"/>
  <c r="AA142" i="58"/>
  <c r="AA131" i="58"/>
  <c r="AA114" i="58"/>
  <c r="AA109" i="58"/>
  <c r="V114" i="58"/>
  <c r="AA135" i="58"/>
  <c r="V132" i="58"/>
  <c r="X140" i="58"/>
  <c r="AB140" i="58" s="1"/>
  <c r="R60" i="64"/>
  <c r="V60" i="64" s="1"/>
  <c r="AB93" i="58"/>
  <c r="AG93" i="58" s="1"/>
  <c r="AA132" i="58"/>
  <c r="AC134" i="58"/>
  <c r="V135" i="58"/>
  <c r="Z135" i="58" s="1"/>
  <c r="AC143" i="58"/>
  <c r="X106" i="58"/>
  <c r="Q52" i="64"/>
  <c r="U52" i="64" s="1"/>
  <c r="X141" i="58"/>
  <c r="AB141" i="58" s="1"/>
  <c r="AC114" i="58"/>
  <c r="AA140" i="58"/>
  <c r="AC140" i="58"/>
  <c r="AA111" i="58"/>
  <c r="AC111" i="58"/>
  <c r="AA133" i="58"/>
  <c r="AC133" i="58"/>
  <c r="AA50" i="58"/>
  <c r="X133" i="58"/>
  <c r="V140" i="58"/>
  <c r="Z140" i="58" s="1"/>
  <c r="X132" i="58"/>
  <c r="AB132" i="58" s="1"/>
  <c r="Z70" i="58"/>
  <c r="AE70" i="58" s="1"/>
  <c r="AC131" i="58"/>
  <c r="AA101" i="58"/>
  <c r="AC104" i="58"/>
  <c r="AA104" i="58"/>
  <c r="AC112" i="58"/>
  <c r="AA112" i="58"/>
  <c r="AA141" i="58"/>
  <c r="AC141" i="58"/>
  <c r="AC136" i="58"/>
  <c r="AC142" i="58"/>
  <c r="AB14" i="58"/>
  <c r="AF14" i="58" s="1"/>
  <c r="X142" i="58"/>
  <c r="AA143" i="58"/>
  <c r="AC106" i="58"/>
  <c r="AA106" i="58"/>
  <c r="V139" i="58"/>
  <c r="Z139" i="58" s="1"/>
  <c r="X135" i="58"/>
  <c r="AB135" i="58" s="1"/>
  <c r="AA139" i="58"/>
  <c r="AF112" i="57"/>
  <c r="V142" i="58"/>
  <c r="Z142" i="58" s="1"/>
  <c r="X136" i="58"/>
  <c r="AB136" i="58" s="1"/>
  <c r="AG118" i="57"/>
  <c r="AA108" i="58"/>
  <c r="AC108" i="58"/>
  <c r="AC113" i="58"/>
  <c r="AA113" i="58"/>
  <c r="X144" i="58"/>
  <c r="AB144" i="58" s="1"/>
  <c r="V136" i="58"/>
  <c r="Z136" i="58" s="1"/>
  <c r="V141" i="58"/>
  <c r="Z141" i="58" s="1"/>
  <c r="AA136" i="58"/>
  <c r="AC135" i="58"/>
  <c r="AA134" i="58"/>
  <c r="AB70" i="58"/>
  <c r="AF70" i="58" s="1"/>
  <c r="X87" i="58"/>
  <c r="V31" i="58"/>
  <c r="V24" i="58"/>
  <c r="Z24" i="58" s="1"/>
  <c r="X40" i="58"/>
  <c r="V39" i="58"/>
  <c r="V16" i="58"/>
  <c r="V11" i="58"/>
  <c r="V115" i="58"/>
  <c r="X20" i="58"/>
  <c r="V71" i="58"/>
  <c r="X74" i="58"/>
  <c r="X73" i="58"/>
  <c r="V74" i="58"/>
  <c r="X23" i="58"/>
  <c r="X31" i="58"/>
  <c r="AB31" i="58" s="1"/>
  <c r="V37" i="58"/>
  <c r="X26" i="58"/>
  <c r="X86" i="58"/>
  <c r="V52" i="58"/>
  <c r="V32" i="58"/>
  <c r="V73" i="58"/>
  <c r="V56" i="58"/>
  <c r="V48" i="58"/>
  <c r="V10" i="58"/>
  <c r="X19" i="58"/>
  <c r="V19" i="58"/>
  <c r="X77" i="58"/>
  <c r="V103" i="58"/>
  <c r="V25" i="58"/>
  <c r="V27" i="58"/>
  <c r="V65" i="58"/>
  <c r="V77" i="58"/>
  <c r="X56" i="58"/>
  <c r="X21" i="58"/>
  <c r="Y66" i="58"/>
  <c r="AA66" i="58" s="1"/>
  <c r="X66" i="58"/>
  <c r="V86" i="58"/>
  <c r="V64" i="58"/>
  <c r="V50" i="58"/>
  <c r="X34" i="58"/>
  <c r="V40" i="58"/>
  <c r="V47" i="58"/>
  <c r="X51" i="58"/>
  <c r="X63" i="58"/>
  <c r="W67" i="58"/>
  <c r="V67" i="58"/>
  <c r="V51" i="58"/>
  <c r="V44" i="58"/>
  <c r="X30" i="58"/>
  <c r="V30" i="58"/>
  <c r="X39" i="58"/>
  <c r="X38" i="58"/>
  <c r="X80" i="58"/>
  <c r="X103" i="58"/>
  <c r="V36" i="58"/>
  <c r="X50" i="58"/>
  <c r="V34" i="58"/>
  <c r="V18" i="58"/>
  <c r="X64" i="58"/>
  <c r="X32" i="58"/>
  <c r="X61" i="58"/>
  <c r="V38" i="58"/>
  <c r="V21" i="58"/>
  <c r="X25" i="58"/>
  <c r="X36" i="58"/>
  <c r="X47" i="58"/>
  <c r="V80" i="58"/>
  <c r="X10" i="58"/>
  <c r="X115" i="58"/>
  <c r="X57" i="58"/>
  <c r="X15" i="58"/>
  <c r="AB15" i="58" s="1"/>
  <c r="V59" i="58"/>
  <c r="V87" i="58"/>
  <c r="X88" i="58"/>
  <c r="V63" i="58"/>
  <c r="X27" i="58"/>
  <c r="V17" i="58"/>
  <c r="V91" i="58"/>
  <c r="AB91" i="58" s="1"/>
  <c r="X16" i="58"/>
  <c r="X44" i="58"/>
  <c r="Y67" i="58"/>
  <c r="X67" i="58"/>
  <c r="X52" i="58"/>
  <c r="X18" i="58"/>
  <c r="X37" i="58"/>
  <c r="N125" i="58"/>
  <c r="V29" i="58"/>
  <c r="AC90" i="58"/>
  <c r="V128" i="58"/>
  <c r="N128" i="58"/>
  <c r="X128" i="58"/>
  <c r="X29" i="58"/>
  <c r="AB120" i="58"/>
  <c r="Z120" i="58"/>
  <c r="N35" i="58"/>
  <c r="V35" i="58" s="1"/>
  <c r="AA18" i="58"/>
  <c r="Y130" i="58"/>
  <c r="AC130" i="58" s="1"/>
  <c r="W130" i="58"/>
  <c r="AA130" i="58" s="1"/>
  <c r="AA80" i="58"/>
  <c r="AC80" i="58"/>
  <c r="AC31" i="58"/>
  <c r="X43" i="58"/>
  <c r="Z46" i="58"/>
  <c r="AD46" i="58" s="1"/>
  <c r="AB46" i="58"/>
  <c r="AG46" i="58" s="1"/>
  <c r="AA57" i="58"/>
  <c r="AA95" i="58"/>
  <c r="R41" i="64"/>
  <c r="V41" i="64" s="1"/>
  <c r="AC23" i="58"/>
  <c r="AA11" i="58"/>
  <c r="AA126" i="58"/>
  <c r="AC126" i="58"/>
  <c r="Q37" i="64"/>
  <c r="U37" i="64" s="1"/>
  <c r="AC16" i="58"/>
  <c r="AC95" i="58"/>
  <c r="X94" i="58"/>
  <c r="Q30" i="64"/>
  <c r="U30" i="64" s="1"/>
  <c r="V94" i="58"/>
  <c r="AA72" i="58"/>
  <c r="T47" i="64"/>
  <c r="X47" i="64" s="1"/>
  <c r="T29" i="64"/>
  <c r="X29" i="64" s="1"/>
  <c r="Q17" i="64"/>
  <c r="U17" i="64" s="1"/>
  <c r="Y125" i="58"/>
  <c r="O125" i="58"/>
  <c r="W125" i="58" s="1"/>
  <c r="R51" i="64"/>
  <c r="V51" i="64" s="1"/>
  <c r="T34" i="64"/>
  <c r="X34" i="64" s="1"/>
  <c r="T23" i="64"/>
  <c r="X23" i="64" s="1"/>
  <c r="W122" i="58"/>
  <c r="O122" i="58"/>
  <c r="Y122" i="58"/>
  <c r="X126" i="58"/>
  <c r="V126" i="58"/>
  <c r="R27" i="64"/>
  <c r="V27" i="64" s="1"/>
  <c r="AC57" i="58"/>
  <c r="Q59" i="64"/>
  <c r="U59" i="64" s="1"/>
  <c r="AC64" i="58"/>
  <c r="AA23" i="58"/>
  <c r="AA19" i="58"/>
  <c r="AB79" i="58"/>
  <c r="AF79" i="58" s="1"/>
  <c r="AA71" i="58"/>
  <c r="AA33" i="58"/>
  <c r="AC33" i="58"/>
  <c r="V78" i="58"/>
  <c r="Z78" i="58" s="1"/>
  <c r="AA15" i="58"/>
  <c r="AC72" i="58"/>
  <c r="X35" i="58"/>
  <c r="X75" i="58"/>
  <c r="AC15" i="58"/>
  <c r="AC71" i="58"/>
  <c r="AA47" i="58"/>
  <c r="V75" i="58"/>
  <c r="V33" i="58"/>
  <c r="X33" i="58"/>
  <c r="AA86" i="58"/>
  <c r="X13" i="64"/>
  <c r="AA31" i="58"/>
  <c r="AC47" i="58"/>
  <c r="AC19" i="58"/>
  <c r="AC86" i="58"/>
  <c r="AC87" i="58"/>
  <c r="AA87" i="58"/>
  <c r="AD76" i="57"/>
  <c r="R47" i="64"/>
  <c r="V47" i="64" s="1"/>
  <c r="AA16" i="58"/>
  <c r="V13" i="64"/>
  <c r="AC92" i="58"/>
  <c r="AE25" i="57"/>
  <c r="Q19" i="64"/>
  <c r="U19" i="64" s="1"/>
  <c r="Q31" i="64"/>
  <c r="U31" i="64" s="1"/>
  <c r="R34" i="64"/>
  <c r="V34" i="64" s="1"/>
  <c r="R44" i="64"/>
  <c r="V44" i="64" s="1"/>
  <c r="AC83" i="58"/>
  <c r="AA83" i="58"/>
  <c r="R25" i="64"/>
  <c r="V25" i="64" s="1"/>
  <c r="T39" i="64"/>
  <c r="X39" i="64" s="1"/>
  <c r="S24" i="64"/>
  <c r="W24" i="64" s="1"/>
  <c r="S23" i="64"/>
  <c r="W23" i="64" s="1"/>
  <c r="AC91" i="58"/>
  <c r="AA91" i="58"/>
  <c r="AE67" i="57"/>
  <c r="AF60" i="57"/>
  <c r="T40" i="64"/>
  <c r="X40" i="64" s="1"/>
  <c r="Z79" i="58"/>
  <c r="AE79" i="58" s="1"/>
  <c r="R39" i="64"/>
  <c r="V39" i="64" s="1"/>
  <c r="T18" i="64"/>
  <c r="X18" i="64" s="1"/>
  <c r="Q14" i="64"/>
  <c r="U14" i="64" s="1"/>
  <c r="Q13" i="64"/>
  <c r="V96" i="58"/>
  <c r="X96" i="58"/>
  <c r="AE63" i="57"/>
  <c r="AA36" i="58"/>
  <c r="AC36" i="58"/>
  <c r="V76" i="58"/>
  <c r="AD95" i="57"/>
  <c r="AD51" i="57"/>
  <c r="X76" i="58"/>
  <c r="R42" i="64"/>
  <c r="V42" i="64" s="1"/>
  <c r="AC50" i="58"/>
  <c r="AE41" i="57"/>
  <c r="AC65" i="58"/>
  <c r="AE17" i="57"/>
  <c r="X99" i="58"/>
  <c r="AC38" i="58"/>
  <c r="R30" i="64"/>
  <c r="V30" i="64" s="1"/>
  <c r="AD41" i="57"/>
  <c r="V99" i="58"/>
  <c r="AC51" i="58"/>
  <c r="AA115" i="58"/>
  <c r="AC88" i="58"/>
  <c r="AE43" i="57"/>
  <c r="AA59" i="58"/>
  <c r="AC115" i="58"/>
  <c r="AE42" i="57"/>
  <c r="AA63" i="58"/>
  <c r="AA88" i="58"/>
  <c r="R43" i="64"/>
  <c r="V43" i="64" s="1"/>
  <c r="Y2" i="57"/>
  <c r="Y1" i="57" s="1"/>
  <c r="AG28" i="57"/>
  <c r="AA65" i="58"/>
  <c r="R29" i="64"/>
  <c r="V29" i="64" s="1"/>
  <c r="AC77" i="58"/>
  <c r="AA38" i="58"/>
  <c r="AC75" i="58"/>
  <c r="AF24" i="57"/>
  <c r="Q29" i="64"/>
  <c r="U29" i="64" s="1"/>
  <c r="AE40" i="57"/>
  <c r="AA17" i="58"/>
  <c r="AC17" i="58"/>
  <c r="R15" i="64"/>
  <c r="V15" i="64" s="1"/>
  <c r="AD18" i="57"/>
  <c r="AF30" i="57"/>
  <c r="AA77" i="58"/>
  <c r="AF91" i="57"/>
  <c r="R32" i="64"/>
  <c r="V32" i="64" s="1"/>
  <c r="AD43" i="57"/>
  <c r="AG12" i="57"/>
  <c r="AA27" i="58"/>
  <c r="AA35" i="58"/>
  <c r="AC35" i="58"/>
  <c r="Y78" i="58"/>
  <c r="AC78" i="58" s="1"/>
  <c r="X78" i="58"/>
  <c r="AB78" i="58" s="1"/>
  <c r="AA40" i="58"/>
  <c r="AC40" i="58"/>
  <c r="AC52" i="58"/>
  <c r="AA52" i="58"/>
  <c r="AA44" i="58"/>
  <c r="AC44" i="58"/>
  <c r="R24" i="64"/>
  <c r="V24" i="64" s="1"/>
  <c r="AD30" i="57"/>
  <c r="Q8" i="64"/>
  <c r="U8" i="64" s="1"/>
  <c r="AE12" i="57"/>
  <c r="Q27" i="64"/>
  <c r="U27" i="64" s="1"/>
  <c r="AE35" i="57"/>
  <c r="AA51" i="58"/>
  <c r="Y107" i="58"/>
  <c r="X107" i="58"/>
  <c r="X89" i="58"/>
  <c r="AB89" i="58" s="1"/>
  <c r="T50" i="64"/>
  <c r="X50" i="64" s="1"/>
  <c r="AF87" i="57"/>
  <c r="Q45" i="64"/>
  <c r="U45" i="64" s="1"/>
  <c r="AE69" i="57"/>
  <c r="AC34" i="58"/>
  <c r="AA34" i="58"/>
  <c r="AF41" i="57"/>
  <c r="Q50" i="64"/>
  <c r="U50" i="64" s="1"/>
  <c r="AE87" i="57"/>
  <c r="AA76" i="58"/>
  <c r="AC76" i="58"/>
  <c r="AA92" i="58"/>
  <c r="AA64" i="58"/>
  <c r="S26" i="64"/>
  <c r="W26" i="64" s="1"/>
  <c r="AG34" i="57"/>
  <c r="X92" i="58"/>
  <c r="N92" i="58"/>
  <c r="V92" i="58" s="1"/>
  <c r="X118" i="58"/>
  <c r="N118" i="58"/>
  <c r="V118" i="58" s="1"/>
  <c r="AC29" i="58"/>
  <c r="AA29" i="58"/>
  <c r="O105" i="58"/>
  <c r="W107" i="58"/>
  <c r="V107" i="58"/>
  <c r="R14" i="64"/>
  <c r="V14" i="64" s="1"/>
  <c r="AD17" i="57"/>
  <c r="P84" i="58"/>
  <c r="X84" i="58" s="1"/>
  <c r="V84" i="58"/>
  <c r="Q16" i="64"/>
  <c r="U16" i="64" s="1"/>
  <c r="AE19" i="57"/>
  <c r="AC118" i="58"/>
  <c r="AA118" i="58"/>
  <c r="AC27" i="58"/>
  <c r="Q46" i="64"/>
  <c r="U46" i="64" s="1"/>
  <c r="AE72" i="57"/>
  <c r="Q34" i="64"/>
  <c r="U34" i="64" s="1"/>
  <c r="AE45" i="57"/>
  <c r="AC18" i="58"/>
  <c r="AC53" i="58"/>
  <c r="AA53" i="58"/>
  <c r="R19" i="64"/>
  <c r="V19" i="64" s="1"/>
  <c r="AD24" i="57"/>
  <c r="Q26" i="64"/>
  <c r="U26" i="64" s="1"/>
  <c r="AE34" i="57"/>
  <c r="AG89" i="57"/>
  <c r="AC20" i="58"/>
  <c r="AA20" i="58"/>
  <c r="AG109" i="57"/>
  <c r="AB22" i="58"/>
  <c r="Z22" i="58"/>
  <c r="AF40" i="57"/>
  <c r="AC24" i="58"/>
  <c r="AA24" i="58"/>
  <c r="AC73" i="58"/>
  <c r="AA48" i="58"/>
  <c r="AC48" i="58"/>
  <c r="Q15" i="64"/>
  <c r="U15" i="64" s="1"/>
  <c r="AE18" i="57"/>
  <c r="R50" i="64"/>
  <c r="V50" i="64" s="1"/>
  <c r="AD87" i="57"/>
  <c r="W43" i="58"/>
  <c r="V43" i="58"/>
  <c r="S27" i="64"/>
  <c r="W27" i="64" s="1"/>
  <c r="AG35" i="57"/>
  <c r="AC30" i="58"/>
  <c r="AA30" i="58"/>
  <c r="Q22" i="64"/>
  <c r="U22" i="64" s="1"/>
  <c r="AE28" i="57"/>
  <c r="AC74" i="58"/>
  <c r="AA74" i="58"/>
  <c r="R54" i="64"/>
  <c r="V54" i="64" s="1"/>
  <c r="AD91" i="57"/>
  <c r="AB42" i="58"/>
  <c r="Z42" i="58"/>
  <c r="Q21" i="64"/>
  <c r="U21" i="64" s="1"/>
  <c r="AE26" i="57"/>
  <c r="AA28" i="58"/>
  <c r="AC28" i="58"/>
  <c r="AA103" i="58"/>
  <c r="AC103" i="58"/>
  <c r="AA26" i="58"/>
  <c r="AC26" i="58"/>
  <c r="V89" i="58"/>
  <c r="AC63" i="58"/>
  <c r="AA89" i="58"/>
  <c r="AC89" i="58"/>
  <c r="AG30" i="57"/>
  <c r="AC37" i="58"/>
  <c r="AA37" i="58"/>
  <c r="M5" i="58"/>
  <c r="J5" i="58"/>
  <c r="AA61" i="58"/>
  <c r="Q64" i="64"/>
  <c r="U64" i="64" s="1"/>
  <c r="AE109" i="57"/>
  <c r="Q24" i="64"/>
  <c r="U24" i="64" s="1"/>
  <c r="AE30" i="57"/>
  <c r="AC61" i="58"/>
  <c r="AC10" i="58"/>
  <c r="AA21" i="58"/>
  <c r="X117" i="58"/>
  <c r="AA73" i="58"/>
  <c r="AC21" i="58"/>
  <c r="N53" i="58"/>
  <c r="V53" i="58" s="1"/>
  <c r="X53" i="58"/>
  <c r="L5" i="58"/>
  <c r="AA10" i="58"/>
  <c r="AC56" i="58"/>
  <c r="AA56" i="58"/>
  <c r="AA94" i="58"/>
  <c r="AC94" i="58"/>
  <c r="K5" i="58"/>
  <c r="AA99" i="58"/>
  <c r="AC99" i="58"/>
  <c r="AC39" i="58"/>
  <c r="AA39" i="58"/>
  <c r="AC32" i="58"/>
  <c r="AA32" i="58"/>
  <c r="AA25" i="58"/>
  <c r="AC25" i="58"/>
  <c r="AF124" i="58" l="1"/>
  <c r="AJ124" i="58" s="1"/>
  <c r="AN124" i="58" s="1"/>
  <c r="AA145" i="58"/>
  <c r="AB110" i="58"/>
  <c r="AG110" i="58" s="1"/>
  <c r="X145" i="58"/>
  <c r="AB145" i="58" s="1"/>
  <c r="Z58" i="58"/>
  <c r="Z123" i="58"/>
  <c r="AB142" i="58"/>
  <c r="AF142" i="58" s="1"/>
  <c r="Z132" i="58"/>
  <c r="AE132" i="58" s="1"/>
  <c r="Z89" i="58"/>
  <c r="AE89" i="58" s="1"/>
  <c r="Z31" i="58"/>
  <c r="AE31" i="58" s="1"/>
  <c r="AB133" i="58"/>
  <c r="AF133" i="58" s="1"/>
  <c r="Z97" i="58"/>
  <c r="AD97" i="58" s="1"/>
  <c r="AB102" i="58"/>
  <c r="AF102" i="58" s="1"/>
  <c r="Z54" i="58"/>
  <c r="AE54" i="58" s="1"/>
  <c r="AB13" i="58"/>
  <c r="AF13" i="58" s="1"/>
  <c r="Z49" i="58"/>
  <c r="AD49" i="58" s="1"/>
  <c r="AB59" i="58"/>
  <c r="AG59" i="58" s="1"/>
  <c r="Z43" i="58"/>
  <c r="Z114" i="58"/>
  <c r="AD114" i="58" s="1"/>
  <c r="AB45" i="58"/>
  <c r="AF45" i="58" s="1"/>
  <c r="Z55" i="58"/>
  <c r="AE55" i="58" s="1"/>
  <c r="Z116" i="58"/>
  <c r="AE116" i="58" s="1"/>
  <c r="Z98" i="58"/>
  <c r="AD98" i="58" s="1"/>
  <c r="Z127" i="58"/>
  <c r="AE127" i="58" s="1"/>
  <c r="AB43" i="58"/>
  <c r="AB114" i="58"/>
  <c r="AF114" i="58" s="1"/>
  <c r="Z102" i="58"/>
  <c r="AE102" i="58" s="1"/>
  <c r="AB119" i="58"/>
  <c r="AG119" i="58" s="1"/>
  <c r="AB127" i="58"/>
  <c r="AF127" i="58" s="1"/>
  <c r="Z82" i="58"/>
  <c r="AE82" i="58" s="1"/>
  <c r="AB55" i="58"/>
  <c r="AF55" i="58" s="1"/>
  <c r="AB20" i="58"/>
  <c r="AG20" i="58" s="1"/>
  <c r="AB116" i="58"/>
  <c r="AF116" i="58" s="1"/>
  <c r="AB54" i="58"/>
  <c r="AF54" i="58" s="1"/>
  <c r="Z95" i="58"/>
  <c r="AD95" i="58" s="1"/>
  <c r="AA117" i="58"/>
  <c r="Z121" i="58"/>
  <c r="AE121" i="58" s="1"/>
  <c r="AE123" i="58"/>
  <c r="AB98" i="58"/>
  <c r="AG98" i="58" s="1"/>
  <c r="Z62" i="58"/>
  <c r="AE62" i="58" s="1"/>
  <c r="AC144" i="58"/>
  <c r="AF144" i="58" s="1"/>
  <c r="AG68" i="58"/>
  <c r="AJ68" i="58" s="1"/>
  <c r="AG62" i="58"/>
  <c r="AB85" i="58"/>
  <c r="AF85" i="58" s="1"/>
  <c r="AD13" i="58"/>
  <c r="AB100" i="58"/>
  <c r="AG100" i="58" s="1"/>
  <c r="AB41" i="58"/>
  <c r="AG41" i="58" s="1"/>
  <c r="AF97" i="58"/>
  <c r="AE45" i="58"/>
  <c r="AE129" i="58"/>
  <c r="AH129" i="58" s="1"/>
  <c r="AL129" i="58" s="1"/>
  <c r="Z28" i="58"/>
  <c r="AE28" i="58" s="1"/>
  <c r="AE68" i="58"/>
  <c r="AI68" i="58" s="1"/>
  <c r="Z101" i="58"/>
  <c r="AE101" i="58" s="1"/>
  <c r="AB60" i="58"/>
  <c r="AG60" i="58" s="1"/>
  <c r="Z100" i="58"/>
  <c r="AD100" i="58" s="1"/>
  <c r="AB81" i="58"/>
  <c r="AG81" i="58" s="1"/>
  <c r="AD119" i="58"/>
  <c r="W69" i="58"/>
  <c r="AA69" i="58" s="1"/>
  <c r="V69" i="58"/>
  <c r="Z69" i="58" s="1"/>
  <c r="V117" i="58"/>
  <c r="Z117" i="58" s="1"/>
  <c r="V144" i="58"/>
  <c r="Z144" i="58" s="1"/>
  <c r="AD144" i="58" s="1"/>
  <c r="AD12" i="58"/>
  <c r="AH12" i="58" s="1"/>
  <c r="AC138" i="58"/>
  <c r="V138" i="58"/>
  <c r="Z138" i="58" s="1"/>
  <c r="AD54" i="58"/>
  <c r="AC145" i="58"/>
  <c r="V145" i="58"/>
  <c r="Z145" i="58" s="1"/>
  <c r="AD145" i="58" s="1"/>
  <c r="X138" i="58"/>
  <c r="AB138" i="58" s="1"/>
  <c r="AA138" i="58"/>
  <c r="AD58" i="58"/>
  <c r="Z110" i="58"/>
  <c r="AD110" i="58" s="1"/>
  <c r="AF58" i="58"/>
  <c r="AE41" i="58"/>
  <c r="Z60" i="58"/>
  <c r="AD60" i="58" s="1"/>
  <c r="AF49" i="58"/>
  <c r="AF12" i="58"/>
  <c r="AJ12" i="58" s="1"/>
  <c r="AG123" i="58"/>
  <c r="AK123" i="58" s="1"/>
  <c r="AO123" i="58" s="1"/>
  <c r="AD14" i="58"/>
  <c r="AH14" i="58" s="1"/>
  <c r="Z112" i="58"/>
  <c r="AD112" i="58" s="1"/>
  <c r="Z111" i="58"/>
  <c r="AE111" i="58" s="1"/>
  <c r="AB95" i="58"/>
  <c r="AF95" i="58" s="1"/>
  <c r="AI124" i="58"/>
  <c r="AM124" i="58" s="1"/>
  <c r="AB113" i="58"/>
  <c r="AG113" i="58" s="1"/>
  <c r="Z10" i="58"/>
  <c r="AE10" i="58" s="1"/>
  <c r="Z113" i="58"/>
  <c r="AE113" i="58" s="1"/>
  <c r="Z72" i="58"/>
  <c r="AD72" i="58" s="1"/>
  <c r="Z143" i="58"/>
  <c r="AD143" i="58" s="1"/>
  <c r="AB112" i="58"/>
  <c r="AF112" i="58" s="1"/>
  <c r="AB10" i="58"/>
  <c r="AG10" i="58" s="1"/>
  <c r="AF129" i="58"/>
  <c r="AK129" i="58" s="1"/>
  <c r="AO129" i="58" s="1"/>
  <c r="Z90" i="58"/>
  <c r="AD90" i="58" s="1"/>
  <c r="AE119" i="58"/>
  <c r="AB72" i="58"/>
  <c r="AG72" i="58" s="1"/>
  <c r="AD93" i="58"/>
  <c r="AI93" i="58" s="1"/>
  <c r="Z65" i="58"/>
  <c r="AE65" i="58" s="1"/>
  <c r="AB90" i="58"/>
  <c r="AF90" i="58" s="1"/>
  <c r="Z137" i="58"/>
  <c r="AD137" i="58" s="1"/>
  <c r="AB88" i="58"/>
  <c r="AG88" i="58" s="1"/>
  <c r="Z64" i="58"/>
  <c r="AE64" i="58" s="1"/>
  <c r="AB23" i="58"/>
  <c r="AG23" i="58" s="1"/>
  <c r="AB61" i="58"/>
  <c r="AG61" i="58" s="1"/>
  <c r="AB134" i="58"/>
  <c r="AF134" i="58" s="1"/>
  <c r="AB143" i="58"/>
  <c r="AG143" i="58" s="1"/>
  <c r="AB17" i="58"/>
  <c r="AF17" i="58" s="1"/>
  <c r="AG141" i="58"/>
  <c r="Z106" i="58"/>
  <c r="AE106" i="58" s="1"/>
  <c r="AB52" i="58"/>
  <c r="AG52" i="58" s="1"/>
  <c r="Z104" i="58"/>
  <c r="AD104" i="58" s="1"/>
  <c r="Z131" i="58"/>
  <c r="AE131" i="58" s="1"/>
  <c r="AG140" i="58"/>
  <c r="AB111" i="58"/>
  <c r="AF111" i="58" s="1"/>
  <c r="AB57" i="58"/>
  <c r="AF57" i="58" s="1"/>
  <c r="Z19" i="58"/>
  <c r="AE19" i="58" s="1"/>
  <c r="Z23" i="58"/>
  <c r="AE23" i="58" s="1"/>
  <c r="AB101" i="58"/>
  <c r="AB131" i="58"/>
  <c r="AG131" i="58" s="1"/>
  <c r="Z83" i="58"/>
  <c r="AD83" i="58" s="1"/>
  <c r="AB106" i="58"/>
  <c r="AG106" i="58" s="1"/>
  <c r="Z26" i="58"/>
  <c r="AD26" i="58" s="1"/>
  <c r="AB28" i="58"/>
  <c r="AF28" i="58" s="1"/>
  <c r="Z71" i="58"/>
  <c r="AD71" i="58" s="1"/>
  <c r="AB109" i="58"/>
  <c r="AG109" i="58" s="1"/>
  <c r="AB104" i="58"/>
  <c r="AF104" i="58" s="1"/>
  <c r="AE140" i="58"/>
  <c r="AB77" i="58"/>
  <c r="AF77" i="58" s="1"/>
  <c r="Z134" i="58"/>
  <c r="AD134" i="58" s="1"/>
  <c r="AB108" i="58"/>
  <c r="AG108" i="58" s="1"/>
  <c r="Z108" i="58"/>
  <c r="AD108" i="58" s="1"/>
  <c r="AB137" i="58"/>
  <c r="AG137" i="58" s="1"/>
  <c r="AD109" i="58"/>
  <c r="AH124" i="58"/>
  <c r="AL124" i="58" s="1"/>
  <c r="AG139" i="58"/>
  <c r="AD70" i="58"/>
  <c r="AI70" i="58" s="1"/>
  <c r="AD24" i="58"/>
  <c r="AF62" i="58"/>
  <c r="AE13" i="58"/>
  <c r="AE109" i="58"/>
  <c r="AF140" i="58"/>
  <c r="AG49" i="58"/>
  <c r="AD133" i="58"/>
  <c r="AG132" i="58"/>
  <c r="AG70" i="58"/>
  <c r="AJ70" i="58" s="1"/>
  <c r="AB19" i="58"/>
  <c r="AG19" i="58" s="1"/>
  <c r="Z38" i="58"/>
  <c r="AD38" i="58" s="1"/>
  <c r="AB27" i="58"/>
  <c r="AG27" i="58" s="1"/>
  <c r="Z87" i="58"/>
  <c r="AE87" i="58" s="1"/>
  <c r="Z103" i="58"/>
  <c r="AD103" i="58" s="1"/>
  <c r="AF139" i="58"/>
  <c r="AF141" i="58"/>
  <c r="Z61" i="58"/>
  <c r="AD61" i="58" s="1"/>
  <c r="AK124" i="58"/>
  <c r="AO124" i="58" s="1"/>
  <c r="AD135" i="58"/>
  <c r="AB73" i="58"/>
  <c r="AG73" i="58" s="1"/>
  <c r="AB18" i="58"/>
  <c r="AG18" i="58" s="1"/>
  <c r="AF93" i="58"/>
  <c r="AK93" i="58" s="1"/>
  <c r="Z88" i="58"/>
  <c r="AD88" i="58" s="1"/>
  <c r="Z36" i="58"/>
  <c r="AD36" i="58" s="1"/>
  <c r="AE135" i="58"/>
  <c r="AF132" i="58"/>
  <c r="AB24" i="58"/>
  <c r="AG24" i="58" s="1"/>
  <c r="Z27" i="58"/>
  <c r="AE27" i="58" s="1"/>
  <c r="AD140" i="58"/>
  <c r="Z32" i="58"/>
  <c r="AE32" i="58" s="1"/>
  <c r="AD41" i="58"/>
  <c r="AG102" i="58"/>
  <c r="AE133" i="58"/>
  <c r="AB50" i="58"/>
  <c r="AG50" i="58" s="1"/>
  <c r="AD123" i="58"/>
  <c r="AB16" i="58"/>
  <c r="AF16" i="58" s="1"/>
  <c r="AD139" i="58"/>
  <c r="AB65" i="58"/>
  <c r="AG65" i="58" s="1"/>
  <c r="AB26" i="58"/>
  <c r="AG26" i="58" s="1"/>
  <c r="Z52" i="58"/>
  <c r="AE52" i="58" s="1"/>
  <c r="AB87" i="58"/>
  <c r="AF87" i="58" s="1"/>
  <c r="AD142" i="58"/>
  <c r="AE142" i="58"/>
  <c r="AB71" i="58"/>
  <c r="AG71" i="58" s="1"/>
  <c r="Z20" i="58"/>
  <c r="AE20" i="58" s="1"/>
  <c r="Z16" i="58"/>
  <c r="AD16" i="58" s="1"/>
  <c r="AF136" i="58"/>
  <c r="AG136" i="58"/>
  <c r="AG14" i="58"/>
  <c r="AK14" i="58" s="1"/>
  <c r="AD141" i="58"/>
  <c r="AE141" i="58"/>
  <c r="AB36" i="58"/>
  <c r="AG36" i="58" s="1"/>
  <c r="Z37" i="58"/>
  <c r="AE37" i="58" s="1"/>
  <c r="AB115" i="58"/>
  <c r="AG115" i="58" s="1"/>
  <c r="AB39" i="58"/>
  <c r="AF39" i="58" s="1"/>
  <c r="AG142" i="58"/>
  <c r="AB25" i="58"/>
  <c r="AF25" i="58" s="1"/>
  <c r="AF135" i="58"/>
  <c r="AG135" i="58"/>
  <c r="AB103" i="58"/>
  <c r="AF103" i="58" s="1"/>
  <c r="Z17" i="58"/>
  <c r="AE17" i="58" s="1"/>
  <c r="Z18" i="58"/>
  <c r="AD18" i="58" s="1"/>
  <c r="Z77" i="58"/>
  <c r="AE77" i="58" s="1"/>
  <c r="Z91" i="58"/>
  <c r="AE91" i="58" s="1"/>
  <c r="Z30" i="58"/>
  <c r="AD30" i="58" s="1"/>
  <c r="Z86" i="58"/>
  <c r="AE86" i="58" s="1"/>
  <c r="AC66" i="58"/>
  <c r="Z59" i="58"/>
  <c r="AD59" i="58" s="1"/>
  <c r="AD136" i="58"/>
  <c r="AE136" i="58"/>
  <c r="AE139" i="58"/>
  <c r="AB86" i="58"/>
  <c r="AF86" i="58" s="1"/>
  <c r="AB64" i="58"/>
  <c r="AG64" i="58" s="1"/>
  <c r="Z74" i="58"/>
  <c r="AD74" i="58" s="1"/>
  <c r="AB74" i="58"/>
  <c r="AG74" i="58" s="1"/>
  <c r="Z73" i="58"/>
  <c r="AE73" i="58" s="1"/>
  <c r="AB56" i="58"/>
  <c r="AG56" i="58" s="1"/>
  <c r="AB30" i="58"/>
  <c r="AF30" i="58" s="1"/>
  <c r="AD45" i="58"/>
  <c r="AB63" i="58"/>
  <c r="AF63" i="58" s="1"/>
  <c r="AA67" i="58"/>
  <c r="Z40" i="58"/>
  <c r="AE40" i="58" s="1"/>
  <c r="Z11" i="58"/>
  <c r="AE11" i="58" s="1"/>
  <c r="AB11" i="58"/>
  <c r="AB32" i="58"/>
  <c r="AF32" i="58" s="1"/>
  <c r="AB21" i="58"/>
  <c r="AF21" i="58" s="1"/>
  <c r="Z34" i="58"/>
  <c r="AE34" i="58" s="1"/>
  <c r="Z50" i="58"/>
  <c r="AD50" i="58" s="1"/>
  <c r="AB48" i="58"/>
  <c r="AF48" i="58" s="1"/>
  <c r="Z48" i="58"/>
  <c r="AE48" i="58" s="1"/>
  <c r="AG31" i="58"/>
  <c r="Z21" i="58"/>
  <c r="AE21" i="58" s="1"/>
  <c r="Z67" i="58"/>
  <c r="AB67" i="58"/>
  <c r="Z57" i="58"/>
  <c r="AD57" i="58" s="1"/>
  <c r="Z63" i="58"/>
  <c r="AE63" i="58" s="1"/>
  <c r="AB38" i="58"/>
  <c r="AG38" i="58" s="1"/>
  <c r="AB34" i="58"/>
  <c r="AF34" i="58" s="1"/>
  <c r="AC67" i="58"/>
  <c r="Z115" i="58"/>
  <c r="AD115" i="58" s="1"/>
  <c r="AB40" i="58"/>
  <c r="AG40" i="58" s="1"/>
  <c r="Z39" i="58"/>
  <c r="AE39" i="58" s="1"/>
  <c r="Z25" i="58"/>
  <c r="AD25" i="58" s="1"/>
  <c r="AB44" i="58"/>
  <c r="AF44" i="58" s="1"/>
  <c r="Z44" i="58"/>
  <c r="AD44" i="58" s="1"/>
  <c r="AB66" i="58"/>
  <c r="Z66" i="58"/>
  <c r="Z51" i="58"/>
  <c r="AE51" i="58" s="1"/>
  <c r="AB51" i="58"/>
  <c r="AF51" i="58" s="1"/>
  <c r="AB29" i="58"/>
  <c r="AF29" i="58" s="1"/>
  <c r="AB37" i="58"/>
  <c r="AF37" i="58" s="1"/>
  <c r="AB80" i="58"/>
  <c r="AG80" i="58" s="1"/>
  <c r="Z80" i="58"/>
  <c r="AE80" i="58" s="1"/>
  <c r="Z47" i="58"/>
  <c r="AD47" i="58" s="1"/>
  <c r="AB47" i="58"/>
  <c r="AG47" i="58" s="1"/>
  <c r="Z56" i="58"/>
  <c r="AD56" i="58" s="1"/>
  <c r="AF15" i="58"/>
  <c r="AB96" i="58"/>
  <c r="AF96" i="58" s="1"/>
  <c r="Z29" i="58"/>
  <c r="AD29" i="58" s="1"/>
  <c r="Z35" i="58"/>
  <c r="AD35" i="58" s="1"/>
  <c r="Z33" i="58"/>
  <c r="AE33" i="58" s="1"/>
  <c r="Z126" i="58"/>
  <c r="AD126" i="58" s="1"/>
  <c r="AF31" i="58"/>
  <c r="V130" i="58"/>
  <c r="Z130" i="58" s="1"/>
  <c r="AE130" i="58" s="1"/>
  <c r="AF121" i="58"/>
  <c r="AG121" i="58"/>
  <c r="AB33" i="58"/>
  <c r="AF33" i="58" s="1"/>
  <c r="AB35" i="58"/>
  <c r="AG35" i="58" s="1"/>
  <c r="AE120" i="58"/>
  <c r="AD120" i="58"/>
  <c r="AF120" i="58"/>
  <c r="AG120" i="58"/>
  <c r="AB126" i="58"/>
  <c r="AF126" i="58" s="1"/>
  <c r="Z96" i="58"/>
  <c r="AD96" i="58" s="1"/>
  <c r="X130" i="58"/>
  <c r="AB130" i="58" s="1"/>
  <c r="Z128" i="58"/>
  <c r="AB128" i="58"/>
  <c r="AE46" i="58"/>
  <c r="AH46" i="58" s="1"/>
  <c r="V122" i="58"/>
  <c r="Z122" i="58" s="1"/>
  <c r="AB94" i="58"/>
  <c r="AF94" i="58" s="1"/>
  <c r="V125" i="58"/>
  <c r="X122" i="58"/>
  <c r="AB122" i="58" s="1"/>
  <c r="Z107" i="58"/>
  <c r="AF46" i="58"/>
  <c r="AJ46" i="58" s="1"/>
  <c r="AE15" i="58"/>
  <c r="Z94" i="58"/>
  <c r="AE94" i="58" s="1"/>
  <c r="AE58" i="58"/>
  <c r="AG58" i="58"/>
  <c r="AA122" i="58"/>
  <c r="AC125" i="58"/>
  <c r="AA125" i="58"/>
  <c r="AC122" i="58"/>
  <c r="X125" i="58"/>
  <c r="AG15" i="58"/>
  <c r="AG79" i="58"/>
  <c r="AK79" i="58" s="1"/>
  <c r="AB75" i="58"/>
  <c r="AG75" i="58" s="1"/>
  <c r="AD79" i="58"/>
  <c r="AI79" i="58" s="1"/>
  <c r="Z75" i="58"/>
  <c r="AE75" i="58" s="1"/>
  <c r="AD15" i="58"/>
  <c r="AG83" i="58"/>
  <c r="AF83" i="58"/>
  <c r="AF91" i="58"/>
  <c r="AG91" i="58"/>
  <c r="U13" i="64"/>
  <c r="AB76" i="58"/>
  <c r="AF76" i="58" s="1"/>
  <c r="Z76" i="58"/>
  <c r="AD76" i="58" s="1"/>
  <c r="AB107" i="58"/>
  <c r="Z99" i="58"/>
  <c r="AE99" i="58" s="1"/>
  <c r="AB99" i="58"/>
  <c r="AF99" i="58" s="1"/>
  <c r="AD85" i="58"/>
  <c r="AI85" i="58" s="1"/>
  <c r="AG97" i="58"/>
  <c r="AA107" i="58"/>
  <c r="AG89" i="58"/>
  <c r="AC107" i="58"/>
  <c r="AA78" i="58"/>
  <c r="AD78" i="58" s="1"/>
  <c r="AE24" i="58"/>
  <c r="AF78" i="58"/>
  <c r="AD81" i="58"/>
  <c r="AE81" i="58"/>
  <c r="AB92" i="58"/>
  <c r="Z92" i="58"/>
  <c r="Y105" i="58"/>
  <c r="X105" i="58"/>
  <c r="W105" i="58"/>
  <c r="V105" i="58"/>
  <c r="AD22" i="58"/>
  <c r="AE22" i="58"/>
  <c r="Z84" i="58"/>
  <c r="AB84" i="58"/>
  <c r="AG22" i="58"/>
  <c r="AF22" i="58"/>
  <c r="AC43" i="58"/>
  <c r="AA43" i="58"/>
  <c r="Z118" i="58"/>
  <c r="AB118" i="58"/>
  <c r="AF89" i="58"/>
  <c r="AE42" i="58"/>
  <c r="AD42" i="58"/>
  <c r="AG42" i="58"/>
  <c r="AF42" i="58"/>
  <c r="AF82" i="58"/>
  <c r="AG82" i="58"/>
  <c r="AG78" i="58"/>
  <c r="Z53" i="58"/>
  <c r="AB53" i="58"/>
  <c r="AM79" i="58" l="1"/>
  <c r="AQ79" i="58" s="1"/>
  <c r="AO79" i="58"/>
  <c r="AS79" i="58" s="1"/>
  <c r="AN70" i="58"/>
  <c r="AR70" i="58" s="1"/>
  <c r="AM93" i="58"/>
  <c r="AQ93" i="58" s="1"/>
  <c r="AM68" i="58"/>
  <c r="AQ68" i="58" s="1"/>
  <c r="BA68" i="58" s="1"/>
  <c r="Z9" i="64" s="1"/>
  <c r="AN68" i="58"/>
  <c r="AR68" i="58" s="1"/>
  <c r="AM85" i="58"/>
  <c r="AQ85" i="58" s="1"/>
  <c r="BA85" i="58" s="1"/>
  <c r="AO93" i="58"/>
  <c r="AS93" i="58" s="1"/>
  <c r="AM70" i="58"/>
  <c r="AQ70" i="58" s="1"/>
  <c r="BA70" i="58" s="1"/>
  <c r="Z12" i="64" s="1"/>
  <c r="AF110" i="58"/>
  <c r="AK110" i="58" s="1"/>
  <c r="AF145" i="58"/>
  <c r="AD89" i="58"/>
  <c r="AH89" i="58" s="1"/>
  <c r="AE49" i="58"/>
  <c r="AH49" i="58" s="1"/>
  <c r="AD132" i="58"/>
  <c r="AH132" i="58" s="1"/>
  <c r="AL132" i="58" s="1"/>
  <c r="AD82" i="58"/>
  <c r="AI82" i="58" s="1"/>
  <c r="AD31" i="58"/>
  <c r="AI31" i="58" s="1"/>
  <c r="AE97" i="58"/>
  <c r="AH97" i="58" s="1"/>
  <c r="AF59" i="58"/>
  <c r="AK59" i="58" s="1"/>
  <c r="AG13" i="58"/>
  <c r="AJ13" i="58" s="1"/>
  <c r="AN12" i="58" s="1"/>
  <c r="AR12" i="58" s="1"/>
  <c r="AG133" i="58"/>
  <c r="AK133" i="58" s="1"/>
  <c r="AO133" i="58" s="1"/>
  <c r="AB117" i="58"/>
  <c r="AG55" i="58"/>
  <c r="AJ55" i="58" s="1"/>
  <c r="AE114" i="58"/>
  <c r="AI114" i="58" s="1"/>
  <c r="AG45" i="58"/>
  <c r="AJ45" i="58" s="1"/>
  <c r="AF20" i="58"/>
  <c r="AK20" i="58" s="1"/>
  <c r="AD116" i="58"/>
  <c r="AI116" i="58" s="1"/>
  <c r="AE43" i="58"/>
  <c r="AG127" i="58"/>
  <c r="AK127" i="58" s="1"/>
  <c r="AO127" i="58" s="1"/>
  <c r="AE98" i="58"/>
  <c r="AI98" i="58" s="1"/>
  <c r="AG114" i="58"/>
  <c r="AK114" i="58" s="1"/>
  <c r="AD102" i="58"/>
  <c r="AI102" i="58" s="1"/>
  <c r="AD55" i="58"/>
  <c r="AI55" i="58" s="1"/>
  <c r="AG116" i="58"/>
  <c r="AJ116" i="58" s="1"/>
  <c r="AF119" i="58"/>
  <c r="AK119" i="58" s="1"/>
  <c r="AD127" i="58"/>
  <c r="AH127" i="58" s="1"/>
  <c r="AL127" i="58" s="1"/>
  <c r="AG54" i="58"/>
  <c r="AJ54" i="58" s="1"/>
  <c r="AE95" i="58"/>
  <c r="AI95" i="58" s="1"/>
  <c r="AK68" i="58"/>
  <c r="AD121" i="58"/>
  <c r="AI121" i="58" s="1"/>
  <c r="AM121" i="58" s="1"/>
  <c r="AF98" i="58"/>
  <c r="AJ98" i="58" s="1"/>
  <c r="AH123" i="58"/>
  <c r="AF41" i="58"/>
  <c r="AJ41" i="58" s="1"/>
  <c r="AD62" i="58"/>
  <c r="AI62" i="58" s="1"/>
  <c r="AG85" i="58"/>
  <c r="AJ85" i="58" s="1"/>
  <c r="AJ62" i="58"/>
  <c r="AG144" i="58"/>
  <c r="AJ144" i="58" s="1"/>
  <c r="AN144" i="58" s="1"/>
  <c r="AD117" i="58"/>
  <c r="AI13" i="58"/>
  <c r="AH45" i="58"/>
  <c r="AK97" i="58"/>
  <c r="AF100" i="58"/>
  <c r="AJ100" i="58" s="1"/>
  <c r="AE117" i="58"/>
  <c r="AI12" i="58"/>
  <c r="AB69" i="58"/>
  <c r="AD28" i="58"/>
  <c r="AI28" i="58" s="1"/>
  <c r="AI129" i="58"/>
  <c r="AG138" i="58"/>
  <c r="AI54" i="58"/>
  <c r="AC69" i="58"/>
  <c r="AF81" i="58"/>
  <c r="AK81" i="58" s="1"/>
  <c r="AE145" i="58"/>
  <c r="AI145" i="58" s="1"/>
  <c r="AM145" i="58" s="1"/>
  <c r="AE100" i="58"/>
  <c r="AI100" i="58" s="1"/>
  <c r="AH68" i="58"/>
  <c r="AK58" i="58"/>
  <c r="AI119" i="58"/>
  <c r="AE138" i="58"/>
  <c r="AE110" i="58"/>
  <c r="AI110" i="58" s="1"/>
  <c r="AD101" i="58"/>
  <c r="AI101" i="58" s="1"/>
  <c r="AG145" i="58"/>
  <c r="AF138" i="58"/>
  <c r="AD138" i="58"/>
  <c r="AF60" i="58"/>
  <c r="AK60" i="58" s="1"/>
  <c r="AE144" i="58"/>
  <c r="AI144" i="58" s="1"/>
  <c r="AM144" i="58" s="1"/>
  <c r="AH58" i="58"/>
  <c r="AD69" i="58"/>
  <c r="AR124" i="58"/>
  <c r="AQ124" i="58"/>
  <c r="AP129" i="58"/>
  <c r="AS124" i="58"/>
  <c r="AS129" i="58"/>
  <c r="AP124" i="58"/>
  <c r="AS123" i="58"/>
  <c r="AK102" i="58"/>
  <c r="AI41" i="58"/>
  <c r="AK49" i="58"/>
  <c r="AE60" i="58"/>
  <c r="AH60" i="58" s="1"/>
  <c r="AJ123" i="58"/>
  <c r="AN123" i="58" s="1"/>
  <c r="AK12" i="58"/>
  <c r="AE112" i="58"/>
  <c r="AH112" i="58" s="1"/>
  <c r="AG95" i="58"/>
  <c r="AK95" i="58" s="1"/>
  <c r="AI14" i="58"/>
  <c r="AF52" i="58"/>
  <c r="AK52" i="58" s="1"/>
  <c r="AH119" i="58"/>
  <c r="AF23" i="58"/>
  <c r="AK23" i="58" s="1"/>
  <c r="AD23" i="58"/>
  <c r="AI23" i="58" s="1"/>
  <c r="AD64" i="58"/>
  <c r="AI64" i="58" s="1"/>
  <c r="AG112" i="58"/>
  <c r="AK112" i="58" s="1"/>
  <c r="AD10" i="58"/>
  <c r="AI10" i="58" s="1"/>
  <c r="AI135" i="58"/>
  <c r="AM135" i="58" s="1"/>
  <c r="AG28" i="58"/>
  <c r="AK28" i="58" s="1"/>
  <c r="AK140" i="58"/>
  <c r="AO140" i="58" s="1"/>
  <c r="AD19" i="58"/>
  <c r="AI19" i="58" s="1"/>
  <c r="AE90" i="58"/>
  <c r="AH90" i="58" s="1"/>
  <c r="AG104" i="58"/>
  <c r="AJ104" i="58" s="1"/>
  <c r="AF113" i="58"/>
  <c r="AK113" i="58" s="1"/>
  <c r="AE143" i="58"/>
  <c r="AH143" i="58" s="1"/>
  <c r="AL143" i="58" s="1"/>
  <c r="AG17" i="58"/>
  <c r="AK17" i="58" s="1"/>
  <c r="AD111" i="58"/>
  <c r="AH111" i="58" s="1"/>
  <c r="AF61" i="58"/>
  <c r="AJ61" i="58" s="1"/>
  <c r="AF72" i="58"/>
  <c r="AK72" i="58" s="1"/>
  <c r="AD65" i="58"/>
  <c r="AH65" i="58" s="1"/>
  <c r="AJ129" i="58"/>
  <c r="AN129" i="58" s="1"/>
  <c r="AF143" i="58"/>
  <c r="AK143" i="58" s="1"/>
  <c r="AO143" i="58" s="1"/>
  <c r="AD113" i="58"/>
  <c r="AI113" i="58" s="1"/>
  <c r="AG57" i="58"/>
  <c r="AK57" i="58" s="1"/>
  <c r="AE72" i="58"/>
  <c r="AH72" i="58" s="1"/>
  <c r="AF109" i="58"/>
  <c r="AJ109" i="58" s="1"/>
  <c r="AE137" i="58"/>
  <c r="AH137" i="58" s="1"/>
  <c r="AL137" i="58" s="1"/>
  <c r="AK139" i="58"/>
  <c r="AO139" i="58" s="1"/>
  <c r="AG111" i="58"/>
  <c r="AK111" i="58" s="1"/>
  <c r="AH93" i="58"/>
  <c r="AE71" i="58"/>
  <c r="AH71" i="58" s="1"/>
  <c r="AF10" i="58"/>
  <c r="AJ10" i="58" s="1"/>
  <c r="AG90" i="58"/>
  <c r="AK90" i="58" s="1"/>
  <c r="AD131" i="58"/>
  <c r="AI131" i="58" s="1"/>
  <c r="AM131" i="58" s="1"/>
  <c r="AF88" i="58"/>
  <c r="AJ88" i="58" s="1"/>
  <c r="AE69" i="58"/>
  <c r="AD17" i="58"/>
  <c r="AH17" i="58" s="1"/>
  <c r="AG77" i="58"/>
  <c r="AJ77" i="58" s="1"/>
  <c r="AJ132" i="58"/>
  <c r="AN132" i="58" s="1"/>
  <c r="AE104" i="58"/>
  <c r="AH104" i="58" s="1"/>
  <c r="AK141" i="58"/>
  <c r="AO141" i="58" s="1"/>
  <c r="AD106" i="58"/>
  <c r="AI106" i="58" s="1"/>
  <c r="AF131" i="58"/>
  <c r="AK131" i="58" s="1"/>
  <c r="AO131" i="58" s="1"/>
  <c r="AF26" i="58"/>
  <c r="AJ26" i="58" s="1"/>
  <c r="AG134" i="58"/>
  <c r="AK134" i="58" s="1"/>
  <c r="AO134" i="58" s="1"/>
  <c r="AF108" i="58"/>
  <c r="AJ108" i="58" s="1"/>
  <c r="AF106" i="58"/>
  <c r="AK106" i="58" s="1"/>
  <c r="AF27" i="58"/>
  <c r="AJ27" i="58" s="1"/>
  <c r="AF137" i="58"/>
  <c r="AK137" i="58" s="1"/>
  <c r="AO137" i="58" s="1"/>
  <c r="AE26" i="58"/>
  <c r="AI26" i="58" s="1"/>
  <c r="AE134" i="58"/>
  <c r="AI134" i="58" s="1"/>
  <c r="AM134" i="58" s="1"/>
  <c r="AF101" i="58"/>
  <c r="AG101" i="58"/>
  <c r="AE83" i="58"/>
  <c r="AH83" i="58" s="1"/>
  <c r="AI109" i="58"/>
  <c r="AE108" i="58"/>
  <c r="AI108" i="58" s="1"/>
  <c r="AD20" i="58"/>
  <c r="AI20" i="58" s="1"/>
  <c r="AK62" i="58"/>
  <c r="AD32" i="58"/>
  <c r="AI32" i="58" s="1"/>
  <c r="AH70" i="58"/>
  <c r="AF65" i="58"/>
  <c r="AJ65" i="58" s="1"/>
  <c r="AJ139" i="58"/>
  <c r="AN139" i="58" s="1"/>
  <c r="AI123" i="58"/>
  <c r="AM123" i="58" s="1"/>
  <c r="AD37" i="58"/>
  <c r="AI37" i="58" s="1"/>
  <c r="AF19" i="58"/>
  <c r="AK19" i="58" s="1"/>
  <c r="AF24" i="58"/>
  <c r="AK24" i="58" s="1"/>
  <c r="AJ140" i="58"/>
  <c r="AN140" i="58" s="1"/>
  <c r="AH24" i="58"/>
  <c r="AD34" i="58"/>
  <c r="AI34" i="58" s="1"/>
  <c r="AK132" i="58"/>
  <c r="AO132" i="58" s="1"/>
  <c r="AF18" i="58"/>
  <c r="AK18" i="58" s="1"/>
  <c r="AH13" i="58"/>
  <c r="AL12" i="58" s="1"/>
  <c r="AP12" i="58" s="1"/>
  <c r="AD27" i="58"/>
  <c r="AI27" i="58" s="1"/>
  <c r="AE61" i="58"/>
  <c r="AH61" i="58" s="1"/>
  <c r="AG21" i="58"/>
  <c r="AK21" i="58" s="1"/>
  <c r="AK70" i="58"/>
  <c r="AJ141" i="58"/>
  <c r="AN141" i="58" s="1"/>
  <c r="AH109" i="58"/>
  <c r="AH133" i="58"/>
  <c r="AL133" i="58" s="1"/>
  <c r="AJ49" i="58"/>
  <c r="AE103" i="58"/>
  <c r="AH103" i="58" s="1"/>
  <c r="AD87" i="58"/>
  <c r="AH87" i="58" s="1"/>
  <c r="AG86" i="58"/>
  <c r="AK86" i="58" s="1"/>
  <c r="AE44" i="58"/>
  <c r="AH44" i="58" s="1"/>
  <c r="AE38" i="58"/>
  <c r="AI38" i="58" s="1"/>
  <c r="AE88" i="58"/>
  <c r="AH88" i="58" s="1"/>
  <c r="AE50" i="58"/>
  <c r="AH50" i="58" s="1"/>
  <c r="AD52" i="58"/>
  <c r="AI52" i="58" s="1"/>
  <c r="AG87" i="58"/>
  <c r="AJ87" i="58" s="1"/>
  <c r="AH54" i="58"/>
  <c r="AF50" i="58"/>
  <c r="AK50" i="58" s="1"/>
  <c r="AF73" i="58"/>
  <c r="AJ73" i="58" s="1"/>
  <c r="AG66" i="58"/>
  <c r="AD91" i="58"/>
  <c r="AH91" i="58" s="1"/>
  <c r="AI133" i="58"/>
  <c r="AM133" i="58" s="1"/>
  <c r="AD86" i="58"/>
  <c r="AI86" i="58" s="1"/>
  <c r="AE18" i="58"/>
  <c r="AI18" i="58" s="1"/>
  <c r="AG16" i="58"/>
  <c r="AJ16" i="58" s="1"/>
  <c r="AG103" i="58"/>
  <c r="AK103" i="58" s="1"/>
  <c r="AG44" i="58"/>
  <c r="AK44" i="58" s="1"/>
  <c r="AF115" i="58"/>
  <c r="AK115" i="58" s="1"/>
  <c r="AF36" i="58"/>
  <c r="AK36" i="58" s="1"/>
  <c r="AH41" i="58"/>
  <c r="AJ93" i="58"/>
  <c r="AE47" i="58"/>
  <c r="AI47" i="58" s="1"/>
  <c r="AI45" i="58"/>
  <c r="AE36" i="58"/>
  <c r="AI36" i="58" s="1"/>
  <c r="AE74" i="58"/>
  <c r="AI74" i="58" s="1"/>
  <c r="AK13" i="58"/>
  <c r="AI140" i="58"/>
  <c r="AM140" i="58" s="1"/>
  <c r="AH140" i="58"/>
  <c r="AL140" i="58" s="1"/>
  <c r="AE59" i="58"/>
  <c r="AI59" i="58" s="1"/>
  <c r="AG25" i="58"/>
  <c r="AK25" i="58" s="1"/>
  <c r="AE16" i="58"/>
  <c r="AI16" i="58" s="1"/>
  <c r="AJ102" i="58"/>
  <c r="AF47" i="58"/>
  <c r="AK47" i="58" s="1"/>
  <c r="AG48" i="58"/>
  <c r="AJ48" i="58" s="1"/>
  <c r="AF64" i="58"/>
  <c r="AK64" i="58" s="1"/>
  <c r="AH135" i="58"/>
  <c r="AL135" i="58" s="1"/>
  <c r="AD77" i="58"/>
  <c r="AH77" i="58" s="1"/>
  <c r="AF71" i="58"/>
  <c r="AJ71" i="58" s="1"/>
  <c r="AF74" i="58"/>
  <c r="AJ74" i="58" s="1"/>
  <c r="AD80" i="58"/>
  <c r="AI80" i="58" s="1"/>
  <c r="AG32" i="58"/>
  <c r="AK32" i="58" s="1"/>
  <c r="AI139" i="58"/>
  <c r="AM139" i="58" s="1"/>
  <c r="AD39" i="58"/>
  <c r="AI39" i="58" s="1"/>
  <c r="AD40" i="58"/>
  <c r="AI40" i="58" s="1"/>
  <c r="AG63" i="58"/>
  <c r="AK63" i="58" s="1"/>
  <c r="AF66" i="58"/>
  <c r="AE25" i="58"/>
  <c r="AH25" i="58" s="1"/>
  <c r="AD48" i="58"/>
  <c r="AH48" i="58" s="1"/>
  <c r="AD11" i="58"/>
  <c r="AH11" i="58" s="1"/>
  <c r="AF80" i="58"/>
  <c r="AJ80" i="58" s="1"/>
  <c r="AJ14" i="58"/>
  <c r="AH139" i="58"/>
  <c r="AL139" i="58" s="1"/>
  <c r="AI136" i="58"/>
  <c r="AM136" i="58" s="1"/>
  <c r="AH136" i="58"/>
  <c r="AL136" i="58" s="1"/>
  <c r="AG34" i="58"/>
  <c r="AJ34" i="58" s="1"/>
  <c r="AD73" i="58"/>
  <c r="AI73" i="58" s="1"/>
  <c r="AF56" i="58"/>
  <c r="AJ56" i="58" s="1"/>
  <c r="AI141" i="58"/>
  <c r="AM141" i="58" s="1"/>
  <c r="AH141" i="58"/>
  <c r="AL141" i="58" s="1"/>
  <c r="AK135" i="58"/>
  <c r="AO135" i="58" s="1"/>
  <c r="AJ135" i="58"/>
  <c r="AN135" i="58" s="1"/>
  <c r="AG39" i="58"/>
  <c r="AK39" i="58" s="1"/>
  <c r="AE56" i="58"/>
  <c r="AH56" i="58" s="1"/>
  <c r="AE30" i="58"/>
  <c r="AI30" i="58" s="1"/>
  <c r="AK142" i="58"/>
  <c r="AO142" i="58" s="1"/>
  <c r="AJ142" i="58"/>
  <c r="AN142" i="58" s="1"/>
  <c r="AJ136" i="58"/>
  <c r="AN136" i="58" s="1"/>
  <c r="AK136" i="58"/>
  <c r="AO136" i="58" s="1"/>
  <c r="AI142" i="58"/>
  <c r="AM142" i="58" s="1"/>
  <c r="AH142" i="58"/>
  <c r="AL142" i="58" s="1"/>
  <c r="AE67" i="58"/>
  <c r="AG30" i="58"/>
  <c r="AK30" i="58" s="1"/>
  <c r="AG11" i="58"/>
  <c r="AF11" i="58"/>
  <c r="AD21" i="58"/>
  <c r="AH21" i="58" s="1"/>
  <c r="AK31" i="58"/>
  <c r="AG51" i="58"/>
  <c r="AK51" i="58" s="1"/>
  <c r="AF67" i="58"/>
  <c r="AK15" i="58"/>
  <c r="AO14" i="58" s="1"/>
  <c r="AS14" i="58" s="1"/>
  <c r="AD67" i="58"/>
  <c r="AG67" i="58"/>
  <c r="AG29" i="58"/>
  <c r="AK29" i="58" s="1"/>
  <c r="AE57" i="58"/>
  <c r="AI57" i="58" s="1"/>
  <c r="AG96" i="58"/>
  <c r="AJ96" i="58" s="1"/>
  <c r="AD63" i="58"/>
  <c r="AI63" i="58" s="1"/>
  <c r="AE115" i="58"/>
  <c r="AH115" i="58" s="1"/>
  <c r="AD51" i="58"/>
  <c r="AH51" i="58" s="1"/>
  <c r="AF40" i="58"/>
  <c r="AK40" i="58" s="1"/>
  <c r="AF38" i="58"/>
  <c r="AJ38" i="58" s="1"/>
  <c r="AE29" i="58"/>
  <c r="AH29" i="58" s="1"/>
  <c r="AB125" i="58"/>
  <c r="AF125" i="58" s="1"/>
  <c r="AD66" i="58"/>
  <c r="AE66" i="58"/>
  <c r="AG126" i="58"/>
  <c r="AK126" i="58" s="1"/>
  <c r="AO126" i="58" s="1"/>
  <c r="AG37" i="58"/>
  <c r="AJ37" i="58" s="1"/>
  <c r="AE35" i="58"/>
  <c r="AH35" i="58" s="1"/>
  <c r="AG33" i="58"/>
  <c r="AJ33" i="58" s="1"/>
  <c r="AE126" i="58"/>
  <c r="AH126" i="58" s="1"/>
  <c r="AL126" i="58" s="1"/>
  <c r="AD33" i="58"/>
  <c r="AI33" i="58" s="1"/>
  <c r="AJ31" i="58"/>
  <c r="AD130" i="58"/>
  <c r="AH130" i="58" s="1"/>
  <c r="AL130" i="58" s="1"/>
  <c r="AE96" i="58"/>
  <c r="AI96" i="58" s="1"/>
  <c r="AF35" i="58"/>
  <c r="AK35" i="58" s="1"/>
  <c r="AD94" i="58"/>
  <c r="AH94" i="58" s="1"/>
  <c r="AG94" i="58"/>
  <c r="AJ94" i="58" s="1"/>
  <c r="AG128" i="58"/>
  <c r="AF128" i="58"/>
  <c r="AE128" i="58"/>
  <c r="AD128" i="58"/>
  <c r="AI120" i="58"/>
  <c r="AM120" i="58" s="1"/>
  <c r="AH120" i="58"/>
  <c r="AL120" i="58" s="1"/>
  <c r="AI46" i="58"/>
  <c r="AF130" i="58"/>
  <c r="AG130" i="58"/>
  <c r="Z125" i="58"/>
  <c r="AD125" i="58" s="1"/>
  <c r="AJ120" i="58"/>
  <c r="AN120" i="58" s="1"/>
  <c r="AK120" i="58"/>
  <c r="AO120" i="58" s="1"/>
  <c r="AJ121" i="58"/>
  <c r="AN121" i="58" s="1"/>
  <c r="AK121" i="58"/>
  <c r="AO121" i="58" s="1"/>
  <c r="AH121" i="58"/>
  <c r="AJ110" i="58"/>
  <c r="AD122" i="58"/>
  <c r="AJ58" i="58"/>
  <c r="AE107" i="58"/>
  <c r="AK46" i="58"/>
  <c r="AI58" i="58"/>
  <c r="AF122" i="58"/>
  <c r="AI15" i="58"/>
  <c r="AE122" i="58"/>
  <c r="AJ79" i="58"/>
  <c r="AG122" i="58"/>
  <c r="AJ15" i="58"/>
  <c r="AH31" i="58"/>
  <c r="AH79" i="58"/>
  <c r="AD75" i="58"/>
  <c r="AH75" i="58" s="1"/>
  <c r="AF75" i="58"/>
  <c r="AK75" i="58" s="1"/>
  <c r="AH15" i="58"/>
  <c r="AL15" i="58" s="1"/>
  <c r="AP15" i="58" s="1"/>
  <c r="AK83" i="58"/>
  <c r="AJ83" i="58"/>
  <c r="AJ91" i="58"/>
  <c r="AK91" i="58"/>
  <c r="AG76" i="58"/>
  <c r="AJ76" i="58" s="1"/>
  <c r="AE76" i="58"/>
  <c r="AH76" i="58" s="1"/>
  <c r="AD107" i="58"/>
  <c r="AH85" i="58"/>
  <c r="AG107" i="58"/>
  <c r="AD99" i="58"/>
  <c r="AH99" i="58" s="1"/>
  <c r="AF107" i="58"/>
  <c r="AG99" i="58"/>
  <c r="AJ99" i="58" s="1"/>
  <c r="AJ97" i="58"/>
  <c r="AI24" i="58"/>
  <c r="AC105" i="58"/>
  <c r="AJ89" i="58"/>
  <c r="AE78" i="58"/>
  <c r="AH78" i="58" s="1"/>
  <c r="AK78" i="58"/>
  <c r="Z105" i="58"/>
  <c r="AK89" i="58"/>
  <c r="AD43" i="58"/>
  <c r="AA105" i="58"/>
  <c r="Y5" i="58"/>
  <c r="Y4" i="58" s="1"/>
  <c r="AB105" i="58"/>
  <c r="AE118" i="58"/>
  <c r="AD118" i="58"/>
  <c r="AG43" i="58"/>
  <c r="AF43" i="58"/>
  <c r="AG118" i="58"/>
  <c r="AF118" i="58"/>
  <c r="AD92" i="58"/>
  <c r="AE92" i="58"/>
  <c r="AF84" i="58"/>
  <c r="AG84" i="58"/>
  <c r="AF92" i="58"/>
  <c r="AG92" i="58"/>
  <c r="AE84" i="58"/>
  <c r="AD84" i="58"/>
  <c r="AH81" i="58"/>
  <c r="AI81" i="58"/>
  <c r="AK22" i="58"/>
  <c r="AJ22" i="58"/>
  <c r="AH22" i="58"/>
  <c r="AI22" i="58"/>
  <c r="AH42" i="58"/>
  <c r="AI42" i="58"/>
  <c r="AK42" i="58"/>
  <c r="AJ42" i="58"/>
  <c r="AK82" i="58"/>
  <c r="AJ82" i="58"/>
  <c r="AJ78" i="58"/>
  <c r="AF53" i="58"/>
  <c r="AG53" i="58"/>
  <c r="AE53" i="58"/>
  <c r="AD53" i="58"/>
  <c r="BA93" i="58" l="1"/>
  <c r="Z53" i="64" s="1"/>
  <c r="AU93" i="58"/>
  <c r="BC93" i="58" s="1"/>
  <c r="AB53" i="64" s="1"/>
  <c r="AF53" i="64" s="1"/>
  <c r="AD12" i="64"/>
  <c r="AK12" i="64"/>
  <c r="AK9" i="64"/>
  <c r="AD9" i="64"/>
  <c r="BA79" i="58"/>
  <c r="Z42" i="64" s="1"/>
  <c r="AU79" i="58"/>
  <c r="BC79" i="58" s="1"/>
  <c r="AB42" i="64" s="1"/>
  <c r="AM42" i="64" s="1"/>
  <c r="BE42" i="64" s="1"/>
  <c r="AN78" i="58"/>
  <c r="AR78" i="58" s="1"/>
  <c r="AO82" i="58"/>
  <c r="AS82" i="58" s="1"/>
  <c r="AL81" i="58"/>
  <c r="AP81" i="58" s="1"/>
  <c r="AN82" i="58"/>
  <c r="AR82" i="58" s="1"/>
  <c r="AM81" i="58"/>
  <c r="AQ81" i="58" s="1"/>
  <c r="AO89" i="58"/>
  <c r="AS89" i="58" s="1"/>
  <c r="AO78" i="58"/>
  <c r="AS78" i="58" s="1"/>
  <c r="AN89" i="58"/>
  <c r="AR89" i="58" s="1"/>
  <c r="AN99" i="58"/>
  <c r="AR99" i="58" s="1"/>
  <c r="AL99" i="58"/>
  <c r="AP99" i="58" s="1"/>
  <c r="AT99" i="58" s="1"/>
  <c r="AL85" i="58"/>
  <c r="AP85" i="58" s="1"/>
  <c r="AL76" i="58"/>
  <c r="AP76" i="58" s="1"/>
  <c r="AO91" i="58"/>
  <c r="AS91" i="58" s="1"/>
  <c r="AN83" i="58"/>
  <c r="AR83" i="58" s="1"/>
  <c r="AO75" i="58"/>
  <c r="AS75" i="58" s="1"/>
  <c r="AL75" i="58"/>
  <c r="AP75" i="58" s="1"/>
  <c r="AN110" i="58"/>
  <c r="AR110" i="58" s="1"/>
  <c r="AN94" i="58"/>
  <c r="AR94" i="58" s="1"/>
  <c r="AN74" i="58"/>
  <c r="AR74" i="58" s="1"/>
  <c r="AL77" i="58"/>
  <c r="AP77" i="58" s="1"/>
  <c r="AM74" i="58"/>
  <c r="AQ74" i="58" s="1"/>
  <c r="BA74" i="58" s="1"/>
  <c r="Z22" i="64" s="1"/>
  <c r="AN93" i="58"/>
  <c r="AR93" i="58" s="1"/>
  <c r="AM86" i="58"/>
  <c r="AQ86" i="58" s="1"/>
  <c r="AL91" i="58"/>
  <c r="AP91" i="58" s="1"/>
  <c r="AN73" i="58"/>
  <c r="AR73" i="58" s="1"/>
  <c r="AL88" i="58"/>
  <c r="AP88" i="58" s="1"/>
  <c r="AL87" i="58"/>
  <c r="AP87" i="58" s="1"/>
  <c r="AL109" i="58"/>
  <c r="AP109" i="58" s="1"/>
  <c r="AO70" i="58"/>
  <c r="AS70" i="58" s="1"/>
  <c r="AL70" i="58"/>
  <c r="AP70" i="58" s="1"/>
  <c r="AM108" i="58"/>
  <c r="AQ108" i="58" s="1"/>
  <c r="BA108" i="58" s="1"/>
  <c r="AL83" i="58"/>
  <c r="AP83" i="58" s="1"/>
  <c r="AT83" i="58" s="1"/>
  <c r="AN108" i="58"/>
  <c r="AR108" i="58" s="1"/>
  <c r="AM106" i="58"/>
  <c r="AQ106" i="58" s="1"/>
  <c r="AL104" i="58"/>
  <c r="AP104" i="58" s="1"/>
  <c r="AN77" i="58"/>
  <c r="AR77" i="58" s="1"/>
  <c r="AL93" i="58"/>
  <c r="AP93" i="58" s="1"/>
  <c r="AN109" i="58"/>
  <c r="AR109" i="58" s="1"/>
  <c r="AO113" i="58"/>
  <c r="AS113" i="58" s="1"/>
  <c r="AL90" i="58"/>
  <c r="AP90" i="58" s="1"/>
  <c r="AO112" i="58"/>
  <c r="AS112" i="58" s="1"/>
  <c r="AL119" i="58"/>
  <c r="AP119" i="58" s="1"/>
  <c r="AL112" i="58"/>
  <c r="AP112" i="58" s="1"/>
  <c r="AO102" i="58"/>
  <c r="AS102" i="58" s="1"/>
  <c r="AM110" i="58"/>
  <c r="AQ110" i="58" s="1"/>
  <c r="AM119" i="58"/>
  <c r="AQ119" i="58" s="1"/>
  <c r="AL68" i="58"/>
  <c r="AP68" i="58" s="1"/>
  <c r="AN100" i="58"/>
  <c r="AR100" i="58" s="1"/>
  <c r="AL123" i="58"/>
  <c r="AP123" i="58" s="1"/>
  <c r="AM95" i="58"/>
  <c r="AQ95" i="58" s="1"/>
  <c r="AN116" i="58"/>
  <c r="AR116" i="58" s="1"/>
  <c r="AM102" i="58"/>
  <c r="AQ102" i="58" s="1"/>
  <c r="AM98" i="58"/>
  <c r="AQ98" i="58" s="1"/>
  <c r="BA98" i="58" s="1"/>
  <c r="AM114" i="58"/>
  <c r="AQ114" i="58" s="1"/>
  <c r="AL97" i="58"/>
  <c r="AP97" i="58" s="1"/>
  <c r="AM82" i="58"/>
  <c r="AQ82" i="58" s="1"/>
  <c r="AL78" i="58"/>
  <c r="AP78" i="58" s="1"/>
  <c r="AT78" i="58" s="1"/>
  <c r="AN97" i="58"/>
  <c r="AR97" i="58" s="1"/>
  <c r="AN76" i="58"/>
  <c r="AR76" i="58" s="1"/>
  <c r="AN91" i="58"/>
  <c r="AR91" i="58" s="1"/>
  <c r="AO83" i="58"/>
  <c r="AS83" i="58" s="1"/>
  <c r="AL79" i="58"/>
  <c r="AP79" i="58" s="1"/>
  <c r="AN79" i="58"/>
  <c r="AR79" i="58" s="1"/>
  <c r="AL121" i="58"/>
  <c r="AP121" i="58" s="1"/>
  <c r="AL94" i="58"/>
  <c r="AP94" i="58" s="1"/>
  <c r="AT94" i="58" s="1"/>
  <c r="AM96" i="58"/>
  <c r="AQ96" i="58" s="1"/>
  <c r="BA96" i="58" s="1"/>
  <c r="AL115" i="58"/>
  <c r="AP115" i="58" s="1"/>
  <c r="AN96" i="58"/>
  <c r="AR96" i="58" s="1"/>
  <c r="AM73" i="58"/>
  <c r="AQ73" i="58" s="1"/>
  <c r="BA73" i="58" s="1"/>
  <c r="Z18" i="64" s="1"/>
  <c r="AN80" i="58"/>
  <c r="AR80" i="58" s="1"/>
  <c r="AM80" i="58"/>
  <c r="AQ80" i="58" s="1"/>
  <c r="BA80" i="58" s="1"/>
  <c r="AN71" i="58"/>
  <c r="AR71" i="58" s="1"/>
  <c r="AN102" i="58"/>
  <c r="AR102" i="58" s="1"/>
  <c r="AO115" i="58"/>
  <c r="AS115" i="58" s="1"/>
  <c r="AO103" i="58"/>
  <c r="AS103" i="58" s="1"/>
  <c r="AN87" i="58"/>
  <c r="AR87" i="58" s="1"/>
  <c r="AO86" i="58"/>
  <c r="AS86" i="58" s="1"/>
  <c r="AL103" i="58"/>
  <c r="AP103" i="58" s="1"/>
  <c r="AM109" i="58"/>
  <c r="AQ109" i="58" s="1"/>
  <c r="BA109" i="58" s="1"/>
  <c r="AO106" i="58"/>
  <c r="AS106" i="58" s="1"/>
  <c r="AN88" i="58"/>
  <c r="AR88" i="58" s="1"/>
  <c r="AO90" i="58"/>
  <c r="AS90" i="58" s="1"/>
  <c r="AL71" i="58"/>
  <c r="AP71" i="58" s="1"/>
  <c r="AO111" i="58"/>
  <c r="AS111" i="58" s="1"/>
  <c r="AL72" i="58"/>
  <c r="AP72" i="58" s="1"/>
  <c r="AM113" i="58"/>
  <c r="AQ113" i="58" s="1"/>
  <c r="AO72" i="58"/>
  <c r="AS72" i="58" s="1"/>
  <c r="AL111" i="58"/>
  <c r="AP111" i="58" s="1"/>
  <c r="AN104" i="58"/>
  <c r="AR104" i="58" s="1"/>
  <c r="AO95" i="58"/>
  <c r="AS95" i="58" s="1"/>
  <c r="AM101" i="58"/>
  <c r="AQ101" i="58" s="1"/>
  <c r="BA101" i="58" s="1"/>
  <c r="AM100" i="58"/>
  <c r="AQ100" i="58" s="1"/>
  <c r="BA100" i="58" s="1"/>
  <c r="AO81" i="58"/>
  <c r="AS81" i="58" s="1"/>
  <c r="AM129" i="58"/>
  <c r="AQ129" i="58" s="1"/>
  <c r="AO97" i="58"/>
  <c r="AS97" i="58" s="1"/>
  <c r="AN85" i="58"/>
  <c r="AR85" i="58" s="1"/>
  <c r="AN98" i="58"/>
  <c r="AR98" i="58" s="1"/>
  <c r="AO68" i="58"/>
  <c r="AS68" i="58" s="1"/>
  <c r="AO119" i="58"/>
  <c r="AS119" i="58" s="1"/>
  <c r="AO114" i="58"/>
  <c r="AS114" i="58" s="1"/>
  <c r="AM116" i="58"/>
  <c r="AQ116" i="58" s="1"/>
  <c r="BA116" i="58" s="1"/>
  <c r="Z23" i="64" s="1"/>
  <c r="AL89" i="58"/>
  <c r="AP89" i="58" s="1"/>
  <c r="AO110" i="58"/>
  <c r="AS110" i="58" s="1"/>
  <c r="AI89" i="58"/>
  <c r="AH82" i="58"/>
  <c r="AK145" i="58"/>
  <c r="AI97" i="58"/>
  <c r="AI49" i="58"/>
  <c r="AN13" i="58"/>
  <c r="AR13" i="58" s="1"/>
  <c r="AI43" i="58"/>
  <c r="AM42" i="58" s="1"/>
  <c r="AQ42" i="58" s="1"/>
  <c r="BA42" i="58" s="1"/>
  <c r="AI132" i="58"/>
  <c r="AM132" i="58" s="1"/>
  <c r="AH116" i="58"/>
  <c r="AJ59" i="58"/>
  <c r="AJ127" i="58"/>
  <c r="AK45" i="58"/>
  <c r="AO44" i="58" s="1"/>
  <c r="AS44" i="58" s="1"/>
  <c r="AK55" i="58"/>
  <c r="AJ133" i="58"/>
  <c r="AG117" i="58"/>
  <c r="AF117" i="58"/>
  <c r="AJ20" i="58"/>
  <c r="AH114" i="58"/>
  <c r="AH98" i="58"/>
  <c r="AK116" i="58"/>
  <c r="AJ114" i="58"/>
  <c r="AH102" i="58"/>
  <c r="AO58" i="58"/>
  <c r="AS58" i="58" s="1"/>
  <c r="AH55" i="58"/>
  <c r="AL54" i="58" s="1"/>
  <c r="AP54" i="58" s="1"/>
  <c r="AJ119" i="58"/>
  <c r="AI127" i="58"/>
  <c r="AK54" i="58"/>
  <c r="AO54" i="58" s="1"/>
  <c r="AS54" i="58" s="1"/>
  <c r="AK98" i="58"/>
  <c r="AH95" i="58"/>
  <c r="AK85" i="58"/>
  <c r="AH62" i="58"/>
  <c r="AK144" i="58"/>
  <c r="AK41" i="58"/>
  <c r="AO40" i="58" s="1"/>
  <c r="AS40" i="58" s="1"/>
  <c r="AM12" i="58"/>
  <c r="AQ12" i="58" s="1"/>
  <c r="BA12" i="58" s="1"/>
  <c r="AI117" i="58"/>
  <c r="AM13" i="58"/>
  <c r="AQ13" i="58" s="1"/>
  <c r="BA13" i="58" s="1"/>
  <c r="AH117" i="58"/>
  <c r="AM63" i="58"/>
  <c r="AQ63" i="58" s="1"/>
  <c r="BA63" i="58" s="1"/>
  <c r="AH28" i="58"/>
  <c r="AL28" i="58" s="1"/>
  <c r="AP28" i="58" s="1"/>
  <c r="AK100" i="58"/>
  <c r="AK138" i="58"/>
  <c r="AG69" i="58"/>
  <c r="AM55" i="58"/>
  <c r="AQ55" i="58" s="1"/>
  <c r="BA55" i="58" s="1"/>
  <c r="AF69" i="58"/>
  <c r="AJ138" i="58"/>
  <c r="AH145" i="58"/>
  <c r="AJ81" i="58"/>
  <c r="AI138" i="58"/>
  <c r="AO59" i="58"/>
  <c r="AS59" i="58" s="1"/>
  <c r="AH100" i="58"/>
  <c r="AH101" i="58"/>
  <c r="AJ145" i="58"/>
  <c r="AH110" i="58"/>
  <c r="AH138" i="58"/>
  <c r="AJ60" i="58"/>
  <c r="AN61" i="58" s="1"/>
  <c r="AR61" i="58" s="1"/>
  <c r="AM15" i="58"/>
  <c r="AQ15" i="58" s="1"/>
  <c r="AV15" i="58" s="1"/>
  <c r="AH69" i="58"/>
  <c r="AH144" i="58"/>
  <c r="AT124" i="58"/>
  <c r="AX124" i="58"/>
  <c r="AZ124" i="58" s="1"/>
  <c r="AV124" i="58"/>
  <c r="BA124" i="58"/>
  <c r="AU124" i="58"/>
  <c r="BC124" i="58" s="1"/>
  <c r="AW124" i="58"/>
  <c r="AY124" i="58"/>
  <c r="AS121" i="58"/>
  <c r="AP120" i="58"/>
  <c r="AP142" i="58"/>
  <c r="AR142" i="58"/>
  <c r="AS135" i="58"/>
  <c r="AQ141" i="58"/>
  <c r="AQ136" i="58"/>
  <c r="AQ139" i="58"/>
  <c r="BA139" i="58" s="1"/>
  <c r="AP140" i="58"/>
  <c r="AS132" i="58"/>
  <c r="AS131" i="58"/>
  <c r="AR132" i="58"/>
  <c r="AS143" i="58"/>
  <c r="AS127" i="58"/>
  <c r="AP143" i="58"/>
  <c r="AS140" i="58"/>
  <c r="AR123" i="58"/>
  <c r="AR120" i="58"/>
  <c r="AP127" i="58"/>
  <c r="AS133" i="58"/>
  <c r="AR121" i="58"/>
  <c r="AQ120" i="58"/>
  <c r="BA120" i="58" s="1"/>
  <c r="AQ142" i="58"/>
  <c r="AS142" i="58"/>
  <c r="AR144" i="58"/>
  <c r="AP139" i="58"/>
  <c r="AQ140" i="58"/>
  <c r="AQ132" i="58"/>
  <c r="AR141" i="58"/>
  <c r="AT12" i="58"/>
  <c r="AP132" i="58"/>
  <c r="AR140" i="58"/>
  <c r="AQ123" i="58"/>
  <c r="AQ134" i="58"/>
  <c r="AS137" i="58"/>
  <c r="AS139" i="58"/>
  <c r="AR129" i="58"/>
  <c r="AR136" i="58"/>
  <c r="AR135" i="58"/>
  <c r="AP141" i="58"/>
  <c r="AP136" i="58"/>
  <c r="AP135" i="58"/>
  <c r="AQ133" i="58"/>
  <c r="AQ135" i="58"/>
  <c r="AQ121" i="58"/>
  <c r="AS120" i="58"/>
  <c r="AP130" i="58"/>
  <c r="AP126" i="58"/>
  <c r="AS126" i="58"/>
  <c r="AS136" i="58"/>
  <c r="AQ145" i="58"/>
  <c r="AQ144" i="58"/>
  <c r="AP133" i="58"/>
  <c r="AR139" i="58"/>
  <c r="AS134" i="58"/>
  <c r="AS141" i="58"/>
  <c r="AQ131" i="58"/>
  <c r="AP137" i="58"/>
  <c r="AI60" i="58"/>
  <c r="AJ95" i="58"/>
  <c r="AI112" i="58"/>
  <c r="AO13" i="58"/>
  <c r="AS13" i="58" s="1"/>
  <c r="AH64" i="58"/>
  <c r="AL64" i="58" s="1"/>
  <c r="AP64" i="58" s="1"/>
  <c r="AI104" i="58"/>
  <c r="AJ137" i="58"/>
  <c r="AN137" i="58" s="1"/>
  <c r="AJ23" i="58"/>
  <c r="AN22" i="58" s="1"/>
  <c r="AR22" i="58" s="1"/>
  <c r="AH23" i="58"/>
  <c r="AL22" i="58" s="1"/>
  <c r="AP22" i="58" s="1"/>
  <c r="AJ21" i="58"/>
  <c r="AJ112" i="58"/>
  <c r="AJ52" i="58"/>
  <c r="AJ57" i="58"/>
  <c r="AN56" i="58" s="1"/>
  <c r="AR56" i="58" s="1"/>
  <c r="AJ90" i="58"/>
  <c r="AI143" i="58"/>
  <c r="AM143" i="58" s="1"/>
  <c r="AH10" i="58"/>
  <c r="AL11" i="58" s="1"/>
  <c r="AP11" i="58" s="1"/>
  <c r="AI111" i="58"/>
  <c r="AJ28" i="58"/>
  <c r="AK88" i="58"/>
  <c r="AK61" i="58"/>
  <c r="AO60" i="58" s="1"/>
  <c r="AS60" i="58" s="1"/>
  <c r="AI65" i="58"/>
  <c r="AM64" i="58" s="1"/>
  <c r="AQ64" i="58" s="1"/>
  <c r="BA64" i="58" s="1"/>
  <c r="Z47" i="64" s="1"/>
  <c r="AI137" i="58"/>
  <c r="AM137" i="58" s="1"/>
  <c r="AJ17" i="58"/>
  <c r="AN17" i="58" s="1"/>
  <c r="AR17" i="58" s="1"/>
  <c r="AI17" i="58"/>
  <c r="AM17" i="58" s="1"/>
  <c r="AQ17" i="58" s="1"/>
  <c r="AJ19" i="58"/>
  <c r="AK10" i="58"/>
  <c r="AH106" i="58"/>
  <c r="AH32" i="58"/>
  <c r="AI90" i="58"/>
  <c r="AH19" i="58"/>
  <c r="AJ113" i="58"/>
  <c r="AI71" i="58"/>
  <c r="AK87" i="58"/>
  <c r="AH113" i="58"/>
  <c r="AK104" i="58"/>
  <c r="AJ72" i="58"/>
  <c r="AH20" i="58"/>
  <c r="AL21" i="58" s="1"/>
  <c r="AP21" i="58" s="1"/>
  <c r="AK109" i="58"/>
  <c r="AJ111" i="58"/>
  <c r="AK65" i="58"/>
  <c r="AO65" i="58" s="1"/>
  <c r="AS65" i="58" s="1"/>
  <c r="AH37" i="58"/>
  <c r="AJ143" i="58"/>
  <c r="AN143" i="58" s="1"/>
  <c r="AI72" i="58"/>
  <c r="AI103" i="58"/>
  <c r="AK77" i="58"/>
  <c r="AH38" i="58"/>
  <c r="AO62" i="58"/>
  <c r="AS62" i="58" s="1"/>
  <c r="AJ134" i="58"/>
  <c r="AN134" i="58" s="1"/>
  <c r="AH134" i="58"/>
  <c r="AL134" i="58" s="1"/>
  <c r="AJ106" i="58"/>
  <c r="AI69" i="58"/>
  <c r="AH131" i="58"/>
  <c r="AL131" i="58" s="1"/>
  <c r="AH108" i="58"/>
  <c r="AH86" i="58"/>
  <c r="AJ131" i="58"/>
  <c r="AN131" i="58" s="1"/>
  <c r="AI83" i="58"/>
  <c r="AK108" i="58"/>
  <c r="AK26" i="58"/>
  <c r="AH26" i="58"/>
  <c r="AJ101" i="58"/>
  <c r="AK101" i="58"/>
  <c r="AI61" i="58"/>
  <c r="AK27" i="58"/>
  <c r="AI91" i="58"/>
  <c r="AI50" i="58"/>
  <c r="AJ36" i="58"/>
  <c r="AN37" i="58" s="1"/>
  <c r="AR37" i="58" s="1"/>
  <c r="AI87" i="58"/>
  <c r="AI67" i="58"/>
  <c r="AH34" i="58"/>
  <c r="AL34" i="58" s="1"/>
  <c r="AP34" i="58" s="1"/>
  <c r="AJ18" i="58"/>
  <c r="AH39" i="58"/>
  <c r="AJ50" i="58"/>
  <c r="AJ24" i="58"/>
  <c r="AH27" i="58"/>
  <c r="AL48" i="58"/>
  <c r="AP48" i="58" s="1"/>
  <c r="AJ103" i="58"/>
  <c r="AL13" i="58"/>
  <c r="AP13" i="58" s="1"/>
  <c r="AH57" i="58"/>
  <c r="AL56" i="58" s="1"/>
  <c r="AP56" i="58" s="1"/>
  <c r="AI88" i="58"/>
  <c r="AH52" i="58"/>
  <c r="AI21" i="58"/>
  <c r="AM21" i="58" s="1"/>
  <c r="AQ21" i="58" s="1"/>
  <c r="BA21" i="58" s="1"/>
  <c r="Z31" i="64" s="1"/>
  <c r="AJ86" i="58"/>
  <c r="AJ47" i="58"/>
  <c r="AN46" i="58" s="1"/>
  <c r="AR46" i="58" s="1"/>
  <c r="AH18" i="58"/>
  <c r="AK66" i="58"/>
  <c r="AH16" i="58"/>
  <c r="AL17" i="58" s="1"/>
  <c r="AP17" i="58" s="1"/>
  <c r="AI44" i="58"/>
  <c r="AM44" i="58" s="1"/>
  <c r="AQ44" i="58" s="1"/>
  <c r="AJ25" i="58"/>
  <c r="AK48" i="58"/>
  <c r="AO49" i="58" s="1"/>
  <c r="AS49" i="58" s="1"/>
  <c r="AK16" i="58"/>
  <c r="AO17" i="58" s="1"/>
  <c r="AS17" i="58" s="1"/>
  <c r="AJ32" i="58"/>
  <c r="AN33" i="58" s="1"/>
  <c r="AR33" i="58" s="1"/>
  <c r="AI48" i="58"/>
  <c r="AO12" i="58"/>
  <c r="AS12" i="58" s="1"/>
  <c r="AY12" i="58" s="1"/>
  <c r="AK80" i="58"/>
  <c r="AK73" i="58"/>
  <c r="AH36" i="58"/>
  <c r="AJ115" i="58"/>
  <c r="AJ64" i="58"/>
  <c r="AN64" i="58" s="1"/>
  <c r="AR64" i="58" s="1"/>
  <c r="AH74" i="58"/>
  <c r="AJ66" i="58"/>
  <c r="AI35" i="58"/>
  <c r="AM35" i="58" s="1"/>
  <c r="AQ35" i="58" s="1"/>
  <c r="AN55" i="58"/>
  <c r="AR55" i="58" s="1"/>
  <c r="AI56" i="58"/>
  <c r="AM56" i="58" s="1"/>
  <c r="AQ56" i="58" s="1"/>
  <c r="AJ44" i="58"/>
  <c r="AN44" i="58" s="1"/>
  <c r="AR44" i="58" s="1"/>
  <c r="AN49" i="58"/>
  <c r="AR49" i="58" s="1"/>
  <c r="AN48" i="58"/>
  <c r="AR48" i="58" s="1"/>
  <c r="AJ63" i="58"/>
  <c r="AN62" i="58" s="1"/>
  <c r="AR62" i="58" s="1"/>
  <c r="AK71" i="58"/>
  <c r="AH47" i="58"/>
  <c r="AL46" i="58" s="1"/>
  <c r="AP46" i="58" s="1"/>
  <c r="AH73" i="58"/>
  <c r="AN15" i="58"/>
  <c r="AR15" i="58" s="1"/>
  <c r="AT15" i="58" s="1"/>
  <c r="AI11" i="58"/>
  <c r="AM10" i="58" s="1"/>
  <c r="AQ10" i="58" s="1"/>
  <c r="AH40" i="58"/>
  <c r="AL41" i="58" s="1"/>
  <c r="AP41" i="58" s="1"/>
  <c r="AI77" i="58"/>
  <c r="AH59" i="58"/>
  <c r="AL59" i="58" s="1"/>
  <c r="AP59" i="58" s="1"/>
  <c r="AK34" i="58"/>
  <c r="AO34" i="58" s="1"/>
  <c r="AS34" i="58" s="1"/>
  <c r="AK33" i="58"/>
  <c r="AO32" i="58" s="1"/>
  <c r="AS32" i="58" s="1"/>
  <c r="AJ29" i="58"/>
  <c r="AH80" i="58"/>
  <c r="AJ39" i="58"/>
  <c r="AN38" i="58" s="1"/>
  <c r="AR38" i="58" s="1"/>
  <c r="AK67" i="58"/>
  <c r="AI25" i="58"/>
  <c r="AM25" i="58" s="1"/>
  <c r="AQ25" i="58" s="1"/>
  <c r="AK74" i="58"/>
  <c r="AO15" i="58"/>
  <c r="AS15" i="58" s="1"/>
  <c r="AK56" i="58"/>
  <c r="AO56" i="58" s="1"/>
  <c r="AS56" i="58" s="1"/>
  <c r="AH30" i="58"/>
  <c r="AL31" i="58" s="1"/>
  <c r="AP31" i="58" s="1"/>
  <c r="AJ67" i="58"/>
  <c r="AH33" i="58"/>
  <c r="AH67" i="58"/>
  <c r="AI51" i="58"/>
  <c r="AJ51" i="58"/>
  <c r="AJ30" i="58"/>
  <c r="AN30" i="58" s="1"/>
  <c r="AR30" i="58" s="1"/>
  <c r="AO51" i="58"/>
  <c r="AS51" i="58" s="1"/>
  <c r="AO50" i="58"/>
  <c r="AS50" i="58" s="1"/>
  <c r="AJ11" i="58"/>
  <c r="AN11" i="58" s="1"/>
  <c r="AR11" i="58" s="1"/>
  <c r="AK11" i="58"/>
  <c r="AH96" i="58"/>
  <c r="AG125" i="58"/>
  <c r="AK125" i="58" s="1"/>
  <c r="AO125" i="58" s="1"/>
  <c r="AK96" i="58"/>
  <c r="AH63" i="58"/>
  <c r="AK37" i="58"/>
  <c r="AO36" i="58" s="1"/>
  <c r="AS36" i="58" s="1"/>
  <c r="AI115" i="58"/>
  <c r="AM37" i="58"/>
  <c r="AQ37" i="58" s="1"/>
  <c r="BA37" i="58" s="1"/>
  <c r="Z36" i="64" s="1"/>
  <c r="AI29" i="58"/>
  <c r="AM29" i="58" s="1"/>
  <c r="AQ29" i="58" s="1"/>
  <c r="AK38" i="58"/>
  <c r="AO39" i="58" s="1"/>
  <c r="AS39" i="58" s="1"/>
  <c r="AJ40" i="58"/>
  <c r="AN40" i="58" s="1"/>
  <c r="AR40" i="58" s="1"/>
  <c r="AN59" i="58"/>
  <c r="AR59" i="58" s="1"/>
  <c r="AJ126" i="58"/>
  <c r="AN126" i="58" s="1"/>
  <c r="AH66" i="58"/>
  <c r="AI66" i="58"/>
  <c r="AJ35" i="58"/>
  <c r="AN34" i="58" s="1"/>
  <c r="AR34" i="58" s="1"/>
  <c r="AI126" i="58"/>
  <c r="AM126" i="58" s="1"/>
  <c r="AM18" i="58"/>
  <c r="AQ18" i="58" s="1"/>
  <c r="BA18" i="58" s="1"/>
  <c r="Z15" i="64" s="1"/>
  <c r="AI94" i="58"/>
  <c r="AK94" i="58"/>
  <c r="AE125" i="58"/>
  <c r="AI125" i="58" s="1"/>
  <c r="AM125" i="58" s="1"/>
  <c r="AI130" i="58"/>
  <c r="AM130" i="58" s="1"/>
  <c r="AJ130" i="58"/>
  <c r="AN130" i="58" s="1"/>
  <c r="AK130" i="58"/>
  <c r="AO130" i="58" s="1"/>
  <c r="AO47" i="58"/>
  <c r="AS47" i="58" s="1"/>
  <c r="AH128" i="58"/>
  <c r="AL128" i="58" s="1"/>
  <c r="AI128" i="58"/>
  <c r="AM128" i="58" s="1"/>
  <c r="AJ128" i="58"/>
  <c r="AN128" i="58" s="1"/>
  <c r="AK128" i="58"/>
  <c r="AO128" i="58" s="1"/>
  <c r="AM47" i="58"/>
  <c r="AQ47" i="58" s="1"/>
  <c r="BA47" i="58" s="1"/>
  <c r="Z49" i="64" s="1"/>
  <c r="AD49" i="64" s="1"/>
  <c r="AM36" i="58"/>
  <c r="AQ36" i="58" s="1"/>
  <c r="BA36" i="58" s="1"/>
  <c r="Z43" i="64" s="1"/>
  <c r="AD43" i="64" s="1"/>
  <c r="AI122" i="58"/>
  <c r="AM122" i="58" s="1"/>
  <c r="AN58" i="58"/>
  <c r="AR58" i="58" s="1"/>
  <c r="AH122" i="58"/>
  <c r="AL122" i="58" s="1"/>
  <c r="AI107" i="58"/>
  <c r="AM59" i="58"/>
  <c r="AQ59" i="58" s="1"/>
  <c r="AM19" i="58"/>
  <c r="AQ19" i="58" s="1"/>
  <c r="BA19" i="58" s="1"/>
  <c r="Z30" i="64" s="1"/>
  <c r="AM14" i="58"/>
  <c r="AQ14" i="58" s="1"/>
  <c r="BA14" i="58" s="1"/>
  <c r="Z11" i="64" s="1"/>
  <c r="AK122" i="58"/>
  <c r="AO122" i="58" s="1"/>
  <c r="AO24" i="58"/>
  <c r="AS24" i="58" s="1"/>
  <c r="AO46" i="58"/>
  <c r="AS46" i="58" s="1"/>
  <c r="AN14" i="58"/>
  <c r="AR14" i="58" s="1"/>
  <c r="AY14" i="58" s="1"/>
  <c r="AJ122" i="58"/>
  <c r="AN122" i="58" s="1"/>
  <c r="AL14" i="58"/>
  <c r="AP14" i="58" s="1"/>
  <c r="AM46" i="58"/>
  <c r="AQ46" i="58" s="1"/>
  <c r="BA46" i="58" s="1"/>
  <c r="Z48" i="64" s="1"/>
  <c r="AK48" i="64" s="1"/>
  <c r="AI75" i="58"/>
  <c r="AF42" i="64"/>
  <c r="AJ75" i="58"/>
  <c r="BE79" i="58"/>
  <c r="AO18" i="58"/>
  <c r="AS18" i="58" s="1"/>
  <c r="BE93" i="58"/>
  <c r="AM53" i="64"/>
  <c r="AQ53" i="64" s="1"/>
  <c r="AI76" i="58"/>
  <c r="AK76" i="58"/>
  <c r="AH107" i="58"/>
  <c r="AH43" i="58"/>
  <c r="AL42" i="58" s="1"/>
  <c r="AP42" i="58" s="1"/>
  <c r="AK107" i="58"/>
  <c r="AI99" i="58"/>
  <c r="AL49" i="58"/>
  <c r="AP49" i="58" s="1"/>
  <c r="AM62" i="58"/>
  <c r="AQ62" i="58" s="1"/>
  <c r="BA62" i="58" s="1"/>
  <c r="AJ107" i="58"/>
  <c r="AE105" i="58"/>
  <c r="AK99" i="58"/>
  <c r="AO19" i="58"/>
  <c r="AS19" i="58" s="1"/>
  <c r="AM58" i="58"/>
  <c r="AQ58" i="58" s="1"/>
  <c r="AF105" i="58"/>
  <c r="AI78" i="58"/>
  <c r="AN54" i="58"/>
  <c r="AR54" i="58" s="1"/>
  <c r="AM54" i="58"/>
  <c r="AQ54" i="58" s="1"/>
  <c r="BA54" i="58" s="1"/>
  <c r="AO63" i="58"/>
  <c r="AS63" i="58" s="1"/>
  <c r="AG105" i="58"/>
  <c r="AO25" i="58"/>
  <c r="AS25" i="58" s="1"/>
  <c r="AJ92" i="58"/>
  <c r="AC5" i="58"/>
  <c r="AC4" i="58" s="1"/>
  <c r="AD105" i="58"/>
  <c r="AH118" i="58"/>
  <c r="AI118" i="58"/>
  <c r="AJ118" i="58"/>
  <c r="AK118" i="58"/>
  <c r="AM23" i="58"/>
  <c r="AQ23" i="58" s="1"/>
  <c r="AM22" i="58"/>
  <c r="AQ22" i="58" s="1"/>
  <c r="AH84" i="58"/>
  <c r="AI84" i="58"/>
  <c r="AK43" i="58"/>
  <c r="AO42" i="58" s="1"/>
  <c r="AS42" i="58" s="1"/>
  <c r="AJ43" i="58"/>
  <c r="AN42" i="58" s="1"/>
  <c r="AR42" i="58" s="1"/>
  <c r="AL51" i="58"/>
  <c r="AP51" i="58" s="1"/>
  <c r="AL50" i="58"/>
  <c r="AP50" i="58" s="1"/>
  <c r="AO22" i="58"/>
  <c r="AS22" i="58" s="1"/>
  <c r="AO23" i="58"/>
  <c r="AS23" i="58" s="1"/>
  <c r="AI92" i="58"/>
  <c r="AH92" i="58"/>
  <c r="AJ84" i="58"/>
  <c r="AK84" i="58"/>
  <c r="AK92" i="58"/>
  <c r="AL45" i="58"/>
  <c r="AP45" i="58" s="1"/>
  <c r="AL44" i="58"/>
  <c r="AP44" i="58" s="1"/>
  <c r="AM40" i="58"/>
  <c r="AQ40" i="58" s="1"/>
  <c r="AM41" i="58"/>
  <c r="AQ41" i="58" s="1"/>
  <c r="AM27" i="58"/>
  <c r="AQ27" i="58" s="1"/>
  <c r="AM26" i="58"/>
  <c r="AQ26" i="58" s="1"/>
  <c r="AM30" i="58"/>
  <c r="AQ30" i="58" s="1"/>
  <c r="AM31" i="58"/>
  <c r="AQ31" i="58" s="1"/>
  <c r="AN27" i="58"/>
  <c r="AR27" i="58" s="1"/>
  <c r="AN26" i="58"/>
  <c r="AR26" i="58" s="1"/>
  <c r="AO30" i="58"/>
  <c r="AS30" i="58" s="1"/>
  <c r="AO31" i="58"/>
  <c r="AS31" i="58" s="1"/>
  <c r="AO28" i="58"/>
  <c r="AS28" i="58" s="1"/>
  <c r="AO29" i="58"/>
  <c r="AS29" i="58" s="1"/>
  <c r="AK53" i="58"/>
  <c r="AJ53" i="58"/>
  <c r="AO21" i="58"/>
  <c r="AS21" i="58" s="1"/>
  <c r="AO20" i="58"/>
  <c r="AS20" i="58" s="1"/>
  <c r="AI53" i="58"/>
  <c r="AH53" i="58"/>
  <c r="AL61" i="58"/>
  <c r="AP61" i="58" s="1"/>
  <c r="AL60" i="58"/>
  <c r="AP60" i="58" s="1"/>
  <c r="AM33" i="58"/>
  <c r="AQ33" i="58" s="1"/>
  <c r="AM32" i="58"/>
  <c r="AQ32" i="58" s="1"/>
  <c r="AL25" i="58"/>
  <c r="AP25" i="58" s="1"/>
  <c r="AL24" i="58"/>
  <c r="AP24" i="58" s="1"/>
  <c r="AM39" i="58"/>
  <c r="AQ39" i="58" s="1"/>
  <c r="AM38" i="58"/>
  <c r="AQ38" i="58" s="1"/>
  <c r="AD42" i="64"/>
  <c r="AK42" i="64"/>
  <c r="AD53" i="64"/>
  <c r="AK53" i="64"/>
  <c r="AO12" i="64"/>
  <c r="BC12" i="64"/>
  <c r="AQ42" i="64" l="1"/>
  <c r="AT89" i="58"/>
  <c r="AW68" i="58"/>
  <c r="AY68" i="58"/>
  <c r="AU68" i="58"/>
  <c r="BC68" i="58" s="1"/>
  <c r="AB9" i="64" s="1"/>
  <c r="AF9" i="64" s="1"/>
  <c r="AV129" i="58"/>
  <c r="AU129" i="58"/>
  <c r="BC129" i="58" s="1"/>
  <c r="AX129" i="58"/>
  <c r="AZ129" i="58" s="1"/>
  <c r="BA129" i="58"/>
  <c r="BA113" i="58"/>
  <c r="AU113" i="58"/>
  <c r="BC113" i="58" s="1"/>
  <c r="BE113" i="58" s="1"/>
  <c r="AT79" i="58"/>
  <c r="AV79" i="58"/>
  <c r="AX79" i="58"/>
  <c r="AZ79" i="58" s="1"/>
  <c r="BF79" i="58" s="1"/>
  <c r="AW91" i="58"/>
  <c r="AY91" i="58"/>
  <c r="AY97" i="58"/>
  <c r="AW97" i="58"/>
  <c r="BA82" i="58"/>
  <c r="AU82" i="58"/>
  <c r="BC82" i="58" s="1"/>
  <c r="AB46" i="64" s="1"/>
  <c r="BA114" i="58"/>
  <c r="AU114" i="58"/>
  <c r="BC114" i="58" s="1"/>
  <c r="BA102" i="58"/>
  <c r="Z62" i="64" s="1"/>
  <c r="AK62" i="64" s="1"/>
  <c r="AO62" i="64" s="1"/>
  <c r="AU102" i="58"/>
  <c r="BC102" i="58" s="1"/>
  <c r="BA95" i="58"/>
  <c r="C6" i="111" s="1"/>
  <c r="AU95" i="58"/>
  <c r="BC95" i="58" s="1"/>
  <c r="BA119" i="58"/>
  <c r="AU119" i="58"/>
  <c r="BC119" i="58" s="1"/>
  <c r="AX119" i="58"/>
  <c r="AZ119" i="58" s="1"/>
  <c r="BH119" i="58" s="1"/>
  <c r="AV119" i="58"/>
  <c r="BA106" i="58"/>
  <c r="AU106" i="58"/>
  <c r="BC106" i="58" s="1"/>
  <c r="AT70" i="58"/>
  <c r="AX70" i="58"/>
  <c r="AZ70" i="58" s="1"/>
  <c r="BF70" i="58" s="1"/>
  <c r="AV70" i="58"/>
  <c r="AT109" i="58"/>
  <c r="AX109" i="58"/>
  <c r="AZ109" i="58" s="1"/>
  <c r="BH109" i="58" s="1"/>
  <c r="AV109" i="58"/>
  <c r="AT88" i="58"/>
  <c r="AT91" i="58"/>
  <c r="AY93" i="58"/>
  <c r="AW93" i="58"/>
  <c r="AT77" i="58"/>
  <c r="AY83" i="58"/>
  <c r="AW83" i="58"/>
  <c r="AT76" i="58"/>
  <c r="AY89" i="58"/>
  <c r="AW89" i="58"/>
  <c r="AW82" i="58"/>
  <c r="AY82" i="58"/>
  <c r="AK23" i="64"/>
  <c r="AD23" i="64"/>
  <c r="AT71" i="58"/>
  <c r="AY102" i="58"/>
  <c r="AW102" i="58"/>
  <c r="AD18" i="64"/>
  <c r="AK18" i="64"/>
  <c r="BC18" i="64" s="1"/>
  <c r="AY79" i="58"/>
  <c r="AW79" i="58"/>
  <c r="AT97" i="58"/>
  <c r="AV68" i="58"/>
  <c r="AX68" i="58"/>
  <c r="AZ68" i="58" s="1"/>
  <c r="BH68" i="58" s="1"/>
  <c r="AT68" i="58"/>
  <c r="AU110" i="58"/>
  <c r="BC110" i="58" s="1"/>
  <c r="BA110" i="58"/>
  <c r="AT93" i="58"/>
  <c r="AX93" i="58"/>
  <c r="AZ93" i="58" s="1"/>
  <c r="BH93" i="58" s="1"/>
  <c r="AV93" i="58"/>
  <c r="AT104" i="58"/>
  <c r="AY70" i="58"/>
  <c r="AW70" i="58"/>
  <c r="AU70" i="58"/>
  <c r="BC70" i="58" s="1"/>
  <c r="AB12" i="64" s="1"/>
  <c r="AF12" i="64" s="1"/>
  <c r="AT87" i="58"/>
  <c r="BA86" i="58"/>
  <c r="AU86" i="58"/>
  <c r="BC86" i="58" s="1"/>
  <c r="AD22" i="64"/>
  <c r="AK22" i="64"/>
  <c r="AW110" i="58"/>
  <c r="AY110" i="58"/>
  <c r="AV85" i="58"/>
  <c r="AT85" i="58"/>
  <c r="AX85" i="58"/>
  <c r="AZ85" i="58" s="1"/>
  <c r="BF85" i="58" s="1"/>
  <c r="BA81" i="58"/>
  <c r="AU81" i="58"/>
  <c r="BC81" i="58" s="1"/>
  <c r="AX81" i="58"/>
  <c r="AZ81" i="58" s="1"/>
  <c r="AV81" i="58"/>
  <c r="AY78" i="58"/>
  <c r="AW78" i="58"/>
  <c r="AO92" i="58"/>
  <c r="AS92" i="58" s="1"/>
  <c r="AM92" i="58"/>
  <c r="AQ92" i="58" s="1"/>
  <c r="AL84" i="58"/>
  <c r="AP84" i="58" s="1"/>
  <c r="AN118" i="58"/>
  <c r="AR118" i="58" s="1"/>
  <c r="AL118" i="58"/>
  <c r="AP118" i="58" s="1"/>
  <c r="AO84" i="58"/>
  <c r="AS84" i="58" s="1"/>
  <c r="AL92" i="58"/>
  <c r="AP92" i="58" s="1"/>
  <c r="AM84" i="58"/>
  <c r="AQ84" i="58" s="1"/>
  <c r="AO118" i="58"/>
  <c r="AS118" i="58" s="1"/>
  <c r="AM118" i="58"/>
  <c r="AQ118" i="58" s="1"/>
  <c r="AN92" i="58"/>
  <c r="AR92" i="58" s="1"/>
  <c r="AO99" i="58"/>
  <c r="AS99" i="58" s="1"/>
  <c r="AN107" i="58"/>
  <c r="AR107" i="58" s="1"/>
  <c r="AO107" i="58"/>
  <c r="AS107" i="58" s="1"/>
  <c r="AM76" i="58"/>
  <c r="AQ76" i="58" s="1"/>
  <c r="AM107" i="58"/>
  <c r="AQ107" i="58" s="1"/>
  <c r="AO94" i="58"/>
  <c r="AS94" i="58" s="1"/>
  <c r="AL66" i="58"/>
  <c r="AP66" i="58" s="1"/>
  <c r="AO96" i="58"/>
  <c r="AS96" i="58" s="1"/>
  <c r="AL96" i="58"/>
  <c r="AP96" i="58" s="1"/>
  <c r="AL67" i="58"/>
  <c r="AP67" i="58" s="1"/>
  <c r="AN67" i="58"/>
  <c r="AR67" i="58" s="1"/>
  <c r="AO74" i="58"/>
  <c r="AS74" i="58" s="1"/>
  <c r="AO67" i="58"/>
  <c r="AS67" i="58" s="1"/>
  <c r="AL80" i="58"/>
  <c r="AP80" i="58" s="1"/>
  <c r="AL74" i="58"/>
  <c r="AP74" i="58" s="1"/>
  <c r="AN115" i="58"/>
  <c r="AR115" i="58" s="1"/>
  <c r="AO73" i="58"/>
  <c r="AS73" i="58" s="1"/>
  <c r="AO66" i="58"/>
  <c r="AS66" i="58" s="1"/>
  <c r="AM88" i="58"/>
  <c r="AQ88" i="58" s="1"/>
  <c r="AM87" i="58"/>
  <c r="AQ87" i="58" s="1"/>
  <c r="AO101" i="58"/>
  <c r="AS101" i="58" s="1"/>
  <c r="AU101" i="58" s="1"/>
  <c r="BC101" i="58" s="1"/>
  <c r="BE101" i="58" s="1"/>
  <c r="AM83" i="58"/>
  <c r="AQ83" i="58" s="1"/>
  <c r="AL86" i="58"/>
  <c r="AP86" i="58" s="1"/>
  <c r="AM69" i="58"/>
  <c r="AQ69" i="58" s="1"/>
  <c r="BA69" i="58" s="1"/>
  <c r="Z10" i="64" s="1"/>
  <c r="AM103" i="58"/>
  <c r="AQ103" i="58" s="1"/>
  <c r="AO109" i="58"/>
  <c r="AS109" i="58" s="1"/>
  <c r="AN72" i="58"/>
  <c r="AR72" i="58" s="1"/>
  <c r="AL113" i="58"/>
  <c r="AP113" i="58" s="1"/>
  <c r="AM71" i="58"/>
  <c r="AQ71" i="58" s="1"/>
  <c r="AN90" i="58"/>
  <c r="AR90" i="58" s="1"/>
  <c r="AN112" i="58"/>
  <c r="AR112" i="58" s="1"/>
  <c r="AN95" i="58"/>
  <c r="AR95" i="58" s="1"/>
  <c r="AL144" i="58"/>
  <c r="AP144" i="58" s="1"/>
  <c r="AL110" i="58"/>
  <c r="AP110" i="58" s="1"/>
  <c r="AL100" i="58"/>
  <c r="AP100" i="58" s="1"/>
  <c r="AN81" i="58"/>
  <c r="AR81" i="58" s="1"/>
  <c r="AN138" i="58"/>
  <c r="AR138" i="58" s="1"/>
  <c r="AM117" i="58"/>
  <c r="AQ117" i="58" s="1"/>
  <c r="BA117" i="58" s="1"/>
  <c r="AL95" i="58"/>
  <c r="AP95" i="58" s="1"/>
  <c r="AO98" i="58"/>
  <c r="AS98" i="58" s="1"/>
  <c r="AM127" i="58"/>
  <c r="AQ127" i="58" s="1"/>
  <c r="AN114" i="58"/>
  <c r="AR114" i="58" s="1"/>
  <c r="AL98" i="58"/>
  <c r="AP98" i="58" s="1"/>
  <c r="AM97" i="58"/>
  <c r="AQ97" i="58" s="1"/>
  <c r="AL82" i="58"/>
  <c r="AP82" i="58" s="1"/>
  <c r="AN84" i="58"/>
  <c r="AR84" i="58" s="1"/>
  <c r="AM78" i="58"/>
  <c r="AQ78" i="58" s="1"/>
  <c r="AM99" i="58"/>
  <c r="AQ99" i="58" s="1"/>
  <c r="AL107" i="58"/>
  <c r="AP107" i="58" s="1"/>
  <c r="AO76" i="58"/>
  <c r="AS76" i="58" s="1"/>
  <c r="AN75" i="58"/>
  <c r="AR75" i="58" s="1"/>
  <c r="AM75" i="58"/>
  <c r="AQ75" i="58" s="1"/>
  <c r="AM94" i="58"/>
  <c r="AQ94" i="58" s="1"/>
  <c r="AM66" i="58"/>
  <c r="AQ66" i="58" s="1"/>
  <c r="AM115" i="58"/>
  <c r="AQ115" i="58" s="1"/>
  <c r="AM77" i="58"/>
  <c r="AQ77" i="58" s="1"/>
  <c r="AL73" i="58"/>
  <c r="AP73" i="58" s="1"/>
  <c r="AO71" i="58"/>
  <c r="AS71" i="58" s="1"/>
  <c r="AN66" i="58"/>
  <c r="AR66" i="58" s="1"/>
  <c r="AO80" i="58"/>
  <c r="AS80" i="58" s="1"/>
  <c r="AN86" i="58"/>
  <c r="AR86" i="58" s="1"/>
  <c r="AN103" i="58"/>
  <c r="AR103" i="58" s="1"/>
  <c r="AM67" i="58"/>
  <c r="AQ67" i="58" s="1"/>
  <c r="AM91" i="58"/>
  <c r="AQ91" i="58" s="1"/>
  <c r="AN101" i="58"/>
  <c r="AR101" i="58" s="1"/>
  <c r="AO108" i="58"/>
  <c r="AS108" i="58" s="1"/>
  <c r="AL108" i="58"/>
  <c r="AP108" i="58" s="1"/>
  <c r="AN106" i="58"/>
  <c r="AR106" i="58" s="1"/>
  <c r="AO77" i="58"/>
  <c r="AS77" i="58" s="1"/>
  <c r="AM72" i="58"/>
  <c r="AQ72" i="58" s="1"/>
  <c r="AN111" i="58"/>
  <c r="AR111" i="58" s="1"/>
  <c r="AO104" i="58"/>
  <c r="AS104" i="58" s="1"/>
  <c r="AO87" i="58"/>
  <c r="AS87" i="58" s="1"/>
  <c r="AN113" i="58"/>
  <c r="AR113" i="58" s="1"/>
  <c r="AM90" i="58"/>
  <c r="AQ90" i="58" s="1"/>
  <c r="AL106" i="58"/>
  <c r="AP106" i="58" s="1"/>
  <c r="AO88" i="58"/>
  <c r="AS88" i="58" s="1"/>
  <c r="AM111" i="58"/>
  <c r="AQ111" i="58" s="1"/>
  <c r="AM104" i="58"/>
  <c r="AQ104" i="58" s="1"/>
  <c r="AM112" i="58"/>
  <c r="AQ112" i="58" s="1"/>
  <c r="AL69" i="58"/>
  <c r="AP69" i="58" s="1"/>
  <c r="AL138" i="58"/>
  <c r="AP138" i="58" s="1"/>
  <c r="AN145" i="58"/>
  <c r="AR145" i="58" s="1"/>
  <c r="AL101" i="58"/>
  <c r="AP101" i="58" s="1"/>
  <c r="AM138" i="58"/>
  <c r="AQ138" i="58" s="1"/>
  <c r="AL145" i="58"/>
  <c r="AP145" i="58" s="1"/>
  <c r="AO138" i="58"/>
  <c r="AS138" i="58" s="1"/>
  <c r="AO100" i="58"/>
  <c r="AS100" i="58" s="1"/>
  <c r="AL117" i="58"/>
  <c r="AP117" i="58" s="1"/>
  <c r="AO144" i="58"/>
  <c r="AS144" i="58" s="1"/>
  <c r="AO85" i="58"/>
  <c r="AS85" i="58" s="1"/>
  <c r="AN119" i="58"/>
  <c r="AR119" i="58" s="1"/>
  <c r="AL102" i="58"/>
  <c r="AP102" i="58" s="1"/>
  <c r="AO116" i="58"/>
  <c r="AS116" i="58" s="1"/>
  <c r="AL114" i="58"/>
  <c r="AP114" i="58" s="1"/>
  <c r="AN133" i="58"/>
  <c r="AR133" i="58" s="1"/>
  <c r="AN127" i="58"/>
  <c r="AR127" i="58" s="1"/>
  <c r="AL116" i="58"/>
  <c r="AP116" i="58" s="1"/>
  <c r="AO145" i="58"/>
  <c r="AS145" i="58" s="1"/>
  <c r="AU145" i="58" s="1"/>
  <c r="BC145" i="58" s="1"/>
  <c r="AM89" i="58"/>
  <c r="AQ89" i="58" s="1"/>
  <c r="AO9" i="64"/>
  <c r="BC9" i="64"/>
  <c r="AT13" i="58"/>
  <c r="AU58" i="58"/>
  <c r="BC58" i="58" s="1"/>
  <c r="AO45" i="58"/>
  <c r="AS45" i="58" s="1"/>
  <c r="AM43" i="58"/>
  <c r="AQ43" i="58" s="1"/>
  <c r="AM49" i="58"/>
  <c r="AQ49" i="58" s="1"/>
  <c r="BA49" i="58" s="1"/>
  <c r="Z39" i="64" s="1"/>
  <c r="AK39" i="64" s="1"/>
  <c r="AY58" i="58"/>
  <c r="AW13" i="58"/>
  <c r="AL55" i="58"/>
  <c r="AP55" i="58" s="1"/>
  <c r="AV55" i="58" s="1"/>
  <c r="AN20" i="58"/>
  <c r="AR20" i="58" s="1"/>
  <c r="AW20" i="58" s="1"/>
  <c r="BE68" i="58"/>
  <c r="BB68" i="58"/>
  <c r="BI68" i="58" s="1"/>
  <c r="AJ117" i="58"/>
  <c r="AK117" i="58"/>
  <c r="AM9" i="64"/>
  <c r="AQ9" i="64" s="1"/>
  <c r="AO55" i="58"/>
  <c r="AS55" i="58" s="1"/>
  <c r="AW55" i="58" s="1"/>
  <c r="AL63" i="58"/>
  <c r="AP63" i="58" s="1"/>
  <c r="AV63" i="58" s="1"/>
  <c r="AO41" i="58"/>
  <c r="AS41" i="58" s="1"/>
  <c r="AU41" i="58" s="1"/>
  <c r="BC41" i="58" s="1"/>
  <c r="AB38" i="64" s="1"/>
  <c r="AU63" i="58"/>
  <c r="BC63" i="58" s="1"/>
  <c r="BE63" i="58" s="1"/>
  <c r="AL29" i="58"/>
  <c r="AP29" i="58" s="1"/>
  <c r="AX29" i="58" s="1"/>
  <c r="AZ29" i="58" s="1"/>
  <c r="AY54" i="58"/>
  <c r="BE110" i="58"/>
  <c r="AV12" i="58"/>
  <c r="AX12" i="58"/>
  <c r="AZ12" i="58" s="1"/>
  <c r="BH12" i="58" s="1"/>
  <c r="AB62" i="64"/>
  <c r="AM62" i="64" s="1"/>
  <c r="BE62" i="64" s="1"/>
  <c r="BM62" i="64" s="1"/>
  <c r="AJ69" i="58"/>
  <c r="AK69" i="58"/>
  <c r="AT46" i="58"/>
  <c r="AD62" i="64"/>
  <c r="AU59" i="58"/>
  <c r="BC59" i="58" s="1"/>
  <c r="AY59" i="58"/>
  <c r="Z55" i="64"/>
  <c r="BH70" i="58"/>
  <c r="AA12" i="64"/>
  <c r="AE12" i="64" s="1"/>
  <c r="AA9" i="64"/>
  <c r="AE9" i="64" s="1"/>
  <c r="BF119" i="58"/>
  <c r="BF68" i="58"/>
  <c r="AL65" i="58"/>
  <c r="AP65" i="58" s="1"/>
  <c r="AL10" i="58"/>
  <c r="AP10" i="58" s="1"/>
  <c r="AX10" i="58" s="1"/>
  <c r="AZ10" i="58" s="1"/>
  <c r="AN60" i="58"/>
  <c r="AR60" i="58" s="1"/>
  <c r="AT60" i="58" s="1"/>
  <c r="AX15" i="58"/>
  <c r="AZ15" i="58" s="1"/>
  <c r="BA15" i="58"/>
  <c r="AT64" i="58"/>
  <c r="BB97" i="58"/>
  <c r="AT44" i="58"/>
  <c r="AA53" i="64"/>
  <c r="AE53" i="64" s="1"/>
  <c r="BH124" i="58"/>
  <c r="BF93" i="58"/>
  <c r="AW142" i="58"/>
  <c r="BB124" i="58"/>
  <c r="BG124" i="58" s="1"/>
  <c r="BE129" i="58"/>
  <c r="BE124" i="58"/>
  <c r="AT14" i="58"/>
  <c r="BB14" i="58" s="1"/>
  <c r="AC11" i="64" s="1"/>
  <c r="AN11" i="64" s="1"/>
  <c r="AW139" i="58"/>
  <c r="AT49" i="58"/>
  <c r="AX139" i="58"/>
  <c r="AZ139" i="58" s="1"/>
  <c r="BF139" i="58" s="1"/>
  <c r="AX120" i="58"/>
  <c r="AZ120" i="58" s="1"/>
  <c r="AA13" i="64" s="1"/>
  <c r="BH129" i="58"/>
  <c r="AT22" i="58"/>
  <c r="AU120" i="58"/>
  <c r="BC120" i="58" s="1"/>
  <c r="AB13" i="64" s="1"/>
  <c r="AF13" i="64" s="1"/>
  <c r="BF124" i="58"/>
  <c r="AW129" i="58"/>
  <c r="AY129" i="58"/>
  <c r="AW132" i="58"/>
  <c r="AY132" i="58"/>
  <c r="BA123" i="58"/>
  <c r="AX123" i="58"/>
  <c r="AZ123" i="58" s="1"/>
  <c r="AT48" i="58"/>
  <c r="AT17" i="58"/>
  <c r="AT56" i="58"/>
  <c r="AX133" i="58"/>
  <c r="AZ133" i="58" s="1"/>
  <c r="AV133" i="58"/>
  <c r="BA133" i="58"/>
  <c r="AU133" i="58"/>
  <c r="BC133" i="58" s="1"/>
  <c r="AX141" i="58"/>
  <c r="AZ141" i="58" s="1"/>
  <c r="AT141" i="58"/>
  <c r="AV141" i="58"/>
  <c r="AW120" i="58"/>
  <c r="AY120" i="58"/>
  <c r="BA145" i="58"/>
  <c r="BA121" i="58"/>
  <c r="AV121" i="58"/>
  <c r="AU121" i="58"/>
  <c r="BC121" i="58" s="1"/>
  <c r="AB35" i="64" s="1"/>
  <c r="AM35" i="64" s="1"/>
  <c r="AX121" i="58"/>
  <c r="AZ121" i="58" s="1"/>
  <c r="AA35" i="64" s="1"/>
  <c r="AY135" i="58"/>
  <c r="AW135" i="58"/>
  <c r="AY140" i="58"/>
  <c r="AW140" i="58"/>
  <c r="AW141" i="58"/>
  <c r="AY141" i="58"/>
  <c r="AU136" i="58"/>
  <c r="BC136" i="58" s="1"/>
  <c r="BA136" i="58"/>
  <c r="BA131" i="58"/>
  <c r="AU131" i="58"/>
  <c r="BC131" i="58" s="1"/>
  <c r="BA144" i="58"/>
  <c r="BA135" i="58"/>
  <c r="AU135" i="58"/>
  <c r="BC135" i="58" s="1"/>
  <c r="AT135" i="58"/>
  <c r="AX135" i="58"/>
  <c r="AZ135" i="58" s="1"/>
  <c r="AV135" i="58"/>
  <c r="AY136" i="58"/>
  <c r="AW136" i="58"/>
  <c r="BA134" i="58"/>
  <c r="AU134" i="58"/>
  <c r="BC134" i="58" s="1"/>
  <c r="AU132" i="58"/>
  <c r="BC132" i="58" s="1"/>
  <c r="BA132" i="58"/>
  <c r="AV132" i="58"/>
  <c r="BA140" i="58"/>
  <c r="AU140" i="58"/>
  <c r="BC140" i="58" s="1"/>
  <c r="AT121" i="58"/>
  <c r="AY121" i="58"/>
  <c r="AW121" i="58"/>
  <c r="AT123" i="58"/>
  <c r="AW123" i="58"/>
  <c r="AY123" i="58"/>
  <c r="AT140" i="58"/>
  <c r="AV140" i="58"/>
  <c r="AX140" i="58"/>
  <c r="AZ140" i="58" s="1"/>
  <c r="AT136" i="58"/>
  <c r="AX136" i="58"/>
  <c r="AZ136" i="58" s="1"/>
  <c r="AV136" i="58"/>
  <c r="AX132" i="58"/>
  <c r="AZ132" i="58" s="1"/>
  <c r="AU142" i="58"/>
  <c r="BC142" i="58" s="1"/>
  <c r="AX142" i="58"/>
  <c r="AZ142" i="58" s="1"/>
  <c r="BA142" i="58"/>
  <c r="AV142" i="58"/>
  <c r="AU141" i="58"/>
  <c r="BC141" i="58" s="1"/>
  <c r="AT120" i="58"/>
  <c r="AR122" i="58"/>
  <c r="AS122" i="58"/>
  <c r="AQ122" i="58"/>
  <c r="BA122" i="58" s="1"/>
  <c r="AQ128" i="58"/>
  <c r="AR130" i="58"/>
  <c r="AT130" i="58" s="1"/>
  <c r="BB130" i="58" s="1"/>
  <c r="AQ130" i="58"/>
  <c r="AQ126" i="58"/>
  <c r="AS125" i="58"/>
  <c r="AY142" i="58"/>
  <c r="BA141" i="58"/>
  <c r="AT59" i="58"/>
  <c r="AY139" i="58"/>
  <c r="AT34" i="58"/>
  <c r="AU123" i="58"/>
  <c r="BC123" i="58" s="1"/>
  <c r="AP134" i="58"/>
  <c r="AR143" i="58"/>
  <c r="AW143" i="58" s="1"/>
  <c r="AT132" i="58"/>
  <c r="AT142" i="58"/>
  <c r="AP122" i="58"/>
  <c r="AP128" i="58"/>
  <c r="AQ125" i="58"/>
  <c r="BA125" i="58" s="1"/>
  <c r="AP131" i="58"/>
  <c r="AR134" i="58"/>
  <c r="AT54" i="58"/>
  <c r="AR128" i="58"/>
  <c r="AS130" i="58"/>
  <c r="AR131" i="58"/>
  <c r="AR137" i="58"/>
  <c r="AT139" i="58"/>
  <c r="AT11" i="58"/>
  <c r="AT61" i="58"/>
  <c r="AT42" i="58"/>
  <c r="BF129" i="58"/>
  <c r="AS128" i="58"/>
  <c r="AV120" i="58"/>
  <c r="AR126" i="58"/>
  <c r="AV139" i="58"/>
  <c r="AU139" i="58"/>
  <c r="BC139" i="58" s="1"/>
  <c r="BE139" i="58" s="1"/>
  <c r="AT55" i="58"/>
  <c r="AV123" i="58"/>
  <c r="AQ137" i="58"/>
  <c r="BA137" i="58" s="1"/>
  <c r="AQ143" i="58"/>
  <c r="AV143" i="58" s="1"/>
  <c r="AT129" i="58"/>
  <c r="AN23" i="58"/>
  <c r="AR23" i="58" s="1"/>
  <c r="AW23" i="58" s="1"/>
  <c r="AX55" i="58"/>
  <c r="AZ55" i="58" s="1"/>
  <c r="BH55" i="58" s="1"/>
  <c r="AM60" i="58"/>
  <c r="AQ60" i="58" s="1"/>
  <c r="AV60" i="58" s="1"/>
  <c r="AX13" i="58"/>
  <c r="AZ13" i="58" s="1"/>
  <c r="BH13" i="58" s="1"/>
  <c r="AY13" i="58"/>
  <c r="BB13" i="58" s="1"/>
  <c r="AU13" i="58"/>
  <c r="BC13" i="58" s="1"/>
  <c r="BE13" i="58" s="1"/>
  <c r="AN57" i="58"/>
  <c r="AR57" i="58" s="1"/>
  <c r="AN21" i="58"/>
  <c r="AR21" i="58" s="1"/>
  <c r="AT21" i="58" s="1"/>
  <c r="AL23" i="58"/>
  <c r="AP23" i="58" s="1"/>
  <c r="AV23" i="58" s="1"/>
  <c r="AL19" i="58"/>
  <c r="AP19" i="58" s="1"/>
  <c r="AX19" i="58" s="1"/>
  <c r="AZ19" i="58" s="1"/>
  <c r="BF19" i="58" s="1"/>
  <c r="AO11" i="58"/>
  <c r="AS11" i="58" s="1"/>
  <c r="AY11" i="58" s="1"/>
  <c r="AN29" i="58"/>
  <c r="AR29" i="58" s="1"/>
  <c r="AW29" i="58" s="1"/>
  <c r="AO61" i="58"/>
  <c r="AS61" i="58" s="1"/>
  <c r="AY61" i="58" s="1"/>
  <c r="AO64" i="58"/>
  <c r="AS64" i="58" s="1"/>
  <c r="AY64" i="58" s="1"/>
  <c r="AL20" i="58"/>
  <c r="AP20" i="58" s="1"/>
  <c r="AM65" i="58"/>
  <c r="AQ65" i="58" s="1"/>
  <c r="BA65" i="58" s="1"/>
  <c r="Z41" i="64" s="1"/>
  <c r="AD41" i="64" s="1"/>
  <c r="AN16" i="58"/>
  <c r="AR16" i="58" s="1"/>
  <c r="AM16" i="58"/>
  <c r="AQ16" i="58" s="1"/>
  <c r="BA16" i="58" s="1"/>
  <c r="Z14" i="64" s="1"/>
  <c r="AN18" i="58"/>
  <c r="AR18" i="58" s="1"/>
  <c r="AW18" i="58" s="1"/>
  <c r="AL33" i="58"/>
  <c r="AP33" i="58" s="1"/>
  <c r="AT33" i="58" s="1"/>
  <c r="AN32" i="58"/>
  <c r="AR32" i="58" s="1"/>
  <c r="AW32" i="58" s="1"/>
  <c r="BE70" i="58"/>
  <c r="BB93" i="58"/>
  <c r="AC53" i="64" s="1"/>
  <c r="AG53" i="64" s="1"/>
  <c r="AW62" i="58"/>
  <c r="AM12" i="64"/>
  <c r="AQ12" i="64" s="1"/>
  <c r="AL39" i="58"/>
  <c r="AP39" i="58" s="1"/>
  <c r="AL37" i="58"/>
  <c r="AP37" i="58" s="1"/>
  <c r="AT37" i="58" s="1"/>
  <c r="AO48" i="58"/>
  <c r="AS48" i="58" s="1"/>
  <c r="AW48" i="58" s="1"/>
  <c r="AL57" i="58"/>
  <c r="AP57" i="58" s="1"/>
  <c r="AO26" i="58"/>
  <c r="AS26" i="58" s="1"/>
  <c r="AY26" i="58" s="1"/>
  <c r="AM50" i="58"/>
  <c r="AQ50" i="58" s="1"/>
  <c r="AX50" i="58" s="1"/>
  <c r="AZ50" i="58" s="1"/>
  <c r="AY49" i="58"/>
  <c r="AO27" i="58"/>
  <c r="AS27" i="58" s="1"/>
  <c r="AW27" i="58" s="1"/>
  <c r="E6" i="111"/>
  <c r="AN65" i="58"/>
  <c r="AR65" i="58" s="1"/>
  <c r="AY65" i="58" s="1"/>
  <c r="BF109" i="58"/>
  <c r="AL26" i="58"/>
  <c r="AP26" i="58" s="1"/>
  <c r="AT26" i="58" s="1"/>
  <c r="AN36" i="58"/>
  <c r="AR36" i="58" s="1"/>
  <c r="AY36" i="58" s="1"/>
  <c r="AN51" i="58"/>
  <c r="AR51" i="58" s="1"/>
  <c r="AT51" i="58" s="1"/>
  <c r="AL16" i="58"/>
  <c r="AP16" i="58" s="1"/>
  <c r="AN24" i="58"/>
  <c r="AR24" i="58" s="1"/>
  <c r="AY24" i="58" s="1"/>
  <c r="AM45" i="58"/>
  <c r="AQ45" i="58" s="1"/>
  <c r="AU45" i="58" s="1"/>
  <c r="BC45" i="58" s="1"/>
  <c r="AL38" i="58"/>
  <c r="AP38" i="58" s="1"/>
  <c r="AT38" i="58" s="1"/>
  <c r="AM61" i="58"/>
  <c r="AQ61" i="58" s="1"/>
  <c r="AV61" i="58" s="1"/>
  <c r="AL27" i="58"/>
  <c r="AP27" i="58" s="1"/>
  <c r="AT27" i="58" s="1"/>
  <c r="AN25" i="58"/>
  <c r="AR25" i="58" s="1"/>
  <c r="AW25" i="58" s="1"/>
  <c r="AL35" i="58"/>
  <c r="AP35" i="58" s="1"/>
  <c r="AN19" i="58"/>
  <c r="AR19" i="58" s="1"/>
  <c r="AY19" i="58" s="1"/>
  <c r="AL18" i="58"/>
  <c r="AP18" i="58" s="1"/>
  <c r="AV13" i="58"/>
  <c r="AL58" i="58"/>
  <c r="AP58" i="58" s="1"/>
  <c r="AT58" i="58" s="1"/>
  <c r="AN39" i="58"/>
  <c r="AR39" i="58" s="1"/>
  <c r="AY39" i="58" s="1"/>
  <c r="AN10" i="58"/>
  <c r="AR10" i="58" s="1"/>
  <c r="AL36" i="58"/>
  <c r="AP36" i="58" s="1"/>
  <c r="BB12" i="58"/>
  <c r="AY46" i="58"/>
  <c r="AO16" i="58"/>
  <c r="AS16" i="58" s="1"/>
  <c r="AM20" i="58"/>
  <c r="AQ20" i="58" s="1"/>
  <c r="BA20" i="58" s="1"/>
  <c r="Z16" i="64" s="1"/>
  <c r="AN47" i="58"/>
  <c r="AR47" i="58" s="1"/>
  <c r="AY47" i="58" s="1"/>
  <c r="AL62" i="58"/>
  <c r="AP62" i="58" s="1"/>
  <c r="AT62" i="58" s="1"/>
  <c r="AM34" i="58"/>
  <c r="AQ34" i="58" s="1"/>
  <c r="BA34" i="58" s="1"/>
  <c r="AW12" i="58"/>
  <c r="AU49" i="58"/>
  <c r="BC49" i="58" s="1"/>
  <c r="AB39" i="64" s="1"/>
  <c r="AM39" i="64" s="1"/>
  <c r="BE39" i="64" s="1"/>
  <c r="AM48" i="58"/>
  <c r="AQ48" i="58" s="1"/>
  <c r="AN28" i="58"/>
  <c r="AR28" i="58" s="1"/>
  <c r="AW28" i="58" s="1"/>
  <c r="AO35" i="58"/>
  <c r="AS35" i="58" s="1"/>
  <c r="AU35" i="58" s="1"/>
  <c r="BC35" i="58" s="1"/>
  <c r="AU12" i="58"/>
  <c r="BC12" i="58" s="1"/>
  <c r="AL32" i="58"/>
  <c r="AP32" i="58" s="1"/>
  <c r="AN45" i="58"/>
  <c r="AR45" i="58" s="1"/>
  <c r="AY45" i="58" s="1"/>
  <c r="AL40" i="58"/>
  <c r="AP40" i="58" s="1"/>
  <c r="AT40" i="58" s="1"/>
  <c r="AW49" i="58"/>
  <c r="AM57" i="58"/>
  <c r="AQ57" i="58" s="1"/>
  <c r="AY62" i="58"/>
  <c r="AO33" i="58"/>
  <c r="AS33" i="58" s="1"/>
  <c r="AW33" i="58" s="1"/>
  <c r="AN63" i="58"/>
  <c r="AR63" i="58" s="1"/>
  <c r="AW63" i="58" s="1"/>
  <c r="AY15" i="58"/>
  <c r="BB15" i="58" s="1"/>
  <c r="AJ125" i="58"/>
  <c r="AN125" i="58" s="1"/>
  <c r="AL47" i="58"/>
  <c r="AP47" i="58" s="1"/>
  <c r="AO57" i="58"/>
  <c r="AS57" i="58" s="1"/>
  <c r="AU18" i="58"/>
  <c r="BC18" i="58" s="1"/>
  <c r="AB15" i="64" s="1"/>
  <c r="AM15" i="64" s="1"/>
  <c r="BE15" i="64" s="1"/>
  <c r="AM11" i="58"/>
  <c r="AQ11" i="58" s="1"/>
  <c r="AX11" i="58" s="1"/>
  <c r="AZ11" i="58" s="1"/>
  <c r="AN50" i="58"/>
  <c r="AR50" i="58" s="1"/>
  <c r="AW50" i="58" s="1"/>
  <c r="AW15" i="58"/>
  <c r="AM24" i="58"/>
  <c r="AQ24" i="58" s="1"/>
  <c r="AV24" i="58" s="1"/>
  <c r="AL30" i="58"/>
  <c r="AP30" i="58" s="1"/>
  <c r="AT30" i="58" s="1"/>
  <c r="AO10" i="58"/>
  <c r="AS10" i="58" s="1"/>
  <c r="AU10" i="58" s="1"/>
  <c r="BC10" i="58" s="1"/>
  <c r="AB7" i="64" s="1"/>
  <c r="AN31" i="58"/>
  <c r="AR31" i="58" s="1"/>
  <c r="AT31" i="58" s="1"/>
  <c r="AN35" i="58"/>
  <c r="AR35" i="58" s="1"/>
  <c r="AM51" i="58"/>
  <c r="AQ51" i="58" s="1"/>
  <c r="BA51" i="58" s="1"/>
  <c r="AU15" i="58"/>
  <c r="BC15" i="58" s="1"/>
  <c r="AW59" i="58"/>
  <c r="AO37" i="58"/>
  <c r="AS37" i="58" s="1"/>
  <c r="AU37" i="58" s="1"/>
  <c r="BC37" i="58" s="1"/>
  <c r="AB36" i="64" s="1"/>
  <c r="AF36" i="64" s="1"/>
  <c r="AO38" i="58"/>
  <c r="AS38" i="58" s="1"/>
  <c r="AY38" i="58" s="1"/>
  <c r="AM28" i="58"/>
  <c r="AQ28" i="58" s="1"/>
  <c r="AV28" i="58" s="1"/>
  <c r="AN41" i="58"/>
  <c r="AR41" i="58" s="1"/>
  <c r="AX59" i="58"/>
  <c r="AZ59" i="58" s="1"/>
  <c r="BA59" i="58"/>
  <c r="Z60" i="64" s="1"/>
  <c r="AH125" i="58"/>
  <c r="AL125" i="58" s="1"/>
  <c r="AK43" i="64"/>
  <c r="AO43" i="64" s="1"/>
  <c r="AK49" i="64"/>
  <c r="AO49" i="64" s="1"/>
  <c r="AU36" i="58"/>
  <c r="BC36" i="58" s="1"/>
  <c r="AB43" i="64" s="1"/>
  <c r="AF43" i="64" s="1"/>
  <c r="AU47" i="58"/>
  <c r="BC47" i="58" s="1"/>
  <c r="AB49" i="64" s="1"/>
  <c r="AF49" i="64" s="1"/>
  <c r="Z13" i="64"/>
  <c r="AU19" i="58"/>
  <c r="BC19" i="58" s="1"/>
  <c r="AB30" i="64" s="1"/>
  <c r="AM30" i="64" s="1"/>
  <c r="BE30" i="64" s="1"/>
  <c r="AW58" i="58"/>
  <c r="AX14" i="58"/>
  <c r="AZ14" i="58" s="1"/>
  <c r="AA11" i="64" s="1"/>
  <c r="AE11" i="64" s="1"/>
  <c r="AU14" i="58"/>
  <c r="BC14" i="58" s="1"/>
  <c r="AB11" i="64" s="1"/>
  <c r="AF11" i="64" s="1"/>
  <c r="AV59" i="58"/>
  <c r="BE95" i="58"/>
  <c r="AA42" i="64"/>
  <c r="AE42" i="64" s="1"/>
  <c r="BH79" i="58"/>
  <c r="AW46" i="58"/>
  <c r="AW14" i="58"/>
  <c r="AV14" i="58"/>
  <c r="AU46" i="58"/>
  <c r="BC46" i="58" s="1"/>
  <c r="AB48" i="64" s="1"/>
  <c r="AF48" i="64" s="1"/>
  <c r="AD48" i="64"/>
  <c r="AX46" i="58"/>
  <c r="AZ46" i="58" s="1"/>
  <c r="BH46" i="58" s="1"/>
  <c r="AV46" i="58"/>
  <c r="BE53" i="64"/>
  <c r="BM53" i="64" s="1"/>
  <c r="AL43" i="58"/>
  <c r="AP43" i="58" s="1"/>
  <c r="BB83" i="58"/>
  <c r="BB91" i="58"/>
  <c r="BH85" i="58"/>
  <c r="AY17" i="58"/>
  <c r="AU62" i="58"/>
  <c r="BC62" i="58" s="1"/>
  <c r="AB59" i="64" s="1"/>
  <c r="AM59" i="64" s="1"/>
  <c r="AV49" i="58"/>
  <c r="BA58" i="58"/>
  <c r="AV54" i="58"/>
  <c r="AH105" i="58"/>
  <c r="BB89" i="58"/>
  <c r="AK105" i="58"/>
  <c r="AV64" i="58"/>
  <c r="AX54" i="58"/>
  <c r="AZ54" i="58" s="1"/>
  <c r="AA55" i="64" s="1"/>
  <c r="AU54" i="58"/>
  <c r="BC54" i="58" s="1"/>
  <c r="AW54" i="58"/>
  <c r="AG5" i="58"/>
  <c r="AG4" i="58" s="1"/>
  <c r="AN43" i="58"/>
  <c r="AR43" i="58" s="1"/>
  <c r="AJ105" i="58"/>
  <c r="AI105" i="58"/>
  <c r="AO43" i="58"/>
  <c r="AS43" i="58" s="1"/>
  <c r="AU43" i="58" s="1"/>
  <c r="BC43" i="58" s="1"/>
  <c r="AU42" i="58"/>
  <c r="BC42" i="58" s="1"/>
  <c r="BE42" i="58" s="1"/>
  <c r="AW42" i="58"/>
  <c r="AY42" i="58"/>
  <c r="AU21" i="58"/>
  <c r="BC21" i="58" s="1"/>
  <c r="AB31" i="64" s="1"/>
  <c r="AM31" i="64" s="1"/>
  <c r="BE31" i="64" s="1"/>
  <c r="AY40" i="58"/>
  <c r="AW40" i="58"/>
  <c r="AY34" i="58"/>
  <c r="AW34" i="58"/>
  <c r="BA17" i="58"/>
  <c r="AU17" i="58"/>
  <c r="BC17" i="58" s="1"/>
  <c r="AB29" i="64" s="1"/>
  <c r="BA22" i="58"/>
  <c r="AU22" i="58"/>
  <c r="BC22" i="58" s="1"/>
  <c r="AB19" i="64" s="1"/>
  <c r="BA41" i="58"/>
  <c r="BA23" i="58"/>
  <c r="AU23" i="58"/>
  <c r="BC23" i="58" s="1"/>
  <c r="AB32" i="64" s="1"/>
  <c r="AU40" i="58"/>
  <c r="BC40" i="58" s="1"/>
  <c r="AB45" i="64" s="1"/>
  <c r="BA40" i="58"/>
  <c r="AX22" i="58"/>
  <c r="AZ22" i="58" s="1"/>
  <c r="AV22" i="58"/>
  <c r="AX64" i="58"/>
  <c r="AZ64" i="58" s="1"/>
  <c r="AX41" i="58"/>
  <c r="AZ41" i="58" s="1"/>
  <c r="AV41" i="58"/>
  <c r="BF81" i="58"/>
  <c r="BH81" i="58"/>
  <c r="BA35" i="58"/>
  <c r="AW17" i="58"/>
  <c r="AX17" i="58"/>
  <c r="AZ17" i="58" s="1"/>
  <c r="AV17" i="58"/>
  <c r="BA44" i="58"/>
  <c r="AU44" i="58"/>
  <c r="BC44" i="58" s="1"/>
  <c r="BE81" i="58"/>
  <c r="AY44" i="58"/>
  <c r="AW44" i="58"/>
  <c r="AY22" i="58"/>
  <c r="AW22" i="58"/>
  <c r="AX44" i="58"/>
  <c r="AZ44" i="58" s="1"/>
  <c r="AV44" i="58"/>
  <c r="BA31" i="58"/>
  <c r="AU31" i="58"/>
  <c r="BC31" i="58" s="1"/>
  <c r="AX31" i="58"/>
  <c r="AZ31" i="58" s="1"/>
  <c r="AV31" i="58"/>
  <c r="AU30" i="58"/>
  <c r="BC30" i="58" s="1"/>
  <c r="AB24" i="64" s="1"/>
  <c r="BA30" i="58"/>
  <c r="BA43" i="58"/>
  <c r="AW30" i="58"/>
  <c r="AY30" i="58"/>
  <c r="AX42" i="58"/>
  <c r="AZ42" i="58" s="1"/>
  <c r="AV42" i="58"/>
  <c r="AU29" i="58"/>
  <c r="BC29" i="58" s="1"/>
  <c r="BA29" i="58"/>
  <c r="BA26" i="58"/>
  <c r="BA27" i="58"/>
  <c r="AO18" i="64"/>
  <c r="BB78" i="58"/>
  <c r="BE82" i="58"/>
  <c r="Z46" i="64"/>
  <c r="AM46" i="64"/>
  <c r="AF46" i="64"/>
  <c r="AX21" i="58"/>
  <c r="AZ21" i="58" s="1"/>
  <c r="AV21" i="58"/>
  <c r="AM53" i="58"/>
  <c r="AQ53" i="58" s="1"/>
  <c r="AM52" i="58"/>
  <c r="AQ52" i="58" s="1"/>
  <c r="AL52" i="58"/>
  <c r="AP52" i="58" s="1"/>
  <c r="AL53" i="58"/>
  <c r="AP53" i="58" s="1"/>
  <c r="AN53" i="58"/>
  <c r="AR53" i="58" s="1"/>
  <c r="AN52" i="58"/>
  <c r="AR52" i="58" s="1"/>
  <c r="AO53" i="58"/>
  <c r="AS53" i="58" s="1"/>
  <c r="AO52" i="58"/>
  <c r="AS52" i="58" s="1"/>
  <c r="AY56" i="58"/>
  <c r="AW56" i="58"/>
  <c r="BA56" i="58"/>
  <c r="Z56" i="64" s="1"/>
  <c r="AU56" i="58"/>
  <c r="BC56" i="58" s="1"/>
  <c r="AB57" i="64" s="1"/>
  <c r="BA10" i="58"/>
  <c r="AX56" i="58"/>
  <c r="AZ56" i="58" s="1"/>
  <c r="AV56" i="58"/>
  <c r="AX25" i="58"/>
  <c r="AZ25" i="58" s="1"/>
  <c r="AA33" i="64" s="1"/>
  <c r="AV25" i="58"/>
  <c r="BA25" i="58"/>
  <c r="Z33" i="64" s="1"/>
  <c r="AU25" i="58"/>
  <c r="BC25" i="58" s="1"/>
  <c r="AB33" i="64" s="1"/>
  <c r="AU39" i="58"/>
  <c r="BC39" i="58" s="1"/>
  <c r="AB37" i="64" s="1"/>
  <c r="BA39" i="58"/>
  <c r="BA38" i="58"/>
  <c r="BA32" i="58"/>
  <c r="AU32" i="58"/>
  <c r="BC32" i="58" s="1"/>
  <c r="AB25" i="64" s="1"/>
  <c r="BA33" i="58"/>
  <c r="AD47" i="64"/>
  <c r="AK47" i="64"/>
  <c r="AO22" i="64"/>
  <c r="BC22" i="64"/>
  <c r="AK31" i="64"/>
  <c r="AD31" i="64"/>
  <c r="AK30" i="64"/>
  <c r="AD30" i="64"/>
  <c r="BC53" i="64"/>
  <c r="AO53" i="64"/>
  <c r="AD11" i="64"/>
  <c r="AK11" i="64"/>
  <c r="AO48" i="64"/>
  <c r="BC48" i="64"/>
  <c r="BQ18" i="64"/>
  <c r="BK18" i="64"/>
  <c r="Z59" i="64"/>
  <c r="BC65" i="64"/>
  <c r="AD36" i="64"/>
  <c r="AK36" i="64"/>
  <c r="AK15" i="64"/>
  <c r="AD15" i="64"/>
  <c r="AO23" i="64"/>
  <c r="BC23" i="64"/>
  <c r="BC42" i="64"/>
  <c r="AO42" i="64"/>
  <c r="BM42" i="64"/>
  <c r="BS42" i="64"/>
  <c r="BK12" i="64"/>
  <c r="BQ12" i="64"/>
  <c r="BE106" i="58" l="1"/>
  <c r="BE119" i="58"/>
  <c r="BE102" i="58"/>
  <c r="BE114" i="58"/>
  <c r="BC62" i="64"/>
  <c r="BQ62" i="64" s="1"/>
  <c r="D62" i="101" s="1"/>
  <c r="AT133" i="58"/>
  <c r="AW133" i="58"/>
  <c r="AY133" i="58"/>
  <c r="AW144" i="58"/>
  <c r="AU144" i="58"/>
  <c r="BC144" i="58" s="1"/>
  <c r="AY144" i="58"/>
  <c r="AT145" i="58"/>
  <c r="AV145" i="58"/>
  <c r="AX145" i="58"/>
  <c r="AZ145" i="58" s="1"/>
  <c r="AX101" i="58"/>
  <c r="AZ101" i="58" s="1"/>
  <c r="AT101" i="58"/>
  <c r="AV101" i="58"/>
  <c r="AT138" i="58"/>
  <c r="AV138" i="58"/>
  <c r="AX138" i="58"/>
  <c r="AZ138" i="58" s="1"/>
  <c r="BA112" i="58"/>
  <c r="Z65" i="64" s="1"/>
  <c r="AK65" i="64" s="1"/>
  <c r="AO65" i="64" s="1"/>
  <c r="AX112" i="58"/>
  <c r="AZ112" i="58" s="1"/>
  <c r="AV112" i="58"/>
  <c r="AU112" i="58"/>
  <c r="BC112" i="58" s="1"/>
  <c r="BA111" i="58"/>
  <c r="AU111" i="58"/>
  <c r="BC111" i="58" s="1"/>
  <c r="AV111" i="58"/>
  <c r="AX111" i="58"/>
  <c r="AZ111" i="58" s="1"/>
  <c r="AT106" i="58"/>
  <c r="AX106" i="58"/>
  <c r="AZ106" i="58" s="1"/>
  <c r="BF106" i="58" s="1"/>
  <c r="AV106" i="58"/>
  <c r="AW113" i="58"/>
  <c r="AY113" i="58"/>
  <c r="AW104" i="58"/>
  <c r="AY104" i="58"/>
  <c r="BB104" i="58" s="1"/>
  <c r="BA72" i="58"/>
  <c r="AV72" i="58"/>
  <c r="AX72" i="58"/>
  <c r="AZ72" i="58" s="1"/>
  <c r="BH72" i="58" s="1"/>
  <c r="AU72" i="58"/>
  <c r="BC72" i="58" s="1"/>
  <c r="BE72" i="58" s="1"/>
  <c r="AW108" i="58"/>
  <c r="AY108" i="58"/>
  <c r="AU108" i="58"/>
  <c r="BC108" i="58" s="1"/>
  <c r="BE108" i="58" s="1"/>
  <c r="AV91" i="58"/>
  <c r="AX91" i="58"/>
  <c r="AZ91" i="58" s="1"/>
  <c r="AU91" i="58"/>
  <c r="BC91" i="58" s="1"/>
  <c r="BA91" i="58"/>
  <c r="AT103" i="58"/>
  <c r="AY103" i="58"/>
  <c r="AW103" i="58"/>
  <c r="AY80" i="58"/>
  <c r="AU80" i="58"/>
  <c r="BC80" i="58" s="1"/>
  <c r="BE80" i="58" s="1"/>
  <c r="AW80" i="58"/>
  <c r="AY71" i="58"/>
  <c r="BB71" i="58" s="1"/>
  <c r="AW71" i="58"/>
  <c r="AU77" i="58"/>
  <c r="BC77" i="58" s="1"/>
  <c r="AB26" i="64" s="1"/>
  <c r="AF26" i="64" s="1"/>
  <c r="BA77" i="58"/>
  <c r="Z26" i="64" s="1"/>
  <c r="AV77" i="58"/>
  <c r="AX77" i="58"/>
  <c r="AZ77" i="58" s="1"/>
  <c r="BA66" i="58"/>
  <c r="Z6" i="64" s="1"/>
  <c r="AU66" i="58"/>
  <c r="BC66" i="58" s="1"/>
  <c r="AB6" i="64" s="1"/>
  <c r="AM6" i="64" s="1"/>
  <c r="BE6" i="64" s="1"/>
  <c r="BS6" i="64" s="1"/>
  <c r="BA75" i="58"/>
  <c r="AX75" i="58"/>
  <c r="AZ75" i="58" s="1"/>
  <c r="AU75" i="58"/>
  <c r="BC75" i="58" s="1"/>
  <c r="BE75" i="58" s="1"/>
  <c r="AV75" i="58"/>
  <c r="AY76" i="58"/>
  <c r="BB76" i="58" s="1"/>
  <c r="AW76" i="58"/>
  <c r="BA99" i="58"/>
  <c r="AV99" i="58"/>
  <c r="AX99" i="58"/>
  <c r="AZ99" i="58" s="1"/>
  <c r="BH99" i="58" s="1"/>
  <c r="AU99" i="58"/>
  <c r="BC99" i="58" s="1"/>
  <c r="AY84" i="58"/>
  <c r="AW84" i="58"/>
  <c r="BA97" i="58"/>
  <c r="AU97" i="58"/>
  <c r="BC97" i="58" s="1"/>
  <c r="AX97" i="58"/>
  <c r="AZ97" i="58" s="1"/>
  <c r="AV97" i="58"/>
  <c r="AW114" i="58"/>
  <c r="AY114" i="58"/>
  <c r="AW98" i="58"/>
  <c r="AU98" i="58"/>
  <c r="BC98" i="58" s="1"/>
  <c r="BE98" i="58" s="1"/>
  <c r="AY98" i="58"/>
  <c r="AY81" i="58"/>
  <c r="AT81" i="58"/>
  <c r="BB81" i="58" s="1"/>
  <c r="AW81" i="58"/>
  <c r="AX110" i="58"/>
  <c r="AZ110" i="58" s="1"/>
  <c r="AT110" i="58"/>
  <c r="BB110" i="58" s="1"/>
  <c r="AV110" i="58"/>
  <c r="AY95" i="58"/>
  <c r="AW95" i="58"/>
  <c r="AY90" i="58"/>
  <c r="AT90" i="58"/>
  <c r="BB90" i="58" s="1"/>
  <c r="AW90" i="58"/>
  <c r="AT113" i="58"/>
  <c r="AV113" i="58"/>
  <c r="AX113" i="58"/>
  <c r="AZ113" i="58" s="1"/>
  <c r="BH113" i="58" s="1"/>
  <c r="AW109" i="58"/>
  <c r="AY109" i="58"/>
  <c r="BB109" i="58" s="1"/>
  <c r="BD109" i="58" s="1"/>
  <c r="AU109" i="58"/>
  <c r="BC109" i="58" s="1"/>
  <c r="BE109" i="58" s="1"/>
  <c r="AD10" i="64"/>
  <c r="AK10" i="64"/>
  <c r="BC10" i="64" s="1"/>
  <c r="BQ10" i="64" s="1"/>
  <c r="BA83" i="58"/>
  <c r="AU83" i="58"/>
  <c r="BC83" i="58" s="1"/>
  <c r="AX83" i="58"/>
  <c r="AZ83" i="58" s="1"/>
  <c r="BH83" i="58" s="1"/>
  <c r="AV83" i="58"/>
  <c r="BA87" i="58"/>
  <c r="AV87" i="58"/>
  <c r="AU87" i="58"/>
  <c r="BC87" i="58" s="1"/>
  <c r="BE87" i="58" s="1"/>
  <c r="AX87" i="58"/>
  <c r="AZ87" i="58" s="1"/>
  <c r="AT115" i="58"/>
  <c r="AY115" i="58"/>
  <c r="AW115" i="58"/>
  <c r="AT80" i="58"/>
  <c r="BB80" i="58" s="1"/>
  <c r="AV80" i="58"/>
  <c r="AX80" i="58"/>
  <c r="AZ80" i="58" s="1"/>
  <c r="BH80" i="58" s="1"/>
  <c r="AU74" i="58"/>
  <c r="BC74" i="58" s="1"/>
  <c r="AY74" i="58"/>
  <c r="AW74" i="58"/>
  <c r="AX67" i="58"/>
  <c r="AZ67" i="58" s="1"/>
  <c r="AV67" i="58"/>
  <c r="AT67" i="58"/>
  <c r="AY96" i="58"/>
  <c r="AW96" i="58"/>
  <c r="AU96" i="58"/>
  <c r="BC96" i="58" s="1"/>
  <c r="BE96" i="58" s="1"/>
  <c r="AW94" i="58"/>
  <c r="AY94" i="58"/>
  <c r="BB94" i="58" s="1"/>
  <c r="AX76" i="58"/>
  <c r="AZ76" i="58" s="1"/>
  <c r="BA76" i="58"/>
  <c r="BH76" i="58" s="1"/>
  <c r="AV76" i="58"/>
  <c r="AU76" i="58"/>
  <c r="BC76" i="58" s="1"/>
  <c r="AY107" i="58"/>
  <c r="AW107" i="58"/>
  <c r="AW92" i="58"/>
  <c r="AY92" i="58"/>
  <c r="AV92" i="58"/>
  <c r="AT92" i="58"/>
  <c r="AX92" i="58"/>
  <c r="AZ92" i="58" s="1"/>
  <c r="AV118" i="58"/>
  <c r="AT118" i="58"/>
  <c r="AX118" i="58"/>
  <c r="AZ118" i="58" s="1"/>
  <c r="AX84" i="58"/>
  <c r="AZ84" i="58" s="1"/>
  <c r="AT84" i="58"/>
  <c r="AV84" i="58"/>
  <c r="AU89" i="58"/>
  <c r="BC89" i="58" s="1"/>
  <c r="BA89" i="58"/>
  <c r="AX89" i="58"/>
  <c r="AZ89" i="58" s="1"/>
  <c r="BF89" i="58" s="1"/>
  <c r="AV89" i="58"/>
  <c r="AV116" i="58"/>
  <c r="AT116" i="58"/>
  <c r="AX116" i="58"/>
  <c r="AZ116" i="58" s="1"/>
  <c r="AU116" i="58"/>
  <c r="BC116" i="58" s="1"/>
  <c r="AY116" i="58"/>
  <c r="BB116" i="58" s="1"/>
  <c r="AW116" i="58"/>
  <c r="AT119" i="58"/>
  <c r="AW119" i="58"/>
  <c r="AY119" i="58"/>
  <c r="BB119" i="58" s="1"/>
  <c r="BJ119" i="58" s="1"/>
  <c r="AW100" i="58"/>
  <c r="AU100" i="58"/>
  <c r="BC100" i="58" s="1"/>
  <c r="BE100" i="58" s="1"/>
  <c r="AY100" i="58"/>
  <c r="AY106" i="58"/>
  <c r="AW106" i="58"/>
  <c r="AY127" i="58"/>
  <c r="AT127" i="58"/>
  <c r="AW127" i="58"/>
  <c r="AV114" i="58"/>
  <c r="AX114" i="58"/>
  <c r="AZ114" i="58" s="1"/>
  <c r="BF114" i="58" s="1"/>
  <c r="AT114" i="58"/>
  <c r="AT102" i="58"/>
  <c r="BB102" i="58" s="1"/>
  <c r="AX102" i="58"/>
  <c r="AZ102" i="58" s="1"/>
  <c r="BH102" i="58" s="1"/>
  <c r="AV102" i="58"/>
  <c r="AU85" i="58"/>
  <c r="BC85" i="58" s="1"/>
  <c r="BE85" i="58" s="1"/>
  <c r="AY85" i="58"/>
  <c r="BB85" i="58" s="1"/>
  <c r="BI85" i="58" s="1"/>
  <c r="AW85" i="58"/>
  <c r="AV117" i="58"/>
  <c r="AX117" i="58"/>
  <c r="AZ117" i="58" s="1"/>
  <c r="BH117" i="58" s="1"/>
  <c r="BA138" i="58"/>
  <c r="AU138" i="58"/>
  <c r="BC138" i="58" s="1"/>
  <c r="AY145" i="58"/>
  <c r="AW145" i="58"/>
  <c r="AV69" i="58"/>
  <c r="AX69" i="58"/>
  <c r="AZ69" i="58" s="1"/>
  <c r="AA10" i="64" s="1"/>
  <c r="AE10" i="64" s="1"/>
  <c r="BA104" i="58"/>
  <c r="AX104" i="58"/>
  <c r="AZ104" i="58" s="1"/>
  <c r="AU104" i="58"/>
  <c r="BC104" i="58" s="1"/>
  <c r="BE104" i="58" s="1"/>
  <c r="AV104" i="58"/>
  <c r="AW88" i="58"/>
  <c r="AY88" i="58"/>
  <c r="BB88" i="58" s="1"/>
  <c r="BA90" i="58"/>
  <c r="AV90" i="58"/>
  <c r="AX90" i="58"/>
  <c r="AZ90" i="58" s="1"/>
  <c r="BH90" i="58" s="1"/>
  <c r="AU90" i="58"/>
  <c r="BC90" i="58" s="1"/>
  <c r="AY87" i="58"/>
  <c r="BB87" i="58" s="1"/>
  <c r="AW87" i="58"/>
  <c r="AW111" i="58"/>
  <c r="AT111" i="58"/>
  <c r="AY111" i="58"/>
  <c r="AW77" i="58"/>
  <c r="AY77" i="58"/>
  <c r="BB77" i="58" s="1"/>
  <c r="AT108" i="58"/>
  <c r="AV108" i="58"/>
  <c r="AX108" i="58"/>
  <c r="AZ108" i="58" s="1"/>
  <c r="BH108" i="58" s="1"/>
  <c r="AY101" i="58"/>
  <c r="AW101" i="58"/>
  <c r="BA67" i="58"/>
  <c r="Z8" i="64" s="1"/>
  <c r="AU67" i="58"/>
  <c r="BC67" i="58" s="1"/>
  <c r="AB8" i="64" s="1"/>
  <c r="AM8" i="64" s="1"/>
  <c r="BE8" i="64" s="1"/>
  <c r="AW86" i="58"/>
  <c r="AY86" i="58"/>
  <c r="AY66" i="58"/>
  <c r="AW66" i="58"/>
  <c r="AT73" i="58"/>
  <c r="AX73" i="58"/>
  <c r="AZ73" i="58" s="1"/>
  <c r="AA18" i="64" s="1"/>
  <c r="AV73" i="58"/>
  <c r="BA115" i="58"/>
  <c r="AV115" i="58"/>
  <c r="AX115" i="58"/>
  <c r="AZ115" i="58" s="1"/>
  <c r="BH115" i="58" s="1"/>
  <c r="AU115" i="58"/>
  <c r="BC115" i="58" s="1"/>
  <c r="BE115" i="58" s="1"/>
  <c r="AV94" i="58"/>
  <c r="AU94" i="58"/>
  <c r="BC94" i="58" s="1"/>
  <c r="BA94" i="58"/>
  <c r="AX94" i="58"/>
  <c r="AZ94" i="58" s="1"/>
  <c r="AY75" i="58"/>
  <c r="AT75" i="58"/>
  <c r="BB75" i="58" s="1"/>
  <c r="AW75" i="58"/>
  <c r="AT107" i="58"/>
  <c r="AV107" i="58"/>
  <c r="AX107" i="58"/>
  <c r="AZ107" i="58" s="1"/>
  <c r="AV78" i="58"/>
  <c r="BA78" i="58"/>
  <c r="AX78" i="58"/>
  <c r="AZ78" i="58" s="1"/>
  <c r="AU78" i="58"/>
  <c r="BC78" i="58" s="1"/>
  <c r="AT82" i="58"/>
  <c r="BB82" i="58" s="1"/>
  <c r="AV82" i="58"/>
  <c r="AX82" i="58"/>
  <c r="AZ82" i="58" s="1"/>
  <c r="AT98" i="58"/>
  <c r="BB98" i="58" s="1"/>
  <c r="AV98" i="58"/>
  <c r="AX98" i="58"/>
  <c r="AZ98" i="58" s="1"/>
  <c r="BH98" i="58" s="1"/>
  <c r="AU127" i="58"/>
  <c r="BC127" i="58" s="1"/>
  <c r="BA127" i="58"/>
  <c r="AX127" i="58"/>
  <c r="AZ127" i="58" s="1"/>
  <c r="AV127" i="58"/>
  <c r="AV95" i="58"/>
  <c r="AX95" i="58"/>
  <c r="AZ95" i="58" s="1"/>
  <c r="D6" i="111" s="1"/>
  <c r="AT95" i="58"/>
  <c r="BB95" i="58" s="1"/>
  <c r="AY138" i="58"/>
  <c r="AW138" i="58"/>
  <c r="AV100" i="58"/>
  <c r="AT100" i="58"/>
  <c r="AX100" i="58"/>
  <c r="AZ100" i="58" s="1"/>
  <c r="BF100" i="58" s="1"/>
  <c r="AX144" i="58"/>
  <c r="AZ144" i="58" s="1"/>
  <c r="AV144" i="58"/>
  <c r="AT144" i="58"/>
  <c r="AT112" i="58"/>
  <c r="AY112" i="58"/>
  <c r="AW112" i="58"/>
  <c r="BA71" i="58"/>
  <c r="Z17" i="64" s="1"/>
  <c r="AX71" i="58"/>
  <c r="AZ71" i="58" s="1"/>
  <c r="BH71" i="58" s="1"/>
  <c r="AU71" i="58"/>
  <c r="BC71" i="58" s="1"/>
  <c r="AB17" i="64" s="1"/>
  <c r="AF17" i="64" s="1"/>
  <c r="AV71" i="58"/>
  <c r="AW72" i="58"/>
  <c r="AT72" i="58"/>
  <c r="AY72" i="58"/>
  <c r="AU103" i="58"/>
  <c r="BC103" i="58" s="1"/>
  <c r="AB63" i="64" s="1"/>
  <c r="AV103" i="58"/>
  <c r="AX103" i="58"/>
  <c r="AZ103" i="58" s="1"/>
  <c r="AA64" i="64" s="1"/>
  <c r="BA103" i="58"/>
  <c r="Z63" i="64" s="1"/>
  <c r="AT86" i="58"/>
  <c r="AX86" i="58"/>
  <c r="AZ86" i="58" s="1"/>
  <c r="BH86" i="58" s="1"/>
  <c r="AV86" i="58"/>
  <c r="AU88" i="58"/>
  <c r="BC88" i="58" s="1"/>
  <c r="AV88" i="58"/>
  <c r="BA88" i="58"/>
  <c r="AX88" i="58"/>
  <c r="AZ88" i="58" s="1"/>
  <c r="AW73" i="58"/>
  <c r="AU73" i="58"/>
  <c r="BC73" i="58" s="1"/>
  <c r="AB18" i="64" s="1"/>
  <c r="AF18" i="64" s="1"/>
  <c r="AY73" i="58"/>
  <c r="AT74" i="58"/>
  <c r="AV74" i="58"/>
  <c r="AX74" i="58"/>
  <c r="AZ74" i="58" s="1"/>
  <c r="BF74" i="58" s="1"/>
  <c r="AY67" i="58"/>
  <c r="AW67" i="58"/>
  <c r="AT96" i="58"/>
  <c r="BB96" i="58" s="1"/>
  <c r="AV96" i="58"/>
  <c r="AX96" i="58"/>
  <c r="AZ96" i="58" s="1"/>
  <c r="BH96" i="58" s="1"/>
  <c r="AV66" i="58"/>
  <c r="AT66" i="58"/>
  <c r="AX66" i="58"/>
  <c r="AZ66" i="58" s="1"/>
  <c r="BA107" i="58"/>
  <c r="AU107" i="58"/>
  <c r="BC107" i="58" s="1"/>
  <c r="BE107" i="58" s="1"/>
  <c r="AY99" i="58"/>
  <c r="BB99" i="58" s="1"/>
  <c r="AW99" i="58"/>
  <c r="AU118" i="58"/>
  <c r="BC118" i="58" s="1"/>
  <c r="BA118" i="58"/>
  <c r="AU84" i="58"/>
  <c r="BC84" i="58" s="1"/>
  <c r="BA84" i="58"/>
  <c r="AY118" i="58"/>
  <c r="AW118" i="58"/>
  <c r="AU92" i="58"/>
  <c r="BC92" i="58" s="1"/>
  <c r="AB50" i="64" s="1"/>
  <c r="BA92" i="58"/>
  <c r="AM105" i="58"/>
  <c r="AQ105" i="58" s="1"/>
  <c r="AO105" i="58"/>
  <c r="AS105" i="58" s="1"/>
  <c r="BI97" i="58"/>
  <c r="AR69" i="58"/>
  <c r="AN69" i="58"/>
  <c r="AR117" i="58"/>
  <c r="AT117" i="58" s="1"/>
  <c r="AN117" i="58"/>
  <c r="BK9" i="64"/>
  <c r="BQ9" i="64"/>
  <c r="BB79" i="58"/>
  <c r="AN105" i="58"/>
  <c r="AR105" i="58" s="1"/>
  <c r="BG89" i="58"/>
  <c r="AL105" i="58"/>
  <c r="AP105" i="58" s="1"/>
  <c r="AO69" i="58"/>
  <c r="AS69" i="58" s="1"/>
  <c r="AO117" i="58"/>
  <c r="AS117" i="58" s="1"/>
  <c r="BE86" i="58"/>
  <c r="BB70" i="58"/>
  <c r="AA61" i="64"/>
  <c r="BH116" i="58"/>
  <c r="BH89" i="58"/>
  <c r="BF95" i="58"/>
  <c r="AX49" i="58"/>
  <c r="AZ49" i="58" s="1"/>
  <c r="BF49" i="58" s="1"/>
  <c r="BB133" i="58"/>
  <c r="BD133" i="58" s="1"/>
  <c r="BF98" i="58"/>
  <c r="AD39" i="64"/>
  <c r="BD68" i="58"/>
  <c r="AY20" i="58"/>
  <c r="BW18" i="64"/>
  <c r="N17" i="82" s="1"/>
  <c r="D18" i="101"/>
  <c r="BW12" i="64"/>
  <c r="N11" i="82" s="1"/>
  <c r="D12" i="101"/>
  <c r="BY42" i="64"/>
  <c r="P41" i="82" s="1"/>
  <c r="F42" i="101"/>
  <c r="BG68" i="58"/>
  <c r="AY55" i="58"/>
  <c r="AX63" i="58"/>
  <c r="AZ63" i="58" s="1"/>
  <c r="BH63" i="58" s="1"/>
  <c r="AT20" i="58"/>
  <c r="BB20" i="58" s="1"/>
  <c r="F7" i="111" s="1"/>
  <c r="AC9" i="64"/>
  <c r="AG9" i="64" s="1"/>
  <c r="BJ68" i="58"/>
  <c r="BB114" i="58"/>
  <c r="BJ114" i="58" s="1"/>
  <c r="BE9" i="64"/>
  <c r="BS9" i="64" s="1"/>
  <c r="AA62" i="64"/>
  <c r="AE62" i="64" s="1"/>
  <c r="BH114" i="58"/>
  <c r="BJ102" i="58"/>
  <c r="BH95" i="58"/>
  <c r="BF102" i="58"/>
  <c r="AB61" i="64"/>
  <c r="AF61" i="64" s="1"/>
  <c r="AU55" i="58"/>
  <c r="BC55" i="58" s="1"/>
  <c r="BE55" i="58" s="1"/>
  <c r="BB100" i="58"/>
  <c r="BI100" i="58" s="1"/>
  <c r="AY41" i="58"/>
  <c r="BF117" i="58"/>
  <c r="BD85" i="58"/>
  <c r="AV29" i="58"/>
  <c r="BB54" i="58"/>
  <c r="BD54" i="58" s="1"/>
  <c r="BJ85" i="58"/>
  <c r="BG85" i="58"/>
  <c r="BK62" i="64"/>
  <c r="BF12" i="58"/>
  <c r="AT69" i="58"/>
  <c r="AD65" i="64"/>
  <c r="BS62" i="64"/>
  <c r="F62" i="101" s="1"/>
  <c r="AQ62" i="64"/>
  <c r="AF62" i="64"/>
  <c r="BB59" i="58"/>
  <c r="AC61" i="64" s="1"/>
  <c r="AG61" i="64" s="1"/>
  <c r="BD97" i="58"/>
  <c r="AB60" i="64"/>
  <c r="AM60" i="64" s="1"/>
  <c r="AL62" i="64"/>
  <c r="AP62" i="64" s="1"/>
  <c r="AM61" i="64"/>
  <c r="AQ61" i="64" s="1"/>
  <c r="AX60" i="58"/>
  <c r="AZ60" i="58" s="1"/>
  <c r="AB65" i="64"/>
  <c r="AF65" i="64" s="1"/>
  <c r="BH100" i="58"/>
  <c r="AA63" i="64"/>
  <c r="AE63" i="64" s="1"/>
  <c r="AY60" i="58"/>
  <c r="BB60" i="58" s="1"/>
  <c r="AK56" i="64"/>
  <c r="AD56" i="64"/>
  <c r="AL12" i="64"/>
  <c r="AP12" i="64" s="1"/>
  <c r="AM63" i="64"/>
  <c r="AF63" i="64"/>
  <c r="AV10" i="58"/>
  <c r="AB56" i="64"/>
  <c r="AM56" i="64" s="1"/>
  <c r="BE56" i="64" s="1"/>
  <c r="BS56" i="64" s="1"/>
  <c r="AB55" i="64"/>
  <c r="AD63" i="64"/>
  <c r="AK63" i="64"/>
  <c r="AK60" i="64"/>
  <c r="AD60" i="64"/>
  <c r="AL55" i="64"/>
  <c r="AE55" i="64"/>
  <c r="AB58" i="64"/>
  <c r="BB129" i="58"/>
  <c r="BD129" i="58" s="1"/>
  <c r="BB135" i="58"/>
  <c r="BG135" i="58" s="1"/>
  <c r="AB64" i="64"/>
  <c r="AC55" i="64"/>
  <c r="AT10" i="58"/>
  <c r="AD55" i="64"/>
  <c r="AK55" i="64"/>
  <c r="AW60" i="58"/>
  <c r="AA60" i="64"/>
  <c r="AE60" i="64" s="1"/>
  <c r="BF140" i="58"/>
  <c r="AC62" i="64"/>
  <c r="AN62" i="64" s="1"/>
  <c r="BF62" i="64" s="1"/>
  <c r="BN62" i="64" s="1"/>
  <c r="BJ97" i="58"/>
  <c r="AL9" i="64"/>
  <c r="BD9" i="64" s="1"/>
  <c r="BL9" i="64" s="1"/>
  <c r="BJ98" i="58"/>
  <c r="BG97" i="58"/>
  <c r="BD15" i="58"/>
  <c r="BG98" i="58"/>
  <c r="BA60" i="58"/>
  <c r="BH15" i="58"/>
  <c r="BD98" i="58"/>
  <c r="BI98" i="58"/>
  <c r="BE141" i="58"/>
  <c r="BE15" i="58"/>
  <c r="BI133" i="58"/>
  <c r="BF15" i="58"/>
  <c r="AF35" i="64"/>
  <c r="BH104" i="58"/>
  <c r="BB136" i="58"/>
  <c r="BD136" i="58" s="1"/>
  <c r="BE121" i="58"/>
  <c r="BB140" i="58"/>
  <c r="BJ140" i="58" s="1"/>
  <c r="AA22" i="64"/>
  <c r="AL22" i="64" s="1"/>
  <c r="BB132" i="58"/>
  <c r="BD132" i="58" s="1"/>
  <c r="BH142" i="58"/>
  <c r="BB121" i="58"/>
  <c r="BG121" i="58" s="1"/>
  <c r="BE144" i="58"/>
  <c r="BE136" i="58"/>
  <c r="BB141" i="58"/>
  <c r="BG141" i="58" s="1"/>
  <c r="BE145" i="58"/>
  <c r="BH138" i="58"/>
  <c r="BB138" i="58"/>
  <c r="BG138" i="58" s="1"/>
  <c r="BH145" i="58"/>
  <c r="BF55" i="58"/>
  <c r="BB120" i="58"/>
  <c r="BG120" i="58" s="1"/>
  <c r="BF123" i="58"/>
  <c r="BB144" i="58"/>
  <c r="BD144" i="58" s="1"/>
  <c r="AL53" i="64"/>
  <c r="AP53" i="64" s="1"/>
  <c r="AM13" i="64"/>
  <c r="BE13" i="64" s="1"/>
  <c r="BH121" i="58"/>
  <c r="AT18" i="58"/>
  <c r="BF145" i="58"/>
  <c r="BF13" i="58"/>
  <c r="BF133" i="58"/>
  <c r="BJ124" i="58"/>
  <c r="BG133" i="58"/>
  <c r="BF142" i="58"/>
  <c r="BF144" i="58"/>
  <c r="BI119" i="58"/>
  <c r="BE120" i="58"/>
  <c r="BF136" i="58"/>
  <c r="BH139" i="58"/>
  <c r="BF138" i="58"/>
  <c r="BH136" i="58"/>
  <c r="BD124" i="58"/>
  <c r="BH127" i="58"/>
  <c r="BE142" i="58"/>
  <c r="BE132" i="58"/>
  <c r="BI124" i="58"/>
  <c r="BH132" i="58"/>
  <c r="BB145" i="58"/>
  <c r="BD145" i="58" s="1"/>
  <c r="BH140" i="58"/>
  <c r="BF135" i="58"/>
  <c r="BF121" i="58"/>
  <c r="BB127" i="58"/>
  <c r="BG127" i="58" s="1"/>
  <c r="Z35" i="64"/>
  <c r="AD35" i="64" s="1"/>
  <c r="AA65" i="64"/>
  <c r="AE65" i="64" s="1"/>
  <c r="BF111" i="58"/>
  <c r="BF132" i="58"/>
  <c r="BB139" i="58"/>
  <c r="BJ139" i="58" s="1"/>
  <c r="BH135" i="58"/>
  <c r="AY21" i="58"/>
  <c r="BB21" i="58" s="1"/>
  <c r="BJ133" i="58"/>
  <c r="AT23" i="58"/>
  <c r="BB142" i="58"/>
  <c r="BI142" i="58" s="1"/>
  <c r="BE140" i="58"/>
  <c r="BE135" i="58"/>
  <c r="BF141" i="58"/>
  <c r="AX134" i="58"/>
  <c r="AZ134" i="58" s="1"/>
  <c r="BH134" i="58" s="1"/>
  <c r="AV134" i="58"/>
  <c r="AU126" i="58"/>
  <c r="BC126" i="58" s="1"/>
  <c r="AX126" i="58"/>
  <c r="AZ126" i="58" s="1"/>
  <c r="AV126" i="58"/>
  <c r="BA126" i="58"/>
  <c r="AU64" i="58"/>
  <c r="BC64" i="58" s="1"/>
  <c r="AB47" i="64" s="1"/>
  <c r="AM47" i="64" s="1"/>
  <c r="BE47" i="64" s="1"/>
  <c r="BS47" i="64" s="1"/>
  <c r="AT57" i="58"/>
  <c r="BH74" i="58"/>
  <c r="BH144" i="58"/>
  <c r="AY57" i="58"/>
  <c r="AU60" i="58"/>
  <c r="BC60" i="58" s="1"/>
  <c r="AT53" i="58"/>
  <c r="BH120" i="58"/>
  <c r="AU143" i="58"/>
  <c r="BC143" i="58" s="1"/>
  <c r="AX143" i="58"/>
  <c r="AZ143" i="58" s="1"/>
  <c r="BF112" i="58"/>
  <c r="BF120" i="58"/>
  <c r="AT32" i="58"/>
  <c r="AT16" i="58"/>
  <c r="BH123" i="58"/>
  <c r="AW21" i="58"/>
  <c r="BH112" i="58"/>
  <c r="BA143" i="58"/>
  <c r="BE123" i="58"/>
  <c r="AU128" i="58"/>
  <c r="BC128" i="58" s="1"/>
  <c r="AU122" i="58"/>
  <c r="BC122" i="58" s="1"/>
  <c r="BE122" i="58" s="1"/>
  <c r="AW122" i="58"/>
  <c r="AX130" i="58"/>
  <c r="AZ130" i="58" s="1"/>
  <c r="BJ130" i="58" s="1"/>
  <c r="AV130" i="58"/>
  <c r="AT65" i="58"/>
  <c r="BB65" i="58" s="1"/>
  <c r="AT36" i="58"/>
  <c r="BB36" i="58" s="1"/>
  <c r="AC43" i="64" s="1"/>
  <c r="AG43" i="64" s="1"/>
  <c r="BB123" i="58"/>
  <c r="BJ123" i="58" s="1"/>
  <c r="BE131" i="58"/>
  <c r="BH141" i="58"/>
  <c r="BE138" i="58"/>
  <c r="AY126" i="58"/>
  <c r="AT126" i="58"/>
  <c r="AW126" i="58"/>
  <c r="AW128" i="58"/>
  <c r="AT128" i="58"/>
  <c r="AY128" i="58"/>
  <c r="AW137" i="58"/>
  <c r="AY137" i="58"/>
  <c r="AT137" i="58"/>
  <c r="AY134" i="58"/>
  <c r="AT134" i="58"/>
  <c r="AW134" i="58"/>
  <c r="AY130" i="58"/>
  <c r="AW130" i="58"/>
  <c r="AW131" i="58"/>
  <c r="AY131" i="58"/>
  <c r="AT131" i="58"/>
  <c r="AX131" i="58"/>
  <c r="AZ131" i="58" s="1"/>
  <c r="BH131" i="58" s="1"/>
  <c r="AV131" i="58"/>
  <c r="AT122" i="58"/>
  <c r="AV122" i="58"/>
  <c r="AX122" i="58"/>
  <c r="AZ122" i="58" s="1"/>
  <c r="BH122" i="58" s="1"/>
  <c r="AU125" i="58"/>
  <c r="BC125" i="58" s="1"/>
  <c r="BE125" i="58" s="1"/>
  <c r="AX128" i="58"/>
  <c r="AZ128" i="58" s="1"/>
  <c r="BA128" i="58"/>
  <c r="BA130" i="58"/>
  <c r="AT47" i="58"/>
  <c r="BB47" i="58" s="1"/>
  <c r="AC49" i="64" s="1"/>
  <c r="AG49" i="64" s="1"/>
  <c r="AT35" i="58"/>
  <c r="AV137" i="58"/>
  <c r="AT143" i="58"/>
  <c r="AT63" i="58"/>
  <c r="AT50" i="58"/>
  <c r="AT25" i="58"/>
  <c r="AT41" i="58"/>
  <c r="BB41" i="58" s="1"/>
  <c r="BD41" i="58" s="1"/>
  <c r="BE134" i="58"/>
  <c r="BE127" i="58"/>
  <c r="BE133" i="58"/>
  <c r="AP125" i="58"/>
  <c r="AX125" i="58" s="1"/>
  <c r="AZ125" i="58" s="1"/>
  <c r="BF125" i="58" s="1"/>
  <c r="AV128" i="58"/>
  <c r="AR125" i="58"/>
  <c r="AY125" i="58" s="1"/>
  <c r="AU137" i="58"/>
  <c r="BC137" i="58" s="1"/>
  <c r="BE137" i="58" s="1"/>
  <c r="AX137" i="58"/>
  <c r="AZ137" i="58" s="1"/>
  <c r="BF137" i="58" s="1"/>
  <c r="AT19" i="58"/>
  <c r="BB19" i="58" s="1"/>
  <c r="BJ19" i="58" s="1"/>
  <c r="AT45" i="58"/>
  <c r="BB45" i="58" s="1"/>
  <c r="AT29" i="58"/>
  <c r="BH133" i="58"/>
  <c r="AT52" i="58"/>
  <c r="BF73" i="58"/>
  <c r="BH73" i="58"/>
  <c r="AT43" i="58"/>
  <c r="AY122" i="58"/>
  <c r="AU130" i="58"/>
  <c r="BC130" i="58" s="1"/>
  <c r="BI130" i="58" s="1"/>
  <c r="BF127" i="58"/>
  <c r="AT39" i="58"/>
  <c r="BB39" i="58" s="1"/>
  <c r="AC37" i="64" s="1"/>
  <c r="AN37" i="64" s="1"/>
  <c r="AR37" i="64" s="1"/>
  <c r="AY143" i="58"/>
  <c r="AT28" i="58"/>
  <c r="AT24" i="58"/>
  <c r="BB24" i="58" s="1"/>
  <c r="AC20" i="64" s="1"/>
  <c r="BE112" i="58"/>
  <c r="BF86" i="58"/>
  <c r="AX61" i="58"/>
  <c r="AZ61" i="58" s="1"/>
  <c r="BJ13" i="58"/>
  <c r="AX39" i="58"/>
  <c r="AZ39" i="58" s="1"/>
  <c r="BH39" i="58" s="1"/>
  <c r="AX35" i="58"/>
  <c r="AZ35" i="58" s="1"/>
  <c r="BH35" i="58" s="1"/>
  <c r="AV19" i="58"/>
  <c r="AX18" i="58"/>
  <c r="AZ18" i="58" s="1"/>
  <c r="BF18" i="58" s="1"/>
  <c r="AX40" i="58"/>
  <c r="AZ40" i="58" s="1"/>
  <c r="BH40" i="58" s="1"/>
  <c r="AV62" i="58"/>
  <c r="BD119" i="58"/>
  <c r="AX30" i="58"/>
  <c r="AZ30" i="58" s="1"/>
  <c r="BH30" i="58" s="1"/>
  <c r="AV26" i="58"/>
  <c r="BB26" i="58"/>
  <c r="AV37" i="58"/>
  <c r="AX23" i="58"/>
  <c r="AZ23" i="58" s="1"/>
  <c r="BF23" i="58" s="1"/>
  <c r="AY23" i="58"/>
  <c r="AX43" i="58"/>
  <c r="AZ43" i="58" s="1"/>
  <c r="BH43" i="58" s="1"/>
  <c r="BG119" i="58"/>
  <c r="BF80" i="58"/>
  <c r="BB58" i="58"/>
  <c r="BI58" i="58" s="1"/>
  <c r="AV33" i="58"/>
  <c r="AN53" i="64"/>
  <c r="BF53" i="64" s="1"/>
  <c r="BB113" i="58"/>
  <c r="BG113" i="58" s="1"/>
  <c r="BE111" i="58"/>
  <c r="BE88" i="58"/>
  <c r="BF72" i="58"/>
  <c r="AW64" i="58"/>
  <c r="BF90" i="58"/>
  <c r="BG88" i="58"/>
  <c r="AY29" i="58"/>
  <c r="BG93" i="58"/>
  <c r="BJ93" i="58"/>
  <c r="AW11" i="58"/>
  <c r="AW61" i="58"/>
  <c r="AV65" i="58"/>
  <c r="BI93" i="58"/>
  <c r="BG114" i="58"/>
  <c r="AU65" i="58"/>
  <c r="BC65" i="58" s="1"/>
  <c r="AB41" i="64" s="1"/>
  <c r="AM41" i="64" s="1"/>
  <c r="BE41" i="64" s="1"/>
  <c r="BM41" i="64" s="1"/>
  <c r="AF8" i="64"/>
  <c r="BD93" i="58"/>
  <c r="BD114" i="58"/>
  <c r="AK41" i="64"/>
  <c r="AO41" i="64" s="1"/>
  <c r="BE67" i="58"/>
  <c r="AX65" i="58"/>
  <c r="AZ65" i="58" s="1"/>
  <c r="BH65" i="58" s="1"/>
  <c r="BH103" i="58"/>
  <c r="AX16" i="58"/>
  <c r="AZ16" i="58" s="1"/>
  <c r="BH16" i="58" s="1"/>
  <c r="AU16" i="58"/>
  <c r="BC16" i="58" s="1"/>
  <c r="BE16" i="58" s="1"/>
  <c r="AY32" i="58"/>
  <c r="AY18" i="58"/>
  <c r="BF88" i="58"/>
  <c r="AV38" i="58"/>
  <c r="AY27" i="58"/>
  <c r="BB27" i="58" s="1"/>
  <c r="BG90" i="58"/>
  <c r="BH106" i="58"/>
  <c r="BB111" i="58"/>
  <c r="BG111" i="58" s="1"/>
  <c r="BG104" i="58"/>
  <c r="BF113" i="58"/>
  <c r="BB72" i="58"/>
  <c r="BJ72" i="58" s="1"/>
  <c r="AU50" i="58"/>
  <c r="BC50" i="58" s="1"/>
  <c r="AB52" i="64" s="1"/>
  <c r="AF52" i="64" s="1"/>
  <c r="BA50" i="58"/>
  <c r="BH50" i="58" s="1"/>
  <c r="BF69" i="58"/>
  <c r="BI104" i="58"/>
  <c r="BJ90" i="58"/>
  <c r="AU61" i="58"/>
  <c r="BC61" i="58" s="1"/>
  <c r="BA61" i="58"/>
  <c r="BF103" i="58"/>
  <c r="BF71" i="58"/>
  <c r="AA17" i="64"/>
  <c r="AL17" i="64" s="1"/>
  <c r="BJ109" i="58"/>
  <c r="BI90" i="58"/>
  <c r="AX33" i="58"/>
  <c r="AZ33" i="58" s="1"/>
  <c r="BF33" i="58" s="1"/>
  <c r="BD71" i="58"/>
  <c r="BF108" i="58"/>
  <c r="AV50" i="58"/>
  <c r="BD90" i="58"/>
  <c r="BD104" i="58"/>
  <c r="AM26" i="64"/>
  <c r="AQ26" i="64" s="1"/>
  <c r="BJ104" i="58"/>
  <c r="AX38" i="58"/>
  <c r="AZ38" i="58" s="1"/>
  <c r="AA44" i="64" s="1"/>
  <c r="AV34" i="58"/>
  <c r="AX37" i="58"/>
  <c r="AZ37" i="58" s="1"/>
  <c r="BH37" i="58" s="1"/>
  <c r="BH91" i="58"/>
  <c r="AV39" i="58"/>
  <c r="BI109" i="58"/>
  <c r="AV27" i="58"/>
  <c r="AU27" i="58"/>
  <c r="BC27" i="58" s="1"/>
  <c r="AB34" i="64" s="1"/>
  <c r="AM34" i="64" s="1"/>
  <c r="BG109" i="58"/>
  <c r="BF83" i="58"/>
  <c r="AX26" i="58"/>
  <c r="AZ26" i="58" s="1"/>
  <c r="BF26" i="58" s="1"/>
  <c r="AY48" i="58"/>
  <c r="BB48" i="58" s="1"/>
  <c r="AU26" i="58"/>
  <c r="BC26" i="58" s="1"/>
  <c r="AB21" i="64" s="1"/>
  <c r="AF21" i="64" s="1"/>
  <c r="AX45" i="58"/>
  <c r="AZ45" i="58" s="1"/>
  <c r="BE103" i="58"/>
  <c r="AU33" i="58"/>
  <c r="BC33" i="58" s="1"/>
  <c r="BE33" i="58" s="1"/>
  <c r="AW26" i="58"/>
  <c r="BE12" i="64"/>
  <c r="BS12" i="64" s="1"/>
  <c r="AU48" i="58"/>
  <c r="BC48" i="58" s="1"/>
  <c r="BA45" i="58"/>
  <c r="BE45" i="58" s="1"/>
  <c r="AV45" i="58"/>
  <c r="AY51" i="58"/>
  <c r="BB51" i="58" s="1"/>
  <c r="AC40" i="64" s="1"/>
  <c r="AG40" i="64" s="1"/>
  <c r="AV57" i="58"/>
  <c r="AW65" i="58"/>
  <c r="AW36" i="58"/>
  <c r="Z64" i="64"/>
  <c r="AK64" i="64" s="1"/>
  <c r="BE71" i="58"/>
  <c r="BJ87" i="58"/>
  <c r="BB74" i="58"/>
  <c r="BI74" i="58" s="1"/>
  <c r="BF87" i="58"/>
  <c r="BH88" i="58"/>
  <c r="BB49" i="58"/>
  <c r="AC39" i="64" s="1"/>
  <c r="AG39" i="64" s="1"/>
  <c r="AX27" i="58"/>
  <c r="AZ27" i="58" s="1"/>
  <c r="BH27" i="58" s="1"/>
  <c r="AV16" i="58"/>
  <c r="AL10" i="64"/>
  <c r="AP10" i="64" s="1"/>
  <c r="BG102" i="58"/>
  <c r="AV35" i="58"/>
  <c r="BD102" i="58"/>
  <c r="BI102" i="58"/>
  <c r="BH69" i="58"/>
  <c r="AF33" i="64"/>
  <c r="AM33" i="64"/>
  <c r="AW24" i="58"/>
  <c r="BI95" i="58"/>
  <c r="AE61" i="64"/>
  <c r="AL61" i="64"/>
  <c r="AE33" i="64"/>
  <c r="AL33" i="64"/>
  <c r="BE58" i="58"/>
  <c r="Z58" i="64"/>
  <c r="AD33" i="64"/>
  <c r="AK33" i="64"/>
  <c r="BE59" i="58"/>
  <c r="Z61" i="64"/>
  <c r="AM17" i="64"/>
  <c r="BE17" i="64" s="1"/>
  <c r="BB101" i="58"/>
  <c r="AW51" i="58"/>
  <c r="BB86" i="58"/>
  <c r="BI86" i="58" s="1"/>
  <c r="BB46" i="58"/>
  <c r="AC48" i="64" s="1"/>
  <c r="AG48" i="64" s="1"/>
  <c r="BB66" i="58"/>
  <c r="AC6" i="64" s="1"/>
  <c r="AG6" i="64" s="1"/>
  <c r="BJ12" i="58"/>
  <c r="AX58" i="58"/>
  <c r="AZ58" i="58" s="1"/>
  <c r="AA57" i="64" s="1"/>
  <c r="AQ35" i="64"/>
  <c r="BE35" i="64"/>
  <c r="AX62" i="58"/>
  <c r="AZ62" i="58" s="1"/>
  <c r="AA59" i="64" s="1"/>
  <c r="AL59" i="64" s="1"/>
  <c r="AY28" i="58"/>
  <c r="AY25" i="58"/>
  <c r="BB73" i="58"/>
  <c r="BG73" i="58" s="1"/>
  <c r="BE91" i="58"/>
  <c r="BF91" i="58"/>
  <c r="AW19" i="58"/>
  <c r="AW47" i="58"/>
  <c r="BB55" i="58"/>
  <c r="BJ55" i="58" s="1"/>
  <c r="AX34" i="58"/>
  <c r="AZ34" i="58" s="1"/>
  <c r="AA27" i="64" s="1"/>
  <c r="AV58" i="58"/>
  <c r="BJ91" i="58"/>
  <c r="BG12" i="58"/>
  <c r="AV18" i="58"/>
  <c r="BE12" i="58"/>
  <c r="AA8" i="64"/>
  <c r="AL8" i="64" s="1"/>
  <c r="AX36" i="58"/>
  <c r="AZ36" i="58" s="1"/>
  <c r="BH36" i="58" s="1"/>
  <c r="BH67" i="58"/>
  <c r="BB62" i="58"/>
  <c r="AV36" i="58"/>
  <c r="AV32" i="58"/>
  <c r="AA39" i="64"/>
  <c r="AE39" i="64" s="1"/>
  <c r="AF39" i="64"/>
  <c r="AV20" i="58"/>
  <c r="BI12" i="58"/>
  <c r="AX32" i="58"/>
  <c r="AZ32" i="58" s="1"/>
  <c r="BH32" i="58" s="1"/>
  <c r="AW39" i="58"/>
  <c r="AQ39" i="64"/>
  <c r="AY16" i="58"/>
  <c r="C7" i="111"/>
  <c r="AM18" i="64"/>
  <c r="AQ18" i="64" s="1"/>
  <c r="AW45" i="58"/>
  <c r="AX20" i="58"/>
  <c r="AZ20" i="58" s="1"/>
  <c r="AA16" i="64" s="1"/>
  <c r="AU20" i="58"/>
  <c r="BC20" i="58" s="1"/>
  <c r="E7" i="111" s="1"/>
  <c r="BA28" i="58"/>
  <c r="AW16" i="58"/>
  <c r="AX47" i="58"/>
  <c r="AZ47" i="58" s="1"/>
  <c r="AA49" i="64" s="1"/>
  <c r="AL49" i="64" s="1"/>
  <c r="BD49" i="64" s="1"/>
  <c r="BH94" i="58"/>
  <c r="BE77" i="58"/>
  <c r="BD12" i="58"/>
  <c r="AU28" i="58"/>
  <c r="BC28" i="58" s="1"/>
  <c r="BE73" i="58"/>
  <c r="BE49" i="58"/>
  <c r="AU11" i="58"/>
  <c r="BC11" i="58" s="1"/>
  <c r="AB28" i="64" s="1"/>
  <c r="AM28" i="64" s="1"/>
  <c r="BF77" i="58"/>
  <c r="AV11" i="58"/>
  <c r="AU34" i="58"/>
  <c r="BC34" i="58" s="1"/>
  <c r="AB27" i="64" s="1"/>
  <c r="AM27" i="64" s="1"/>
  <c r="AW31" i="58"/>
  <c r="BH77" i="58"/>
  <c r="AU57" i="58"/>
  <c r="BC57" i="58" s="1"/>
  <c r="AA26" i="64"/>
  <c r="AE26" i="64" s="1"/>
  <c r="AY63" i="58"/>
  <c r="BB67" i="58"/>
  <c r="BD67" i="58" s="1"/>
  <c r="BB40" i="58"/>
  <c r="BA48" i="58"/>
  <c r="Z51" i="64" s="1"/>
  <c r="AV48" i="58"/>
  <c r="AX28" i="58"/>
  <c r="AZ28" i="58" s="1"/>
  <c r="BD77" i="58"/>
  <c r="AY33" i="58"/>
  <c r="AV40" i="58"/>
  <c r="AW10" i="58"/>
  <c r="AX48" i="58"/>
  <c r="AZ48" i="58" s="1"/>
  <c r="AY50" i="58"/>
  <c r="AV47" i="58"/>
  <c r="AY31" i="58"/>
  <c r="BB31" i="58" s="1"/>
  <c r="BJ31" i="58" s="1"/>
  <c r="BE94" i="58"/>
  <c r="BA57" i="58"/>
  <c r="AW57" i="58"/>
  <c r="AX57" i="58"/>
  <c r="AZ57" i="58" s="1"/>
  <c r="BI96" i="58"/>
  <c r="BA11" i="58"/>
  <c r="BH11" i="58" s="1"/>
  <c r="BD80" i="58"/>
  <c r="BG80" i="58"/>
  <c r="BI80" i="58"/>
  <c r="BJ80" i="58"/>
  <c r="BF94" i="58"/>
  <c r="AY35" i="58"/>
  <c r="AM36" i="64"/>
  <c r="BE36" i="64" s="1"/>
  <c r="BS36" i="64" s="1"/>
  <c r="BE18" i="58"/>
  <c r="AW35" i="58"/>
  <c r="AV51" i="58"/>
  <c r="AW38" i="58"/>
  <c r="BB30" i="58"/>
  <c r="AU38" i="58"/>
  <c r="BC38" i="58" s="1"/>
  <c r="AB44" i="64" s="1"/>
  <c r="AF44" i="64" s="1"/>
  <c r="AV30" i="58"/>
  <c r="AY10" i="58"/>
  <c r="BJ94" i="58"/>
  <c r="AU24" i="58"/>
  <c r="BC24" i="58" s="1"/>
  <c r="AB20" i="64" s="1"/>
  <c r="AX24" i="58"/>
  <c r="AZ24" i="58" s="1"/>
  <c r="AA20" i="64" s="1"/>
  <c r="BA24" i="58"/>
  <c r="Z20" i="64" s="1"/>
  <c r="AX51" i="58"/>
  <c r="AZ51" i="58" s="1"/>
  <c r="AA40" i="64" s="1"/>
  <c r="BC43" i="64"/>
  <c r="BQ43" i="64" s="1"/>
  <c r="BI15" i="58"/>
  <c r="AU51" i="58"/>
  <c r="BC51" i="58" s="1"/>
  <c r="AB40" i="64" s="1"/>
  <c r="AF40" i="64" s="1"/>
  <c r="AY37" i="58"/>
  <c r="BF96" i="58"/>
  <c r="AW37" i="58"/>
  <c r="BE37" i="58"/>
  <c r="BH59" i="58"/>
  <c r="BF115" i="58"/>
  <c r="AW41" i="58"/>
  <c r="BF59" i="58"/>
  <c r="BE66" i="58"/>
  <c r="AF6" i="64"/>
  <c r="AQ30" i="64"/>
  <c r="AA6" i="64"/>
  <c r="BH66" i="58"/>
  <c r="BF66" i="58"/>
  <c r="BD75" i="58"/>
  <c r="BF14" i="58"/>
  <c r="BF75" i="58"/>
  <c r="BH14" i="58"/>
  <c r="AL11" i="64"/>
  <c r="BD11" i="64" s="1"/>
  <c r="BI110" i="58"/>
  <c r="BC49" i="64"/>
  <c r="BQ49" i="64" s="1"/>
  <c r="BG110" i="58"/>
  <c r="BE36" i="58"/>
  <c r="BE47" i="58"/>
  <c r="AM43" i="64"/>
  <c r="AQ43" i="64" s="1"/>
  <c r="BJ110" i="58"/>
  <c r="AM49" i="64"/>
  <c r="BG87" i="58"/>
  <c r="AF30" i="64"/>
  <c r="AL13" i="64"/>
  <c r="AE13" i="64"/>
  <c r="AE35" i="64"/>
  <c r="AL35" i="64"/>
  <c r="AK13" i="64"/>
  <c r="AD13" i="64"/>
  <c r="BE19" i="58"/>
  <c r="BD95" i="58"/>
  <c r="BH107" i="58"/>
  <c r="AM11" i="64"/>
  <c r="AQ11" i="64" s="1"/>
  <c r="BG95" i="58"/>
  <c r="F6" i="111"/>
  <c r="BJ95" i="58"/>
  <c r="BE14" i="58"/>
  <c r="AA30" i="64"/>
  <c r="AL30" i="64" s="1"/>
  <c r="AP30" i="64" s="1"/>
  <c r="BH19" i="58"/>
  <c r="AL42" i="64"/>
  <c r="BD42" i="64" s="1"/>
  <c r="BR42" i="64" s="1"/>
  <c r="E42" i="101" s="1"/>
  <c r="BI14" i="58"/>
  <c r="BG14" i="58"/>
  <c r="BJ14" i="58"/>
  <c r="BD14" i="58"/>
  <c r="BI87" i="58"/>
  <c r="BG15" i="58"/>
  <c r="BJ15" i="58"/>
  <c r="BD87" i="58"/>
  <c r="AM48" i="64"/>
  <c r="AQ48" i="64" s="1"/>
  <c r="AV43" i="58"/>
  <c r="BF76" i="58"/>
  <c r="BE46" i="58"/>
  <c r="BE76" i="58"/>
  <c r="BS53" i="64"/>
  <c r="BF46" i="58"/>
  <c r="AA48" i="64"/>
  <c r="AE48" i="64" s="1"/>
  <c r="AF15" i="64"/>
  <c r="AQ15" i="64"/>
  <c r="BD96" i="58"/>
  <c r="BG96" i="58"/>
  <c r="BD83" i="58"/>
  <c r="BJ83" i="58"/>
  <c r="BG83" i="58"/>
  <c r="BI83" i="58"/>
  <c r="BB17" i="58"/>
  <c r="BD17" i="58" s="1"/>
  <c r="BJ96" i="58"/>
  <c r="BI91" i="58"/>
  <c r="BG91" i="58"/>
  <c r="BD91" i="58"/>
  <c r="AF59" i="64"/>
  <c r="BE62" i="58"/>
  <c r="BG13" i="58"/>
  <c r="BB107" i="58"/>
  <c r="BJ107" i="58" s="1"/>
  <c r="BI13" i="58"/>
  <c r="BD13" i="58"/>
  <c r="BF99" i="58"/>
  <c r="BD88" i="58"/>
  <c r="BJ99" i="58"/>
  <c r="BJ88" i="58"/>
  <c r="BJ77" i="58"/>
  <c r="AC26" i="64"/>
  <c r="AN26" i="64" s="1"/>
  <c r="AR26" i="64" s="1"/>
  <c r="BI77" i="58"/>
  <c r="BG77" i="58"/>
  <c r="BI88" i="58"/>
  <c r="BJ76" i="58"/>
  <c r="BJ89" i="58"/>
  <c r="BG76" i="58"/>
  <c r="BE78" i="58"/>
  <c r="BF78" i="58"/>
  <c r="BI89" i="58"/>
  <c r="BH78" i="58"/>
  <c r="BI76" i="58"/>
  <c r="BD89" i="58"/>
  <c r="BG78" i="58"/>
  <c r="BE54" i="58"/>
  <c r="BE84" i="58"/>
  <c r="AA56" i="64"/>
  <c r="BH54" i="58"/>
  <c r="BF54" i="58"/>
  <c r="AW43" i="58"/>
  <c r="AY43" i="58"/>
  <c r="BB92" i="58"/>
  <c r="BG92" i="58" s="1"/>
  <c r="BB42" i="58"/>
  <c r="BJ42" i="58" s="1"/>
  <c r="AK5" i="58"/>
  <c r="AK4" i="58" s="1"/>
  <c r="AF31" i="64"/>
  <c r="AQ31" i="64"/>
  <c r="BE21" i="58"/>
  <c r="BB44" i="58"/>
  <c r="BE35" i="58"/>
  <c r="BB84" i="58"/>
  <c r="BD81" i="58"/>
  <c r="BG81" i="58"/>
  <c r="BI81" i="58"/>
  <c r="BJ81" i="58"/>
  <c r="AD26" i="64"/>
  <c r="AK26" i="64"/>
  <c r="Z50" i="64"/>
  <c r="BE92" i="58"/>
  <c r="AD8" i="64"/>
  <c r="AK8" i="64"/>
  <c r="BE44" i="58"/>
  <c r="AA52" i="64"/>
  <c r="Z27" i="64"/>
  <c r="AF38" i="64"/>
  <c r="AM38" i="64"/>
  <c r="Z38" i="64"/>
  <c r="BE41" i="58"/>
  <c r="BF44" i="58"/>
  <c r="BH44" i="58"/>
  <c r="BF64" i="58"/>
  <c r="AA47" i="64"/>
  <c r="BH64" i="58"/>
  <c r="BE29" i="58"/>
  <c r="AC23" i="64"/>
  <c r="BG116" i="58"/>
  <c r="BI116" i="58"/>
  <c r="BD116" i="58"/>
  <c r="BJ116" i="58"/>
  <c r="BB34" i="58"/>
  <c r="BH84" i="58"/>
  <c r="BF84" i="58"/>
  <c r="BE118" i="58"/>
  <c r="Z40" i="64"/>
  <c r="BB22" i="58"/>
  <c r="AF32" i="64"/>
  <c r="AM32" i="64"/>
  <c r="BF17" i="58"/>
  <c r="BH17" i="58"/>
  <c r="AA29" i="64"/>
  <c r="BE23" i="58"/>
  <c r="Z32" i="64"/>
  <c r="AK14" i="64"/>
  <c r="AD14" i="64"/>
  <c r="AA50" i="64"/>
  <c r="BF92" i="58"/>
  <c r="BH92" i="58"/>
  <c r="BH22" i="58"/>
  <c r="AA19" i="64"/>
  <c r="BF22" i="58"/>
  <c r="AM19" i="64"/>
  <c r="AF19" i="64"/>
  <c r="AF29" i="64"/>
  <c r="AM29" i="64"/>
  <c r="BH118" i="58"/>
  <c r="BF118" i="58"/>
  <c r="BE40" i="58"/>
  <c r="Z45" i="64"/>
  <c r="Z19" i="64"/>
  <c r="BE22" i="58"/>
  <c r="Z29" i="64"/>
  <c r="BE17" i="58"/>
  <c r="AA38" i="64"/>
  <c r="BF41" i="58"/>
  <c r="BH41" i="58"/>
  <c r="BB118" i="58"/>
  <c r="AM45" i="64"/>
  <c r="AF45" i="64"/>
  <c r="AM50" i="64"/>
  <c r="AF50" i="64"/>
  <c r="BF42" i="58"/>
  <c r="BH42" i="58"/>
  <c r="BJ78" i="58"/>
  <c r="Z34" i="64"/>
  <c r="Z21" i="64"/>
  <c r="AL64" i="64"/>
  <c r="AE64" i="64"/>
  <c r="BF31" i="58"/>
  <c r="BH31" i="58"/>
  <c r="BE43" i="58"/>
  <c r="BD99" i="58"/>
  <c r="BE31" i="58"/>
  <c r="BI99" i="58"/>
  <c r="Z24" i="64"/>
  <c r="BE30" i="58"/>
  <c r="BG99" i="58"/>
  <c r="BF29" i="58"/>
  <c r="BH29" i="58"/>
  <c r="AM24" i="64"/>
  <c r="AF24" i="64"/>
  <c r="BI78" i="58"/>
  <c r="BD78" i="58"/>
  <c r="AV52" i="58"/>
  <c r="BE25" i="58"/>
  <c r="AK16" i="64"/>
  <c r="AD16" i="64"/>
  <c r="BI75" i="58"/>
  <c r="BE46" i="64"/>
  <c r="AQ46" i="64"/>
  <c r="BG75" i="58"/>
  <c r="BB64" i="58"/>
  <c r="BJ82" i="58"/>
  <c r="BD82" i="58"/>
  <c r="AC46" i="64"/>
  <c r="BI82" i="58"/>
  <c r="BG82" i="58"/>
  <c r="AA31" i="64"/>
  <c r="BH21" i="58"/>
  <c r="BF21" i="58"/>
  <c r="BJ75" i="58"/>
  <c r="AK46" i="64"/>
  <c r="AD46" i="64"/>
  <c r="AL18" i="64"/>
  <c r="AE18" i="64"/>
  <c r="BB61" i="58"/>
  <c r="AX53" i="58"/>
  <c r="AZ53" i="58" s="1"/>
  <c r="AV53" i="58"/>
  <c r="AO5" i="58"/>
  <c r="AO4" i="58" s="1"/>
  <c r="AY52" i="58"/>
  <c r="AW52" i="58"/>
  <c r="AX52" i="58"/>
  <c r="AZ52" i="58" s="1"/>
  <c r="BA52" i="58"/>
  <c r="AU52" i="58"/>
  <c r="BC52" i="58" s="1"/>
  <c r="AB54" i="64" s="1"/>
  <c r="BB56" i="58"/>
  <c r="AW53" i="58"/>
  <c r="AY53" i="58"/>
  <c r="BA53" i="58"/>
  <c r="AU53" i="58"/>
  <c r="BC53" i="58" s="1"/>
  <c r="BD94" i="58"/>
  <c r="AM7" i="64"/>
  <c r="AF7" i="64"/>
  <c r="Z7" i="64"/>
  <c r="BE10" i="58"/>
  <c r="AM57" i="64"/>
  <c r="AF57" i="64"/>
  <c r="Z57" i="64"/>
  <c r="BE56" i="58"/>
  <c r="AA7" i="64"/>
  <c r="BH10" i="58"/>
  <c r="BF10" i="58"/>
  <c r="AA28" i="64"/>
  <c r="BB38" i="58"/>
  <c r="BB11" i="58"/>
  <c r="BH56" i="58"/>
  <c r="BF56" i="58"/>
  <c r="AG11" i="64"/>
  <c r="BJ71" i="58"/>
  <c r="BI94" i="58"/>
  <c r="BG94" i="58"/>
  <c r="AD17" i="64"/>
  <c r="AK17" i="64"/>
  <c r="BI71" i="58"/>
  <c r="AC17" i="64"/>
  <c r="BG71" i="58"/>
  <c r="BE39" i="58"/>
  <c r="Z37" i="64"/>
  <c r="AM37" i="64"/>
  <c r="AF37" i="64"/>
  <c r="BF25" i="58"/>
  <c r="BH25" i="58"/>
  <c r="AF25" i="64"/>
  <c r="AM25" i="64"/>
  <c r="Z25" i="64"/>
  <c r="BE32" i="58"/>
  <c r="Z44" i="64"/>
  <c r="AO47" i="64"/>
  <c r="BC47" i="64"/>
  <c r="BS30" i="64"/>
  <c r="BM30" i="64"/>
  <c r="AO31" i="64"/>
  <c r="BC31" i="64"/>
  <c r="BM6" i="64"/>
  <c r="BS15" i="64"/>
  <c r="BM15" i="64"/>
  <c r="BS39" i="64"/>
  <c r="BM39" i="64"/>
  <c r="AQ59" i="64"/>
  <c r="BE59" i="64"/>
  <c r="BC36" i="64"/>
  <c r="AO36" i="64"/>
  <c r="BQ23" i="64"/>
  <c r="BK23" i="64"/>
  <c r="AK59" i="64"/>
  <c r="AD59" i="64"/>
  <c r="AO39" i="64"/>
  <c r="BC39" i="64"/>
  <c r="BK48" i="64"/>
  <c r="BQ48" i="64"/>
  <c r="BQ42" i="64"/>
  <c r="BK42" i="64"/>
  <c r="BS31" i="64"/>
  <c r="BM31" i="64"/>
  <c r="AO15" i="64"/>
  <c r="BC15" i="64"/>
  <c r="AO11" i="64"/>
  <c r="BC11" i="64"/>
  <c r="AO30" i="64"/>
  <c r="BC30" i="64"/>
  <c r="BQ65" i="64"/>
  <c r="D65" i="101" s="1"/>
  <c r="BK65" i="64"/>
  <c r="AR11" i="64"/>
  <c r="BF11" i="64"/>
  <c r="BK22" i="64"/>
  <c r="BQ22" i="64"/>
  <c r="BK53" i="64"/>
  <c r="BQ53" i="64"/>
  <c r="AU117" i="58" l="1"/>
  <c r="BC117" i="58" s="1"/>
  <c r="BE117" i="58" s="1"/>
  <c r="AW117" i="58"/>
  <c r="AY117" i="58"/>
  <c r="BB117" i="58" s="1"/>
  <c r="AU69" i="58"/>
  <c r="BC69" i="58" s="1"/>
  <c r="AY69" i="58"/>
  <c r="AW69" i="58"/>
  <c r="AQ8" i="64"/>
  <c r="AQ6" i="64"/>
  <c r="AO10" i="64"/>
  <c r="BK10" i="64"/>
  <c r="AY105" i="58"/>
  <c r="AT105" i="58"/>
  <c r="AW105" i="58"/>
  <c r="AU105" i="58"/>
  <c r="BC105" i="58" s="1"/>
  <c r="BA105" i="58"/>
  <c r="AS5" i="58"/>
  <c r="AX105" i="58"/>
  <c r="AZ105" i="58" s="1"/>
  <c r="AV105" i="58"/>
  <c r="BD79" i="58"/>
  <c r="AC42" i="64"/>
  <c r="BJ79" i="58"/>
  <c r="BI79" i="58"/>
  <c r="BG79" i="58"/>
  <c r="BF107" i="58"/>
  <c r="BF116" i="58"/>
  <c r="AA23" i="64"/>
  <c r="AB22" i="64"/>
  <c r="BE74" i="58"/>
  <c r="BF110" i="58"/>
  <c r="BH110" i="58"/>
  <c r="BF97" i="58"/>
  <c r="BH97" i="58"/>
  <c r="BD76" i="58"/>
  <c r="AD6" i="64"/>
  <c r="AK6" i="64"/>
  <c r="BB108" i="58"/>
  <c r="BB106" i="58"/>
  <c r="BF101" i="58"/>
  <c r="BH101" i="58"/>
  <c r="BD70" i="58"/>
  <c r="BI70" i="58"/>
  <c r="BG70" i="58"/>
  <c r="AC12" i="64"/>
  <c r="BJ70" i="58"/>
  <c r="D9" i="101"/>
  <c r="BW9" i="64"/>
  <c r="N8" i="82" s="1"/>
  <c r="BB112" i="58"/>
  <c r="BF82" i="58"/>
  <c r="AA46" i="64"/>
  <c r="BH82" i="58"/>
  <c r="BE90" i="58"/>
  <c r="BF104" i="58"/>
  <c r="BE116" i="58"/>
  <c r="AB23" i="64"/>
  <c r="BE89" i="58"/>
  <c r="BF67" i="58"/>
  <c r="BB115" i="58"/>
  <c r="BH87" i="58"/>
  <c r="BE83" i="58"/>
  <c r="BD110" i="58"/>
  <c r="BE97" i="58"/>
  <c r="BE99" i="58"/>
  <c r="BH75" i="58"/>
  <c r="BB103" i="58"/>
  <c r="BH111" i="58"/>
  <c r="BH49" i="58"/>
  <c r="AN9" i="64"/>
  <c r="AR9" i="64" s="1"/>
  <c r="BB134" i="58"/>
  <c r="BG134" i="58" s="1"/>
  <c r="BB122" i="58"/>
  <c r="BI122" i="58" s="1"/>
  <c r="BD117" i="58"/>
  <c r="BJ59" i="58"/>
  <c r="BF63" i="58"/>
  <c r="BI114" i="58"/>
  <c r="BY9" i="64"/>
  <c r="P8" i="82" s="1"/>
  <c r="F9" i="101"/>
  <c r="BY31" i="64"/>
  <c r="P30" i="82" s="1"/>
  <c r="F31" i="101"/>
  <c r="N41" i="82"/>
  <c r="D42" i="101"/>
  <c r="BW10" i="64"/>
  <c r="N9" i="82" s="1"/>
  <c r="D10" i="101"/>
  <c r="BW23" i="64"/>
  <c r="N22" i="82" s="1"/>
  <c r="D23" i="101"/>
  <c r="BY39" i="64"/>
  <c r="P38" i="82" s="1"/>
  <c r="F39" i="101"/>
  <c r="BY15" i="64"/>
  <c r="P14" i="82" s="1"/>
  <c r="F15" i="101"/>
  <c r="BY6" i="64"/>
  <c r="F6" i="101"/>
  <c r="BY30" i="64"/>
  <c r="P29" i="82" s="1"/>
  <c r="F30" i="101"/>
  <c r="BY53" i="64"/>
  <c r="P52" i="82" s="1"/>
  <c r="F53" i="101"/>
  <c r="N48" i="82"/>
  <c r="D49" i="101"/>
  <c r="N42" i="82"/>
  <c r="D43" i="101"/>
  <c r="N52" i="82"/>
  <c r="D53" i="101"/>
  <c r="BW22" i="64"/>
  <c r="N21" i="82" s="1"/>
  <c r="D22" i="101"/>
  <c r="N47" i="82"/>
  <c r="D48" i="101"/>
  <c r="BY36" i="64"/>
  <c r="P35" i="82" s="1"/>
  <c r="F36" i="101"/>
  <c r="BY12" i="64"/>
  <c r="P11" i="82" s="1"/>
  <c r="F12" i="101"/>
  <c r="BY47" i="64"/>
  <c r="P46" i="82" s="1"/>
  <c r="F47" i="101"/>
  <c r="BY56" i="64"/>
  <c r="F56" i="101"/>
  <c r="BY62" i="64"/>
  <c r="BM9" i="64"/>
  <c r="BI117" i="58"/>
  <c r="BJ54" i="58"/>
  <c r="BG54" i="58"/>
  <c r="BI54" i="58"/>
  <c r="BB143" i="58"/>
  <c r="BD143" i="58" s="1"/>
  <c r="BD100" i="58"/>
  <c r="BJ100" i="58"/>
  <c r="BG100" i="58"/>
  <c r="BB69" i="58"/>
  <c r="BJ69" i="58" s="1"/>
  <c r="BE128" i="58"/>
  <c r="BD59" i="58"/>
  <c r="AF60" i="64"/>
  <c r="AN61" i="64"/>
  <c r="AR61" i="64" s="1"/>
  <c r="BI59" i="58"/>
  <c r="BG59" i="58"/>
  <c r="AL60" i="64"/>
  <c r="AP60" i="64" s="1"/>
  <c r="BH60" i="58"/>
  <c r="AC60" i="64"/>
  <c r="AG60" i="64" s="1"/>
  <c r="BD62" i="64"/>
  <c r="BR62" i="64" s="1"/>
  <c r="E62" i="101" s="1"/>
  <c r="BE61" i="64"/>
  <c r="BS61" i="64" s="1"/>
  <c r="BG129" i="58"/>
  <c r="BD60" i="58"/>
  <c r="AM65" i="64"/>
  <c r="BE65" i="64" s="1"/>
  <c r="BS65" i="64" s="1"/>
  <c r="F65" i="101" s="1"/>
  <c r="AL63" i="64"/>
  <c r="AP63" i="64" s="1"/>
  <c r="AC57" i="64"/>
  <c r="AG57" i="64" s="1"/>
  <c r="BJ129" i="58"/>
  <c r="BT62" i="64"/>
  <c r="G62" i="101" s="1"/>
  <c r="AQ60" i="64"/>
  <c r="BE60" i="64"/>
  <c r="AR62" i="64"/>
  <c r="BE60" i="58"/>
  <c r="BF60" i="58"/>
  <c r="BD12" i="64"/>
  <c r="BL12" i="64" s="1"/>
  <c r="BJ135" i="58"/>
  <c r="BD135" i="58"/>
  <c r="BI135" i="58"/>
  <c r="BM56" i="64"/>
  <c r="AP9" i="64"/>
  <c r="AF56" i="64"/>
  <c r="AQ56" i="64"/>
  <c r="BR9" i="64"/>
  <c r="BI121" i="58"/>
  <c r="AC35" i="64"/>
  <c r="AG35" i="64" s="1"/>
  <c r="BJ144" i="58"/>
  <c r="AG62" i="64"/>
  <c r="BI129" i="58"/>
  <c r="AC64" i="64"/>
  <c r="AN64" i="64" s="1"/>
  <c r="BF64" i="64" s="1"/>
  <c r="AC56" i="64"/>
  <c r="AM55" i="64"/>
  <c r="AF55" i="64"/>
  <c r="AF64" i="64"/>
  <c r="AM64" i="64"/>
  <c r="AO63" i="64"/>
  <c r="BC63" i="64"/>
  <c r="AA32" i="64"/>
  <c r="AL32" i="64" s="1"/>
  <c r="AN55" i="64"/>
  <c r="AG55" i="64"/>
  <c r="BH23" i="58"/>
  <c r="BB10" i="58"/>
  <c r="BG10" i="58" s="1"/>
  <c r="AQ63" i="64"/>
  <c r="BE63" i="64"/>
  <c r="BC60" i="64"/>
  <c r="AO60" i="64"/>
  <c r="AM58" i="64"/>
  <c r="AF58" i="64"/>
  <c r="AA58" i="64"/>
  <c r="AE58" i="64" s="1"/>
  <c r="AO55" i="64"/>
  <c r="BC55" i="64"/>
  <c r="AP55" i="64"/>
  <c r="BD55" i="64"/>
  <c r="AO56" i="64"/>
  <c r="BC56" i="64"/>
  <c r="BI140" i="58"/>
  <c r="AE22" i="64"/>
  <c r="BI136" i="58"/>
  <c r="AL65" i="64"/>
  <c r="AP65" i="64" s="1"/>
  <c r="AA37" i="64"/>
  <c r="AE37" i="64" s="1"/>
  <c r="BG136" i="58"/>
  <c r="BG144" i="58"/>
  <c r="BI144" i="58"/>
  <c r="BE143" i="58"/>
  <c r="BJ141" i="58"/>
  <c r="BE130" i="58"/>
  <c r="AA24" i="64"/>
  <c r="AE24" i="64" s="1"/>
  <c r="BF30" i="58"/>
  <c r="BD142" i="58"/>
  <c r="BJ138" i="58"/>
  <c r="BD141" i="58"/>
  <c r="BI138" i="58"/>
  <c r="BI141" i="58"/>
  <c r="BG142" i="58"/>
  <c r="BD138" i="58"/>
  <c r="BG140" i="58"/>
  <c r="BG130" i="58"/>
  <c r="BM47" i="64"/>
  <c r="BJ136" i="58"/>
  <c r="BD140" i="58"/>
  <c r="BJ121" i="58"/>
  <c r="BJ132" i="58"/>
  <c r="BG132" i="58"/>
  <c r="BI132" i="58"/>
  <c r="AK35" i="64"/>
  <c r="AO35" i="64" s="1"/>
  <c r="BD121" i="58"/>
  <c r="BD139" i="58"/>
  <c r="AF47" i="64"/>
  <c r="AC13" i="64"/>
  <c r="AG13" i="64" s="1"/>
  <c r="AQ47" i="64"/>
  <c r="BF39" i="58"/>
  <c r="BI120" i="58"/>
  <c r="AQ13" i="64"/>
  <c r="BD120" i="58"/>
  <c r="BJ120" i="58"/>
  <c r="BD53" i="64"/>
  <c r="BR53" i="64" s="1"/>
  <c r="BE126" i="58"/>
  <c r="BE64" i="58"/>
  <c r="BJ30" i="58"/>
  <c r="AA15" i="64"/>
  <c r="AL15" i="64" s="1"/>
  <c r="BD15" i="64" s="1"/>
  <c r="BR15" i="64" s="1"/>
  <c r="E15" i="101" s="1"/>
  <c r="BI145" i="58"/>
  <c r="BF122" i="58"/>
  <c r="BJ142" i="58"/>
  <c r="BJ127" i="58"/>
  <c r="BB57" i="58"/>
  <c r="BI57" i="58" s="1"/>
  <c r="BB23" i="58"/>
  <c r="BD23" i="58" s="1"/>
  <c r="BJ145" i="58"/>
  <c r="BF131" i="58"/>
  <c r="BF134" i="58"/>
  <c r="BJ143" i="58"/>
  <c r="AC65" i="64"/>
  <c r="AN65" i="64" s="1"/>
  <c r="AR65" i="64" s="1"/>
  <c r="BH130" i="58"/>
  <c r="BI127" i="58"/>
  <c r="BH137" i="58"/>
  <c r="BG145" i="58"/>
  <c r="BH126" i="58"/>
  <c r="BD127" i="58"/>
  <c r="BF35" i="58"/>
  <c r="BF126" i="58"/>
  <c r="BJ111" i="58"/>
  <c r="BF61" i="58"/>
  <c r="AA14" i="64"/>
  <c r="AL14" i="64" s="1"/>
  <c r="BI111" i="58"/>
  <c r="BG139" i="58"/>
  <c r="BD130" i="58"/>
  <c r="BB128" i="58"/>
  <c r="BG128" i="58" s="1"/>
  <c r="BH143" i="58"/>
  <c r="BI139" i="58"/>
  <c r="BH128" i="58"/>
  <c r="BF130" i="58"/>
  <c r="BF43" i="58"/>
  <c r="BF128" i="58"/>
  <c r="BI123" i="58"/>
  <c r="BG123" i="58"/>
  <c r="BF143" i="58"/>
  <c r="BD123" i="58"/>
  <c r="BB131" i="58"/>
  <c r="BJ131" i="58" s="1"/>
  <c r="BB126" i="58"/>
  <c r="AV125" i="58"/>
  <c r="AT125" i="58"/>
  <c r="BB125" i="58" s="1"/>
  <c r="BG125" i="58" s="1"/>
  <c r="AW125" i="58"/>
  <c r="BB137" i="58"/>
  <c r="BS41" i="64"/>
  <c r="AR53" i="64"/>
  <c r="BD113" i="58"/>
  <c r="BI113" i="58"/>
  <c r="BJ113" i="58"/>
  <c r="BE65" i="58"/>
  <c r="BG58" i="58"/>
  <c r="BF40" i="58"/>
  <c r="BH18" i="58"/>
  <c r="AA45" i="64"/>
  <c r="AE45" i="64" s="1"/>
  <c r="BF16" i="58"/>
  <c r="BD40" i="58"/>
  <c r="AC58" i="64"/>
  <c r="AG58" i="64" s="1"/>
  <c r="BD111" i="58"/>
  <c r="AF41" i="64"/>
  <c r="AQ41" i="64"/>
  <c r="AD64" i="64"/>
  <c r="BD72" i="58"/>
  <c r="BB29" i="58"/>
  <c r="BG29" i="58" s="1"/>
  <c r="BG72" i="58"/>
  <c r="BF45" i="58"/>
  <c r="AE17" i="64"/>
  <c r="BF65" i="58"/>
  <c r="BI49" i="58"/>
  <c r="AF34" i="64"/>
  <c r="AA41" i="64"/>
  <c r="AL41" i="64" s="1"/>
  <c r="BC41" i="64"/>
  <c r="BK41" i="64" s="1"/>
  <c r="BE27" i="58"/>
  <c r="BB18" i="58"/>
  <c r="BJ18" i="58" s="1"/>
  <c r="BB32" i="58"/>
  <c r="AC25" i="64" s="1"/>
  <c r="AG25" i="64" s="1"/>
  <c r="AQ17" i="64"/>
  <c r="BG61" i="58"/>
  <c r="BH45" i="58"/>
  <c r="AB14" i="64"/>
  <c r="AM14" i="64" s="1"/>
  <c r="BI27" i="58"/>
  <c r="BH61" i="58"/>
  <c r="AM21" i="64"/>
  <c r="AQ21" i="64" s="1"/>
  <c r="BI72" i="58"/>
  <c r="AM52" i="64"/>
  <c r="AQ52" i="64" s="1"/>
  <c r="BE26" i="58"/>
  <c r="BE50" i="58"/>
  <c r="BF50" i="58"/>
  <c r="Z52" i="64"/>
  <c r="AK52" i="64" s="1"/>
  <c r="AN39" i="64"/>
  <c r="BF39" i="64" s="1"/>
  <c r="BN39" i="64" s="1"/>
  <c r="BD49" i="58"/>
  <c r="BE61" i="58"/>
  <c r="BG49" i="58"/>
  <c r="BJ49" i="58"/>
  <c r="AA21" i="64"/>
  <c r="AE21" i="64" s="1"/>
  <c r="BJ74" i="58"/>
  <c r="BJ26" i="58"/>
  <c r="BH26" i="58"/>
  <c r="BB37" i="58"/>
  <c r="AC36" i="64" s="1"/>
  <c r="AG36" i="64" s="1"/>
  <c r="AA36" i="64"/>
  <c r="AL36" i="64" s="1"/>
  <c r="BF37" i="58"/>
  <c r="AN48" i="64"/>
  <c r="AR48" i="64" s="1"/>
  <c r="BH33" i="58"/>
  <c r="BF38" i="58"/>
  <c r="BE26" i="64"/>
  <c r="BM26" i="64" s="1"/>
  <c r="BH38" i="58"/>
  <c r="BD38" i="58"/>
  <c r="BB33" i="58"/>
  <c r="BG33" i="58" s="1"/>
  <c r="BH58" i="58"/>
  <c r="BI66" i="58"/>
  <c r="BD58" i="58"/>
  <c r="BG46" i="58"/>
  <c r="BD10" i="64"/>
  <c r="BL10" i="64" s="1"/>
  <c r="BJ58" i="58"/>
  <c r="BI47" i="58"/>
  <c r="BD74" i="58"/>
  <c r="AN6" i="64"/>
  <c r="BF6" i="64" s="1"/>
  <c r="AN49" i="64"/>
  <c r="BF49" i="64" s="1"/>
  <c r="BN49" i="64" s="1"/>
  <c r="BG55" i="58"/>
  <c r="BD46" i="58"/>
  <c r="BJ46" i="58"/>
  <c r="BG47" i="58"/>
  <c r="BF36" i="58"/>
  <c r="BB16" i="58"/>
  <c r="BG16" i="58" s="1"/>
  <c r="BI46" i="58"/>
  <c r="AA43" i="64"/>
  <c r="AL43" i="64" s="1"/>
  <c r="BF58" i="58"/>
  <c r="AC22" i="64"/>
  <c r="AN22" i="64" s="1"/>
  <c r="BI55" i="58"/>
  <c r="BG74" i="58"/>
  <c r="BD66" i="58"/>
  <c r="BG66" i="58"/>
  <c r="BB25" i="58"/>
  <c r="BI25" i="58" s="1"/>
  <c r="BG48" i="58"/>
  <c r="BF34" i="58"/>
  <c r="AB51" i="64"/>
  <c r="AF51" i="64" s="1"/>
  <c r="BM12" i="64"/>
  <c r="BI48" i="58"/>
  <c r="BF27" i="58"/>
  <c r="AC18" i="64"/>
  <c r="AG18" i="64" s="1"/>
  <c r="BH34" i="58"/>
  <c r="AA34" i="64"/>
  <c r="AE34" i="64" s="1"/>
  <c r="BB35" i="58"/>
  <c r="BI35" i="58" s="1"/>
  <c r="BD55" i="58"/>
  <c r="BJ66" i="58"/>
  <c r="AF20" i="64"/>
  <c r="AM20" i="64"/>
  <c r="BE20" i="58"/>
  <c r="BJ86" i="58"/>
  <c r="AB16" i="64"/>
  <c r="AM16" i="64" s="1"/>
  <c r="AG20" i="64"/>
  <c r="AN20" i="64"/>
  <c r="BG86" i="58"/>
  <c r="AE20" i="64"/>
  <c r="AL20" i="64"/>
  <c r="BB28" i="58"/>
  <c r="BJ28" i="58" s="1"/>
  <c r="BC33" i="64"/>
  <c r="AD58" i="64"/>
  <c r="AK58" i="64"/>
  <c r="AP61" i="64"/>
  <c r="BD61" i="64"/>
  <c r="BE33" i="64"/>
  <c r="AA25" i="64"/>
  <c r="AL25" i="64" s="1"/>
  <c r="BD86" i="58"/>
  <c r="AD20" i="64"/>
  <c r="AK20" i="64"/>
  <c r="AD61" i="64"/>
  <c r="AK61" i="64"/>
  <c r="BD33" i="64"/>
  <c r="BG101" i="58"/>
  <c r="BD101" i="58"/>
  <c r="BI101" i="58"/>
  <c r="BJ101" i="58"/>
  <c r="BF32" i="58"/>
  <c r="BJ62" i="58"/>
  <c r="BF62" i="58"/>
  <c r="BE28" i="58"/>
  <c r="BB50" i="58"/>
  <c r="AC52" i="64" s="1"/>
  <c r="AG52" i="64" s="1"/>
  <c r="BH62" i="58"/>
  <c r="AE8" i="64"/>
  <c r="AP35" i="64"/>
  <c r="BD35" i="64"/>
  <c r="AP13" i="64"/>
  <c r="BD13" i="64"/>
  <c r="BS35" i="64"/>
  <c r="BM35" i="64"/>
  <c r="BS13" i="64"/>
  <c r="BM13" i="64"/>
  <c r="AO13" i="64"/>
  <c r="BC13" i="64"/>
  <c r="BE18" i="64"/>
  <c r="BM18" i="64" s="1"/>
  <c r="BD73" i="58"/>
  <c r="BJ34" i="58"/>
  <c r="BE57" i="58"/>
  <c r="BJ73" i="58"/>
  <c r="BI73" i="58"/>
  <c r="AL39" i="64"/>
  <c r="BD39" i="64" s="1"/>
  <c r="BR39" i="64" s="1"/>
  <c r="E39" i="101" s="1"/>
  <c r="AE59" i="64"/>
  <c r="AM44" i="64"/>
  <c r="AQ44" i="64" s="1"/>
  <c r="BG62" i="58"/>
  <c r="AC59" i="64"/>
  <c r="AG59" i="64" s="1"/>
  <c r="BJ47" i="58"/>
  <c r="BH20" i="58"/>
  <c r="D7" i="111"/>
  <c r="AC51" i="64"/>
  <c r="AG51" i="64" s="1"/>
  <c r="BF20" i="58"/>
  <c r="AL26" i="64"/>
  <c r="AP26" i="64" s="1"/>
  <c r="AC8" i="64"/>
  <c r="AG8" i="64" s="1"/>
  <c r="BH24" i="58"/>
  <c r="BG67" i="58"/>
  <c r="BD62" i="58"/>
  <c r="BI62" i="58"/>
  <c r="BE34" i="58"/>
  <c r="BF11" i="58"/>
  <c r="BH47" i="58"/>
  <c r="BD47" i="58"/>
  <c r="AE49" i="64"/>
  <c r="AF27" i="64"/>
  <c r="AP49" i="64"/>
  <c r="BF47" i="58"/>
  <c r="AF28" i="64"/>
  <c r="BD24" i="58"/>
  <c r="BH28" i="58"/>
  <c r="BH57" i="58"/>
  <c r="BB63" i="58"/>
  <c r="AD51" i="64"/>
  <c r="AK51" i="64"/>
  <c r="BF24" i="58"/>
  <c r="BF28" i="58"/>
  <c r="BM36" i="64"/>
  <c r="BE48" i="58"/>
  <c r="BH48" i="58"/>
  <c r="BF48" i="58"/>
  <c r="AA51" i="64"/>
  <c r="BD48" i="58"/>
  <c r="BJ48" i="58"/>
  <c r="BE38" i="58"/>
  <c r="BJ67" i="58"/>
  <c r="BI67" i="58"/>
  <c r="BE24" i="58"/>
  <c r="BF57" i="58"/>
  <c r="BK43" i="64"/>
  <c r="BE11" i="58"/>
  <c r="Z28" i="64"/>
  <c r="AK28" i="64" s="1"/>
  <c r="BE51" i="58"/>
  <c r="AP11" i="64"/>
  <c r="BF51" i="58"/>
  <c r="AQ36" i="64"/>
  <c r="BH51" i="58"/>
  <c r="AM40" i="64"/>
  <c r="BE40" i="64" s="1"/>
  <c r="BH125" i="58"/>
  <c r="AL6" i="64"/>
  <c r="AE6" i="64"/>
  <c r="BK49" i="64"/>
  <c r="BB105" i="58"/>
  <c r="BG105" i="58" s="1"/>
  <c r="BD30" i="64"/>
  <c r="BL30" i="64" s="1"/>
  <c r="BE43" i="64"/>
  <c r="BS43" i="64" s="1"/>
  <c r="AQ49" i="64"/>
  <c r="BE49" i="64"/>
  <c r="BE11" i="64"/>
  <c r="BS11" i="64" s="1"/>
  <c r="BE48" i="64"/>
  <c r="BM48" i="64" s="1"/>
  <c r="BL42" i="64"/>
  <c r="AE30" i="64"/>
  <c r="AP42" i="64"/>
  <c r="BG122" i="58"/>
  <c r="AL48" i="64"/>
  <c r="BD48" i="64" s="1"/>
  <c r="BR48" i="64" s="1"/>
  <c r="E48" i="101" s="1"/>
  <c r="BB43" i="58"/>
  <c r="BJ43" i="58" s="1"/>
  <c r="BJ17" i="58"/>
  <c r="AC29" i="64"/>
  <c r="AN29" i="64" s="1"/>
  <c r="AR29" i="64" s="1"/>
  <c r="BF26" i="64"/>
  <c r="BN26" i="64" s="1"/>
  <c r="BG17" i="58"/>
  <c r="BI17" i="58"/>
  <c r="BD107" i="58"/>
  <c r="BI107" i="58"/>
  <c r="BG107" i="58"/>
  <c r="BG40" i="58"/>
  <c r="BI51" i="58"/>
  <c r="BD51" i="58"/>
  <c r="BG51" i="58"/>
  <c r="AN40" i="64"/>
  <c r="BF40" i="64" s="1"/>
  <c r="BJ51" i="58"/>
  <c r="AG26" i="64"/>
  <c r="BI19" i="58"/>
  <c r="BG19" i="58"/>
  <c r="AC30" i="64"/>
  <c r="AN30" i="64" s="1"/>
  <c r="BF30" i="64" s="1"/>
  <c r="BE105" i="58"/>
  <c r="BD36" i="58"/>
  <c r="BJ24" i="58"/>
  <c r="BD19" i="58"/>
  <c r="BG36" i="58"/>
  <c r="BG24" i="58"/>
  <c r="BH105" i="58"/>
  <c r="BI24" i="58"/>
  <c r="BI40" i="58"/>
  <c r="BF105" i="58"/>
  <c r="BI92" i="58"/>
  <c r="BJ36" i="58"/>
  <c r="BI36" i="58"/>
  <c r="BD42" i="58"/>
  <c r="BG27" i="58"/>
  <c r="AL56" i="64"/>
  <c r="AE56" i="64"/>
  <c r="BG42" i="58"/>
  <c r="BI42" i="58"/>
  <c r="BI26" i="58"/>
  <c r="BD92" i="58"/>
  <c r="BJ92" i="58"/>
  <c r="AC50" i="64"/>
  <c r="AN50" i="64" s="1"/>
  <c r="BJ40" i="58"/>
  <c r="BD22" i="64"/>
  <c r="AP22" i="64"/>
  <c r="AC45" i="64"/>
  <c r="AN45" i="64" s="1"/>
  <c r="AR45" i="64" s="1"/>
  <c r="BG26" i="58"/>
  <c r="BD26" i="58"/>
  <c r="AC21" i="64"/>
  <c r="AG21" i="64" s="1"/>
  <c r="AO26" i="64"/>
  <c r="BC26" i="64"/>
  <c r="BI20" i="58"/>
  <c r="BJ27" i="58"/>
  <c r="BJ84" i="58"/>
  <c r="BD84" i="58"/>
  <c r="BG84" i="58"/>
  <c r="BI84" i="58"/>
  <c r="BD20" i="58"/>
  <c r="BG20" i="58"/>
  <c r="BD44" i="58"/>
  <c r="BG44" i="58"/>
  <c r="BI44" i="58"/>
  <c r="BJ44" i="58"/>
  <c r="AC38" i="64"/>
  <c r="BI41" i="58"/>
  <c r="BG41" i="58"/>
  <c r="AC16" i="64"/>
  <c r="AG16" i="64" s="1"/>
  <c r="BJ41" i="58"/>
  <c r="AN43" i="64"/>
  <c r="BF43" i="64" s="1"/>
  <c r="BJ118" i="58"/>
  <c r="BI118" i="58"/>
  <c r="BG118" i="58"/>
  <c r="BC8" i="64"/>
  <c r="AO8" i="64"/>
  <c r="BJ20" i="58"/>
  <c r="AL38" i="64"/>
  <c r="AE38" i="64"/>
  <c r="BS8" i="64"/>
  <c r="BM8" i="64"/>
  <c r="BG34" i="58"/>
  <c r="AC27" i="64"/>
  <c r="BI34" i="58"/>
  <c r="BG45" i="58"/>
  <c r="BD45" i="58"/>
  <c r="BI45" i="58"/>
  <c r="BJ45" i="58"/>
  <c r="BD34" i="58"/>
  <c r="AE40" i="64"/>
  <c r="AL40" i="64"/>
  <c r="AK45" i="64"/>
  <c r="AD45" i="64"/>
  <c r="AE27" i="64"/>
  <c r="AL27" i="64"/>
  <c r="AE50" i="64"/>
  <c r="AL50" i="64"/>
  <c r="AQ19" i="64"/>
  <c r="BE19" i="64"/>
  <c r="AE47" i="64"/>
  <c r="AL47" i="64"/>
  <c r="AK50" i="64"/>
  <c r="AD50" i="64"/>
  <c r="AD38" i="64"/>
  <c r="AK38" i="64"/>
  <c r="AO14" i="64"/>
  <c r="BC14" i="64"/>
  <c r="AK40" i="64"/>
  <c r="AD40" i="64"/>
  <c r="BE38" i="64"/>
  <c r="AQ38" i="64"/>
  <c r="AQ45" i="64"/>
  <c r="BE45" i="64"/>
  <c r="AL29" i="64"/>
  <c r="AE29" i="64"/>
  <c r="AQ50" i="64"/>
  <c r="BE50" i="64"/>
  <c r="AE19" i="64"/>
  <c r="AL19" i="64"/>
  <c r="AD32" i="64"/>
  <c r="AK32" i="64"/>
  <c r="BE32" i="64"/>
  <c r="AK19" i="64"/>
  <c r="AD19" i="64"/>
  <c r="AP8" i="64"/>
  <c r="BD8" i="64"/>
  <c r="BD118" i="58"/>
  <c r="BE29" i="64"/>
  <c r="AQ29" i="64"/>
  <c r="AK29" i="64"/>
  <c r="AD29" i="64"/>
  <c r="AC19" i="64"/>
  <c r="BJ22" i="58"/>
  <c r="BI22" i="58"/>
  <c r="BD22" i="58"/>
  <c r="BG22" i="58"/>
  <c r="AG23" i="64"/>
  <c r="AN23" i="64"/>
  <c r="AK27" i="64"/>
  <c r="AD27" i="64"/>
  <c r="AE52" i="64"/>
  <c r="AL52" i="64"/>
  <c r="BE27" i="64"/>
  <c r="AQ27" i="64"/>
  <c r="BD31" i="58"/>
  <c r="BI31" i="58"/>
  <c r="BG31" i="58"/>
  <c r="BB52" i="58"/>
  <c r="BJ52" i="58" s="1"/>
  <c r="AC34" i="64"/>
  <c r="BD27" i="58"/>
  <c r="BD64" i="64"/>
  <c r="AP64" i="64"/>
  <c r="AQ34" i="64"/>
  <c r="BE34" i="64"/>
  <c r="AD21" i="64"/>
  <c r="AK21" i="64"/>
  <c r="BJ60" i="58"/>
  <c r="AO64" i="64"/>
  <c r="BC64" i="64"/>
  <c r="BG60" i="58"/>
  <c r="AK24" i="64"/>
  <c r="AD24" i="64"/>
  <c r="AQ24" i="64"/>
  <c r="BE24" i="64"/>
  <c r="BG30" i="58"/>
  <c r="AC24" i="64"/>
  <c r="BI30" i="58"/>
  <c r="BD30" i="58"/>
  <c r="BI60" i="58"/>
  <c r="AK34" i="64"/>
  <c r="AD34" i="64"/>
  <c r="BE53" i="58"/>
  <c r="BD65" i="58"/>
  <c r="BJ65" i="58"/>
  <c r="AC41" i="64"/>
  <c r="BG65" i="58"/>
  <c r="BI65" i="58"/>
  <c r="BJ61" i="58"/>
  <c r="BM46" i="64"/>
  <c r="BS46" i="64"/>
  <c r="BD61" i="58"/>
  <c r="AO46" i="64"/>
  <c r="BC46" i="64"/>
  <c r="AC47" i="64"/>
  <c r="BD64" i="58"/>
  <c r="BG64" i="58"/>
  <c r="BI64" i="58"/>
  <c r="BJ64" i="58"/>
  <c r="AE31" i="64"/>
  <c r="AL31" i="64"/>
  <c r="BI61" i="58"/>
  <c r="AL16" i="64"/>
  <c r="AE16" i="64"/>
  <c r="BC16" i="64"/>
  <c r="AO16" i="64"/>
  <c r="AG46" i="64"/>
  <c r="AN46" i="64"/>
  <c r="BB53" i="58"/>
  <c r="BJ53" i="58" s="1"/>
  <c r="BD18" i="64"/>
  <c r="AP18" i="64"/>
  <c r="BG56" i="58"/>
  <c r="AM54" i="64"/>
  <c r="AF54" i="64"/>
  <c r="BD56" i="58"/>
  <c r="AA54" i="64"/>
  <c r="BH52" i="58"/>
  <c r="BI56" i="58"/>
  <c r="BD21" i="58"/>
  <c r="BG21" i="58"/>
  <c r="BI21" i="58"/>
  <c r="BJ21" i="58"/>
  <c r="AC31" i="64"/>
  <c r="BH53" i="58"/>
  <c r="BF53" i="58"/>
  <c r="BF52" i="58"/>
  <c r="BE52" i="58"/>
  <c r="Z54" i="64"/>
  <c r="BJ39" i="58"/>
  <c r="BJ56" i="58"/>
  <c r="BG39" i="58"/>
  <c r="AK57" i="64"/>
  <c r="AD57" i="64"/>
  <c r="BJ38" i="58"/>
  <c r="AL28" i="64"/>
  <c r="AE28" i="64"/>
  <c r="BE57" i="64"/>
  <c r="AQ57" i="64"/>
  <c r="BG38" i="58"/>
  <c r="BI39" i="58"/>
  <c r="BI38" i="58"/>
  <c r="BI11" i="58"/>
  <c r="AC28" i="64"/>
  <c r="BG11" i="58"/>
  <c r="BJ11" i="58"/>
  <c r="BD11" i="58"/>
  <c r="AL57" i="64"/>
  <c r="AE57" i="64"/>
  <c r="BF37" i="64"/>
  <c r="BT37" i="64" s="1"/>
  <c r="AL7" i="64"/>
  <c r="AE7" i="64"/>
  <c r="AD7" i="64"/>
  <c r="AK7" i="64"/>
  <c r="AG37" i="64"/>
  <c r="AC44" i="64"/>
  <c r="AN44" i="64" s="1"/>
  <c r="BF44" i="64" s="1"/>
  <c r="BD39" i="58"/>
  <c r="AQ28" i="64"/>
  <c r="BE28" i="64"/>
  <c r="BE7" i="64"/>
  <c r="AQ7" i="64"/>
  <c r="AN17" i="64"/>
  <c r="AG17" i="64"/>
  <c r="BM17" i="64"/>
  <c r="BS17" i="64"/>
  <c r="AO17" i="64"/>
  <c r="BC17" i="64"/>
  <c r="AP17" i="64"/>
  <c r="BD17" i="64"/>
  <c r="AD25" i="64"/>
  <c r="AK25" i="64"/>
  <c r="AD44" i="64"/>
  <c r="AK44" i="64"/>
  <c r="AQ25" i="64"/>
  <c r="BE25" i="64"/>
  <c r="AK37" i="64"/>
  <c r="AD37" i="64"/>
  <c r="AE44" i="64"/>
  <c r="AL44" i="64"/>
  <c r="AQ37" i="64"/>
  <c r="BE37" i="64"/>
  <c r="BN53" i="64"/>
  <c r="BT53" i="64"/>
  <c r="BK11" i="64"/>
  <c r="BQ11" i="64"/>
  <c r="J41" i="82"/>
  <c r="I41" i="82"/>
  <c r="G41" i="82"/>
  <c r="H41" i="82"/>
  <c r="BC59" i="64"/>
  <c r="AO59" i="64"/>
  <c r="AP59" i="64"/>
  <c r="BD59" i="64"/>
  <c r="BQ15" i="64"/>
  <c r="BK15" i="64"/>
  <c r="BL11" i="64"/>
  <c r="BR11" i="64"/>
  <c r="E11" i="101" s="1"/>
  <c r="BM59" i="64"/>
  <c r="BS59" i="64"/>
  <c r="BQ36" i="64"/>
  <c r="BK36" i="64"/>
  <c r="BT11" i="64"/>
  <c r="BN11" i="64"/>
  <c r="BK30" i="64"/>
  <c r="BQ30" i="64"/>
  <c r="BK39" i="64"/>
  <c r="BQ39" i="64"/>
  <c r="BK31" i="64"/>
  <c r="BQ31" i="64"/>
  <c r="BK47" i="64"/>
  <c r="BQ47" i="64"/>
  <c r="BL49" i="64"/>
  <c r="BR49" i="64"/>
  <c r="E49" i="101" s="1"/>
  <c r="BX42" i="64"/>
  <c r="O41" i="82" s="1"/>
  <c r="AB10" i="64" l="1"/>
  <c r="BE69" i="58"/>
  <c r="BJ117" i="58"/>
  <c r="BG117" i="58"/>
  <c r="BF9" i="64"/>
  <c r="BN9" i="64" s="1"/>
  <c r="BD103" i="58"/>
  <c r="BJ103" i="58"/>
  <c r="AC63" i="64"/>
  <c r="BG103" i="58"/>
  <c r="BI103" i="58"/>
  <c r="AM23" i="64"/>
  <c r="AF23" i="64"/>
  <c r="BD108" i="58"/>
  <c r="BJ108" i="58"/>
  <c r="BG108" i="58"/>
  <c r="BI108" i="58"/>
  <c r="AE23" i="64"/>
  <c r="AL23" i="64"/>
  <c r="AG42" i="64"/>
  <c r="AN42" i="64"/>
  <c r="BG115" i="58"/>
  <c r="BI115" i="58"/>
  <c r="BJ115" i="58"/>
  <c r="BD115" i="58"/>
  <c r="AE46" i="64"/>
  <c r="AL46" i="64"/>
  <c r="BD112" i="58"/>
  <c r="BJ112" i="58"/>
  <c r="BI112" i="58"/>
  <c r="BG112" i="58"/>
  <c r="AG12" i="64"/>
  <c r="AN12" i="64"/>
  <c r="BJ106" i="58"/>
  <c r="BG106" i="58"/>
  <c r="BD106" i="58"/>
  <c r="BI106" i="58"/>
  <c r="BC6" i="64"/>
  <c r="AO6" i="64"/>
  <c r="AF22" i="64"/>
  <c r="AM22" i="64"/>
  <c r="P5" i="82"/>
  <c r="BD134" i="58"/>
  <c r="BJ134" i="58"/>
  <c r="BI134" i="58"/>
  <c r="BJ122" i="58"/>
  <c r="BD122" i="58"/>
  <c r="BD69" i="58"/>
  <c r="BG69" i="58"/>
  <c r="BZ11" i="64"/>
  <c r="Q10" i="82" s="1"/>
  <c r="G11" i="101"/>
  <c r="N35" i="82"/>
  <c r="D36" i="101"/>
  <c r="BW15" i="64"/>
  <c r="N14" i="82" s="1"/>
  <c r="D15" i="101"/>
  <c r="BZ37" i="64"/>
  <c r="Q36" i="82" s="1"/>
  <c r="G37" i="101"/>
  <c r="BY46" i="64"/>
  <c r="P45" i="82" s="1"/>
  <c r="F46" i="101"/>
  <c r="BY8" i="64"/>
  <c r="P7" i="82" s="1"/>
  <c r="F8" i="101"/>
  <c r="BY43" i="64"/>
  <c r="P42" i="82" s="1"/>
  <c r="F43" i="101"/>
  <c r="BY13" i="64"/>
  <c r="P12" i="82" s="1"/>
  <c r="F13" i="101"/>
  <c r="BY35" i="64"/>
  <c r="P34" i="82" s="1"/>
  <c r="F35" i="101"/>
  <c r="BX53" i="64"/>
  <c r="O52" i="82" s="1"/>
  <c r="E53" i="101"/>
  <c r="G8" i="82"/>
  <c r="E9" i="101"/>
  <c r="BZ62" i="64"/>
  <c r="BY65" i="64"/>
  <c r="P64" i="82" s="1"/>
  <c r="BX62" i="64"/>
  <c r="N46" i="82"/>
  <c r="D47" i="101"/>
  <c r="BW31" i="64"/>
  <c r="N30" i="82" s="1"/>
  <c r="D31" i="101"/>
  <c r="N38" i="82"/>
  <c r="D39" i="101"/>
  <c r="BW30" i="64"/>
  <c r="N29" i="82" s="1"/>
  <c r="D30" i="101"/>
  <c r="BY59" i="64"/>
  <c r="P58" i="82" s="1"/>
  <c r="F59" i="101"/>
  <c r="BW11" i="64"/>
  <c r="N10" i="82" s="1"/>
  <c r="D11" i="101"/>
  <c r="BZ53" i="64"/>
  <c r="Q52" i="82" s="1"/>
  <c r="G53" i="101"/>
  <c r="BY17" i="64"/>
  <c r="P16" i="82" s="1"/>
  <c r="F17" i="101"/>
  <c r="BY11" i="64"/>
  <c r="P10" i="82" s="1"/>
  <c r="F11" i="101"/>
  <c r="AC10" i="64"/>
  <c r="AG10" i="64" s="1"/>
  <c r="BY41" i="64"/>
  <c r="P40" i="82" s="1"/>
  <c r="F41" i="101"/>
  <c r="BI143" i="58"/>
  <c r="BY61" i="64"/>
  <c r="P60" i="82" s="1"/>
  <c r="F61" i="101"/>
  <c r="BF61" i="64"/>
  <c r="BN61" i="64" s="1"/>
  <c r="AN57" i="64"/>
  <c r="AR57" i="64" s="1"/>
  <c r="BI69" i="58"/>
  <c r="BG143" i="58"/>
  <c r="AN60" i="64"/>
  <c r="AR60" i="64" s="1"/>
  <c r="AR64" i="64"/>
  <c r="BM65" i="64"/>
  <c r="AQ65" i="64"/>
  <c r="BD60" i="64"/>
  <c r="BL60" i="64" s="1"/>
  <c r="BD63" i="64"/>
  <c r="BR63" i="64" s="1"/>
  <c r="E63" i="101" s="1"/>
  <c r="BL62" i="64"/>
  <c r="AE32" i="64"/>
  <c r="BM61" i="64"/>
  <c r="AL58" i="64"/>
  <c r="AP58" i="64" s="1"/>
  <c r="BX9" i="64"/>
  <c r="O8" i="82" s="1"/>
  <c r="BR12" i="64"/>
  <c r="BM60" i="64"/>
  <c r="BS60" i="64"/>
  <c r="I8" i="82"/>
  <c r="H8" i="82"/>
  <c r="J8" i="82"/>
  <c r="AN35" i="64"/>
  <c r="AR35" i="64" s="1"/>
  <c r="AG64" i="64"/>
  <c r="AR55" i="64"/>
  <c r="BF55" i="64"/>
  <c r="BI128" i="58"/>
  <c r="AL37" i="64"/>
  <c r="BD37" i="64" s="1"/>
  <c r="BQ63" i="64"/>
  <c r="D63" i="101" s="1"/>
  <c r="BK63" i="64"/>
  <c r="BD10" i="58"/>
  <c r="BJ10" i="58"/>
  <c r="AQ58" i="64"/>
  <c r="BE58" i="64"/>
  <c r="BE64" i="64"/>
  <c r="AQ64" i="64"/>
  <c r="BK55" i="64"/>
  <c r="BQ55" i="64"/>
  <c r="AC7" i="64"/>
  <c r="AN7" i="64" s="1"/>
  <c r="BI10" i="58"/>
  <c r="BQ60" i="64"/>
  <c r="BK60" i="64"/>
  <c r="BK56" i="64"/>
  <c r="BQ56" i="64"/>
  <c r="BS63" i="64"/>
  <c r="F63" i="101" s="1"/>
  <c r="BM63" i="64"/>
  <c r="AQ55" i="64"/>
  <c r="BE55" i="64"/>
  <c r="BL55" i="64"/>
  <c r="BR55" i="64"/>
  <c r="E55" i="101" s="1"/>
  <c r="G62" i="82"/>
  <c r="AG56" i="64"/>
  <c r="AN56" i="64"/>
  <c r="BF60" i="64"/>
  <c r="BN60" i="64" s="1"/>
  <c r="P61" i="82"/>
  <c r="BD65" i="64"/>
  <c r="BL65" i="64" s="1"/>
  <c r="AN13" i="64"/>
  <c r="AR13" i="64" s="1"/>
  <c r="BD57" i="58"/>
  <c r="AL24" i="64"/>
  <c r="AP24" i="64" s="1"/>
  <c r="BJ57" i="58"/>
  <c r="BG57" i="58"/>
  <c r="BJ23" i="58"/>
  <c r="BG23" i="58"/>
  <c r="BC35" i="64"/>
  <c r="BQ35" i="64" s="1"/>
  <c r="AC32" i="64"/>
  <c r="AN32" i="64" s="1"/>
  <c r="BI23" i="58"/>
  <c r="J52" i="82"/>
  <c r="AE15" i="64"/>
  <c r="G52" i="82"/>
  <c r="AE14" i="64"/>
  <c r="BL15" i="64"/>
  <c r="BD125" i="58"/>
  <c r="BF65" i="64"/>
  <c r="BT65" i="64" s="1"/>
  <c r="G65" i="101" s="1"/>
  <c r="AG65" i="64"/>
  <c r="BJ29" i="58"/>
  <c r="BD128" i="58"/>
  <c r="BJ128" i="58"/>
  <c r="I52" i="82"/>
  <c r="H52" i="82"/>
  <c r="BL53" i="64"/>
  <c r="AP15" i="64"/>
  <c r="AN58" i="64"/>
  <c r="AR58" i="64" s="1"/>
  <c r="BJ125" i="58"/>
  <c r="BI125" i="58"/>
  <c r="BI131" i="58"/>
  <c r="BD131" i="58"/>
  <c r="BD29" i="58"/>
  <c r="BG131" i="58"/>
  <c r="BJ126" i="58"/>
  <c r="BI126" i="58"/>
  <c r="BG126" i="58"/>
  <c r="BD126" i="58"/>
  <c r="BG137" i="58"/>
  <c r="BD137" i="58"/>
  <c r="BI137" i="58"/>
  <c r="BJ137" i="58"/>
  <c r="AL45" i="64"/>
  <c r="BD45" i="64" s="1"/>
  <c r="BI29" i="58"/>
  <c r="AF14" i="64"/>
  <c r="BQ41" i="64"/>
  <c r="BD32" i="58"/>
  <c r="BD18" i="58"/>
  <c r="AE41" i="64"/>
  <c r="BD33" i="58"/>
  <c r="AC15" i="64"/>
  <c r="AG15" i="64" s="1"/>
  <c r="BJ32" i="58"/>
  <c r="BG32" i="58"/>
  <c r="BI32" i="58"/>
  <c r="BG18" i="58"/>
  <c r="BI18" i="58"/>
  <c r="AL21" i="64"/>
  <c r="BD21" i="64" s="1"/>
  <c r="BE52" i="64"/>
  <c r="BS52" i="64" s="1"/>
  <c r="AR6" i="64"/>
  <c r="AN18" i="64"/>
  <c r="AR18" i="64" s="1"/>
  <c r="BE21" i="64"/>
  <c r="BM21" i="64" s="1"/>
  <c r="AE36" i="64"/>
  <c r="BT39" i="64"/>
  <c r="BI16" i="58"/>
  <c r="AC14" i="64"/>
  <c r="AG14" i="64" s="1"/>
  <c r="AD52" i="64"/>
  <c r="BJ16" i="58"/>
  <c r="BD16" i="58"/>
  <c r="AM51" i="64"/>
  <c r="BE51" i="64" s="1"/>
  <c r="AR39" i="64"/>
  <c r="BI37" i="58"/>
  <c r="AN36" i="64"/>
  <c r="AR36" i="64" s="1"/>
  <c r="BR10" i="64"/>
  <c r="BG37" i="58"/>
  <c r="BJ37" i="58"/>
  <c r="BD37" i="58"/>
  <c r="BF48" i="64"/>
  <c r="BN48" i="64" s="1"/>
  <c r="AC33" i="64"/>
  <c r="AG33" i="64" s="1"/>
  <c r="BD25" i="58"/>
  <c r="BI33" i="58"/>
  <c r="BJ33" i="58"/>
  <c r="BS26" i="64"/>
  <c r="BJ25" i="58"/>
  <c r="BG35" i="58"/>
  <c r="BG25" i="58"/>
  <c r="AR49" i="64"/>
  <c r="BD50" i="58"/>
  <c r="BT49" i="64"/>
  <c r="BD35" i="58"/>
  <c r="AG22" i="64"/>
  <c r="BJ35" i="58"/>
  <c r="AE43" i="64"/>
  <c r="BI28" i="58"/>
  <c r="AL34" i="64"/>
  <c r="AP34" i="64" s="1"/>
  <c r="BD28" i="58"/>
  <c r="BL39" i="64"/>
  <c r="AF16" i="64"/>
  <c r="BG28" i="58"/>
  <c r="AE25" i="64"/>
  <c r="BK33" i="64"/>
  <c r="BQ33" i="64"/>
  <c r="AP20" i="64"/>
  <c r="BD20" i="64"/>
  <c r="AN52" i="64"/>
  <c r="BF52" i="64" s="1"/>
  <c r="BT52" i="64" s="1"/>
  <c r="BC20" i="64"/>
  <c r="AO20" i="64"/>
  <c r="BL61" i="64"/>
  <c r="BR61" i="64"/>
  <c r="E61" i="101" s="1"/>
  <c r="BE20" i="64"/>
  <c r="AQ20" i="64"/>
  <c r="BG50" i="58"/>
  <c r="BJ50" i="58"/>
  <c r="BI50" i="58"/>
  <c r="BL33" i="64"/>
  <c r="BR33" i="64"/>
  <c r="E33" i="101" s="1"/>
  <c r="AO61" i="64"/>
  <c r="BC61" i="64"/>
  <c r="BS33" i="64"/>
  <c r="BM33" i="64"/>
  <c r="AO58" i="64"/>
  <c r="BC58" i="64"/>
  <c r="BF20" i="64"/>
  <c r="AR20" i="64"/>
  <c r="AP39" i="64"/>
  <c r="AN59" i="64"/>
  <c r="BF59" i="64" s="1"/>
  <c r="BN59" i="64" s="1"/>
  <c r="BE44" i="64"/>
  <c r="BM44" i="64" s="1"/>
  <c r="BR13" i="64"/>
  <c r="E13" i="101" s="1"/>
  <c r="BL13" i="64"/>
  <c r="BS18" i="64"/>
  <c r="AN8" i="64"/>
  <c r="BF8" i="64" s="1"/>
  <c r="BR35" i="64"/>
  <c r="E35" i="101" s="1"/>
  <c r="BL35" i="64"/>
  <c r="BR30" i="64"/>
  <c r="BQ13" i="64"/>
  <c r="BK13" i="64"/>
  <c r="BD26" i="64"/>
  <c r="BR26" i="64" s="1"/>
  <c r="E26" i="101" s="1"/>
  <c r="AN51" i="64"/>
  <c r="BF51" i="64" s="1"/>
  <c r="BN51" i="64" s="1"/>
  <c r="BJ63" i="58"/>
  <c r="BD63" i="58"/>
  <c r="BI63" i="58"/>
  <c r="BG63" i="58"/>
  <c r="AL51" i="64"/>
  <c r="AE51" i="64"/>
  <c r="AO51" i="64"/>
  <c r="BC51" i="64"/>
  <c r="AQ40" i="64"/>
  <c r="AD28" i="64"/>
  <c r="BI105" i="58"/>
  <c r="AP6" i="64"/>
  <c r="BD6" i="64"/>
  <c r="BJ105" i="58"/>
  <c r="BD105" i="58"/>
  <c r="BS48" i="64"/>
  <c r="BM43" i="64"/>
  <c r="BM11" i="64"/>
  <c r="BM49" i="64"/>
  <c r="BS49" i="64"/>
  <c r="BL48" i="64"/>
  <c r="BG43" i="58"/>
  <c r="BI43" i="58"/>
  <c r="BD43" i="58"/>
  <c r="AP48" i="64"/>
  <c r="BF29" i="64"/>
  <c r="BN29" i="64" s="1"/>
  <c r="AG29" i="64"/>
  <c r="BT26" i="64"/>
  <c r="AR40" i="64"/>
  <c r="AR30" i="64"/>
  <c r="AG30" i="64"/>
  <c r="AG50" i="64"/>
  <c r="BT9" i="64"/>
  <c r="AN21" i="64"/>
  <c r="AR21" i="64" s="1"/>
  <c r="BF45" i="64"/>
  <c r="BN45" i="64" s="1"/>
  <c r="BD56" i="64"/>
  <c r="AP56" i="64"/>
  <c r="BI52" i="58"/>
  <c r="AG45" i="64"/>
  <c r="BR22" i="64"/>
  <c r="E22" i="101" s="1"/>
  <c r="BL22" i="64"/>
  <c r="AC54" i="64"/>
  <c r="AG54" i="64" s="1"/>
  <c r="BG52" i="58"/>
  <c r="BD52" i="58"/>
  <c r="BG53" i="58"/>
  <c r="AR22" i="64"/>
  <c r="BF22" i="64"/>
  <c r="AP41" i="64"/>
  <c r="BD41" i="64"/>
  <c r="AN16" i="64"/>
  <c r="AN25" i="64"/>
  <c r="BF25" i="64" s="1"/>
  <c r="AR43" i="64"/>
  <c r="AG38" i="64"/>
  <c r="AN38" i="64"/>
  <c r="BD53" i="58"/>
  <c r="BK26" i="64"/>
  <c r="BQ26" i="64"/>
  <c r="BD43" i="64"/>
  <c r="AP43" i="64"/>
  <c r="AO27" i="64"/>
  <c r="BC27" i="64"/>
  <c r="BS38" i="64"/>
  <c r="BM38" i="64"/>
  <c r="AP52" i="64"/>
  <c r="BD52" i="64"/>
  <c r="AO45" i="64"/>
  <c r="BC45" i="64"/>
  <c r="AR23" i="64"/>
  <c r="BF23" i="64"/>
  <c r="BM29" i="64"/>
  <c r="BS29" i="64"/>
  <c r="BD19" i="64"/>
  <c r="AP19" i="64"/>
  <c r="BD14" i="64"/>
  <c r="AP14" i="64"/>
  <c r="AO19" i="64"/>
  <c r="BC19" i="64"/>
  <c r="BD40" i="64"/>
  <c r="AP40" i="64"/>
  <c r="BD38" i="64"/>
  <c r="AP38" i="64"/>
  <c r="BC52" i="64"/>
  <c r="AO52" i="64"/>
  <c r="AO40" i="64"/>
  <c r="BC40" i="64"/>
  <c r="BE14" i="64"/>
  <c r="AQ14" i="64"/>
  <c r="AP27" i="64"/>
  <c r="BD27" i="64"/>
  <c r="BQ8" i="64"/>
  <c r="BK8" i="64"/>
  <c r="BM27" i="64"/>
  <c r="BS27" i="64"/>
  <c r="BC50" i="64"/>
  <c r="AO50" i="64"/>
  <c r="BL8" i="64"/>
  <c r="BR8" i="64"/>
  <c r="E8" i="101" s="1"/>
  <c r="BQ14" i="64"/>
  <c r="BK14" i="64"/>
  <c r="BM19" i="64"/>
  <c r="BS19" i="64"/>
  <c r="AP36" i="64"/>
  <c r="BD36" i="64"/>
  <c r="AG34" i="64"/>
  <c r="AN34" i="64"/>
  <c r="AP29" i="64"/>
  <c r="BD29" i="64"/>
  <c r="BC29" i="64"/>
  <c r="AO29" i="64"/>
  <c r="BS45" i="64"/>
  <c r="BM45" i="64"/>
  <c r="BM50" i="64"/>
  <c r="BS50" i="64"/>
  <c r="BC38" i="64"/>
  <c r="AO38" i="64"/>
  <c r="AP50" i="64"/>
  <c r="BD50" i="64"/>
  <c r="BM32" i="64"/>
  <c r="BS32" i="64"/>
  <c r="AO32" i="64"/>
  <c r="BC32" i="64"/>
  <c r="BD32" i="64"/>
  <c r="AG27" i="64"/>
  <c r="AN27" i="64"/>
  <c r="BM40" i="64"/>
  <c r="BS40" i="64"/>
  <c r="AR50" i="64"/>
  <c r="BF50" i="64"/>
  <c r="BD47" i="64"/>
  <c r="AP47" i="64"/>
  <c r="AG19" i="64"/>
  <c r="AN19" i="64"/>
  <c r="BN37" i="64"/>
  <c r="BI53" i="58"/>
  <c r="AO21" i="64"/>
  <c r="BC21" i="64"/>
  <c r="AN24" i="64"/>
  <c r="AG24" i="64"/>
  <c r="BC5" i="58"/>
  <c r="BC4" i="58" s="1"/>
  <c r="BS24" i="64"/>
  <c r="BM24" i="64"/>
  <c r="BK64" i="64"/>
  <c r="BQ64" i="64"/>
  <c r="BL64" i="64"/>
  <c r="BR64" i="64"/>
  <c r="BC34" i="64"/>
  <c r="AO34" i="64"/>
  <c r="AO24" i="64"/>
  <c r="BC24" i="64"/>
  <c r="BS34" i="64"/>
  <c r="BM34" i="64"/>
  <c r="BT64" i="64"/>
  <c r="BN64" i="64"/>
  <c r="BK16" i="64"/>
  <c r="BQ16" i="64"/>
  <c r="BE16" i="64"/>
  <c r="AQ16" i="64"/>
  <c r="BD16" i="64"/>
  <c r="AP16" i="64"/>
  <c r="AG41" i="64"/>
  <c r="AN41" i="64"/>
  <c r="AR46" i="64"/>
  <c r="BF46" i="64"/>
  <c r="BD31" i="64"/>
  <c r="AP31" i="64"/>
  <c r="BK46" i="64"/>
  <c r="BQ46" i="64"/>
  <c r="AG47" i="64"/>
  <c r="AN47" i="64"/>
  <c r="BR18" i="64"/>
  <c r="E18" i="101" s="1"/>
  <c r="BL18" i="64"/>
  <c r="AR44" i="64"/>
  <c r="AG31" i="64"/>
  <c r="AN31" i="64"/>
  <c r="AG44" i="64"/>
  <c r="AE54" i="64"/>
  <c r="AL54" i="64"/>
  <c r="AD54" i="64"/>
  <c r="AK54" i="64"/>
  <c r="BE54" i="64"/>
  <c r="AQ54" i="64"/>
  <c r="AO7" i="64"/>
  <c r="BC7" i="64"/>
  <c r="AN28" i="64"/>
  <c r="AG28" i="64"/>
  <c r="BM7" i="64"/>
  <c r="BS7" i="64"/>
  <c r="AP28" i="64"/>
  <c r="BD28" i="64"/>
  <c r="BS28" i="64"/>
  <c r="BM28" i="64"/>
  <c r="AO28" i="64"/>
  <c r="BC28" i="64"/>
  <c r="AP57" i="64"/>
  <c r="BD57" i="64"/>
  <c r="BM57" i="64"/>
  <c r="BS57" i="64"/>
  <c r="BC57" i="64"/>
  <c r="AO57" i="64"/>
  <c r="AP7" i="64"/>
  <c r="BD7" i="64"/>
  <c r="BR17" i="64"/>
  <c r="E17" i="101" s="1"/>
  <c r="BL17" i="64"/>
  <c r="BF17" i="64"/>
  <c r="AR17" i="64"/>
  <c r="BQ17" i="64"/>
  <c r="BK17" i="64"/>
  <c r="BS37" i="64"/>
  <c r="BM37" i="64"/>
  <c r="AP25" i="64"/>
  <c r="BD25" i="64"/>
  <c r="BC44" i="64"/>
  <c r="AO44" i="64"/>
  <c r="AO37" i="64"/>
  <c r="BC37" i="64"/>
  <c r="BD44" i="64"/>
  <c r="AP44" i="64"/>
  <c r="BC25" i="64"/>
  <c r="AO25" i="64"/>
  <c r="BS25" i="64"/>
  <c r="BM25" i="64"/>
  <c r="BK59" i="64"/>
  <c r="BQ59" i="64"/>
  <c r="H47" i="82"/>
  <c r="J47" i="82"/>
  <c r="I47" i="82"/>
  <c r="G47" i="82"/>
  <c r="BX48" i="64"/>
  <c r="O47" i="82" s="1"/>
  <c r="BX15" i="64"/>
  <c r="O14" i="82" s="1"/>
  <c r="I14" i="82"/>
  <c r="J14" i="82"/>
  <c r="H14" i="82"/>
  <c r="G14" i="82"/>
  <c r="J38" i="82"/>
  <c r="BX39" i="64"/>
  <c r="O38" i="82" s="1"/>
  <c r="H38" i="82"/>
  <c r="G38" i="82"/>
  <c r="I38" i="82"/>
  <c r="BL59" i="64"/>
  <c r="BR59" i="64"/>
  <c r="E59" i="101" s="1"/>
  <c r="BN43" i="64"/>
  <c r="BT43" i="64"/>
  <c r="BT44" i="64"/>
  <c r="BN44" i="64"/>
  <c r="H10" i="82"/>
  <c r="BX11" i="64"/>
  <c r="O10" i="82" s="1"/>
  <c r="G10" i="82"/>
  <c r="I10" i="82"/>
  <c r="J10" i="82"/>
  <c r="BX49" i="64"/>
  <c r="O48" i="82" s="1"/>
  <c r="H48" i="82"/>
  <c r="G48" i="82"/>
  <c r="J48" i="82"/>
  <c r="I48" i="82"/>
  <c r="BN40" i="64"/>
  <c r="BT40" i="64"/>
  <c r="BN30" i="64"/>
  <c r="BT30" i="64"/>
  <c r="BN6" i="64"/>
  <c r="BT6" i="64"/>
  <c r="AM10" i="64" l="1"/>
  <c r="AF10" i="64"/>
  <c r="BQ6" i="64"/>
  <c r="BK6" i="64"/>
  <c r="AQ23" i="64"/>
  <c r="BE23" i="64"/>
  <c r="AQ22" i="64"/>
  <c r="BE22" i="64"/>
  <c r="BF12" i="64"/>
  <c r="AR12" i="64"/>
  <c r="BD46" i="64"/>
  <c r="AP46" i="64"/>
  <c r="AR42" i="64"/>
  <c r="BF42" i="64"/>
  <c r="BD23" i="64"/>
  <c r="AP23" i="64"/>
  <c r="AN63" i="64"/>
  <c r="AG63" i="64"/>
  <c r="G6" i="101"/>
  <c r="AN10" i="64"/>
  <c r="BF10" i="64" s="1"/>
  <c r="BF57" i="64"/>
  <c r="BT61" i="64"/>
  <c r="G61" i="101" s="1"/>
  <c r="BR60" i="64"/>
  <c r="BX60" i="64" s="1"/>
  <c r="BY50" i="64"/>
  <c r="P49" i="82" s="1"/>
  <c r="F50" i="101"/>
  <c r="BY48" i="64"/>
  <c r="P47" i="82" s="1"/>
  <c r="F48" i="101"/>
  <c r="BW13" i="64"/>
  <c r="N12" i="82" s="1"/>
  <c r="D13" i="101"/>
  <c r="BY33" i="64"/>
  <c r="P32" i="82" s="1"/>
  <c r="F33" i="101"/>
  <c r="BZ52" i="64"/>
  <c r="Q51" i="82" s="1"/>
  <c r="G52" i="101"/>
  <c r="BZ49" i="64"/>
  <c r="Q48" i="82" s="1"/>
  <c r="G49" i="101"/>
  <c r="BY26" i="64"/>
  <c r="P25" i="82" s="1"/>
  <c r="F26" i="101"/>
  <c r="G64" i="101"/>
  <c r="BZ39" i="64"/>
  <c r="Q38" i="82" s="1"/>
  <c r="G39" i="101"/>
  <c r="BZ65" i="64"/>
  <c r="Q64" i="82" s="1"/>
  <c r="N34" i="82"/>
  <c r="D35" i="101"/>
  <c r="BY63" i="64"/>
  <c r="P62" i="82" s="1"/>
  <c r="D60" i="101"/>
  <c r="N62" i="82"/>
  <c r="D64" i="101"/>
  <c r="BY60" i="64"/>
  <c r="P59" i="82" s="1"/>
  <c r="F60" i="101"/>
  <c r="BX12" i="64"/>
  <c r="O11" i="82" s="1"/>
  <c r="E12" i="101"/>
  <c r="J62" i="82"/>
  <c r="E64" i="101"/>
  <c r="BZ44" i="64"/>
  <c r="Q43" i="82" s="1"/>
  <c r="G44" i="101"/>
  <c r="BY25" i="64"/>
  <c r="P24" i="82" s="1"/>
  <c r="F25" i="101"/>
  <c r="BY37" i="64"/>
  <c r="P36" i="82" s="1"/>
  <c r="F37" i="101"/>
  <c r="BW17" i="64"/>
  <c r="N16" i="82" s="1"/>
  <c r="D17" i="101"/>
  <c r="BY28" i="64"/>
  <c r="P27" i="82" s="1"/>
  <c r="F28" i="101"/>
  <c r="BZ64" i="64"/>
  <c r="Q63" i="82" s="1"/>
  <c r="BY34" i="64"/>
  <c r="P33" i="82" s="1"/>
  <c r="F34" i="101"/>
  <c r="BY24" i="64"/>
  <c r="P23" i="82" s="1"/>
  <c r="F24" i="101"/>
  <c r="BY40" i="64"/>
  <c r="P39" i="82" s="1"/>
  <c r="F40" i="101"/>
  <c r="BY32" i="64"/>
  <c r="P31" i="82" s="1"/>
  <c r="F32" i="101"/>
  <c r="BY19" i="64"/>
  <c r="P18" i="82" s="1"/>
  <c r="F19" i="101"/>
  <c r="BY27" i="64"/>
  <c r="P26" i="82" s="1"/>
  <c r="F27" i="101"/>
  <c r="BY29" i="64"/>
  <c r="P28" i="82" s="1"/>
  <c r="F29" i="101"/>
  <c r="BW26" i="64"/>
  <c r="N25" i="82" s="1"/>
  <c r="D26" i="101"/>
  <c r="BZ26" i="64"/>
  <c r="Q25" i="82" s="1"/>
  <c r="G26" i="101"/>
  <c r="BY49" i="64"/>
  <c r="P48" i="82" s="1"/>
  <c r="F49" i="101"/>
  <c r="BZ30" i="64"/>
  <c r="Q29" i="82" s="1"/>
  <c r="G30" i="101"/>
  <c r="BZ40" i="64"/>
  <c r="Q39" i="82" s="1"/>
  <c r="G40" i="101"/>
  <c r="BZ43" i="64"/>
  <c r="Q42" i="82" s="1"/>
  <c r="G43" i="101"/>
  <c r="D59" i="101"/>
  <c r="BY57" i="64"/>
  <c r="P56" i="82" s="1"/>
  <c r="F57" i="101"/>
  <c r="BY7" i="64"/>
  <c r="F7" i="101"/>
  <c r="N45" i="82"/>
  <c r="D46" i="101"/>
  <c r="BW16" i="64"/>
  <c r="N15" i="82" s="1"/>
  <c r="D16" i="101"/>
  <c r="N63" i="82"/>
  <c r="BY45" i="64"/>
  <c r="P44" i="82" s="1"/>
  <c r="F45" i="101"/>
  <c r="BW14" i="64"/>
  <c r="N13" i="82" s="1"/>
  <c r="D14" i="101"/>
  <c r="BW8" i="64"/>
  <c r="N7" i="82" s="1"/>
  <c r="D8" i="101"/>
  <c r="BY38" i="64"/>
  <c r="P37" i="82" s="1"/>
  <c r="F38" i="101"/>
  <c r="BZ9" i="64"/>
  <c r="Q8" i="82" s="1"/>
  <c r="G9" i="101"/>
  <c r="G29" i="82"/>
  <c r="E30" i="101"/>
  <c r="BY18" i="64"/>
  <c r="P17" i="82" s="1"/>
  <c r="F18" i="101"/>
  <c r="N32" i="82"/>
  <c r="D33" i="101"/>
  <c r="G9" i="82"/>
  <c r="E10" i="101"/>
  <c r="BY52" i="64"/>
  <c r="P51" i="82" s="1"/>
  <c r="F52" i="101"/>
  <c r="N40" i="82"/>
  <c r="D41" i="101"/>
  <c r="D56" i="101"/>
  <c r="N54" i="82"/>
  <c r="D55" i="101"/>
  <c r="I62" i="82"/>
  <c r="BL63" i="64"/>
  <c r="H62" i="82"/>
  <c r="H11" i="82"/>
  <c r="J11" i="82"/>
  <c r="BX63" i="64"/>
  <c r="G11" i="82"/>
  <c r="I11" i="82"/>
  <c r="AG7" i="64"/>
  <c r="BD58" i="64"/>
  <c r="BL58" i="64" s="1"/>
  <c r="BF35" i="64"/>
  <c r="BT35" i="64" s="1"/>
  <c r="BR65" i="64"/>
  <c r="E65" i="101" s="1"/>
  <c r="BF13" i="64"/>
  <c r="BT13" i="64" s="1"/>
  <c r="AP37" i="64"/>
  <c r="BK35" i="64"/>
  <c r="BX55" i="64"/>
  <c r="G54" i="82"/>
  <c r="H54" i="82"/>
  <c r="I54" i="82"/>
  <c r="J54" i="82"/>
  <c r="BT60" i="64"/>
  <c r="BF56" i="64"/>
  <c r="AR56" i="64"/>
  <c r="BS55" i="64"/>
  <c r="BM55" i="64"/>
  <c r="BM64" i="64"/>
  <c r="BS64" i="64"/>
  <c r="F64" i="101" s="1"/>
  <c r="BT55" i="64"/>
  <c r="BN55" i="64"/>
  <c r="BM58" i="64"/>
  <c r="BS58" i="64"/>
  <c r="BD24" i="64"/>
  <c r="BL24" i="64" s="1"/>
  <c r="P55" i="82"/>
  <c r="N64" i="82"/>
  <c r="G61" i="82"/>
  <c r="J61" i="82"/>
  <c r="H61" i="82"/>
  <c r="I61" i="82"/>
  <c r="Q61" i="82"/>
  <c r="AG32" i="64"/>
  <c r="BN65" i="64"/>
  <c r="AP45" i="64"/>
  <c r="BF58" i="64"/>
  <c r="BT58" i="64" s="1"/>
  <c r="BM52" i="64"/>
  <c r="BF18" i="64"/>
  <c r="BN18" i="64" s="1"/>
  <c r="BS21" i="64"/>
  <c r="AN15" i="64"/>
  <c r="AR15" i="64" s="1"/>
  <c r="AQ51" i="64"/>
  <c r="AP21" i="64"/>
  <c r="AN14" i="64"/>
  <c r="AR14" i="64" s="1"/>
  <c r="J9" i="82"/>
  <c r="H9" i="82"/>
  <c r="BT48" i="64"/>
  <c r="BC6" i="58"/>
  <c r="BF36" i="64"/>
  <c r="BN36" i="64" s="1"/>
  <c r="I9" i="82"/>
  <c r="BX10" i="64"/>
  <c r="O9" i="82" s="1"/>
  <c r="AN33" i="64"/>
  <c r="BF33" i="64" s="1"/>
  <c r="BD34" i="64"/>
  <c r="BL34" i="64" s="1"/>
  <c r="BN52" i="64"/>
  <c r="J29" i="82"/>
  <c r="AR59" i="64"/>
  <c r="AR52" i="64"/>
  <c r="I29" i="82"/>
  <c r="H29" i="82"/>
  <c r="AR8" i="64"/>
  <c r="BX30" i="64"/>
  <c r="O29" i="82" s="1"/>
  <c r="BS44" i="64"/>
  <c r="BK58" i="64"/>
  <c r="BQ58" i="64"/>
  <c r="BS20" i="64"/>
  <c r="BM20" i="64"/>
  <c r="BT59" i="64"/>
  <c r="BK61" i="64"/>
  <c r="BQ61" i="64"/>
  <c r="H32" i="82"/>
  <c r="I32" i="82"/>
  <c r="G32" i="82"/>
  <c r="J32" i="82"/>
  <c r="BX33" i="64"/>
  <c r="O32" i="82" s="1"/>
  <c r="BK20" i="64"/>
  <c r="BQ20" i="64"/>
  <c r="BR20" i="64"/>
  <c r="E20" i="101" s="1"/>
  <c r="BL20" i="64"/>
  <c r="BN20" i="64"/>
  <c r="BT20" i="64"/>
  <c r="I60" i="82"/>
  <c r="H60" i="82"/>
  <c r="G60" i="82"/>
  <c r="J60" i="82"/>
  <c r="BX61" i="64"/>
  <c r="BT51" i="64"/>
  <c r="BL26" i="64"/>
  <c r="AR51" i="64"/>
  <c r="G34" i="82"/>
  <c r="H34" i="82"/>
  <c r="I34" i="82"/>
  <c r="J34" i="82"/>
  <c r="BX35" i="64"/>
  <c r="O34" i="82" s="1"/>
  <c r="I12" i="82"/>
  <c r="G12" i="82"/>
  <c r="BX13" i="64"/>
  <c r="O12" i="82" s="1"/>
  <c r="J12" i="82"/>
  <c r="H12" i="82"/>
  <c r="BQ51" i="64"/>
  <c r="BK51" i="64"/>
  <c r="BD51" i="64"/>
  <c r="AP51" i="64"/>
  <c r="BL6" i="64"/>
  <c r="BR6" i="64"/>
  <c r="BT29" i="64"/>
  <c r="BF21" i="64"/>
  <c r="BT21" i="64" s="1"/>
  <c r="BT45" i="64"/>
  <c r="AN54" i="64"/>
  <c r="AR54" i="64" s="1"/>
  <c r="BR56" i="64"/>
  <c r="E56" i="101" s="1"/>
  <c r="BL56" i="64"/>
  <c r="H21" i="82"/>
  <c r="G21" i="82"/>
  <c r="BX22" i="64"/>
  <c r="O21" i="82" s="1"/>
  <c r="I21" i="82"/>
  <c r="J21" i="82"/>
  <c r="AR25" i="64"/>
  <c r="BR41" i="64"/>
  <c r="E41" i="101" s="1"/>
  <c r="BL41" i="64"/>
  <c r="BM51" i="64"/>
  <c r="BS51" i="64"/>
  <c r="BN22" i="64"/>
  <c r="BT22" i="64"/>
  <c r="AR16" i="64"/>
  <c r="BF16" i="64"/>
  <c r="BF32" i="64"/>
  <c r="BF38" i="64"/>
  <c r="AR38" i="64"/>
  <c r="BX26" i="64"/>
  <c r="O25" i="82" s="1"/>
  <c r="G25" i="82"/>
  <c r="I25" i="82"/>
  <c r="J25" i="82"/>
  <c r="H25" i="82"/>
  <c r="BR32" i="64"/>
  <c r="E32" i="101" s="1"/>
  <c r="BL32" i="64"/>
  <c r="BL38" i="64"/>
  <c r="BR38" i="64"/>
  <c r="E38" i="101" s="1"/>
  <c r="BK32" i="64"/>
  <c r="BQ32" i="64"/>
  <c r="BQ45" i="64"/>
  <c r="BK45" i="64"/>
  <c r="BF19" i="64"/>
  <c r="AR19" i="64"/>
  <c r="BR47" i="64"/>
  <c r="E47" i="101" s="1"/>
  <c r="BL47" i="64"/>
  <c r="BL40" i="64"/>
  <c r="BR40" i="64"/>
  <c r="E40" i="101" s="1"/>
  <c r="BN8" i="64"/>
  <c r="BT8" i="64"/>
  <c r="BL27" i="64"/>
  <c r="BR27" i="64"/>
  <c r="E27" i="101" s="1"/>
  <c r="BQ19" i="64"/>
  <c r="BK19" i="64"/>
  <c r="BL52" i="64"/>
  <c r="BR52" i="64"/>
  <c r="E52" i="101" s="1"/>
  <c r="BL36" i="64"/>
  <c r="BR36" i="64"/>
  <c r="E36" i="101" s="1"/>
  <c r="BN50" i="64"/>
  <c r="BT50" i="64"/>
  <c r="BL50" i="64"/>
  <c r="BR50" i="64"/>
  <c r="E50" i="101" s="1"/>
  <c r="BL45" i="64"/>
  <c r="BR45" i="64"/>
  <c r="E45" i="101" s="1"/>
  <c r="BT23" i="64"/>
  <c r="BN23" i="64"/>
  <c r="BK29" i="64"/>
  <c r="BQ29" i="64"/>
  <c r="BM14" i="64"/>
  <c r="BS14" i="64"/>
  <c r="BL14" i="64"/>
  <c r="BR14" i="64"/>
  <c r="E14" i="101" s="1"/>
  <c r="BR29" i="64"/>
  <c r="E29" i="101" s="1"/>
  <c r="BL29" i="64"/>
  <c r="I7" i="82"/>
  <c r="H7" i="82"/>
  <c r="BX8" i="64"/>
  <c r="O7" i="82" s="1"/>
  <c r="J7" i="82"/>
  <c r="G7" i="82"/>
  <c r="BQ40" i="64"/>
  <c r="BK40" i="64"/>
  <c r="BQ27" i="64"/>
  <c r="BK27" i="64"/>
  <c r="BQ38" i="64"/>
  <c r="BK38" i="64"/>
  <c r="BR19" i="64"/>
  <c r="E19" i="101" s="1"/>
  <c r="BL19" i="64"/>
  <c r="BF27" i="64"/>
  <c r="AR27" i="64"/>
  <c r="AR34" i="64"/>
  <c r="BF34" i="64"/>
  <c r="BK50" i="64"/>
  <c r="BQ50" i="64"/>
  <c r="BQ52" i="64"/>
  <c r="BK52" i="64"/>
  <c r="BR43" i="64"/>
  <c r="E43" i="101" s="1"/>
  <c r="BL43" i="64"/>
  <c r="AR24" i="64"/>
  <c r="BF24" i="64"/>
  <c r="BQ34" i="64"/>
  <c r="BK34" i="64"/>
  <c r="BK21" i="64"/>
  <c r="BQ21" i="64"/>
  <c r="BR21" i="64"/>
  <c r="E21" i="101" s="1"/>
  <c r="BL21" i="64"/>
  <c r="BQ24" i="64"/>
  <c r="BK24" i="64"/>
  <c r="BX64" i="64"/>
  <c r="H63" i="82"/>
  <c r="G63" i="82"/>
  <c r="I63" i="82"/>
  <c r="J63" i="82"/>
  <c r="AR41" i="64"/>
  <c r="BF41" i="64"/>
  <c r="BL31" i="64"/>
  <c r="BR31" i="64"/>
  <c r="E31" i="101" s="1"/>
  <c r="BN46" i="64"/>
  <c r="BT46" i="64"/>
  <c r="BL16" i="64"/>
  <c r="BR16" i="64"/>
  <c r="E16" i="101" s="1"/>
  <c r="BS16" i="64"/>
  <c r="BM16" i="64"/>
  <c r="BF47" i="64"/>
  <c r="AR47" i="64"/>
  <c r="J17" i="82"/>
  <c r="BX18" i="64"/>
  <c r="O17" i="82" s="1"/>
  <c r="G17" i="82"/>
  <c r="I17" i="82"/>
  <c r="H17" i="82"/>
  <c r="BD54" i="64"/>
  <c r="AP54" i="64"/>
  <c r="BF31" i="64"/>
  <c r="AR31" i="64"/>
  <c r="AO54" i="64"/>
  <c r="BC54" i="64"/>
  <c r="BM54" i="64"/>
  <c r="BS54" i="64"/>
  <c r="BT57" i="64"/>
  <c r="BN57" i="64"/>
  <c r="BK28" i="64"/>
  <c r="BQ28" i="64"/>
  <c r="BR28" i="64"/>
  <c r="E28" i="101" s="1"/>
  <c r="BL28" i="64"/>
  <c r="BK57" i="64"/>
  <c r="BQ57" i="64"/>
  <c r="BR7" i="64"/>
  <c r="E7" i="101" s="1"/>
  <c r="BL7" i="64"/>
  <c r="BR57" i="64"/>
  <c r="E57" i="101" s="1"/>
  <c r="BL57" i="64"/>
  <c r="AR28" i="64"/>
  <c r="BF28" i="64"/>
  <c r="AR7" i="64"/>
  <c r="BF7" i="64"/>
  <c r="BQ7" i="64"/>
  <c r="BK7" i="64"/>
  <c r="BN17" i="64"/>
  <c r="BT17" i="64"/>
  <c r="I16" i="82"/>
  <c r="BX17" i="64"/>
  <c r="O16" i="82" s="1"/>
  <c r="G16" i="82"/>
  <c r="J16" i="82"/>
  <c r="H16" i="82"/>
  <c r="BQ37" i="64"/>
  <c r="BK37" i="64"/>
  <c r="BR37" i="64"/>
  <c r="E37" i="101" s="1"/>
  <c r="BL37" i="64"/>
  <c r="BK44" i="64"/>
  <c r="BQ44" i="64"/>
  <c r="BR25" i="64"/>
  <c r="E25" i="101" s="1"/>
  <c r="BL25" i="64"/>
  <c r="BT25" i="64"/>
  <c r="BN25" i="64"/>
  <c r="BR44" i="64"/>
  <c r="E44" i="101" s="1"/>
  <c r="BL44" i="64"/>
  <c r="BQ25" i="64"/>
  <c r="D25" i="101" s="1"/>
  <c r="BK25" i="64"/>
  <c r="BZ6" i="64"/>
  <c r="BX59" i="64"/>
  <c r="I58" i="82"/>
  <c r="J58" i="82"/>
  <c r="G58" i="82"/>
  <c r="H58" i="82"/>
  <c r="BE10" i="64" l="1"/>
  <c r="AQ10" i="64"/>
  <c r="BZ61" i="64"/>
  <c r="Q60" i="82" s="1"/>
  <c r="BN42" i="64"/>
  <c r="BT42" i="64"/>
  <c r="BS22" i="64"/>
  <c r="BM22" i="64"/>
  <c r="BM23" i="64"/>
  <c r="BS23" i="64"/>
  <c r="AR63" i="64"/>
  <c r="BF63" i="64"/>
  <c r="BR23" i="64"/>
  <c r="BL23" i="64"/>
  <c r="BR46" i="64"/>
  <c r="BL46" i="64"/>
  <c r="BT12" i="64"/>
  <c r="BN12" i="64"/>
  <c r="D6" i="101"/>
  <c r="BW6" i="64"/>
  <c r="N5" i="82" s="1"/>
  <c r="AR10" i="64"/>
  <c r="E6" i="101"/>
  <c r="P6" i="82"/>
  <c r="G59" i="82"/>
  <c r="J59" i="82"/>
  <c r="H59" i="82"/>
  <c r="E60" i="101"/>
  <c r="I59" i="82"/>
  <c r="BZ57" i="64"/>
  <c r="G57" i="101"/>
  <c r="BZ23" i="64"/>
  <c r="Q22" i="82" s="1"/>
  <c r="G23" i="101"/>
  <c r="BZ22" i="64"/>
  <c r="Q21" i="82" s="1"/>
  <c r="G22" i="101"/>
  <c r="BZ45" i="64"/>
  <c r="Q44" i="82" s="1"/>
  <c r="G45" i="101"/>
  <c r="BZ29" i="64"/>
  <c r="Q28" i="82" s="1"/>
  <c r="G29" i="101"/>
  <c r="N50" i="82"/>
  <c r="D51" i="101"/>
  <c r="N59" i="82"/>
  <c r="D61" i="101"/>
  <c r="BZ59" i="64"/>
  <c r="Q58" i="82" s="1"/>
  <c r="G59" i="101"/>
  <c r="BY20" i="64"/>
  <c r="P19" i="82" s="1"/>
  <c r="F20" i="101"/>
  <c r="BZ48" i="64"/>
  <c r="Q47" i="82" s="1"/>
  <c r="G48" i="101"/>
  <c r="BZ58" i="64"/>
  <c r="Q57" i="82" s="1"/>
  <c r="G58" i="101"/>
  <c r="BY58" i="64"/>
  <c r="P57" i="82" s="1"/>
  <c r="F58" i="101"/>
  <c r="BY64" i="64"/>
  <c r="P63" i="82" s="1"/>
  <c r="BZ60" i="64"/>
  <c r="Q59" i="82" s="1"/>
  <c r="G60" i="101"/>
  <c r="BZ13" i="64"/>
  <c r="Q12" i="82" s="1"/>
  <c r="G13" i="101"/>
  <c r="I64" i="82"/>
  <c r="N43" i="82"/>
  <c r="D44" i="101"/>
  <c r="BW7" i="64"/>
  <c r="D7" i="101"/>
  <c r="BW21" i="64"/>
  <c r="N20" i="82" s="1"/>
  <c r="D21" i="101"/>
  <c r="N49" i="82"/>
  <c r="D50" i="101"/>
  <c r="BW19" i="64"/>
  <c r="N18" i="82" s="1"/>
  <c r="D19" i="101"/>
  <c r="N44" i="82"/>
  <c r="D45" i="101"/>
  <c r="BY51" i="64"/>
  <c r="P50" i="82" s="1"/>
  <c r="F51" i="101"/>
  <c r="BZ25" i="64"/>
  <c r="Q24" i="82" s="1"/>
  <c r="G25" i="101"/>
  <c r="N36" i="82"/>
  <c r="D37" i="101"/>
  <c r="BZ17" i="64"/>
  <c r="Q16" i="82" s="1"/>
  <c r="G17" i="101"/>
  <c r="N56" i="82"/>
  <c r="D57" i="101"/>
  <c r="BW28" i="64"/>
  <c r="N27" i="82" s="1"/>
  <c r="D28" i="101"/>
  <c r="BY54" i="64"/>
  <c r="P53" i="82" s="1"/>
  <c r="F54" i="101"/>
  <c r="BY16" i="64"/>
  <c r="P15" i="82" s="1"/>
  <c r="F16" i="101"/>
  <c r="BZ46" i="64"/>
  <c r="Q45" i="82" s="1"/>
  <c r="G46" i="101"/>
  <c r="BW24" i="64"/>
  <c r="N23" i="82" s="1"/>
  <c r="D24" i="101"/>
  <c r="N33" i="82"/>
  <c r="D34" i="101"/>
  <c r="N51" i="82"/>
  <c r="D52" i="101"/>
  <c r="N37" i="82"/>
  <c r="D38" i="101"/>
  <c r="BW27" i="64"/>
  <c r="N26" i="82" s="1"/>
  <c r="D27" i="101"/>
  <c r="N39" i="82"/>
  <c r="D40" i="101"/>
  <c r="BY14" i="64"/>
  <c r="P13" i="82" s="1"/>
  <c r="F14" i="101"/>
  <c r="BW29" i="64"/>
  <c r="N28" i="82" s="1"/>
  <c r="D29" i="101"/>
  <c r="BZ50" i="64"/>
  <c r="Q49" i="82" s="1"/>
  <c r="G50" i="101"/>
  <c r="BZ8" i="64"/>
  <c r="Q7" i="82" s="1"/>
  <c r="G8" i="101"/>
  <c r="BW32" i="64"/>
  <c r="N31" i="82" s="1"/>
  <c r="D32" i="101"/>
  <c r="BZ21" i="64"/>
  <c r="Q20" i="82" s="1"/>
  <c r="G21" i="101"/>
  <c r="BZ51" i="64"/>
  <c r="Q50" i="82" s="1"/>
  <c r="G51" i="101"/>
  <c r="BZ20" i="64"/>
  <c r="Q19" i="82" s="1"/>
  <c r="G20" i="101"/>
  <c r="N19" i="82"/>
  <c r="D20" i="101"/>
  <c r="N57" i="82"/>
  <c r="D58" i="101"/>
  <c r="BY44" i="64"/>
  <c r="P43" i="82" s="1"/>
  <c r="F44" i="101"/>
  <c r="BY21" i="64"/>
  <c r="P20" i="82" s="1"/>
  <c r="F21" i="101"/>
  <c r="BZ55" i="64"/>
  <c r="Q54" i="82" s="1"/>
  <c r="G55" i="101"/>
  <c r="BY55" i="64"/>
  <c r="P54" i="82" s="1"/>
  <c r="F55" i="101"/>
  <c r="BZ35" i="64"/>
  <c r="Q34" i="82" s="1"/>
  <c r="G35" i="101"/>
  <c r="BN13" i="64"/>
  <c r="BN35" i="64"/>
  <c r="H64" i="82"/>
  <c r="G64" i="82"/>
  <c r="J64" i="82"/>
  <c r="BX65" i="64"/>
  <c r="O64" i="82" s="1"/>
  <c r="BR58" i="64"/>
  <c r="BR24" i="64"/>
  <c r="BN56" i="64"/>
  <c r="BT56" i="64"/>
  <c r="Q56" i="82"/>
  <c r="O63" i="82"/>
  <c r="O62" i="82"/>
  <c r="N55" i="82"/>
  <c r="O59" i="82"/>
  <c r="N58" i="82"/>
  <c r="O60" i="82"/>
  <c r="O61" i="82"/>
  <c r="N61" i="82"/>
  <c r="BN58" i="64"/>
  <c r="BT18" i="64"/>
  <c r="BF14" i="64"/>
  <c r="BN14" i="64" s="1"/>
  <c r="BF15" i="64"/>
  <c r="BT15" i="64" s="1"/>
  <c r="BR34" i="64"/>
  <c r="BT36" i="64"/>
  <c r="J19" i="82"/>
  <c r="G19" i="82"/>
  <c r="I19" i="82"/>
  <c r="H19" i="82"/>
  <c r="BX20" i="64"/>
  <c r="O19" i="82" s="1"/>
  <c r="BN33" i="64"/>
  <c r="BT33" i="64"/>
  <c r="BN10" i="64"/>
  <c r="BT10" i="64"/>
  <c r="BL51" i="64"/>
  <c r="BR51" i="64"/>
  <c r="E51" i="101" s="1"/>
  <c r="BN21" i="64"/>
  <c r="I5" i="82"/>
  <c r="BX6" i="64"/>
  <c r="H5" i="82"/>
  <c r="G5" i="82"/>
  <c r="J5" i="82"/>
  <c r="BF54" i="64"/>
  <c r="BN54" i="64" s="1"/>
  <c r="I55" i="82"/>
  <c r="G55" i="82"/>
  <c r="J55" i="82"/>
  <c r="BX56" i="64"/>
  <c r="H55" i="82"/>
  <c r="BT16" i="64"/>
  <c r="BN16" i="64"/>
  <c r="BX41" i="64"/>
  <c r="O40" i="82" s="1"/>
  <c r="J40" i="82"/>
  <c r="H40" i="82"/>
  <c r="I40" i="82"/>
  <c r="G40" i="82"/>
  <c r="BT38" i="64"/>
  <c r="BN38" i="64"/>
  <c r="BN32" i="64"/>
  <c r="BT32" i="64"/>
  <c r="BX47" i="64"/>
  <c r="O46" i="82" s="1"/>
  <c r="I46" i="82"/>
  <c r="G46" i="82"/>
  <c r="J46" i="82"/>
  <c r="H46" i="82"/>
  <c r="G35" i="82"/>
  <c r="J35" i="82"/>
  <c r="H35" i="82"/>
  <c r="I35" i="82"/>
  <c r="BX36" i="64"/>
  <c r="O35" i="82" s="1"/>
  <c r="BN27" i="64"/>
  <c r="BT27" i="64"/>
  <c r="I44" i="82"/>
  <c r="BX45" i="64"/>
  <c r="O44" i="82" s="1"/>
  <c r="J44" i="82"/>
  <c r="H44" i="82"/>
  <c r="G44" i="82"/>
  <c r="I26" i="82"/>
  <c r="H26" i="82"/>
  <c r="BX27" i="64"/>
  <c r="O26" i="82" s="1"/>
  <c r="G26" i="82"/>
  <c r="J26" i="82"/>
  <c r="H42" i="82"/>
  <c r="G42" i="82"/>
  <c r="J42" i="82"/>
  <c r="I42" i="82"/>
  <c r="BX43" i="64"/>
  <c r="O42" i="82" s="1"/>
  <c r="G18" i="82"/>
  <c r="J18" i="82"/>
  <c r="H18" i="82"/>
  <c r="I18" i="82"/>
  <c r="BX19" i="64"/>
  <c r="O18" i="82" s="1"/>
  <c r="G49" i="82"/>
  <c r="H49" i="82"/>
  <c r="J49" i="82"/>
  <c r="BX50" i="64"/>
  <c r="O49" i="82" s="1"/>
  <c r="I49" i="82"/>
  <c r="BX38" i="64"/>
  <c r="O37" i="82" s="1"/>
  <c r="I37" i="82"/>
  <c r="J37" i="82"/>
  <c r="H37" i="82"/>
  <c r="G37" i="82"/>
  <c r="J51" i="82"/>
  <c r="G51" i="82"/>
  <c r="BX52" i="64"/>
  <c r="O51" i="82" s="1"/>
  <c r="I51" i="82"/>
  <c r="H51" i="82"/>
  <c r="H28" i="82"/>
  <c r="G28" i="82"/>
  <c r="J28" i="82"/>
  <c r="BX29" i="64"/>
  <c r="O28" i="82" s="1"/>
  <c r="I28" i="82"/>
  <c r="BT34" i="64"/>
  <c r="BN34" i="64"/>
  <c r="BX14" i="64"/>
  <c r="O13" i="82" s="1"/>
  <c r="I13" i="82"/>
  <c r="H13" i="82"/>
  <c r="J13" i="82"/>
  <c r="G13" i="82"/>
  <c r="J39" i="82"/>
  <c r="I39" i="82"/>
  <c r="H39" i="82"/>
  <c r="BX40" i="64"/>
  <c r="O39" i="82" s="1"/>
  <c r="G39" i="82"/>
  <c r="BT19" i="64"/>
  <c r="BN19" i="64"/>
  <c r="H31" i="82"/>
  <c r="G31" i="82"/>
  <c r="I31" i="82"/>
  <c r="J31" i="82"/>
  <c r="BX32" i="64"/>
  <c r="O31" i="82" s="1"/>
  <c r="BN24" i="64"/>
  <c r="BT24" i="64"/>
  <c r="BX21" i="64"/>
  <c r="O20" i="82" s="1"/>
  <c r="I20" i="82"/>
  <c r="G20" i="82"/>
  <c r="H20" i="82"/>
  <c r="J20" i="82"/>
  <c r="I15" i="82"/>
  <c r="G15" i="82"/>
  <c r="H15" i="82"/>
  <c r="BX16" i="64"/>
  <c r="O15" i="82" s="1"/>
  <c r="J15" i="82"/>
  <c r="BT47" i="64"/>
  <c r="BN47" i="64"/>
  <c r="G30" i="82"/>
  <c r="I30" i="82"/>
  <c r="BX31" i="64"/>
  <c r="O30" i="82" s="1"/>
  <c r="J30" i="82"/>
  <c r="H30" i="82"/>
  <c r="BN41" i="64"/>
  <c r="BT41" i="64"/>
  <c r="BQ54" i="64"/>
  <c r="BK54" i="64"/>
  <c r="BL54" i="64"/>
  <c r="BR54" i="64"/>
  <c r="E54" i="101" s="1"/>
  <c r="BT31" i="64"/>
  <c r="BN31" i="64"/>
  <c r="J56" i="82"/>
  <c r="H56" i="82"/>
  <c r="BX57" i="64"/>
  <c r="O56" i="82" s="1"/>
  <c r="I56" i="82"/>
  <c r="G56" i="82"/>
  <c r="BT7" i="64"/>
  <c r="BN7" i="64"/>
  <c r="G27" i="82"/>
  <c r="I27" i="82"/>
  <c r="H27" i="82"/>
  <c r="BX28" i="64"/>
  <c r="O27" i="82" s="1"/>
  <c r="J27" i="82"/>
  <c r="G6" i="82"/>
  <c r="J6" i="82"/>
  <c r="I6" i="82"/>
  <c r="BX7" i="64"/>
  <c r="O6" i="82" s="1"/>
  <c r="H6" i="82"/>
  <c r="BT28" i="64"/>
  <c r="BN28" i="64"/>
  <c r="J43" i="82"/>
  <c r="H43" i="82"/>
  <c r="G43" i="82"/>
  <c r="BX44" i="64"/>
  <c r="O43" i="82" s="1"/>
  <c r="I43" i="82"/>
  <c r="BX25" i="64"/>
  <c r="O24" i="82" s="1"/>
  <c r="J24" i="82"/>
  <c r="H24" i="82"/>
  <c r="I24" i="82"/>
  <c r="G24" i="82"/>
  <c r="BW25" i="64"/>
  <c r="I36" i="82"/>
  <c r="BX37" i="64"/>
  <c r="O36" i="82" s="1"/>
  <c r="J36" i="82"/>
  <c r="G36" i="82"/>
  <c r="H36" i="82"/>
  <c r="Q5" i="82"/>
  <c r="BM10" i="64" l="1"/>
  <c r="BS10" i="64"/>
  <c r="BN63" i="64"/>
  <c r="BT63" i="64"/>
  <c r="F23" i="101"/>
  <c r="BY23" i="64"/>
  <c r="P22" i="82" s="1"/>
  <c r="G42" i="101"/>
  <c r="BZ42" i="64"/>
  <c r="Q41" i="82" s="1"/>
  <c r="G12" i="101"/>
  <c r="BZ12" i="64"/>
  <c r="Q11" i="82" s="1"/>
  <c r="E46" i="101"/>
  <c r="G45" i="82"/>
  <c r="I45" i="82"/>
  <c r="J45" i="82"/>
  <c r="BX46" i="64"/>
  <c r="O45" i="82" s="1"/>
  <c r="H45" i="82"/>
  <c r="E23" i="101"/>
  <c r="G22" i="82"/>
  <c r="BX23" i="64"/>
  <c r="O22" i="82" s="1"/>
  <c r="H22" i="82"/>
  <c r="J22" i="82"/>
  <c r="I22" i="82"/>
  <c r="BY22" i="64"/>
  <c r="P21" i="82" s="1"/>
  <c r="F22" i="101"/>
  <c r="BC68" i="64"/>
  <c r="O5" i="82"/>
  <c r="N6" i="82"/>
  <c r="N60" i="82"/>
  <c r="BZ41" i="64"/>
  <c r="Q40" i="82" s="1"/>
  <c r="G41" i="101"/>
  <c r="BZ47" i="64"/>
  <c r="Q46" i="82" s="1"/>
  <c r="G47" i="101"/>
  <c r="BZ27" i="64"/>
  <c r="Q26" i="82" s="1"/>
  <c r="G27" i="101"/>
  <c r="BZ32" i="64"/>
  <c r="Q31" i="82" s="1"/>
  <c r="G32" i="101"/>
  <c r="BZ16" i="64"/>
  <c r="Q15" i="82" s="1"/>
  <c r="G16" i="101"/>
  <c r="BZ36" i="64"/>
  <c r="Q35" i="82" s="1"/>
  <c r="G36" i="101"/>
  <c r="BZ15" i="64"/>
  <c r="Q14" i="82" s="1"/>
  <c r="G15" i="101"/>
  <c r="BZ18" i="64"/>
  <c r="Q17" i="82" s="1"/>
  <c r="G18" i="101"/>
  <c r="BZ56" i="64"/>
  <c r="Q55" i="82" s="1"/>
  <c r="G56" i="101"/>
  <c r="G23" i="82"/>
  <c r="E24" i="101"/>
  <c r="BZ28" i="64"/>
  <c r="Q27" i="82" s="1"/>
  <c r="G28" i="101"/>
  <c r="BZ7" i="64"/>
  <c r="G7" i="101"/>
  <c r="BZ31" i="64"/>
  <c r="Q30" i="82" s="1"/>
  <c r="G31" i="101"/>
  <c r="N53" i="82"/>
  <c r="D54" i="101"/>
  <c r="BZ24" i="64"/>
  <c r="Q23" i="82" s="1"/>
  <c r="G24" i="101"/>
  <c r="BZ19" i="64"/>
  <c r="Q18" i="82" s="1"/>
  <c r="G19" i="101"/>
  <c r="BZ34" i="64"/>
  <c r="Q33" i="82" s="1"/>
  <c r="G34" i="101"/>
  <c r="BZ38" i="64"/>
  <c r="Q37" i="82" s="1"/>
  <c r="G38" i="101"/>
  <c r="BZ10" i="64"/>
  <c r="Q9" i="82" s="1"/>
  <c r="G10" i="101"/>
  <c r="BZ33" i="64"/>
  <c r="Q32" i="82" s="1"/>
  <c r="G33" i="101"/>
  <c r="H33" i="82"/>
  <c r="E34" i="101"/>
  <c r="BX58" i="64"/>
  <c r="O57" i="82" s="1"/>
  <c r="E58" i="101"/>
  <c r="H57" i="82"/>
  <c r="G57" i="82"/>
  <c r="I23" i="82"/>
  <c r="J23" i="82"/>
  <c r="H23" i="82"/>
  <c r="J57" i="82"/>
  <c r="I57" i="82"/>
  <c r="BX24" i="64"/>
  <c r="O23" i="82" s="1"/>
  <c r="O55" i="82"/>
  <c r="O54" i="82"/>
  <c r="O58" i="82"/>
  <c r="BX34" i="64"/>
  <c r="O33" i="82" s="1"/>
  <c r="BN15" i="64"/>
  <c r="BT14" i="64"/>
  <c r="G33" i="82"/>
  <c r="I33" i="82"/>
  <c r="J33" i="82"/>
  <c r="J50" i="82"/>
  <c r="BX51" i="64"/>
  <c r="O50" i="82" s="1"/>
  <c r="G50" i="82"/>
  <c r="H50" i="82"/>
  <c r="I50" i="82"/>
  <c r="BT54" i="64"/>
  <c r="BX54" i="64"/>
  <c r="O53" i="82" s="1"/>
  <c r="J53" i="82"/>
  <c r="G53" i="82"/>
  <c r="H53" i="82"/>
  <c r="I53" i="82"/>
  <c r="N24" i="82"/>
  <c r="F10" i="101" l="1"/>
  <c r="BY10" i="64"/>
  <c r="P9" i="82" s="1"/>
  <c r="G63" i="101"/>
  <c r="BZ63" i="64"/>
  <c r="Q62" i="82" s="1"/>
  <c r="Q6" i="82"/>
  <c r="BZ14" i="64"/>
  <c r="Q13" i="82" s="1"/>
  <c r="G14" i="101"/>
  <c r="BZ54" i="64"/>
  <c r="Q53" i="82" s="1"/>
  <c r="G54" i="101"/>
  <c r="M67" i="82"/>
  <c r="BW68" i="64" l="1"/>
  <c r="N67" i="82"/>
  <c r="N68" i="82" s="1"/>
  <c r="N69" i="82"/>
  <c r="N70" i="82" l="1"/>
  <c r="CA55" i="64" s="1"/>
  <c r="CB55" i="64" s="1"/>
  <c r="G54" i="102" s="1"/>
  <c r="CA9" i="64" l="1"/>
  <c r="CC9" i="64" s="1"/>
  <c r="CA40" i="64"/>
  <c r="CD40" i="64" s="1"/>
  <c r="CA52" i="64"/>
  <c r="CC52" i="64" s="1"/>
  <c r="CA24" i="64"/>
  <c r="CD24" i="64" s="1"/>
  <c r="CA41" i="64"/>
  <c r="CE41" i="64" s="1"/>
  <c r="CA23" i="64"/>
  <c r="CE23" i="64" s="1"/>
  <c r="CA22" i="64"/>
  <c r="CE22" i="64" s="1"/>
  <c r="CA15" i="64"/>
  <c r="CC15" i="64" s="1"/>
  <c r="CA29" i="64"/>
  <c r="CD29" i="64" s="1"/>
  <c r="CA63" i="64"/>
  <c r="CE63" i="64" s="1"/>
  <c r="CA10" i="64"/>
  <c r="CE10" i="64" s="1"/>
  <c r="CA44" i="64"/>
  <c r="CD44" i="64" s="1"/>
  <c r="CA25" i="64"/>
  <c r="CD25" i="64" s="1"/>
  <c r="CA36" i="64"/>
  <c r="CB36" i="64" s="1"/>
  <c r="CA16" i="64"/>
  <c r="CC16" i="64" s="1"/>
  <c r="CA50" i="64"/>
  <c r="CC50" i="64" s="1"/>
  <c r="CA8" i="64"/>
  <c r="CC8" i="64" s="1"/>
  <c r="CA14" i="64"/>
  <c r="CB14" i="64" s="1"/>
  <c r="CA6" i="64"/>
  <c r="CA60" i="64"/>
  <c r="CC60" i="64" s="1"/>
  <c r="CA42" i="64"/>
  <c r="CC42" i="64" s="1"/>
  <c r="CA20" i="64"/>
  <c r="CC20" i="64" s="1"/>
  <c r="CA64" i="64"/>
  <c r="CB64" i="64" s="1"/>
  <c r="CA48" i="64"/>
  <c r="CB48" i="64" s="1"/>
  <c r="G47" i="102" s="1"/>
  <c r="CA35" i="64"/>
  <c r="CC35" i="64" s="1"/>
  <c r="CA49" i="64"/>
  <c r="CC49" i="64" s="1"/>
  <c r="CA30" i="64"/>
  <c r="CE30" i="64" s="1"/>
  <c r="CA47" i="64"/>
  <c r="CD47" i="64" s="1"/>
  <c r="CA56" i="64"/>
  <c r="CD56" i="64" s="1"/>
  <c r="CA54" i="64"/>
  <c r="CC54" i="64" s="1"/>
  <c r="CA39" i="64"/>
  <c r="CE39" i="64" s="1"/>
  <c r="CA31" i="64"/>
  <c r="CC31" i="64" s="1"/>
  <c r="CA45" i="64"/>
  <c r="CD45" i="64" s="1"/>
  <c r="CA34" i="64"/>
  <c r="CD34" i="64" s="1"/>
  <c r="CA12" i="64"/>
  <c r="CB12" i="64" s="1"/>
  <c r="CA62" i="64"/>
  <c r="CE62" i="64" s="1"/>
  <c r="CA46" i="64"/>
  <c r="CB46" i="64" s="1"/>
  <c r="CA43" i="64"/>
  <c r="CE43" i="64" s="1"/>
  <c r="CA59" i="64"/>
  <c r="CB59" i="64" s="1"/>
  <c r="CA38" i="64"/>
  <c r="CB38" i="64" s="1"/>
  <c r="CA18" i="64"/>
  <c r="CD18" i="64" s="1"/>
  <c r="CA32" i="64"/>
  <c r="CB32" i="64" s="1"/>
  <c r="CA27" i="64"/>
  <c r="CC27" i="64" s="1"/>
  <c r="CA37" i="64"/>
  <c r="CC37" i="64" s="1"/>
  <c r="CA58" i="64"/>
  <c r="CC58" i="64" s="1"/>
  <c r="CA7" i="64"/>
  <c r="CB7" i="64" s="1"/>
  <c r="CA65" i="64"/>
  <c r="CB65" i="64" s="1"/>
  <c r="CA26" i="64"/>
  <c r="CC26" i="64" s="1"/>
  <c r="CA13" i="64"/>
  <c r="CC13" i="64" s="1"/>
  <c r="CA19" i="64"/>
  <c r="CB19" i="64" s="1"/>
  <c r="CA17" i="64"/>
  <c r="CE17" i="64" s="1"/>
  <c r="CA51" i="64"/>
  <c r="CE51" i="64" s="1"/>
  <c r="CA28" i="64"/>
  <c r="CC28" i="64" s="1"/>
  <c r="CA11" i="64"/>
  <c r="CE11" i="64" s="1"/>
  <c r="CA21" i="64"/>
  <c r="CC21" i="64" s="1"/>
  <c r="CA33" i="64"/>
  <c r="CE33" i="64" s="1"/>
  <c r="CD55" i="64"/>
  <c r="CA57" i="64"/>
  <c r="CE57" i="64" s="1"/>
  <c r="CA53" i="64"/>
  <c r="CE53" i="64" s="1"/>
  <c r="CA61" i="64"/>
  <c r="CC61" i="64" s="1"/>
  <c r="H60" i="102" s="1"/>
  <c r="CE55" i="64"/>
  <c r="CC55" i="64"/>
  <c r="CL55" i="64"/>
  <c r="CF55" i="64"/>
  <c r="CO57" i="64" l="1"/>
  <c r="F56" i="102" s="1"/>
  <c r="J56" i="102"/>
  <c r="CO33" i="64"/>
  <c r="J32" i="102"/>
  <c r="CO11" i="64"/>
  <c r="CT11" i="64" s="1"/>
  <c r="J10" i="102"/>
  <c r="CO51" i="64"/>
  <c r="F50" i="102" s="1"/>
  <c r="J50" i="102"/>
  <c r="CL19" i="64"/>
  <c r="G18" i="102"/>
  <c r="CM26" i="64"/>
  <c r="CR26" i="64" s="1"/>
  <c r="H25" i="102"/>
  <c r="CL7" i="64"/>
  <c r="C6" i="102" s="1"/>
  <c r="G6" i="102"/>
  <c r="CM37" i="64"/>
  <c r="D36" i="102" s="1"/>
  <c r="H36" i="102"/>
  <c r="CL32" i="64"/>
  <c r="C31" i="102" s="1"/>
  <c r="G31" i="102"/>
  <c r="CL38" i="64"/>
  <c r="G37" i="102"/>
  <c r="CO43" i="64"/>
  <c r="F42" i="102" s="1"/>
  <c r="J42" i="102"/>
  <c r="CO62" i="64"/>
  <c r="CT62" i="64" s="1"/>
  <c r="J61" i="102"/>
  <c r="CN34" i="64"/>
  <c r="CS34" i="64" s="1"/>
  <c r="I33" i="102"/>
  <c r="CM31" i="64"/>
  <c r="D30" i="102" s="1"/>
  <c r="H30" i="102"/>
  <c r="CM54" i="64"/>
  <c r="CR54" i="64" s="1"/>
  <c r="H53" i="102"/>
  <c r="CN47" i="64"/>
  <c r="E46" i="102" s="1"/>
  <c r="I46" i="102"/>
  <c r="CM49" i="64"/>
  <c r="D48" i="102" s="1"/>
  <c r="H48" i="102"/>
  <c r="CM20" i="64"/>
  <c r="H19" i="102"/>
  <c r="CM60" i="64"/>
  <c r="CR60" i="64" s="1"/>
  <c r="H59" i="102"/>
  <c r="CF14" i="64"/>
  <c r="G13" i="102"/>
  <c r="CM50" i="64"/>
  <c r="H49" i="102"/>
  <c r="CF36" i="64"/>
  <c r="G35" i="102"/>
  <c r="CN44" i="64"/>
  <c r="E43" i="102" s="1"/>
  <c r="I43" i="102"/>
  <c r="CO63" i="64"/>
  <c r="J62" i="102"/>
  <c r="D14" i="82"/>
  <c r="H14" i="102"/>
  <c r="CO23" i="64"/>
  <c r="CT23" i="64" s="1"/>
  <c r="J22" i="102"/>
  <c r="CN24" i="64"/>
  <c r="I23" i="102"/>
  <c r="CN40" i="64"/>
  <c r="CS40" i="64" s="1"/>
  <c r="I39" i="102"/>
  <c r="CM55" i="64"/>
  <c r="H54" i="102"/>
  <c r="CO55" i="64"/>
  <c r="J54" i="102"/>
  <c r="CO53" i="64"/>
  <c r="F52" i="102" s="1"/>
  <c r="J52" i="102"/>
  <c r="E54" i="82"/>
  <c r="I54" i="102"/>
  <c r="CG21" i="64"/>
  <c r="H20" i="102"/>
  <c r="CM28" i="64"/>
  <c r="D27" i="102" s="1"/>
  <c r="H27" i="102"/>
  <c r="CO17" i="64"/>
  <c r="F16" i="102" s="1"/>
  <c r="J16" i="102"/>
  <c r="CM13" i="64"/>
  <c r="D12" i="102" s="1"/>
  <c r="H12" i="102"/>
  <c r="CL65" i="64"/>
  <c r="C64" i="102" s="1"/>
  <c r="G64" i="102"/>
  <c r="CG58" i="64"/>
  <c r="H57" i="102"/>
  <c r="CM27" i="64"/>
  <c r="D26" i="102" s="1"/>
  <c r="H26" i="102"/>
  <c r="CN18" i="64"/>
  <c r="E17" i="102" s="1"/>
  <c r="I17" i="102"/>
  <c r="CL59" i="64"/>
  <c r="G58" i="102"/>
  <c r="CL46" i="64"/>
  <c r="C45" i="102" s="1"/>
  <c r="G45" i="102"/>
  <c r="CL12" i="64"/>
  <c r="C11" i="102" s="1"/>
  <c r="G11" i="102"/>
  <c r="CN45" i="64"/>
  <c r="E44" i="102" s="1"/>
  <c r="I44" i="102"/>
  <c r="F38" i="82"/>
  <c r="J38" i="102"/>
  <c r="CN56" i="64"/>
  <c r="E55" i="102" s="1"/>
  <c r="I55" i="102"/>
  <c r="CO30" i="64"/>
  <c r="J29" i="102"/>
  <c r="CM35" i="64"/>
  <c r="H34" i="102"/>
  <c r="CL64" i="64"/>
  <c r="C63" i="102" s="1"/>
  <c r="G63" i="102"/>
  <c r="CM42" i="64"/>
  <c r="D41" i="102" s="1"/>
  <c r="H41" i="102"/>
  <c r="CG8" i="64"/>
  <c r="H7" i="102"/>
  <c r="CM16" i="64"/>
  <c r="H15" i="102"/>
  <c r="CH25" i="64"/>
  <c r="I24" i="102"/>
  <c r="F9" i="82"/>
  <c r="J9" i="102"/>
  <c r="CN29" i="64"/>
  <c r="E28" i="102" s="1"/>
  <c r="I28" i="102"/>
  <c r="CO22" i="64"/>
  <c r="CT22" i="64" s="1"/>
  <c r="J21" i="102"/>
  <c r="CO41" i="64"/>
  <c r="CT41" i="64" s="1"/>
  <c r="J40" i="102"/>
  <c r="CM52" i="64"/>
  <c r="H51" i="102"/>
  <c r="CM9" i="64"/>
  <c r="H8" i="102"/>
  <c r="CR37" i="64"/>
  <c r="CQ32" i="64"/>
  <c r="CS18" i="64"/>
  <c r="CD26" i="64"/>
  <c r="CT51" i="64"/>
  <c r="CT57" i="64"/>
  <c r="CQ7" i="64"/>
  <c r="CQ64" i="64"/>
  <c r="CR27" i="64"/>
  <c r="CD52" i="64"/>
  <c r="CG52" i="64"/>
  <c r="CB6" i="64"/>
  <c r="CC29" i="64"/>
  <c r="CE52" i="64"/>
  <c r="CI22" i="64"/>
  <c r="CB29" i="64"/>
  <c r="CB42" i="64"/>
  <c r="CO39" i="64"/>
  <c r="F38" i="102" s="1"/>
  <c r="CC59" i="64"/>
  <c r="C11" i="82"/>
  <c r="C45" i="82"/>
  <c r="CB45" i="64"/>
  <c r="CB39" i="64"/>
  <c r="CD8" i="64"/>
  <c r="CE16" i="64"/>
  <c r="CB27" i="64"/>
  <c r="CS56" i="64"/>
  <c r="C13" i="82"/>
  <c r="CB49" i="64"/>
  <c r="CB60" i="64"/>
  <c r="CC48" i="64"/>
  <c r="CB26" i="64"/>
  <c r="CD14" i="64"/>
  <c r="CC7" i="64"/>
  <c r="CB44" i="64"/>
  <c r="CE40" i="64"/>
  <c r="CB51" i="64"/>
  <c r="F61" i="82"/>
  <c r="D59" i="102"/>
  <c r="D57" i="125" s="1"/>
  <c r="CD58" i="64"/>
  <c r="C35" i="82"/>
  <c r="CD32" i="64"/>
  <c r="CC24" i="64"/>
  <c r="CE24" i="64"/>
  <c r="CH47" i="64"/>
  <c r="CB23" i="64"/>
  <c r="CC36" i="64"/>
  <c r="CE31" i="64"/>
  <c r="F42" i="82"/>
  <c r="CD19" i="64"/>
  <c r="CD63" i="64"/>
  <c r="CE15" i="64"/>
  <c r="CF19" i="64"/>
  <c r="CB54" i="64"/>
  <c r="CE60" i="64"/>
  <c r="CD11" i="64"/>
  <c r="CB20" i="64"/>
  <c r="F10" i="102"/>
  <c r="F8" i="125" s="1"/>
  <c r="F22" i="102"/>
  <c r="X22" i="102" s="1"/>
  <c r="E53" i="125"/>
  <c r="C61" i="125"/>
  <c r="E24" i="82"/>
  <c r="CI10" i="64"/>
  <c r="D7" i="82"/>
  <c r="CD59" i="64"/>
  <c r="CC12" i="64"/>
  <c r="CC41" i="64"/>
  <c r="CD39" i="64"/>
  <c r="CG9" i="64"/>
  <c r="CE6" i="64"/>
  <c r="J5" i="102" s="1"/>
  <c r="CC6" i="64"/>
  <c r="CI30" i="64"/>
  <c r="CB52" i="64"/>
  <c r="CB8" i="64"/>
  <c r="CD22" i="64"/>
  <c r="D26" i="82"/>
  <c r="CE28" i="64"/>
  <c r="CM58" i="64"/>
  <c r="CR58" i="64" s="1"/>
  <c r="F54" i="125"/>
  <c r="CL14" i="64"/>
  <c r="CQ14" i="64" s="1"/>
  <c r="CG50" i="64"/>
  <c r="CL36" i="64"/>
  <c r="C35" i="102" s="1"/>
  <c r="CI63" i="64"/>
  <c r="F22" i="82"/>
  <c r="D30" i="82"/>
  <c r="CG15" i="64"/>
  <c r="CB31" i="64"/>
  <c r="CD48" i="64"/>
  <c r="CG26" i="64"/>
  <c r="CC63" i="64"/>
  <c r="CE36" i="64"/>
  <c r="CB24" i="64"/>
  <c r="CI51" i="64"/>
  <c r="CB43" i="64"/>
  <c r="C6" i="82"/>
  <c r="E39" i="82"/>
  <c r="CD15" i="64"/>
  <c r="E33" i="82"/>
  <c r="CB40" i="64"/>
  <c r="CF7" i="64"/>
  <c r="CC40" i="64"/>
  <c r="CC23" i="64"/>
  <c r="CH44" i="64"/>
  <c r="CE37" i="64"/>
  <c r="CI57" i="64"/>
  <c r="F32" i="82"/>
  <c r="CE61" i="64"/>
  <c r="CG55" i="64"/>
  <c r="F61" i="102"/>
  <c r="E39" i="102"/>
  <c r="E37" i="125" s="1"/>
  <c r="CR28" i="64"/>
  <c r="CN25" i="64"/>
  <c r="E24" i="102" s="1"/>
  <c r="CO10" i="64"/>
  <c r="F9" i="102" s="1"/>
  <c r="D34" i="82"/>
  <c r="CM8" i="64"/>
  <c r="D7" i="102" s="1"/>
  <c r="CF64" i="64"/>
  <c r="CC45" i="64"/>
  <c r="CC17" i="64"/>
  <c r="CE45" i="64"/>
  <c r="CC64" i="64"/>
  <c r="CH45" i="64"/>
  <c r="E17" i="82"/>
  <c r="CI39" i="64"/>
  <c r="E44" i="82"/>
  <c r="CE25" i="64"/>
  <c r="CB56" i="64"/>
  <c r="CE46" i="64"/>
  <c r="CE64" i="64"/>
  <c r="CH56" i="64"/>
  <c r="CD6" i="64"/>
  <c r="I5" i="102" s="1"/>
  <c r="D51" i="82"/>
  <c r="CE56" i="64"/>
  <c r="CG27" i="64"/>
  <c r="D27" i="82"/>
  <c r="CD35" i="64"/>
  <c r="CB35" i="64"/>
  <c r="CC10" i="64"/>
  <c r="CB58" i="64"/>
  <c r="CN55" i="64"/>
  <c r="CS55" i="64" s="1"/>
  <c r="CS29" i="64"/>
  <c r="F21" i="102"/>
  <c r="X21" i="102" s="1"/>
  <c r="F40" i="102"/>
  <c r="F38" i="125" s="1"/>
  <c r="CQ12" i="64"/>
  <c r="CR42" i="64"/>
  <c r="CT17" i="64"/>
  <c r="CS45" i="64"/>
  <c r="CQ46" i="64"/>
  <c r="D49" i="82"/>
  <c r="CI23" i="64"/>
  <c r="CG31" i="64"/>
  <c r="CM15" i="64"/>
  <c r="D14" i="102" s="1"/>
  <c r="CB15" i="64"/>
  <c r="D48" i="82"/>
  <c r="CE48" i="64"/>
  <c r="CE26" i="64"/>
  <c r="CD31" i="64"/>
  <c r="CD23" i="64"/>
  <c r="D25" i="82"/>
  <c r="CB63" i="64"/>
  <c r="CE14" i="64"/>
  <c r="CH24" i="64"/>
  <c r="CC43" i="64"/>
  <c r="CE47" i="64"/>
  <c r="E23" i="82"/>
  <c r="CF32" i="64"/>
  <c r="CE49" i="64"/>
  <c r="CC34" i="64"/>
  <c r="CD38" i="64"/>
  <c r="CH40" i="64"/>
  <c r="CB47" i="64"/>
  <c r="CC14" i="64"/>
  <c r="CD43" i="64"/>
  <c r="CI43" i="64"/>
  <c r="CE32" i="64"/>
  <c r="C31" i="82"/>
  <c r="CE34" i="64"/>
  <c r="CD50" i="64"/>
  <c r="CB50" i="64"/>
  <c r="CC38" i="64"/>
  <c r="CH34" i="64"/>
  <c r="CG54" i="64"/>
  <c r="F50" i="82"/>
  <c r="D53" i="82"/>
  <c r="E43" i="82"/>
  <c r="CE54" i="64"/>
  <c r="CD51" i="64"/>
  <c r="D36" i="82"/>
  <c r="F10" i="82"/>
  <c r="CC57" i="64"/>
  <c r="C18" i="82"/>
  <c r="CE20" i="64"/>
  <c r="CI33" i="64"/>
  <c r="CD33" i="64"/>
  <c r="CB61" i="64"/>
  <c r="D25" i="102"/>
  <c r="D25" i="103" s="1"/>
  <c r="D53" i="102"/>
  <c r="E33" i="102"/>
  <c r="W33" i="102" s="1"/>
  <c r="CS47" i="64"/>
  <c r="CR31" i="64"/>
  <c r="CT43" i="64"/>
  <c r="CS44" i="64"/>
  <c r="CR49" i="64"/>
  <c r="CG35" i="64"/>
  <c r="CG13" i="64"/>
  <c r="C63" i="82"/>
  <c r="CF12" i="64"/>
  <c r="CE59" i="64"/>
  <c r="CD30" i="64"/>
  <c r="CF46" i="64"/>
  <c r="D8" i="82"/>
  <c r="CI17" i="64"/>
  <c r="CB18" i="64"/>
  <c r="CI53" i="64"/>
  <c r="CD46" i="64"/>
  <c r="CD12" i="64"/>
  <c r="CD41" i="64"/>
  <c r="CH18" i="64"/>
  <c r="CI41" i="64"/>
  <c r="CD13" i="64"/>
  <c r="CF59" i="64"/>
  <c r="CB25" i="64"/>
  <c r="CC39" i="64"/>
  <c r="CD64" i="64"/>
  <c r="CE18" i="64"/>
  <c r="CC25" i="64"/>
  <c r="CD9" i="64"/>
  <c r="F40" i="82"/>
  <c r="CB9" i="64"/>
  <c r="CE9" i="64"/>
  <c r="CC18" i="64"/>
  <c r="CD42" i="64"/>
  <c r="CB30" i="64"/>
  <c r="CB13" i="64"/>
  <c r="CB22" i="64"/>
  <c r="CG42" i="64"/>
  <c r="CC30" i="64"/>
  <c r="CB41" i="64"/>
  <c r="F29" i="82"/>
  <c r="CC46" i="64"/>
  <c r="CE12" i="64"/>
  <c r="CC56" i="64"/>
  <c r="D41" i="82"/>
  <c r="CH29" i="64"/>
  <c r="CD16" i="64"/>
  <c r="CC22" i="64"/>
  <c r="F21" i="82"/>
  <c r="CE8" i="64"/>
  <c r="CB21" i="64"/>
  <c r="E28" i="82"/>
  <c r="CE29" i="64"/>
  <c r="CD27" i="64"/>
  <c r="CE27" i="64"/>
  <c r="CE42" i="64"/>
  <c r="CE35" i="64"/>
  <c r="CG16" i="64"/>
  <c r="D15" i="82"/>
  <c r="CB16" i="64"/>
  <c r="CB10" i="64"/>
  <c r="CD10" i="64"/>
  <c r="CE21" i="64"/>
  <c r="CE58" i="64"/>
  <c r="CM21" i="64"/>
  <c r="D20" i="102" s="1"/>
  <c r="V25" i="102"/>
  <c r="V53" i="102"/>
  <c r="W28" i="102"/>
  <c r="E26" i="125"/>
  <c r="U11" i="102"/>
  <c r="C9" i="125"/>
  <c r="V26" i="102"/>
  <c r="D24" i="125"/>
  <c r="W17" i="102"/>
  <c r="E15" i="125"/>
  <c r="V41" i="102"/>
  <c r="D39" i="125"/>
  <c r="W44" i="102"/>
  <c r="E42" i="125"/>
  <c r="U45" i="102"/>
  <c r="C43" i="125"/>
  <c r="X50" i="102"/>
  <c r="F48" i="125"/>
  <c r="U6" i="102"/>
  <c r="C4" i="125"/>
  <c r="V36" i="102"/>
  <c r="D34" i="125"/>
  <c r="U31" i="102"/>
  <c r="C29" i="125"/>
  <c r="X42" i="102"/>
  <c r="F40" i="125"/>
  <c r="V30" i="102"/>
  <c r="D28" i="125"/>
  <c r="W46" i="102"/>
  <c r="E44" i="125"/>
  <c r="V48" i="102"/>
  <c r="D46" i="125"/>
  <c r="W43" i="102"/>
  <c r="E41" i="125"/>
  <c r="X52" i="102"/>
  <c r="F50" i="125"/>
  <c r="V27" i="102"/>
  <c r="D25" i="125"/>
  <c r="F16" i="103"/>
  <c r="F14" i="125"/>
  <c r="V12" i="102"/>
  <c r="D10" i="125"/>
  <c r="U64" i="102"/>
  <c r="C62" i="125"/>
  <c r="CE19" i="64"/>
  <c r="CE38" i="64"/>
  <c r="CC51" i="64"/>
  <c r="CC47" i="64"/>
  <c r="CG49" i="64"/>
  <c r="E46" i="82"/>
  <c r="CD36" i="64"/>
  <c r="CD49" i="64"/>
  <c r="CE50" i="64"/>
  <c r="C37" i="82"/>
  <c r="CB34" i="64"/>
  <c r="CE7" i="64"/>
  <c r="CC32" i="64"/>
  <c r="CC19" i="64"/>
  <c r="CD7" i="64"/>
  <c r="CF38" i="64"/>
  <c r="CC44" i="64"/>
  <c r="CD54" i="64"/>
  <c r="CD60" i="64"/>
  <c r="CD62" i="64"/>
  <c r="CE44" i="64"/>
  <c r="CI62" i="64"/>
  <c r="CB62" i="64"/>
  <c r="CC62" i="64"/>
  <c r="CC11" i="64"/>
  <c r="CG37" i="64"/>
  <c r="CB37" i="64"/>
  <c r="CI11" i="64"/>
  <c r="CG60" i="64"/>
  <c r="CD37" i="64"/>
  <c r="CB57" i="64"/>
  <c r="CD57" i="64"/>
  <c r="CD20" i="64"/>
  <c r="CB33" i="64"/>
  <c r="CC33" i="64"/>
  <c r="CD61" i="64"/>
  <c r="CB11" i="64"/>
  <c r="D12" i="82"/>
  <c r="F16" i="82"/>
  <c r="CD17" i="64"/>
  <c r="F52" i="82"/>
  <c r="CC65" i="64"/>
  <c r="CD28" i="64"/>
  <c r="CI55" i="64"/>
  <c r="CR13" i="64"/>
  <c r="CQ65" i="64"/>
  <c r="CE13" i="64"/>
  <c r="CB17" i="64"/>
  <c r="D20" i="82"/>
  <c r="CD21" i="64"/>
  <c r="CE65" i="64"/>
  <c r="CB28" i="64"/>
  <c r="CF65" i="64"/>
  <c r="CD65" i="64"/>
  <c r="CG28" i="64"/>
  <c r="CB53" i="64"/>
  <c r="CC53" i="64"/>
  <c r="CH55" i="64"/>
  <c r="CT53" i="64"/>
  <c r="CD53" i="64"/>
  <c r="C45" i="103"/>
  <c r="D26" i="103"/>
  <c r="C31" i="103"/>
  <c r="F42" i="103"/>
  <c r="D12" i="103"/>
  <c r="C11" i="103"/>
  <c r="E46" i="103"/>
  <c r="CQ55" i="64"/>
  <c r="C54" i="102"/>
  <c r="CS25" i="64"/>
  <c r="X16" i="102"/>
  <c r="CR55" i="64"/>
  <c r="D54" i="102"/>
  <c r="D27" i="103"/>
  <c r="CT63" i="64"/>
  <c r="F62" i="102"/>
  <c r="D48" i="103"/>
  <c r="CR50" i="64"/>
  <c r="D49" i="102"/>
  <c r="D30" i="103"/>
  <c r="E17" i="103"/>
  <c r="C6" i="103"/>
  <c r="E44" i="103"/>
  <c r="CT55" i="64"/>
  <c r="F54" i="102"/>
  <c r="W39" i="102"/>
  <c r="CR35" i="64"/>
  <c r="D34" i="102"/>
  <c r="D36" i="103"/>
  <c r="D41" i="103"/>
  <c r="F50" i="103"/>
  <c r="CQ19" i="64"/>
  <c r="C18" i="102"/>
  <c r="CT33" i="64"/>
  <c r="F32" i="102"/>
  <c r="F52" i="103"/>
  <c r="D19" i="102"/>
  <c r="E28" i="103"/>
  <c r="E43" i="103"/>
  <c r="C58" i="82"/>
  <c r="C64" i="82"/>
  <c r="E55" i="82"/>
  <c r="F62" i="82"/>
  <c r="C54" i="82"/>
  <c r="D54" i="82"/>
  <c r="D57" i="82"/>
  <c r="F54" i="82"/>
  <c r="W55" i="102"/>
  <c r="F56" i="82"/>
  <c r="C64" i="103"/>
  <c r="D59" i="82"/>
  <c r="D60" i="82"/>
  <c r="CM61" i="64"/>
  <c r="CG61" i="64"/>
  <c r="E55" i="103"/>
  <c r="CR20" i="64"/>
  <c r="CG20" i="64"/>
  <c r="D19" i="82"/>
  <c r="F36" i="82"/>
  <c r="C48" i="82"/>
  <c r="CL48" i="64"/>
  <c r="C47" i="82"/>
  <c r="CF48" i="64"/>
  <c r="CL11" i="64" l="1"/>
  <c r="CQ11" i="64" s="1"/>
  <c r="G10" i="102"/>
  <c r="C56" i="82"/>
  <c r="G56" i="102"/>
  <c r="CL62" i="64"/>
  <c r="C61" i="102" s="1"/>
  <c r="G61" i="102"/>
  <c r="CO44" i="64"/>
  <c r="F43" i="102" s="1"/>
  <c r="J43" i="102"/>
  <c r="CM44" i="64"/>
  <c r="CR44" i="64" s="1"/>
  <c r="H43" i="102"/>
  <c r="D31" i="82"/>
  <c r="H31" i="102"/>
  <c r="CL34" i="64"/>
  <c r="CQ34" i="64" s="1"/>
  <c r="G33" i="102"/>
  <c r="CO50" i="64"/>
  <c r="F49" i="102" s="1"/>
  <c r="J49" i="102"/>
  <c r="CN36" i="64"/>
  <c r="CS36" i="64" s="1"/>
  <c r="I35" i="102"/>
  <c r="CM51" i="64"/>
  <c r="D50" i="102" s="1"/>
  <c r="H50" i="102"/>
  <c r="CO19" i="64"/>
  <c r="F18" i="102" s="1"/>
  <c r="J18" i="102"/>
  <c r="CI58" i="64"/>
  <c r="J57" i="102"/>
  <c r="CN10" i="64"/>
  <c r="E9" i="102" s="1"/>
  <c r="I9" i="102"/>
  <c r="C15" i="82"/>
  <c r="G15" i="102"/>
  <c r="CO42" i="64"/>
  <c r="CT42" i="64" s="1"/>
  <c r="J41" i="102"/>
  <c r="CN27" i="64"/>
  <c r="CS27" i="64" s="1"/>
  <c r="I26" i="102"/>
  <c r="CO8" i="64"/>
  <c r="F7" i="102" s="1"/>
  <c r="J7" i="102"/>
  <c r="CM22" i="64"/>
  <c r="D21" i="102" s="1"/>
  <c r="H21" i="102"/>
  <c r="CM56" i="64"/>
  <c r="D55" i="102" s="1"/>
  <c r="H55" i="102"/>
  <c r="CM46" i="64"/>
  <c r="CR46" i="64" s="1"/>
  <c r="H45" i="102"/>
  <c r="CL41" i="64"/>
  <c r="CQ41" i="64" s="1"/>
  <c r="G40" i="102"/>
  <c r="CL13" i="64"/>
  <c r="C12" i="102" s="1"/>
  <c r="G12" i="102"/>
  <c r="CN42" i="64"/>
  <c r="CS42" i="64" s="1"/>
  <c r="I41" i="102"/>
  <c r="CO9" i="64"/>
  <c r="CT9" i="64" s="1"/>
  <c r="J8" i="102"/>
  <c r="CG25" i="64"/>
  <c r="H24" i="102"/>
  <c r="CH64" i="64"/>
  <c r="I63" i="102"/>
  <c r="CL25" i="64"/>
  <c r="CQ25" i="64" s="1"/>
  <c r="G24" i="102"/>
  <c r="CN13" i="64"/>
  <c r="E12" i="102" s="1"/>
  <c r="I12" i="102"/>
  <c r="CN12" i="64"/>
  <c r="I11" i="102"/>
  <c r="CO59" i="64"/>
  <c r="F58" i="102" s="1"/>
  <c r="J58" i="102"/>
  <c r="CN33" i="64"/>
  <c r="CS33" i="64" s="1"/>
  <c r="I32" i="102"/>
  <c r="CO20" i="64"/>
  <c r="CT20" i="64" s="1"/>
  <c r="J19" i="102"/>
  <c r="D56" i="82"/>
  <c r="H56" i="102"/>
  <c r="CO54" i="64"/>
  <c r="CT54" i="64" s="1"/>
  <c r="J53" i="102"/>
  <c r="CM38" i="64"/>
  <c r="CR38" i="64" s="1"/>
  <c r="H37" i="102"/>
  <c r="E49" i="82"/>
  <c r="I49" i="102"/>
  <c r="CM14" i="64"/>
  <c r="D13" i="102" s="1"/>
  <c r="H13" i="102"/>
  <c r="CM34" i="64"/>
  <c r="CR34" i="64" s="1"/>
  <c r="H33" i="102"/>
  <c r="CO47" i="64"/>
  <c r="F46" i="102" s="1"/>
  <c r="J46" i="102"/>
  <c r="CL63" i="64"/>
  <c r="C62" i="102" s="1"/>
  <c r="G62" i="102"/>
  <c r="CH23" i="64"/>
  <c r="I22" i="102"/>
  <c r="CO26" i="64"/>
  <c r="CT26" i="64" s="1"/>
  <c r="J25" i="102"/>
  <c r="CM10" i="64"/>
  <c r="CR10" i="64" s="1"/>
  <c r="H9" i="102"/>
  <c r="E34" i="82"/>
  <c r="I34" i="102"/>
  <c r="CO46" i="64"/>
  <c r="CT46" i="64" s="1"/>
  <c r="J45" i="102"/>
  <c r="F24" i="82"/>
  <c r="J24" i="102"/>
  <c r="CO45" i="64"/>
  <c r="F44" i="102" s="1"/>
  <c r="J44" i="102"/>
  <c r="CM45" i="64"/>
  <c r="D44" i="102" s="1"/>
  <c r="H44" i="102"/>
  <c r="F60" i="82"/>
  <c r="J60" i="102"/>
  <c r="CM40" i="64"/>
  <c r="D39" i="102" s="1"/>
  <c r="H39" i="102"/>
  <c r="CL40" i="64"/>
  <c r="CQ40" i="64" s="1"/>
  <c r="G39" i="102"/>
  <c r="CN15" i="64"/>
  <c r="E14" i="102" s="1"/>
  <c r="I14" i="102"/>
  <c r="CI36" i="64"/>
  <c r="J35" i="102"/>
  <c r="CL31" i="64"/>
  <c r="C30" i="102" s="1"/>
  <c r="G30" i="102"/>
  <c r="CO28" i="64"/>
  <c r="F27" i="102" s="1"/>
  <c r="J27" i="102"/>
  <c r="CN22" i="64"/>
  <c r="CS22" i="64" s="1"/>
  <c r="I21" i="102"/>
  <c r="CL52" i="64"/>
  <c r="CQ52" i="64" s="1"/>
  <c r="G51" i="102"/>
  <c r="CG6" i="64"/>
  <c r="H5" i="102"/>
  <c r="CM41" i="64"/>
  <c r="CR41" i="64" s="1"/>
  <c r="H40" i="102"/>
  <c r="CN59" i="64"/>
  <c r="CS59" i="64" s="1"/>
  <c r="I58" i="102"/>
  <c r="CN11" i="64"/>
  <c r="CS11" i="64" s="1"/>
  <c r="I10" i="102"/>
  <c r="CF54" i="64"/>
  <c r="G53" i="102"/>
  <c r="CO15" i="64"/>
  <c r="F14" i="102" s="1"/>
  <c r="J14" i="102"/>
  <c r="CN19" i="64"/>
  <c r="E18" i="102" s="1"/>
  <c r="I18" i="102"/>
  <c r="CO31" i="64"/>
  <c r="CT31" i="64" s="1"/>
  <c r="J30" i="102"/>
  <c r="CL23" i="64"/>
  <c r="G22" i="102"/>
  <c r="CO24" i="64"/>
  <c r="F23" i="102" s="1"/>
  <c r="J23" i="102"/>
  <c r="CN32" i="64"/>
  <c r="E31" i="102" s="1"/>
  <c r="I31" i="102"/>
  <c r="CN58" i="64"/>
  <c r="CS58" i="64" s="1"/>
  <c r="I57" i="102"/>
  <c r="CO40" i="64"/>
  <c r="F39" i="102" s="1"/>
  <c r="J39" i="102"/>
  <c r="CM7" i="64"/>
  <c r="D6" i="102" s="1"/>
  <c r="H6" i="102"/>
  <c r="CL26" i="64"/>
  <c r="C25" i="102" s="1"/>
  <c r="G25" i="102"/>
  <c r="CL60" i="64"/>
  <c r="CQ60" i="64" s="1"/>
  <c r="G59" i="102"/>
  <c r="CL27" i="64"/>
  <c r="CQ27" i="64" s="1"/>
  <c r="G26" i="102"/>
  <c r="CH8" i="64"/>
  <c r="I7" i="102"/>
  <c r="CL45" i="64"/>
  <c r="C44" i="102" s="1"/>
  <c r="G44" i="102"/>
  <c r="CL29" i="64"/>
  <c r="CQ29" i="64" s="1"/>
  <c r="G28" i="102"/>
  <c r="CO52" i="64"/>
  <c r="CT52" i="64" s="1"/>
  <c r="J51" i="102"/>
  <c r="C5" i="82"/>
  <c r="G5" i="102"/>
  <c r="CN52" i="64"/>
  <c r="E51" i="102" s="1"/>
  <c r="I51" i="102"/>
  <c r="CN26" i="64"/>
  <c r="I25" i="102"/>
  <c r="CG53" i="64"/>
  <c r="H52" i="102"/>
  <c r="CO65" i="64"/>
  <c r="CT65" i="64" s="1"/>
  <c r="J64" i="102"/>
  <c r="CO13" i="64"/>
  <c r="CT13" i="64" s="1"/>
  <c r="J12" i="102"/>
  <c r="CN28" i="64"/>
  <c r="E27" i="102" s="1"/>
  <c r="I27" i="102"/>
  <c r="D32" i="82"/>
  <c r="H32" i="102"/>
  <c r="CN20" i="64"/>
  <c r="CS20" i="64" s="1"/>
  <c r="I19" i="102"/>
  <c r="CL37" i="64"/>
  <c r="CQ37" i="64" s="1"/>
  <c r="G36" i="102"/>
  <c r="D10" i="82"/>
  <c r="H10" i="102"/>
  <c r="CN60" i="64"/>
  <c r="E59" i="102" s="1"/>
  <c r="I59" i="102"/>
  <c r="CN7" i="64"/>
  <c r="E6" i="102" s="1"/>
  <c r="I6" i="102"/>
  <c r="CN53" i="64"/>
  <c r="CS53" i="64" s="1"/>
  <c r="I52" i="102"/>
  <c r="CF53" i="64"/>
  <c r="G52" i="102"/>
  <c r="CN65" i="64"/>
  <c r="CS65" i="64" s="1"/>
  <c r="I64" i="102"/>
  <c r="CL28" i="64"/>
  <c r="CQ28" i="64" s="1"/>
  <c r="G27" i="102"/>
  <c r="CN21" i="64"/>
  <c r="E20" i="102" s="1"/>
  <c r="I20" i="102"/>
  <c r="C16" i="82"/>
  <c r="G16" i="102"/>
  <c r="CM65" i="64"/>
  <c r="D64" i="102" s="1"/>
  <c r="H64" i="102"/>
  <c r="CN17" i="64"/>
  <c r="CS17" i="64" s="1"/>
  <c r="I16" i="102"/>
  <c r="CN61" i="64"/>
  <c r="I60" i="102"/>
  <c r="CF33" i="64"/>
  <c r="G32" i="102"/>
  <c r="CN57" i="64"/>
  <c r="CS57" i="64" s="1"/>
  <c r="I56" i="102"/>
  <c r="CN37" i="64"/>
  <c r="CS37" i="64" s="1"/>
  <c r="I36" i="102"/>
  <c r="CM62" i="64"/>
  <c r="CR62" i="64" s="1"/>
  <c r="H61" i="102"/>
  <c r="CN62" i="64"/>
  <c r="CS62" i="64" s="1"/>
  <c r="I61" i="102"/>
  <c r="E53" i="82"/>
  <c r="I53" i="102"/>
  <c r="CM19" i="64"/>
  <c r="CR19" i="64" s="1"/>
  <c r="H18" i="102"/>
  <c r="CO7" i="64"/>
  <c r="CT7" i="64" s="1"/>
  <c r="J6" i="102"/>
  <c r="CN49" i="64"/>
  <c r="E48" i="102" s="1"/>
  <c r="I48" i="102"/>
  <c r="CM47" i="64"/>
  <c r="CR47" i="64" s="1"/>
  <c r="H46" i="102"/>
  <c r="CO38" i="64"/>
  <c r="F37" i="102" s="1"/>
  <c r="J37" i="102"/>
  <c r="CI21" i="64"/>
  <c r="J20" i="102"/>
  <c r="CL10" i="64"/>
  <c r="CQ10" i="64" s="1"/>
  <c r="G9" i="102"/>
  <c r="CO35" i="64"/>
  <c r="F34" i="102" s="1"/>
  <c r="J34" i="102"/>
  <c r="CO27" i="64"/>
  <c r="F26" i="102" s="1"/>
  <c r="J26" i="102"/>
  <c r="CO29" i="64"/>
  <c r="CT29" i="64" s="1"/>
  <c r="J28" i="102"/>
  <c r="CL21" i="64"/>
  <c r="G20" i="102"/>
  <c r="CN16" i="64"/>
  <c r="E15" i="102" s="1"/>
  <c r="I15" i="102"/>
  <c r="CO12" i="64"/>
  <c r="CT12" i="64" s="1"/>
  <c r="J11" i="102"/>
  <c r="CM30" i="64"/>
  <c r="CR30" i="64" s="1"/>
  <c r="H29" i="102"/>
  <c r="CL22" i="64"/>
  <c r="C21" i="102" s="1"/>
  <c r="G21" i="102"/>
  <c r="CL30" i="64"/>
  <c r="CQ30" i="64" s="1"/>
  <c r="G29" i="102"/>
  <c r="CM18" i="64"/>
  <c r="D17" i="102" s="1"/>
  <c r="H17" i="102"/>
  <c r="CL9" i="64"/>
  <c r="CQ9" i="64" s="1"/>
  <c r="G8" i="102"/>
  <c r="CH9" i="64"/>
  <c r="I8" i="102"/>
  <c r="CO18" i="64"/>
  <c r="CT18" i="64" s="1"/>
  <c r="J17" i="102"/>
  <c r="D38" i="82"/>
  <c r="H38" i="102"/>
  <c r="CN41" i="64"/>
  <c r="CS41" i="64" s="1"/>
  <c r="I40" i="102"/>
  <c r="CN46" i="64"/>
  <c r="CS46" i="64" s="1"/>
  <c r="I45" i="102"/>
  <c r="CL18" i="64"/>
  <c r="C17" i="102" s="1"/>
  <c r="G17" i="102"/>
  <c r="CN30" i="64"/>
  <c r="CS30" i="64" s="1"/>
  <c r="I29" i="102"/>
  <c r="CF61" i="64"/>
  <c r="G60" i="102"/>
  <c r="CH51" i="64"/>
  <c r="I50" i="102"/>
  <c r="CL50" i="64"/>
  <c r="C49" i="102" s="1"/>
  <c r="G49" i="102"/>
  <c r="F33" i="82"/>
  <c r="J33" i="102"/>
  <c r="CO32" i="64"/>
  <c r="CT32" i="64" s="1"/>
  <c r="J31" i="102"/>
  <c r="CN43" i="64"/>
  <c r="E42" i="102" s="1"/>
  <c r="I42" i="102"/>
  <c r="C46" i="82"/>
  <c r="G46" i="102"/>
  <c r="CN38" i="64"/>
  <c r="E37" i="102" s="1"/>
  <c r="I37" i="102"/>
  <c r="CO49" i="64"/>
  <c r="F48" i="102" s="1"/>
  <c r="J48" i="102"/>
  <c r="CM43" i="64"/>
  <c r="D42" i="102" s="1"/>
  <c r="H42" i="102"/>
  <c r="CO14" i="64"/>
  <c r="CT14" i="64" s="1"/>
  <c r="J13" i="102"/>
  <c r="CN31" i="64"/>
  <c r="E30" i="102" s="1"/>
  <c r="I30" i="102"/>
  <c r="CO48" i="64"/>
  <c r="J47" i="102"/>
  <c r="CL15" i="64"/>
  <c r="CQ15" i="64" s="1"/>
  <c r="G14" i="102"/>
  <c r="C57" i="82"/>
  <c r="G57" i="102"/>
  <c r="CL35" i="64"/>
  <c r="C34" i="102" s="1"/>
  <c r="G34" i="102"/>
  <c r="CO56" i="64"/>
  <c r="F55" i="102" s="1"/>
  <c r="J55" i="102"/>
  <c r="F63" i="82"/>
  <c r="J63" i="102"/>
  <c r="CL56" i="64"/>
  <c r="CQ56" i="64" s="1"/>
  <c r="G55" i="102"/>
  <c r="D63" i="82"/>
  <c r="H63" i="102"/>
  <c r="CM17" i="64"/>
  <c r="CR17" i="64" s="1"/>
  <c r="H16" i="102"/>
  <c r="CO37" i="64"/>
  <c r="CT37" i="64" s="1"/>
  <c r="J36" i="102"/>
  <c r="CM23" i="64"/>
  <c r="D22" i="102" s="1"/>
  <c r="H22" i="102"/>
  <c r="CL43" i="64"/>
  <c r="C42" i="102" s="1"/>
  <c r="G42" i="102"/>
  <c r="CL24" i="64"/>
  <c r="CQ24" i="64" s="1"/>
  <c r="G23" i="102"/>
  <c r="CG63" i="64"/>
  <c r="H62" i="102"/>
  <c r="CN48" i="64"/>
  <c r="I47" i="102"/>
  <c r="CL8" i="64"/>
  <c r="C7" i="102" s="1"/>
  <c r="G7" i="102"/>
  <c r="CN39" i="64"/>
  <c r="I38" i="102"/>
  <c r="CG12" i="64"/>
  <c r="H11" i="102"/>
  <c r="CL20" i="64"/>
  <c r="CQ20" i="64" s="1"/>
  <c r="G19" i="102"/>
  <c r="CO60" i="64"/>
  <c r="CT60" i="64" s="1"/>
  <c r="J59" i="102"/>
  <c r="CH63" i="64"/>
  <c r="I62" i="102"/>
  <c r="D35" i="82"/>
  <c r="H35" i="102"/>
  <c r="CM24" i="64"/>
  <c r="CR24" i="64" s="1"/>
  <c r="H23" i="102"/>
  <c r="CL51" i="64"/>
  <c r="C50" i="102" s="1"/>
  <c r="G50" i="102"/>
  <c r="CL44" i="64"/>
  <c r="CQ44" i="64" s="1"/>
  <c r="G43" i="102"/>
  <c r="E13" i="82"/>
  <c r="I13" i="102"/>
  <c r="CG48" i="64"/>
  <c r="H47" i="102"/>
  <c r="CL49" i="64"/>
  <c r="G48" i="102"/>
  <c r="CO16" i="64"/>
  <c r="F15" i="102" s="1"/>
  <c r="J15" i="102"/>
  <c r="C38" i="82"/>
  <c r="G38" i="102"/>
  <c r="CM59" i="64"/>
  <c r="D58" i="102" s="1"/>
  <c r="H58" i="102"/>
  <c r="CL42" i="64"/>
  <c r="C41" i="102" s="1"/>
  <c r="G41" i="102"/>
  <c r="CM29" i="64"/>
  <c r="D28" i="102" s="1"/>
  <c r="H28" i="102"/>
  <c r="CR9" i="64"/>
  <c r="D8" i="102"/>
  <c r="CR52" i="64"/>
  <c r="D51" i="102"/>
  <c r="D15" i="102"/>
  <c r="CR16" i="64"/>
  <c r="F29" i="102"/>
  <c r="CT30" i="64"/>
  <c r="C58" i="102"/>
  <c r="C56" i="125" s="1"/>
  <c r="CQ59" i="64"/>
  <c r="CS24" i="64"/>
  <c r="E23" i="102"/>
  <c r="C37" i="102"/>
  <c r="CQ38" i="64"/>
  <c r="E25" i="82"/>
  <c r="E6" i="82"/>
  <c r="CT47" i="64"/>
  <c r="C33" i="102"/>
  <c r="C33" i="103" s="1"/>
  <c r="CH26" i="64"/>
  <c r="CH10" i="64"/>
  <c r="CH33" i="64"/>
  <c r="CO58" i="64"/>
  <c r="F57" i="102" s="1"/>
  <c r="C28" i="102"/>
  <c r="E58" i="102"/>
  <c r="E56" i="125" s="1"/>
  <c r="CM64" i="64"/>
  <c r="CF20" i="64"/>
  <c r="C23" i="82"/>
  <c r="CQ43" i="64"/>
  <c r="E51" i="82"/>
  <c r="CS52" i="64"/>
  <c r="C55" i="102"/>
  <c r="C55" i="103" s="1"/>
  <c r="CF51" i="64"/>
  <c r="C36" i="102"/>
  <c r="U36" i="102" s="1"/>
  <c r="F19" i="125"/>
  <c r="F21" i="103"/>
  <c r="F51" i="82"/>
  <c r="F20" i="125"/>
  <c r="CS7" i="64"/>
  <c r="CL6" i="64"/>
  <c r="CQ6" i="64" s="1"/>
  <c r="CI19" i="64"/>
  <c r="CI20" i="64"/>
  <c r="D16" i="102"/>
  <c r="D14" i="125" s="1"/>
  <c r="E35" i="102"/>
  <c r="F22" i="103"/>
  <c r="CM63" i="64"/>
  <c r="CR63" i="64" s="1"/>
  <c r="CG17" i="64"/>
  <c r="CG64" i="64"/>
  <c r="CH48" i="64"/>
  <c r="CM48" i="64"/>
  <c r="CR48" i="64" s="1"/>
  <c r="CL39" i="64"/>
  <c r="C38" i="102" s="1"/>
  <c r="CO64" i="64"/>
  <c r="F63" i="102" s="1"/>
  <c r="CI64" i="64"/>
  <c r="CG36" i="64"/>
  <c r="CF56" i="64"/>
  <c r="D22" i="82"/>
  <c r="CI16" i="64"/>
  <c r="D62" i="82"/>
  <c r="CR51" i="64"/>
  <c r="C13" i="102"/>
  <c r="U13" i="102" s="1"/>
  <c r="C23" i="102"/>
  <c r="U23" i="102" s="1"/>
  <c r="F36" i="102"/>
  <c r="F34" i="125" s="1"/>
  <c r="F59" i="102"/>
  <c r="F59" i="103" s="1"/>
  <c r="CR23" i="64"/>
  <c r="CQ36" i="64"/>
  <c r="E39" i="103"/>
  <c r="CN64" i="64"/>
  <c r="CS64" i="64" s="1"/>
  <c r="CF63" i="64"/>
  <c r="CI59" i="64"/>
  <c r="D5" i="82"/>
  <c r="C53" i="82"/>
  <c r="E22" i="82"/>
  <c r="CF41" i="64"/>
  <c r="CF52" i="64"/>
  <c r="F27" i="82"/>
  <c r="F41" i="102"/>
  <c r="F39" i="125" s="1"/>
  <c r="F8" i="102"/>
  <c r="F6" i="125" s="1"/>
  <c r="CR56" i="64"/>
  <c r="C12" i="82"/>
  <c r="CI42" i="64"/>
  <c r="CS10" i="64"/>
  <c r="E26" i="102"/>
  <c r="E24" i="125" s="1"/>
  <c r="C24" i="82"/>
  <c r="C62" i="82"/>
  <c r="CI26" i="64"/>
  <c r="CI9" i="64"/>
  <c r="D45" i="82"/>
  <c r="CH50" i="64"/>
  <c r="C44" i="82"/>
  <c r="E58" i="82"/>
  <c r="C41" i="82"/>
  <c r="CH27" i="64"/>
  <c r="CN35" i="64"/>
  <c r="CS35" i="64" s="1"/>
  <c r="CG10" i="64"/>
  <c r="CT59" i="64"/>
  <c r="F25" i="102"/>
  <c r="X25" i="102" s="1"/>
  <c r="CR14" i="64"/>
  <c r="CQ13" i="64"/>
  <c r="CS13" i="64"/>
  <c r="D37" i="102"/>
  <c r="D35" i="125" s="1"/>
  <c r="D9" i="102"/>
  <c r="D7" i="125" s="1"/>
  <c r="E21" i="102"/>
  <c r="W21" i="102" s="1"/>
  <c r="CR29" i="64"/>
  <c r="E54" i="102"/>
  <c r="W54" i="102" s="1"/>
  <c r="CT8" i="64"/>
  <c r="D40" i="102"/>
  <c r="D38" i="125" s="1"/>
  <c r="CH52" i="64"/>
  <c r="CH59" i="64"/>
  <c r="E7" i="82"/>
  <c r="E18" i="82"/>
  <c r="CH22" i="64"/>
  <c r="CF29" i="64"/>
  <c r="C26" i="82"/>
  <c r="CF27" i="64"/>
  <c r="CT39" i="64"/>
  <c r="F51" i="102"/>
  <c r="F49" i="125" s="1"/>
  <c r="C59" i="102"/>
  <c r="C57" i="125" s="1"/>
  <c r="CT28" i="64"/>
  <c r="C51" i="102"/>
  <c r="U51" i="102" s="1"/>
  <c r="X10" i="102"/>
  <c r="CF6" i="64"/>
  <c r="E11" i="82"/>
  <c r="E47" i="82"/>
  <c r="CN23" i="64"/>
  <c r="CS23" i="64" s="1"/>
  <c r="E63" i="82"/>
  <c r="D47" i="82"/>
  <c r="D16" i="82"/>
  <c r="CF49" i="64"/>
  <c r="CF24" i="64"/>
  <c r="CI47" i="64"/>
  <c r="CF44" i="64"/>
  <c r="D24" i="82"/>
  <c r="CN14" i="64"/>
  <c r="E13" i="102" s="1"/>
  <c r="E41" i="82"/>
  <c r="D58" i="82"/>
  <c r="C55" i="82"/>
  <c r="CN63" i="64"/>
  <c r="E62" i="102" s="1"/>
  <c r="CG46" i="64"/>
  <c r="CF13" i="64"/>
  <c r="CN50" i="64"/>
  <c r="E49" i="102" s="1"/>
  <c r="C42" i="82"/>
  <c r="CF43" i="64"/>
  <c r="D55" i="82"/>
  <c r="CG56" i="64"/>
  <c r="CG22" i="64"/>
  <c r="D33" i="82"/>
  <c r="CG29" i="64"/>
  <c r="F59" i="82"/>
  <c r="CG23" i="64"/>
  <c r="CH35" i="64"/>
  <c r="F7" i="82"/>
  <c r="CI54" i="64"/>
  <c r="CF16" i="64"/>
  <c r="E9" i="82"/>
  <c r="D9" i="82"/>
  <c r="CI37" i="64"/>
  <c r="CQ45" i="64"/>
  <c r="C24" i="102"/>
  <c r="C22" i="125" s="1"/>
  <c r="CR15" i="64"/>
  <c r="E41" i="102"/>
  <c r="E39" i="125" s="1"/>
  <c r="CR59" i="64"/>
  <c r="CQ63" i="64"/>
  <c r="C43" i="102"/>
  <c r="U43" i="102" s="1"/>
  <c r="CQ51" i="64"/>
  <c r="CR22" i="64"/>
  <c r="F53" i="102"/>
  <c r="F51" i="125" s="1"/>
  <c r="D23" i="102"/>
  <c r="D21" i="125" s="1"/>
  <c r="C40" i="102"/>
  <c r="U40" i="102" s="1"/>
  <c r="CT16" i="64"/>
  <c r="D33" i="102"/>
  <c r="D31" i="125" s="1"/>
  <c r="E32" i="102"/>
  <c r="W32" i="102" s="1"/>
  <c r="CQ42" i="64"/>
  <c r="D45" i="102"/>
  <c r="V45" i="102" s="1"/>
  <c r="C19" i="102"/>
  <c r="C17" i="125" s="1"/>
  <c r="CG24" i="64"/>
  <c r="CG41" i="64"/>
  <c r="D23" i="82"/>
  <c r="CF45" i="64"/>
  <c r="C43" i="82"/>
  <c r="CH14" i="64"/>
  <c r="CM36" i="64"/>
  <c r="D35" i="102" s="1"/>
  <c r="D40" i="82"/>
  <c r="E62" i="82"/>
  <c r="CG59" i="64"/>
  <c r="C51" i="82"/>
  <c r="E21" i="82"/>
  <c r="D28" i="82"/>
  <c r="C50" i="82"/>
  <c r="CI60" i="64"/>
  <c r="CF42" i="64"/>
  <c r="F15" i="82"/>
  <c r="CI28" i="64"/>
  <c r="C19" i="82"/>
  <c r="E36" i="102"/>
  <c r="E34" i="125" s="1"/>
  <c r="E61" i="102"/>
  <c r="E59" i="125" s="1"/>
  <c r="E56" i="102"/>
  <c r="E54" i="125" s="1"/>
  <c r="CI52" i="64"/>
  <c r="F23" i="82"/>
  <c r="F39" i="82"/>
  <c r="F31" i="82"/>
  <c r="CI18" i="64"/>
  <c r="C28" i="82"/>
  <c r="C26" i="102"/>
  <c r="U26" i="102" s="1"/>
  <c r="CF10" i="64"/>
  <c r="F20" i="82"/>
  <c r="E36" i="82"/>
  <c r="CN6" i="64"/>
  <c r="E5" i="102" s="1"/>
  <c r="W5" i="102" s="1"/>
  <c r="CO6" i="64"/>
  <c r="F5" i="102" s="1"/>
  <c r="F3" i="125" s="1"/>
  <c r="CF23" i="64"/>
  <c r="CF39" i="64"/>
  <c r="CI24" i="64"/>
  <c r="CF31" i="64"/>
  <c r="CG47" i="64"/>
  <c r="CN8" i="64"/>
  <c r="E7" i="102" s="1"/>
  <c r="CF60" i="64"/>
  <c r="CL61" i="64"/>
  <c r="CQ61" i="64" s="1"/>
  <c r="F6" i="102"/>
  <c r="F4" i="125" s="1"/>
  <c r="CT24" i="64"/>
  <c r="CQ26" i="64"/>
  <c r="F30" i="102"/>
  <c r="F28" i="125" s="1"/>
  <c r="E57" i="102"/>
  <c r="E55" i="125" s="1"/>
  <c r="F28" i="102"/>
  <c r="F26" i="125" s="1"/>
  <c r="CR7" i="64"/>
  <c r="D46" i="102"/>
  <c r="V46" i="102" s="1"/>
  <c r="CT35" i="64"/>
  <c r="CS49" i="64"/>
  <c r="CM6" i="64"/>
  <c r="CM12" i="64"/>
  <c r="D11" i="102" s="1"/>
  <c r="CO36" i="64"/>
  <c r="F35" i="102" s="1"/>
  <c r="CH31" i="64"/>
  <c r="D6" i="82"/>
  <c r="CI40" i="64"/>
  <c r="CF21" i="64"/>
  <c r="C27" i="82"/>
  <c r="CF28" i="64"/>
  <c r="CI29" i="64"/>
  <c r="E10" i="82"/>
  <c r="CH11" i="64"/>
  <c r="C59" i="82"/>
  <c r="E60" i="82"/>
  <c r="E57" i="82"/>
  <c r="CT15" i="64"/>
  <c r="F45" i="102"/>
  <c r="F43" i="125" s="1"/>
  <c r="CS43" i="64"/>
  <c r="CT40" i="64"/>
  <c r="CQ35" i="64"/>
  <c r="CF26" i="64"/>
  <c r="CI48" i="64"/>
  <c r="CH39" i="64"/>
  <c r="CG7" i="64"/>
  <c r="E31" i="82"/>
  <c r="CH19" i="64"/>
  <c r="F30" i="82"/>
  <c r="C25" i="82"/>
  <c r="F17" i="82"/>
  <c r="E8" i="82"/>
  <c r="CH6" i="64"/>
  <c r="E45" i="82"/>
  <c r="CO25" i="64"/>
  <c r="F24" i="102" s="1"/>
  <c r="CI25" i="64"/>
  <c r="CH7" i="64"/>
  <c r="CL54" i="64"/>
  <c r="C53" i="102" s="1"/>
  <c r="CG11" i="64"/>
  <c r="CM11" i="64"/>
  <c r="D10" i="102" s="1"/>
  <c r="CH58" i="64"/>
  <c r="CO21" i="64"/>
  <c r="F20" i="102" s="1"/>
  <c r="F18" i="125" s="1"/>
  <c r="CR21" i="64"/>
  <c r="CT10" i="64"/>
  <c r="CS32" i="64"/>
  <c r="E40" i="102"/>
  <c r="E38" i="125" s="1"/>
  <c r="C10" i="102"/>
  <c r="C8" i="125" s="1"/>
  <c r="E10" i="102"/>
  <c r="E8" i="125" s="1"/>
  <c r="CR40" i="64"/>
  <c r="CT45" i="64"/>
  <c r="C14" i="102"/>
  <c r="C12" i="125" s="1"/>
  <c r="CR43" i="64"/>
  <c r="CQ8" i="64"/>
  <c r="CS19" i="64"/>
  <c r="C8" i="102"/>
  <c r="U8" i="102" s="1"/>
  <c r="CS15" i="64"/>
  <c r="F13" i="102"/>
  <c r="X13" i="102" s="1"/>
  <c r="F10" i="103"/>
  <c r="CT44" i="64"/>
  <c r="CS38" i="64"/>
  <c r="D43" i="102"/>
  <c r="D43" i="103" s="1"/>
  <c r="CG39" i="64"/>
  <c r="F35" i="82"/>
  <c r="C22" i="82"/>
  <c r="E16" i="82"/>
  <c r="E29" i="82"/>
  <c r="D11" i="82"/>
  <c r="CI31" i="64"/>
  <c r="CF30" i="64"/>
  <c r="D44" i="82"/>
  <c r="F48" i="82"/>
  <c r="CH32" i="64"/>
  <c r="CI46" i="64"/>
  <c r="E42" i="82"/>
  <c r="C30" i="82"/>
  <c r="CH15" i="64"/>
  <c r="CF47" i="64"/>
  <c r="CI15" i="64"/>
  <c r="F14" i="82"/>
  <c r="CI14" i="64"/>
  <c r="CF40" i="64"/>
  <c r="E48" i="82"/>
  <c r="C49" i="82"/>
  <c r="C7" i="82"/>
  <c r="CH16" i="64"/>
  <c r="CI56" i="64"/>
  <c r="CH21" i="64"/>
  <c r="F26" i="82"/>
  <c r="D64" i="82"/>
  <c r="CH65" i="64"/>
  <c r="E64" i="82"/>
  <c r="C34" i="82"/>
  <c r="CI35" i="64"/>
  <c r="CH53" i="64"/>
  <c r="CL53" i="64"/>
  <c r="CQ53" i="64" s="1"/>
  <c r="C60" i="82"/>
  <c r="CO61" i="64"/>
  <c r="F60" i="102" s="1"/>
  <c r="CF58" i="64"/>
  <c r="CS31" i="64"/>
  <c r="CR8" i="64"/>
  <c r="CR65" i="64"/>
  <c r="E64" i="102"/>
  <c r="W64" i="102" s="1"/>
  <c r="CT56" i="64"/>
  <c r="CR45" i="64"/>
  <c r="CQ31" i="64"/>
  <c r="F17" i="102"/>
  <c r="X17" i="102" s="1"/>
  <c r="D57" i="102"/>
  <c r="D55" i="125" s="1"/>
  <c r="CT49" i="64"/>
  <c r="C39" i="102"/>
  <c r="C37" i="125" s="1"/>
  <c r="E52" i="102"/>
  <c r="E50" i="125" s="1"/>
  <c r="C9" i="102"/>
  <c r="C7" i="125" s="1"/>
  <c r="CS16" i="64"/>
  <c r="CQ50" i="64"/>
  <c r="CT27" i="64"/>
  <c r="D18" i="102"/>
  <c r="D16" i="125" s="1"/>
  <c r="F31" i="102"/>
  <c r="F29" i="125" s="1"/>
  <c r="CQ22" i="64"/>
  <c r="E18" i="125"/>
  <c r="F53" i="125"/>
  <c r="E52" i="125"/>
  <c r="D62" i="125"/>
  <c r="D18" i="125"/>
  <c r="F59" i="125"/>
  <c r="CM39" i="64"/>
  <c r="D38" i="102" s="1"/>
  <c r="C17" i="82"/>
  <c r="F47" i="82"/>
  <c r="CG45" i="64"/>
  <c r="C14" i="82"/>
  <c r="E38" i="82"/>
  <c r="CH41" i="64"/>
  <c r="CI6" i="64"/>
  <c r="CI49" i="64"/>
  <c r="D46" i="82"/>
  <c r="E40" i="82"/>
  <c r="CI32" i="64"/>
  <c r="F45" i="82"/>
  <c r="E14" i="82"/>
  <c r="CH43" i="64"/>
  <c r="F44" i="82"/>
  <c r="CN9" i="64"/>
  <c r="E8" i="102" s="1"/>
  <c r="CI45" i="64"/>
  <c r="D17" i="82"/>
  <c r="CI12" i="64"/>
  <c r="D29" i="82"/>
  <c r="F11" i="82"/>
  <c r="CF15" i="64"/>
  <c r="E5" i="82"/>
  <c r="CH38" i="64"/>
  <c r="E37" i="82"/>
  <c r="CL47" i="64"/>
  <c r="C46" i="102" s="1"/>
  <c r="CG43" i="64"/>
  <c r="CF17" i="64"/>
  <c r="D42" i="82"/>
  <c r="F5" i="82"/>
  <c r="C39" i="82"/>
  <c r="E30" i="82"/>
  <c r="CO34" i="64"/>
  <c r="F33" i="102" s="1"/>
  <c r="CI34" i="64"/>
  <c r="E15" i="82"/>
  <c r="CF50" i="64"/>
  <c r="F13" i="82"/>
  <c r="F37" i="82"/>
  <c r="CF8" i="64"/>
  <c r="D39" i="82"/>
  <c r="CG40" i="64"/>
  <c r="F55" i="82"/>
  <c r="CS21" i="64"/>
  <c r="F28" i="82"/>
  <c r="E61" i="82"/>
  <c r="CG65" i="64"/>
  <c r="CN51" i="64"/>
  <c r="E50" i="102" s="1"/>
  <c r="E50" i="82"/>
  <c r="D61" i="82"/>
  <c r="F34" i="82"/>
  <c r="CF35" i="64"/>
  <c r="CH57" i="64"/>
  <c r="CL33" i="64"/>
  <c r="CQ33" i="64" s="1"/>
  <c r="CH61" i="64"/>
  <c r="CI61" i="64"/>
  <c r="CL58" i="64"/>
  <c r="C57" i="102" s="1"/>
  <c r="E45" i="102"/>
  <c r="E43" i="125" s="1"/>
  <c r="D61" i="102"/>
  <c r="D29" i="102"/>
  <c r="D27" i="125" s="1"/>
  <c r="C29" i="102"/>
  <c r="C27" i="125" s="1"/>
  <c r="C27" i="102"/>
  <c r="C27" i="103" s="1"/>
  <c r="F11" i="102"/>
  <c r="X11" i="102" s="1"/>
  <c r="F52" i="125"/>
  <c r="F40" i="103"/>
  <c r="E16" i="102"/>
  <c r="E14" i="125" s="1"/>
  <c r="E29" i="102"/>
  <c r="E27" i="125" s="1"/>
  <c r="D53" i="103"/>
  <c r="CT38" i="64"/>
  <c r="CR18" i="64"/>
  <c r="D52" i="125"/>
  <c r="C52" i="125"/>
  <c r="CQ18" i="64"/>
  <c r="C59" i="125"/>
  <c r="X40" i="102"/>
  <c r="D51" i="125"/>
  <c r="F56" i="125"/>
  <c r="E31" i="125"/>
  <c r="D23" i="125"/>
  <c r="CG51" i="64"/>
  <c r="C33" i="82"/>
  <c r="CF34" i="64"/>
  <c r="CF57" i="64"/>
  <c r="CG33" i="64"/>
  <c r="CQ62" i="64"/>
  <c r="CS60" i="64"/>
  <c r="E12" i="82"/>
  <c r="CH12" i="64"/>
  <c r="CH13" i="64"/>
  <c r="CF25" i="64"/>
  <c r="F58" i="82"/>
  <c r="D13" i="82"/>
  <c r="F46" i="82"/>
  <c r="F25" i="82"/>
  <c r="CG14" i="64"/>
  <c r="CM25" i="64"/>
  <c r="D24" i="102" s="1"/>
  <c r="CH42" i="64"/>
  <c r="F8" i="82"/>
  <c r="F18" i="82"/>
  <c r="CG34" i="64"/>
  <c r="C40" i="82"/>
  <c r="F49" i="82"/>
  <c r="CI50" i="64"/>
  <c r="CH36" i="64"/>
  <c r="D37" i="82"/>
  <c r="D21" i="82"/>
  <c r="CG38" i="64"/>
  <c r="F64" i="82"/>
  <c r="F41" i="82"/>
  <c r="E26" i="82"/>
  <c r="F43" i="82"/>
  <c r="E59" i="82"/>
  <c r="CI8" i="64"/>
  <c r="D43" i="82"/>
  <c r="CG44" i="64"/>
  <c r="F53" i="82"/>
  <c r="C61" i="82"/>
  <c r="CL16" i="64"/>
  <c r="C15" i="102" s="1"/>
  <c r="E27" i="82"/>
  <c r="CG57" i="64"/>
  <c r="CM57" i="64"/>
  <c r="D56" i="102" s="1"/>
  <c r="F19" i="82"/>
  <c r="E19" i="82"/>
  <c r="E32" i="82"/>
  <c r="CF11" i="64"/>
  <c r="F57" i="82"/>
  <c r="CT19" i="64"/>
  <c r="E33" i="103"/>
  <c r="CT50" i="64"/>
  <c r="CF9" i="64"/>
  <c r="CH30" i="64"/>
  <c r="CF18" i="64"/>
  <c r="C8" i="82"/>
  <c r="CH17" i="64"/>
  <c r="CI38" i="64"/>
  <c r="C21" i="82"/>
  <c r="CG18" i="64"/>
  <c r="C29" i="82"/>
  <c r="CG30" i="64"/>
  <c r="CL17" i="64"/>
  <c r="C16" i="102" s="1"/>
  <c r="CH46" i="64"/>
  <c r="CF22" i="64"/>
  <c r="CH49" i="64"/>
  <c r="D18" i="82"/>
  <c r="CG19" i="64"/>
  <c r="CI7" i="64"/>
  <c r="F6" i="82"/>
  <c r="E20" i="82"/>
  <c r="C20" i="82"/>
  <c r="CQ21" i="64"/>
  <c r="CI27" i="64"/>
  <c r="CH62" i="64"/>
  <c r="CH54" i="64"/>
  <c r="CN54" i="64"/>
  <c r="CS54" i="64" s="1"/>
  <c r="CG62" i="64"/>
  <c r="C9" i="82"/>
  <c r="CH37" i="64"/>
  <c r="E56" i="82"/>
  <c r="E52" i="82"/>
  <c r="C32" i="82"/>
  <c r="C52" i="82"/>
  <c r="C20" i="102"/>
  <c r="C20" i="103" s="1"/>
  <c r="F38" i="103"/>
  <c r="F36" i="125"/>
  <c r="W30" i="102"/>
  <c r="E28" i="125"/>
  <c r="V7" i="102"/>
  <c r="D5" i="125"/>
  <c r="X9" i="102"/>
  <c r="F7" i="125"/>
  <c r="X23" i="102"/>
  <c r="F21" i="125"/>
  <c r="W31" i="102"/>
  <c r="E29" i="125"/>
  <c r="V14" i="102"/>
  <c r="D12" i="125"/>
  <c r="C25" i="103"/>
  <c r="C23" i="125"/>
  <c r="X14" i="102"/>
  <c r="F12" i="125"/>
  <c r="V13" i="102"/>
  <c r="D11" i="125"/>
  <c r="V39" i="102"/>
  <c r="D37" i="125"/>
  <c r="V58" i="102"/>
  <c r="D56" i="125"/>
  <c r="U12" i="102"/>
  <c r="C10" i="125"/>
  <c r="D6" i="103"/>
  <c r="D4" i="125"/>
  <c r="X44" i="102"/>
  <c r="F42" i="125"/>
  <c r="V44" i="102"/>
  <c r="D42" i="125"/>
  <c r="U62" i="102"/>
  <c r="C60" i="125"/>
  <c r="W12" i="102"/>
  <c r="E10" i="125"/>
  <c r="U18" i="102"/>
  <c r="C16" i="125"/>
  <c r="W42" i="102"/>
  <c r="E40" i="125"/>
  <c r="U30" i="102"/>
  <c r="C28" i="125"/>
  <c r="C28" i="103"/>
  <c r="C26" i="125"/>
  <c r="U50" i="102"/>
  <c r="C48" i="125"/>
  <c r="W9" i="102"/>
  <c r="E7" i="125"/>
  <c r="V21" i="102"/>
  <c r="D19" i="125"/>
  <c r="U7" i="102"/>
  <c r="C5" i="125"/>
  <c r="V34" i="102"/>
  <c r="D32" i="125"/>
  <c r="W18" i="102"/>
  <c r="E16" i="125"/>
  <c r="X15" i="102"/>
  <c r="F13" i="125"/>
  <c r="W14" i="102"/>
  <c r="E12" i="125"/>
  <c r="W51" i="102"/>
  <c r="E49" i="125"/>
  <c r="X46" i="102"/>
  <c r="F44" i="125"/>
  <c r="W35" i="102"/>
  <c r="E33" i="125"/>
  <c r="F39" i="103"/>
  <c r="F37" i="125"/>
  <c r="X27" i="102"/>
  <c r="F25" i="125"/>
  <c r="W37" i="102"/>
  <c r="E35" i="125"/>
  <c r="X62" i="102"/>
  <c r="F60" i="125"/>
  <c r="U49" i="102"/>
  <c r="C47" i="125"/>
  <c r="C31" i="125"/>
  <c r="V19" i="102"/>
  <c r="D17" i="125"/>
  <c r="U44" i="102"/>
  <c r="C42" i="125"/>
  <c r="F32" i="103"/>
  <c r="F30" i="125"/>
  <c r="C42" i="103"/>
  <c r="C40" i="125"/>
  <c r="V42" i="102"/>
  <c r="D40" i="125"/>
  <c r="X48" i="102"/>
  <c r="F46" i="125"/>
  <c r="V55" i="102"/>
  <c r="D53" i="125"/>
  <c r="X34" i="102"/>
  <c r="F32" i="125"/>
  <c r="D28" i="103"/>
  <c r="D26" i="125"/>
  <c r="V22" i="102"/>
  <c r="D20" i="125"/>
  <c r="X37" i="102"/>
  <c r="F35" i="125"/>
  <c r="W15" i="102"/>
  <c r="E13" i="125"/>
  <c r="V17" i="102"/>
  <c r="D15" i="125"/>
  <c r="V49" i="102"/>
  <c r="D47" i="125"/>
  <c r="C41" i="103"/>
  <c r="C39" i="125"/>
  <c r="X7" i="102"/>
  <c r="F5" i="125"/>
  <c r="X26" i="102"/>
  <c r="F24" i="125"/>
  <c r="U35" i="102"/>
  <c r="C33" i="125"/>
  <c r="W24" i="102"/>
  <c r="E22" i="125"/>
  <c r="E48" i="103"/>
  <c r="E46" i="125"/>
  <c r="U34" i="102"/>
  <c r="C32" i="125"/>
  <c r="C17" i="103"/>
  <c r="C15" i="125"/>
  <c r="U21" i="102"/>
  <c r="C19" i="125"/>
  <c r="E27" i="103"/>
  <c r="E25" i="125"/>
  <c r="X43" i="102"/>
  <c r="F41" i="125"/>
  <c r="E59" i="103"/>
  <c r="E57" i="125"/>
  <c r="W6" i="102"/>
  <c r="E4" i="125"/>
  <c r="X49" i="102"/>
  <c r="F47" i="125"/>
  <c r="V50" i="102"/>
  <c r="D48" i="125"/>
  <c r="X18" i="102"/>
  <c r="F16" i="125"/>
  <c r="D50" i="82"/>
  <c r="F12" i="82"/>
  <c r="CG32" i="64"/>
  <c r="E35" i="82"/>
  <c r="CM32" i="64"/>
  <c r="D31" i="102" s="1"/>
  <c r="CI44" i="64"/>
  <c r="CH60" i="64"/>
  <c r="CF62" i="64"/>
  <c r="CF37" i="64"/>
  <c r="CL57" i="64"/>
  <c r="C56" i="102" s="1"/>
  <c r="C36" i="82"/>
  <c r="CH20" i="64"/>
  <c r="D52" i="82"/>
  <c r="CM33" i="64"/>
  <c r="CR33" i="64" s="1"/>
  <c r="CM53" i="64"/>
  <c r="CR53" i="64" s="1"/>
  <c r="C10" i="82"/>
  <c r="F12" i="102"/>
  <c r="CS28" i="64"/>
  <c r="F64" i="102"/>
  <c r="E19" i="102"/>
  <c r="CI13" i="64"/>
  <c r="CI65" i="64"/>
  <c r="CH28" i="64"/>
  <c r="E20" i="103"/>
  <c r="W27" i="102"/>
  <c r="D17" i="103"/>
  <c r="U33" i="102"/>
  <c r="F36" i="103"/>
  <c r="F27" i="103"/>
  <c r="X38" i="102"/>
  <c r="U28" i="102"/>
  <c r="U41" i="102"/>
  <c r="F48" i="103"/>
  <c r="D13" i="103"/>
  <c r="X39" i="102"/>
  <c r="C44" i="103"/>
  <c r="F7" i="103"/>
  <c r="C21" i="103"/>
  <c r="D50" i="103"/>
  <c r="D22" i="103"/>
  <c r="X32" i="102"/>
  <c r="F43" i="103"/>
  <c r="U42" i="102"/>
  <c r="F14" i="103"/>
  <c r="F8" i="103"/>
  <c r="V28" i="102"/>
  <c r="W48" i="102"/>
  <c r="C30" i="103"/>
  <c r="U17" i="102"/>
  <c r="D14" i="103"/>
  <c r="V6" i="102"/>
  <c r="E18" i="103"/>
  <c r="D42" i="103"/>
  <c r="E37" i="103"/>
  <c r="E51" i="103"/>
  <c r="F49" i="103"/>
  <c r="F37" i="103"/>
  <c r="U25" i="102"/>
  <c r="D39" i="103"/>
  <c r="F44" i="103"/>
  <c r="C18" i="103"/>
  <c r="C50" i="103"/>
  <c r="E9" i="103"/>
  <c r="D49" i="103"/>
  <c r="E24" i="103"/>
  <c r="D7" i="103"/>
  <c r="E35" i="103"/>
  <c r="CT48" i="64"/>
  <c r="F47" i="102"/>
  <c r="CR61" i="64"/>
  <c r="D60" i="102"/>
  <c r="F9" i="103"/>
  <c r="CS48" i="64"/>
  <c r="E47" i="102"/>
  <c r="D45" i="103"/>
  <c r="E6" i="103"/>
  <c r="E12" i="103"/>
  <c r="F15" i="103"/>
  <c r="C35" i="103"/>
  <c r="E15" i="103"/>
  <c r="CS12" i="64"/>
  <c r="E11" i="102"/>
  <c r="F19" i="102"/>
  <c r="F19" i="103" s="1"/>
  <c r="E30" i="103"/>
  <c r="E31" i="103"/>
  <c r="D44" i="103"/>
  <c r="E42" i="103"/>
  <c r="E21" i="103"/>
  <c r="CQ48" i="64"/>
  <c r="C47" i="102"/>
  <c r="D20" i="103"/>
  <c r="E14" i="103"/>
  <c r="D47" i="102"/>
  <c r="C49" i="103"/>
  <c r="CQ23" i="64"/>
  <c r="C22" i="102"/>
  <c r="CS61" i="64"/>
  <c r="E60" i="102"/>
  <c r="F23" i="103"/>
  <c r="D34" i="103"/>
  <c r="F34" i="103"/>
  <c r="F46" i="103"/>
  <c r="CR64" i="64"/>
  <c r="D63" i="102"/>
  <c r="C7" i="103"/>
  <c r="F18" i="103"/>
  <c r="C34" i="103"/>
  <c r="CS39" i="64"/>
  <c r="E38" i="102"/>
  <c r="C12" i="103"/>
  <c r="D21" i="103"/>
  <c r="F26" i="103"/>
  <c r="W59" i="102"/>
  <c r="F55" i="103"/>
  <c r="D55" i="103"/>
  <c r="F58" i="103"/>
  <c r="D64" i="103"/>
  <c r="F56" i="103"/>
  <c r="X56" i="102"/>
  <c r="C63" i="103"/>
  <c r="U63" i="102"/>
  <c r="D58" i="103"/>
  <c r="X55" i="102"/>
  <c r="X58" i="102"/>
  <c r="C62" i="103"/>
  <c r="F62" i="103"/>
  <c r="V64" i="102"/>
  <c r="D59" i="103"/>
  <c r="V59" i="102"/>
  <c r="X54" i="102"/>
  <c r="F54" i="103"/>
  <c r="V20" i="102"/>
  <c r="D19" i="103"/>
  <c r="V54" i="102"/>
  <c r="D54" i="103"/>
  <c r="U54" i="102"/>
  <c r="C54" i="103"/>
  <c r="W20" i="102"/>
  <c r="W58" i="102" l="1"/>
  <c r="E21" i="125"/>
  <c r="E23" i="103"/>
  <c r="W23" i="102"/>
  <c r="D49" i="125"/>
  <c r="V51" i="102"/>
  <c r="D51" i="103"/>
  <c r="D6" i="125"/>
  <c r="D8" i="103"/>
  <c r="V8" i="102"/>
  <c r="V9" i="102"/>
  <c r="C35" i="125"/>
  <c r="C37" i="103"/>
  <c r="U37" i="102"/>
  <c r="F27" i="125"/>
  <c r="F29" i="103"/>
  <c r="X29" i="102"/>
  <c r="D13" i="125"/>
  <c r="V15" i="102"/>
  <c r="D15" i="103"/>
  <c r="C48" i="102"/>
  <c r="CQ49" i="64"/>
  <c r="E25" i="102"/>
  <c r="CS26" i="64"/>
  <c r="CT58" i="64"/>
  <c r="E63" i="102"/>
  <c r="V16" i="102"/>
  <c r="X8" i="102"/>
  <c r="D16" i="103"/>
  <c r="E58" i="103"/>
  <c r="D9" i="103"/>
  <c r="C23" i="103"/>
  <c r="V23" i="102"/>
  <c r="C41" i="125"/>
  <c r="U59" i="102"/>
  <c r="C11" i="125"/>
  <c r="C60" i="102"/>
  <c r="U60" i="102" s="1"/>
  <c r="C51" i="103"/>
  <c r="W26" i="102"/>
  <c r="U55" i="102"/>
  <c r="C53" i="125"/>
  <c r="D43" i="125"/>
  <c r="X51" i="102"/>
  <c r="E26" i="103"/>
  <c r="CQ54" i="64"/>
  <c r="E34" i="102"/>
  <c r="E32" i="125" s="1"/>
  <c r="C49" i="125"/>
  <c r="CS8" i="64"/>
  <c r="CS63" i="64"/>
  <c r="X41" i="102"/>
  <c r="C5" i="102"/>
  <c r="C3" i="125" s="1"/>
  <c r="E61" i="103"/>
  <c r="C21" i="125"/>
  <c r="CT21" i="64"/>
  <c r="V37" i="102"/>
  <c r="F57" i="125"/>
  <c r="V40" i="102"/>
  <c r="C34" i="125"/>
  <c r="X59" i="102"/>
  <c r="E32" i="103"/>
  <c r="C36" i="103"/>
  <c r="CQ39" i="64"/>
  <c r="X36" i="102"/>
  <c r="C59" i="103"/>
  <c r="D62" i="102"/>
  <c r="V62" i="102" s="1"/>
  <c r="CT64" i="64"/>
  <c r="D37" i="103"/>
  <c r="W41" i="102"/>
  <c r="CS14" i="64"/>
  <c r="W56" i="102"/>
  <c r="E54" i="103"/>
  <c r="C13" i="103"/>
  <c r="CS50" i="64"/>
  <c r="D33" i="103"/>
  <c r="D40" i="103"/>
  <c r="F41" i="103"/>
  <c r="F45" i="103"/>
  <c r="E19" i="125"/>
  <c r="F23" i="125"/>
  <c r="E30" i="125"/>
  <c r="D44" i="125"/>
  <c r="W61" i="102"/>
  <c r="X28" i="102"/>
  <c r="X30" i="102"/>
  <c r="U19" i="102"/>
  <c r="C19" i="103"/>
  <c r="C40" i="103"/>
  <c r="F51" i="103"/>
  <c r="CR39" i="64"/>
  <c r="CT36" i="64"/>
  <c r="F25" i="103"/>
  <c r="E29" i="103"/>
  <c r="C29" i="103"/>
  <c r="E22" i="102"/>
  <c r="W22" i="102" s="1"/>
  <c r="E56" i="103"/>
  <c r="E41" i="103"/>
  <c r="C38" i="125"/>
  <c r="X53" i="102"/>
  <c r="V33" i="102"/>
  <c r="W36" i="102"/>
  <c r="U24" i="102"/>
  <c r="E36" i="103"/>
  <c r="F53" i="103"/>
  <c r="C24" i="103"/>
  <c r="D46" i="103"/>
  <c r="F28" i="103"/>
  <c r="F30" i="103"/>
  <c r="C8" i="103"/>
  <c r="X45" i="102"/>
  <c r="D41" i="125"/>
  <c r="U9" i="102"/>
  <c r="U14" i="102"/>
  <c r="CR36" i="64"/>
  <c r="D23" i="103"/>
  <c r="CR25" i="64"/>
  <c r="C43" i="103"/>
  <c r="X5" i="102"/>
  <c r="W10" i="102"/>
  <c r="W52" i="102"/>
  <c r="W40" i="102"/>
  <c r="C26" i="103"/>
  <c r="C24" i="125"/>
  <c r="X6" i="102"/>
  <c r="W57" i="102"/>
  <c r="E64" i="103"/>
  <c r="C32" i="102"/>
  <c r="U32" i="102" s="1"/>
  <c r="CR11" i="64"/>
  <c r="CR12" i="64"/>
  <c r="X31" i="102"/>
  <c r="E3" i="125"/>
  <c r="F15" i="125"/>
  <c r="E57" i="103"/>
  <c r="CT6" i="64"/>
  <c r="CQ17" i="64"/>
  <c r="W29" i="102"/>
  <c r="E62" i="125"/>
  <c r="CR6" i="64"/>
  <c r="D5" i="102"/>
  <c r="CT34" i="64"/>
  <c r="C10" i="103"/>
  <c r="D18" i="103"/>
  <c r="F6" i="103"/>
  <c r="C9" i="103"/>
  <c r="CT25" i="64"/>
  <c r="F5" i="103"/>
  <c r="E5" i="103"/>
  <c r="F11" i="125"/>
  <c r="U10" i="102"/>
  <c r="C6" i="125"/>
  <c r="C25" i="125"/>
  <c r="CS6" i="64"/>
  <c r="F13" i="103"/>
  <c r="C52" i="102"/>
  <c r="C50" i="125" s="1"/>
  <c r="CQ58" i="64"/>
  <c r="CT61" i="64"/>
  <c r="CS9" i="64"/>
  <c r="V43" i="102"/>
  <c r="C14" i="103"/>
  <c r="CQ47" i="64"/>
  <c r="F11" i="103"/>
  <c r="V18" i="102"/>
  <c r="U39" i="102"/>
  <c r="F9" i="125"/>
  <c r="U29" i="102"/>
  <c r="X20" i="102"/>
  <c r="E40" i="103"/>
  <c r="E10" i="103"/>
  <c r="E53" i="102"/>
  <c r="E51" i="125" s="1"/>
  <c r="F17" i="103"/>
  <c r="F31" i="103"/>
  <c r="E52" i="103"/>
  <c r="C39" i="103"/>
  <c r="CS51" i="64"/>
  <c r="CR57" i="64"/>
  <c r="F62" i="125"/>
  <c r="C18" i="125"/>
  <c r="D29" i="103"/>
  <c r="E16" i="103"/>
  <c r="CQ16" i="64"/>
  <c r="E45" i="103"/>
  <c r="E19" i="103"/>
  <c r="W16" i="102"/>
  <c r="U27" i="102"/>
  <c r="V29" i="102"/>
  <c r="W45" i="102"/>
  <c r="D59" i="125"/>
  <c r="F12" i="103"/>
  <c r="CR32" i="64"/>
  <c r="U20" i="102"/>
  <c r="D32" i="102"/>
  <c r="D30" i="125" s="1"/>
  <c r="CQ57" i="64"/>
  <c r="D52" i="102"/>
  <c r="V52" i="102" s="1"/>
  <c r="V24" i="102"/>
  <c r="D22" i="125"/>
  <c r="X63" i="102"/>
  <c r="F61" i="125"/>
  <c r="F57" i="103"/>
  <c r="F55" i="125"/>
  <c r="U57" i="102"/>
  <c r="C55" i="125"/>
  <c r="E13" i="103"/>
  <c r="E11" i="125"/>
  <c r="E50" i="103"/>
  <c r="E48" i="125"/>
  <c r="U38" i="102"/>
  <c r="C36" i="125"/>
  <c r="W47" i="102"/>
  <c r="E45" i="125"/>
  <c r="C58" i="125"/>
  <c r="C16" i="103"/>
  <c r="C14" i="125"/>
  <c r="U46" i="102"/>
  <c r="C44" i="125"/>
  <c r="D56" i="103"/>
  <c r="D54" i="125"/>
  <c r="F24" i="103"/>
  <c r="F22" i="125"/>
  <c r="V11" i="102"/>
  <c r="D9" i="125"/>
  <c r="X12" i="102"/>
  <c r="F10" i="125"/>
  <c r="C53" i="103"/>
  <c r="C51" i="125"/>
  <c r="E49" i="103"/>
  <c r="E47" i="125"/>
  <c r="W62" i="102"/>
  <c r="E60" i="125"/>
  <c r="D35" i="103"/>
  <c r="D33" i="125"/>
  <c r="W38" i="102"/>
  <c r="E36" i="125"/>
  <c r="D63" i="103"/>
  <c r="D61" i="125"/>
  <c r="E60" i="103"/>
  <c r="E58" i="125"/>
  <c r="V10" i="102"/>
  <c r="D8" i="125"/>
  <c r="U22" i="102"/>
  <c r="C20" i="125"/>
  <c r="V38" i="102"/>
  <c r="D36" i="125"/>
  <c r="V47" i="102"/>
  <c r="D45" i="125"/>
  <c r="W7" i="102"/>
  <c r="E5" i="125"/>
  <c r="U47" i="102"/>
  <c r="C45" i="125"/>
  <c r="X35" i="102"/>
  <c r="F33" i="125"/>
  <c r="E63" i="103"/>
  <c r="E61" i="125"/>
  <c r="X60" i="102"/>
  <c r="F58" i="125"/>
  <c r="F20" i="103"/>
  <c r="F17" i="125"/>
  <c r="X33" i="102"/>
  <c r="F31" i="125"/>
  <c r="W11" i="102"/>
  <c r="E9" i="125"/>
  <c r="W8" i="102"/>
  <c r="E6" i="125"/>
  <c r="V60" i="102"/>
  <c r="D58" i="125"/>
  <c r="X47" i="102"/>
  <c r="F45" i="125"/>
  <c r="V31" i="102"/>
  <c r="D29" i="125"/>
  <c r="U15" i="102"/>
  <c r="C13" i="125"/>
  <c r="W19" i="102"/>
  <c r="E17" i="125"/>
  <c r="M71" i="82"/>
  <c r="M72" i="82" s="1"/>
  <c r="U56" i="102"/>
  <c r="C54" i="125"/>
  <c r="W63" i="102"/>
  <c r="X24" i="102"/>
  <c r="V56" i="102"/>
  <c r="U16" i="102"/>
  <c r="F35" i="103"/>
  <c r="F33" i="103"/>
  <c r="D60" i="103"/>
  <c r="E47" i="103"/>
  <c r="W49" i="102"/>
  <c r="C56" i="103"/>
  <c r="C46" i="103"/>
  <c r="E11" i="103"/>
  <c r="W13" i="102"/>
  <c r="W50" i="102"/>
  <c r="C22" i="103"/>
  <c r="E7" i="103"/>
  <c r="C38" i="103"/>
  <c r="D38" i="103"/>
  <c r="C47" i="103"/>
  <c r="W60" i="102"/>
  <c r="V35" i="102"/>
  <c r="D10" i="103"/>
  <c r="F63" i="103"/>
  <c r="X19" i="102"/>
  <c r="F47" i="103"/>
  <c r="U53" i="102"/>
  <c r="E38" i="103"/>
  <c r="C15" i="103"/>
  <c r="E8" i="103"/>
  <c r="D31" i="103"/>
  <c r="X57" i="102"/>
  <c r="D11" i="103"/>
  <c r="D24" i="103"/>
  <c r="E62" i="103"/>
  <c r="D47" i="103"/>
  <c r="C57" i="103"/>
  <c r="V63" i="102"/>
  <c r="F60" i="103"/>
  <c r="C58" i="103"/>
  <c r="U58" i="102"/>
  <c r="D61" i="103"/>
  <c r="V61" i="102"/>
  <c r="D57" i="103"/>
  <c r="V57" i="102"/>
  <c r="X61" i="102"/>
  <c r="F61" i="103"/>
  <c r="U61" i="102"/>
  <c r="C61" i="103"/>
  <c r="F64" i="103"/>
  <c r="X64" i="102"/>
  <c r="E23" i="125" l="1"/>
  <c r="W25" i="102"/>
  <c r="E25" i="103"/>
  <c r="U48" i="102"/>
  <c r="C48" i="103"/>
  <c r="C46" i="125"/>
  <c r="D62" i="103"/>
  <c r="D60" i="125"/>
  <c r="C60" i="103"/>
  <c r="C5" i="103"/>
  <c r="W34" i="102"/>
  <c r="E34" i="103"/>
  <c r="U5" i="102"/>
  <c r="E22" i="103"/>
  <c r="E20" i="125"/>
  <c r="C30" i="125"/>
  <c r="U52" i="102"/>
  <c r="C52" i="103"/>
  <c r="C32" i="103"/>
  <c r="D52" i="103"/>
  <c r="D32" i="103"/>
  <c r="D3" i="125"/>
  <c r="V5" i="102"/>
  <c r="D5" i="103"/>
  <c r="V32" i="102"/>
  <c r="W53" i="102"/>
  <c r="E53" i="103"/>
  <c r="D50" i="125"/>
</calcChain>
</file>

<file path=xl/sharedStrings.xml><?xml version="1.0" encoding="utf-8"?>
<sst xmlns="http://schemas.openxmlformats.org/spreadsheetml/2006/main" count="13089" uniqueCount="1634">
  <si>
    <t>Tariff TFC</t>
  </si>
  <si>
    <t>General Surgery</t>
  </si>
  <si>
    <t>Urology</t>
  </si>
  <si>
    <t>Breast Surgery</t>
  </si>
  <si>
    <t>Colorectal Surgery</t>
  </si>
  <si>
    <t>Upper Gastrointestinal Surgery</t>
  </si>
  <si>
    <t>Vascular Surgery</t>
  </si>
  <si>
    <t>Trauma &amp; Orthopaedics</t>
  </si>
  <si>
    <t>ENT</t>
  </si>
  <si>
    <t>Ophthalmology</t>
  </si>
  <si>
    <t>Oral Surgery</t>
  </si>
  <si>
    <t>Orthodontics</t>
  </si>
  <si>
    <t>Maxillo-Facial Surgery</t>
  </si>
  <si>
    <t>Plastic Surgery</t>
  </si>
  <si>
    <t>Cardiothoracic Surgery</t>
  </si>
  <si>
    <t>Paediatric Surgery</t>
  </si>
  <si>
    <t>Cardiac Surgery</t>
  </si>
  <si>
    <t>Thoracic Surgery</t>
  </si>
  <si>
    <t>Anaesthetics</t>
  </si>
  <si>
    <t>Pain Management</t>
  </si>
  <si>
    <t>Paediatric Urology</t>
  </si>
  <si>
    <t>Paediatric Ophthalmology</t>
  </si>
  <si>
    <t>Paediatric Maxillo-Facial Surgery</t>
  </si>
  <si>
    <t>Paediatric Plastic Surgery</t>
  </si>
  <si>
    <t>Cardiology</t>
  </si>
  <si>
    <t>Paediatric Cardiology</t>
  </si>
  <si>
    <t>Dermatology</t>
  </si>
  <si>
    <t>Respiratory Medicine</t>
  </si>
  <si>
    <t>Infectious Diseases</t>
  </si>
  <si>
    <t>Nephrology</t>
  </si>
  <si>
    <t>Medical Oncology</t>
  </si>
  <si>
    <t>Rheumatology</t>
  </si>
  <si>
    <t>Paediatrics</t>
  </si>
  <si>
    <t>Geriatric Medicine</t>
  </si>
  <si>
    <t>Gynaecology</t>
  </si>
  <si>
    <t>Gynaecological Oncology</t>
  </si>
  <si>
    <t>Clinical Oncology</t>
  </si>
  <si>
    <t>Diagnostic Imaging</t>
  </si>
  <si>
    <t>Paediatric Gastroenterology</t>
  </si>
  <si>
    <t>Paediatric Endocrinology</t>
  </si>
  <si>
    <t>Paediatric Clinical Haematology</t>
  </si>
  <si>
    <t>Paediatric Dermatology</t>
  </si>
  <si>
    <t>Paediatric Respiratory Medicine</t>
  </si>
  <si>
    <t>General Medicine</t>
  </si>
  <si>
    <t>Gastroenterology</t>
  </si>
  <si>
    <t>Endocrinology</t>
  </si>
  <si>
    <t>Clinical Haematology</t>
  </si>
  <si>
    <t>Hepatology</t>
  </si>
  <si>
    <t>Diabetic Medicine</t>
  </si>
  <si>
    <t>CONSULTANT-LED (£)</t>
  </si>
  <si>
    <t>Treatment function</t>
  </si>
  <si>
    <t>Treatment function name</t>
  </si>
  <si>
    <r>
      <t xml:space="preserve">WF01B
</t>
    </r>
    <r>
      <rPr>
        <i/>
        <sz val="8"/>
        <rFont val="Arial"/>
        <family val="2"/>
      </rPr>
      <t>First Attendance - Single Professional</t>
    </r>
  </si>
  <si>
    <r>
      <t xml:space="preserve">WF02B
</t>
    </r>
    <r>
      <rPr>
        <i/>
        <sz val="8"/>
        <rFont val="Arial"/>
        <family val="2"/>
      </rPr>
      <t>First Attendance - Multi Professional</t>
    </r>
  </si>
  <si>
    <r>
      <t xml:space="preserve">WF01A
</t>
    </r>
    <r>
      <rPr>
        <i/>
        <sz val="8"/>
        <rFont val="Arial"/>
        <family val="2"/>
      </rPr>
      <t>Follow Up Attendance - Single Professional</t>
    </r>
  </si>
  <si>
    <r>
      <t xml:space="preserve">WF02A
</t>
    </r>
    <r>
      <rPr>
        <i/>
        <sz val="8"/>
        <rFont val="Arial"/>
        <family val="2"/>
      </rPr>
      <t>Follow Up Attendance - Multi Professional</t>
    </r>
  </si>
  <si>
    <t>Hepatobiliary &amp; Pancreatic Surgery</t>
  </si>
  <si>
    <t>Spinal Surgery Service</t>
  </si>
  <si>
    <t>Paediatric Trauma &amp; Orthopaedics</t>
  </si>
  <si>
    <t>Paediatric Ear Nose &amp; Throat</t>
  </si>
  <si>
    <t>Paediatric Epilepsy</t>
  </si>
  <si>
    <t>Paediatric Diabetic Medicine</t>
  </si>
  <si>
    <t>Transient Ischaemic Attack</t>
  </si>
  <si>
    <t>-</t>
  </si>
  <si>
    <t>Respiratory Physiology</t>
  </si>
  <si>
    <t>Total Activity</t>
  </si>
  <si>
    <t>CL_FAM</t>
  </si>
  <si>
    <t>CL_FAS</t>
  </si>
  <si>
    <t>CL_FUM</t>
  </si>
  <si>
    <t>CL_FUS</t>
  </si>
  <si>
    <t>NCL_FAM</t>
  </si>
  <si>
    <t>NCL_FAS</t>
  </si>
  <si>
    <t>NCL_FUM</t>
  </si>
  <si>
    <t>NCL_FUS</t>
  </si>
  <si>
    <t>Total_Costs</t>
  </si>
  <si>
    <t>TOTAL ACT</t>
  </si>
  <si>
    <t>TC</t>
  </si>
  <si>
    <t>AA32Z</t>
  </si>
  <si>
    <t>AA33D</t>
  </si>
  <si>
    <t>AB02Z</t>
  </si>
  <si>
    <t>AB03Z</t>
  </si>
  <si>
    <t>AB04Z</t>
  </si>
  <si>
    <t>AB07Z</t>
  </si>
  <si>
    <t>AB08Z</t>
  </si>
  <si>
    <t>AB10Z</t>
  </si>
  <si>
    <t>BZ06B</t>
  </si>
  <si>
    <t>BZ09B</t>
  </si>
  <si>
    <t>BZ14A</t>
  </si>
  <si>
    <t>BZ14B</t>
  </si>
  <si>
    <t>BZ15B</t>
  </si>
  <si>
    <t>BZ16A</t>
  </si>
  <si>
    <t>BZ16B</t>
  </si>
  <si>
    <t>DZ01Z</t>
  </si>
  <si>
    <t>DZ07A</t>
  </si>
  <si>
    <t>DZ07B</t>
  </si>
  <si>
    <t>DZ08Z</t>
  </si>
  <si>
    <t>DZ30Z</t>
  </si>
  <si>
    <t>DZ33Z</t>
  </si>
  <si>
    <t>DZ34Z</t>
  </si>
  <si>
    <t>DZ35Z</t>
  </si>
  <si>
    <t>DZ36Z</t>
  </si>
  <si>
    <t>DZ37B</t>
  </si>
  <si>
    <t>DZ38Z</t>
  </si>
  <si>
    <t>DZ41Z</t>
  </si>
  <si>
    <t>DZ43Z</t>
  </si>
  <si>
    <t>DZ45Z</t>
  </si>
  <si>
    <t>DZ46Z</t>
  </si>
  <si>
    <t>DZ48Z</t>
  </si>
  <si>
    <t>DZ49Z</t>
  </si>
  <si>
    <t>EA02Z</t>
  </si>
  <si>
    <t>EA40Z</t>
  </si>
  <si>
    <t>FZ22B</t>
  </si>
  <si>
    <t>FZ27D</t>
  </si>
  <si>
    <t>FZ53Z</t>
  </si>
  <si>
    <t>FZ56Z</t>
  </si>
  <si>
    <t>FZ63Z</t>
  </si>
  <si>
    <t>FZ65Z</t>
  </si>
  <si>
    <t>GA13B</t>
  </si>
  <si>
    <t>HA33Z</t>
  </si>
  <si>
    <t>HA99Z</t>
  </si>
  <si>
    <t>HB11C</t>
  </si>
  <si>
    <t>HB12C</t>
  </si>
  <si>
    <t>HB13Z</t>
  </si>
  <si>
    <t>HB14C</t>
  </si>
  <si>
    <t>HB15E</t>
  </si>
  <si>
    <t>HB15G</t>
  </si>
  <si>
    <t>HB16C</t>
  </si>
  <si>
    <t>HB21C</t>
  </si>
  <si>
    <t>HB22C</t>
  </si>
  <si>
    <t>HB23C</t>
  </si>
  <si>
    <t>HB24C</t>
  </si>
  <si>
    <t>HB25J</t>
  </si>
  <si>
    <t>HB31Z</t>
  </si>
  <si>
    <t>HB32A</t>
  </si>
  <si>
    <t>HB32B</t>
  </si>
  <si>
    <t>HB33E</t>
  </si>
  <si>
    <t>HB33G</t>
  </si>
  <si>
    <t>HB34E</t>
  </si>
  <si>
    <t>HB34G</t>
  </si>
  <si>
    <t>HB51Z</t>
  </si>
  <si>
    <t>HB52C</t>
  </si>
  <si>
    <t>HB53Z</t>
  </si>
  <si>
    <t>HB54C</t>
  </si>
  <si>
    <t>HB55C</t>
  </si>
  <si>
    <t>HB61C</t>
  </si>
  <si>
    <t>HB62C</t>
  </si>
  <si>
    <t>HB63Z</t>
  </si>
  <si>
    <t>HB71C</t>
  </si>
  <si>
    <t>HB72Z</t>
  </si>
  <si>
    <t>HB73Z</t>
  </si>
  <si>
    <t>HB99Z</t>
  </si>
  <si>
    <t>HC10Z</t>
  </si>
  <si>
    <t>HC11Z</t>
  </si>
  <si>
    <t>HC12Z</t>
  </si>
  <si>
    <t>LA05Z</t>
  </si>
  <si>
    <t>LA10Z</t>
  </si>
  <si>
    <t>LA11Z</t>
  </si>
  <si>
    <t>LA12A</t>
  </si>
  <si>
    <t>LA13A</t>
  </si>
  <si>
    <t>LA14Z</t>
  </si>
  <si>
    <t>LB05D</t>
  </si>
  <si>
    <t>LB12Z</t>
  </si>
  <si>
    <t>LB15D</t>
  </si>
  <si>
    <t>LB18Z</t>
  </si>
  <si>
    <t>LB29A</t>
  </si>
  <si>
    <t>LB33Z</t>
  </si>
  <si>
    <t>LB36Z</t>
  </si>
  <si>
    <t>LB43Z</t>
  </si>
  <si>
    <t>LB47Z</t>
  </si>
  <si>
    <t>LB48Z</t>
  </si>
  <si>
    <t>LB49Z</t>
  </si>
  <si>
    <t>LB54A</t>
  </si>
  <si>
    <t>LB55A</t>
  </si>
  <si>
    <t>LB55B</t>
  </si>
  <si>
    <t>LB56A</t>
  </si>
  <si>
    <t>LB59Z</t>
  </si>
  <si>
    <t>MA01Z</t>
  </si>
  <si>
    <t>MA09Z</t>
  </si>
  <si>
    <t>MA11Z</t>
  </si>
  <si>
    <t>MA12Z</t>
  </si>
  <si>
    <t>MA17C</t>
  </si>
  <si>
    <t>MA18C</t>
  </si>
  <si>
    <t>MA18D</t>
  </si>
  <si>
    <t>MA19A</t>
  </si>
  <si>
    <t>MA22Z</t>
  </si>
  <si>
    <t>MA24Z</t>
  </si>
  <si>
    <t>MC06Z</t>
  </si>
  <si>
    <t>MC07Z</t>
  </si>
  <si>
    <t>MC08Z</t>
  </si>
  <si>
    <t>MC09Z</t>
  </si>
  <si>
    <t>MC10Z</t>
  </si>
  <si>
    <t>MC11Z</t>
  </si>
  <si>
    <t>MC12Z</t>
  </si>
  <si>
    <t>MC13Z</t>
  </si>
  <si>
    <t>MC14Z</t>
  </si>
  <si>
    <t>NZ10Z</t>
  </si>
  <si>
    <t>NZ11B</t>
  </si>
  <si>
    <t>NZ11F</t>
  </si>
  <si>
    <t>NZ12B</t>
  </si>
  <si>
    <t>SA14Z</t>
  </si>
  <si>
    <t>SA15Z</t>
  </si>
  <si>
    <t>SA18Z</t>
  </si>
  <si>
    <t>SA27A</t>
  </si>
  <si>
    <t>SA28A</t>
  </si>
  <si>
    <t>SA33Z</t>
  </si>
  <si>
    <t>SA34Z</t>
  </si>
  <si>
    <t>Unit Cost</t>
  </si>
  <si>
    <t>Actual Apportionment</t>
  </si>
  <si>
    <t>TFC</t>
  </si>
  <si>
    <t>Apportionment %s</t>
  </si>
  <si>
    <t>Activity</t>
  </si>
  <si>
    <t>Cost</t>
  </si>
  <si>
    <t>Total cost</t>
  </si>
  <si>
    <t>Change in Unit Cost</t>
  </si>
  <si>
    <t>Total_Activity</t>
  </si>
  <si>
    <t>SumOfWF01A_Activity</t>
  </si>
  <si>
    <t>SumOfWF01B_Activity</t>
  </si>
  <si>
    <t>SumOfWF02A_Activity</t>
  </si>
  <si>
    <t>SumOfWF02B_Activity</t>
  </si>
  <si>
    <t>SumOfTotal_Activity</t>
  </si>
  <si>
    <t>Mandatory</t>
  </si>
  <si>
    <t>Procedure (Activity)</t>
  </si>
  <si>
    <t>Impact (Activity)</t>
  </si>
  <si>
    <t>FAM</t>
  </si>
  <si>
    <t>FAS</t>
  </si>
  <si>
    <t>FUM</t>
  </si>
  <si>
    <t>FUS</t>
  </si>
  <si>
    <t>OPROC ACT</t>
  </si>
  <si>
    <t>PRE-ADJUSTMENT</t>
  </si>
  <si>
    <t>APPORTION ACTIVITY</t>
  </si>
  <si>
    <t>APPORTION COST</t>
  </si>
  <si>
    <t>OPROC TC</t>
  </si>
  <si>
    <t>POST ADJUSTMENT</t>
  </si>
  <si>
    <t>MAND</t>
  </si>
  <si>
    <t>Paed
Pairings</t>
  </si>
  <si>
    <t>Adult /
Child</t>
  </si>
  <si>
    <t>Multi &gt; 2 * single</t>
  </si>
  <si>
    <t>Paed &lt; Adult</t>
  </si>
  <si>
    <t>Rounded &amp; Uplift</t>
  </si>
  <si>
    <t>CHECK FOR UN-DOING ADJUSTMENTS</t>
  </si>
  <si>
    <t>FAM&lt;FUM</t>
  </si>
  <si>
    <t>FAS&lt;FUS</t>
  </si>
  <si>
    <t>FAS&gt;FAM</t>
  </si>
  <si>
    <t>FUS&gt;FUM</t>
  </si>
  <si>
    <t>FAM&gt;2*FAS</t>
  </si>
  <si>
    <t>FUM&gt;2*FUS</t>
  </si>
  <si>
    <t>All</t>
  </si>
  <si>
    <t>Mand</t>
  </si>
  <si>
    <t>Treatment Function Code</t>
  </si>
  <si>
    <t>Revised prices</t>
  </si>
  <si>
    <t xml:space="preserve"> </t>
  </si>
  <si>
    <t>Monitor SQL</t>
  </si>
  <si>
    <t>Difference to prior step</t>
  </si>
  <si>
    <t>Transplantation Surgery</t>
  </si>
  <si>
    <t>Restorative Dentistry</t>
  </si>
  <si>
    <t>Paediatric Dentistry</t>
  </si>
  <si>
    <t>Neurosurgery</t>
  </si>
  <si>
    <t>Burns Care</t>
  </si>
  <si>
    <t>Critical Care Medicine</t>
  </si>
  <si>
    <t>Paediatric Transplantation Surgery</t>
  </si>
  <si>
    <t>Paediatric Gastrointestinal Surgery</t>
  </si>
  <si>
    <t>Paediatric Neurosurgery</t>
  </si>
  <si>
    <t>Paediatric Burns Care</t>
  </si>
  <si>
    <t>Paediatric Cardiac Surgery</t>
  </si>
  <si>
    <t>Clinical Genetics</t>
  </si>
  <si>
    <t>Palliative Medicine</t>
  </si>
  <si>
    <t>Clinical Immunology</t>
  </si>
  <si>
    <t>Clinical Microbiology</t>
  </si>
  <si>
    <t>Spinal Injuries</t>
  </si>
  <si>
    <t>Anticoagulant Service</t>
  </si>
  <si>
    <t>Tropical Medicine</t>
  </si>
  <si>
    <t>Genito-Urinary Medicine</t>
  </si>
  <si>
    <t>Nuclear Medicine</t>
  </si>
  <si>
    <t>Neurology</t>
  </si>
  <si>
    <t>Paediatric Neurology</t>
  </si>
  <si>
    <t>Neonatology</t>
  </si>
  <si>
    <t>Dental Medicine Specialties</t>
  </si>
  <si>
    <t>Medical Ophthalmology</t>
  </si>
  <si>
    <t>Obstetrics</t>
  </si>
  <si>
    <t>Podiatry</t>
  </si>
  <si>
    <t>Orthoptics</t>
  </si>
  <si>
    <t>Chemical Pathology</t>
  </si>
  <si>
    <t>Audiology</t>
  </si>
  <si>
    <t>Paediatric Thoracic Surgery</t>
  </si>
  <si>
    <t>Paediatric Pain Management</t>
  </si>
  <si>
    <t>Paediatric Intensive Care</t>
  </si>
  <si>
    <t>Paediatric Audiological Medicine</t>
  </si>
  <si>
    <t>Paediatric Infectious Diseases</t>
  </si>
  <si>
    <t>Paediatric Nephrology</t>
  </si>
  <si>
    <t>Paediatric Medical Oncology</t>
  </si>
  <si>
    <t>Paediatric Metabolic Disease</t>
  </si>
  <si>
    <t>Paediatric Rheumatology</t>
  </si>
  <si>
    <t>Paediatric Neuro-Disability</t>
  </si>
  <si>
    <t>Clinical Physiology</t>
  </si>
  <si>
    <t>Clinical Pharmacology</t>
  </si>
  <si>
    <t>Audiological Medicine</t>
  </si>
  <si>
    <t>Revised Front-loading % (Limiting)</t>
  </si>
  <si>
    <t>Rule: Zero volume</t>
  </si>
  <si>
    <t>Rule: LowVolume (&lt;50 att)</t>
  </si>
  <si>
    <t>Rule: Multi must not be &lt; Single</t>
  </si>
  <si>
    <t>2014-15 tariff - outpatient attendances</t>
  </si>
  <si>
    <t>Steps</t>
  </si>
  <si>
    <t>Overview</t>
  </si>
  <si>
    <t>Derived table. This is the mapping for percentage split of each TFCs based on HRGs</t>
  </si>
  <si>
    <t>Calculate total costs and unit costs for rebundling non-mandatory OPROC HRGs.</t>
  </si>
  <si>
    <t>Calculate total costs and unit costs after applying front-loading % and restricting front-loading increase</t>
  </si>
  <si>
    <t>Shows the final prices and step by step changes. Also shows model prices or rollover prices</t>
  </si>
  <si>
    <t>Modelled</t>
  </si>
  <si>
    <t>LB14Z</t>
  </si>
  <si>
    <t>FZ17D</t>
  </si>
  <si>
    <t>LB72A</t>
  </si>
  <si>
    <t>FZ42A</t>
  </si>
  <si>
    <t>HA56A</t>
  </si>
  <si>
    <t>HA56B</t>
  </si>
  <si>
    <t>FZ88A</t>
  </si>
  <si>
    <t>FZ83F</t>
  </si>
  <si>
    <t>LB42C</t>
  </si>
  <si>
    <t>LB09D</t>
  </si>
  <si>
    <t>HA51Z</t>
  </si>
  <si>
    <t>FZ70Z</t>
  </si>
  <si>
    <t>MA30Z</t>
  </si>
  <si>
    <t>FZ78D</t>
  </si>
  <si>
    <t>FZ18F</t>
  </si>
  <si>
    <t>FZ83D</t>
  </si>
  <si>
    <t>HA73B</t>
  </si>
  <si>
    <t>FZ23B</t>
  </si>
  <si>
    <t>FZ78B</t>
  </si>
  <si>
    <t>JA25Z</t>
  </si>
  <si>
    <t>NZ16Z</t>
  </si>
  <si>
    <t>HB39Z</t>
  </si>
  <si>
    <t>LB54D</t>
  </si>
  <si>
    <t>GA10G</t>
  </si>
  <si>
    <t>JA21B</t>
  </si>
  <si>
    <t>HA62Z</t>
  </si>
  <si>
    <t>HA13C</t>
  </si>
  <si>
    <t>FZ24E</t>
  </si>
  <si>
    <t>MA20Z</t>
  </si>
  <si>
    <t>FZ13C</t>
  </si>
  <si>
    <t>FZ88B</t>
  </si>
  <si>
    <t>WA14B</t>
  </si>
  <si>
    <t>NZ12D</t>
  </si>
  <si>
    <t>SA20A</t>
  </si>
  <si>
    <t>SA21A</t>
  </si>
  <si>
    <t>HB59Z</t>
  </si>
  <si>
    <t>GB07Z</t>
  </si>
  <si>
    <t>NZ13B</t>
  </si>
  <si>
    <t>FZ64B</t>
  </si>
  <si>
    <t>LB42B</t>
  </si>
  <si>
    <t>HA22C</t>
  </si>
  <si>
    <t>HA53Z</t>
  </si>
  <si>
    <t>LB53B</t>
  </si>
  <si>
    <t>LB56D</t>
  </si>
  <si>
    <t>LB09C</t>
  </si>
  <si>
    <t>GB04D</t>
  </si>
  <si>
    <t>FZ58A</t>
  </si>
  <si>
    <t>LB54C</t>
  </si>
  <si>
    <t>FZ58B</t>
  </si>
  <si>
    <t>NZ22Z</t>
  </si>
  <si>
    <t>NZ14B</t>
  </si>
  <si>
    <t>FZ62B</t>
  </si>
  <si>
    <t>NZ21Z</t>
  </si>
  <si>
    <t>FZ13D</t>
  </si>
  <si>
    <t>JA19Z</t>
  </si>
  <si>
    <t>LB72B</t>
  </si>
  <si>
    <t>FZ23A</t>
  </si>
  <si>
    <t>GB04E</t>
  </si>
  <si>
    <t>FZ42B</t>
  </si>
  <si>
    <t>LB56C</t>
  </si>
  <si>
    <t>HA55Z</t>
  </si>
  <si>
    <t>JA30Z</t>
  </si>
  <si>
    <t>HC06Z</t>
  </si>
  <si>
    <t>NZ23Z</t>
  </si>
  <si>
    <t>HA35Z</t>
  </si>
  <si>
    <t>FZ62A</t>
  </si>
  <si>
    <t>HB19Z</t>
  </si>
  <si>
    <t>FZ64A</t>
  </si>
  <si>
    <t>EA01Z</t>
  </si>
  <si>
    <t>FZ19A</t>
  </si>
  <si>
    <t>NZ27Z</t>
  </si>
  <si>
    <t>Data source</t>
  </si>
  <si>
    <t>PRICES</t>
  </si>
  <si>
    <t>NHS England</t>
  </si>
  <si>
    <t>Frontload</t>
  </si>
  <si>
    <t>Residual</t>
  </si>
  <si>
    <t xml:space="preserve">follow-up </t>
  </si>
  <si>
    <t xml:space="preserve">first attendance </t>
  </si>
  <si>
    <t>FA</t>
  </si>
  <si>
    <t>FU</t>
  </si>
  <si>
    <t>Resultant Adjustment (£)</t>
  </si>
  <si>
    <t>Cost (£)</t>
  </si>
  <si>
    <t>QUANTUM</t>
  </si>
  <si>
    <t>Monitor</t>
  </si>
  <si>
    <t>2013/14</t>
  </si>
  <si>
    <t>2014/15</t>
  </si>
  <si>
    <t>2015/16</t>
  </si>
  <si>
    <t>Inflation</t>
  </si>
  <si>
    <t>Inflation &amp; efficiency</t>
  </si>
  <si>
    <t>2015/16 Modelled Prices</t>
  </si>
  <si>
    <t>Sub-chapter</t>
  </si>
  <si>
    <t>AA</t>
  </si>
  <si>
    <t>AB</t>
  </si>
  <si>
    <t>BZ</t>
  </si>
  <si>
    <t>DZ</t>
  </si>
  <si>
    <t>EA</t>
  </si>
  <si>
    <t>EB</t>
  </si>
  <si>
    <t>FZ</t>
  </si>
  <si>
    <t>GA</t>
  </si>
  <si>
    <t>GB</t>
  </si>
  <si>
    <t>GC</t>
  </si>
  <si>
    <t>HA</t>
  </si>
  <si>
    <t>HB</t>
  </si>
  <si>
    <t>HC</t>
  </si>
  <si>
    <t>HD</t>
  </si>
  <si>
    <t>HR</t>
  </si>
  <si>
    <t>JA</t>
  </si>
  <si>
    <t>JC</t>
  </si>
  <si>
    <t>JD</t>
  </si>
  <si>
    <t>KA</t>
  </si>
  <si>
    <t>KB</t>
  </si>
  <si>
    <t>KC</t>
  </si>
  <si>
    <t>LA</t>
  </si>
  <si>
    <t>LB</t>
  </si>
  <si>
    <t>LD</t>
  </si>
  <si>
    <t>MA</t>
  </si>
  <si>
    <t>MB</t>
  </si>
  <si>
    <t>NZ</t>
  </si>
  <si>
    <t>PB</t>
  </si>
  <si>
    <t>RA</t>
  </si>
  <si>
    <t>SA</t>
  </si>
  <si>
    <t>SB</t>
  </si>
  <si>
    <t>SC</t>
  </si>
  <si>
    <t>UZ</t>
  </si>
  <si>
    <t>VA</t>
  </si>
  <si>
    <t>WA</t>
  </si>
  <si>
    <t>2015/16 Quantum adjustment</t>
  </si>
  <si>
    <t>Mixed (Monitor &amp; External)</t>
  </si>
  <si>
    <t>6. Final Draft Prices</t>
  </si>
  <si>
    <t xml:space="preserve">5. Prices - Modelled price or Roll-forward prices (Y/N) </t>
  </si>
  <si>
    <t>4. Price adjustments (low volume, paediatric-adult relativities)</t>
  </si>
  <si>
    <t>1. Shadow modelled Prices</t>
  </si>
  <si>
    <t>Allocate OPROC cost</t>
  </si>
  <si>
    <t>Front-loading</t>
  </si>
  <si>
    <t>Further adjustment</t>
  </si>
  <si>
    <t>Roll-over</t>
  </si>
  <si>
    <t>HRG</t>
  </si>
  <si>
    <t>Method for price
FAS</t>
  </si>
  <si>
    <t>Method for price
FAM</t>
  </si>
  <si>
    <t>Method for price
FUS</t>
  </si>
  <si>
    <t>Method for price
FUM</t>
  </si>
  <si>
    <t>WF01B
Modelled or roll-over</t>
  </si>
  <si>
    <t>WF02B
Modelled or roll-over</t>
  </si>
  <si>
    <t>WF01A
Modelled or roll-over</t>
  </si>
  <si>
    <t>WF02A
Modelled or roll-over</t>
  </si>
  <si>
    <t>Revised TOTAL ACT</t>
  </si>
  <si>
    <t>Revised TC</t>
  </si>
  <si>
    <t>HRG_CODE</t>
  </si>
  <si>
    <t>Adjustment Type</t>
  </si>
  <si>
    <t>Efficiency*</t>
  </si>
  <si>
    <t>Inflation and Efficiency (total adjustment)</t>
  </si>
  <si>
    <t>VB</t>
  </si>
  <si>
    <t>Unbundled services</t>
  </si>
  <si>
    <t>Maternity pathway</t>
  </si>
  <si>
    <t>Other mandatory prices</t>
  </si>
  <si>
    <t>Non-mandatory Prices</t>
  </si>
  <si>
    <t>OPATT</t>
  </si>
  <si>
    <t>DEPARTMENT</t>
  </si>
  <si>
    <t>SERVICE</t>
  </si>
  <si>
    <t>CURRENCY</t>
  </si>
  <si>
    <t>HRG UC (Target MFF)</t>
  </si>
  <si>
    <t>OPROC</t>
  </si>
  <si>
    <t>HB25F</t>
  </si>
  <si>
    <t>SA13B</t>
  </si>
  <si>
    <t>FZ59Z</t>
  </si>
  <si>
    <t>FZ50Z</t>
  </si>
  <si>
    <t>MA25Z</t>
  </si>
  <si>
    <t>HB79Z</t>
  </si>
  <si>
    <t>HB35C</t>
  </si>
  <si>
    <t>AB05Z</t>
  </si>
  <si>
    <t>KB04Z</t>
  </si>
  <si>
    <t>LB17Z</t>
  </si>
  <si>
    <t>EA47Z</t>
  </si>
  <si>
    <t>LB27Z</t>
  </si>
  <si>
    <t>AB09Z</t>
  </si>
  <si>
    <t>MA23Z</t>
  </si>
  <si>
    <t>FZ51Z</t>
  </si>
  <si>
    <t>BZ07B</t>
  </si>
  <si>
    <t>DZ37A</t>
  </si>
  <si>
    <t>AA33C</t>
  </si>
  <si>
    <t>AB06Z</t>
  </si>
  <si>
    <t>DZ50Z</t>
  </si>
  <si>
    <t>FZ60Z</t>
  </si>
  <si>
    <t>HB56C</t>
  </si>
  <si>
    <t>BZ23Z</t>
  </si>
  <si>
    <t>FZ54Z</t>
  </si>
  <si>
    <t>DZ32Z</t>
  </si>
  <si>
    <t>FZ52Z</t>
  </si>
  <si>
    <t>HB29Z</t>
  </si>
  <si>
    <t>MA10Z</t>
  </si>
  <si>
    <t>FZ57Z</t>
  </si>
  <si>
    <t>HB69Z</t>
  </si>
  <si>
    <t>FZ61Z</t>
  </si>
  <si>
    <t>LB42A</t>
  </si>
  <si>
    <t>FZ55Z</t>
  </si>
  <si>
    <t>EA45Z</t>
  </si>
  <si>
    <t>DZ31Z</t>
  </si>
  <si>
    <t>LB15E</t>
  </si>
  <si>
    <t>DZ42Z</t>
  </si>
  <si>
    <t>DZ52Z</t>
  </si>
  <si>
    <t>SA13A</t>
  </si>
  <si>
    <t>BZ10B</t>
  </si>
  <si>
    <t>Total costs</t>
  </si>
  <si>
    <t>Total activities</t>
  </si>
  <si>
    <t>[Stage].[OPROC_National_Data]</t>
  </si>
  <si>
    <t>Price Adjustments</t>
  </si>
  <si>
    <t>WF01A</t>
  </si>
  <si>
    <t>WF01B</t>
  </si>
  <si>
    <t>WF02A</t>
  </si>
  <si>
    <t>WF02B</t>
  </si>
  <si>
    <t>Worksheet / Intermediary steps</t>
  </si>
  <si>
    <t xml:space="preserve"> [output].[09NonMandHRGOPATT]</t>
  </si>
  <si>
    <t>Exclusions</t>
  </si>
  <si>
    <t>1) Monitor SQL
2) Monitor SQL
3) Monitor</t>
  </si>
  <si>
    <t>Non-mandatory OPROC HRGs</t>
  </si>
  <si>
    <t>OPATT_Cost_Quantum</t>
  </si>
  <si>
    <t>OPATT_Activities</t>
  </si>
  <si>
    <t>Mandatory TFCs</t>
  </si>
  <si>
    <t>Mapping HRGs to TFCs</t>
  </si>
  <si>
    <t>HRGs to TFCs % Split</t>
  </si>
  <si>
    <t>OPATT Post-sql step calculation</t>
  </si>
  <si>
    <t>Monitor website: http://www.monitor.gov.uk/NT</t>
  </si>
  <si>
    <t>Impact of Rebundling of Outpatient Procedure Activity</t>
  </si>
  <si>
    <t>7. Quantum Reconciliation</t>
  </si>
  <si>
    <t>9. Final Prices</t>
  </si>
  <si>
    <t>New quan inc manual adjustments</t>
  </si>
  <si>
    <t>Manual adjustments</t>
  </si>
  <si>
    <t>This worksheet has the 2014/15 published prices</t>
  </si>
  <si>
    <t>Price</t>
  </si>
  <si>
    <t>8. Prices post manual adjustments</t>
  </si>
  <si>
    <t>Post manual recon</t>
  </si>
  <si>
    <t>Reconciles pre manual adjustments prices to post manual adjustments prices</t>
  </si>
  <si>
    <t>This worksheet has the 2015/16 manual adjustments</t>
  </si>
  <si>
    <t>2015-16 tariff - outpatient attendances</t>
  </si>
  <si>
    <t>Expert comments</t>
  </si>
  <si>
    <t>Final Monitor comments</t>
  </si>
  <si>
    <t>14-15 tariff</t>
  </si>
  <si>
    <t>Home</t>
  </si>
  <si>
    <t>Percentage change after front loading</t>
  </si>
  <si>
    <t>Quantum change as percentage of post adjustment quantum.</t>
  </si>
  <si>
    <t>Model</t>
  </si>
  <si>
    <t>TFC description</t>
  </si>
  <si>
    <t>Target quantum</t>
  </si>
  <si>
    <t>Best Practice Tariffs</t>
  </si>
  <si>
    <t>WF01A
Follow Up Attendance - Single Professional</t>
  </si>
  <si>
    <t>WF02A
Follow Up Attendance - Multi Professional</t>
  </si>
  <si>
    <t>Resulting quantum to be adjusted</t>
  </si>
  <si>
    <t>Total quantum of eligible prices for QR2</t>
  </si>
  <si>
    <t>BPT TFCs</t>
  </si>
  <si>
    <t>resulting QR figure</t>
  </si>
  <si>
    <t>Manually adjusted / BPT (Y/N)</t>
  </si>
  <si>
    <t>Check</t>
  </si>
  <si>
    <t>WF01B
First Attendance - Single Professional</t>
  </si>
  <si>
    <t>WF02B
First Attendance - Multi Professional</t>
  </si>
  <si>
    <t>Excluded from QR2 (0 = No, 1 = Yes)</t>
  </si>
  <si>
    <t>Final Prices inc. rounding</t>
  </si>
  <si>
    <t>Excluded from QR2 (0 = Yes, 1 = No)</t>
  </si>
  <si>
    <t>Output for non-mandatory</t>
  </si>
  <si>
    <t>Output for Non-mandatory model</t>
  </si>
  <si>
    <t>2 &gt;&gt; SQL code</t>
  </si>
  <si>
    <t>This worksheet shows the OPATT SQL codes</t>
  </si>
  <si>
    <t>OPATT SQL code</t>
  </si>
  <si>
    <t>4 &gt;&gt; Non SQL inputs</t>
  </si>
  <si>
    <t>5 &gt;&gt; Processing</t>
  </si>
  <si>
    <t>6 &gt;&gt; Output</t>
  </si>
  <si>
    <t>Pre TED Expert comments</t>
  </si>
  <si>
    <t>Monitor (pre TED) assessment</t>
  </si>
  <si>
    <t>Summary of TED responses and other post TED comments</t>
  </si>
  <si>
    <t>Monitor (post TED) assessment</t>
  </si>
  <si>
    <t>Final (post TED) implementation instructions for manual adjustments</t>
  </si>
  <si>
    <t>Quantum change resulting from front loading and limiting costs increase to 150%</t>
  </si>
  <si>
    <t>Activities</t>
  </si>
  <si>
    <t>FAS activities</t>
  </si>
  <si>
    <t>FAM activities</t>
  </si>
  <si>
    <t>FUS activities</t>
  </si>
  <si>
    <t>FUM activities</t>
  </si>
  <si>
    <t xml:space="preserve">Prices </t>
  </si>
  <si>
    <t>15-16 tariff</t>
  </si>
  <si>
    <t>This worksheet has the 2015/16 published prices</t>
  </si>
  <si>
    <t>This worksheet has all manual adjustments</t>
  </si>
  <si>
    <t>OPATT Prices</t>
  </si>
  <si>
    <t>2016-17 tariff - outpatient attendances</t>
  </si>
  <si>
    <t>2016/17 SQL figures</t>
  </si>
  <si>
    <t>2016/17 OPROC Allocated costs</t>
  </si>
  <si>
    <t>2016/17 Front-loading Revised figures</t>
  </si>
  <si>
    <t>2016/17 Price adjustment Revised figures</t>
  </si>
  <si>
    <t>5a. 2016/17 Modelled Prices (formularised)</t>
  </si>
  <si>
    <t>5c. 2016/17 prices Roll-over Method</t>
  </si>
  <si>
    <t>2016/17 prices Roll-over Method</t>
  </si>
  <si>
    <t>2016/17 Adjusted price</t>
  </si>
  <si>
    <t>2016/17 prices after manual adjustments</t>
  </si>
  <si>
    <t>2016/17 Final Adjusted inc QR from manual adjustment</t>
  </si>
  <si>
    <t>2016-17 tariff - outpatient attendances prices</t>
  </si>
  <si>
    <t>11. Final Prices (rounded)</t>
  </si>
  <si>
    <t>Prices inc. uplifts</t>
  </si>
  <si>
    <t>10. Prices (inc. 16/17 uplifts )</t>
  </si>
  <si>
    <t xml:space="preserve">Table 1 :  Price Adjustments : Inflation and Efficiency </t>
  </si>
  <si>
    <t>2016/17</t>
  </si>
  <si>
    <t>Total uplift up to 15/16 price levels</t>
  </si>
  <si>
    <t>* In 2015-16 the efficiency assumption of 4% was reduced by 0.2%</t>
  </si>
  <si>
    <t>Scaling factor</t>
  </si>
  <si>
    <t>Table 2:  Price Adjustments : CNST increase / decrease</t>
  </si>
  <si>
    <t>Table 3: Quantum reconciliation (QR) for APC and OPROC</t>
  </si>
  <si>
    <t>QR1 (RC TARGET)</t>
  </si>
  <si>
    <t>QR1 + SCALING</t>
  </si>
  <si>
    <t>SMOOTHING ADJUSTMENT</t>
  </si>
  <si>
    <t>Maternity</t>
  </si>
  <si>
    <r>
      <rPr>
        <u/>
        <sz val="10"/>
        <color theme="1"/>
        <rFont val="Calibri"/>
        <family val="2"/>
        <scheme val="minor"/>
      </rPr>
      <t>Note</t>
    </r>
    <r>
      <rPr>
        <sz val="10"/>
        <color theme="1"/>
        <rFont val="Calibri"/>
        <family val="2"/>
        <scheme val="minor"/>
      </rPr>
      <t>: Maternity is delivery element only.</t>
    </r>
  </si>
  <si>
    <t xml:space="preserve"> Table 4: Quantum Reconciliation (QR1) for the rest of the models</t>
  </si>
  <si>
    <t>Outpatient Attendances (OPATT)</t>
  </si>
  <si>
    <t>Accident and Emergency (A&amp;E)</t>
  </si>
  <si>
    <t>Other factor</t>
  </si>
  <si>
    <t>2016/17 Inflation &amp; efficiency</t>
  </si>
  <si>
    <t>CA</t>
  </si>
  <si>
    <t>CB</t>
  </si>
  <si>
    <t>CD</t>
  </si>
  <si>
    <t>EC</t>
  </si>
  <si>
    <t>JB</t>
  </si>
  <si>
    <t>LE</t>
  </si>
  <si>
    <t>MC</t>
  </si>
  <si>
    <t>PC</t>
  </si>
  <si>
    <t>PD</t>
  </si>
  <si>
    <t>PE</t>
  </si>
  <si>
    <t>PF</t>
  </si>
  <si>
    <t>PG</t>
  </si>
  <si>
    <t>PH</t>
  </si>
  <si>
    <t>PJ</t>
  </si>
  <si>
    <t>PK</t>
  </si>
  <si>
    <t>PL</t>
  </si>
  <si>
    <t>PM</t>
  </si>
  <si>
    <t>PN</t>
  </si>
  <si>
    <t>PP</t>
  </si>
  <si>
    <t>PR</t>
  </si>
  <si>
    <t>PT</t>
  </si>
  <si>
    <t>PV</t>
  </si>
  <si>
    <t>PW</t>
  </si>
  <si>
    <t>PX</t>
  </si>
  <si>
    <t>SD</t>
  </si>
  <si>
    <t>VC</t>
  </si>
  <si>
    <t>WD</t>
  </si>
  <si>
    <t>WF</t>
  </si>
  <si>
    <t>XA</t>
  </si>
  <si>
    <t>XB</t>
  </si>
  <si>
    <t>XC</t>
  </si>
  <si>
    <t>XD</t>
  </si>
  <si>
    <t>YQ</t>
  </si>
  <si>
    <t>YR</t>
  </si>
  <si>
    <t>YZ</t>
  </si>
  <si>
    <t>ZZ</t>
  </si>
  <si>
    <t>AA03D</t>
  </si>
  <si>
    <t>AA09E</t>
  </si>
  <si>
    <t>AA15E</t>
  </si>
  <si>
    <t>AA21G</t>
  </si>
  <si>
    <t>AA40Z</t>
  </si>
  <si>
    <t>AA42Z</t>
  </si>
  <si>
    <t>BZ01B</t>
  </si>
  <si>
    <t>BZ02C</t>
  </si>
  <si>
    <t>BZ03B</t>
  </si>
  <si>
    <t>BZ04B</t>
  </si>
  <si>
    <t>BZ05B</t>
  </si>
  <si>
    <t>BZ06D</t>
  </si>
  <si>
    <t>BZ07E</t>
  </si>
  <si>
    <t>BZ08B</t>
  </si>
  <si>
    <t>BZ08D</t>
  </si>
  <si>
    <t>BZ09D</t>
  </si>
  <si>
    <t>BZ10D</t>
  </si>
  <si>
    <t>BZ12B</t>
  </si>
  <si>
    <t>BZ13B</t>
  </si>
  <si>
    <t>BZ15D</t>
  </si>
  <si>
    <t>BZ17B</t>
  </si>
  <si>
    <t>BZ18B</t>
  </si>
  <si>
    <t>BZ19B</t>
  </si>
  <si>
    <t>BZ20B</t>
  </si>
  <si>
    <t>BZ21C</t>
  </si>
  <si>
    <t>BZ22B</t>
  </si>
  <si>
    <t>CA03B</t>
  </si>
  <si>
    <t>CA04A</t>
  </si>
  <si>
    <t>CA04B</t>
  </si>
  <si>
    <t>CA05A</t>
  </si>
  <si>
    <t>CA05B</t>
  </si>
  <si>
    <t>CA10A</t>
  </si>
  <si>
    <t>CA11A</t>
  </si>
  <si>
    <t>CA12Z</t>
  </si>
  <si>
    <t>CA13A</t>
  </si>
  <si>
    <t>CA13B</t>
  </si>
  <si>
    <t>CA14Z</t>
  </si>
  <si>
    <t>CA15Z</t>
  </si>
  <si>
    <t>CA16Z</t>
  </si>
  <si>
    <t>CA20Z</t>
  </si>
  <si>
    <t>CA21Z</t>
  </si>
  <si>
    <t>CA22Z</t>
  </si>
  <si>
    <t>CA23Z</t>
  </si>
  <si>
    <t>CA24A</t>
  </si>
  <si>
    <t>CA24B</t>
  </si>
  <si>
    <t>CA25A</t>
  </si>
  <si>
    <t>CA25B</t>
  </si>
  <si>
    <t>CA26Z</t>
  </si>
  <si>
    <t>CA27Z</t>
  </si>
  <si>
    <t>CA28Z</t>
  </si>
  <si>
    <t>CA29Z</t>
  </si>
  <si>
    <t>CA30A</t>
  </si>
  <si>
    <t>CA31Z</t>
  </si>
  <si>
    <t>CA32A</t>
  </si>
  <si>
    <t>CA32B</t>
  </si>
  <si>
    <t>CA33Z</t>
  </si>
  <si>
    <t>CA34A</t>
  </si>
  <si>
    <t>CA34B</t>
  </si>
  <si>
    <t>CA35A</t>
  </si>
  <si>
    <t>CA35B</t>
  </si>
  <si>
    <t>CA36A</t>
  </si>
  <si>
    <t>CA36B</t>
  </si>
  <si>
    <t>CA37A</t>
  </si>
  <si>
    <t>CA37B</t>
  </si>
  <si>
    <t>CA37C</t>
  </si>
  <si>
    <t>CA38A</t>
  </si>
  <si>
    <t>CA38B</t>
  </si>
  <si>
    <t>CA39Z</t>
  </si>
  <si>
    <t>CA40Z</t>
  </si>
  <si>
    <t>CA42Z</t>
  </si>
  <si>
    <t>CA43Z</t>
  </si>
  <si>
    <t>CA50Z</t>
  </si>
  <si>
    <t>CA51A</t>
  </si>
  <si>
    <t>CA51B</t>
  </si>
  <si>
    <t>CA52A</t>
  </si>
  <si>
    <t>CA52B</t>
  </si>
  <si>
    <t>CA53A</t>
  </si>
  <si>
    <t>CA53B</t>
  </si>
  <si>
    <t>CA54A</t>
  </si>
  <si>
    <t>CA54B</t>
  </si>
  <si>
    <t>CA55A</t>
  </si>
  <si>
    <t>CA55B</t>
  </si>
  <si>
    <t>CA60A</t>
  </si>
  <si>
    <t>CA60B</t>
  </si>
  <si>
    <t>CA61Z</t>
  </si>
  <si>
    <t>CA62Z</t>
  </si>
  <si>
    <t>CA63Z</t>
  </si>
  <si>
    <t>CA65Z</t>
  </si>
  <si>
    <t>CA66A</t>
  </si>
  <si>
    <t>CA66B</t>
  </si>
  <si>
    <t>CA67B</t>
  </si>
  <si>
    <t>CA68A</t>
  </si>
  <si>
    <t>CA68B</t>
  </si>
  <si>
    <t>CA69A</t>
  </si>
  <si>
    <t>CA69B</t>
  </si>
  <si>
    <t>CA69C</t>
  </si>
  <si>
    <t>CA70Z</t>
  </si>
  <si>
    <t>CA71A</t>
  </si>
  <si>
    <t>CA71B</t>
  </si>
  <si>
    <t>CA80C</t>
  </si>
  <si>
    <t>CA81B</t>
  </si>
  <si>
    <t>CA81C</t>
  </si>
  <si>
    <t>CA82B</t>
  </si>
  <si>
    <t>CA82C</t>
  </si>
  <si>
    <t>CA82D</t>
  </si>
  <si>
    <t>CA83B</t>
  </si>
  <si>
    <t>CA83C</t>
  </si>
  <si>
    <t>CA84B</t>
  </si>
  <si>
    <t>CA84C</t>
  </si>
  <si>
    <t>CA85A</t>
  </si>
  <si>
    <t>CA85B</t>
  </si>
  <si>
    <t>CA85C</t>
  </si>
  <si>
    <t>CA86A</t>
  </si>
  <si>
    <t>CA86B</t>
  </si>
  <si>
    <t>CA86C</t>
  </si>
  <si>
    <t>CA92B</t>
  </si>
  <si>
    <t>CA93B</t>
  </si>
  <si>
    <t>CA94Z</t>
  </si>
  <si>
    <t>CA95Z</t>
  </si>
  <si>
    <t>CA96Z</t>
  </si>
  <si>
    <t>CA97Z</t>
  </si>
  <si>
    <t>CA98Z</t>
  </si>
  <si>
    <t>CD01A</t>
  </si>
  <si>
    <t>CD01B</t>
  </si>
  <si>
    <t>CD02A</t>
  </si>
  <si>
    <t>CD02B</t>
  </si>
  <si>
    <t>CD03A</t>
  </si>
  <si>
    <t>CD03B</t>
  </si>
  <si>
    <t>CD04A</t>
  </si>
  <si>
    <t>CD04B</t>
  </si>
  <si>
    <t>CD05A</t>
  </si>
  <si>
    <t>CD05B</t>
  </si>
  <si>
    <t>CD06A</t>
  </si>
  <si>
    <t>CD06B</t>
  </si>
  <si>
    <t>CD07A</t>
  </si>
  <si>
    <t>CD07B</t>
  </si>
  <si>
    <t>CD08Z</t>
  </si>
  <si>
    <t>CD09A</t>
  </si>
  <si>
    <t>CD09B</t>
  </si>
  <si>
    <t>CD10A</t>
  </si>
  <si>
    <t>CD10B</t>
  </si>
  <si>
    <t>CD11A</t>
  </si>
  <si>
    <t>CD11B</t>
  </si>
  <si>
    <t>CD12A</t>
  </si>
  <si>
    <t>CD12B</t>
  </si>
  <si>
    <t>DZ02K</t>
  </si>
  <si>
    <t>DZ02L</t>
  </si>
  <si>
    <t>DZ02M</t>
  </si>
  <si>
    <t>DZ06A</t>
  </si>
  <si>
    <t>DZ06B</t>
  </si>
  <si>
    <t>DZ55Z</t>
  </si>
  <si>
    <t>DZ56Z</t>
  </si>
  <si>
    <t>DZ57Z</t>
  </si>
  <si>
    <t>DZ58Z</t>
  </si>
  <si>
    <t>DZ59Z</t>
  </si>
  <si>
    <t>DZ60Z</t>
  </si>
  <si>
    <t>DZ63C</t>
  </si>
  <si>
    <t>DZ63D</t>
  </si>
  <si>
    <t>DZ64C</t>
  </si>
  <si>
    <t>DZ64D</t>
  </si>
  <si>
    <t>DZ64E</t>
  </si>
  <si>
    <t>EA03E</t>
  </si>
  <si>
    <t>EA05D</t>
  </si>
  <si>
    <t>EA07C</t>
  </si>
  <si>
    <t>EA11B</t>
  </si>
  <si>
    <t>EA12D</t>
  </si>
  <si>
    <t>EA14D</t>
  </si>
  <si>
    <t>EA17D</t>
  </si>
  <si>
    <t>EA20C</t>
  </si>
  <si>
    <t>EA29C</t>
  </si>
  <si>
    <t>EA31D</t>
  </si>
  <si>
    <t>EA35D</t>
  </si>
  <si>
    <t>EA36H</t>
  </si>
  <si>
    <t>EA39C</t>
  </si>
  <si>
    <t>EA44B</t>
  </si>
  <si>
    <t>EA49D</t>
  </si>
  <si>
    <t>EA56C</t>
  </si>
  <si>
    <t>EA57B</t>
  </si>
  <si>
    <t>EC01A</t>
  </si>
  <si>
    <t>FZ12Q</t>
  </si>
  <si>
    <t>FZ12S</t>
  </si>
  <si>
    <t>FZ17G</t>
  </si>
  <si>
    <t>FZ18K</t>
  </si>
  <si>
    <t>FZ20J</t>
  </si>
  <si>
    <t>FZ21D</t>
  </si>
  <si>
    <t>FZ22E</t>
  </si>
  <si>
    <t>FZ24J</t>
  </si>
  <si>
    <t>FZ27G</t>
  </si>
  <si>
    <t>FZ66F</t>
  </si>
  <si>
    <t>FZ67F</t>
  </si>
  <si>
    <t>FZ68H</t>
  </si>
  <si>
    <t>FZ68L</t>
  </si>
  <si>
    <t>FZ71G</t>
  </si>
  <si>
    <t>FZ73F</t>
  </si>
  <si>
    <t>FZ74F</t>
  </si>
  <si>
    <t>FZ75E</t>
  </si>
  <si>
    <t>FZ76D</t>
  </si>
  <si>
    <t>FZ77E</t>
  </si>
  <si>
    <t>FZ80E</t>
  </si>
  <si>
    <t>FZ81E</t>
  </si>
  <si>
    <t>FZ82D</t>
  </si>
  <si>
    <t>FZ83K</t>
  </si>
  <si>
    <t>FZ87G</t>
  </si>
  <si>
    <t>FZ89Z</t>
  </si>
  <si>
    <t>GA03E</t>
  </si>
  <si>
    <t>GA04D</t>
  </si>
  <si>
    <t>GA05D</t>
  </si>
  <si>
    <t>GA06D</t>
  </si>
  <si>
    <t>GA07E</t>
  </si>
  <si>
    <t>GA10K</t>
  </si>
  <si>
    <t>GA10N</t>
  </si>
  <si>
    <t>GB01F</t>
  </si>
  <si>
    <t>GB02F</t>
  </si>
  <si>
    <t>GB03F</t>
  </si>
  <si>
    <t>GB05H</t>
  </si>
  <si>
    <t>GB06H</t>
  </si>
  <si>
    <t>GB08D</t>
  </si>
  <si>
    <t>GB09F</t>
  </si>
  <si>
    <t>HA12C</t>
  </si>
  <si>
    <t>HA31C</t>
  </si>
  <si>
    <t>HA34Z</t>
  </si>
  <si>
    <t>HA61C</t>
  </si>
  <si>
    <t>HA63Z</t>
  </si>
  <si>
    <t>HA72Z</t>
  </si>
  <si>
    <t>HA73C</t>
  </si>
  <si>
    <t>HC01C</t>
  </si>
  <si>
    <t>HC02F</t>
  </si>
  <si>
    <t>HC03F</t>
  </si>
  <si>
    <t>HC04F</t>
  </si>
  <si>
    <t>HC05F</t>
  </si>
  <si>
    <t>HC07B</t>
  </si>
  <si>
    <t>HR07A</t>
  </si>
  <si>
    <t>HR08A</t>
  </si>
  <si>
    <t>HR09A</t>
  </si>
  <si>
    <t>JA18Z</t>
  </si>
  <si>
    <t>JA20F</t>
  </si>
  <si>
    <t>JA24F</t>
  </si>
  <si>
    <t>JA34Z</t>
  </si>
  <si>
    <t>JB33B</t>
  </si>
  <si>
    <t>JC40Z</t>
  </si>
  <si>
    <t>JC41Z</t>
  </si>
  <si>
    <t>JC42A</t>
  </si>
  <si>
    <t>JC42B</t>
  </si>
  <si>
    <t>JC43A</t>
  </si>
  <si>
    <t>JC43B</t>
  </si>
  <si>
    <t>JC44Z</t>
  </si>
  <si>
    <t>JC45A</t>
  </si>
  <si>
    <t>JC45B</t>
  </si>
  <si>
    <t>JC46Z</t>
  </si>
  <si>
    <t>JC47A</t>
  </si>
  <si>
    <t>JC47B</t>
  </si>
  <si>
    <t>KA03D</t>
  </si>
  <si>
    <t>KA04B</t>
  </si>
  <si>
    <t>KA09E</t>
  </si>
  <si>
    <t>LB05G</t>
  </si>
  <si>
    <t>LB10D</t>
  </si>
  <si>
    <t>LB13F</t>
  </si>
  <si>
    <t>LB21B</t>
  </si>
  <si>
    <t>LB25F</t>
  </si>
  <si>
    <t>LB26B</t>
  </si>
  <si>
    <t>LB39D</t>
  </si>
  <si>
    <t>LB50Z</t>
  </si>
  <si>
    <t>LB51B</t>
  </si>
  <si>
    <t>LB52B</t>
  </si>
  <si>
    <t>LB53D</t>
  </si>
  <si>
    <t>LB60F</t>
  </si>
  <si>
    <t>LB61G</t>
  </si>
  <si>
    <t>LB62D</t>
  </si>
  <si>
    <t>LB63D</t>
  </si>
  <si>
    <t>LB64E</t>
  </si>
  <si>
    <t>LB65E</t>
  </si>
  <si>
    <t>LB66Z</t>
  </si>
  <si>
    <t>LB67D</t>
  </si>
  <si>
    <t>MA02C</t>
  </si>
  <si>
    <t>MA03D</t>
  </si>
  <si>
    <t>MA04D</t>
  </si>
  <si>
    <t>MA07G</t>
  </si>
  <si>
    <t>MA08B</t>
  </si>
  <si>
    <t>MA31Z</t>
  </si>
  <si>
    <t>MA32Z</t>
  </si>
  <si>
    <t>MA33Z</t>
  </si>
  <si>
    <t>MA34Z</t>
  </si>
  <si>
    <t>MA35Z</t>
  </si>
  <si>
    <t>MA36Z</t>
  </si>
  <si>
    <t>MA37Z</t>
  </si>
  <si>
    <t>MA38Z</t>
  </si>
  <si>
    <t>MA39Z</t>
  </si>
  <si>
    <t>MA40Z</t>
  </si>
  <si>
    <t>NZ24B</t>
  </si>
  <si>
    <t>NZ30C</t>
  </si>
  <si>
    <t>NZ31C</t>
  </si>
  <si>
    <t>NZ32C</t>
  </si>
  <si>
    <t>NZ40C</t>
  </si>
  <si>
    <t>NZ41C</t>
  </si>
  <si>
    <t>NZ42C</t>
  </si>
  <si>
    <t>NZ44C</t>
  </si>
  <si>
    <t>NZ50C</t>
  </si>
  <si>
    <t>NZ51C</t>
  </si>
  <si>
    <t>SA16Z</t>
  </si>
  <si>
    <t>SA28B</t>
  </si>
  <si>
    <t>SB97Z</t>
  </si>
  <si>
    <t>SC97Z</t>
  </si>
  <si>
    <t>WA21Z</t>
  </si>
  <si>
    <t>WA24B</t>
  </si>
  <si>
    <t>YQ02Z</t>
  </si>
  <si>
    <t>YQ03B</t>
  </si>
  <si>
    <t>YQ05B</t>
  </si>
  <si>
    <t>YQ12D</t>
  </si>
  <si>
    <t>YQ13B</t>
  </si>
  <si>
    <t>YQ14Z</t>
  </si>
  <si>
    <t>YQ16Z</t>
  </si>
  <si>
    <t>YQ22B</t>
  </si>
  <si>
    <t>YQ26C</t>
  </si>
  <si>
    <t>YQ31B</t>
  </si>
  <si>
    <t>YQ32B</t>
  </si>
  <si>
    <t>YQ40Z</t>
  </si>
  <si>
    <t>YQ41Z</t>
  </si>
  <si>
    <t>YQ42Z</t>
  </si>
  <si>
    <t>YR04Z</t>
  </si>
  <si>
    <t>YR10C</t>
  </si>
  <si>
    <t>YR11D</t>
  </si>
  <si>
    <t>YR14B</t>
  </si>
  <si>
    <t>YR15C</t>
  </si>
  <si>
    <t>YR20Z</t>
  </si>
  <si>
    <t>YR21B</t>
  </si>
  <si>
    <t>YR22C</t>
  </si>
  <si>
    <t>YR23B</t>
  </si>
  <si>
    <t>YR24B</t>
  </si>
  <si>
    <t>YR25Z</t>
  </si>
  <si>
    <t>YR26Z</t>
  </si>
  <si>
    <t>YR30Z</t>
  </si>
  <si>
    <t>YR31Z</t>
  </si>
  <si>
    <t>YR32Z</t>
  </si>
  <si>
    <t>YR33Z</t>
  </si>
  <si>
    <t>YR40A</t>
  </si>
  <si>
    <t>YR40B</t>
  </si>
  <si>
    <t>YR41A</t>
  </si>
  <si>
    <t>YR41B</t>
  </si>
  <si>
    <t>YR42A</t>
  </si>
  <si>
    <t>YR42B</t>
  </si>
  <si>
    <t>YR43A</t>
  </si>
  <si>
    <t>YR43B</t>
  </si>
  <si>
    <t>YR44A</t>
  </si>
  <si>
    <t>YR44B</t>
  </si>
  <si>
    <t>YR45Z</t>
  </si>
  <si>
    <t>YR46Z</t>
  </si>
  <si>
    <t>YR47Z</t>
  </si>
  <si>
    <t>YR48Z</t>
  </si>
  <si>
    <t>YZ01Z</t>
  </si>
  <si>
    <t>YZ02Z</t>
  </si>
  <si>
    <t>YZ03Z</t>
  </si>
  <si>
    <t>YZ05Z</t>
  </si>
  <si>
    <t>YZ06Z</t>
  </si>
  <si>
    <t>Date updated</t>
  </si>
  <si>
    <t>Cardiothoracic Transplantation</t>
  </si>
  <si>
    <t>Accident &amp; Emergency</t>
  </si>
  <si>
    <t>Paediatric Trauma and Orthopaedics</t>
  </si>
  <si>
    <t>Paediatric Ear Nose and Throat</t>
  </si>
  <si>
    <t>Paediatric Interventional Radiology</t>
  </si>
  <si>
    <t>Intermediate Care</t>
  </si>
  <si>
    <t>Cardiac Rehabilitation</t>
  </si>
  <si>
    <t>Stroke Medicine</t>
  </si>
  <si>
    <t>Congenital Heart Disease Service</t>
  </si>
  <si>
    <t>Programmed Pulmonary Rehabilitation</t>
  </si>
  <si>
    <t>Local Specialist Rehabilitation Service</t>
  </si>
  <si>
    <t>Genitourinary Medicine</t>
  </si>
  <si>
    <t>Physiotherapy</t>
  </si>
  <si>
    <t>Occupational Therapy</t>
  </si>
  <si>
    <t>Speech and Language Therapy</t>
  </si>
  <si>
    <t>Dietetics</t>
  </si>
  <si>
    <t>Clinical Psychology</t>
  </si>
  <si>
    <t>Prosthetics</t>
  </si>
  <si>
    <t>Orthotics</t>
  </si>
  <si>
    <t>Optometry</t>
  </si>
  <si>
    <t>Podiatric Surgery</t>
  </si>
  <si>
    <t>Adult Mental Illness</t>
  </si>
  <si>
    <t>Child and Adolescent Psychiatry</t>
  </si>
  <si>
    <t>Forensic Psychiatry</t>
  </si>
  <si>
    <t>Psychotherapy</t>
  </si>
  <si>
    <t>Old Age Psychiatry</t>
  </si>
  <si>
    <t>Addiction Services</t>
  </si>
  <si>
    <t>Liaison Psychiatry</t>
  </si>
  <si>
    <t>Interventional Radiology</t>
  </si>
  <si>
    <t>Medical Virology</t>
  </si>
  <si>
    <t>Diabetic Education Service</t>
  </si>
  <si>
    <t>Monitor SQL
[output].[OPATT_FinalTariff]</t>
  </si>
  <si>
    <t>Monitor SQL
[stage].[OPATT_Activity_Crosstab]</t>
  </si>
  <si>
    <t>AA29E</t>
  </si>
  <si>
    <t>BZ07C</t>
  </si>
  <si>
    <t>BZ07D</t>
  </si>
  <si>
    <t>BZ18A</t>
  </si>
  <si>
    <t>BZ19A</t>
  </si>
  <si>
    <t>BZ22A</t>
  </si>
  <si>
    <t>CA02B</t>
  </si>
  <si>
    <t>CA64Z</t>
  </si>
  <si>
    <t>CA84A</t>
  </si>
  <si>
    <t>EA48Z</t>
  </si>
  <si>
    <t>EA54B</t>
  </si>
  <si>
    <t>EA55B</t>
  </si>
  <si>
    <t>EB14B</t>
  </si>
  <si>
    <t>HC41B</t>
  </si>
  <si>
    <t>HC43Z</t>
  </si>
  <si>
    <t>JA32Z</t>
  </si>
  <si>
    <t>JB30A</t>
  </si>
  <si>
    <t>LA12B</t>
  </si>
  <si>
    <t>PX51Z</t>
  </si>
  <si>
    <t>SA01G</t>
  </si>
  <si>
    <t>SA26A</t>
  </si>
  <si>
    <t>YQ50F</t>
  </si>
  <si>
    <t>YZ07Z</t>
  </si>
  <si>
    <t>EA44A</t>
  </si>
  <si>
    <t>CA01Z</t>
  </si>
  <si>
    <t>BZ04A</t>
  </si>
  <si>
    <t>JA12D</t>
  </si>
  <si>
    <t>LA13B</t>
  </si>
  <si>
    <t>WA20Z</t>
  </si>
  <si>
    <t>PX59B</t>
  </si>
  <si>
    <t>EB12C</t>
  </si>
  <si>
    <t>Community Paediatrics</t>
  </si>
  <si>
    <t>Global Trust Codes</t>
  </si>
  <si>
    <t>Respite Care</t>
  </si>
  <si>
    <t>Complex Specialised Rehabilitation Service</t>
  </si>
  <si>
    <t>Specialist Rehabilitation Service</t>
  </si>
  <si>
    <t>Drama Therapy</t>
  </si>
  <si>
    <t>Art Therapy</t>
  </si>
  <si>
    <t>Music Therapy</t>
  </si>
  <si>
    <t>Eating Disorders</t>
  </si>
  <si>
    <t>Psychiatric Intensive Care</t>
  </si>
  <si>
    <t>Perinatal Psychiatry</t>
  </si>
  <si>
    <t>Mental Health Recovery and Rehabilitation Service</t>
  </si>
  <si>
    <t>Mental Health Dual Diagnosis Service</t>
  </si>
  <si>
    <t>Dementia Assessment Service</t>
  </si>
  <si>
    <t>TFC Name</t>
  </si>
  <si>
    <t>Paediatric Clinical Immunology and Allergy</t>
  </si>
  <si>
    <t>Blood And Marrow Transplantation</t>
  </si>
  <si>
    <t>Haemophilia</t>
  </si>
  <si>
    <t>Clinical Immunology &amp; Allergy</t>
  </si>
  <si>
    <t>Rehabilitation</t>
  </si>
  <si>
    <t>Allergy</t>
  </si>
  <si>
    <t>Sport And Exercise Medicine</t>
  </si>
  <si>
    <t>Clinical Neuro-Physiology</t>
  </si>
  <si>
    <t>Midwife Episode</t>
  </si>
  <si>
    <t>Clinical Oncology (previously Radiotherapy)</t>
  </si>
  <si>
    <t>QR1 + Scaling</t>
  </si>
  <si>
    <t>FZ69E</t>
  </si>
  <si>
    <t>HA32Z</t>
  </si>
  <si>
    <t>LB68B</t>
  </si>
  <si>
    <t>NZ33C</t>
  </si>
  <si>
    <t>YR12Z</t>
  </si>
  <si>
    <t>13/14 Ref cost Activities</t>
  </si>
  <si>
    <t>201314 RC list</t>
  </si>
  <si>
    <t>This worksheet displays the prices for OPATT (outpatient attendances)</t>
  </si>
  <si>
    <t>This worksheet displays the total cost quantum for each TFC split by attendance type</t>
  </si>
  <si>
    <t>This worksheet displays the list of all treatment function codes TFCs) in 13/14 reference costs data</t>
  </si>
  <si>
    <t>This worksheet shows the total activities for each TFC split by attendance type</t>
  </si>
  <si>
    <t>This worksheet shows the mapping non-mandatory of OPROC HRGs activity to TFCs</t>
  </si>
  <si>
    <t>Manual adjustment requests</t>
  </si>
  <si>
    <t>Mandatory TFCs list provided by NHSE</t>
  </si>
  <si>
    <t>This worksheet shows the BPT prices for OPATT</t>
  </si>
  <si>
    <t>Treatment function code</t>
  </si>
  <si>
    <t>Treatment function description</t>
  </si>
  <si>
    <t>This worksheet has the prices for non-mandatory treatment function codes</t>
  </si>
  <si>
    <t>HRGs to TFCs</t>
  </si>
  <si>
    <r>
      <t xml:space="preserve">Rule: FU must be </t>
    </r>
    <r>
      <rPr>
        <sz val="10"/>
        <color theme="1"/>
        <rFont val="Calibri"/>
        <family val="2"/>
      </rPr>
      <t>≤</t>
    </r>
    <r>
      <rPr>
        <sz val="10"/>
        <color theme="1"/>
        <rFont val="Calibri"/>
        <family val="2"/>
        <scheme val="minor"/>
      </rPr>
      <t xml:space="preserve"> FA</t>
    </r>
  </si>
  <si>
    <t>2. Post SQL Prices - OPROC cost allocation</t>
  </si>
  <si>
    <t>3. Post SQL Prices - Frontloading</t>
  </si>
  <si>
    <t>2015-16 tariff - outpatient attendances - Published tariff</t>
  </si>
  <si>
    <t>Difference 16/17 to 15/16 tariff</t>
  </si>
  <si>
    <t>Linked sheet</t>
  </si>
  <si>
    <r>
      <t>USE</t>
    </r>
    <r>
      <rPr>
        <sz val="9.5"/>
        <color theme="1"/>
        <rFont val="Consolas"/>
        <family val="3"/>
      </rPr>
      <t xml:space="preserve"> </t>
    </r>
    <r>
      <rPr>
        <sz val="9.5"/>
        <color rgb="FF008080"/>
        <rFont val="Consolas"/>
        <family val="3"/>
      </rPr>
      <t>[Pbr1617_Draft11]</t>
    </r>
  </si>
  <si>
    <t>GO</t>
  </si>
  <si>
    <t>/****** Object:  StoredProcedure [dbo].[OPATT_01Process]    Script Date: 29/04/2015 12:05:32 ******/</t>
  </si>
  <si>
    <r>
      <t>SET</t>
    </r>
    <r>
      <rPr>
        <sz val="9.5"/>
        <color theme="1"/>
        <rFont val="Consolas"/>
        <family val="3"/>
      </rPr>
      <t xml:space="preserve"> </t>
    </r>
    <r>
      <rPr>
        <sz val="9.5"/>
        <color rgb="FF0000FF"/>
        <rFont val="Consolas"/>
        <family val="3"/>
      </rPr>
      <t>ANSI_NULLS</t>
    </r>
    <r>
      <rPr>
        <sz val="9.5"/>
        <color theme="1"/>
        <rFont val="Consolas"/>
        <family val="3"/>
      </rPr>
      <t xml:space="preserve"> </t>
    </r>
    <r>
      <rPr>
        <sz val="9.5"/>
        <color rgb="FF0000FF"/>
        <rFont val="Consolas"/>
        <family val="3"/>
      </rPr>
      <t>ON</t>
    </r>
  </si>
  <si>
    <r>
      <t>SET</t>
    </r>
    <r>
      <rPr>
        <sz val="9.5"/>
        <color theme="1"/>
        <rFont val="Consolas"/>
        <family val="3"/>
      </rPr>
      <t xml:space="preserve"> </t>
    </r>
    <r>
      <rPr>
        <sz val="9.5"/>
        <color rgb="FF0000FF"/>
        <rFont val="Consolas"/>
        <family val="3"/>
      </rPr>
      <t>QUOTED_IDENTIFIER</t>
    </r>
    <r>
      <rPr>
        <sz val="9.5"/>
        <color theme="1"/>
        <rFont val="Consolas"/>
        <family val="3"/>
      </rPr>
      <t xml:space="preserve"> </t>
    </r>
    <r>
      <rPr>
        <sz val="9.5"/>
        <color rgb="FF0000FF"/>
        <rFont val="Consolas"/>
        <family val="3"/>
      </rPr>
      <t>ON</t>
    </r>
  </si>
  <si>
    <t>-- =============================================</t>
  </si>
  <si>
    <t>-- Author:</t>
  </si>
  <si>
    <t>-- Create date: 28 March 2013</t>
  </si>
  <si>
    <t>-- Description:</t>
  </si>
  <si>
    <t>Replication and refactoring of Access DB OPATT_01</t>
  </si>
  <si>
    <t>--</t>
  </si>
  <si>
    <t xml:space="preserve">-- Amendments: </t>
  </si>
  <si>
    <t>30/05/2014 PW - Changed variable from @ProcedureSchema = 'APC' to 'OPATT'</t>
  </si>
  <si>
    <t>16/12/2014 PW - Remove supplier type = own'</t>
  </si>
  <si>
    <t>17/12/2014 PW - Change location of reference cost. use local database instead of pbr_repository</t>
  </si>
  <si>
    <r>
      <t>CREATE</t>
    </r>
    <r>
      <rPr>
        <sz val="9.5"/>
        <color theme="1"/>
        <rFont val="Consolas"/>
        <family val="3"/>
      </rPr>
      <t xml:space="preserve">  </t>
    </r>
    <r>
      <rPr>
        <sz val="9.5"/>
        <color rgb="FF0000FF"/>
        <rFont val="Consolas"/>
        <family val="3"/>
      </rPr>
      <t>PROCEDURE</t>
    </r>
    <r>
      <rPr>
        <sz val="9.5"/>
        <color theme="1"/>
        <rFont val="Consolas"/>
        <family val="3"/>
      </rPr>
      <t xml:space="preserve"> </t>
    </r>
    <r>
      <rPr>
        <sz val="9.5"/>
        <color rgb="FF008080"/>
        <rFont val="Consolas"/>
        <family val="3"/>
      </rPr>
      <t>[dbo]</t>
    </r>
    <r>
      <rPr>
        <sz val="9.5"/>
        <color rgb="FF808080"/>
        <rFont val="Consolas"/>
        <family val="3"/>
      </rPr>
      <t>.</t>
    </r>
    <r>
      <rPr>
        <sz val="9.5"/>
        <color rgb="FF008080"/>
        <rFont val="Consolas"/>
        <family val="3"/>
      </rPr>
      <t>[OPATT_01Process]</t>
    </r>
    <r>
      <rPr>
        <sz val="9.5"/>
        <color theme="1"/>
        <rFont val="Consolas"/>
        <family val="3"/>
      </rPr>
      <t xml:space="preserve"> </t>
    </r>
  </si>
  <si>
    <t>AS</t>
  </si>
  <si>
    <t>BEGIN</t>
  </si>
  <si>
    <r>
      <t>SET</t>
    </r>
    <r>
      <rPr>
        <sz val="9.5"/>
        <color theme="1"/>
        <rFont val="Consolas"/>
        <family val="3"/>
      </rPr>
      <t xml:space="preserve"> </t>
    </r>
    <r>
      <rPr>
        <sz val="9.5"/>
        <color rgb="FF0000FF"/>
        <rFont val="Consolas"/>
        <family val="3"/>
      </rPr>
      <t>NOCOUNT</t>
    </r>
    <r>
      <rPr>
        <sz val="9.5"/>
        <color theme="1"/>
        <rFont val="Consolas"/>
        <family val="3"/>
      </rPr>
      <t xml:space="preserve"> </t>
    </r>
    <r>
      <rPr>
        <sz val="9.5"/>
        <color rgb="FF0000FF"/>
        <rFont val="Consolas"/>
        <family val="3"/>
      </rPr>
      <t>ON</t>
    </r>
    <r>
      <rPr>
        <sz val="9.5"/>
        <color rgb="FF808080"/>
        <rFont val="Consolas"/>
        <family val="3"/>
      </rPr>
      <t>;</t>
    </r>
  </si>
  <si>
    <r>
      <t>DECLARE</t>
    </r>
    <r>
      <rPr>
        <sz val="9.5"/>
        <color theme="1"/>
        <rFont val="Consolas"/>
        <family val="3"/>
      </rPr>
      <t xml:space="preserve"> </t>
    </r>
    <r>
      <rPr>
        <sz val="9.5"/>
        <color rgb="FF008080"/>
        <rFont val="Consolas"/>
        <family val="3"/>
      </rPr>
      <t>@RC</t>
    </r>
    <r>
      <rPr>
        <sz val="9.5"/>
        <color theme="1"/>
        <rFont val="Consolas"/>
        <family val="3"/>
      </rPr>
      <t xml:space="preserve"> </t>
    </r>
    <r>
      <rPr>
        <sz val="9.5"/>
        <color rgb="FF0000FF"/>
        <rFont val="Consolas"/>
        <family val="3"/>
      </rPr>
      <t>int</t>
    </r>
  </si>
  <si>
    <r>
      <t>DECLARE</t>
    </r>
    <r>
      <rPr>
        <sz val="9.5"/>
        <color theme="1"/>
        <rFont val="Consolas"/>
        <family val="3"/>
      </rPr>
      <t xml:space="preserve"> </t>
    </r>
    <r>
      <rPr>
        <sz val="9.5"/>
        <color rgb="FF008080"/>
        <rFont val="Consolas"/>
        <family val="3"/>
      </rPr>
      <t>@DatabaseName</t>
    </r>
    <r>
      <rPr>
        <sz val="9.5"/>
        <color theme="1"/>
        <rFont val="Consolas"/>
        <family val="3"/>
      </rPr>
      <t xml:space="preserve"> </t>
    </r>
    <r>
      <rPr>
        <sz val="9.5"/>
        <color rgb="FF0000FF"/>
        <rFont val="Consolas"/>
        <family val="3"/>
      </rPr>
      <t>nvarchar</t>
    </r>
    <r>
      <rPr>
        <sz val="9.5"/>
        <color rgb="FF808080"/>
        <rFont val="Consolas"/>
        <family val="3"/>
      </rPr>
      <t>(</t>
    </r>
    <r>
      <rPr>
        <sz val="9.5"/>
        <color theme="1"/>
        <rFont val="Consolas"/>
        <family val="3"/>
      </rPr>
      <t>256</t>
    </r>
    <r>
      <rPr>
        <sz val="9.5"/>
        <color rgb="FF808080"/>
        <rFont val="Consolas"/>
        <family val="3"/>
      </rPr>
      <t>)</t>
    </r>
  </si>
  <si>
    <r>
      <t>DECLARE</t>
    </r>
    <r>
      <rPr>
        <sz val="9.5"/>
        <color theme="1"/>
        <rFont val="Consolas"/>
        <family val="3"/>
      </rPr>
      <t xml:space="preserve"> </t>
    </r>
    <r>
      <rPr>
        <sz val="9.5"/>
        <color rgb="FF008080"/>
        <rFont val="Consolas"/>
        <family val="3"/>
      </rPr>
      <t>@ProcedureSchema</t>
    </r>
    <r>
      <rPr>
        <sz val="9.5"/>
        <color theme="1"/>
        <rFont val="Consolas"/>
        <family val="3"/>
      </rPr>
      <t xml:space="preserve"> </t>
    </r>
    <r>
      <rPr>
        <sz val="9.5"/>
        <color rgb="FF0000FF"/>
        <rFont val="Consolas"/>
        <family val="3"/>
      </rPr>
      <t>nvarchar</t>
    </r>
    <r>
      <rPr>
        <sz val="9.5"/>
        <color rgb="FF808080"/>
        <rFont val="Consolas"/>
        <family val="3"/>
      </rPr>
      <t>(</t>
    </r>
    <r>
      <rPr>
        <sz val="9.5"/>
        <color theme="1"/>
        <rFont val="Consolas"/>
        <family val="3"/>
      </rPr>
      <t>256</t>
    </r>
    <r>
      <rPr>
        <sz val="9.5"/>
        <color rgb="FF808080"/>
        <rFont val="Consolas"/>
        <family val="3"/>
      </rPr>
      <t>)</t>
    </r>
  </si>
  <si>
    <r>
      <t>DECLARE</t>
    </r>
    <r>
      <rPr>
        <sz val="9.5"/>
        <color theme="1"/>
        <rFont val="Consolas"/>
        <family val="3"/>
      </rPr>
      <t xml:space="preserve"> </t>
    </r>
    <r>
      <rPr>
        <sz val="9.5"/>
        <color rgb="FF008080"/>
        <rFont val="Consolas"/>
        <family val="3"/>
      </rPr>
      <t>@ProcedureName</t>
    </r>
    <r>
      <rPr>
        <sz val="9.5"/>
        <color theme="1"/>
        <rFont val="Consolas"/>
        <family val="3"/>
      </rPr>
      <t xml:space="preserve"> </t>
    </r>
    <r>
      <rPr>
        <sz val="9.5"/>
        <color rgb="FF0000FF"/>
        <rFont val="Consolas"/>
        <family val="3"/>
      </rPr>
      <t>nvarchar</t>
    </r>
    <r>
      <rPr>
        <sz val="9.5"/>
        <color rgb="FF808080"/>
        <rFont val="Consolas"/>
        <family val="3"/>
      </rPr>
      <t>(</t>
    </r>
    <r>
      <rPr>
        <sz val="9.5"/>
        <color theme="1"/>
        <rFont val="Consolas"/>
        <family val="3"/>
      </rPr>
      <t>256</t>
    </r>
    <r>
      <rPr>
        <sz val="9.5"/>
        <color rgb="FF808080"/>
        <rFont val="Consolas"/>
        <family val="3"/>
      </rPr>
      <t>)</t>
    </r>
  </si>
  <si>
    <r>
      <t>DECLARE</t>
    </r>
    <r>
      <rPr>
        <sz val="9.5"/>
        <color theme="1"/>
        <rFont val="Consolas"/>
        <family val="3"/>
      </rPr>
      <t xml:space="preserve"> </t>
    </r>
    <r>
      <rPr>
        <sz val="9.5"/>
        <color rgb="FF008080"/>
        <rFont val="Consolas"/>
        <family val="3"/>
      </rPr>
      <t>@LoggingParameters</t>
    </r>
    <r>
      <rPr>
        <sz val="9.5"/>
        <color theme="1"/>
        <rFont val="Consolas"/>
        <family val="3"/>
      </rPr>
      <t xml:space="preserve"> </t>
    </r>
    <r>
      <rPr>
        <sz val="9.5"/>
        <color rgb="FF0000FF"/>
        <rFont val="Consolas"/>
        <family val="3"/>
      </rPr>
      <t>nvarchar</t>
    </r>
    <r>
      <rPr>
        <sz val="9.5"/>
        <color rgb="FF808080"/>
        <rFont val="Consolas"/>
        <family val="3"/>
      </rPr>
      <t>(</t>
    </r>
    <r>
      <rPr>
        <sz val="9.5"/>
        <color theme="1"/>
        <rFont val="Consolas"/>
        <family val="3"/>
      </rPr>
      <t>256</t>
    </r>
    <r>
      <rPr>
        <sz val="9.5"/>
        <color rgb="FF808080"/>
        <rFont val="Consolas"/>
        <family val="3"/>
      </rPr>
      <t>)</t>
    </r>
  </si>
  <si>
    <r>
      <t>DECLARE</t>
    </r>
    <r>
      <rPr>
        <sz val="9.5"/>
        <color theme="1"/>
        <rFont val="Consolas"/>
        <family val="3"/>
      </rPr>
      <t xml:space="preserve"> </t>
    </r>
    <r>
      <rPr>
        <sz val="9.5"/>
        <color rgb="FF008080"/>
        <rFont val="Consolas"/>
        <family val="3"/>
      </rPr>
      <t>@LoggingValues</t>
    </r>
    <r>
      <rPr>
        <sz val="9.5"/>
        <color theme="1"/>
        <rFont val="Consolas"/>
        <family val="3"/>
      </rPr>
      <t xml:space="preserve"> </t>
    </r>
    <r>
      <rPr>
        <sz val="9.5"/>
        <color rgb="FF0000FF"/>
        <rFont val="Consolas"/>
        <family val="3"/>
      </rPr>
      <t>nvarchar</t>
    </r>
    <r>
      <rPr>
        <sz val="9.5"/>
        <color rgb="FF808080"/>
        <rFont val="Consolas"/>
        <family val="3"/>
      </rPr>
      <t>(</t>
    </r>
    <r>
      <rPr>
        <sz val="9.5"/>
        <color theme="1"/>
        <rFont val="Consolas"/>
        <family val="3"/>
      </rPr>
      <t>256</t>
    </r>
    <r>
      <rPr>
        <sz val="9.5"/>
        <color rgb="FF808080"/>
        <rFont val="Consolas"/>
        <family val="3"/>
      </rPr>
      <t>)</t>
    </r>
  </si>
  <si>
    <r>
      <t>DECLARE</t>
    </r>
    <r>
      <rPr>
        <sz val="9.5"/>
        <color theme="1"/>
        <rFont val="Consolas"/>
        <family val="3"/>
      </rPr>
      <t xml:space="preserve"> </t>
    </r>
    <r>
      <rPr>
        <sz val="9.5"/>
        <color rgb="FF008080"/>
        <rFont val="Consolas"/>
        <family val="3"/>
      </rPr>
      <t>@CallId</t>
    </r>
    <r>
      <rPr>
        <sz val="9.5"/>
        <color theme="1"/>
        <rFont val="Consolas"/>
        <family val="3"/>
      </rPr>
      <t xml:space="preserve"> </t>
    </r>
    <r>
      <rPr>
        <sz val="9.5"/>
        <color rgb="FF0000FF"/>
        <rFont val="Consolas"/>
        <family val="3"/>
      </rPr>
      <t>int</t>
    </r>
  </si>
  <si>
    <r>
      <t>DECLARE</t>
    </r>
    <r>
      <rPr>
        <sz val="9.5"/>
        <color theme="1"/>
        <rFont val="Consolas"/>
        <family val="3"/>
      </rPr>
      <t xml:space="preserve"> </t>
    </r>
    <r>
      <rPr>
        <sz val="9.5"/>
        <color rgb="FF008080"/>
        <rFont val="Consolas"/>
        <family val="3"/>
      </rPr>
      <t>@RowCount</t>
    </r>
    <r>
      <rPr>
        <sz val="9.5"/>
        <color theme="1"/>
        <rFont val="Consolas"/>
        <family val="3"/>
      </rPr>
      <t xml:space="preserve"> </t>
    </r>
    <r>
      <rPr>
        <sz val="9.5"/>
        <color rgb="FF0000FF"/>
        <rFont val="Consolas"/>
        <family val="3"/>
      </rPr>
      <t>int</t>
    </r>
  </si>
  <si>
    <r>
      <t>SET</t>
    </r>
    <r>
      <rPr>
        <sz val="9.5"/>
        <color theme="1"/>
        <rFont val="Consolas"/>
        <family val="3"/>
      </rPr>
      <t xml:space="preserve"> </t>
    </r>
    <r>
      <rPr>
        <sz val="9.5"/>
        <color rgb="FF008080"/>
        <rFont val="Consolas"/>
        <family val="3"/>
      </rPr>
      <t>@DatabaseName</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DB_NAME</t>
    </r>
    <r>
      <rPr>
        <sz val="9.5"/>
        <color rgb="FF808080"/>
        <rFont val="Consolas"/>
        <family val="3"/>
      </rPr>
      <t>()</t>
    </r>
  </si>
  <si>
    <r>
      <t>SET</t>
    </r>
    <r>
      <rPr>
        <sz val="9.5"/>
        <color theme="1"/>
        <rFont val="Consolas"/>
        <family val="3"/>
      </rPr>
      <t xml:space="preserve"> </t>
    </r>
    <r>
      <rPr>
        <sz val="9.5"/>
        <color rgb="FF008080"/>
        <rFont val="Consolas"/>
        <family val="3"/>
      </rPr>
      <t>@ProcedureSchema</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'OPATT'</t>
    </r>
    <r>
      <rPr>
        <sz val="9.5"/>
        <color theme="1"/>
        <rFont val="Consolas"/>
        <family val="3"/>
      </rPr>
      <t xml:space="preserve"> </t>
    </r>
    <r>
      <rPr>
        <sz val="9.5"/>
        <color rgb="FF008000"/>
        <rFont val="Consolas"/>
        <family val="3"/>
      </rPr>
      <t>-- 30/05/2014 PW - Changed Name from APC to OPATT</t>
    </r>
  </si>
  <si>
    <r>
      <t>SET</t>
    </r>
    <r>
      <rPr>
        <sz val="9.5"/>
        <color theme="1"/>
        <rFont val="Consolas"/>
        <family val="3"/>
      </rPr>
      <t xml:space="preserve"> </t>
    </r>
    <r>
      <rPr>
        <sz val="9.5"/>
        <color rgb="FF008080"/>
        <rFont val="Consolas"/>
        <family val="3"/>
      </rPr>
      <t>@ProcedureName</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'OPATT_01Process'</t>
    </r>
  </si>
  <si>
    <r>
      <t>SET</t>
    </r>
    <r>
      <rPr>
        <sz val="9.5"/>
        <color theme="1"/>
        <rFont val="Consolas"/>
        <family val="3"/>
      </rPr>
      <t xml:space="preserve">  </t>
    </r>
    <r>
      <rPr>
        <sz val="9.5"/>
        <color rgb="FF008080"/>
        <rFont val="Consolas"/>
        <family val="3"/>
      </rPr>
      <t>@LoggingParameters</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'Process'</t>
    </r>
  </si>
  <si>
    <r>
      <t>SET</t>
    </r>
    <r>
      <rPr>
        <sz val="9.5"/>
        <color theme="1"/>
        <rFont val="Consolas"/>
        <family val="3"/>
      </rPr>
      <t xml:space="preserve">  </t>
    </r>
    <r>
      <rPr>
        <sz val="9.5"/>
        <color rgb="FF008080"/>
        <rFont val="Consolas"/>
        <family val="3"/>
      </rPr>
      <t>@LoggingValues</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'01a: Filter for scope'</t>
    </r>
  </si>
  <si>
    <r>
      <t>EXECUTE</t>
    </r>
    <r>
      <rPr>
        <sz val="9.5"/>
        <color theme="1"/>
        <rFont val="Consolas"/>
        <family val="3"/>
      </rPr>
      <t xml:space="preserve"> </t>
    </r>
    <r>
      <rPr>
        <sz val="9.5"/>
        <color rgb="FF008080"/>
        <rFont val="Consolas"/>
        <family val="3"/>
      </rPr>
      <t>@RC</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[Log]</t>
    </r>
    <r>
      <rPr>
        <sz val="9.5"/>
        <color rgb="FF808080"/>
        <rFont val="Consolas"/>
        <family val="3"/>
      </rPr>
      <t>.</t>
    </r>
    <r>
      <rPr>
        <sz val="9.5"/>
        <color rgb="FF008080"/>
        <rFont val="Consolas"/>
        <family val="3"/>
      </rPr>
      <t>[SpLogParameters]</t>
    </r>
    <r>
      <rPr>
        <sz val="9.5"/>
        <color rgb="FF0000FF"/>
        <rFont val="Consolas"/>
        <family val="3"/>
      </rPr>
      <t xml:space="preserve"> </t>
    </r>
  </si>
  <si>
    <r>
      <t xml:space="preserve">   </t>
    </r>
    <r>
      <rPr>
        <sz val="9.5"/>
        <color rgb="FF008080"/>
        <rFont val="Consolas"/>
        <family val="3"/>
      </rPr>
      <t>@DatabaseName</t>
    </r>
    <r>
      <rPr>
        <sz val="9.5"/>
        <color rgb="FF808080"/>
        <rFont val="Consolas"/>
        <family val="3"/>
      </rPr>
      <t>,</t>
    </r>
    <r>
      <rPr>
        <sz val="9.5"/>
        <color theme="1"/>
        <rFont val="Consolas"/>
        <family val="3"/>
      </rPr>
      <t xml:space="preserve"> </t>
    </r>
    <r>
      <rPr>
        <sz val="9.5"/>
        <color rgb="FF008080"/>
        <rFont val="Consolas"/>
        <family val="3"/>
      </rPr>
      <t>@ProcedureSchema</t>
    </r>
    <r>
      <rPr>
        <sz val="9.5"/>
        <color rgb="FF808080"/>
        <rFont val="Consolas"/>
        <family val="3"/>
      </rPr>
      <t>,</t>
    </r>
    <r>
      <rPr>
        <sz val="9.5"/>
        <color theme="1"/>
        <rFont val="Consolas"/>
        <family val="3"/>
      </rPr>
      <t xml:space="preserve"> </t>
    </r>
    <r>
      <rPr>
        <sz val="9.5"/>
        <color rgb="FF008080"/>
        <rFont val="Consolas"/>
        <family val="3"/>
      </rPr>
      <t>@ProcedureName</t>
    </r>
    <r>
      <rPr>
        <sz val="9.5"/>
        <color rgb="FF808080"/>
        <rFont val="Consolas"/>
        <family val="3"/>
      </rPr>
      <t>,</t>
    </r>
    <r>
      <rPr>
        <sz val="9.5"/>
        <color theme="1"/>
        <rFont val="Consolas"/>
        <family val="3"/>
      </rPr>
      <t xml:space="preserve"> </t>
    </r>
    <r>
      <rPr>
        <sz val="9.5"/>
        <color rgb="FF008080"/>
        <rFont val="Consolas"/>
        <family val="3"/>
      </rPr>
      <t>@LoggingParameters</t>
    </r>
    <r>
      <rPr>
        <sz val="9.5"/>
        <color rgb="FF808080"/>
        <rFont val="Consolas"/>
        <family val="3"/>
      </rPr>
      <t>,</t>
    </r>
    <r>
      <rPr>
        <sz val="9.5"/>
        <color theme="1"/>
        <rFont val="Consolas"/>
        <family val="3"/>
      </rPr>
      <t xml:space="preserve"> </t>
    </r>
    <r>
      <rPr>
        <sz val="9.5"/>
        <color rgb="FF008080"/>
        <rFont val="Consolas"/>
        <family val="3"/>
      </rPr>
      <t>@LoggingValues</t>
    </r>
    <r>
      <rPr>
        <sz val="9.5"/>
        <color rgb="FF808080"/>
        <rFont val="Consolas"/>
        <family val="3"/>
      </rPr>
      <t>,</t>
    </r>
    <r>
      <rPr>
        <sz val="9.5"/>
        <color theme="1"/>
        <rFont val="Consolas"/>
        <family val="3"/>
      </rPr>
      <t xml:space="preserve"> </t>
    </r>
    <r>
      <rPr>
        <sz val="9.5"/>
        <color rgb="FF008080"/>
        <rFont val="Consolas"/>
        <family val="3"/>
      </rPr>
      <t>@CallId</t>
    </r>
    <r>
      <rPr>
        <sz val="9.5"/>
        <color theme="1"/>
        <rFont val="Consolas"/>
        <family val="3"/>
      </rPr>
      <t xml:space="preserve"> </t>
    </r>
    <r>
      <rPr>
        <sz val="9.5"/>
        <color rgb="FF0000FF"/>
        <rFont val="Consolas"/>
        <family val="3"/>
      </rPr>
      <t>OUTPUT</t>
    </r>
  </si>
  <si>
    <t>--01a: Filter for scope</t>
  </si>
  <si>
    <t>--Remove PMS+ and non-NHS data, and NF2F attendances</t>
  </si>
  <si>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N'[Stage].[OPATT_ScopeData]'</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</si>
  <si>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[OPATT_ScopeData]</t>
    </r>
  </si>
  <si>
    <r>
      <t>SELECT</t>
    </r>
    <r>
      <rPr>
        <sz val="9.5"/>
        <color theme="1"/>
        <rFont val="Consolas"/>
        <family val="3"/>
      </rPr>
      <t xml:space="preserve"> </t>
    </r>
  </si>
  <si>
    <r>
      <t>in_01b</t>
    </r>
    <r>
      <rPr>
        <sz val="9.5"/>
        <color rgb="FF808080"/>
        <rFont val="Consolas"/>
        <family val="3"/>
      </rPr>
      <t>.</t>
    </r>
    <r>
      <rPr>
        <sz val="9.5"/>
        <color rgb="FF008080"/>
        <rFont val="Consolas"/>
        <family val="3"/>
      </rPr>
      <t>FK_ORGS_PROV_ID</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[Org Code]</t>
    </r>
    <r>
      <rPr>
        <sz val="9.5"/>
        <color rgb="FF808080"/>
        <rFont val="Consolas"/>
        <family val="3"/>
      </rPr>
      <t>,</t>
    </r>
    <r>
      <rPr>
        <sz val="9.5"/>
        <color theme="1"/>
        <rFont val="Consolas"/>
        <family val="3"/>
      </rPr>
      <t xml:space="preserve"> </t>
    </r>
  </si>
  <si>
    <r>
      <t>in_01b</t>
    </r>
    <r>
      <rPr>
        <sz val="9.5"/>
        <color rgb="FF808080"/>
        <rFont val="Consolas"/>
        <family val="3"/>
      </rPr>
      <t>.</t>
    </r>
    <r>
      <rPr>
        <sz val="9.5"/>
        <color rgb="FF008080"/>
        <rFont val="Consolas"/>
        <family val="3"/>
      </rPr>
      <t>SUPPLIER_TYPE</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[Supplier type code]</t>
    </r>
    <r>
      <rPr>
        <sz val="9.5"/>
        <color rgb="FF808080"/>
        <rFont val="Consolas"/>
        <family val="3"/>
      </rPr>
      <t>,</t>
    </r>
    <r>
      <rPr>
        <sz val="9.5"/>
        <color theme="1"/>
        <rFont val="Consolas"/>
        <family val="3"/>
      </rPr>
      <t xml:space="preserve"> </t>
    </r>
  </si>
  <si>
    <r>
      <t>in_01b</t>
    </r>
    <r>
      <rPr>
        <sz val="9.5"/>
        <color rgb="FF808080"/>
        <rFont val="Consolas"/>
        <family val="3"/>
      </rPr>
      <t>.</t>
    </r>
    <r>
      <rPr>
        <sz val="9.5"/>
        <color rgb="FF008080"/>
        <rFont val="Consolas"/>
        <family val="3"/>
      </rPr>
      <t>DEPARTMENT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Dept_code</t>
    </r>
    <r>
      <rPr>
        <sz val="9.5"/>
        <color rgb="FF808080"/>
        <rFont val="Consolas"/>
        <family val="3"/>
      </rPr>
      <t>,</t>
    </r>
  </si>
  <si>
    <r>
      <t>in_01b</t>
    </r>
    <r>
      <rPr>
        <sz val="9.5"/>
        <color rgb="FF808080"/>
        <rFont val="Consolas"/>
        <family val="3"/>
      </rPr>
      <t>.</t>
    </r>
    <r>
      <rPr>
        <sz val="9.5"/>
        <color rgb="FF008080"/>
        <rFont val="Consolas"/>
        <family val="3"/>
      </rPr>
      <t>[SERVICE]</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Service_code</t>
    </r>
    <r>
      <rPr>
        <sz val="9.5"/>
        <color rgb="FF808080"/>
        <rFont val="Consolas"/>
        <family val="3"/>
      </rPr>
      <t>,</t>
    </r>
    <r>
      <rPr>
        <sz val="9.5"/>
        <color theme="1"/>
        <rFont val="Consolas"/>
        <family val="3"/>
      </rPr>
      <t xml:space="preserve"> </t>
    </r>
  </si>
  <si>
    <r>
      <t>in_01b</t>
    </r>
    <r>
      <rPr>
        <sz val="9.5"/>
        <color rgb="FF808080"/>
        <rFont val="Consolas"/>
        <family val="3"/>
      </rPr>
      <t>.</t>
    </r>
    <r>
      <rPr>
        <sz val="9.5"/>
        <color rgb="FF008080"/>
        <rFont val="Consolas"/>
        <family val="3"/>
      </rPr>
      <t>CURRENCY</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Currency_code</t>
    </r>
    <r>
      <rPr>
        <sz val="9.5"/>
        <color rgb="FF808080"/>
        <rFont val="Consolas"/>
        <family val="3"/>
      </rPr>
      <t>,</t>
    </r>
    <r>
      <rPr>
        <sz val="9.5"/>
        <color theme="1"/>
        <rFont val="Consolas"/>
        <family val="3"/>
      </rPr>
      <t xml:space="preserve"> </t>
    </r>
  </si>
  <si>
    <r>
      <t>in_01b</t>
    </r>
    <r>
      <rPr>
        <sz val="9.5"/>
        <color rgb="FF808080"/>
        <rFont val="Consolas"/>
        <family val="3"/>
      </rPr>
      <t>.</t>
    </r>
    <r>
      <rPr>
        <sz val="9.5"/>
        <color rgb="FF008080"/>
        <rFont val="Consolas"/>
        <family val="3"/>
      </rPr>
      <t>UNIT_COST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[Unit cost]</t>
    </r>
    <r>
      <rPr>
        <sz val="9.5"/>
        <color rgb="FF808080"/>
        <rFont val="Consolas"/>
        <family val="3"/>
      </rPr>
      <t>,</t>
    </r>
    <r>
      <rPr>
        <sz val="9.5"/>
        <color theme="1"/>
        <rFont val="Consolas"/>
        <family val="3"/>
      </rPr>
      <t xml:space="preserve"> </t>
    </r>
  </si>
  <si>
    <r>
      <t>in_01b</t>
    </r>
    <r>
      <rPr>
        <sz val="9.5"/>
        <color rgb="FF808080"/>
        <rFont val="Consolas"/>
        <family val="3"/>
      </rPr>
      <t>.</t>
    </r>
    <r>
      <rPr>
        <sz val="9.5"/>
        <color rgb="FF008080"/>
        <rFont val="Consolas"/>
        <family val="3"/>
      </rPr>
      <t>ACTIVITY_P1</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[Activity 1]</t>
    </r>
    <r>
      <rPr>
        <sz val="9.5"/>
        <color theme="1"/>
        <rFont val="Consolas"/>
        <family val="3"/>
      </rPr>
      <t xml:space="preserve"> </t>
    </r>
  </si>
  <si>
    <r>
      <t>INTO</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[OPATT_ScopeData]</t>
    </r>
  </si>
  <si>
    <r>
      <t>FROM</t>
    </r>
    <r>
      <rPr>
        <sz val="9.5"/>
        <color theme="1"/>
        <rFont val="Consolas"/>
        <family val="3"/>
      </rPr>
      <t xml:space="preserve"> </t>
    </r>
  </si>
  <si>
    <r>
      <t>input</t>
    </r>
    <r>
      <rPr>
        <sz val="9.5"/>
        <color rgb="FF808080"/>
        <rFont val="Consolas"/>
        <family val="3"/>
      </rPr>
      <t>.</t>
    </r>
    <r>
      <rPr>
        <sz val="9.5"/>
        <color rgb="FF008080"/>
        <rFont val="Consolas"/>
        <family val="3"/>
      </rPr>
      <t>[RefCostNonAcute]</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in_01b</t>
    </r>
  </si>
  <si>
    <r>
      <t>INNER</t>
    </r>
    <r>
      <rPr>
        <sz val="9.5"/>
        <color theme="1"/>
        <rFont val="Consolas"/>
        <family val="3"/>
      </rPr>
      <t xml:space="preserve"> </t>
    </r>
    <r>
      <rPr>
        <sz val="9.5"/>
        <color rgb="FF808080"/>
        <rFont val="Consolas"/>
        <family val="3"/>
      </rPr>
      <t>JOIN</t>
    </r>
    <r>
      <rPr>
        <sz val="9.5"/>
        <color theme="1"/>
        <rFont val="Consolas"/>
        <family val="3"/>
      </rPr>
      <t xml:space="preserve"> </t>
    </r>
    <r>
      <rPr>
        <sz val="9.5"/>
        <color rgb="FF008080"/>
        <rFont val="Consolas"/>
        <family val="3"/>
      </rPr>
      <t>[input]</t>
    </r>
    <r>
      <rPr>
        <sz val="9.5"/>
        <color rgb="FF808080"/>
        <rFont val="Consolas"/>
        <family val="3"/>
      </rPr>
      <t>.</t>
    </r>
    <r>
      <rPr>
        <sz val="9.5"/>
        <color rgb="FF008080"/>
        <rFont val="Consolas"/>
        <family val="3"/>
      </rPr>
      <t>[ProviderTable]</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in_00</t>
    </r>
    <r>
      <rPr>
        <sz val="9.5"/>
        <color theme="1"/>
        <rFont val="Consolas"/>
        <family val="3"/>
      </rPr>
      <t xml:space="preserve"> </t>
    </r>
  </si>
  <si>
    <r>
      <t>ON</t>
    </r>
    <r>
      <rPr>
        <sz val="9.5"/>
        <color theme="1"/>
        <rFont val="Consolas"/>
        <family val="3"/>
      </rPr>
      <t xml:space="preserve"> </t>
    </r>
    <r>
      <rPr>
        <sz val="9.5"/>
        <color rgb="FF008080"/>
        <rFont val="Consolas"/>
        <family val="3"/>
      </rPr>
      <t>in_01b</t>
    </r>
    <r>
      <rPr>
        <sz val="9.5"/>
        <color rgb="FF808080"/>
        <rFont val="Consolas"/>
        <family val="3"/>
      </rPr>
      <t>.</t>
    </r>
    <r>
      <rPr>
        <sz val="9.5"/>
        <color rgb="FF008080"/>
        <rFont val="Consolas"/>
        <family val="3"/>
      </rPr>
      <t>FK_ORGS_PROV_ID</t>
    </r>
    <r>
      <rPr>
        <sz val="9.5"/>
        <color rgb="FF808080"/>
        <rFont val="Consolas"/>
        <family val="3"/>
      </rPr>
      <t>=</t>
    </r>
  </si>
  <si>
    <r>
      <t>in_00</t>
    </r>
    <r>
      <rPr>
        <sz val="9.5"/>
        <color rgb="FF808080"/>
        <rFont val="Consolas"/>
        <family val="3"/>
      </rPr>
      <t>.</t>
    </r>
    <r>
      <rPr>
        <sz val="9.5"/>
        <color rgb="FF008080"/>
        <rFont val="Consolas"/>
        <family val="3"/>
      </rPr>
      <t>[RC Code]</t>
    </r>
  </si>
  <si>
    <r>
      <t>WHERE</t>
    </r>
    <r>
      <rPr>
        <sz val="9.5"/>
        <color theme="1"/>
        <rFont val="Consolas"/>
        <family val="3"/>
      </rPr>
      <t xml:space="preserve"> </t>
    </r>
  </si>
  <si>
    <t>--in_01b.SUPPLIER_TYPE='OWN' -- 16/12/2014 PW - Remove supplier type = 'own'</t>
  </si>
  <si>
    <r>
      <t xml:space="preserve"> </t>
    </r>
    <r>
      <rPr>
        <sz val="9.5"/>
        <color rgb="FF808080"/>
        <rFont val="Consolas"/>
        <family val="3"/>
      </rPr>
      <t>(</t>
    </r>
    <r>
      <rPr>
        <sz val="9.5"/>
        <color rgb="FF008080"/>
        <rFont val="Consolas"/>
        <family val="3"/>
      </rPr>
      <t>in_01b</t>
    </r>
    <r>
      <rPr>
        <sz val="9.5"/>
        <color rgb="FF808080"/>
        <rFont val="Consolas"/>
        <family val="3"/>
      </rPr>
      <t>.</t>
    </r>
    <r>
      <rPr>
        <sz val="9.5"/>
        <color rgb="FF008080"/>
        <rFont val="Consolas"/>
        <family val="3"/>
      </rPr>
      <t>DEPARTMENT</t>
    </r>
    <r>
      <rPr>
        <sz val="9.5"/>
        <color rgb="FF808080"/>
        <rFont val="Consolas"/>
        <family val="3"/>
      </rPr>
      <t>=</t>
    </r>
    <r>
      <rPr>
        <sz val="9.5"/>
        <color rgb="FFFF0000"/>
        <rFont val="Consolas"/>
        <family val="3"/>
      </rPr>
      <t>'CL'</t>
    </r>
    <r>
      <rPr>
        <sz val="9.5"/>
        <color theme="1"/>
        <rFont val="Consolas"/>
        <family val="3"/>
      </rPr>
      <t xml:space="preserve"> </t>
    </r>
  </si>
  <si>
    <r>
      <t>Or</t>
    </r>
    <r>
      <rPr>
        <sz val="9.5"/>
        <color theme="1"/>
        <rFont val="Consolas"/>
        <family val="3"/>
      </rPr>
      <t xml:space="preserve"> </t>
    </r>
    <r>
      <rPr>
        <sz val="9.5"/>
        <color rgb="FF008080"/>
        <rFont val="Consolas"/>
        <family val="3"/>
      </rPr>
      <t>in_01b</t>
    </r>
    <r>
      <rPr>
        <sz val="9.5"/>
        <color rgb="FF808080"/>
        <rFont val="Consolas"/>
        <family val="3"/>
      </rPr>
      <t>.</t>
    </r>
    <r>
      <rPr>
        <sz val="9.5"/>
        <color rgb="FF008080"/>
        <rFont val="Consolas"/>
        <family val="3"/>
      </rPr>
      <t>DEPARTMENT</t>
    </r>
    <r>
      <rPr>
        <sz val="9.5"/>
        <color rgb="FF808080"/>
        <rFont val="Consolas"/>
        <family val="3"/>
      </rPr>
      <t>=</t>
    </r>
    <r>
      <rPr>
        <sz val="9.5"/>
        <color rgb="FFFF0000"/>
        <rFont val="Consolas"/>
        <family val="3"/>
      </rPr>
      <t>'NCL'</t>
    </r>
    <r>
      <rPr>
        <sz val="9.5"/>
        <color rgb="FF808080"/>
        <rFont val="Consolas"/>
        <family val="3"/>
      </rPr>
      <t>)</t>
    </r>
    <r>
      <rPr>
        <sz val="9.5"/>
        <color theme="1"/>
        <rFont val="Consolas"/>
        <family val="3"/>
      </rPr>
      <t xml:space="preserve"> </t>
    </r>
  </si>
  <si>
    <r>
      <t>AND</t>
    </r>
    <r>
      <rPr>
        <sz val="9.5"/>
        <color rgb="FF0000FF"/>
        <rFont val="Consolas"/>
        <family val="3"/>
      </rPr>
      <t xml:space="preserve"> </t>
    </r>
    <r>
      <rPr>
        <sz val="9.5"/>
        <color rgb="FF808080"/>
        <rFont val="Consolas"/>
        <family val="3"/>
      </rPr>
      <t>(</t>
    </r>
    <r>
      <rPr>
        <sz val="9.5"/>
        <color rgb="FF008080"/>
        <rFont val="Consolas"/>
        <family val="3"/>
      </rPr>
      <t>in_01b</t>
    </r>
    <r>
      <rPr>
        <sz val="9.5"/>
        <color rgb="FF808080"/>
        <rFont val="Consolas"/>
        <family val="3"/>
      </rPr>
      <t>.</t>
    </r>
    <r>
      <rPr>
        <sz val="9.5"/>
        <color rgb="FF008080"/>
        <rFont val="Consolas"/>
        <family val="3"/>
      </rPr>
      <t>CURRENCY</t>
    </r>
    <r>
      <rPr>
        <sz val="9.5"/>
        <color theme="1"/>
        <rFont val="Consolas"/>
        <family val="3"/>
      </rPr>
      <t xml:space="preserve"> </t>
    </r>
    <r>
      <rPr>
        <sz val="9.5"/>
        <color rgb="FF808080"/>
        <rFont val="Consolas"/>
        <family val="3"/>
      </rPr>
      <t>Not</t>
    </r>
    <r>
      <rPr>
        <sz val="9.5"/>
        <color theme="1"/>
        <rFont val="Consolas"/>
        <family val="3"/>
      </rPr>
      <t xml:space="preserve"> </t>
    </r>
    <r>
      <rPr>
        <sz val="9.5"/>
        <color rgb="FF808080"/>
        <rFont val="Consolas"/>
        <family val="3"/>
      </rPr>
      <t>Like</t>
    </r>
    <r>
      <rPr>
        <sz val="9.5"/>
        <color theme="1"/>
        <rFont val="Consolas"/>
        <family val="3"/>
      </rPr>
      <t xml:space="preserve"> </t>
    </r>
    <r>
      <rPr>
        <sz val="9.5"/>
        <color rgb="FFFF0000"/>
        <rFont val="Consolas"/>
        <family val="3"/>
      </rPr>
      <t>'%C'</t>
    </r>
  </si>
  <si>
    <r>
      <t>And</t>
    </r>
    <r>
      <rPr>
        <sz val="9.5"/>
        <color theme="1"/>
        <rFont val="Consolas"/>
        <family val="3"/>
      </rPr>
      <t xml:space="preserve"> </t>
    </r>
    <r>
      <rPr>
        <sz val="9.5"/>
        <color rgb="FF008080"/>
        <rFont val="Consolas"/>
        <family val="3"/>
      </rPr>
      <t>in_01b</t>
    </r>
    <r>
      <rPr>
        <sz val="9.5"/>
        <color rgb="FF808080"/>
        <rFont val="Consolas"/>
        <family val="3"/>
      </rPr>
      <t>.</t>
    </r>
    <r>
      <rPr>
        <sz val="9.5"/>
        <color rgb="FF008080"/>
        <rFont val="Consolas"/>
        <family val="3"/>
      </rPr>
      <t>CURRENCY</t>
    </r>
    <r>
      <rPr>
        <sz val="9.5"/>
        <color theme="1"/>
        <rFont val="Consolas"/>
        <family val="3"/>
      </rPr>
      <t xml:space="preserve"> </t>
    </r>
    <r>
      <rPr>
        <sz val="9.5"/>
        <color rgb="FF808080"/>
        <rFont val="Consolas"/>
        <family val="3"/>
      </rPr>
      <t>Not</t>
    </r>
    <r>
      <rPr>
        <sz val="9.5"/>
        <color theme="1"/>
        <rFont val="Consolas"/>
        <family val="3"/>
      </rPr>
      <t xml:space="preserve"> </t>
    </r>
    <r>
      <rPr>
        <sz val="9.5"/>
        <color rgb="FF808080"/>
        <rFont val="Consolas"/>
        <family val="3"/>
      </rPr>
      <t>Like</t>
    </r>
    <r>
      <rPr>
        <sz val="9.5"/>
        <color theme="1"/>
        <rFont val="Consolas"/>
        <family val="3"/>
      </rPr>
      <t xml:space="preserve"> </t>
    </r>
    <r>
      <rPr>
        <sz val="9.5"/>
        <color rgb="FFFF0000"/>
        <rFont val="Consolas"/>
        <family val="3"/>
      </rPr>
      <t>'%D'</t>
    </r>
    <r>
      <rPr>
        <sz val="9.5"/>
        <color rgb="FF808080"/>
        <rFont val="Consolas"/>
        <family val="3"/>
      </rPr>
      <t>)</t>
    </r>
  </si>
  <si>
    <r>
      <t>ORDER</t>
    </r>
    <r>
      <rPr>
        <sz val="9.5"/>
        <color theme="1"/>
        <rFont val="Consolas"/>
        <family val="3"/>
      </rPr>
      <t xml:space="preserve"> </t>
    </r>
    <r>
      <rPr>
        <sz val="9.5"/>
        <color rgb="FF0000FF"/>
        <rFont val="Consolas"/>
        <family val="3"/>
      </rPr>
      <t>BY</t>
    </r>
    <r>
      <rPr>
        <sz val="9.5"/>
        <color theme="1"/>
        <rFont val="Consolas"/>
        <family val="3"/>
      </rPr>
      <t xml:space="preserve"> </t>
    </r>
    <r>
      <rPr>
        <sz val="9.5"/>
        <color rgb="FF008080"/>
        <rFont val="Consolas"/>
        <family val="3"/>
      </rPr>
      <t>in_01b</t>
    </r>
    <r>
      <rPr>
        <sz val="9.5"/>
        <color rgb="FF808080"/>
        <rFont val="Consolas"/>
        <family val="3"/>
      </rPr>
      <t>.</t>
    </r>
    <r>
      <rPr>
        <sz val="9.5"/>
        <color rgb="FF008080"/>
        <rFont val="Consolas"/>
        <family val="3"/>
      </rPr>
      <t>FK_ORGS_PROV_ID</t>
    </r>
    <r>
      <rPr>
        <sz val="9.5"/>
        <color rgb="FF808080"/>
        <rFont val="Consolas"/>
        <family val="3"/>
      </rPr>
      <t>,</t>
    </r>
    <r>
      <rPr>
        <sz val="9.5"/>
        <color theme="1"/>
        <rFont val="Consolas"/>
        <family val="3"/>
      </rPr>
      <t xml:space="preserve"> </t>
    </r>
    <r>
      <rPr>
        <sz val="9.5"/>
        <color rgb="FF008080"/>
        <rFont val="Consolas"/>
        <family val="3"/>
      </rPr>
      <t>in_01b</t>
    </r>
    <r>
      <rPr>
        <sz val="9.5"/>
        <color rgb="FF808080"/>
        <rFont val="Consolas"/>
        <family val="3"/>
      </rPr>
      <t>.</t>
    </r>
    <r>
      <rPr>
        <sz val="9.5"/>
        <color rgb="FF008080"/>
        <rFont val="Consolas"/>
        <family val="3"/>
      </rPr>
      <t>[SERVICE]</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</si>
  <si>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N'[Valid].[OPATT01_01a]'</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</si>
  <si>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[OPATT01_01a]</t>
    </r>
  </si>
  <si>
    <r>
      <t>[Org Code]</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[Org_Code]</t>
    </r>
    <r>
      <rPr>
        <sz val="9.5"/>
        <color rgb="FF808080"/>
        <rFont val="Consolas"/>
        <family val="3"/>
      </rPr>
      <t>,</t>
    </r>
  </si>
  <si>
    <r>
      <t>AVG</t>
    </r>
    <r>
      <rPr>
        <sz val="9.5"/>
        <color rgb="FF808080"/>
        <rFont val="Consolas"/>
        <family val="3"/>
      </rPr>
      <t>(</t>
    </r>
    <r>
      <rPr>
        <sz val="9.5"/>
        <color rgb="FF008080"/>
        <rFont val="Consolas"/>
        <family val="3"/>
      </rPr>
      <t>[UNIT COST]</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[Unit_Cost]</t>
    </r>
    <r>
      <rPr>
        <sz val="9.5"/>
        <color rgb="FF808080"/>
        <rFont val="Consolas"/>
        <family val="3"/>
      </rPr>
      <t>,</t>
    </r>
  </si>
  <si>
    <r>
      <t>SUM</t>
    </r>
    <r>
      <rPr>
        <sz val="9.5"/>
        <color rgb="FF808080"/>
        <rFont val="Consolas"/>
        <family val="3"/>
      </rPr>
      <t>(</t>
    </r>
    <r>
      <rPr>
        <sz val="9.5"/>
        <color rgb="FF008080"/>
        <rFont val="Consolas"/>
        <family val="3"/>
      </rPr>
      <t>[Activity 1]</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[Activity]</t>
    </r>
  </si>
  <si>
    <r>
      <t>INTO</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[OPATT01_01a]</t>
    </r>
  </si>
  <si>
    <r>
      <t>FROM</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[OPATT_ScopeData]</t>
    </r>
  </si>
  <si>
    <r>
      <t>GROUP</t>
    </r>
    <r>
      <rPr>
        <sz val="9.5"/>
        <color theme="1"/>
        <rFont val="Consolas"/>
        <family val="3"/>
      </rPr>
      <t xml:space="preserve"> </t>
    </r>
    <r>
      <rPr>
        <sz val="9.5"/>
        <color rgb="FF0000FF"/>
        <rFont val="Consolas"/>
        <family val="3"/>
      </rPr>
      <t>BY</t>
    </r>
    <r>
      <rPr>
        <sz val="9.5"/>
        <color theme="1"/>
        <rFont val="Consolas"/>
        <family val="3"/>
      </rPr>
      <t xml:space="preserve"> </t>
    </r>
    <r>
      <rPr>
        <sz val="9.5"/>
        <color rgb="FF008080"/>
        <rFont val="Consolas"/>
        <family val="3"/>
      </rPr>
      <t>[Org Code]</t>
    </r>
  </si>
  <si>
    <t>--01b: Total Costs</t>
  </si>
  <si>
    <t>--Total costs associated with activity within scope</t>
  </si>
  <si>
    <r>
      <t>[Org Code]</t>
    </r>
    <r>
      <rPr>
        <sz val="9.5"/>
        <color rgb="FF808080"/>
        <rFont val="Consolas"/>
        <family val="3"/>
      </rPr>
      <t>,</t>
    </r>
    <r>
      <rPr>
        <sz val="9.5"/>
        <color theme="1"/>
        <rFont val="Consolas"/>
        <family val="3"/>
      </rPr>
      <t xml:space="preserve"> </t>
    </r>
  </si>
  <si>
    <r>
      <t>Dept_code</t>
    </r>
    <r>
      <rPr>
        <sz val="9.5"/>
        <color rgb="FF808080"/>
        <rFont val="Consolas"/>
        <family val="3"/>
      </rPr>
      <t>,</t>
    </r>
    <r>
      <rPr>
        <sz val="9.5"/>
        <color theme="1"/>
        <rFont val="Consolas"/>
        <family val="3"/>
      </rPr>
      <t xml:space="preserve"> </t>
    </r>
  </si>
  <si>
    <r>
      <t>Currency_code</t>
    </r>
    <r>
      <rPr>
        <sz val="9.5"/>
        <color rgb="FF808080"/>
        <rFont val="Consolas"/>
        <family val="3"/>
      </rPr>
      <t>,</t>
    </r>
    <r>
      <rPr>
        <sz val="9.5"/>
        <color theme="1"/>
        <rFont val="Consolas"/>
        <family val="3"/>
      </rPr>
      <t xml:space="preserve"> </t>
    </r>
  </si>
  <si>
    <r>
      <t>Service_code</t>
    </r>
    <r>
      <rPr>
        <sz val="9.5"/>
        <color rgb="FF808080"/>
        <rFont val="Consolas"/>
        <family val="3"/>
      </rPr>
      <t>,</t>
    </r>
    <r>
      <rPr>
        <sz val="9.5"/>
        <color theme="1"/>
        <rFont val="Consolas"/>
        <family val="3"/>
      </rPr>
      <t xml:space="preserve"> </t>
    </r>
  </si>
  <si>
    <r>
      <t>[Unit cost]</t>
    </r>
    <r>
      <rPr>
        <sz val="9.5"/>
        <color rgb="FF808080"/>
        <rFont val="Consolas"/>
        <family val="3"/>
      </rPr>
      <t>,</t>
    </r>
    <r>
      <rPr>
        <sz val="9.5"/>
        <color theme="1"/>
        <rFont val="Consolas"/>
        <family val="3"/>
      </rPr>
      <t xml:space="preserve"> </t>
    </r>
  </si>
  <si>
    <r>
      <t>[Activity 1]</t>
    </r>
    <r>
      <rPr>
        <sz val="9.5"/>
        <color rgb="FF808080"/>
        <rFont val="Consolas"/>
        <family val="3"/>
      </rPr>
      <t>,</t>
    </r>
    <r>
      <rPr>
        <sz val="9.5"/>
        <color theme="1"/>
        <rFont val="Consolas"/>
        <family val="3"/>
      </rPr>
      <t xml:space="preserve"> </t>
    </r>
  </si>
  <si>
    <r>
      <t>(</t>
    </r>
    <r>
      <rPr>
        <sz val="9.5"/>
        <color rgb="FF008080"/>
        <rFont val="Consolas"/>
        <family val="3"/>
      </rPr>
      <t>[Unit Cost]</t>
    </r>
    <r>
      <rPr>
        <sz val="9.5"/>
        <color rgb="FF808080"/>
        <rFont val="Consolas"/>
        <family val="3"/>
      </rPr>
      <t>*</t>
    </r>
    <r>
      <rPr>
        <sz val="9.5"/>
        <color rgb="FF008080"/>
        <rFont val="Consolas"/>
        <family val="3"/>
      </rPr>
      <t>[Activity 1]</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[Total Costs]</t>
    </r>
  </si>
  <si>
    <r>
      <t>into</t>
    </r>
    <r>
      <rPr>
        <sz val="9.5"/>
        <color theme="1"/>
        <rFont val="Consolas"/>
        <family val="3"/>
      </rPr>
      <t xml:space="preserve"> </t>
    </r>
    <r>
      <rPr>
        <sz val="9.5"/>
        <color rgb="FF008080"/>
        <rFont val="Consolas"/>
        <family val="3"/>
      </rPr>
      <t>#01b</t>
    </r>
  </si>
  <si>
    <r>
      <t>ORDER</t>
    </r>
    <r>
      <rPr>
        <sz val="9.5"/>
        <color theme="1"/>
        <rFont val="Consolas"/>
        <family val="3"/>
      </rPr>
      <t xml:space="preserve"> </t>
    </r>
    <r>
      <rPr>
        <sz val="9.5"/>
        <color rgb="FF0000FF"/>
        <rFont val="Consolas"/>
        <family val="3"/>
      </rPr>
      <t>BY</t>
    </r>
    <r>
      <rPr>
        <sz val="9.5"/>
        <color theme="1"/>
        <rFont val="Consolas"/>
        <family val="3"/>
      </rPr>
      <t xml:space="preserve"> </t>
    </r>
  </si>
  <si>
    <r>
      <t>[Org Code]</t>
    </r>
    <r>
      <rPr>
        <sz val="9.5"/>
        <color rgb="FF808080"/>
        <rFont val="Consolas"/>
        <family val="3"/>
      </rPr>
      <t>,</t>
    </r>
    <r>
      <rPr>
        <sz val="9.5"/>
        <color theme="1"/>
        <rFont val="Consolas"/>
        <family val="3"/>
      </rPr>
      <t xml:space="preserve"> </t>
    </r>
    <r>
      <rPr>
        <sz val="9.5"/>
        <color rgb="FF008080"/>
        <rFont val="Consolas"/>
        <family val="3"/>
      </rPr>
      <t>Service_code</t>
    </r>
  </si>
  <si>
    <t>--01c: Regroup</t>
  </si>
  <si>
    <t>--Regroup to 3 character TFC codes</t>
  </si>
  <si>
    <r>
      <t>#01b</t>
    </r>
    <r>
      <rPr>
        <sz val="9.5"/>
        <color rgb="FF808080"/>
        <rFont val="Consolas"/>
        <family val="3"/>
      </rPr>
      <t>.</t>
    </r>
    <r>
      <rPr>
        <sz val="9.5"/>
        <color rgb="FF008080"/>
        <rFont val="Consolas"/>
        <family val="3"/>
      </rPr>
      <t>[Org Code]</t>
    </r>
    <r>
      <rPr>
        <sz val="9.5"/>
        <color rgb="FF808080"/>
        <rFont val="Consolas"/>
        <family val="3"/>
      </rPr>
      <t>,</t>
    </r>
  </si>
  <si>
    <r>
      <t xml:space="preserve"> </t>
    </r>
    <r>
      <rPr>
        <sz val="9.5"/>
        <color rgb="FF008080"/>
        <rFont val="Consolas"/>
        <family val="3"/>
      </rPr>
      <t>#01b</t>
    </r>
    <r>
      <rPr>
        <sz val="9.5"/>
        <color rgb="FF808080"/>
        <rFont val="Consolas"/>
        <family val="3"/>
      </rPr>
      <t>.</t>
    </r>
    <r>
      <rPr>
        <sz val="9.5"/>
        <color rgb="FF008080"/>
        <rFont val="Consolas"/>
        <family val="3"/>
      </rPr>
      <t>Dept_code</t>
    </r>
    <r>
      <rPr>
        <sz val="9.5"/>
        <color rgb="FF808080"/>
        <rFont val="Consolas"/>
        <family val="3"/>
      </rPr>
      <t>,</t>
    </r>
    <r>
      <rPr>
        <sz val="9.5"/>
        <color theme="1"/>
        <rFont val="Consolas"/>
        <family val="3"/>
      </rPr>
      <t xml:space="preserve"> </t>
    </r>
  </si>
  <si>
    <r>
      <t xml:space="preserve"> </t>
    </r>
    <r>
      <rPr>
        <sz val="9.5"/>
        <color rgb="FF008080"/>
        <rFont val="Consolas"/>
        <family val="3"/>
      </rPr>
      <t>#01b</t>
    </r>
    <r>
      <rPr>
        <sz val="9.5"/>
        <color rgb="FF808080"/>
        <rFont val="Consolas"/>
        <family val="3"/>
      </rPr>
      <t>.</t>
    </r>
    <r>
      <rPr>
        <sz val="9.5"/>
        <color rgb="FF008080"/>
        <rFont val="Consolas"/>
        <family val="3"/>
      </rPr>
      <t>Currency_code</t>
    </r>
    <r>
      <rPr>
        <sz val="9.5"/>
        <color rgb="FF808080"/>
        <rFont val="Consolas"/>
        <family val="3"/>
      </rPr>
      <t>,</t>
    </r>
    <r>
      <rPr>
        <sz val="9.5"/>
        <color theme="1"/>
        <rFont val="Consolas"/>
        <family val="3"/>
      </rPr>
      <t xml:space="preserve"> </t>
    </r>
  </si>
  <si>
    <r>
      <t xml:space="preserve"> </t>
    </r>
    <r>
      <rPr>
        <sz val="9.5"/>
        <color rgb="FF008080"/>
        <rFont val="Consolas"/>
        <family val="3"/>
      </rPr>
      <t>in_03</t>
    </r>
    <r>
      <rPr>
        <sz val="9.5"/>
        <color rgb="FF808080"/>
        <rFont val="Consolas"/>
        <family val="3"/>
      </rPr>
      <t>.</t>
    </r>
    <r>
      <rPr>
        <sz val="9.5"/>
        <color rgb="FF008080"/>
        <rFont val="Consolas"/>
        <family val="3"/>
      </rPr>
      <t>[Tariff TFC]</t>
    </r>
    <r>
      <rPr>
        <sz val="9.5"/>
        <color rgb="FF808080"/>
        <rFont val="Consolas"/>
        <family val="3"/>
      </rPr>
      <t>,</t>
    </r>
    <r>
      <rPr>
        <sz val="9.5"/>
        <color theme="1"/>
        <rFont val="Consolas"/>
        <family val="3"/>
      </rPr>
      <t xml:space="preserve"> </t>
    </r>
  </si>
  <si>
    <r>
      <t xml:space="preserve"> </t>
    </r>
    <r>
      <rPr>
        <sz val="9.5"/>
        <color rgb="FFFF00FF"/>
        <rFont val="Consolas"/>
        <family val="3"/>
      </rPr>
      <t>Sum</t>
    </r>
    <r>
      <rPr>
        <sz val="9.5"/>
        <color rgb="FF808080"/>
        <rFont val="Consolas"/>
        <family val="3"/>
      </rPr>
      <t>(</t>
    </r>
    <r>
      <rPr>
        <sz val="9.5"/>
        <color rgb="FF008080"/>
        <rFont val="Consolas"/>
        <family val="3"/>
      </rPr>
      <t>#01b</t>
    </r>
    <r>
      <rPr>
        <sz val="9.5"/>
        <color rgb="FF808080"/>
        <rFont val="Consolas"/>
        <family val="3"/>
      </rPr>
      <t>.</t>
    </r>
    <r>
      <rPr>
        <sz val="9.5"/>
        <color rgb="FF008080"/>
        <rFont val="Consolas"/>
        <family val="3"/>
      </rPr>
      <t>[Activity 1]</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Activity</t>
    </r>
    <r>
      <rPr>
        <sz val="9.5"/>
        <color rgb="FF808080"/>
        <rFont val="Consolas"/>
        <family val="3"/>
      </rPr>
      <t>,</t>
    </r>
    <r>
      <rPr>
        <sz val="9.5"/>
        <color theme="1"/>
        <rFont val="Consolas"/>
        <family val="3"/>
      </rPr>
      <t xml:space="preserve"> </t>
    </r>
  </si>
  <si>
    <r>
      <t xml:space="preserve"> </t>
    </r>
    <r>
      <rPr>
        <sz val="9.5"/>
        <color rgb="FFFF00FF"/>
        <rFont val="Consolas"/>
        <family val="3"/>
      </rPr>
      <t>Sum</t>
    </r>
    <r>
      <rPr>
        <sz val="9.5"/>
        <color rgb="FF808080"/>
        <rFont val="Consolas"/>
        <family val="3"/>
      </rPr>
      <t>(</t>
    </r>
    <r>
      <rPr>
        <sz val="9.5"/>
        <color rgb="FF008080"/>
        <rFont val="Consolas"/>
        <family val="3"/>
      </rPr>
      <t>#01b</t>
    </r>
    <r>
      <rPr>
        <sz val="9.5"/>
        <color rgb="FF808080"/>
        <rFont val="Consolas"/>
        <family val="3"/>
      </rPr>
      <t>.</t>
    </r>
    <r>
      <rPr>
        <sz val="9.5"/>
        <color rgb="FF008080"/>
        <rFont val="Consolas"/>
        <family val="3"/>
      </rPr>
      <t>[Total Costs]</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[SumOfTotal Costs]</t>
    </r>
  </si>
  <si>
    <r>
      <t xml:space="preserve"> </t>
    </r>
    <r>
      <rPr>
        <sz val="9.5"/>
        <color rgb="FF0000FF"/>
        <rFont val="Consolas"/>
        <family val="3"/>
      </rPr>
      <t>into</t>
    </r>
    <r>
      <rPr>
        <sz val="9.5"/>
        <color theme="1"/>
        <rFont val="Consolas"/>
        <family val="3"/>
      </rPr>
      <t xml:space="preserve"> </t>
    </r>
    <r>
      <rPr>
        <sz val="9.5"/>
        <color rgb="FF008080"/>
        <rFont val="Consolas"/>
        <family val="3"/>
      </rPr>
      <t>#01c</t>
    </r>
  </si>
  <si>
    <r>
      <t>[input]</t>
    </r>
    <r>
      <rPr>
        <sz val="9.5"/>
        <color rgb="FF808080"/>
        <rFont val="Consolas"/>
        <family val="3"/>
      </rPr>
      <t>.</t>
    </r>
    <r>
      <rPr>
        <sz val="9.5"/>
        <color rgb="FF008080"/>
        <rFont val="Consolas"/>
        <family val="3"/>
      </rPr>
      <t>[OPATT_Mapping]</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in_03</t>
    </r>
  </si>
  <si>
    <r>
      <t>INNER</t>
    </r>
    <r>
      <rPr>
        <sz val="9.5"/>
        <color theme="1"/>
        <rFont val="Consolas"/>
        <family val="3"/>
      </rPr>
      <t xml:space="preserve"> </t>
    </r>
    <r>
      <rPr>
        <sz val="9.5"/>
        <color rgb="FF808080"/>
        <rFont val="Consolas"/>
        <family val="3"/>
      </rPr>
      <t>JOIN</t>
    </r>
    <r>
      <rPr>
        <sz val="9.5"/>
        <color theme="1"/>
        <rFont val="Consolas"/>
        <family val="3"/>
      </rPr>
      <t xml:space="preserve"> </t>
    </r>
    <r>
      <rPr>
        <sz val="9.5"/>
        <color rgb="FF008080"/>
        <rFont val="Consolas"/>
        <family val="3"/>
      </rPr>
      <t>#01b</t>
    </r>
    <r>
      <rPr>
        <sz val="9.5"/>
        <color theme="1"/>
        <rFont val="Consolas"/>
        <family val="3"/>
      </rPr>
      <t xml:space="preserve"> </t>
    </r>
  </si>
  <si>
    <r>
      <t>ON</t>
    </r>
    <r>
      <rPr>
        <sz val="9.5"/>
        <color theme="1"/>
        <rFont val="Consolas"/>
        <family val="3"/>
      </rPr>
      <t xml:space="preserve"> </t>
    </r>
    <r>
      <rPr>
        <sz val="9.5"/>
        <color rgb="FF008080"/>
        <rFont val="Consolas"/>
        <family val="3"/>
      </rPr>
      <t>in_03</t>
    </r>
    <r>
      <rPr>
        <sz val="9.5"/>
        <color rgb="FF808080"/>
        <rFont val="Consolas"/>
        <family val="3"/>
      </rPr>
      <t>.</t>
    </r>
    <r>
      <rPr>
        <sz val="9.5"/>
        <color rgb="FF008080"/>
        <rFont val="Consolas"/>
        <family val="3"/>
      </rPr>
      <t>[Ref_Costs TFC]</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#01b</t>
    </r>
    <r>
      <rPr>
        <sz val="9.5"/>
        <color rgb="FF808080"/>
        <rFont val="Consolas"/>
        <family val="3"/>
      </rPr>
      <t>.</t>
    </r>
    <r>
      <rPr>
        <sz val="9.5"/>
        <color rgb="FF008080"/>
        <rFont val="Consolas"/>
        <family val="3"/>
      </rPr>
      <t>Service_code</t>
    </r>
  </si>
  <si>
    <r>
      <t>GROUP</t>
    </r>
    <r>
      <rPr>
        <sz val="9.5"/>
        <color theme="1"/>
        <rFont val="Consolas"/>
        <family val="3"/>
      </rPr>
      <t xml:space="preserve"> </t>
    </r>
    <r>
      <rPr>
        <sz val="9.5"/>
        <color rgb="FF0000FF"/>
        <rFont val="Consolas"/>
        <family val="3"/>
      </rPr>
      <t>BY</t>
    </r>
    <r>
      <rPr>
        <sz val="9.5"/>
        <color theme="1"/>
        <rFont val="Consolas"/>
        <family val="3"/>
      </rPr>
      <t xml:space="preserve"> </t>
    </r>
  </si>
  <si>
    <r>
      <t>#01b</t>
    </r>
    <r>
      <rPr>
        <sz val="9.5"/>
        <color rgb="FF808080"/>
        <rFont val="Consolas"/>
        <family val="3"/>
      </rPr>
      <t>.</t>
    </r>
    <r>
      <rPr>
        <sz val="9.5"/>
        <color rgb="FF008080"/>
        <rFont val="Consolas"/>
        <family val="3"/>
      </rPr>
      <t>[Org Code]</t>
    </r>
    <r>
      <rPr>
        <sz val="9.5"/>
        <color rgb="FF808080"/>
        <rFont val="Consolas"/>
        <family val="3"/>
      </rPr>
      <t>,</t>
    </r>
    <r>
      <rPr>
        <sz val="9.5"/>
        <color theme="1"/>
        <rFont val="Consolas"/>
        <family val="3"/>
      </rPr>
      <t xml:space="preserve"> </t>
    </r>
  </si>
  <si>
    <r>
      <t>#01b</t>
    </r>
    <r>
      <rPr>
        <sz val="9.5"/>
        <color rgb="FF808080"/>
        <rFont val="Consolas"/>
        <family val="3"/>
      </rPr>
      <t>.</t>
    </r>
    <r>
      <rPr>
        <sz val="9.5"/>
        <color rgb="FF008080"/>
        <rFont val="Consolas"/>
        <family val="3"/>
      </rPr>
      <t>Dept_code</t>
    </r>
    <r>
      <rPr>
        <sz val="9.5"/>
        <color rgb="FF808080"/>
        <rFont val="Consolas"/>
        <family val="3"/>
      </rPr>
      <t>,</t>
    </r>
    <r>
      <rPr>
        <sz val="9.5"/>
        <color theme="1"/>
        <rFont val="Consolas"/>
        <family val="3"/>
      </rPr>
      <t xml:space="preserve">  </t>
    </r>
  </si>
  <si>
    <r>
      <t>#01b</t>
    </r>
    <r>
      <rPr>
        <sz val="9.5"/>
        <color rgb="FF808080"/>
        <rFont val="Consolas"/>
        <family val="3"/>
      </rPr>
      <t>.</t>
    </r>
    <r>
      <rPr>
        <sz val="9.5"/>
        <color rgb="FF008080"/>
        <rFont val="Consolas"/>
        <family val="3"/>
      </rPr>
      <t>Currency_code</t>
    </r>
    <r>
      <rPr>
        <sz val="9.5"/>
        <color rgb="FF808080"/>
        <rFont val="Consolas"/>
        <family val="3"/>
      </rPr>
      <t>,</t>
    </r>
    <r>
      <rPr>
        <sz val="9.5"/>
        <color theme="1"/>
        <rFont val="Consolas"/>
        <family val="3"/>
      </rPr>
      <t xml:space="preserve"> </t>
    </r>
  </si>
  <si>
    <r>
      <t>in_03</t>
    </r>
    <r>
      <rPr>
        <sz val="9.5"/>
        <color rgb="FF808080"/>
        <rFont val="Consolas"/>
        <family val="3"/>
      </rPr>
      <t>.</t>
    </r>
    <r>
      <rPr>
        <sz val="9.5"/>
        <color rgb="FF008080"/>
        <rFont val="Consolas"/>
        <family val="3"/>
      </rPr>
      <t>[Tariff TFC]</t>
    </r>
  </si>
  <si>
    <r>
      <t>EXECUTE</t>
    </r>
    <r>
      <rPr>
        <sz val="9.5"/>
        <color theme="1"/>
        <rFont val="Consolas"/>
        <family val="3"/>
      </rPr>
      <t xml:space="preserve"> </t>
    </r>
    <r>
      <rPr>
        <sz val="9.5"/>
        <color rgb="FF008080"/>
        <rFont val="Consolas"/>
        <family val="3"/>
      </rPr>
      <t>@RC</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[Log]</t>
    </r>
    <r>
      <rPr>
        <sz val="9.5"/>
        <color rgb="FF808080"/>
        <rFont val="Consolas"/>
        <family val="3"/>
      </rPr>
      <t>.</t>
    </r>
    <r>
      <rPr>
        <sz val="9.5"/>
        <color rgb="FF008080"/>
        <rFont val="Consolas"/>
        <family val="3"/>
      </rPr>
      <t>[SpUpdateLoggingForEndDate]</t>
    </r>
    <r>
      <rPr>
        <sz val="9.5"/>
        <color rgb="FF0000FF"/>
        <rFont val="Consolas"/>
        <family val="3"/>
      </rPr>
      <t xml:space="preserve"> </t>
    </r>
    <r>
      <rPr>
        <sz val="9.5"/>
        <color rgb="FF008080"/>
        <rFont val="Consolas"/>
        <family val="3"/>
      </rPr>
      <t>@CallId</t>
    </r>
    <r>
      <rPr>
        <sz val="9.5"/>
        <color rgb="FF808080"/>
        <rFont val="Consolas"/>
        <family val="3"/>
      </rPr>
      <t>,</t>
    </r>
    <r>
      <rPr>
        <sz val="9.5"/>
        <color theme="1"/>
        <rFont val="Consolas"/>
        <family val="3"/>
      </rPr>
      <t xml:space="preserve"> </t>
    </r>
    <r>
      <rPr>
        <sz val="9.5"/>
        <color rgb="FFFF00FF"/>
        <rFont val="Consolas"/>
        <family val="3"/>
      </rPr>
      <t>@@ROWCOUNT</t>
    </r>
  </si>
  <si>
    <r>
      <t>SET</t>
    </r>
    <r>
      <rPr>
        <sz val="9.5"/>
        <color theme="1"/>
        <rFont val="Consolas"/>
        <family val="3"/>
      </rPr>
      <t xml:space="preserve">  </t>
    </r>
    <r>
      <rPr>
        <sz val="9.5"/>
        <color rgb="FF008080"/>
        <rFont val="Consolas"/>
        <family val="3"/>
      </rPr>
      <t>@LoggingValues</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'02a: Remove MFF'</t>
    </r>
  </si>
  <si>
    <t>--02a: Remove MFF</t>
  </si>
  <si>
    <r>
      <t>#01c</t>
    </r>
    <r>
      <rPr>
        <sz val="9.5"/>
        <color rgb="FF808080"/>
        <rFont val="Consolas"/>
        <family val="3"/>
      </rPr>
      <t>.</t>
    </r>
    <r>
      <rPr>
        <sz val="9.5"/>
        <color rgb="FF008080"/>
        <rFont val="Consolas"/>
        <family val="3"/>
      </rPr>
      <t>[Org Code]</t>
    </r>
    <r>
      <rPr>
        <sz val="9.5"/>
        <color rgb="FF808080"/>
        <rFont val="Consolas"/>
        <family val="3"/>
      </rPr>
      <t>,</t>
    </r>
    <r>
      <rPr>
        <sz val="9.5"/>
        <color theme="1"/>
        <rFont val="Consolas"/>
        <family val="3"/>
      </rPr>
      <t xml:space="preserve"> </t>
    </r>
  </si>
  <si>
    <r>
      <t>#01c</t>
    </r>
    <r>
      <rPr>
        <sz val="9.5"/>
        <color rgb="FF808080"/>
        <rFont val="Consolas"/>
        <family val="3"/>
      </rPr>
      <t>.</t>
    </r>
    <r>
      <rPr>
        <sz val="9.5"/>
        <color rgb="FF008080"/>
        <rFont val="Consolas"/>
        <family val="3"/>
      </rPr>
      <t>Dept_code</t>
    </r>
    <r>
      <rPr>
        <sz val="9.5"/>
        <color rgb="FF808080"/>
        <rFont val="Consolas"/>
        <family val="3"/>
      </rPr>
      <t>,</t>
    </r>
    <r>
      <rPr>
        <sz val="9.5"/>
        <color theme="1"/>
        <rFont val="Consolas"/>
        <family val="3"/>
      </rPr>
      <t xml:space="preserve"> </t>
    </r>
  </si>
  <si>
    <r>
      <t>#01c</t>
    </r>
    <r>
      <rPr>
        <sz val="9.5"/>
        <color rgb="FF808080"/>
        <rFont val="Consolas"/>
        <family val="3"/>
      </rPr>
      <t>.</t>
    </r>
    <r>
      <rPr>
        <sz val="9.5"/>
        <color rgb="FF008080"/>
        <rFont val="Consolas"/>
        <family val="3"/>
      </rPr>
      <t>Currency_code</t>
    </r>
    <r>
      <rPr>
        <sz val="9.5"/>
        <color rgb="FF808080"/>
        <rFont val="Consolas"/>
        <family val="3"/>
      </rPr>
      <t>,</t>
    </r>
    <r>
      <rPr>
        <sz val="9.5"/>
        <color theme="1"/>
        <rFont val="Consolas"/>
        <family val="3"/>
      </rPr>
      <t xml:space="preserve"> </t>
    </r>
  </si>
  <si>
    <r>
      <t>#01c</t>
    </r>
    <r>
      <rPr>
        <sz val="9.5"/>
        <color rgb="FF808080"/>
        <rFont val="Consolas"/>
        <family val="3"/>
      </rPr>
      <t>.</t>
    </r>
    <r>
      <rPr>
        <sz val="9.5"/>
        <color rgb="FF008080"/>
        <rFont val="Consolas"/>
        <family val="3"/>
      </rPr>
      <t>[Tariff TFC]</t>
    </r>
    <r>
      <rPr>
        <sz val="9.5"/>
        <color rgb="FF808080"/>
        <rFont val="Consolas"/>
        <family val="3"/>
      </rPr>
      <t>,</t>
    </r>
    <r>
      <rPr>
        <sz val="9.5"/>
        <color theme="1"/>
        <rFont val="Consolas"/>
        <family val="3"/>
      </rPr>
      <t xml:space="preserve"> </t>
    </r>
  </si>
  <si>
    <r>
      <t>#01c</t>
    </r>
    <r>
      <rPr>
        <sz val="9.5"/>
        <color rgb="FF808080"/>
        <rFont val="Consolas"/>
        <family val="3"/>
      </rPr>
      <t>.</t>
    </r>
    <r>
      <rPr>
        <sz val="9.5"/>
        <color rgb="FF008080"/>
        <rFont val="Consolas"/>
        <family val="3"/>
      </rPr>
      <t>Activity</t>
    </r>
    <r>
      <rPr>
        <sz val="9.5"/>
        <color rgb="FF808080"/>
        <rFont val="Consolas"/>
        <family val="3"/>
      </rPr>
      <t>,</t>
    </r>
    <r>
      <rPr>
        <sz val="9.5"/>
        <color theme="1"/>
        <rFont val="Consolas"/>
        <family val="3"/>
      </rPr>
      <t xml:space="preserve"> </t>
    </r>
  </si>
  <si>
    <r>
      <t>(</t>
    </r>
    <r>
      <rPr>
        <sz val="9.5"/>
        <color rgb="FF008080"/>
        <rFont val="Consolas"/>
        <family val="3"/>
      </rPr>
      <t>[Sumoftotal costs]</t>
    </r>
    <r>
      <rPr>
        <sz val="9.5"/>
        <color rgb="FF808080"/>
        <rFont val="Consolas"/>
        <family val="3"/>
      </rPr>
      <t>/</t>
    </r>
    <r>
      <rPr>
        <sz val="9.5"/>
        <color rgb="FF008080"/>
        <rFont val="Consolas"/>
        <family val="3"/>
      </rPr>
      <t>[Activity]</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[Unit Cost]</t>
    </r>
    <r>
      <rPr>
        <sz val="9.5"/>
        <color rgb="FF808080"/>
        <rFont val="Consolas"/>
        <family val="3"/>
      </rPr>
      <t>,</t>
    </r>
    <r>
      <rPr>
        <sz val="9.5"/>
        <color theme="1"/>
        <rFont val="Consolas"/>
        <family val="3"/>
      </rPr>
      <t xml:space="preserve"> </t>
    </r>
  </si>
  <si>
    <r>
      <t>#01c</t>
    </r>
    <r>
      <rPr>
        <sz val="9.5"/>
        <color rgb="FF808080"/>
        <rFont val="Consolas"/>
        <family val="3"/>
      </rPr>
      <t>.</t>
    </r>
    <r>
      <rPr>
        <sz val="9.5"/>
        <color rgb="FF008080"/>
        <rFont val="Consolas"/>
        <family val="3"/>
      </rPr>
      <t>[SumOfTotal Costs]</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[Total Costs]</t>
    </r>
    <r>
      <rPr>
        <sz val="9.5"/>
        <color rgb="FF808080"/>
        <rFont val="Consolas"/>
        <family val="3"/>
      </rPr>
      <t>,</t>
    </r>
    <r>
      <rPr>
        <sz val="9.5"/>
        <color theme="1"/>
        <rFont val="Consolas"/>
        <family val="3"/>
      </rPr>
      <t xml:space="preserve"> </t>
    </r>
  </si>
  <si>
    <r>
      <t>((</t>
    </r>
    <r>
      <rPr>
        <sz val="9.5"/>
        <color rgb="FF008080"/>
        <rFont val="Consolas"/>
        <family val="3"/>
      </rPr>
      <t>[Sumoftotal costs]</t>
    </r>
    <r>
      <rPr>
        <sz val="9.5"/>
        <color rgb="FF808080"/>
        <rFont val="Consolas"/>
        <family val="3"/>
      </rPr>
      <t>/</t>
    </r>
    <r>
      <rPr>
        <sz val="9.5"/>
        <color rgb="FF008080"/>
        <rFont val="Consolas"/>
        <family val="3"/>
      </rPr>
      <t>[Activity]</t>
    </r>
    <r>
      <rPr>
        <sz val="9.5"/>
        <color rgb="FF808080"/>
        <rFont val="Consolas"/>
        <family val="3"/>
      </rPr>
      <t>)/</t>
    </r>
    <r>
      <rPr>
        <sz val="9.5"/>
        <color rgb="FF008080"/>
        <rFont val="Consolas"/>
        <family val="3"/>
      </rPr>
      <t>[Target MFF]</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[MFF Adj UC]</t>
    </r>
    <r>
      <rPr>
        <sz val="9.5"/>
        <color rgb="FF808080"/>
        <rFont val="Consolas"/>
        <family val="3"/>
      </rPr>
      <t>,</t>
    </r>
    <r>
      <rPr>
        <sz val="9.5"/>
        <color theme="1"/>
        <rFont val="Consolas"/>
        <family val="3"/>
      </rPr>
      <t xml:space="preserve"> </t>
    </r>
  </si>
  <si>
    <r>
      <t>(</t>
    </r>
    <r>
      <rPr>
        <sz val="9.5"/>
        <color rgb="FF008080"/>
        <rFont val="Consolas"/>
        <family val="3"/>
      </rPr>
      <t>[SumofTotal Costs]</t>
    </r>
    <r>
      <rPr>
        <sz val="9.5"/>
        <color rgb="FF808080"/>
        <rFont val="Consolas"/>
        <family val="3"/>
      </rPr>
      <t>/</t>
    </r>
    <r>
      <rPr>
        <sz val="9.5"/>
        <color rgb="FF008080"/>
        <rFont val="Consolas"/>
        <family val="3"/>
      </rPr>
      <t>[Target MFF]</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[MFF Adj TC]</t>
    </r>
    <r>
      <rPr>
        <sz val="9.5"/>
        <color rgb="FF808080"/>
        <rFont val="Consolas"/>
        <family val="3"/>
      </rPr>
      <t>,</t>
    </r>
    <r>
      <rPr>
        <sz val="9.5"/>
        <color theme="1"/>
        <rFont val="Consolas"/>
        <family val="3"/>
      </rPr>
      <t xml:space="preserve"> </t>
    </r>
  </si>
  <si>
    <r>
      <t>(</t>
    </r>
    <r>
      <rPr>
        <sz val="9.5"/>
        <color rgb="FF008080"/>
        <rFont val="Consolas"/>
        <family val="3"/>
      </rPr>
      <t>[SumofTotal Costs]</t>
    </r>
    <r>
      <rPr>
        <sz val="9.5"/>
        <color rgb="FF808080"/>
        <rFont val="Consolas"/>
        <family val="3"/>
      </rPr>
      <t>/</t>
    </r>
    <r>
      <rPr>
        <sz val="9.5"/>
        <color rgb="FF008080"/>
        <rFont val="Consolas"/>
        <family val="3"/>
      </rPr>
      <t>[Capped MFF]</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[MFF Adj TC Capped]</t>
    </r>
  </si>
  <si>
    <r>
      <t>into</t>
    </r>
    <r>
      <rPr>
        <sz val="9.5"/>
        <color theme="1"/>
        <rFont val="Consolas"/>
        <family val="3"/>
      </rPr>
      <t xml:space="preserve"> </t>
    </r>
    <r>
      <rPr>
        <sz val="9.5"/>
        <color rgb="FF008080"/>
        <rFont val="Consolas"/>
        <family val="3"/>
      </rPr>
      <t>#02a</t>
    </r>
  </si>
  <si>
    <r>
      <t>FROM</t>
    </r>
    <r>
      <rPr>
        <sz val="9.5"/>
        <color theme="1"/>
        <rFont val="Consolas"/>
        <family val="3"/>
      </rPr>
      <t xml:space="preserve"> </t>
    </r>
    <r>
      <rPr>
        <sz val="9.5"/>
        <color rgb="FF008080"/>
        <rFont val="Consolas"/>
        <family val="3"/>
      </rPr>
      <t>#01c</t>
    </r>
    <r>
      <rPr>
        <sz val="9.5"/>
        <color theme="1"/>
        <rFont val="Consolas"/>
        <family val="3"/>
      </rPr>
      <t xml:space="preserve"> </t>
    </r>
  </si>
  <si>
    <r>
      <t>INNER</t>
    </r>
    <r>
      <rPr>
        <sz val="9.5"/>
        <color theme="1"/>
        <rFont val="Consolas"/>
        <family val="3"/>
      </rPr>
      <t xml:space="preserve"> </t>
    </r>
    <r>
      <rPr>
        <sz val="9.5"/>
        <color rgb="FF808080"/>
        <rFont val="Consolas"/>
        <family val="3"/>
      </rPr>
      <t>JOIN</t>
    </r>
    <r>
      <rPr>
        <sz val="9.5"/>
        <color theme="1"/>
        <rFont val="Consolas"/>
        <family val="3"/>
      </rPr>
      <t xml:space="preserve"> </t>
    </r>
    <r>
      <rPr>
        <sz val="9.5"/>
        <color rgb="FF008080"/>
        <rFont val="Consolas"/>
        <family val="3"/>
      </rPr>
      <t>[input]</t>
    </r>
    <r>
      <rPr>
        <sz val="9.5"/>
        <color rgb="FF808080"/>
        <rFont val="Consolas"/>
        <family val="3"/>
      </rPr>
      <t>.</t>
    </r>
    <r>
      <rPr>
        <sz val="9.5"/>
        <color rgb="FF008080"/>
        <rFont val="Consolas"/>
        <family val="3"/>
      </rPr>
      <t>[Provider_OPATT]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in_00</t>
    </r>
    <r>
      <rPr>
        <sz val="9.5"/>
        <color theme="1"/>
        <rFont val="Consolas"/>
        <family val="3"/>
      </rPr>
      <t xml:space="preserve"> </t>
    </r>
  </si>
  <si>
    <r>
      <t>ON</t>
    </r>
    <r>
      <rPr>
        <sz val="9.5"/>
        <color theme="1"/>
        <rFont val="Consolas"/>
        <family val="3"/>
      </rPr>
      <t xml:space="preserve"> </t>
    </r>
    <r>
      <rPr>
        <sz val="9.5"/>
        <color rgb="FF008080"/>
        <rFont val="Consolas"/>
        <family val="3"/>
      </rPr>
      <t>#01c</t>
    </r>
    <r>
      <rPr>
        <sz val="9.5"/>
        <color rgb="FF808080"/>
        <rFont val="Consolas"/>
        <family val="3"/>
      </rPr>
      <t>.</t>
    </r>
    <r>
      <rPr>
        <sz val="9.5"/>
        <color rgb="FF008080"/>
        <rFont val="Consolas"/>
        <family val="3"/>
      </rPr>
      <t>[Org Code]</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in_00</t>
    </r>
    <r>
      <rPr>
        <sz val="9.5"/>
        <color rgb="FF808080"/>
        <rFont val="Consolas"/>
        <family val="3"/>
      </rPr>
      <t>.</t>
    </r>
    <r>
      <rPr>
        <sz val="9.5"/>
        <color rgb="FF008080"/>
        <rFont val="Consolas"/>
        <family val="3"/>
      </rPr>
      <t>[RC Code]</t>
    </r>
  </si>
  <si>
    <r>
      <t>#01c</t>
    </r>
    <r>
      <rPr>
        <sz val="9.5"/>
        <color rgb="FF808080"/>
        <rFont val="Consolas"/>
        <family val="3"/>
      </rPr>
      <t>.</t>
    </r>
    <r>
      <rPr>
        <sz val="9.5"/>
        <color rgb="FF008080"/>
        <rFont val="Consolas"/>
        <family val="3"/>
      </rPr>
      <t>[Tariff TFC]</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</si>
  <si>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N'[Valid].[OPATT01_02a]'</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</si>
  <si>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[OPATT01_02a]</t>
    </r>
  </si>
  <si>
    <r>
      <t>[Org Code]</t>
    </r>
    <r>
      <rPr>
        <sz val="9.5"/>
        <color rgb="FF808080"/>
        <rFont val="Consolas"/>
        <family val="3"/>
      </rPr>
      <t>,</t>
    </r>
  </si>
  <si>
    <r>
      <t>SUM</t>
    </r>
    <r>
      <rPr>
        <sz val="9.5"/>
        <color rgb="FF808080"/>
        <rFont val="Consolas"/>
        <family val="3"/>
      </rPr>
      <t>(</t>
    </r>
    <r>
      <rPr>
        <sz val="9.5"/>
        <color rgb="FF008080"/>
        <rFont val="Consolas"/>
        <family val="3"/>
      </rPr>
      <t>Activity</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Activity</t>
    </r>
    <r>
      <rPr>
        <sz val="9.5"/>
        <color rgb="FF808080"/>
        <rFont val="Consolas"/>
        <family val="3"/>
      </rPr>
      <t>,</t>
    </r>
  </si>
  <si>
    <r>
      <t>AVG</t>
    </r>
    <r>
      <rPr>
        <sz val="9.5"/>
        <color rgb="FF808080"/>
        <rFont val="Consolas"/>
        <family val="3"/>
      </rPr>
      <t>(</t>
    </r>
    <r>
      <rPr>
        <sz val="9.5"/>
        <color rgb="FF008080"/>
        <rFont val="Consolas"/>
        <family val="3"/>
      </rPr>
      <t>[Unit Cost]</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[unit cost]</t>
    </r>
    <r>
      <rPr>
        <sz val="9.5"/>
        <color rgb="FF808080"/>
        <rFont val="Consolas"/>
        <family val="3"/>
      </rPr>
      <t>,</t>
    </r>
  </si>
  <si>
    <r>
      <t>AVG</t>
    </r>
    <r>
      <rPr>
        <sz val="9.5"/>
        <color rgb="FF808080"/>
        <rFont val="Consolas"/>
        <family val="3"/>
      </rPr>
      <t>(</t>
    </r>
    <r>
      <rPr>
        <sz val="9.5"/>
        <color rgb="FF008080"/>
        <rFont val="Consolas"/>
        <family val="3"/>
      </rPr>
      <t>[Total Costs]</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[total costs]</t>
    </r>
    <r>
      <rPr>
        <sz val="9.5"/>
        <color rgb="FF808080"/>
        <rFont val="Consolas"/>
        <family val="3"/>
      </rPr>
      <t>,</t>
    </r>
  </si>
  <si>
    <r>
      <t>SUM</t>
    </r>
    <r>
      <rPr>
        <sz val="9.5"/>
        <color rgb="FF808080"/>
        <rFont val="Consolas"/>
        <family val="3"/>
      </rPr>
      <t>(</t>
    </r>
    <r>
      <rPr>
        <sz val="9.5"/>
        <color rgb="FF008080"/>
        <rFont val="Consolas"/>
        <family val="3"/>
      </rPr>
      <t>[mff adj uc]</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[mff adj uc]</t>
    </r>
    <r>
      <rPr>
        <sz val="9.5"/>
        <color theme="1"/>
        <rFont val="Consolas"/>
        <family val="3"/>
      </rPr>
      <t xml:space="preserve"> </t>
    </r>
    <r>
      <rPr>
        <sz val="9.5"/>
        <color rgb="FF808080"/>
        <rFont val="Consolas"/>
        <family val="3"/>
      </rPr>
      <t>,</t>
    </r>
  </si>
  <si>
    <r>
      <t>sum</t>
    </r>
    <r>
      <rPr>
        <sz val="9.5"/>
        <color rgb="FF808080"/>
        <rFont val="Consolas"/>
        <family val="3"/>
      </rPr>
      <t>(</t>
    </r>
    <r>
      <rPr>
        <sz val="9.5"/>
        <color rgb="FF008080"/>
        <rFont val="Consolas"/>
        <family val="3"/>
      </rPr>
      <t>[mff adj tc]</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[mff adj tc]</t>
    </r>
    <r>
      <rPr>
        <sz val="9.5"/>
        <color rgb="FF808080"/>
        <rFont val="Consolas"/>
        <family val="3"/>
      </rPr>
      <t>,</t>
    </r>
  </si>
  <si>
    <r>
      <t>sum</t>
    </r>
    <r>
      <rPr>
        <sz val="9.5"/>
        <color rgb="FF808080"/>
        <rFont val="Consolas"/>
        <family val="3"/>
      </rPr>
      <t>(</t>
    </r>
    <r>
      <rPr>
        <sz val="9.5"/>
        <color rgb="FF008080"/>
        <rFont val="Consolas"/>
        <family val="3"/>
      </rPr>
      <t>[MFF Adj TC Capped]</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[mff adj tc capped]</t>
    </r>
  </si>
  <si>
    <r>
      <t>INTO</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[OPATT01_02a]</t>
    </r>
  </si>
  <si>
    <r>
      <t>FROM</t>
    </r>
    <r>
      <rPr>
        <sz val="9.5"/>
        <color theme="1"/>
        <rFont val="Consolas"/>
        <family val="3"/>
      </rPr>
      <t xml:space="preserve"> </t>
    </r>
    <r>
      <rPr>
        <sz val="9.5"/>
        <color rgb="FF008080"/>
        <rFont val="Consolas"/>
        <family val="3"/>
      </rPr>
      <t>#02a</t>
    </r>
  </si>
  <si>
    <t>--02b: National Averages</t>
  </si>
  <si>
    <t>--Calculates national averages for use in 07: Clean Data</t>
  </si>
  <si>
    <r>
      <t>[Tariff TFC]</t>
    </r>
    <r>
      <rPr>
        <sz val="9.5"/>
        <color rgb="FF808080"/>
        <rFont val="Consolas"/>
        <family val="3"/>
      </rPr>
      <t>,</t>
    </r>
    <r>
      <rPr>
        <sz val="9.5"/>
        <color theme="1"/>
        <rFont val="Consolas"/>
        <family val="3"/>
      </rPr>
      <t xml:space="preserve"> </t>
    </r>
  </si>
  <si>
    <r>
      <t>Sum</t>
    </r>
    <r>
      <rPr>
        <sz val="9.5"/>
        <color rgb="FF808080"/>
        <rFont val="Consolas"/>
        <family val="3"/>
      </rPr>
      <t>(</t>
    </r>
    <r>
      <rPr>
        <sz val="9.5"/>
        <color rgb="FF008080"/>
        <rFont val="Consolas"/>
        <family val="3"/>
      </rPr>
      <t>Activity</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SumOfActivity</t>
    </r>
    <r>
      <rPr>
        <sz val="9.5"/>
        <color rgb="FF808080"/>
        <rFont val="Consolas"/>
        <family val="3"/>
      </rPr>
      <t>,</t>
    </r>
    <r>
      <rPr>
        <sz val="9.5"/>
        <color theme="1"/>
        <rFont val="Consolas"/>
        <family val="3"/>
      </rPr>
      <t xml:space="preserve"> </t>
    </r>
  </si>
  <si>
    <r>
      <t>Sum</t>
    </r>
    <r>
      <rPr>
        <sz val="9.5"/>
        <color rgb="FF808080"/>
        <rFont val="Consolas"/>
        <family val="3"/>
      </rPr>
      <t>(</t>
    </r>
    <r>
      <rPr>
        <sz val="9.5"/>
        <color rgb="FF008080"/>
        <rFont val="Consolas"/>
        <family val="3"/>
      </rPr>
      <t>[MFF Adj TC]</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[SumOfMFF Adj TC]</t>
    </r>
    <r>
      <rPr>
        <sz val="9.5"/>
        <color rgb="FF808080"/>
        <rFont val="Consolas"/>
        <family val="3"/>
      </rPr>
      <t>,</t>
    </r>
    <r>
      <rPr>
        <sz val="9.5"/>
        <color theme="1"/>
        <rFont val="Consolas"/>
        <family val="3"/>
      </rPr>
      <t xml:space="preserve"> </t>
    </r>
  </si>
  <si>
    <r>
      <t>Sum</t>
    </r>
    <r>
      <rPr>
        <sz val="9.5"/>
        <color rgb="FF808080"/>
        <rFont val="Consolas"/>
        <family val="3"/>
      </rPr>
      <t>(</t>
    </r>
    <r>
      <rPr>
        <sz val="9.5"/>
        <color rgb="FF008080"/>
        <rFont val="Consolas"/>
        <family val="3"/>
      </rPr>
      <t>[MFF Adj TC]</t>
    </r>
    <r>
      <rPr>
        <sz val="9.5"/>
        <color rgb="FF808080"/>
        <rFont val="Consolas"/>
        <family val="3"/>
      </rPr>
      <t>)/</t>
    </r>
    <r>
      <rPr>
        <sz val="9.5"/>
        <color rgb="FFFF00FF"/>
        <rFont val="Consolas"/>
        <family val="3"/>
      </rPr>
      <t>Sum</t>
    </r>
    <r>
      <rPr>
        <sz val="9.5"/>
        <color rgb="FF808080"/>
        <rFont val="Consolas"/>
        <family val="3"/>
      </rPr>
      <t>(</t>
    </r>
    <r>
      <rPr>
        <sz val="9.5"/>
        <color rgb="FF008080"/>
        <rFont val="Consolas"/>
        <family val="3"/>
      </rPr>
      <t>[Activity]</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Average</t>
    </r>
  </si>
  <si>
    <r>
      <t>into</t>
    </r>
    <r>
      <rPr>
        <sz val="9.5"/>
        <color theme="1"/>
        <rFont val="Consolas"/>
        <family val="3"/>
      </rPr>
      <t xml:space="preserve"> </t>
    </r>
    <r>
      <rPr>
        <sz val="9.5"/>
        <color rgb="FF008080"/>
        <rFont val="Consolas"/>
        <family val="3"/>
      </rPr>
      <t>#02b</t>
    </r>
  </si>
  <si>
    <t>[Tariff TFC]</t>
  </si>
  <si>
    <t>--02c: National Average MFF</t>
  </si>
  <si>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N'[stage].[OPATT_Nat_Avg_MFF]'</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</si>
  <si>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[OPATT_Nat_Avg_MFF]</t>
    </r>
  </si>
  <si>
    <r>
      <t>Sum</t>
    </r>
    <r>
      <rPr>
        <sz val="9.5"/>
        <color rgb="FF808080"/>
        <rFont val="Consolas"/>
        <family val="3"/>
      </rPr>
      <t>(</t>
    </r>
    <r>
      <rPr>
        <sz val="9.5"/>
        <color rgb="FF008080"/>
        <rFont val="Consolas"/>
        <family val="3"/>
      </rPr>
      <t>[Total Costs]</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[Inc MFF]</t>
    </r>
    <r>
      <rPr>
        <sz val="9.5"/>
        <color rgb="FF808080"/>
        <rFont val="Consolas"/>
        <family val="3"/>
      </rPr>
      <t>,</t>
    </r>
    <r>
      <rPr>
        <sz val="9.5"/>
        <color theme="1"/>
        <rFont val="Consolas"/>
        <family val="3"/>
      </rPr>
      <t xml:space="preserve"> </t>
    </r>
  </si>
  <si>
    <r>
      <t>Sum</t>
    </r>
    <r>
      <rPr>
        <sz val="9.5"/>
        <color rgb="FF808080"/>
        <rFont val="Consolas"/>
        <family val="3"/>
      </rPr>
      <t>(</t>
    </r>
    <r>
      <rPr>
        <sz val="9.5"/>
        <color rgb="FF008080"/>
        <rFont val="Consolas"/>
        <family val="3"/>
      </rPr>
      <t>[MFF Adj TC]</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[Exc MFF]</t>
    </r>
    <r>
      <rPr>
        <sz val="9.5"/>
        <color rgb="FF808080"/>
        <rFont val="Consolas"/>
        <family val="3"/>
      </rPr>
      <t>,</t>
    </r>
    <r>
      <rPr>
        <sz val="9.5"/>
        <color theme="1"/>
        <rFont val="Consolas"/>
        <family val="3"/>
      </rPr>
      <t xml:space="preserve"> </t>
    </r>
  </si>
  <si>
    <r>
      <t>(</t>
    </r>
    <r>
      <rPr>
        <sz val="9.5"/>
        <color rgb="FFFF00FF"/>
        <rFont val="Consolas"/>
        <family val="3"/>
      </rPr>
      <t>Sum</t>
    </r>
    <r>
      <rPr>
        <sz val="9.5"/>
        <color rgb="FF808080"/>
        <rFont val="Consolas"/>
        <family val="3"/>
      </rPr>
      <t>(</t>
    </r>
    <r>
      <rPr>
        <sz val="9.5"/>
        <color rgb="FF008080"/>
        <rFont val="Consolas"/>
        <family val="3"/>
      </rPr>
      <t>[Total Costs]</t>
    </r>
    <r>
      <rPr>
        <sz val="9.5"/>
        <color rgb="FF808080"/>
        <rFont val="Consolas"/>
        <family val="3"/>
      </rPr>
      <t>)/</t>
    </r>
    <r>
      <rPr>
        <sz val="9.5"/>
        <color rgb="FFFF00FF"/>
        <rFont val="Consolas"/>
        <family val="3"/>
      </rPr>
      <t>Sum</t>
    </r>
    <r>
      <rPr>
        <sz val="9.5"/>
        <color rgb="FF808080"/>
        <rFont val="Consolas"/>
        <family val="3"/>
      </rPr>
      <t>(</t>
    </r>
    <r>
      <rPr>
        <sz val="9.5"/>
        <color rgb="FF008080"/>
        <rFont val="Consolas"/>
        <family val="3"/>
      </rPr>
      <t>[MFF Adj TC]</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[National Average]</t>
    </r>
    <r>
      <rPr>
        <sz val="9.5"/>
        <color theme="1"/>
        <rFont val="Consolas"/>
        <family val="3"/>
      </rPr>
      <t xml:space="preserve"> </t>
    </r>
  </si>
  <si>
    <r>
      <t>INTO</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[OPATT_Nat_Avg_MFF]</t>
    </r>
  </si>
  <si>
    <t>--02d: MFF Rescaling</t>
  </si>
  <si>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N'[Stage].[OPATT_MFF_Rescaling]'</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</si>
  <si>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[OPATT_MFF_Rescaling]</t>
    </r>
  </si>
  <si>
    <r>
      <t>Sum</t>
    </r>
    <r>
      <rPr>
        <sz val="9.5"/>
        <color rgb="FF808080"/>
        <rFont val="Consolas"/>
        <family val="3"/>
      </rPr>
      <t>(</t>
    </r>
    <r>
      <rPr>
        <sz val="9.5"/>
        <color rgb="FF008080"/>
        <rFont val="Consolas"/>
        <family val="3"/>
      </rPr>
      <t>[MFF Adj TC]</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[Uncapped TC]</t>
    </r>
    <r>
      <rPr>
        <sz val="9.5"/>
        <color rgb="FF808080"/>
        <rFont val="Consolas"/>
        <family val="3"/>
      </rPr>
      <t>,</t>
    </r>
    <r>
      <rPr>
        <sz val="9.5"/>
        <color theme="1"/>
        <rFont val="Consolas"/>
        <family val="3"/>
      </rPr>
      <t xml:space="preserve"> </t>
    </r>
  </si>
  <si>
    <r>
      <t>Sum</t>
    </r>
    <r>
      <rPr>
        <sz val="9.5"/>
        <color rgb="FF808080"/>
        <rFont val="Consolas"/>
        <family val="3"/>
      </rPr>
      <t>(</t>
    </r>
    <r>
      <rPr>
        <sz val="9.5"/>
        <color rgb="FF008080"/>
        <rFont val="Consolas"/>
        <family val="3"/>
      </rPr>
      <t>[MFF Adj TC Capped]</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[Capped TC]</t>
    </r>
    <r>
      <rPr>
        <sz val="9.5"/>
        <color rgb="FF808080"/>
        <rFont val="Consolas"/>
        <family val="3"/>
      </rPr>
      <t>,</t>
    </r>
    <r>
      <rPr>
        <sz val="9.5"/>
        <color theme="1"/>
        <rFont val="Consolas"/>
        <family val="3"/>
      </rPr>
      <t xml:space="preserve"> </t>
    </r>
  </si>
  <si>
    <r>
      <t>(</t>
    </r>
    <r>
      <rPr>
        <sz val="9.5"/>
        <color rgb="FFFF00FF"/>
        <rFont val="Consolas"/>
        <family val="3"/>
      </rPr>
      <t>Sum</t>
    </r>
    <r>
      <rPr>
        <sz val="9.5"/>
        <color rgb="FF808080"/>
        <rFont val="Consolas"/>
        <family val="3"/>
      </rPr>
      <t>(</t>
    </r>
    <r>
      <rPr>
        <sz val="9.5"/>
        <color rgb="FF008080"/>
        <rFont val="Consolas"/>
        <family val="3"/>
      </rPr>
      <t>[MFF Adj TC Capped]</t>
    </r>
    <r>
      <rPr>
        <sz val="9.5"/>
        <color rgb="FF808080"/>
        <rFont val="Consolas"/>
        <family val="3"/>
      </rPr>
      <t>)/</t>
    </r>
    <r>
      <rPr>
        <sz val="9.5"/>
        <color rgb="FFFF00FF"/>
        <rFont val="Consolas"/>
        <family val="3"/>
      </rPr>
      <t>Sum</t>
    </r>
    <r>
      <rPr>
        <sz val="9.5"/>
        <color rgb="FF808080"/>
        <rFont val="Consolas"/>
        <family val="3"/>
      </rPr>
      <t>(</t>
    </r>
    <r>
      <rPr>
        <sz val="9.5"/>
        <color rgb="FF008080"/>
        <rFont val="Consolas"/>
        <family val="3"/>
      </rPr>
      <t>[MFF Adj TC]</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[MFF Rebasing]</t>
    </r>
    <r>
      <rPr>
        <sz val="9.5"/>
        <color theme="1"/>
        <rFont val="Consolas"/>
        <family val="3"/>
      </rPr>
      <t xml:space="preserve"> </t>
    </r>
  </si>
  <si>
    <r>
      <t>INTO</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[OPATT_MFF_Rescaling]</t>
    </r>
  </si>
  <si>
    <t>#02a</t>
  </si>
  <si>
    <r>
      <t>SET</t>
    </r>
    <r>
      <rPr>
        <sz val="9.5"/>
        <color theme="1"/>
        <rFont val="Consolas"/>
        <family val="3"/>
      </rPr>
      <t xml:space="preserve">  </t>
    </r>
    <r>
      <rPr>
        <sz val="9.5"/>
        <color rgb="FF008080"/>
        <rFont val="Consolas"/>
        <family val="3"/>
      </rPr>
      <t>@LoggingValues</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'03a: Clean Data'</t>
    </r>
  </si>
  <si>
    <t>--03a: Clean Data</t>
  </si>
  <si>
    <t>--Compares provider UC to nat av and for those &gt;20x or &lt;1/20th of the nat av, sets data to 0</t>
  </si>
  <si>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N'[Stage].[OPATT_CleanData]'</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</si>
  <si>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[OPATT_CleanData]</t>
    </r>
  </si>
  <si>
    <r>
      <t>#02a</t>
    </r>
    <r>
      <rPr>
        <sz val="9.5"/>
        <color rgb="FF808080"/>
        <rFont val="Consolas"/>
        <family val="3"/>
      </rPr>
      <t>.</t>
    </r>
    <r>
      <rPr>
        <sz val="9.5"/>
        <color rgb="FF008080"/>
        <rFont val="Consolas"/>
        <family val="3"/>
      </rPr>
      <t>[Org Code]</t>
    </r>
    <r>
      <rPr>
        <sz val="9.5"/>
        <color rgb="FF808080"/>
        <rFont val="Consolas"/>
        <family val="3"/>
      </rPr>
      <t>,</t>
    </r>
    <r>
      <rPr>
        <sz val="9.5"/>
        <color theme="1"/>
        <rFont val="Consolas"/>
        <family val="3"/>
      </rPr>
      <t xml:space="preserve"> </t>
    </r>
  </si>
  <si>
    <r>
      <t>#02a</t>
    </r>
    <r>
      <rPr>
        <sz val="9.5"/>
        <color rgb="FF808080"/>
        <rFont val="Consolas"/>
        <family val="3"/>
      </rPr>
      <t>.</t>
    </r>
    <r>
      <rPr>
        <sz val="9.5"/>
        <color rgb="FF008080"/>
        <rFont val="Consolas"/>
        <family val="3"/>
      </rPr>
      <t>Dept_code</t>
    </r>
    <r>
      <rPr>
        <sz val="9.5"/>
        <color rgb="FF808080"/>
        <rFont val="Consolas"/>
        <family val="3"/>
      </rPr>
      <t>,</t>
    </r>
    <r>
      <rPr>
        <sz val="9.5"/>
        <color theme="1"/>
        <rFont val="Consolas"/>
        <family val="3"/>
      </rPr>
      <t xml:space="preserve"> </t>
    </r>
  </si>
  <si>
    <r>
      <t>#02a</t>
    </r>
    <r>
      <rPr>
        <sz val="9.5"/>
        <color rgb="FF808080"/>
        <rFont val="Consolas"/>
        <family val="3"/>
      </rPr>
      <t>.</t>
    </r>
    <r>
      <rPr>
        <sz val="9.5"/>
        <color rgb="FF008080"/>
        <rFont val="Consolas"/>
        <family val="3"/>
      </rPr>
      <t>Currency_code</t>
    </r>
    <r>
      <rPr>
        <sz val="9.5"/>
        <color rgb="FF808080"/>
        <rFont val="Consolas"/>
        <family val="3"/>
      </rPr>
      <t>,</t>
    </r>
    <r>
      <rPr>
        <sz val="9.5"/>
        <color theme="1"/>
        <rFont val="Consolas"/>
        <family val="3"/>
      </rPr>
      <t xml:space="preserve"> </t>
    </r>
  </si>
  <si>
    <r>
      <t>#02a</t>
    </r>
    <r>
      <rPr>
        <sz val="9.5"/>
        <color rgb="FF808080"/>
        <rFont val="Consolas"/>
        <family val="3"/>
      </rPr>
      <t>.</t>
    </r>
    <r>
      <rPr>
        <sz val="9.5"/>
        <color rgb="FF008080"/>
        <rFont val="Consolas"/>
        <family val="3"/>
      </rPr>
      <t>[Tariff TFC]</t>
    </r>
    <r>
      <rPr>
        <sz val="9.5"/>
        <color rgb="FF808080"/>
        <rFont val="Consolas"/>
        <family val="3"/>
      </rPr>
      <t>,</t>
    </r>
    <r>
      <rPr>
        <sz val="9.5"/>
        <color theme="1"/>
        <rFont val="Consolas"/>
        <family val="3"/>
      </rPr>
      <t xml:space="preserve"> </t>
    </r>
  </si>
  <si>
    <r>
      <t>#02a</t>
    </r>
    <r>
      <rPr>
        <sz val="9.5"/>
        <color rgb="FF808080"/>
        <rFont val="Consolas"/>
        <family val="3"/>
      </rPr>
      <t>.</t>
    </r>
    <r>
      <rPr>
        <sz val="9.5"/>
        <color rgb="FF008080"/>
        <rFont val="Consolas"/>
        <family val="3"/>
      </rPr>
      <t>Activity</t>
    </r>
    <r>
      <rPr>
        <sz val="9.5"/>
        <color rgb="FF808080"/>
        <rFont val="Consolas"/>
        <family val="3"/>
      </rPr>
      <t>,</t>
    </r>
    <r>
      <rPr>
        <sz val="9.5"/>
        <color theme="1"/>
        <rFont val="Consolas"/>
        <family val="3"/>
      </rPr>
      <t xml:space="preserve"> </t>
    </r>
  </si>
  <si>
    <r>
      <t>#02B</t>
    </r>
    <r>
      <rPr>
        <sz val="9.5"/>
        <color rgb="FF808080"/>
        <rFont val="Consolas"/>
        <family val="3"/>
      </rPr>
      <t>.</t>
    </r>
    <r>
      <rPr>
        <sz val="9.5"/>
        <color rgb="FF008080"/>
        <rFont val="Consolas"/>
        <family val="3"/>
      </rPr>
      <t>Average</t>
    </r>
    <r>
      <rPr>
        <sz val="9.5"/>
        <color rgb="FF808080"/>
        <rFont val="Consolas"/>
        <family val="3"/>
      </rPr>
      <t>,</t>
    </r>
    <r>
      <rPr>
        <sz val="9.5"/>
        <color theme="1"/>
        <rFont val="Consolas"/>
        <family val="3"/>
      </rPr>
      <t xml:space="preserve"> </t>
    </r>
  </si>
  <si>
    <r>
      <t>#02a</t>
    </r>
    <r>
      <rPr>
        <sz val="9.5"/>
        <color rgb="FF808080"/>
        <rFont val="Consolas"/>
        <family val="3"/>
      </rPr>
      <t>.</t>
    </r>
    <r>
      <rPr>
        <sz val="9.5"/>
        <color rgb="FF008080"/>
        <rFont val="Consolas"/>
        <family val="3"/>
      </rPr>
      <t>[MFF Adj UC]</t>
    </r>
    <r>
      <rPr>
        <sz val="9.5"/>
        <color rgb="FF808080"/>
        <rFont val="Consolas"/>
        <family val="3"/>
      </rPr>
      <t>,</t>
    </r>
  </si>
  <si>
    <r>
      <t>clean_activity</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008080"/>
        <rFont val="Consolas"/>
        <family val="3"/>
      </rPr>
      <t>[MFF adj uc]</t>
    </r>
    <r>
      <rPr>
        <sz val="9.5"/>
        <color rgb="FF808080"/>
        <rFont val="Consolas"/>
        <family val="3"/>
      </rPr>
      <t>/</t>
    </r>
    <r>
      <rPr>
        <sz val="9.5"/>
        <color rgb="FF008080"/>
        <rFont val="Consolas"/>
        <family val="3"/>
      </rPr>
      <t>[Average]</t>
    </r>
    <r>
      <rPr>
        <sz val="9.5"/>
        <color rgb="FF808080"/>
        <rFont val="Consolas"/>
        <family val="3"/>
      </rPr>
      <t>&lt;</t>
    </r>
    <r>
      <rPr>
        <sz val="9.5"/>
        <color theme="1"/>
        <rFont val="Consolas"/>
        <family val="3"/>
      </rPr>
      <t xml:space="preserve">0.05 </t>
    </r>
    <r>
      <rPr>
        <sz val="9.5"/>
        <color rgb="FF808080"/>
        <rFont val="Consolas"/>
        <family val="3"/>
      </rPr>
      <t>Or</t>
    </r>
    <r>
      <rPr>
        <sz val="9.5"/>
        <color theme="1"/>
        <rFont val="Consolas"/>
        <family val="3"/>
      </rPr>
      <t xml:space="preserve"> </t>
    </r>
    <r>
      <rPr>
        <sz val="9.5"/>
        <color rgb="FF008080"/>
        <rFont val="Consolas"/>
        <family val="3"/>
      </rPr>
      <t>[MFF adj uc]</t>
    </r>
    <r>
      <rPr>
        <sz val="9.5"/>
        <color rgb="FF808080"/>
        <rFont val="Consolas"/>
        <family val="3"/>
      </rPr>
      <t>/</t>
    </r>
    <r>
      <rPr>
        <sz val="9.5"/>
        <color rgb="FF008080"/>
        <rFont val="Consolas"/>
        <family val="3"/>
      </rPr>
      <t>[Average]</t>
    </r>
    <r>
      <rPr>
        <sz val="9.5"/>
        <color rgb="FF808080"/>
        <rFont val="Consolas"/>
        <family val="3"/>
      </rPr>
      <t>&gt;</t>
    </r>
    <r>
      <rPr>
        <sz val="9.5"/>
        <color theme="1"/>
        <rFont val="Consolas"/>
        <family val="3"/>
      </rPr>
      <t xml:space="preserve">20 </t>
    </r>
    <r>
      <rPr>
        <sz val="9.5"/>
        <color rgb="FF0000FF"/>
        <rFont val="Consolas"/>
        <family val="3"/>
      </rPr>
      <t>THEN</t>
    </r>
    <r>
      <rPr>
        <sz val="9.5"/>
        <color theme="1"/>
        <rFont val="Consolas"/>
        <family val="3"/>
      </rPr>
      <t xml:space="preserve"> 0  </t>
    </r>
    <r>
      <rPr>
        <sz val="9.5"/>
        <color rgb="FF0000FF"/>
        <rFont val="Consolas"/>
        <family val="3"/>
      </rPr>
      <t>ELSE</t>
    </r>
    <r>
      <rPr>
        <sz val="9.5"/>
        <color theme="1"/>
        <rFont val="Consolas"/>
        <family val="3"/>
      </rPr>
      <t xml:space="preserve"> </t>
    </r>
    <r>
      <rPr>
        <sz val="9.5"/>
        <color rgb="FF008080"/>
        <rFont val="Consolas"/>
        <family val="3"/>
      </rPr>
      <t>[Activity]</t>
    </r>
    <r>
      <rPr>
        <sz val="9.5"/>
        <color theme="1"/>
        <rFont val="Consolas"/>
        <family val="3"/>
      </rPr>
      <t xml:space="preserve"> </t>
    </r>
    <r>
      <rPr>
        <sz val="9.5"/>
        <color rgb="FF0000FF"/>
        <rFont val="Consolas"/>
        <family val="3"/>
      </rPr>
      <t>END</t>
    </r>
    <r>
      <rPr>
        <sz val="9.5"/>
        <color rgb="FF808080"/>
        <rFont val="Consolas"/>
        <family val="3"/>
      </rPr>
      <t>,</t>
    </r>
  </si>
  <si>
    <r>
      <t>clean_tc</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008080"/>
        <rFont val="Consolas"/>
        <family val="3"/>
      </rPr>
      <t>[MFF adj uc]</t>
    </r>
    <r>
      <rPr>
        <sz val="9.5"/>
        <color rgb="FF808080"/>
        <rFont val="Consolas"/>
        <family val="3"/>
      </rPr>
      <t>/</t>
    </r>
    <r>
      <rPr>
        <sz val="9.5"/>
        <color rgb="FF008080"/>
        <rFont val="Consolas"/>
        <family val="3"/>
      </rPr>
      <t>[Average]</t>
    </r>
    <r>
      <rPr>
        <sz val="9.5"/>
        <color rgb="FF808080"/>
        <rFont val="Consolas"/>
        <family val="3"/>
      </rPr>
      <t>&lt;</t>
    </r>
    <r>
      <rPr>
        <sz val="9.5"/>
        <color theme="1"/>
        <rFont val="Consolas"/>
        <family val="3"/>
      </rPr>
      <t xml:space="preserve">0.05 </t>
    </r>
    <r>
      <rPr>
        <sz val="9.5"/>
        <color rgb="FF808080"/>
        <rFont val="Consolas"/>
        <family val="3"/>
      </rPr>
      <t>Or</t>
    </r>
    <r>
      <rPr>
        <sz val="9.5"/>
        <color theme="1"/>
        <rFont val="Consolas"/>
        <family val="3"/>
      </rPr>
      <t xml:space="preserve"> </t>
    </r>
    <r>
      <rPr>
        <sz val="9.5"/>
        <color rgb="FF008080"/>
        <rFont val="Consolas"/>
        <family val="3"/>
      </rPr>
      <t>[MFF adj uc]</t>
    </r>
    <r>
      <rPr>
        <sz val="9.5"/>
        <color rgb="FF808080"/>
        <rFont val="Consolas"/>
        <family val="3"/>
      </rPr>
      <t>/</t>
    </r>
    <r>
      <rPr>
        <sz val="9.5"/>
        <color rgb="FF008080"/>
        <rFont val="Consolas"/>
        <family val="3"/>
      </rPr>
      <t>[Average]</t>
    </r>
    <r>
      <rPr>
        <sz val="9.5"/>
        <color rgb="FF808080"/>
        <rFont val="Consolas"/>
        <family val="3"/>
      </rPr>
      <t>&gt;</t>
    </r>
    <r>
      <rPr>
        <sz val="9.5"/>
        <color theme="1"/>
        <rFont val="Consolas"/>
        <family val="3"/>
      </rPr>
      <t xml:space="preserve">20 </t>
    </r>
    <r>
      <rPr>
        <sz val="9.5"/>
        <color rgb="FF0000FF"/>
        <rFont val="Consolas"/>
        <family val="3"/>
      </rPr>
      <t>THEN</t>
    </r>
    <r>
      <rPr>
        <sz val="9.5"/>
        <color theme="1"/>
        <rFont val="Consolas"/>
        <family val="3"/>
      </rPr>
      <t xml:space="preserve"> 0 </t>
    </r>
    <r>
      <rPr>
        <sz val="9.5"/>
        <color rgb="FF0000FF"/>
        <rFont val="Consolas"/>
        <family val="3"/>
      </rPr>
      <t>ELSE</t>
    </r>
    <r>
      <rPr>
        <sz val="9.5"/>
        <color theme="1"/>
        <rFont val="Consolas"/>
        <family val="3"/>
      </rPr>
      <t xml:space="preserve"> </t>
    </r>
    <r>
      <rPr>
        <sz val="9.5"/>
        <color rgb="FF008080"/>
        <rFont val="Consolas"/>
        <family val="3"/>
      </rPr>
      <t>[MFF adj tc]</t>
    </r>
    <r>
      <rPr>
        <sz val="9.5"/>
        <color theme="1"/>
        <rFont val="Consolas"/>
        <family val="3"/>
      </rPr>
      <t xml:space="preserve"> </t>
    </r>
    <r>
      <rPr>
        <sz val="9.5"/>
        <color rgb="FF0000FF"/>
        <rFont val="Consolas"/>
        <family val="3"/>
      </rPr>
      <t>END</t>
    </r>
  </si>
  <si>
    <r>
      <t>into</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[OPATT_CleanData]</t>
    </r>
  </si>
  <si>
    <r>
      <t>#02a</t>
    </r>
    <r>
      <rPr>
        <sz val="9.5"/>
        <color theme="1"/>
        <rFont val="Consolas"/>
        <family val="3"/>
      </rPr>
      <t xml:space="preserve"> </t>
    </r>
  </si>
  <si>
    <r>
      <t>INNER</t>
    </r>
    <r>
      <rPr>
        <sz val="9.5"/>
        <color theme="1"/>
        <rFont val="Consolas"/>
        <family val="3"/>
      </rPr>
      <t xml:space="preserve"> </t>
    </r>
    <r>
      <rPr>
        <sz val="9.5"/>
        <color rgb="FF808080"/>
        <rFont val="Consolas"/>
        <family val="3"/>
      </rPr>
      <t>JOIN</t>
    </r>
    <r>
      <rPr>
        <sz val="9.5"/>
        <color theme="1"/>
        <rFont val="Consolas"/>
        <family val="3"/>
      </rPr>
      <t xml:space="preserve"> </t>
    </r>
    <r>
      <rPr>
        <sz val="9.5"/>
        <color rgb="FF008080"/>
        <rFont val="Consolas"/>
        <family val="3"/>
      </rPr>
      <t>#02B</t>
    </r>
    <r>
      <rPr>
        <sz val="9.5"/>
        <color theme="1"/>
        <rFont val="Consolas"/>
        <family val="3"/>
      </rPr>
      <t xml:space="preserve"> </t>
    </r>
  </si>
  <si>
    <r>
      <t xml:space="preserve">ON </t>
    </r>
    <r>
      <rPr>
        <sz val="9.5"/>
        <color rgb="FF808080"/>
        <rFont val="Consolas"/>
        <family val="3"/>
      </rPr>
      <t>(</t>
    </r>
    <r>
      <rPr>
        <sz val="9.5"/>
        <color rgb="FF008080"/>
        <rFont val="Consolas"/>
        <family val="3"/>
      </rPr>
      <t>#02a</t>
    </r>
    <r>
      <rPr>
        <sz val="9.5"/>
        <color rgb="FF808080"/>
        <rFont val="Consolas"/>
        <family val="3"/>
      </rPr>
      <t>.</t>
    </r>
    <r>
      <rPr>
        <sz val="9.5"/>
        <color rgb="FF008080"/>
        <rFont val="Consolas"/>
        <family val="3"/>
      </rPr>
      <t>Currency_code</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#02B</t>
    </r>
    <r>
      <rPr>
        <sz val="9.5"/>
        <color rgb="FF808080"/>
        <rFont val="Consolas"/>
        <family val="3"/>
      </rPr>
      <t>.</t>
    </r>
    <r>
      <rPr>
        <sz val="9.5"/>
        <color rgb="FF008080"/>
        <rFont val="Consolas"/>
        <family val="3"/>
      </rPr>
      <t>Currency_code</t>
    </r>
    <r>
      <rPr>
        <sz val="9.5"/>
        <color rgb="FF808080"/>
        <rFont val="Consolas"/>
        <family val="3"/>
      </rPr>
      <t>)</t>
    </r>
    <r>
      <rPr>
        <sz val="9.5"/>
        <color theme="1"/>
        <rFont val="Consolas"/>
        <family val="3"/>
      </rPr>
      <t xml:space="preserve"> </t>
    </r>
  </si>
  <si>
    <r>
      <t>AND</t>
    </r>
    <r>
      <rPr>
        <sz val="9.5"/>
        <color rgb="FF0000FF"/>
        <rFont val="Consolas"/>
        <family val="3"/>
      </rPr>
      <t xml:space="preserve"> </t>
    </r>
    <r>
      <rPr>
        <sz val="9.5"/>
        <color rgb="FF808080"/>
        <rFont val="Consolas"/>
        <family val="3"/>
      </rPr>
      <t>(</t>
    </r>
    <r>
      <rPr>
        <sz val="9.5"/>
        <color rgb="FF008080"/>
        <rFont val="Consolas"/>
        <family val="3"/>
      </rPr>
      <t>#02a</t>
    </r>
    <r>
      <rPr>
        <sz val="9.5"/>
        <color rgb="FF808080"/>
        <rFont val="Consolas"/>
        <family val="3"/>
      </rPr>
      <t>.</t>
    </r>
    <r>
      <rPr>
        <sz val="9.5"/>
        <color rgb="FF008080"/>
        <rFont val="Consolas"/>
        <family val="3"/>
      </rPr>
      <t>Dept_code</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#02B</t>
    </r>
    <r>
      <rPr>
        <sz val="9.5"/>
        <color rgb="FF808080"/>
        <rFont val="Consolas"/>
        <family val="3"/>
      </rPr>
      <t>.</t>
    </r>
    <r>
      <rPr>
        <sz val="9.5"/>
        <color rgb="FF008080"/>
        <rFont val="Consolas"/>
        <family val="3"/>
      </rPr>
      <t>Dept_code</t>
    </r>
    <r>
      <rPr>
        <sz val="9.5"/>
        <color rgb="FF808080"/>
        <rFont val="Consolas"/>
        <family val="3"/>
      </rPr>
      <t>)</t>
    </r>
    <r>
      <rPr>
        <sz val="9.5"/>
        <color theme="1"/>
        <rFont val="Consolas"/>
        <family val="3"/>
      </rPr>
      <t xml:space="preserve"> </t>
    </r>
  </si>
  <si>
    <r>
      <t>AND</t>
    </r>
    <r>
      <rPr>
        <sz val="9.5"/>
        <color rgb="FF0000FF"/>
        <rFont val="Consolas"/>
        <family val="3"/>
      </rPr>
      <t xml:space="preserve"> </t>
    </r>
    <r>
      <rPr>
        <sz val="9.5"/>
        <color rgb="FF808080"/>
        <rFont val="Consolas"/>
        <family val="3"/>
      </rPr>
      <t>(</t>
    </r>
    <r>
      <rPr>
        <sz val="9.5"/>
        <color rgb="FF008080"/>
        <rFont val="Consolas"/>
        <family val="3"/>
      </rPr>
      <t>#02a</t>
    </r>
    <r>
      <rPr>
        <sz val="9.5"/>
        <color rgb="FF808080"/>
        <rFont val="Consolas"/>
        <family val="3"/>
      </rPr>
      <t>.</t>
    </r>
    <r>
      <rPr>
        <sz val="9.5"/>
        <color rgb="FF008080"/>
        <rFont val="Consolas"/>
        <family val="3"/>
      </rPr>
      <t>[Tariff TFC]</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#02B</t>
    </r>
    <r>
      <rPr>
        <sz val="9.5"/>
        <color rgb="FF808080"/>
        <rFont val="Consolas"/>
        <family val="3"/>
      </rPr>
      <t>.</t>
    </r>
    <r>
      <rPr>
        <sz val="9.5"/>
        <color rgb="FF008080"/>
        <rFont val="Consolas"/>
        <family val="3"/>
      </rPr>
      <t>[Tariff TFC]</t>
    </r>
    <r>
      <rPr>
        <sz val="9.5"/>
        <color rgb="FF808080"/>
        <rFont val="Consolas"/>
        <family val="3"/>
      </rPr>
      <t>)</t>
    </r>
  </si>
  <si>
    <r>
      <t>#02a</t>
    </r>
    <r>
      <rPr>
        <sz val="9.5"/>
        <color rgb="FF808080"/>
        <rFont val="Consolas"/>
        <family val="3"/>
      </rPr>
      <t>.</t>
    </r>
    <r>
      <rPr>
        <sz val="9.5"/>
        <color rgb="FF008080"/>
        <rFont val="Consolas"/>
        <family val="3"/>
      </rPr>
      <t>[Org Code]</t>
    </r>
    <r>
      <rPr>
        <sz val="9.5"/>
        <color rgb="FF808080"/>
        <rFont val="Consolas"/>
        <family val="3"/>
      </rPr>
      <t>,</t>
    </r>
    <r>
      <rPr>
        <sz val="9.5"/>
        <color theme="1"/>
        <rFont val="Consolas"/>
        <family val="3"/>
      </rPr>
      <t xml:space="preserve"> </t>
    </r>
    <r>
      <rPr>
        <sz val="9.5"/>
        <color rgb="FF008080"/>
        <rFont val="Consolas"/>
        <family val="3"/>
      </rPr>
      <t>#02a</t>
    </r>
    <r>
      <rPr>
        <sz val="9.5"/>
        <color rgb="FF808080"/>
        <rFont val="Consolas"/>
        <family val="3"/>
      </rPr>
      <t>.</t>
    </r>
    <r>
      <rPr>
        <sz val="9.5"/>
        <color rgb="FF008080"/>
        <rFont val="Consolas"/>
        <family val="3"/>
      </rPr>
      <t>[Tariff TFC]</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</si>
  <si>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N'[Valid].[OPATT01_03a]'</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</si>
  <si>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[OPATT01_03a]</t>
    </r>
  </si>
  <si>
    <r>
      <t>SUM</t>
    </r>
    <r>
      <rPr>
        <sz val="9.5"/>
        <color rgb="FF808080"/>
        <rFont val="Consolas"/>
        <family val="3"/>
      </rPr>
      <t>(</t>
    </r>
    <r>
      <rPr>
        <sz val="9.5"/>
        <color rgb="FF008080"/>
        <rFont val="Consolas"/>
        <family val="3"/>
      </rPr>
      <t>clean_activity</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clean_activity</t>
    </r>
    <r>
      <rPr>
        <sz val="9.5"/>
        <color rgb="FF808080"/>
        <rFont val="Consolas"/>
        <family val="3"/>
      </rPr>
      <t>,</t>
    </r>
  </si>
  <si>
    <r>
      <t>SUM</t>
    </r>
    <r>
      <rPr>
        <sz val="9.5"/>
        <color rgb="FF808080"/>
        <rFont val="Consolas"/>
        <family val="3"/>
      </rPr>
      <t>(</t>
    </r>
    <r>
      <rPr>
        <sz val="9.5"/>
        <color rgb="FF008080"/>
        <rFont val="Consolas"/>
        <family val="3"/>
      </rPr>
      <t>clean_tc</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clean_tc</t>
    </r>
  </si>
  <si>
    <r>
      <t>INTO</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[OPATT01_03a]</t>
    </r>
  </si>
  <si>
    <r>
      <t>FROM</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[OPATT_CleanData]</t>
    </r>
  </si>
  <si>
    <t>--03b: Clean Data_Crosstab</t>
  </si>
  <si>
    <r>
      <t>[Tariff TFC]</t>
    </r>
    <r>
      <rPr>
        <sz val="9.5"/>
        <color rgb="FF808080"/>
        <rFont val="Consolas"/>
        <family val="3"/>
      </rPr>
      <t>,</t>
    </r>
  </si>
  <si>
    <r>
      <t>[WF01B]</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[WF01B]</t>
    </r>
    <r>
      <rPr>
        <sz val="9.5"/>
        <color rgb="FF808080"/>
        <rFont val="Consolas"/>
        <family val="3"/>
      </rPr>
      <t>,</t>
    </r>
  </si>
  <si>
    <r>
      <t>[WF02B]</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[WF02B]</t>
    </r>
    <r>
      <rPr>
        <sz val="9.5"/>
        <color rgb="FF808080"/>
        <rFont val="Consolas"/>
        <family val="3"/>
      </rPr>
      <t>,</t>
    </r>
  </si>
  <si>
    <r>
      <t>[WF02A]</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[WF02A]</t>
    </r>
    <r>
      <rPr>
        <sz val="9.5"/>
        <color rgb="FF808080"/>
        <rFont val="Consolas"/>
        <family val="3"/>
      </rPr>
      <t>,</t>
    </r>
  </si>
  <si>
    <r>
      <t>[WF01A]</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[WF01A]</t>
    </r>
  </si>
  <si>
    <r>
      <t>INTO</t>
    </r>
    <r>
      <rPr>
        <sz val="9.5"/>
        <color theme="1"/>
        <rFont val="Consolas"/>
        <family val="3"/>
      </rPr>
      <t xml:space="preserve"> </t>
    </r>
    <r>
      <rPr>
        <sz val="9.5"/>
        <color rgb="FF008080"/>
        <rFont val="Consolas"/>
        <family val="3"/>
      </rPr>
      <t>#03B</t>
    </r>
  </si>
  <si>
    <t>(</t>
  </si>
  <si>
    <r>
      <t>SELECT</t>
    </r>
    <r>
      <rPr>
        <sz val="9.5"/>
        <color theme="1"/>
        <rFont val="Consolas"/>
        <family val="3"/>
      </rPr>
      <t xml:space="preserve"> </t>
    </r>
    <r>
      <rPr>
        <sz val="9.5"/>
        <color rgb="FF008080"/>
        <rFont val="Consolas"/>
        <family val="3"/>
      </rPr>
      <t>[Org Code]</t>
    </r>
    <r>
      <rPr>
        <sz val="9.5"/>
        <color rgb="FF808080"/>
        <rFont val="Consolas"/>
        <family val="3"/>
      </rPr>
      <t>,</t>
    </r>
    <r>
      <rPr>
        <sz val="9.5"/>
        <color theme="1"/>
        <rFont val="Consolas"/>
        <family val="3"/>
      </rPr>
      <t xml:space="preserve"> </t>
    </r>
  </si>
  <si>
    <r>
      <t>Currency_code</t>
    </r>
    <r>
      <rPr>
        <sz val="9.5"/>
        <color rgb="FF808080"/>
        <rFont val="Consolas"/>
        <family val="3"/>
      </rPr>
      <t>,</t>
    </r>
  </si>
  <si>
    <r>
      <t>coalesce</t>
    </r>
    <r>
      <rPr>
        <sz val="9.5"/>
        <color rgb="FF808080"/>
        <rFont val="Consolas"/>
        <family val="3"/>
      </rPr>
      <t>(</t>
    </r>
    <r>
      <rPr>
        <sz val="9.5"/>
        <color rgb="FF008080"/>
        <rFont val="Consolas"/>
        <family val="3"/>
      </rPr>
      <t>clean_activity</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clean_activity</t>
    </r>
  </si>
  <si>
    <t>)</t>
  </si>
  <si>
    <r>
      <t>as</t>
    </r>
    <r>
      <rPr>
        <sz val="9.5"/>
        <color theme="1"/>
        <rFont val="Consolas"/>
        <family val="3"/>
      </rPr>
      <t xml:space="preserve"> </t>
    </r>
    <r>
      <rPr>
        <sz val="9.5"/>
        <color rgb="FF008080"/>
        <rFont val="Consolas"/>
        <family val="3"/>
      </rPr>
      <t>SourceTable</t>
    </r>
  </si>
  <si>
    <r>
      <t>PIVOT</t>
    </r>
    <r>
      <rPr>
        <sz val="9.5"/>
        <color theme="1"/>
        <rFont val="Consolas"/>
        <family val="3"/>
      </rPr>
      <t xml:space="preserve"> </t>
    </r>
  </si>
  <si>
    <r>
      <t>Sum</t>
    </r>
    <r>
      <rPr>
        <sz val="9.5"/>
        <color rgb="FF808080"/>
        <rFont val="Consolas"/>
        <family val="3"/>
      </rPr>
      <t>(</t>
    </r>
    <r>
      <rPr>
        <sz val="9.5"/>
        <color rgb="FF008080"/>
        <rFont val="Consolas"/>
        <family val="3"/>
      </rPr>
      <t>clean_activity</t>
    </r>
    <r>
      <rPr>
        <sz val="9.5"/>
        <color rgb="FF808080"/>
        <rFont val="Consolas"/>
        <family val="3"/>
      </rPr>
      <t>)</t>
    </r>
  </si>
  <si>
    <r>
      <t>FOR</t>
    </r>
    <r>
      <rPr>
        <sz val="9.5"/>
        <color theme="1"/>
        <rFont val="Consolas"/>
        <family val="3"/>
      </rPr>
      <t xml:space="preserve"> </t>
    </r>
    <r>
      <rPr>
        <sz val="9.5"/>
        <color rgb="FF008080"/>
        <rFont val="Consolas"/>
        <family val="3"/>
      </rPr>
      <t>[Currency_code]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008080"/>
        <rFont val="Consolas"/>
        <family val="3"/>
      </rPr>
      <t>[WF01B]</t>
    </r>
    <r>
      <rPr>
        <sz val="9.5"/>
        <color rgb="FF808080"/>
        <rFont val="Consolas"/>
        <family val="3"/>
      </rPr>
      <t>,</t>
    </r>
    <r>
      <rPr>
        <sz val="9.5"/>
        <color rgb="FF008080"/>
        <rFont val="Consolas"/>
        <family val="3"/>
      </rPr>
      <t>[WF02B]</t>
    </r>
    <r>
      <rPr>
        <sz val="9.5"/>
        <color rgb="FF808080"/>
        <rFont val="Consolas"/>
        <family val="3"/>
      </rPr>
      <t>,</t>
    </r>
    <r>
      <rPr>
        <sz val="9.5"/>
        <color rgb="FF008080"/>
        <rFont val="Consolas"/>
        <family val="3"/>
      </rPr>
      <t>[WF02A]</t>
    </r>
    <r>
      <rPr>
        <sz val="9.5"/>
        <color rgb="FF808080"/>
        <rFont val="Consolas"/>
        <family val="3"/>
      </rPr>
      <t>,</t>
    </r>
    <r>
      <rPr>
        <sz val="9.5"/>
        <color rgb="FF008080"/>
        <rFont val="Consolas"/>
        <family val="3"/>
      </rPr>
      <t>[WF01A]</t>
    </r>
    <r>
      <rPr>
        <sz val="9.5"/>
        <color rgb="FF808080"/>
        <rFont val="Consolas"/>
        <family val="3"/>
      </rPr>
      <t>)</t>
    </r>
  </si>
  <si>
    <r>
      <t>)</t>
    </r>
    <r>
      <rPr>
        <sz val="9.5"/>
        <color rgb="FF0000FF"/>
        <rFont val="Consolas"/>
        <family val="3"/>
      </rPr>
      <t>AS</t>
    </r>
    <r>
      <rPr>
        <sz val="9.5"/>
        <color theme="1"/>
        <rFont val="Consolas"/>
        <family val="3"/>
      </rPr>
      <t xml:space="preserve"> </t>
    </r>
    <r>
      <rPr>
        <sz val="9.5"/>
        <color rgb="FF008080"/>
        <rFont val="Consolas"/>
        <family val="3"/>
      </rPr>
      <t>PVT1</t>
    </r>
  </si>
  <si>
    <t>--SELECT * FROM #03B</t>
  </si>
  <si>
    <t>--03c: Recoding of 501/560</t>
  </si>
  <si>
    <r>
      <t>[Recoding of 501&amp;560]</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008080"/>
        <rFont val="Consolas"/>
        <family val="3"/>
      </rPr>
      <t>[Tariff TFC]</t>
    </r>
    <r>
      <rPr>
        <sz val="9.5"/>
        <color rgb="FF808080"/>
        <rFont val="Consolas"/>
        <family val="3"/>
      </rPr>
      <t>=</t>
    </r>
    <r>
      <rPr>
        <sz val="9.5"/>
        <color rgb="FFFF0000"/>
        <rFont val="Consolas"/>
        <family val="3"/>
      </rPr>
      <t>'501'</t>
    </r>
    <r>
      <rPr>
        <sz val="9.5"/>
        <color theme="1"/>
        <rFont val="Consolas"/>
        <family val="3"/>
      </rPr>
      <t xml:space="preserve"> </t>
    </r>
    <r>
      <rPr>
        <sz val="9.5"/>
        <color rgb="FF0000FF"/>
        <rFont val="Consolas"/>
        <family val="3"/>
      </rPr>
      <t>THEN</t>
    </r>
    <r>
      <rPr>
        <sz val="9.5"/>
        <color theme="1"/>
        <rFont val="Consolas"/>
        <family val="3"/>
      </rPr>
      <t xml:space="preserve"> </t>
    </r>
    <r>
      <rPr>
        <sz val="9.5"/>
        <color rgb="FFFF0000"/>
        <rFont val="Consolas"/>
        <family val="3"/>
      </rPr>
      <t>'CL'</t>
    </r>
    <r>
      <rPr>
        <sz val="9.5"/>
        <color theme="1"/>
        <rFont val="Consolas"/>
        <family val="3"/>
      </rPr>
      <t xml:space="preserve"> </t>
    </r>
    <r>
      <rPr>
        <sz val="9.5"/>
        <color rgb="FF0000FF"/>
        <rFont val="Consolas"/>
        <family val="3"/>
      </rPr>
      <t>ELSE</t>
    </r>
  </si>
  <si>
    <r>
      <t>(</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008080"/>
        <rFont val="Consolas"/>
        <family val="3"/>
      </rPr>
      <t>[Tariff TFC]</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'560'</t>
    </r>
    <r>
      <rPr>
        <sz val="9.5"/>
        <color theme="1"/>
        <rFont val="Consolas"/>
        <family val="3"/>
      </rPr>
      <t xml:space="preserve"> </t>
    </r>
    <r>
      <rPr>
        <sz val="9.5"/>
        <color rgb="FF0000FF"/>
        <rFont val="Consolas"/>
        <family val="3"/>
      </rPr>
      <t>THEN</t>
    </r>
    <r>
      <rPr>
        <sz val="9.5"/>
        <color theme="1"/>
        <rFont val="Consolas"/>
        <family val="3"/>
      </rPr>
      <t xml:space="preserve"> </t>
    </r>
    <r>
      <rPr>
        <sz val="9.5"/>
        <color rgb="FFFF0000"/>
        <rFont val="Consolas"/>
        <family val="3"/>
      </rPr>
      <t>'CL'</t>
    </r>
    <r>
      <rPr>
        <sz val="9.5"/>
        <color theme="1"/>
        <rFont val="Consolas"/>
        <family val="3"/>
      </rPr>
      <t xml:space="preserve"> </t>
    </r>
    <r>
      <rPr>
        <sz val="9.5"/>
        <color rgb="FF0000FF"/>
        <rFont val="Consolas"/>
        <family val="3"/>
      </rPr>
      <t>ELSE</t>
    </r>
    <r>
      <rPr>
        <sz val="9.5"/>
        <color theme="1"/>
        <rFont val="Consolas"/>
        <family val="3"/>
      </rPr>
      <t xml:space="preserve"> </t>
    </r>
    <r>
      <rPr>
        <sz val="9.5"/>
        <color rgb="FF008080"/>
        <rFont val="Consolas"/>
        <family val="3"/>
      </rPr>
      <t>Dept_Code</t>
    </r>
    <r>
      <rPr>
        <sz val="9.5"/>
        <color theme="1"/>
        <rFont val="Consolas"/>
        <family val="3"/>
      </rPr>
      <t xml:space="preserve"> </t>
    </r>
    <r>
      <rPr>
        <sz val="9.5"/>
        <color rgb="FF0000FF"/>
        <rFont val="Consolas"/>
        <family val="3"/>
      </rPr>
      <t>END</t>
    </r>
    <r>
      <rPr>
        <sz val="9.5"/>
        <color rgb="FF808080"/>
        <rFont val="Consolas"/>
        <family val="3"/>
      </rPr>
      <t>)</t>
    </r>
    <r>
      <rPr>
        <sz val="9.5"/>
        <color theme="1"/>
        <rFont val="Consolas"/>
        <family val="3"/>
      </rPr>
      <t xml:space="preserve"> </t>
    </r>
    <r>
      <rPr>
        <sz val="9.5"/>
        <color rgb="FF0000FF"/>
        <rFont val="Consolas"/>
        <family val="3"/>
      </rPr>
      <t>END</t>
    </r>
    <r>
      <rPr>
        <sz val="9.5"/>
        <color rgb="FF808080"/>
        <rFont val="Consolas"/>
        <family val="3"/>
      </rPr>
      <t>,</t>
    </r>
  </si>
  <si>
    <r>
      <t>clean_activity</t>
    </r>
    <r>
      <rPr>
        <sz val="9.5"/>
        <color rgb="FF808080"/>
        <rFont val="Consolas"/>
        <family val="3"/>
      </rPr>
      <t>,</t>
    </r>
    <r>
      <rPr>
        <sz val="9.5"/>
        <color theme="1"/>
        <rFont val="Consolas"/>
        <family val="3"/>
      </rPr>
      <t xml:space="preserve"> </t>
    </r>
  </si>
  <si>
    <t>clean_tc</t>
  </si>
  <si>
    <r>
      <t>INTO</t>
    </r>
    <r>
      <rPr>
        <sz val="9.5"/>
        <color theme="1"/>
        <rFont val="Consolas"/>
        <family val="3"/>
      </rPr>
      <t xml:space="preserve"> </t>
    </r>
    <r>
      <rPr>
        <sz val="9.5"/>
        <color rgb="FF008080"/>
        <rFont val="Consolas"/>
        <family val="3"/>
      </rPr>
      <t>#03c</t>
    </r>
  </si>
  <si>
    <r>
      <t>ORDER</t>
    </r>
    <r>
      <rPr>
        <sz val="9.5"/>
        <color theme="1"/>
        <rFont val="Consolas"/>
        <family val="3"/>
      </rPr>
      <t xml:space="preserve"> </t>
    </r>
    <r>
      <rPr>
        <sz val="9.5"/>
        <color rgb="FF0000FF"/>
        <rFont val="Consolas"/>
        <family val="3"/>
      </rPr>
      <t>BY</t>
    </r>
    <r>
      <rPr>
        <sz val="9.5"/>
        <color rgb="FF008080"/>
        <rFont val="Consolas"/>
        <family val="3"/>
      </rPr>
      <t>[Org Code]</t>
    </r>
    <r>
      <rPr>
        <sz val="9.5"/>
        <color rgb="FF808080"/>
        <rFont val="Consolas"/>
        <family val="3"/>
      </rPr>
      <t>,</t>
    </r>
    <r>
      <rPr>
        <sz val="9.5"/>
        <color theme="1"/>
        <rFont val="Consolas"/>
        <family val="3"/>
      </rPr>
      <t xml:space="preserve"> </t>
    </r>
    <r>
      <rPr>
        <sz val="9.5"/>
        <color rgb="FF008080"/>
        <rFont val="Consolas"/>
        <family val="3"/>
      </rPr>
      <t>[Tariff TFC]</t>
    </r>
  </si>
  <si>
    <t>--03cii Providers per TFC</t>
  </si>
  <si>
    <t>--Counts no. of orgs per TFC</t>
  </si>
  <si>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N'[stage].[OPATT_Providers_TFC]'</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</si>
  <si>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[OPATT_Providers_TFC]</t>
    </r>
  </si>
  <si>
    <r>
      <t>Count</t>
    </r>
    <r>
      <rPr>
        <sz val="9.5"/>
        <color rgb="FF808080"/>
        <rFont val="Consolas"/>
        <family val="3"/>
      </rPr>
      <t>(</t>
    </r>
    <r>
      <rPr>
        <sz val="9.5"/>
        <color rgb="FF008080"/>
        <rFont val="Consolas"/>
        <family val="3"/>
      </rPr>
      <t>[Org Code]</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[CountOfOrg Code]</t>
    </r>
    <r>
      <rPr>
        <sz val="9.5"/>
        <color theme="1"/>
        <rFont val="Consolas"/>
        <family val="3"/>
      </rPr>
      <t xml:space="preserve"> </t>
    </r>
  </si>
  <si>
    <r>
      <t>INTO</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[OPATT_Providers_TFC]</t>
    </r>
  </si>
  <si>
    <r>
      <t>FROM</t>
    </r>
    <r>
      <rPr>
        <sz val="9.5"/>
        <color theme="1"/>
        <rFont val="Consolas"/>
        <family val="3"/>
      </rPr>
      <t xml:space="preserve"> </t>
    </r>
    <r>
      <rPr>
        <sz val="9.5"/>
        <color rgb="FF008080"/>
        <rFont val="Consolas"/>
        <family val="3"/>
      </rPr>
      <t>#03c</t>
    </r>
  </si>
  <si>
    <r>
      <t>WHERE</t>
    </r>
    <r>
      <rPr>
        <sz val="9.5"/>
        <color theme="1"/>
        <rFont val="Consolas"/>
        <family val="3"/>
      </rPr>
      <t xml:space="preserve"> </t>
    </r>
    <r>
      <rPr>
        <sz val="9.5"/>
        <color rgb="FF008080"/>
        <rFont val="Consolas"/>
        <family val="3"/>
      </rPr>
      <t>[Recoding of 501&amp;560]</t>
    </r>
    <r>
      <rPr>
        <sz val="9.5"/>
        <color rgb="FF808080"/>
        <rFont val="Consolas"/>
        <family val="3"/>
      </rPr>
      <t>=</t>
    </r>
    <r>
      <rPr>
        <sz val="9.5"/>
        <color rgb="FFFF0000"/>
        <rFont val="Consolas"/>
        <family val="3"/>
      </rPr>
      <t>'cl'</t>
    </r>
  </si>
  <si>
    <r>
      <t>GROUP</t>
    </r>
    <r>
      <rPr>
        <sz val="9.5"/>
        <color theme="1"/>
        <rFont val="Consolas"/>
        <family val="3"/>
      </rPr>
      <t xml:space="preserve"> </t>
    </r>
    <r>
      <rPr>
        <sz val="9.5"/>
        <color rgb="FF0000FF"/>
        <rFont val="Consolas"/>
        <family val="3"/>
      </rPr>
      <t>BY</t>
    </r>
    <r>
      <rPr>
        <sz val="9.5"/>
        <color theme="1"/>
        <rFont val="Consolas"/>
        <family val="3"/>
      </rPr>
      <t xml:space="preserve"> </t>
    </r>
    <r>
      <rPr>
        <sz val="9.5"/>
        <color rgb="FF008080"/>
        <rFont val="Consolas"/>
        <family val="3"/>
      </rPr>
      <t>[Tariff TFC]</t>
    </r>
    <r>
      <rPr>
        <sz val="9.5"/>
        <color rgb="FF808080"/>
        <rFont val="Consolas"/>
        <family val="3"/>
      </rPr>
      <t>,</t>
    </r>
    <r>
      <rPr>
        <sz val="9.5"/>
        <color theme="1"/>
        <rFont val="Consolas"/>
        <family val="3"/>
      </rPr>
      <t xml:space="preserve"> </t>
    </r>
    <r>
      <rPr>
        <sz val="9.5"/>
        <color rgb="FF008080"/>
        <rFont val="Consolas"/>
        <family val="3"/>
      </rPr>
      <t>Currency_code</t>
    </r>
  </si>
  <si>
    <t>--03ciii: 317 by org</t>
  </si>
  <si>
    <t>--Used to determine impact of excludiing organisations</t>
  </si>
  <si>
    <r>
      <t>[Recoding of 501&amp;560]</t>
    </r>
    <r>
      <rPr>
        <sz val="9.5"/>
        <color rgb="FF808080"/>
        <rFont val="Consolas"/>
        <family val="3"/>
      </rPr>
      <t>,</t>
    </r>
    <r>
      <rPr>
        <sz val="9.5"/>
        <color theme="1"/>
        <rFont val="Consolas"/>
        <family val="3"/>
      </rPr>
      <t xml:space="preserve"> </t>
    </r>
  </si>
  <si>
    <r>
      <t>into</t>
    </r>
    <r>
      <rPr>
        <sz val="9.5"/>
        <color theme="1"/>
        <rFont val="Consolas"/>
        <family val="3"/>
      </rPr>
      <t xml:space="preserve"> </t>
    </r>
    <r>
      <rPr>
        <sz val="9.5"/>
        <color rgb="FF008080"/>
        <rFont val="Consolas"/>
        <family val="3"/>
      </rPr>
      <t>#03ciii</t>
    </r>
  </si>
  <si>
    <r>
      <t>WHERE</t>
    </r>
    <r>
      <rPr>
        <sz val="9.5"/>
        <color theme="1"/>
        <rFont val="Consolas"/>
        <family val="3"/>
      </rPr>
      <t xml:space="preserve"> </t>
    </r>
    <r>
      <rPr>
        <sz val="9.5"/>
        <color rgb="FF008080"/>
        <rFont val="Consolas"/>
        <family val="3"/>
      </rPr>
      <t>[Tariff TFC]</t>
    </r>
    <r>
      <rPr>
        <sz val="9.5"/>
        <color rgb="FF808080"/>
        <rFont val="Consolas"/>
        <family val="3"/>
      </rPr>
      <t>=</t>
    </r>
    <r>
      <rPr>
        <sz val="9.5"/>
        <color rgb="FFFF0000"/>
        <rFont val="Consolas"/>
        <family val="3"/>
      </rPr>
      <t>'317'</t>
    </r>
    <r>
      <rPr>
        <sz val="9.5"/>
        <color theme="1"/>
        <rFont val="Consolas"/>
        <family val="3"/>
      </rPr>
      <t xml:space="preserve"> </t>
    </r>
    <r>
      <rPr>
        <sz val="9.5"/>
        <color rgb="FF808080"/>
        <rFont val="Consolas"/>
        <family val="3"/>
      </rPr>
      <t>AND</t>
    </r>
    <r>
      <rPr>
        <sz val="9.5"/>
        <color theme="1"/>
        <rFont val="Consolas"/>
        <family val="3"/>
      </rPr>
      <t xml:space="preserve"> </t>
    </r>
    <r>
      <rPr>
        <sz val="9.5"/>
        <color rgb="FF008080"/>
        <rFont val="Consolas"/>
        <family val="3"/>
      </rPr>
      <t>[Recoding of 501&amp;560]</t>
    </r>
    <r>
      <rPr>
        <sz val="9.5"/>
        <color rgb="FF808080"/>
        <rFont val="Consolas"/>
        <family val="3"/>
      </rPr>
      <t>=</t>
    </r>
    <r>
      <rPr>
        <sz val="9.5"/>
        <color rgb="FFFF0000"/>
        <rFont val="Consolas"/>
        <family val="3"/>
      </rPr>
      <t>'cl'</t>
    </r>
  </si>
  <si>
    <t>--03d: 2009-10 Unit costs by org, TFC, Currency</t>
  </si>
  <si>
    <t>--For calculating the IM for the new 14 TFCs</t>
  </si>
  <si>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N'[stage].[OPATT_Clean_WO_Provider]'</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</si>
  <si>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[OPATT_Clean_WO_Provider]</t>
    </r>
  </si>
  <si>
    <r>
      <t>[Recoding of 501&amp;560]</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[Dept Code]</t>
    </r>
    <r>
      <rPr>
        <sz val="9.5"/>
        <color rgb="FF808080"/>
        <rFont val="Consolas"/>
        <family val="3"/>
      </rPr>
      <t>,</t>
    </r>
    <r>
      <rPr>
        <sz val="9.5"/>
        <color theme="1"/>
        <rFont val="Consolas"/>
        <family val="3"/>
      </rPr>
      <t xml:space="preserve"> </t>
    </r>
  </si>
  <si>
    <r>
      <t>Sum</t>
    </r>
    <r>
      <rPr>
        <sz val="9.5"/>
        <color rgb="FF808080"/>
        <rFont val="Consolas"/>
        <family val="3"/>
      </rPr>
      <t>(</t>
    </r>
    <r>
      <rPr>
        <sz val="9.5"/>
        <color rgb="FF008080"/>
        <rFont val="Consolas"/>
        <family val="3"/>
      </rPr>
      <t>clean_activity</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Act</t>
    </r>
    <r>
      <rPr>
        <sz val="9.5"/>
        <color rgb="FF808080"/>
        <rFont val="Consolas"/>
        <family val="3"/>
      </rPr>
      <t>,</t>
    </r>
  </si>
  <si>
    <r>
      <t>Sum</t>
    </r>
    <r>
      <rPr>
        <sz val="9.5"/>
        <color rgb="FF808080"/>
        <rFont val="Consolas"/>
        <family val="3"/>
      </rPr>
      <t>(</t>
    </r>
    <r>
      <rPr>
        <sz val="9.5"/>
        <color rgb="FF008080"/>
        <rFont val="Consolas"/>
        <family val="3"/>
      </rPr>
      <t>clean_tc</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TC</t>
    </r>
    <r>
      <rPr>
        <sz val="9.5"/>
        <color theme="1"/>
        <rFont val="Consolas"/>
        <family val="3"/>
      </rPr>
      <t xml:space="preserve"> </t>
    </r>
  </si>
  <si>
    <r>
      <t>INTO</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[OPATT_Clean_WO_Provider]</t>
    </r>
  </si>
  <si>
    <t>[Recoding of 501&amp;560]</t>
  </si>
  <si>
    <r>
      <t>HAVING</t>
    </r>
    <r>
      <rPr>
        <sz val="9.5"/>
        <color theme="1"/>
        <rFont val="Consolas"/>
        <family val="3"/>
      </rPr>
      <t xml:space="preserve"> </t>
    </r>
  </si>
  <si>
    <r>
      <t>[Tariff TFC]</t>
    </r>
    <r>
      <rPr>
        <sz val="9.5"/>
        <color rgb="FF808080"/>
        <rFont val="Consolas"/>
        <family val="3"/>
      </rPr>
      <t>&lt;&gt;</t>
    </r>
    <r>
      <rPr>
        <sz val="9.5"/>
        <color rgb="FFFF0000"/>
        <rFont val="Consolas"/>
        <family val="3"/>
      </rPr>
      <t>'BMT'</t>
    </r>
    <r>
      <rPr>
        <sz val="9.5"/>
        <color theme="1"/>
        <rFont val="Consolas"/>
        <family val="3"/>
      </rPr>
      <t xml:space="preserve"> </t>
    </r>
  </si>
  <si>
    <r>
      <t>And</t>
    </r>
    <r>
      <rPr>
        <sz val="9.5"/>
        <color theme="1"/>
        <rFont val="Consolas"/>
        <family val="3"/>
      </rPr>
      <t xml:space="preserve"> </t>
    </r>
    <r>
      <rPr>
        <sz val="9.5"/>
        <color rgb="FF008080"/>
        <rFont val="Consolas"/>
        <family val="3"/>
      </rPr>
      <t>[Tariff TFC]</t>
    </r>
    <r>
      <rPr>
        <sz val="9.5"/>
        <color rgb="FF808080"/>
        <rFont val="Consolas"/>
        <family val="3"/>
      </rPr>
      <t>&lt;&gt;</t>
    </r>
    <r>
      <rPr>
        <sz val="9.5"/>
        <color rgb="FFFF0000"/>
        <rFont val="Consolas"/>
        <family val="3"/>
      </rPr>
      <t>'CMD'</t>
    </r>
    <r>
      <rPr>
        <sz val="9.5"/>
        <color theme="1"/>
        <rFont val="Consolas"/>
        <family val="3"/>
      </rPr>
      <t xml:space="preserve"> </t>
    </r>
  </si>
  <si>
    <r>
      <t>And</t>
    </r>
    <r>
      <rPr>
        <sz val="9.5"/>
        <color theme="1"/>
        <rFont val="Consolas"/>
        <family val="3"/>
      </rPr>
      <t xml:space="preserve"> </t>
    </r>
    <r>
      <rPr>
        <sz val="9.5"/>
        <color rgb="FF008080"/>
        <rFont val="Consolas"/>
        <family val="3"/>
      </rPr>
      <t>[Tariff TFC]</t>
    </r>
    <r>
      <rPr>
        <sz val="9.5"/>
        <color rgb="FF808080"/>
        <rFont val="Consolas"/>
        <family val="3"/>
      </rPr>
      <t>&lt;&gt;</t>
    </r>
    <r>
      <rPr>
        <sz val="9.5"/>
        <color rgb="FFFF0000"/>
        <rFont val="Consolas"/>
        <family val="3"/>
      </rPr>
      <t>'CSB'</t>
    </r>
    <r>
      <rPr>
        <sz val="9.5"/>
        <color theme="1"/>
        <rFont val="Consolas"/>
        <family val="3"/>
      </rPr>
      <t xml:space="preserve"> </t>
    </r>
  </si>
  <si>
    <r>
      <t>And</t>
    </r>
    <r>
      <rPr>
        <sz val="9.5"/>
        <color theme="1"/>
        <rFont val="Consolas"/>
        <family val="3"/>
      </rPr>
      <t xml:space="preserve"> </t>
    </r>
    <r>
      <rPr>
        <sz val="9.5"/>
        <color rgb="FF008080"/>
        <rFont val="Consolas"/>
        <family val="3"/>
      </rPr>
      <t>[Tariff TFC]</t>
    </r>
    <r>
      <rPr>
        <sz val="9.5"/>
        <color rgb="FF808080"/>
        <rFont val="Consolas"/>
        <family val="3"/>
      </rPr>
      <t>&lt;&gt;</t>
    </r>
    <r>
      <rPr>
        <sz val="9.5"/>
        <color rgb="FFFF0000"/>
        <rFont val="Consolas"/>
        <family val="3"/>
      </rPr>
      <t>'FPC'</t>
    </r>
    <r>
      <rPr>
        <sz val="9.5"/>
        <color theme="1"/>
        <rFont val="Consolas"/>
        <family val="3"/>
      </rPr>
      <t xml:space="preserve"> </t>
    </r>
  </si>
  <si>
    <r>
      <t>And</t>
    </r>
    <r>
      <rPr>
        <sz val="9.5"/>
        <color theme="1"/>
        <rFont val="Consolas"/>
        <family val="3"/>
      </rPr>
      <t xml:space="preserve"> </t>
    </r>
    <r>
      <rPr>
        <sz val="9.5"/>
        <color rgb="FF008080"/>
        <rFont val="Consolas"/>
        <family val="3"/>
      </rPr>
      <t>[Tariff TFC]</t>
    </r>
    <r>
      <rPr>
        <sz val="9.5"/>
        <color rgb="FF808080"/>
        <rFont val="Consolas"/>
        <family val="3"/>
      </rPr>
      <t>&lt;&gt;</t>
    </r>
    <r>
      <rPr>
        <sz val="9.5"/>
        <color theme="1"/>
        <rFont val="Consolas"/>
        <family val="3"/>
      </rPr>
      <t xml:space="preserve"> </t>
    </r>
    <r>
      <rPr>
        <sz val="9.5"/>
        <color rgb="FFFF0000"/>
        <rFont val="Consolas"/>
        <family val="3"/>
      </rPr>
      <t>'DAP'</t>
    </r>
  </si>
  <si>
    <r>
      <t>And</t>
    </r>
    <r>
      <rPr>
        <sz val="9.5"/>
        <color theme="1"/>
        <rFont val="Consolas"/>
        <family val="3"/>
      </rPr>
      <t xml:space="preserve"> </t>
    </r>
    <r>
      <rPr>
        <sz val="9.5"/>
        <color rgb="FF008080"/>
        <rFont val="Consolas"/>
        <family val="3"/>
      </rPr>
      <t>[Tariff TFC]</t>
    </r>
    <r>
      <rPr>
        <sz val="9.5"/>
        <color rgb="FF808080"/>
        <rFont val="Consolas"/>
        <family val="3"/>
      </rPr>
      <t>&lt;&gt;</t>
    </r>
    <r>
      <rPr>
        <sz val="9.5"/>
        <color rgb="FFFF0000"/>
        <rFont val="Consolas"/>
        <family val="3"/>
      </rPr>
      <t>'H/A'</t>
    </r>
    <r>
      <rPr>
        <sz val="9.5"/>
        <color theme="1"/>
        <rFont val="Consolas"/>
        <family val="3"/>
      </rPr>
      <t xml:space="preserve"> </t>
    </r>
  </si>
  <si>
    <r>
      <t>And</t>
    </r>
    <r>
      <rPr>
        <sz val="9.5"/>
        <color theme="1"/>
        <rFont val="Consolas"/>
        <family val="3"/>
      </rPr>
      <t xml:space="preserve"> </t>
    </r>
    <r>
      <rPr>
        <sz val="9.5"/>
        <color rgb="FF008080"/>
        <rFont val="Consolas"/>
        <family val="3"/>
      </rPr>
      <t>[Tariff TFC]</t>
    </r>
    <r>
      <rPr>
        <sz val="9.5"/>
        <color rgb="FF808080"/>
        <rFont val="Consolas"/>
        <family val="3"/>
      </rPr>
      <t>&lt;&gt;</t>
    </r>
    <r>
      <rPr>
        <sz val="9.5"/>
        <color rgb="FFFF0000"/>
        <rFont val="Consolas"/>
        <family val="3"/>
      </rPr>
      <t>'TCM'</t>
    </r>
    <r>
      <rPr>
        <sz val="9.5"/>
        <color theme="1"/>
        <rFont val="Consolas"/>
        <family val="3"/>
      </rPr>
      <t xml:space="preserve"> </t>
    </r>
  </si>
  <si>
    <r>
      <t>AND</t>
    </r>
    <r>
      <rPr>
        <sz val="9.5"/>
        <color theme="1"/>
        <rFont val="Consolas"/>
        <family val="3"/>
      </rPr>
      <t xml:space="preserve"> </t>
    </r>
    <r>
      <rPr>
        <sz val="9.5"/>
        <color rgb="FF008080"/>
        <rFont val="Consolas"/>
        <family val="3"/>
      </rPr>
      <t>[Tariff TFC]</t>
    </r>
    <r>
      <rPr>
        <sz val="9.5"/>
        <color rgb="FF808080"/>
        <rFont val="Consolas"/>
        <family val="3"/>
      </rPr>
      <t>&lt;&gt;</t>
    </r>
    <r>
      <rPr>
        <sz val="9.5"/>
        <color rgb="FFFF0000"/>
        <rFont val="Consolas"/>
        <family val="3"/>
      </rPr>
      <t>'999'</t>
    </r>
  </si>
  <si>
    <r>
      <t>ORDER</t>
    </r>
    <r>
      <rPr>
        <sz val="9.5"/>
        <color theme="1"/>
        <rFont val="Consolas"/>
        <family val="3"/>
      </rPr>
      <t xml:space="preserve"> </t>
    </r>
    <r>
      <rPr>
        <sz val="9.5"/>
        <color rgb="FF0000FF"/>
        <rFont val="Consolas"/>
        <family val="3"/>
      </rPr>
      <t>BY</t>
    </r>
    <r>
      <rPr>
        <sz val="9.5"/>
        <color theme="1"/>
        <rFont val="Consolas"/>
        <family val="3"/>
      </rPr>
      <t xml:space="preserve"> </t>
    </r>
    <r>
      <rPr>
        <sz val="9.5"/>
        <color rgb="FF008080"/>
        <rFont val="Consolas"/>
        <family val="3"/>
      </rPr>
      <t>Currency_code</t>
    </r>
    <r>
      <rPr>
        <sz val="9.5"/>
        <color rgb="FF808080"/>
        <rFont val="Consolas"/>
        <family val="3"/>
      </rPr>
      <t>,</t>
    </r>
    <r>
      <rPr>
        <sz val="9.5"/>
        <color theme="1"/>
        <rFont val="Consolas"/>
        <family val="3"/>
      </rPr>
      <t xml:space="preserve"> </t>
    </r>
    <r>
      <rPr>
        <sz val="9.5"/>
        <color rgb="FF008080"/>
        <rFont val="Consolas"/>
        <family val="3"/>
      </rPr>
      <t>[Tariff TFC]</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</si>
  <si>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N'[valid].[OPATT01_03d]'</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</si>
  <si>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[OPATT01_03d]</t>
    </r>
  </si>
  <si>
    <t>SELECT</t>
  </si>
  <si>
    <r>
      <t>SUM</t>
    </r>
    <r>
      <rPr>
        <sz val="9.5"/>
        <color rgb="FF808080"/>
        <rFont val="Consolas"/>
        <family val="3"/>
      </rPr>
      <t>(</t>
    </r>
    <r>
      <rPr>
        <sz val="9.5"/>
        <color rgb="FF008080"/>
        <rFont val="Consolas"/>
        <family val="3"/>
      </rPr>
      <t>[ACT]</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ACT</t>
    </r>
    <r>
      <rPr>
        <sz val="9.5"/>
        <color rgb="FF808080"/>
        <rFont val="Consolas"/>
        <family val="3"/>
      </rPr>
      <t>,</t>
    </r>
  </si>
  <si>
    <r>
      <t>SUM</t>
    </r>
    <r>
      <rPr>
        <sz val="9.5"/>
        <color rgb="FF808080"/>
        <rFont val="Consolas"/>
        <family val="3"/>
      </rPr>
      <t>(</t>
    </r>
    <r>
      <rPr>
        <sz val="9.5"/>
        <color rgb="FF008080"/>
        <rFont val="Consolas"/>
        <family val="3"/>
      </rPr>
      <t>[TC]</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TC</t>
    </r>
  </si>
  <si>
    <r>
      <t>INTO</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OPATT01_03d</t>
    </r>
  </si>
  <si>
    <r>
      <t>FROM</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[OPATT_Clean_WO_Provider]</t>
    </r>
  </si>
  <si>
    <r>
      <t>SET</t>
    </r>
    <r>
      <rPr>
        <sz val="9.5"/>
        <color theme="1"/>
        <rFont val="Consolas"/>
        <family val="3"/>
      </rPr>
      <t xml:space="preserve">  </t>
    </r>
    <r>
      <rPr>
        <sz val="9.5"/>
        <color rgb="FF008080"/>
        <rFont val="Consolas"/>
        <family val="3"/>
      </rPr>
      <t>@LoggingValues</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'04a: Data for IM'</t>
    </r>
  </si>
  <si>
    <t>--04a: Data for IM</t>
  </si>
  <si>
    <t>--Group recoded and cleaned data to provide activity for impact modelling</t>
  </si>
  <si>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N'[Stage].[OPATT_Provider]'</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</si>
  <si>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[OPATT_Provider]</t>
    </r>
  </si>
  <si>
    <r>
      <t>Sum</t>
    </r>
    <r>
      <rPr>
        <sz val="9.5"/>
        <color rgb="FF808080"/>
        <rFont val="Consolas"/>
        <family val="3"/>
      </rPr>
      <t>(</t>
    </r>
    <r>
      <rPr>
        <sz val="9.5"/>
        <color rgb="FF008080"/>
        <rFont val="Consolas"/>
        <family val="3"/>
      </rPr>
      <t>clean_activity</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SumOfclean_activity</t>
    </r>
    <r>
      <rPr>
        <sz val="9.5"/>
        <color theme="1"/>
        <rFont val="Consolas"/>
        <family val="3"/>
      </rPr>
      <t xml:space="preserve"> </t>
    </r>
  </si>
  <si>
    <r>
      <t>INTO</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[OPATT_Provider]</t>
    </r>
  </si>
  <si>
    <r>
      <t>GROUP</t>
    </r>
    <r>
      <rPr>
        <sz val="9.5"/>
        <color theme="1"/>
        <rFont val="Consolas"/>
        <family val="3"/>
      </rPr>
      <t xml:space="preserve"> </t>
    </r>
    <r>
      <rPr>
        <sz val="9.5"/>
        <color rgb="FF0000FF"/>
        <rFont val="Consolas"/>
        <family val="3"/>
      </rPr>
      <t>BY</t>
    </r>
    <r>
      <rPr>
        <sz val="9.5"/>
        <color theme="1"/>
        <rFont val="Consolas"/>
        <family val="3"/>
      </rPr>
      <t xml:space="preserve"> </t>
    </r>
    <r>
      <rPr>
        <sz val="9.5"/>
        <color rgb="FF008080"/>
        <rFont val="Consolas"/>
        <family val="3"/>
      </rPr>
      <t>[Org Code]</t>
    </r>
    <r>
      <rPr>
        <sz val="9.5"/>
        <color rgb="FF808080"/>
        <rFont val="Consolas"/>
        <family val="3"/>
      </rPr>
      <t>,</t>
    </r>
    <r>
      <rPr>
        <sz val="9.5"/>
        <color theme="1"/>
        <rFont val="Consolas"/>
        <family val="3"/>
      </rPr>
      <t xml:space="preserve"> </t>
    </r>
    <r>
      <rPr>
        <sz val="9.5"/>
        <color rgb="FF008080"/>
        <rFont val="Consolas"/>
        <family val="3"/>
      </rPr>
      <t>Currency_code</t>
    </r>
    <r>
      <rPr>
        <sz val="9.5"/>
        <color rgb="FF808080"/>
        <rFont val="Consolas"/>
        <family val="3"/>
      </rPr>
      <t>,</t>
    </r>
    <r>
      <rPr>
        <sz val="9.5"/>
        <color theme="1"/>
        <rFont val="Consolas"/>
        <family val="3"/>
      </rPr>
      <t xml:space="preserve"> </t>
    </r>
    <r>
      <rPr>
        <sz val="9.5"/>
        <color rgb="FF008080"/>
        <rFont val="Consolas"/>
        <family val="3"/>
      </rPr>
      <t>[Tariff TFC]</t>
    </r>
    <r>
      <rPr>
        <sz val="9.5"/>
        <color rgb="FF808080"/>
        <rFont val="Consolas"/>
        <family val="3"/>
      </rPr>
      <t>,</t>
    </r>
    <r>
      <rPr>
        <sz val="9.5"/>
        <color theme="1"/>
        <rFont val="Consolas"/>
        <family val="3"/>
      </rPr>
      <t xml:space="preserve"> </t>
    </r>
    <r>
      <rPr>
        <sz val="9.5"/>
        <color rgb="FF008080"/>
        <rFont val="Consolas"/>
        <family val="3"/>
      </rPr>
      <t>[Recoding of 501&amp;560]</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</si>
  <si>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N'#01B'</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</si>
  <si>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#01B</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</si>
  <si>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N'#02a'</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</si>
  <si>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#02a</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</si>
  <si>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N'#02B'</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</si>
  <si>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#02b</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</si>
  <si>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N'#03B'</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</si>
  <si>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#03B</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</si>
  <si>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N'#03c'</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</si>
  <si>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#03c</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</si>
  <si>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N'#03ciii'</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</si>
  <si>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#03ciii</t>
    </r>
  </si>
  <si>
    <t>END</t>
  </si>
  <si>
    <t>/****** Object:  StoredProcedure [dbo].[OPATT_02Process]    Script Date: 29/04/2015 12:05:53 ******/</t>
  </si>
  <si>
    <t>-- Amendments</t>
  </si>
  <si>
    <t>17/12/2014 PW - Changed table name reference from Input.OPATT_Drugs_Devices_Topslice to Input.OPATT_D&amp;D_Topslice</t>
  </si>
  <si>
    <r>
      <t>CREATE</t>
    </r>
    <r>
      <rPr>
        <sz val="9.5"/>
        <color theme="1"/>
        <rFont val="Consolas"/>
        <family val="3"/>
      </rPr>
      <t xml:space="preserve"> </t>
    </r>
    <r>
      <rPr>
        <sz val="9.5"/>
        <color rgb="FF0000FF"/>
        <rFont val="Consolas"/>
        <family val="3"/>
      </rPr>
      <t>PROCEDURE</t>
    </r>
    <r>
      <rPr>
        <sz val="9.5"/>
        <color theme="1"/>
        <rFont val="Consolas"/>
        <family val="3"/>
      </rPr>
      <t xml:space="preserve"> </t>
    </r>
    <r>
      <rPr>
        <sz val="9.5"/>
        <color rgb="FF008080"/>
        <rFont val="Consolas"/>
        <family val="3"/>
      </rPr>
      <t>[dbo]</t>
    </r>
    <r>
      <rPr>
        <sz val="9.5"/>
        <color rgb="FF808080"/>
        <rFont val="Consolas"/>
        <family val="3"/>
      </rPr>
      <t>.</t>
    </r>
    <r>
      <rPr>
        <sz val="9.5"/>
        <color rgb="FF008080"/>
        <rFont val="Consolas"/>
        <family val="3"/>
      </rPr>
      <t>[OPATT_02Process]</t>
    </r>
    <r>
      <rPr>
        <sz val="9.5"/>
        <color theme="1"/>
        <rFont val="Consolas"/>
        <family val="3"/>
      </rPr>
      <t xml:space="preserve"> </t>
    </r>
  </si>
  <si>
    <r>
      <t>SET</t>
    </r>
    <r>
      <rPr>
        <sz val="9.5"/>
        <color theme="1"/>
        <rFont val="Consolas"/>
        <family val="3"/>
      </rPr>
      <t xml:space="preserve"> </t>
    </r>
    <r>
      <rPr>
        <sz val="9.5"/>
        <color rgb="FF008080"/>
        <rFont val="Consolas"/>
        <family val="3"/>
      </rPr>
      <t>@ProcedureSchema</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'APC'</t>
    </r>
  </si>
  <si>
    <r>
      <t>SET</t>
    </r>
    <r>
      <rPr>
        <sz val="9.5"/>
        <color theme="1"/>
        <rFont val="Consolas"/>
        <family val="3"/>
      </rPr>
      <t xml:space="preserve"> </t>
    </r>
    <r>
      <rPr>
        <sz val="9.5"/>
        <color rgb="FF008080"/>
        <rFont val="Consolas"/>
        <family val="3"/>
      </rPr>
      <t>@ProcedureName</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'OPATT_02Process'</t>
    </r>
  </si>
  <si>
    <r>
      <t>SET</t>
    </r>
    <r>
      <rPr>
        <sz val="9.5"/>
        <color theme="1"/>
        <rFont val="Consolas"/>
        <family val="3"/>
      </rPr>
      <t xml:space="preserve">  </t>
    </r>
    <r>
      <rPr>
        <sz val="9.5"/>
        <color rgb="FF008080"/>
        <rFont val="Consolas"/>
        <family val="3"/>
      </rPr>
      <t>@LoggingValues</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'01c_Data_OP_2 upto &amp; incl D&amp;D excl'</t>
    </r>
  </si>
  <si>
    <t>--01c_Data_OP_2 upto &amp; incl D&amp;D excl</t>
  </si>
  <si>
    <t>--01a: Remapping of Costs</t>
  </si>
  <si>
    <t>--Allocating costs to relevant attendance types</t>
  </si>
  <si>
    <r>
      <t>(</t>
    </r>
    <r>
      <rPr>
        <sz val="9.5"/>
        <color rgb="FF008080"/>
        <rFont val="Consolas"/>
        <family val="3"/>
      </rPr>
      <t>[Dept Code]</t>
    </r>
    <r>
      <rPr>
        <sz val="9.5"/>
        <color rgb="FF808080"/>
        <rFont val="Consolas"/>
        <family val="3"/>
      </rPr>
      <t>)</t>
    </r>
    <r>
      <rPr>
        <sz val="9.5"/>
        <color theme="1"/>
        <rFont val="Consolas"/>
        <family val="3"/>
      </rPr>
      <t xml:space="preserve"> </t>
    </r>
    <r>
      <rPr>
        <sz val="9.5"/>
        <color rgb="FF808080"/>
        <rFont val="Consolas"/>
        <family val="3"/>
      </rPr>
      <t>+</t>
    </r>
    <r>
      <rPr>
        <sz val="9.5"/>
        <color rgb="FF0000FF"/>
        <rFont val="Consolas"/>
        <family val="3"/>
      </rPr>
      <t xml:space="preserve"> </t>
    </r>
    <r>
      <rPr>
        <sz val="9.5"/>
        <color rgb="FF808080"/>
        <rFont val="Consolas"/>
        <family val="3"/>
      </rPr>
      <t>(</t>
    </r>
    <r>
      <rPr>
        <sz val="9.5"/>
        <color rgb="FF008080"/>
        <rFont val="Consolas"/>
        <family val="3"/>
      </rPr>
      <t>[Mapping]</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Combined</t>
    </r>
    <r>
      <rPr>
        <sz val="9.5"/>
        <color rgb="FF808080"/>
        <rFont val="Consolas"/>
        <family val="3"/>
      </rPr>
      <t>,</t>
    </r>
    <r>
      <rPr>
        <sz val="9.5"/>
        <color theme="1"/>
        <rFont val="Consolas"/>
        <family val="3"/>
      </rPr>
      <t xml:space="preserve"> </t>
    </r>
  </si>
  <si>
    <r>
      <t>in_13a</t>
    </r>
    <r>
      <rPr>
        <sz val="9.5"/>
        <color rgb="FF808080"/>
        <rFont val="Consolas"/>
        <family val="3"/>
      </rPr>
      <t>.</t>
    </r>
    <r>
      <rPr>
        <sz val="9.5"/>
        <color rgb="FF008080"/>
        <rFont val="Consolas"/>
        <family val="3"/>
      </rPr>
      <t>[Tariff TFC]</t>
    </r>
    <r>
      <rPr>
        <sz val="9.5"/>
        <color rgb="FF808080"/>
        <rFont val="Consolas"/>
        <family val="3"/>
      </rPr>
      <t>,</t>
    </r>
    <r>
      <rPr>
        <sz val="9.5"/>
        <color theme="1"/>
        <rFont val="Consolas"/>
        <family val="3"/>
      </rPr>
      <t xml:space="preserve"> </t>
    </r>
  </si>
  <si>
    <r>
      <t>in_13a</t>
    </r>
    <r>
      <rPr>
        <sz val="9.5"/>
        <color rgb="FF808080"/>
        <rFont val="Consolas"/>
        <family val="3"/>
      </rPr>
      <t>.</t>
    </r>
    <r>
      <rPr>
        <sz val="9.5"/>
        <color rgb="FF008080"/>
        <rFont val="Consolas"/>
        <family val="3"/>
      </rPr>
      <t>Act</t>
    </r>
    <r>
      <rPr>
        <sz val="9.5"/>
        <color rgb="FF808080"/>
        <rFont val="Consolas"/>
        <family val="3"/>
      </rPr>
      <t>,</t>
    </r>
    <r>
      <rPr>
        <sz val="9.5"/>
        <color theme="1"/>
        <rFont val="Consolas"/>
        <family val="3"/>
      </rPr>
      <t xml:space="preserve"> </t>
    </r>
  </si>
  <si>
    <r>
      <t>in_13a</t>
    </r>
    <r>
      <rPr>
        <sz val="9.5"/>
        <color rgb="FF808080"/>
        <rFont val="Consolas"/>
        <family val="3"/>
      </rPr>
      <t>.</t>
    </r>
    <r>
      <rPr>
        <sz val="9.5"/>
        <color rgb="FF008080"/>
        <rFont val="Consolas"/>
        <family val="3"/>
      </rPr>
      <t>TC</t>
    </r>
  </si>
  <si>
    <r>
      <t>into</t>
    </r>
    <r>
      <rPr>
        <sz val="9.5"/>
        <color theme="1"/>
        <rFont val="Consolas"/>
        <family val="3"/>
      </rPr>
      <t xml:space="preserve"> </t>
    </r>
    <r>
      <rPr>
        <sz val="9.5"/>
        <color rgb="FF008080"/>
        <rFont val="Consolas"/>
        <family val="3"/>
      </rPr>
      <t>#_01a</t>
    </r>
  </si>
  <si>
    <r>
      <t>[input]</t>
    </r>
    <r>
      <rPr>
        <sz val="9.5"/>
        <color rgb="FF808080"/>
        <rFont val="Consolas"/>
        <family val="3"/>
      </rPr>
      <t>.</t>
    </r>
    <r>
      <rPr>
        <sz val="9.5"/>
        <color rgb="FF008080"/>
        <rFont val="Consolas"/>
        <family val="3"/>
      </rPr>
      <t>[OPATT_Curr_Map]</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in_04</t>
    </r>
    <r>
      <rPr>
        <sz val="9.5"/>
        <color theme="1"/>
        <rFont val="Consolas"/>
        <family val="3"/>
      </rPr>
      <t xml:space="preserve"> </t>
    </r>
  </si>
  <si>
    <r>
      <t>INNER</t>
    </r>
    <r>
      <rPr>
        <sz val="9.5"/>
        <color theme="1"/>
        <rFont val="Consolas"/>
        <family val="3"/>
      </rPr>
      <t xml:space="preserve"> </t>
    </r>
    <r>
      <rPr>
        <sz val="9.5"/>
        <color rgb="FF808080"/>
        <rFont val="Consolas"/>
        <family val="3"/>
      </rPr>
      <t>JOIN</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[OPATT_Clean_WO_Provider]</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in_13a</t>
    </r>
    <r>
      <rPr>
        <sz val="9.5"/>
        <color theme="1"/>
        <rFont val="Consolas"/>
        <family val="3"/>
      </rPr>
      <t xml:space="preserve"> </t>
    </r>
  </si>
  <si>
    <r>
      <t>ON</t>
    </r>
    <r>
      <rPr>
        <sz val="9.5"/>
        <color theme="1"/>
        <rFont val="Consolas"/>
        <family val="3"/>
      </rPr>
      <t xml:space="preserve"> </t>
    </r>
    <r>
      <rPr>
        <sz val="9.5"/>
        <color rgb="FF008080"/>
        <rFont val="Consolas"/>
        <family val="3"/>
      </rPr>
      <t>in_04</t>
    </r>
    <r>
      <rPr>
        <sz val="9.5"/>
        <color rgb="FF808080"/>
        <rFont val="Consolas"/>
        <family val="3"/>
      </rPr>
      <t>.</t>
    </r>
    <r>
      <rPr>
        <sz val="9.5"/>
        <color rgb="FF008080"/>
        <rFont val="Consolas"/>
        <family val="3"/>
      </rPr>
      <t>[Currency Code]</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in_13a</t>
    </r>
    <r>
      <rPr>
        <sz val="9.5"/>
        <color rgb="FF808080"/>
        <rFont val="Consolas"/>
        <family val="3"/>
      </rPr>
      <t>.</t>
    </r>
    <r>
      <rPr>
        <sz val="9.5"/>
        <color rgb="FF008080"/>
        <rFont val="Consolas"/>
        <family val="3"/>
      </rPr>
      <t>Currency_code</t>
    </r>
  </si>
  <si>
    <r>
      <t>(</t>
    </r>
    <r>
      <rPr>
        <sz val="9.5"/>
        <color rgb="FF008080"/>
        <rFont val="Consolas"/>
        <family val="3"/>
      </rPr>
      <t>[Dept Code]</t>
    </r>
    <r>
      <rPr>
        <sz val="9.5"/>
        <color rgb="FF808080"/>
        <rFont val="Consolas"/>
        <family val="3"/>
      </rPr>
      <t>)</t>
    </r>
    <r>
      <rPr>
        <sz val="9.5"/>
        <color theme="1"/>
        <rFont val="Consolas"/>
        <family val="3"/>
      </rPr>
      <t xml:space="preserve"> </t>
    </r>
    <r>
      <rPr>
        <sz val="9.5"/>
        <color rgb="FF808080"/>
        <rFont val="Consolas"/>
        <family val="3"/>
      </rPr>
      <t>+</t>
    </r>
    <r>
      <rPr>
        <sz val="9.5"/>
        <color rgb="FF0000FF"/>
        <rFont val="Consolas"/>
        <family val="3"/>
      </rPr>
      <t xml:space="preserve"> </t>
    </r>
    <r>
      <rPr>
        <sz val="9.5"/>
        <color rgb="FF808080"/>
        <rFont val="Consolas"/>
        <family val="3"/>
      </rPr>
      <t>(</t>
    </r>
    <r>
      <rPr>
        <sz val="9.5"/>
        <color rgb="FF008080"/>
        <rFont val="Consolas"/>
        <family val="3"/>
      </rPr>
      <t>[Mapping]</t>
    </r>
    <r>
      <rPr>
        <sz val="9.5"/>
        <color rgb="FF808080"/>
        <rFont val="Consolas"/>
        <family val="3"/>
      </rPr>
      <t>),</t>
    </r>
    <r>
      <rPr>
        <sz val="9.5"/>
        <color theme="1"/>
        <rFont val="Consolas"/>
        <family val="3"/>
      </rPr>
      <t xml:space="preserve"> </t>
    </r>
  </si>
  <si>
    <r>
      <t>in_13a</t>
    </r>
    <r>
      <rPr>
        <sz val="9.5"/>
        <color rgb="FF808080"/>
        <rFont val="Consolas"/>
        <family val="3"/>
      </rPr>
      <t>.</t>
    </r>
    <r>
      <rPr>
        <sz val="9.5"/>
        <color rgb="FF008080"/>
        <rFont val="Consolas"/>
        <family val="3"/>
      </rPr>
      <t>[Tariff TFC]</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</si>
  <si>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N'[valid].[OPATT02_01a]'</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</si>
  <si>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[OPATT02_01a]</t>
    </r>
  </si>
  <si>
    <r>
      <t>SUM</t>
    </r>
    <r>
      <rPr>
        <sz val="9.5"/>
        <color rgb="FF808080"/>
        <rFont val="Consolas"/>
        <family val="3"/>
      </rPr>
      <t>(</t>
    </r>
    <r>
      <rPr>
        <sz val="9.5"/>
        <color rgb="FF008080"/>
        <rFont val="Consolas"/>
        <family val="3"/>
      </rPr>
      <t>ACT</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ACT</t>
    </r>
    <r>
      <rPr>
        <sz val="9.5"/>
        <color rgb="FF808080"/>
        <rFont val="Consolas"/>
        <family val="3"/>
      </rPr>
      <t>,</t>
    </r>
  </si>
  <si>
    <r>
      <t>SUM</t>
    </r>
    <r>
      <rPr>
        <sz val="9.5"/>
        <color rgb="FF808080"/>
        <rFont val="Consolas"/>
        <family val="3"/>
      </rPr>
      <t>(</t>
    </r>
    <r>
      <rPr>
        <sz val="9.5"/>
        <color rgb="FF008080"/>
        <rFont val="Consolas"/>
        <family val="3"/>
      </rPr>
      <t>TC</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TC</t>
    </r>
  </si>
  <si>
    <r>
      <t>INTO</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[OPATT02_01a]</t>
    </r>
  </si>
  <si>
    <r>
      <t>FROM</t>
    </r>
    <r>
      <rPr>
        <sz val="9.5"/>
        <color theme="1"/>
        <rFont val="Consolas"/>
        <family val="3"/>
      </rPr>
      <t xml:space="preserve"> </t>
    </r>
    <r>
      <rPr>
        <sz val="9.5"/>
        <color rgb="FF008080"/>
        <rFont val="Consolas"/>
        <family val="3"/>
      </rPr>
      <t>#_01a</t>
    </r>
  </si>
  <si>
    <r>
      <t>GROUP</t>
    </r>
    <r>
      <rPr>
        <sz val="9.5"/>
        <color theme="1"/>
        <rFont val="Consolas"/>
        <family val="3"/>
      </rPr>
      <t xml:space="preserve"> </t>
    </r>
    <r>
      <rPr>
        <sz val="9.5"/>
        <color rgb="FF0000FF"/>
        <rFont val="Consolas"/>
        <family val="3"/>
      </rPr>
      <t>BY</t>
    </r>
    <r>
      <rPr>
        <sz val="9.5"/>
        <color theme="1"/>
        <rFont val="Consolas"/>
        <family val="3"/>
      </rPr>
      <t xml:space="preserve"> </t>
    </r>
    <r>
      <rPr>
        <sz val="9.5"/>
        <color rgb="FF008080"/>
        <rFont val="Consolas"/>
        <family val="3"/>
      </rPr>
      <t>[Tariff TFC]</t>
    </r>
  </si>
  <si>
    <t>--01b: Crosstab of Costs</t>
  </si>
  <si>
    <t>--Costs by Attendance type</t>
  </si>
  <si>
    <r>
      <t>coalesce</t>
    </r>
    <r>
      <rPr>
        <sz val="9.5"/>
        <color rgb="FF808080"/>
        <rFont val="Consolas"/>
        <family val="3"/>
      </rPr>
      <t>(</t>
    </r>
    <r>
      <rPr>
        <sz val="9.5"/>
        <color rgb="FF008080"/>
        <rFont val="Consolas"/>
        <family val="3"/>
      </rPr>
      <t>[CL_FAM]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[CL_FAS]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[CL_FUM]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[CL_FUS]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[NCL_FAM]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</si>
  <si>
    <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[NCL_FAS]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[NCL_FUM]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[NCL_FUS]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[Total Costs]</t>
    </r>
    <r>
      <rPr>
        <sz val="9.5"/>
        <color rgb="FF808080"/>
        <rFont val="Consolas"/>
        <family val="3"/>
      </rPr>
      <t>,</t>
    </r>
  </si>
  <si>
    <r>
      <t>coalesce</t>
    </r>
    <r>
      <rPr>
        <sz val="9.5"/>
        <color rgb="FF808080"/>
        <rFont val="Consolas"/>
        <family val="3"/>
      </rPr>
      <t>(</t>
    </r>
    <r>
      <rPr>
        <sz val="9.5"/>
        <color rgb="FF008080"/>
        <rFont val="Consolas"/>
        <family val="3"/>
      </rPr>
      <t>[CL_FAM]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[CL_FAM]</t>
    </r>
    <r>
      <rPr>
        <sz val="9.5"/>
        <color rgb="FF808080"/>
        <rFont val="Consolas"/>
        <family val="3"/>
      </rPr>
      <t>,</t>
    </r>
  </si>
  <si>
    <r>
      <t>coalesce</t>
    </r>
    <r>
      <rPr>
        <sz val="9.5"/>
        <color rgb="FF808080"/>
        <rFont val="Consolas"/>
        <family val="3"/>
      </rPr>
      <t>(</t>
    </r>
    <r>
      <rPr>
        <sz val="9.5"/>
        <color rgb="FF008080"/>
        <rFont val="Consolas"/>
        <family val="3"/>
      </rPr>
      <t>[CL_FAS]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[CL_FAS]</t>
    </r>
    <r>
      <rPr>
        <sz val="9.5"/>
        <color rgb="FF808080"/>
        <rFont val="Consolas"/>
        <family val="3"/>
      </rPr>
      <t>,</t>
    </r>
  </si>
  <si>
    <r>
      <t>coalesce</t>
    </r>
    <r>
      <rPr>
        <sz val="9.5"/>
        <color rgb="FF808080"/>
        <rFont val="Consolas"/>
        <family val="3"/>
      </rPr>
      <t>(</t>
    </r>
    <r>
      <rPr>
        <sz val="9.5"/>
        <color rgb="FF008080"/>
        <rFont val="Consolas"/>
        <family val="3"/>
      </rPr>
      <t>[CL_FUM]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[CL_FUM]</t>
    </r>
    <r>
      <rPr>
        <sz val="9.5"/>
        <color rgb="FF808080"/>
        <rFont val="Consolas"/>
        <family val="3"/>
      </rPr>
      <t>,</t>
    </r>
  </si>
  <si>
    <r>
      <t>coalesce</t>
    </r>
    <r>
      <rPr>
        <sz val="9.5"/>
        <color rgb="FF808080"/>
        <rFont val="Consolas"/>
        <family val="3"/>
      </rPr>
      <t>(</t>
    </r>
    <r>
      <rPr>
        <sz val="9.5"/>
        <color rgb="FF008080"/>
        <rFont val="Consolas"/>
        <family val="3"/>
      </rPr>
      <t>[CL_FUS]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[CL_FUS]</t>
    </r>
    <r>
      <rPr>
        <sz val="9.5"/>
        <color rgb="FF808080"/>
        <rFont val="Consolas"/>
        <family val="3"/>
      </rPr>
      <t>,</t>
    </r>
  </si>
  <si>
    <r>
      <t>coalesce</t>
    </r>
    <r>
      <rPr>
        <sz val="9.5"/>
        <color rgb="FF808080"/>
        <rFont val="Consolas"/>
        <family val="3"/>
      </rPr>
      <t>(</t>
    </r>
    <r>
      <rPr>
        <sz val="9.5"/>
        <color rgb="FF008080"/>
        <rFont val="Consolas"/>
        <family val="3"/>
      </rPr>
      <t>[NCL_FAM]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[NCL_FAM]</t>
    </r>
    <r>
      <rPr>
        <sz val="9.5"/>
        <color rgb="FF808080"/>
        <rFont val="Consolas"/>
        <family val="3"/>
      </rPr>
      <t>,</t>
    </r>
  </si>
  <si>
    <r>
      <t>coalesce</t>
    </r>
    <r>
      <rPr>
        <sz val="9.5"/>
        <color rgb="FF808080"/>
        <rFont val="Consolas"/>
        <family val="3"/>
      </rPr>
      <t>(</t>
    </r>
    <r>
      <rPr>
        <sz val="9.5"/>
        <color rgb="FF008080"/>
        <rFont val="Consolas"/>
        <family val="3"/>
      </rPr>
      <t>[NCL_FAS]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[NCL_FAS]</t>
    </r>
    <r>
      <rPr>
        <sz val="9.5"/>
        <color rgb="FF808080"/>
        <rFont val="Consolas"/>
        <family val="3"/>
      </rPr>
      <t>,</t>
    </r>
  </si>
  <si>
    <r>
      <t>coalesce</t>
    </r>
    <r>
      <rPr>
        <sz val="9.5"/>
        <color rgb="FF808080"/>
        <rFont val="Consolas"/>
        <family val="3"/>
      </rPr>
      <t>(</t>
    </r>
    <r>
      <rPr>
        <sz val="9.5"/>
        <color rgb="FF008080"/>
        <rFont val="Consolas"/>
        <family val="3"/>
      </rPr>
      <t>[NCL_FUM]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[NCL_FUM]</t>
    </r>
    <r>
      <rPr>
        <sz val="9.5"/>
        <color rgb="FF808080"/>
        <rFont val="Consolas"/>
        <family val="3"/>
      </rPr>
      <t>,</t>
    </r>
  </si>
  <si>
    <r>
      <t>coalesce</t>
    </r>
    <r>
      <rPr>
        <sz val="9.5"/>
        <color rgb="FF808080"/>
        <rFont val="Consolas"/>
        <family val="3"/>
      </rPr>
      <t>(</t>
    </r>
    <r>
      <rPr>
        <sz val="9.5"/>
        <color rgb="FF008080"/>
        <rFont val="Consolas"/>
        <family val="3"/>
      </rPr>
      <t>[NCL_FUS]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[NCL_FUS]</t>
    </r>
  </si>
  <si>
    <r>
      <t>INTO</t>
    </r>
    <r>
      <rPr>
        <sz val="9.5"/>
        <color theme="1"/>
        <rFont val="Consolas"/>
        <family val="3"/>
      </rPr>
      <t xml:space="preserve"> </t>
    </r>
    <r>
      <rPr>
        <sz val="9.5"/>
        <color rgb="FF008080"/>
        <rFont val="Consolas"/>
        <family val="3"/>
      </rPr>
      <t>#_01B</t>
    </r>
  </si>
  <si>
    <r>
      <t>SELECT</t>
    </r>
    <r>
      <rPr>
        <sz val="9.5"/>
        <color theme="1"/>
        <rFont val="Consolas"/>
        <family val="3"/>
      </rPr>
      <t xml:space="preserve"> </t>
    </r>
    <r>
      <rPr>
        <sz val="9.5"/>
        <color rgb="FF008080"/>
        <rFont val="Consolas"/>
        <family val="3"/>
      </rPr>
      <t>[Tariff TFC]</t>
    </r>
    <r>
      <rPr>
        <sz val="9.5"/>
        <color rgb="FF808080"/>
        <rFont val="Consolas"/>
        <family val="3"/>
      </rPr>
      <t>,</t>
    </r>
    <r>
      <rPr>
        <sz val="9.5"/>
        <color theme="1"/>
        <rFont val="Consolas"/>
        <family val="3"/>
      </rPr>
      <t xml:space="preserve"> </t>
    </r>
    <r>
      <rPr>
        <sz val="9.5"/>
        <color rgb="FF008080"/>
        <rFont val="Consolas"/>
        <family val="3"/>
      </rPr>
      <t>Combined</t>
    </r>
    <r>
      <rPr>
        <sz val="9.5"/>
        <color rgb="FF808080"/>
        <rFont val="Consolas"/>
        <family val="3"/>
      </rPr>
      <t>,</t>
    </r>
    <r>
      <rPr>
        <sz val="9.5"/>
        <color theme="1"/>
        <rFont val="Consolas"/>
        <family val="3"/>
      </rPr>
      <t xml:space="preserve">  </t>
    </r>
    <r>
      <rPr>
        <sz val="9.5"/>
        <color rgb="FF008080"/>
        <rFont val="Consolas"/>
        <family val="3"/>
      </rPr>
      <t>tc</t>
    </r>
  </si>
  <si>
    <r>
      <t>(</t>
    </r>
    <r>
      <rPr>
        <sz val="9.5"/>
        <color rgb="FFFF00FF"/>
        <rFont val="Consolas"/>
        <family val="3"/>
      </rPr>
      <t>Sum</t>
    </r>
    <r>
      <rPr>
        <sz val="9.5"/>
        <color rgb="FF808080"/>
        <rFont val="Consolas"/>
        <family val="3"/>
      </rPr>
      <t>(</t>
    </r>
    <r>
      <rPr>
        <sz val="9.5"/>
        <color rgb="FF008080"/>
        <rFont val="Consolas"/>
        <family val="3"/>
      </rPr>
      <t>TC</t>
    </r>
    <r>
      <rPr>
        <sz val="9.5"/>
        <color rgb="FF808080"/>
        <rFont val="Consolas"/>
        <family val="3"/>
      </rPr>
      <t>)</t>
    </r>
  </si>
  <si>
    <r>
      <t>FOR</t>
    </r>
    <r>
      <rPr>
        <sz val="9.5"/>
        <color theme="1"/>
        <rFont val="Consolas"/>
        <family val="3"/>
      </rPr>
      <t xml:space="preserve"> </t>
    </r>
    <r>
      <rPr>
        <sz val="9.5"/>
        <color rgb="FF008080"/>
        <rFont val="Consolas"/>
        <family val="3"/>
      </rPr>
      <t>Combined</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008080"/>
        <rFont val="Consolas"/>
        <family val="3"/>
      </rPr>
      <t>[CL_FAM]</t>
    </r>
    <r>
      <rPr>
        <sz val="9.5"/>
        <color rgb="FF808080"/>
        <rFont val="Consolas"/>
        <family val="3"/>
      </rPr>
      <t>,</t>
    </r>
    <r>
      <rPr>
        <sz val="9.5"/>
        <color rgb="FF008080"/>
        <rFont val="Consolas"/>
        <family val="3"/>
      </rPr>
      <t>[CL_FAS]</t>
    </r>
    <r>
      <rPr>
        <sz val="9.5"/>
        <color rgb="FF808080"/>
        <rFont val="Consolas"/>
        <family val="3"/>
      </rPr>
      <t>,</t>
    </r>
    <r>
      <rPr>
        <sz val="9.5"/>
        <color rgb="FF008080"/>
        <rFont val="Consolas"/>
        <family val="3"/>
      </rPr>
      <t>[CL_FUM]</t>
    </r>
    <r>
      <rPr>
        <sz val="9.5"/>
        <color rgb="FF808080"/>
        <rFont val="Consolas"/>
        <family val="3"/>
      </rPr>
      <t>,</t>
    </r>
    <r>
      <rPr>
        <sz val="9.5"/>
        <color rgb="FF008080"/>
        <rFont val="Consolas"/>
        <family val="3"/>
      </rPr>
      <t>[CL_FUS]</t>
    </r>
    <r>
      <rPr>
        <sz val="9.5"/>
        <color rgb="FF808080"/>
        <rFont val="Consolas"/>
        <family val="3"/>
      </rPr>
      <t>,</t>
    </r>
    <r>
      <rPr>
        <sz val="9.5"/>
        <color theme="1"/>
        <rFont val="Consolas"/>
        <family val="3"/>
      </rPr>
      <t xml:space="preserve"> </t>
    </r>
    <r>
      <rPr>
        <sz val="9.5"/>
        <color rgb="FF008080"/>
        <rFont val="Consolas"/>
        <family val="3"/>
      </rPr>
      <t>[NCL_FAM]</t>
    </r>
    <r>
      <rPr>
        <sz val="9.5"/>
        <color rgb="FF808080"/>
        <rFont val="Consolas"/>
        <family val="3"/>
      </rPr>
      <t>,</t>
    </r>
    <r>
      <rPr>
        <sz val="9.5"/>
        <color rgb="FF008080"/>
        <rFont val="Consolas"/>
        <family val="3"/>
      </rPr>
      <t>[NCL_FAS]</t>
    </r>
    <r>
      <rPr>
        <sz val="9.5"/>
        <color rgb="FF808080"/>
        <rFont val="Consolas"/>
        <family val="3"/>
      </rPr>
      <t>,</t>
    </r>
    <r>
      <rPr>
        <sz val="9.5"/>
        <color rgb="FF008080"/>
        <rFont val="Consolas"/>
        <family val="3"/>
      </rPr>
      <t>[NCL_FUM]</t>
    </r>
    <r>
      <rPr>
        <sz val="9.5"/>
        <color rgb="FF808080"/>
        <rFont val="Consolas"/>
        <family val="3"/>
      </rPr>
      <t>,</t>
    </r>
    <r>
      <rPr>
        <sz val="9.5"/>
        <color theme="1"/>
        <rFont val="Consolas"/>
        <family val="3"/>
      </rPr>
      <t xml:space="preserve"> </t>
    </r>
    <r>
      <rPr>
        <sz val="9.5"/>
        <color rgb="FF008080"/>
        <rFont val="Consolas"/>
        <family val="3"/>
      </rPr>
      <t>[NCL_FUS]</t>
    </r>
    <r>
      <rPr>
        <sz val="9.5"/>
        <color rgb="FF808080"/>
        <rFont val="Consolas"/>
        <family val="3"/>
      </rPr>
      <t>)</t>
    </r>
  </si>
  <si>
    <t>--01c: Maketable of Costs Crosstab</t>
  </si>
  <si>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N'[stage].[OPATT_Cost_Crosstab]'</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</si>
  <si>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[OPATT_Cost_Crosstab]</t>
    </r>
  </si>
  <si>
    <r>
      <t>SELECT</t>
    </r>
    <r>
      <rPr>
        <sz val="9.5"/>
        <color theme="1"/>
        <rFont val="Consolas"/>
        <family val="3"/>
      </rPr>
      <t xml:space="preserve"> </t>
    </r>
    <r>
      <rPr>
        <sz val="9.5"/>
        <color rgb="FF808080"/>
        <rFont val="Consolas"/>
        <family val="3"/>
      </rPr>
      <t>*</t>
    </r>
    <r>
      <rPr>
        <sz val="9.5"/>
        <color theme="1"/>
        <rFont val="Consolas"/>
        <family val="3"/>
      </rPr>
      <t xml:space="preserve"> </t>
    </r>
  </si>
  <si>
    <r>
      <t>INTO</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[OPATT_Cost_Crosstab]</t>
    </r>
  </si>
  <si>
    <r>
      <t>FROM</t>
    </r>
    <r>
      <rPr>
        <sz val="9.5"/>
        <color theme="1"/>
        <rFont val="Consolas"/>
        <family val="3"/>
      </rPr>
      <t xml:space="preserve"> </t>
    </r>
    <r>
      <rPr>
        <sz val="9.5"/>
        <color rgb="FF008080"/>
        <rFont val="Consolas"/>
        <family val="3"/>
      </rPr>
      <t>#_01B</t>
    </r>
  </si>
  <si>
    <t>--01d: Crosstab Activity</t>
  </si>
  <si>
    <t>--Activity by attendance type</t>
  </si>
  <si>
    <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[NCL_FAS]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[NCL_FUM]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[NCL_FUS]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[Total Activity]</t>
    </r>
    <r>
      <rPr>
        <sz val="9.5"/>
        <color rgb="FF808080"/>
        <rFont val="Consolas"/>
        <family val="3"/>
      </rPr>
      <t>,</t>
    </r>
  </si>
  <si>
    <r>
      <t>INTO</t>
    </r>
    <r>
      <rPr>
        <sz val="9.5"/>
        <color theme="1"/>
        <rFont val="Consolas"/>
        <family val="3"/>
      </rPr>
      <t xml:space="preserve"> </t>
    </r>
    <r>
      <rPr>
        <sz val="9.5"/>
        <color rgb="FF008080"/>
        <rFont val="Consolas"/>
        <family val="3"/>
      </rPr>
      <t>#01D</t>
    </r>
  </si>
  <si>
    <r>
      <t>SELECT</t>
    </r>
    <r>
      <rPr>
        <sz val="9.5"/>
        <color theme="1"/>
        <rFont val="Consolas"/>
        <family val="3"/>
      </rPr>
      <t xml:space="preserve"> </t>
    </r>
    <r>
      <rPr>
        <sz val="9.5"/>
        <color rgb="FF008080"/>
        <rFont val="Consolas"/>
        <family val="3"/>
      </rPr>
      <t>[Tariff TFC]</t>
    </r>
    <r>
      <rPr>
        <sz val="9.5"/>
        <color rgb="FF808080"/>
        <rFont val="Consolas"/>
        <family val="3"/>
      </rPr>
      <t>,</t>
    </r>
    <r>
      <rPr>
        <sz val="9.5"/>
        <color theme="1"/>
        <rFont val="Consolas"/>
        <family val="3"/>
      </rPr>
      <t xml:space="preserve"> </t>
    </r>
    <r>
      <rPr>
        <sz val="9.5"/>
        <color rgb="FF008080"/>
        <rFont val="Consolas"/>
        <family val="3"/>
      </rPr>
      <t>Combined</t>
    </r>
    <r>
      <rPr>
        <sz val="9.5"/>
        <color rgb="FF808080"/>
        <rFont val="Consolas"/>
        <family val="3"/>
      </rPr>
      <t>,</t>
    </r>
    <r>
      <rPr>
        <sz val="9.5"/>
        <color theme="1"/>
        <rFont val="Consolas"/>
        <family val="3"/>
      </rPr>
      <t xml:space="preserve">  </t>
    </r>
    <r>
      <rPr>
        <sz val="9.5"/>
        <color rgb="FF008080"/>
        <rFont val="Consolas"/>
        <family val="3"/>
      </rPr>
      <t>ACT</t>
    </r>
  </si>
  <si>
    <r>
      <t>(</t>
    </r>
    <r>
      <rPr>
        <sz val="9.5"/>
        <color rgb="FFFF00FF"/>
        <rFont val="Consolas"/>
        <family val="3"/>
      </rPr>
      <t>Sum</t>
    </r>
    <r>
      <rPr>
        <sz val="9.5"/>
        <color rgb="FF808080"/>
        <rFont val="Consolas"/>
        <family val="3"/>
      </rPr>
      <t>(</t>
    </r>
    <r>
      <rPr>
        <sz val="9.5"/>
        <color rgb="FF008080"/>
        <rFont val="Consolas"/>
        <family val="3"/>
      </rPr>
      <t>Act</t>
    </r>
    <r>
      <rPr>
        <sz val="9.5"/>
        <color rgb="FF808080"/>
        <rFont val="Consolas"/>
        <family val="3"/>
      </rPr>
      <t>)</t>
    </r>
  </si>
  <si>
    <t>--01e: Maketable of Activity Crosstab</t>
  </si>
  <si>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N'[stage].[OPATT_Activity_Crosstab]'</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</si>
  <si>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[OPATT_Activity_Crosstab]</t>
    </r>
  </si>
  <si>
    <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INTO</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[OPATT_Activity_Crosstab]</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80"/>
        <rFont val="Consolas"/>
        <family val="3"/>
      </rPr>
      <t>#01D</t>
    </r>
    <r>
      <rPr>
        <sz val="9.5"/>
        <color theme="1"/>
        <rFont val="Consolas"/>
        <family val="3"/>
      </rPr>
      <t xml:space="preserve"> </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</si>
  <si>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N'[valid].[OPATT02_01e]'</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</si>
  <si>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[OPATT02_01e]</t>
    </r>
  </si>
  <si>
    <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INTO</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[OPATT02_01e]</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[OPATT_Activity_Crosstab]</t>
    </r>
    <r>
      <rPr>
        <sz val="9.5"/>
        <color theme="1"/>
        <rFont val="Consolas"/>
        <family val="3"/>
      </rPr>
      <t xml:space="preserve">  </t>
    </r>
  </si>
  <si>
    <r>
      <t>SET</t>
    </r>
    <r>
      <rPr>
        <sz val="9.5"/>
        <color theme="1"/>
        <rFont val="Consolas"/>
        <family val="3"/>
      </rPr>
      <t xml:space="preserve">  </t>
    </r>
    <r>
      <rPr>
        <sz val="9.5"/>
        <color rgb="FF008080"/>
        <rFont val="Consolas"/>
        <family val="3"/>
      </rPr>
      <t>@LoggingValues</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'02a: D&amp;D Exclusions'</t>
    </r>
  </si>
  <si>
    <t>--02a: D&amp;D Exclusions</t>
  </si>
  <si>
    <t>--Total Drug &amp; Device Exclusions &amp; relevant TFC</t>
  </si>
  <si>
    <r>
      <t>in_05a</t>
    </r>
    <r>
      <rPr>
        <sz val="9.5"/>
        <color rgb="FF808080"/>
        <rFont val="Consolas"/>
        <family val="3"/>
      </rPr>
      <t>.</t>
    </r>
    <r>
      <rPr>
        <sz val="9.5"/>
        <color rgb="FF008080"/>
        <rFont val="Consolas"/>
        <family val="3"/>
      </rPr>
      <t>TFC</t>
    </r>
    <r>
      <rPr>
        <sz val="9.5"/>
        <color rgb="FF808080"/>
        <rFont val="Consolas"/>
        <family val="3"/>
      </rPr>
      <t>,</t>
    </r>
  </si>
  <si>
    <r>
      <t xml:space="preserve"> </t>
    </r>
    <r>
      <rPr>
        <sz val="9.5"/>
        <color rgb="FF008080"/>
        <rFont val="Consolas"/>
        <family val="3"/>
      </rPr>
      <t>in_05a</t>
    </r>
    <r>
      <rPr>
        <sz val="9.5"/>
        <color rgb="FF808080"/>
        <rFont val="Consolas"/>
        <family val="3"/>
      </rPr>
      <t>.</t>
    </r>
    <r>
      <rPr>
        <sz val="9.5"/>
        <color rgb="FF008080"/>
        <rFont val="Consolas"/>
        <family val="3"/>
      </rPr>
      <t>[TFC Descriptor]</t>
    </r>
    <r>
      <rPr>
        <sz val="9.5"/>
        <color rgb="FF808080"/>
        <rFont val="Consolas"/>
        <family val="3"/>
      </rPr>
      <t>,</t>
    </r>
    <r>
      <rPr>
        <sz val="9.5"/>
        <color theme="1"/>
        <rFont val="Consolas"/>
        <family val="3"/>
      </rPr>
      <t xml:space="preserve"> </t>
    </r>
  </si>
  <si>
    <r>
      <t xml:space="preserve"> </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[HCD_Cost]</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[Device_Cost]</t>
    </r>
    <r>
      <rPr>
        <sz val="9.5"/>
        <color rgb="FF808080"/>
        <rFont val="Consolas"/>
        <family val="3"/>
      </rPr>
      <t>,</t>
    </r>
    <r>
      <rPr>
        <sz val="9.5"/>
        <color theme="1"/>
        <rFont val="Consolas"/>
        <family val="3"/>
      </rPr>
      <t>0</t>
    </r>
    <r>
      <rPr>
        <sz val="9.5"/>
        <color rgb="FF808080"/>
        <rFont val="Consolas"/>
        <family val="3"/>
      </rPr>
      <t>))/</t>
    </r>
    <r>
      <rPr>
        <sz val="9.5"/>
        <color rgb="FF008080"/>
        <rFont val="Consolas"/>
        <family val="3"/>
      </rPr>
      <t>[National Average]</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[Total D&amp;D]</t>
    </r>
  </si>
  <si>
    <r>
      <t>into</t>
    </r>
    <r>
      <rPr>
        <sz val="9.5"/>
        <color theme="1"/>
        <rFont val="Consolas"/>
        <family val="3"/>
      </rPr>
      <t xml:space="preserve"> </t>
    </r>
    <r>
      <rPr>
        <sz val="9.5"/>
        <color rgb="FF008080"/>
        <rFont val="Consolas"/>
        <family val="3"/>
      </rPr>
      <t>#_02a</t>
    </r>
  </si>
  <si>
    <r>
      <t>[input]</t>
    </r>
    <r>
      <rPr>
        <sz val="9.5"/>
        <color rgb="FF808080"/>
        <rFont val="Consolas"/>
        <family val="3"/>
      </rPr>
      <t>.</t>
    </r>
    <r>
      <rPr>
        <sz val="9.5"/>
        <color rgb="FF008080"/>
        <rFont val="Consolas"/>
        <family val="3"/>
      </rPr>
      <t>[OPATT_Drugs_Devices]</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in_05a</t>
    </r>
    <r>
      <rPr>
        <sz val="9.5"/>
        <color rgb="FF808080"/>
        <rFont val="Consolas"/>
        <family val="3"/>
      </rPr>
      <t>,</t>
    </r>
    <r>
      <rPr>
        <sz val="9.5"/>
        <color theme="1"/>
        <rFont val="Consolas"/>
        <family val="3"/>
      </rPr>
      <t xml:space="preserve"> </t>
    </r>
  </si>
  <si>
    <r>
      <t>[Stage]</t>
    </r>
    <r>
      <rPr>
        <sz val="9.5"/>
        <color rgb="FF808080"/>
        <rFont val="Consolas"/>
        <family val="3"/>
      </rPr>
      <t>.</t>
    </r>
    <r>
      <rPr>
        <sz val="9.5"/>
        <color rgb="FF008080"/>
        <rFont val="Consolas"/>
        <family val="3"/>
      </rPr>
      <t>[OPATT_Nat_Avg_MFF]</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in_12a</t>
    </r>
  </si>
  <si>
    <r>
      <t xml:space="preserve">WHERE </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[HCD_Cost]</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[Device_Cost]</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rgb="FF008080"/>
        <rFont val="Consolas"/>
        <family val="3"/>
      </rPr>
      <t>[National Average]</t>
    </r>
    <r>
      <rPr>
        <sz val="9.5"/>
        <color rgb="FF808080"/>
        <rFont val="Consolas"/>
        <family val="3"/>
      </rPr>
      <t>&lt;&gt;</t>
    </r>
    <r>
      <rPr>
        <sz val="9.5"/>
        <color theme="1"/>
        <rFont val="Consolas"/>
        <family val="3"/>
      </rPr>
      <t>0</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</si>
  <si>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N'[valid].[OPATT02_02a]'</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</si>
  <si>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[OPATT02_02a]</t>
    </r>
  </si>
  <si>
    <r>
      <t>TFC</t>
    </r>
    <r>
      <rPr>
        <sz val="9.5"/>
        <color rgb="FF808080"/>
        <rFont val="Consolas"/>
        <family val="3"/>
      </rPr>
      <t>,</t>
    </r>
  </si>
  <si>
    <r>
      <t>SUM</t>
    </r>
    <r>
      <rPr>
        <sz val="9.5"/>
        <color rgb="FF808080"/>
        <rFont val="Consolas"/>
        <family val="3"/>
      </rPr>
      <t>(</t>
    </r>
    <r>
      <rPr>
        <sz val="9.5"/>
        <color rgb="FF008080"/>
        <rFont val="Consolas"/>
        <family val="3"/>
      </rPr>
      <t>[TOTAL d&amp;d]</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[Total D&amp;D]</t>
    </r>
  </si>
  <si>
    <r>
      <t>INTO</t>
    </r>
    <r>
      <rPr>
        <sz val="9.5"/>
        <color theme="1"/>
        <rFont val="Consolas"/>
        <family val="3"/>
      </rPr>
      <t xml:space="preserve"> </t>
    </r>
    <r>
      <rPr>
        <sz val="9.5"/>
        <color rgb="FF008080"/>
        <rFont val="Consolas"/>
        <family val="3"/>
      </rPr>
      <t>[valid]</t>
    </r>
    <r>
      <rPr>
        <sz val="9.5"/>
        <color rgb="FF808080"/>
        <rFont val="Consolas"/>
        <family val="3"/>
      </rPr>
      <t>.</t>
    </r>
    <r>
      <rPr>
        <sz val="9.5"/>
        <color rgb="FF008080"/>
        <rFont val="Consolas"/>
        <family val="3"/>
      </rPr>
      <t>[OPATT02_02a]</t>
    </r>
  </si>
  <si>
    <r>
      <t>FROM</t>
    </r>
    <r>
      <rPr>
        <sz val="9.5"/>
        <color theme="1"/>
        <rFont val="Consolas"/>
        <family val="3"/>
      </rPr>
      <t xml:space="preserve"> </t>
    </r>
    <r>
      <rPr>
        <sz val="9.5"/>
        <color rgb="FF008080"/>
        <rFont val="Consolas"/>
        <family val="3"/>
      </rPr>
      <t>#_02a</t>
    </r>
  </si>
  <si>
    <r>
      <t>GROUP</t>
    </r>
    <r>
      <rPr>
        <sz val="9.5"/>
        <color theme="1"/>
        <rFont val="Consolas"/>
        <family val="3"/>
      </rPr>
      <t xml:space="preserve"> </t>
    </r>
    <r>
      <rPr>
        <sz val="9.5"/>
        <color rgb="FF0000FF"/>
        <rFont val="Consolas"/>
        <family val="3"/>
      </rPr>
      <t>BY</t>
    </r>
    <r>
      <rPr>
        <sz val="9.5"/>
        <color theme="1"/>
        <rFont val="Consolas"/>
        <family val="3"/>
      </rPr>
      <t xml:space="preserve"> </t>
    </r>
    <r>
      <rPr>
        <sz val="9.5"/>
        <color rgb="FF008080"/>
        <rFont val="Consolas"/>
        <family val="3"/>
      </rPr>
      <t>TFC</t>
    </r>
  </si>
  <si>
    <t>--02b: Total costs and %'s for apportionment of D&amp;D</t>
  </si>
  <si>
    <r>
      <t>SELECT</t>
    </r>
    <r>
      <rPr>
        <sz val="9.5"/>
        <color theme="1"/>
        <rFont val="Consolas"/>
        <family val="3"/>
      </rPr>
      <t xml:space="preserve"> </t>
    </r>
    <r>
      <rPr>
        <sz val="9.5"/>
        <color rgb="FF008080"/>
        <rFont val="Consolas"/>
        <family val="3"/>
      </rPr>
      <t>B</t>
    </r>
    <r>
      <rPr>
        <sz val="9.5"/>
        <color rgb="FF808080"/>
        <rFont val="Consolas"/>
        <family val="3"/>
      </rPr>
      <t>.*,</t>
    </r>
  </si>
  <si>
    <r>
      <t>[CL_FAM App]</t>
    </r>
    <r>
      <rPr>
        <sz val="9.5"/>
        <color rgb="FF808080"/>
        <rFont val="Consolas"/>
        <family val="3"/>
      </rPr>
      <t>+</t>
    </r>
    <r>
      <rPr>
        <sz val="9.5"/>
        <color rgb="FF008080"/>
        <rFont val="Consolas"/>
        <family val="3"/>
      </rPr>
      <t>[CL_FAS App]</t>
    </r>
    <r>
      <rPr>
        <sz val="9.5"/>
        <color rgb="FF808080"/>
        <rFont val="Consolas"/>
        <family val="3"/>
      </rPr>
      <t>+</t>
    </r>
    <r>
      <rPr>
        <sz val="9.5"/>
        <color rgb="FF008080"/>
        <rFont val="Consolas"/>
        <family val="3"/>
      </rPr>
      <t>[CL_FUM App]</t>
    </r>
    <r>
      <rPr>
        <sz val="9.5"/>
        <color rgb="FF808080"/>
        <rFont val="Consolas"/>
        <family val="3"/>
      </rPr>
      <t>+</t>
    </r>
    <r>
      <rPr>
        <sz val="9.5"/>
        <color rgb="FF008080"/>
        <rFont val="Consolas"/>
        <family val="3"/>
      </rPr>
      <t>[CL_FUS App]</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[TOTAL App]</t>
    </r>
  </si>
  <si>
    <r>
      <t>into</t>
    </r>
    <r>
      <rPr>
        <sz val="9.5"/>
        <color theme="1"/>
        <rFont val="Consolas"/>
        <family val="3"/>
      </rPr>
      <t xml:space="preserve"> </t>
    </r>
    <r>
      <rPr>
        <sz val="9.5"/>
        <color rgb="FF008080"/>
        <rFont val="Consolas"/>
        <family val="3"/>
      </rPr>
      <t>#_02b</t>
    </r>
  </si>
  <si>
    <t>FROM</t>
  </si>
  <si>
    <r>
      <t>SELECT</t>
    </r>
    <r>
      <rPr>
        <sz val="9.5"/>
        <color theme="1"/>
        <rFont val="Consolas"/>
        <family val="3"/>
      </rPr>
      <t xml:space="preserve"> </t>
    </r>
    <r>
      <rPr>
        <sz val="9.5"/>
        <color rgb="FF008080"/>
        <rFont val="Consolas"/>
        <family val="3"/>
      </rPr>
      <t>a</t>
    </r>
    <r>
      <rPr>
        <sz val="9.5"/>
        <color rgb="FF808080"/>
        <rFont val="Consolas"/>
        <family val="3"/>
      </rPr>
      <t>.*,</t>
    </r>
  </si>
  <si>
    <r>
      <t>[CL_FAM App]</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008080"/>
        <rFont val="Consolas"/>
        <family val="3"/>
      </rPr>
      <t>[Total CL Costs]</t>
    </r>
    <r>
      <rPr>
        <sz val="9.5"/>
        <color theme="1"/>
        <rFont val="Consolas"/>
        <family val="3"/>
      </rPr>
      <t xml:space="preserve"> </t>
    </r>
    <r>
      <rPr>
        <sz val="9.5"/>
        <color rgb="FF808080"/>
        <rFont val="Consolas"/>
        <family val="3"/>
      </rPr>
      <t>=</t>
    </r>
    <r>
      <rPr>
        <sz val="9.5"/>
        <color theme="1"/>
        <rFont val="Consolas"/>
        <family val="3"/>
      </rPr>
      <t xml:space="preserve"> 0 </t>
    </r>
    <r>
      <rPr>
        <sz val="9.5"/>
        <color rgb="FF0000FF"/>
        <rFont val="Consolas"/>
        <family val="3"/>
      </rPr>
      <t>then</t>
    </r>
    <r>
      <rPr>
        <sz val="9.5"/>
        <color theme="1"/>
        <rFont val="Consolas"/>
        <family val="3"/>
      </rPr>
      <t xml:space="preserve"> 0 </t>
    </r>
    <r>
      <rPr>
        <sz val="9.5"/>
        <color rgb="FF0000FF"/>
        <rFont val="Consolas"/>
        <family val="3"/>
      </rPr>
      <t>else</t>
    </r>
    <r>
      <rPr>
        <sz val="9.5"/>
        <color theme="1"/>
        <rFont val="Consolas"/>
        <family val="3"/>
      </rPr>
      <t xml:space="preserve"> </t>
    </r>
    <r>
      <rPr>
        <sz val="9.5"/>
        <color rgb="FF008080"/>
        <rFont val="Consolas"/>
        <family val="3"/>
      </rPr>
      <t>[CL_FAM]</t>
    </r>
    <r>
      <rPr>
        <sz val="9.5"/>
        <color rgb="FF808080"/>
        <rFont val="Consolas"/>
        <family val="3"/>
      </rPr>
      <t>/</t>
    </r>
    <r>
      <rPr>
        <sz val="9.5"/>
        <color rgb="FF008080"/>
        <rFont val="Consolas"/>
        <family val="3"/>
      </rPr>
      <t>[Total CL Costs]</t>
    </r>
    <r>
      <rPr>
        <sz val="9.5"/>
        <color theme="1"/>
        <rFont val="Consolas"/>
        <family val="3"/>
      </rPr>
      <t xml:space="preserve"> </t>
    </r>
    <r>
      <rPr>
        <sz val="9.5"/>
        <color rgb="FF0000FF"/>
        <rFont val="Consolas"/>
        <family val="3"/>
      </rPr>
      <t>end</t>
    </r>
    <r>
      <rPr>
        <sz val="9.5"/>
        <color rgb="FF808080"/>
        <rFont val="Consolas"/>
        <family val="3"/>
      </rPr>
      <t>,</t>
    </r>
  </si>
  <si>
    <r>
      <t>[CL_FAS App]</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008080"/>
        <rFont val="Consolas"/>
        <family val="3"/>
      </rPr>
      <t>[Total CL Costs]</t>
    </r>
    <r>
      <rPr>
        <sz val="9.5"/>
        <color theme="1"/>
        <rFont val="Consolas"/>
        <family val="3"/>
      </rPr>
      <t xml:space="preserve"> </t>
    </r>
    <r>
      <rPr>
        <sz val="9.5"/>
        <color rgb="FF808080"/>
        <rFont val="Consolas"/>
        <family val="3"/>
      </rPr>
      <t>=</t>
    </r>
    <r>
      <rPr>
        <sz val="9.5"/>
        <color theme="1"/>
        <rFont val="Consolas"/>
        <family val="3"/>
      </rPr>
      <t xml:space="preserve"> 0 </t>
    </r>
    <r>
      <rPr>
        <sz val="9.5"/>
        <color rgb="FF0000FF"/>
        <rFont val="Consolas"/>
        <family val="3"/>
      </rPr>
      <t>then</t>
    </r>
    <r>
      <rPr>
        <sz val="9.5"/>
        <color theme="1"/>
        <rFont val="Consolas"/>
        <family val="3"/>
      </rPr>
      <t xml:space="preserve"> 0 </t>
    </r>
    <r>
      <rPr>
        <sz val="9.5"/>
        <color rgb="FF0000FF"/>
        <rFont val="Consolas"/>
        <family val="3"/>
      </rPr>
      <t>else</t>
    </r>
    <r>
      <rPr>
        <sz val="9.5"/>
        <color theme="1"/>
        <rFont val="Consolas"/>
        <family val="3"/>
      </rPr>
      <t xml:space="preserve"> </t>
    </r>
    <r>
      <rPr>
        <sz val="9.5"/>
        <color rgb="FF008080"/>
        <rFont val="Consolas"/>
        <family val="3"/>
      </rPr>
      <t>[CL_FAS]</t>
    </r>
    <r>
      <rPr>
        <sz val="9.5"/>
        <color rgb="FF808080"/>
        <rFont val="Consolas"/>
        <family val="3"/>
      </rPr>
      <t>/</t>
    </r>
    <r>
      <rPr>
        <sz val="9.5"/>
        <color rgb="FF008080"/>
        <rFont val="Consolas"/>
        <family val="3"/>
      </rPr>
      <t>[Total CL Costs]</t>
    </r>
    <r>
      <rPr>
        <sz val="9.5"/>
        <color theme="1"/>
        <rFont val="Consolas"/>
        <family val="3"/>
      </rPr>
      <t xml:space="preserve"> </t>
    </r>
    <r>
      <rPr>
        <sz val="9.5"/>
        <color rgb="FF0000FF"/>
        <rFont val="Consolas"/>
        <family val="3"/>
      </rPr>
      <t>end</t>
    </r>
    <r>
      <rPr>
        <sz val="9.5"/>
        <color rgb="FF808080"/>
        <rFont val="Consolas"/>
        <family val="3"/>
      </rPr>
      <t>,</t>
    </r>
  </si>
  <si>
    <r>
      <t>[CL_FUM App]</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008080"/>
        <rFont val="Consolas"/>
        <family val="3"/>
      </rPr>
      <t>[Total CL Costs]</t>
    </r>
    <r>
      <rPr>
        <sz val="9.5"/>
        <color theme="1"/>
        <rFont val="Consolas"/>
        <family val="3"/>
      </rPr>
      <t xml:space="preserve"> </t>
    </r>
    <r>
      <rPr>
        <sz val="9.5"/>
        <color rgb="FF808080"/>
        <rFont val="Consolas"/>
        <family val="3"/>
      </rPr>
      <t>=</t>
    </r>
    <r>
      <rPr>
        <sz val="9.5"/>
        <color theme="1"/>
        <rFont val="Consolas"/>
        <family val="3"/>
      </rPr>
      <t xml:space="preserve"> 0 </t>
    </r>
    <r>
      <rPr>
        <sz val="9.5"/>
        <color rgb="FF0000FF"/>
        <rFont val="Consolas"/>
        <family val="3"/>
      </rPr>
      <t>then</t>
    </r>
    <r>
      <rPr>
        <sz val="9.5"/>
        <color theme="1"/>
        <rFont val="Consolas"/>
        <family val="3"/>
      </rPr>
      <t xml:space="preserve"> 0 </t>
    </r>
    <r>
      <rPr>
        <sz val="9.5"/>
        <color rgb="FF0000FF"/>
        <rFont val="Consolas"/>
        <family val="3"/>
      </rPr>
      <t>else</t>
    </r>
    <r>
      <rPr>
        <sz val="9.5"/>
        <color theme="1"/>
        <rFont val="Consolas"/>
        <family val="3"/>
      </rPr>
      <t xml:space="preserve"> </t>
    </r>
    <r>
      <rPr>
        <sz val="9.5"/>
        <color rgb="FF008080"/>
        <rFont val="Consolas"/>
        <family val="3"/>
      </rPr>
      <t>[CL_FUM]</t>
    </r>
    <r>
      <rPr>
        <sz val="9.5"/>
        <color rgb="FF808080"/>
        <rFont val="Consolas"/>
        <family val="3"/>
      </rPr>
      <t>/</t>
    </r>
    <r>
      <rPr>
        <sz val="9.5"/>
        <color rgb="FF008080"/>
        <rFont val="Consolas"/>
        <family val="3"/>
      </rPr>
      <t>[Total CL Costs]</t>
    </r>
    <r>
      <rPr>
        <sz val="9.5"/>
        <color theme="1"/>
        <rFont val="Consolas"/>
        <family val="3"/>
      </rPr>
      <t xml:space="preserve"> </t>
    </r>
    <r>
      <rPr>
        <sz val="9.5"/>
        <color rgb="FF0000FF"/>
        <rFont val="Consolas"/>
        <family val="3"/>
      </rPr>
      <t>end</t>
    </r>
    <r>
      <rPr>
        <sz val="9.5"/>
        <color rgb="FF808080"/>
        <rFont val="Consolas"/>
        <family val="3"/>
      </rPr>
      <t>,</t>
    </r>
  </si>
  <si>
    <r>
      <t>[CL_FUS App]</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008080"/>
        <rFont val="Consolas"/>
        <family val="3"/>
      </rPr>
      <t>[Total CL Costs]</t>
    </r>
    <r>
      <rPr>
        <sz val="9.5"/>
        <color theme="1"/>
        <rFont val="Consolas"/>
        <family val="3"/>
      </rPr>
      <t xml:space="preserve"> </t>
    </r>
    <r>
      <rPr>
        <sz val="9.5"/>
        <color rgb="FF808080"/>
        <rFont val="Consolas"/>
        <family val="3"/>
      </rPr>
      <t>=</t>
    </r>
    <r>
      <rPr>
        <sz val="9.5"/>
        <color theme="1"/>
        <rFont val="Consolas"/>
        <family val="3"/>
      </rPr>
      <t xml:space="preserve"> 0 </t>
    </r>
    <r>
      <rPr>
        <sz val="9.5"/>
        <color rgb="FF0000FF"/>
        <rFont val="Consolas"/>
        <family val="3"/>
      </rPr>
      <t>then</t>
    </r>
    <r>
      <rPr>
        <sz val="9.5"/>
        <color theme="1"/>
        <rFont val="Consolas"/>
        <family val="3"/>
      </rPr>
      <t xml:space="preserve"> 0 </t>
    </r>
    <r>
      <rPr>
        <sz val="9.5"/>
        <color rgb="FF0000FF"/>
        <rFont val="Consolas"/>
        <family val="3"/>
      </rPr>
      <t>else</t>
    </r>
    <r>
      <rPr>
        <sz val="9.5"/>
        <color theme="1"/>
        <rFont val="Consolas"/>
        <family val="3"/>
      </rPr>
      <t xml:space="preserve"> </t>
    </r>
    <r>
      <rPr>
        <sz val="9.5"/>
        <color rgb="FF008080"/>
        <rFont val="Consolas"/>
        <family val="3"/>
      </rPr>
      <t>[CL_FUS]</t>
    </r>
    <r>
      <rPr>
        <sz val="9.5"/>
        <color rgb="FF808080"/>
        <rFont val="Consolas"/>
        <family val="3"/>
      </rPr>
      <t>/</t>
    </r>
    <r>
      <rPr>
        <sz val="9.5"/>
        <color rgb="FF008080"/>
        <rFont val="Consolas"/>
        <family val="3"/>
      </rPr>
      <t>[Total CL Costs]</t>
    </r>
    <r>
      <rPr>
        <sz val="9.5"/>
        <color theme="1"/>
        <rFont val="Consolas"/>
        <family val="3"/>
      </rPr>
      <t xml:space="preserve"> </t>
    </r>
    <r>
      <rPr>
        <sz val="9.5"/>
        <color rgb="FF0000FF"/>
        <rFont val="Consolas"/>
        <family val="3"/>
      </rPr>
      <t>end</t>
    </r>
  </si>
  <si>
    <r>
      <t xml:space="preserve">FROM </t>
    </r>
    <r>
      <rPr>
        <sz val="9.5"/>
        <color rgb="FF808080"/>
        <rFont val="Consolas"/>
        <family val="3"/>
      </rPr>
      <t>(</t>
    </r>
  </si>
  <si>
    <r>
      <t>SELECT</t>
    </r>
    <r>
      <rPr>
        <sz val="9.5"/>
        <color theme="1"/>
        <rFont val="Consolas"/>
        <family val="3"/>
      </rPr>
      <t xml:space="preserve"> </t>
    </r>
    <r>
      <rPr>
        <sz val="9.5"/>
        <color rgb="FF008080"/>
        <rFont val="Consolas"/>
        <family val="3"/>
      </rPr>
      <t>[Tariff TFC]</t>
    </r>
    <r>
      <rPr>
        <sz val="9.5"/>
        <color rgb="FF808080"/>
        <rFont val="Consolas"/>
        <family val="3"/>
      </rPr>
      <t>,</t>
    </r>
    <r>
      <rPr>
        <sz val="9.5"/>
        <color theme="1"/>
        <rFont val="Consolas"/>
        <family val="3"/>
      </rPr>
      <t xml:space="preserve"> </t>
    </r>
  </si>
  <si>
    <r>
      <t>[Total Costs]</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</si>
  <si>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[CL_FAM]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[CL_FAS]</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[CL_FUM]</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[Total CL Costs]</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</si>
  <si>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[CL_FAM]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[CL_FAM]</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[CL_FAS]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[CL_FAS]</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[CL_FUM]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[CL_FUM]</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[CL_FUS]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[CL_FUS]</t>
    </r>
  </si>
  <si>
    <r>
      <t>FROM</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[OPATT_Cost_Crosstab]</t>
    </r>
  </si>
  <si>
    <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A</t>
    </r>
  </si>
  <si>
    <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b</t>
    </r>
  </si>
  <si>
    <t>--drop table #_02b</t>
  </si>
  <si>
    <t>--select * from #_02b</t>
  </si>
  <si>
    <t>--02c: D&amp;D costs to remove</t>
  </si>
  <si>
    <t>--Apply exclusions to apportionment</t>
  </si>
  <si>
    <r>
      <t>out_01a</t>
    </r>
    <r>
      <rPr>
        <sz val="9.5"/>
        <color rgb="FF808080"/>
        <rFont val="Consolas"/>
        <family val="3"/>
      </rPr>
      <t>.</t>
    </r>
    <r>
      <rPr>
        <sz val="9.5"/>
        <color rgb="FF008080"/>
        <rFont val="Consolas"/>
        <family val="3"/>
      </rPr>
      <t>[Tariff TFC]</t>
    </r>
    <r>
      <rPr>
        <sz val="9.5"/>
        <color rgb="FF808080"/>
        <rFont val="Consolas"/>
        <family val="3"/>
      </rPr>
      <t>,</t>
    </r>
    <r>
      <rPr>
        <sz val="9.5"/>
        <color theme="1"/>
        <rFont val="Consolas"/>
        <family val="3"/>
      </rPr>
      <t xml:space="preserve"> </t>
    </r>
  </si>
  <si>
    <r>
      <t>out_01a</t>
    </r>
    <r>
      <rPr>
        <sz val="9.5"/>
        <color rgb="FF808080"/>
        <rFont val="Consolas"/>
        <family val="3"/>
      </rPr>
      <t>.</t>
    </r>
    <r>
      <rPr>
        <sz val="9.5"/>
        <color rgb="FF008080"/>
        <rFont val="Consolas"/>
        <family val="3"/>
      </rPr>
      <t>[Total Costs]</t>
    </r>
    <r>
      <rPr>
        <sz val="9.5"/>
        <color rgb="FF808080"/>
        <rFont val="Consolas"/>
        <family val="3"/>
      </rPr>
      <t>,</t>
    </r>
    <r>
      <rPr>
        <sz val="9.5"/>
        <color theme="1"/>
        <rFont val="Consolas"/>
        <family val="3"/>
      </rPr>
      <t xml:space="preserve"> </t>
    </r>
  </si>
  <si>
    <r>
      <t>#_02a</t>
    </r>
    <r>
      <rPr>
        <sz val="9.5"/>
        <color rgb="FF808080"/>
        <rFont val="Consolas"/>
        <family val="3"/>
      </rPr>
      <t>.</t>
    </r>
    <r>
      <rPr>
        <sz val="9.5"/>
        <color rgb="FF008080"/>
        <rFont val="Consolas"/>
        <family val="3"/>
      </rPr>
      <t>[Total D&amp;D]</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</si>
  <si>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[Total D&amp;D]</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[CL_FAM App]</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[From CL_FAM]</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</si>
  <si>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[Total D&amp;D]</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[CL_FAS App]</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[From CL_FAS]</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</si>
  <si>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[Total D&amp;D]</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[CL_FUM App]</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[From CL_FUM]</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</si>
  <si>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[Total D&amp;D]</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[CL_FUS App]</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[From CL_FUS]</t>
    </r>
  </si>
  <si>
    <r>
      <t>INTO</t>
    </r>
    <r>
      <rPr>
        <sz val="9.5"/>
        <color theme="1"/>
        <rFont val="Consolas"/>
        <family val="3"/>
      </rPr>
      <t xml:space="preserve"> </t>
    </r>
    <r>
      <rPr>
        <sz val="9.5"/>
        <color rgb="FF008080"/>
        <rFont val="Consolas"/>
        <family val="3"/>
      </rPr>
      <t>#02C</t>
    </r>
  </si>
  <si>
    <r>
      <t>FROM</t>
    </r>
    <r>
      <rPr>
        <sz val="9.5"/>
        <color theme="1"/>
        <rFont val="Consolas"/>
        <family val="3"/>
      </rPr>
      <t xml:space="preserve">  </t>
    </r>
  </si>
  <si>
    <r>
      <t>[stage]</t>
    </r>
    <r>
      <rPr>
        <sz val="9.5"/>
        <color rgb="FF808080"/>
        <rFont val="Consolas"/>
        <family val="3"/>
      </rPr>
      <t>.</t>
    </r>
    <r>
      <rPr>
        <sz val="9.5"/>
        <color rgb="FF008080"/>
        <rFont val="Consolas"/>
        <family val="3"/>
      </rPr>
      <t>[OPATT_Cost_Crosstab]</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out_01a</t>
    </r>
  </si>
  <si>
    <r>
      <t>LEFT</t>
    </r>
    <r>
      <rPr>
        <sz val="9.5"/>
        <color theme="1"/>
        <rFont val="Consolas"/>
        <family val="3"/>
      </rPr>
      <t xml:space="preserve"> </t>
    </r>
    <r>
      <rPr>
        <sz val="9.5"/>
        <color rgb="FF808080"/>
        <rFont val="Consolas"/>
        <family val="3"/>
      </rPr>
      <t>JOIN</t>
    </r>
    <r>
      <rPr>
        <sz val="9.5"/>
        <color theme="1"/>
        <rFont val="Consolas"/>
        <family val="3"/>
      </rPr>
      <t xml:space="preserve"> </t>
    </r>
    <r>
      <rPr>
        <sz val="9.5"/>
        <color rgb="FF008080"/>
        <rFont val="Consolas"/>
        <family val="3"/>
      </rPr>
      <t>#_02a</t>
    </r>
    <r>
      <rPr>
        <sz val="9.5"/>
        <color theme="1"/>
        <rFont val="Consolas"/>
        <family val="3"/>
      </rPr>
      <t xml:space="preserve"> </t>
    </r>
  </si>
  <si>
    <r>
      <t>ON</t>
    </r>
    <r>
      <rPr>
        <sz val="9.5"/>
        <color theme="1"/>
        <rFont val="Consolas"/>
        <family val="3"/>
      </rPr>
      <t xml:space="preserve"> </t>
    </r>
    <r>
      <rPr>
        <sz val="9.5"/>
        <color rgb="FF008080"/>
        <rFont val="Consolas"/>
        <family val="3"/>
      </rPr>
      <t>out_01a</t>
    </r>
    <r>
      <rPr>
        <sz val="9.5"/>
        <color rgb="FF808080"/>
        <rFont val="Consolas"/>
        <family val="3"/>
      </rPr>
      <t>.</t>
    </r>
    <r>
      <rPr>
        <sz val="9.5"/>
        <color rgb="FF008080"/>
        <rFont val="Consolas"/>
        <family val="3"/>
      </rPr>
      <t>[Tariff TFC]</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#_02a</t>
    </r>
    <r>
      <rPr>
        <sz val="9.5"/>
        <color rgb="FF808080"/>
        <rFont val="Consolas"/>
        <family val="3"/>
      </rPr>
      <t>.</t>
    </r>
    <r>
      <rPr>
        <sz val="9.5"/>
        <color rgb="FF008080"/>
        <rFont val="Consolas"/>
        <family val="3"/>
      </rPr>
      <t>TFC</t>
    </r>
  </si>
  <si>
    <r>
      <t>LEFT</t>
    </r>
    <r>
      <rPr>
        <sz val="9.5"/>
        <color theme="1"/>
        <rFont val="Consolas"/>
        <family val="3"/>
      </rPr>
      <t xml:space="preserve"> </t>
    </r>
    <r>
      <rPr>
        <sz val="9.5"/>
        <color rgb="FF808080"/>
        <rFont val="Consolas"/>
        <family val="3"/>
      </rPr>
      <t>JOIN</t>
    </r>
    <r>
      <rPr>
        <sz val="9.5"/>
        <color theme="1"/>
        <rFont val="Consolas"/>
        <family val="3"/>
      </rPr>
      <t xml:space="preserve"> </t>
    </r>
    <r>
      <rPr>
        <sz val="9.5"/>
        <color rgb="FF008080"/>
        <rFont val="Consolas"/>
        <family val="3"/>
      </rPr>
      <t>#_02b</t>
    </r>
    <r>
      <rPr>
        <sz val="9.5"/>
        <color theme="1"/>
        <rFont val="Consolas"/>
        <family val="3"/>
      </rPr>
      <t xml:space="preserve"> </t>
    </r>
    <r>
      <rPr>
        <sz val="9.5"/>
        <color rgb="FF0000FF"/>
        <rFont val="Consolas"/>
        <family val="3"/>
      </rPr>
      <t>ON</t>
    </r>
    <r>
      <rPr>
        <sz val="9.5"/>
        <color theme="1"/>
        <rFont val="Consolas"/>
        <family val="3"/>
      </rPr>
      <t xml:space="preserve"> </t>
    </r>
    <r>
      <rPr>
        <sz val="9.5"/>
        <color rgb="FF008080"/>
        <rFont val="Consolas"/>
        <family val="3"/>
      </rPr>
      <t>out_01a</t>
    </r>
    <r>
      <rPr>
        <sz val="9.5"/>
        <color rgb="FF808080"/>
        <rFont val="Consolas"/>
        <family val="3"/>
      </rPr>
      <t>.</t>
    </r>
    <r>
      <rPr>
        <sz val="9.5"/>
        <color rgb="FF008080"/>
        <rFont val="Consolas"/>
        <family val="3"/>
      </rPr>
      <t>[Tariff TFC]</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#_02b</t>
    </r>
    <r>
      <rPr>
        <sz val="9.5"/>
        <color rgb="FF808080"/>
        <rFont val="Consolas"/>
        <family val="3"/>
      </rPr>
      <t>.</t>
    </r>
    <r>
      <rPr>
        <sz val="9.5"/>
        <color rgb="FF008080"/>
        <rFont val="Consolas"/>
        <family val="3"/>
      </rPr>
      <t>[Tariff TFC]</t>
    </r>
  </si>
  <si>
    <t>--02d: Revised Costs following removal of D&amp;D</t>
  </si>
  <si>
    <t>--Cost following removal of drugs and devices</t>
  </si>
  <si>
    <r>
      <t>A</t>
    </r>
    <r>
      <rPr>
        <sz val="9.5"/>
        <color rgb="FF808080"/>
        <rFont val="Consolas"/>
        <family val="3"/>
      </rPr>
      <t>.*,</t>
    </r>
  </si>
  <si>
    <r>
      <t>COALESCE</t>
    </r>
    <r>
      <rPr>
        <sz val="9.5"/>
        <color rgb="FF808080"/>
        <rFont val="Consolas"/>
        <family val="3"/>
      </rPr>
      <t>(</t>
    </r>
    <r>
      <rPr>
        <sz val="9.5"/>
        <color rgb="FF008080"/>
        <rFont val="Consolas"/>
        <family val="3"/>
      </rPr>
      <t>[CL_FAM Rev Costs]</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[CL_FAS Rev Costs]</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[CL_FUM Rev Costs]</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[CL_FUS Rev Costs]</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[NCL_FAM Rev Costs]</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[NCL_FAS Rev Costs]</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[NCL_FUM Rev Costs]</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[NCL_FUS Rev Costs]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[Total Revised Costs]</t>
    </r>
  </si>
  <si>
    <r>
      <t>INTO</t>
    </r>
    <r>
      <rPr>
        <sz val="9.5"/>
        <color theme="1"/>
        <rFont val="Consolas"/>
        <family val="3"/>
      </rPr>
      <t xml:space="preserve"> </t>
    </r>
    <r>
      <rPr>
        <sz val="9.5"/>
        <color rgb="FF008080"/>
        <rFont val="Consolas"/>
        <family val="3"/>
      </rPr>
      <t>#02D</t>
    </r>
  </si>
  <si>
    <r>
      <t>#02C</t>
    </r>
    <r>
      <rPr>
        <sz val="9.5"/>
        <color rgb="FF808080"/>
        <rFont val="Consolas"/>
        <family val="3"/>
      </rPr>
      <t>.</t>
    </r>
    <r>
      <rPr>
        <sz val="9.5"/>
        <color rgb="FF008080"/>
        <rFont val="Consolas"/>
        <family val="3"/>
      </rPr>
      <t>[Tariff TFC]</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</si>
  <si>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[CL_FAM]</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[From CL_FAM]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[CL_FAM Rev Costs]</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</si>
  <si>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[CL_FAS]</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[From CL_FAS]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[CL_FAS Rev Costs]</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</si>
  <si>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[CL_FUM]</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[From CL_FUM]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[CL_FUM Rev Costs]</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</si>
  <si>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[CL_FUS]</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[From CL_FUS]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[CL_FUS Rev Costs]</t>
    </r>
    <r>
      <rPr>
        <sz val="9.5"/>
        <color rgb="FF808080"/>
        <rFont val="Consolas"/>
        <family val="3"/>
      </rPr>
      <t>,</t>
    </r>
    <r>
      <rPr>
        <sz val="9.5"/>
        <color theme="1"/>
        <rFont val="Consolas"/>
        <family val="3"/>
      </rPr>
      <t xml:space="preserve"> </t>
    </r>
  </si>
  <si>
    <r>
      <t>out_01a</t>
    </r>
    <r>
      <rPr>
        <sz val="9.5"/>
        <color rgb="FF808080"/>
        <rFont val="Consolas"/>
        <family val="3"/>
      </rPr>
      <t>.</t>
    </r>
    <r>
      <rPr>
        <sz val="9.5"/>
        <color rgb="FF008080"/>
        <rFont val="Consolas"/>
        <family val="3"/>
      </rPr>
      <t>NCL_FAM</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[NCL_FAM Rev Costs]</t>
    </r>
    <r>
      <rPr>
        <sz val="9.5"/>
        <color rgb="FF808080"/>
        <rFont val="Consolas"/>
        <family val="3"/>
      </rPr>
      <t>,</t>
    </r>
    <r>
      <rPr>
        <sz val="9.5"/>
        <color theme="1"/>
        <rFont val="Consolas"/>
        <family val="3"/>
      </rPr>
      <t xml:space="preserve"> </t>
    </r>
  </si>
  <si>
    <r>
      <t>out_01a</t>
    </r>
    <r>
      <rPr>
        <sz val="9.5"/>
        <color rgb="FF808080"/>
        <rFont val="Consolas"/>
        <family val="3"/>
      </rPr>
      <t>.</t>
    </r>
    <r>
      <rPr>
        <sz val="9.5"/>
        <color rgb="FF008080"/>
        <rFont val="Consolas"/>
        <family val="3"/>
      </rPr>
      <t>NCL_FAS</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[NCL_FAS Rev Costs]</t>
    </r>
    <r>
      <rPr>
        <sz val="9.5"/>
        <color rgb="FF808080"/>
        <rFont val="Consolas"/>
        <family val="3"/>
      </rPr>
      <t>,</t>
    </r>
    <r>
      <rPr>
        <sz val="9.5"/>
        <color theme="1"/>
        <rFont val="Consolas"/>
        <family val="3"/>
      </rPr>
      <t xml:space="preserve"> </t>
    </r>
  </si>
  <si>
    <r>
      <t>out_01a</t>
    </r>
    <r>
      <rPr>
        <sz val="9.5"/>
        <color rgb="FF808080"/>
        <rFont val="Consolas"/>
        <family val="3"/>
      </rPr>
      <t>.</t>
    </r>
    <r>
      <rPr>
        <sz val="9.5"/>
        <color rgb="FF008080"/>
        <rFont val="Consolas"/>
        <family val="3"/>
      </rPr>
      <t>NCL_FUM</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[NCL_FUM Rev Costs]</t>
    </r>
    <r>
      <rPr>
        <sz val="9.5"/>
        <color rgb="FF808080"/>
        <rFont val="Consolas"/>
        <family val="3"/>
      </rPr>
      <t>,</t>
    </r>
    <r>
      <rPr>
        <sz val="9.5"/>
        <color theme="1"/>
        <rFont val="Consolas"/>
        <family val="3"/>
      </rPr>
      <t xml:space="preserve"> </t>
    </r>
  </si>
  <si>
    <r>
      <t>out_01a</t>
    </r>
    <r>
      <rPr>
        <sz val="9.5"/>
        <color rgb="FF808080"/>
        <rFont val="Consolas"/>
        <family val="3"/>
      </rPr>
      <t>.</t>
    </r>
    <r>
      <rPr>
        <sz val="9.5"/>
        <color rgb="FF008080"/>
        <rFont val="Consolas"/>
        <family val="3"/>
      </rPr>
      <t>NCL_FUS</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[NCL_FUS Rev Costs]</t>
    </r>
  </si>
  <si>
    <r>
      <t>[stage]</t>
    </r>
    <r>
      <rPr>
        <sz val="9.5"/>
        <color rgb="FF808080"/>
        <rFont val="Consolas"/>
        <family val="3"/>
      </rPr>
      <t>.</t>
    </r>
    <r>
      <rPr>
        <sz val="9.5"/>
        <color rgb="FF008080"/>
        <rFont val="Consolas"/>
        <family val="3"/>
      </rPr>
      <t>[OPATT_Cost_Crosstab]</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out_01a</t>
    </r>
    <r>
      <rPr>
        <sz val="9.5"/>
        <color theme="1"/>
        <rFont val="Consolas"/>
        <family val="3"/>
      </rPr>
      <t xml:space="preserve"> </t>
    </r>
  </si>
  <si>
    <r>
      <t>INNER</t>
    </r>
    <r>
      <rPr>
        <sz val="9.5"/>
        <color theme="1"/>
        <rFont val="Consolas"/>
        <family val="3"/>
      </rPr>
      <t xml:space="preserve"> </t>
    </r>
    <r>
      <rPr>
        <sz val="9.5"/>
        <color rgb="FF808080"/>
        <rFont val="Consolas"/>
        <family val="3"/>
      </rPr>
      <t>JOIN</t>
    </r>
    <r>
      <rPr>
        <sz val="9.5"/>
        <color theme="1"/>
        <rFont val="Consolas"/>
        <family val="3"/>
      </rPr>
      <t xml:space="preserve"> </t>
    </r>
    <r>
      <rPr>
        <sz val="9.5"/>
        <color rgb="FF008080"/>
        <rFont val="Consolas"/>
        <family val="3"/>
      </rPr>
      <t>#02C</t>
    </r>
  </si>
  <si>
    <r>
      <t>ON</t>
    </r>
    <r>
      <rPr>
        <sz val="9.5"/>
        <color theme="1"/>
        <rFont val="Consolas"/>
        <family val="3"/>
      </rPr>
      <t xml:space="preserve"> </t>
    </r>
    <r>
      <rPr>
        <sz val="9.5"/>
        <color rgb="FF008080"/>
        <rFont val="Consolas"/>
        <family val="3"/>
      </rPr>
      <t>out_01a</t>
    </r>
    <r>
      <rPr>
        <sz val="9.5"/>
        <color rgb="FF808080"/>
        <rFont val="Consolas"/>
        <family val="3"/>
      </rPr>
      <t>.</t>
    </r>
    <r>
      <rPr>
        <sz val="9.5"/>
        <color rgb="FF008080"/>
        <rFont val="Consolas"/>
        <family val="3"/>
      </rPr>
      <t>[Tariff TFC]</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#02C</t>
    </r>
    <r>
      <rPr>
        <sz val="9.5"/>
        <color rgb="FF808080"/>
        <rFont val="Consolas"/>
        <family val="3"/>
      </rPr>
      <t>.</t>
    </r>
    <r>
      <rPr>
        <sz val="9.5"/>
        <color rgb="FF008080"/>
        <rFont val="Consolas"/>
        <family val="3"/>
      </rPr>
      <t>[Tariff TFC]</t>
    </r>
  </si>
  <si>
    <t>--02e: D&amp;D Limiting of exclusions inc additional top-slice</t>
  </si>
  <si>
    <t>--Check that D&amp;D exclusions dont exceed 50%</t>
  </si>
  <si>
    <r>
      <t>COALESCE</t>
    </r>
    <r>
      <rPr>
        <sz val="9.5"/>
        <color rgb="FF808080"/>
        <rFont val="Consolas"/>
        <family val="3"/>
      </rPr>
      <t>(</t>
    </r>
    <r>
      <rPr>
        <sz val="9.5"/>
        <color rgb="FF008080"/>
        <rFont val="Consolas"/>
        <family val="3"/>
      </rPr>
      <t>[CL_FAM_Limit]</t>
    </r>
    <r>
      <rPr>
        <sz val="9.5"/>
        <color rgb="FF808080"/>
        <rFont val="Consolas"/>
        <family val="3"/>
      </rPr>
      <t>,</t>
    </r>
    <r>
      <rPr>
        <sz val="9.5"/>
        <color theme="1"/>
        <rFont val="Consolas"/>
        <family val="3"/>
      </rPr>
      <t>0</t>
    </r>
    <r>
      <rPr>
        <sz val="9.5"/>
        <color rgb="FF808080"/>
        <rFont val="Consolas"/>
        <family val="3"/>
      </rPr>
      <t>)</t>
    </r>
  </si>
  <si>
    <r>
      <t>+</t>
    </r>
    <r>
      <rPr>
        <sz val="9.5"/>
        <color rgb="FFFF00FF"/>
        <rFont val="Consolas"/>
        <family val="3"/>
      </rPr>
      <t>COALESCE</t>
    </r>
    <r>
      <rPr>
        <sz val="9.5"/>
        <color rgb="FF808080"/>
        <rFont val="Consolas"/>
        <family val="3"/>
      </rPr>
      <t>(</t>
    </r>
    <r>
      <rPr>
        <sz val="9.5"/>
        <color rgb="FF008080"/>
        <rFont val="Consolas"/>
        <family val="3"/>
      </rPr>
      <t>[CL_FAS_Limit]</t>
    </r>
    <r>
      <rPr>
        <sz val="9.5"/>
        <color rgb="FF808080"/>
        <rFont val="Consolas"/>
        <family val="3"/>
      </rPr>
      <t>,</t>
    </r>
    <r>
      <rPr>
        <sz val="9.5"/>
        <color theme="1"/>
        <rFont val="Consolas"/>
        <family val="3"/>
      </rPr>
      <t>0</t>
    </r>
    <r>
      <rPr>
        <sz val="9.5"/>
        <color rgb="FF808080"/>
        <rFont val="Consolas"/>
        <family val="3"/>
      </rPr>
      <t>)</t>
    </r>
  </si>
  <si>
    <r>
      <t>+</t>
    </r>
    <r>
      <rPr>
        <sz val="9.5"/>
        <color rgb="FFFF00FF"/>
        <rFont val="Consolas"/>
        <family val="3"/>
      </rPr>
      <t>COALESCE</t>
    </r>
    <r>
      <rPr>
        <sz val="9.5"/>
        <color rgb="FF808080"/>
        <rFont val="Consolas"/>
        <family val="3"/>
      </rPr>
      <t>(</t>
    </r>
    <r>
      <rPr>
        <sz val="9.5"/>
        <color rgb="FF008080"/>
        <rFont val="Consolas"/>
        <family val="3"/>
      </rPr>
      <t>[CL_FUM_Limit]</t>
    </r>
    <r>
      <rPr>
        <sz val="9.5"/>
        <color rgb="FF808080"/>
        <rFont val="Consolas"/>
        <family val="3"/>
      </rPr>
      <t>,</t>
    </r>
    <r>
      <rPr>
        <sz val="9.5"/>
        <color theme="1"/>
        <rFont val="Consolas"/>
        <family val="3"/>
      </rPr>
      <t>0</t>
    </r>
    <r>
      <rPr>
        <sz val="9.5"/>
        <color rgb="FF808080"/>
        <rFont val="Consolas"/>
        <family val="3"/>
      </rPr>
      <t>)</t>
    </r>
  </si>
  <si>
    <r>
      <t>+</t>
    </r>
    <r>
      <rPr>
        <sz val="9.5"/>
        <color rgb="FFFF00FF"/>
        <rFont val="Consolas"/>
        <family val="3"/>
      </rPr>
      <t>COALESCE</t>
    </r>
    <r>
      <rPr>
        <sz val="9.5"/>
        <color rgb="FF808080"/>
        <rFont val="Consolas"/>
        <family val="3"/>
      </rPr>
      <t>(</t>
    </r>
    <r>
      <rPr>
        <sz val="9.5"/>
        <color rgb="FF008080"/>
        <rFont val="Consolas"/>
        <family val="3"/>
      </rPr>
      <t>[CL_FUS_Limit]</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[Total CL Revised Costs]</t>
    </r>
    <r>
      <rPr>
        <sz val="9.5"/>
        <color rgb="FF808080"/>
        <rFont val="Consolas"/>
        <family val="3"/>
      </rPr>
      <t>,</t>
    </r>
    <r>
      <rPr>
        <sz val="9.5"/>
        <color theme="1"/>
        <rFont val="Consolas"/>
        <family val="3"/>
      </rPr>
      <t xml:space="preserve"> </t>
    </r>
  </si>
  <si>
    <r>
      <t>(</t>
    </r>
    <r>
      <rPr>
        <sz val="9.5"/>
        <color rgb="FFFF00FF"/>
        <rFont val="Consolas"/>
        <family val="3"/>
      </rPr>
      <t>COALESCE</t>
    </r>
    <r>
      <rPr>
        <sz val="9.5"/>
        <color rgb="FF808080"/>
        <rFont val="Consolas"/>
        <family val="3"/>
      </rPr>
      <t>(</t>
    </r>
    <r>
      <rPr>
        <sz val="9.5"/>
        <color rgb="FF008080"/>
        <rFont val="Consolas"/>
        <family val="3"/>
      </rPr>
      <t>[CL_FAM Rev Costs]</t>
    </r>
    <r>
      <rPr>
        <sz val="9.5"/>
        <color rgb="FF808080"/>
        <rFont val="Consolas"/>
        <family val="3"/>
      </rPr>
      <t>,</t>
    </r>
    <r>
      <rPr>
        <sz val="9.5"/>
        <color theme="1"/>
        <rFont val="Consolas"/>
        <family val="3"/>
      </rPr>
      <t>0</t>
    </r>
    <r>
      <rPr>
        <sz val="9.5"/>
        <color rgb="FF808080"/>
        <rFont val="Consolas"/>
        <family val="3"/>
      </rPr>
      <t>)</t>
    </r>
  </si>
  <si>
    <r>
      <t>+</t>
    </r>
    <r>
      <rPr>
        <sz val="9.5"/>
        <color rgb="FFFF00FF"/>
        <rFont val="Consolas"/>
        <family val="3"/>
      </rPr>
      <t>COALESCE</t>
    </r>
    <r>
      <rPr>
        <sz val="9.5"/>
        <color rgb="FF808080"/>
        <rFont val="Consolas"/>
        <family val="3"/>
      </rPr>
      <t>(</t>
    </r>
    <r>
      <rPr>
        <sz val="9.5"/>
        <color rgb="FF008080"/>
        <rFont val="Consolas"/>
        <family val="3"/>
      </rPr>
      <t>[CL_FAS Rev Costs]</t>
    </r>
    <r>
      <rPr>
        <sz val="9.5"/>
        <color rgb="FF808080"/>
        <rFont val="Consolas"/>
        <family val="3"/>
      </rPr>
      <t>,</t>
    </r>
    <r>
      <rPr>
        <sz val="9.5"/>
        <color theme="1"/>
        <rFont val="Consolas"/>
        <family val="3"/>
      </rPr>
      <t>0</t>
    </r>
    <r>
      <rPr>
        <sz val="9.5"/>
        <color rgb="FF808080"/>
        <rFont val="Consolas"/>
        <family val="3"/>
      </rPr>
      <t>)</t>
    </r>
  </si>
  <si>
    <r>
      <t>+</t>
    </r>
    <r>
      <rPr>
        <sz val="9.5"/>
        <color rgb="FFFF00FF"/>
        <rFont val="Consolas"/>
        <family val="3"/>
      </rPr>
      <t>COALESCE</t>
    </r>
    <r>
      <rPr>
        <sz val="9.5"/>
        <color rgb="FF808080"/>
        <rFont val="Consolas"/>
        <family val="3"/>
      </rPr>
      <t>(</t>
    </r>
    <r>
      <rPr>
        <sz val="9.5"/>
        <color rgb="FF008080"/>
        <rFont val="Consolas"/>
        <family val="3"/>
      </rPr>
      <t>[CL_FUM Rev Costs]</t>
    </r>
    <r>
      <rPr>
        <sz val="9.5"/>
        <color rgb="FF808080"/>
        <rFont val="Consolas"/>
        <family val="3"/>
      </rPr>
      <t>,</t>
    </r>
    <r>
      <rPr>
        <sz val="9.5"/>
        <color theme="1"/>
        <rFont val="Consolas"/>
        <family val="3"/>
      </rPr>
      <t>0</t>
    </r>
    <r>
      <rPr>
        <sz val="9.5"/>
        <color rgb="FF808080"/>
        <rFont val="Consolas"/>
        <family val="3"/>
      </rPr>
      <t>)</t>
    </r>
  </si>
  <si>
    <r>
      <t>+</t>
    </r>
    <r>
      <rPr>
        <sz val="9.5"/>
        <color rgb="FFFF00FF"/>
        <rFont val="Consolas"/>
        <family val="3"/>
      </rPr>
      <t>COALESCE</t>
    </r>
    <r>
      <rPr>
        <sz val="9.5"/>
        <color rgb="FF808080"/>
        <rFont val="Consolas"/>
        <family val="3"/>
      </rPr>
      <t>(</t>
    </r>
    <r>
      <rPr>
        <sz val="9.5"/>
        <color rgb="FF008080"/>
        <rFont val="Consolas"/>
        <family val="3"/>
      </rPr>
      <t>[CL_FUS Rev Costs]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</si>
  <si>
    <r>
      <t>(</t>
    </r>
    <r>
      <rPr>
        <sz val="9.5"/>
        <color rgb="FFFF00FF"/>
        <rFont val="Consolas"/>
        <family val="3"/>
      </rPr>
      <t>COALESCE</t>
    </r>
    <r>
      <rPr>
        <sz val="9.5"/>
        <color rgb="FF808080"/>
        <rFont val="Consolas"/>
        <family val="3"/>
      </rPr>
      <t>(</t>
    </r>
    <r>
      <rPr>
        <sz val="9.5"/>
        <color rgb="FF008080"/>
        <rFont val="Consolas"/>
        <family val="3"/>
      </rPr>
      <t>[CL_FAM_Limit]</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[CL_FAS_Limit]</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[CL_FUM_Limit]</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[CL_FUS_Limit]</t>
    </r>
    <r>
      <rPr>
        <sz val="9.5"/>
        <color rgb="FF808080"/>
        <rFont val="Consolas"/>
        <family val="3"/>
      </rPr>
      <t>,</t>
    </r>
    <r>
      <rPr>
        <sz val="9.5"/>
        <color theme="1"/>
        <rFont val="Consolas"/>
        <family val="3"/>
      </rPr>
      <t>0</t>
    </r>
    <r>
      <rPr>
        <sz val="9.5"/>
        <color rgb="FF808080"/>
        <rFont val="Consolas"/>
        <family val="3"/>
      </rPr>
      <t>))</t>
    </r>
  </si>
  <si>
    <r>
      <t>AS</t>
    </r>
    <r>
      <rPr>
        <sz val="9.5"/>
        <color theme="1"/>
        <rFont val="Consolas"/>
        <family val="3"/>
      </rPr>
      <t xml:space="preserve"> </t>
    </r>
    <r>
      <rPr>
        <sz val="9.5"/>
        <color rgb="FF008080"/>
        <rFont val="Consolas"/>
        <family val="3"/>
      </rPr>
      <t>[Limiting_top-slice]</t>
    </r>
  </si>
  <si>
    <r>
      <t>INTO</t>
    </r>
    <r>
      <rPr>
        <sz val="9.5"/>
        <color theme="1"/>
        <rFont val="Consolas"/>
        <family val="3"/>
      </rPr>
      <t xml:space="preserve"> </t>
    </r>
    <r>
      <rPr>
        <sz val="9.5"/>
        <color rgb="FF008080"/>
        <rFont val="Consolas"/>
        <family val="3"/>
      </rPr>
      <t>#02E</t>
    </r>
  </si>
  <si>
    <r>
      <t>#02D</t>
    </r>
    <r>
      <rPr>
        <sz val="9.5"/>
        <color rgb="FF808080"/>
        <rFont val="Consolas"/>
        <family val="3"/>
      </rPr>
      <t>.</t>
    </r>
    <r>
      <rPr>
        <sz val="9.5"/>
        <color rgb="FF008080"/>
        <rFont val="Consolas"/>
        <family val="3"/>
      </rPr>
      <t>[Tariff TFC]</t>
    </r>
    <r>
      <rPr>
        <sz val="9.5"/>
        <color rgb="FF808080"/>
        <rFont val="Consolas"/>
        <family val="3"/>
      </rPr>
      <t>,</t>
    </r>
    <r>
      <rPr>
        <sz val="9.5"/>
        <color theme="1"/>
        <rFont val="Consolas"/>
        <family val="3"/>
      </rPr>
      <t xml:space="preserve"> </t>
    </r>
  </si>
  <si>
    <r>
      <t>#02D</t>
    </r>
    <r>
      <rPr>
        <sz val="9.5"/>
        <color rgb="FF808080"/>
        <rFont val="Consolas"/>
        <family val="3"/>
      </rPr>
      <t>.</t>
    </r>
    <r>
      <rPr>
        <sz val="9.5"/>
        <color rgb="FF008080"/>
        <rFont val="Consolas"/>
        <family val="3"/>
      </rPr>
      <t>[CL_FAM Rev Costs]</t>
    </r>
  </si>
  <si>
    <r>
      <t>,</t>
    </r>
    <r>
      <rPr>
        <sz val="9.5"/>
        <color rgb="FF008080"/>
        <rFont val="Consolas"/>
        <family val="3"/>
      </rPr>
      <t>#02D</t>
    </r>
    <r>
      <rPr>
        <sz val="9.5"/>
        <color rgb="FF808080"/>
        <rFont val="Consolas"/>
        <family val="3"/>
      </rPr>
      <t>.</t>
    </r>
    <r>
      <rPr>
        <sz val="9.5"/>
        <color rgb="FF008080"/>
        <rFont val="Consolas"/>
        <family val="3"/>
      </rPr>
      <t>[CL_FAS Rev Costs]</t>
    </r>
  </si>
  <si>
    <r>
      <t>,</t>
    </r>
    <r>
      <rPr>
        <sz val="9.5"/>
        <color rgb="FF008080"/>
        <rFont val="Consolas"/>
        <family val="3"/>
      </rPr>
      <t>#02D</t>
    </r>
    <r>
      <rPr>
        <sz val="9.5"/>
        <color rgb="FF808080"/>
        <rFont val="Consolas"/>
        <family val="3"/>
      </rPr>
      <t>.</t>
    </r>
    <r>
      <rPr>
        <sz val="9.5"/>
        <color rgb="FF008080"/>
        <rFont val="Consolas"/>
        <family val="3"/>
      </rPr>
      <t>[CL_FUM Rev Costs]</t>
    </r>
  </si>
  <si>
    <r>
      <t>,</t>
    </r>
    <r>
      <rPr>
        <sz val="9.5"/>
        <color rgb="FF008080"/>
        <rFont val="Consolas"/>
        <family val="3"/>
      </rPr>
      <t>#02D</t>
    </r>
    <r>
      <rPr>
        <sz val="9.5"/>
        <color rgb="FF808080"/>
        <rFont val="Consolas"/>
        <family val="3"/>
      </rPr>
      <t>.</t>
    </r>
    <r>
      <rPr>
        <sz val="9.5"/>
        <color rgb="FF008080"/>
        <rFont val="Consolas"/>
        <family val="3"/>
      </rPr>
      <t>[CL_FUS Rev Costs]</t>
    </r>
    <r>
      <rPr>
        <sz val="9.5"/>
        <color rgb="FF808080"/>
        <rFont val="Consolas"/>
        <family val="3"/>
      </rPr>
      <t>,</t>
    </r>
    <r>
      <rPr>
        <sz val="9.5"/>
        <color theme="1"/>
        <rFont val="Consolas"/>
        <family val="3"/>
      </rPr>
      <t xml:space="preserve">  </t>
    </r>
  </si>
  <si>
    <r>
      <t>CL_FAM_Limit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008080"/>
        <rFont val="Consolas"/>
        <family val="3"/>
      </rPr>
      <t>[CL_FAM]</t>
    </r>
    <r>
      <rPr>
        <sz val="9.5"/>
        <color theme="1"/>
        <rFont val="Consolas"/>
        <family val="3"/>
      </rPr>
      <t xml:space="preserve"> </t>
    </r>
    <r>
      <rPr>
        <sz val="9.5"/>
        <color rgb="FF808080"/>
        <rFont val="Consolas"/>
        <family val="3"/>
      </rPr>
      <t>=</t>
    </r>
    <r>
      <rPr>
        <sz val="9.5"/>
        <color theme="1"/>
        <rFont val="Consolas"/>
        <family val="3"/>
      </rPr>
      <t xml:space="preserve"> 0 </t>
    </r>
    <r>
      <rPr>
        <sz val="9.5"/>
        <color rgb="FF808080"/>
        <rFont val="Consolas"/>
        <family val="3"/>
      </rPr>
      <t>OR</t>
    </r>
    <r>
      <rPr>
        <sz val="9.5"/>
        <color theme="1"/>
        <rFont val="Consolas"/>
        <family val="3"/>
      </rPr>
      <t xml:space="preserve"> </t>
    </r>
    <r>
      <rPr>
        <sz val="9.5"/>
        <color rgb="FF008080"/>
        <rFont val="Consolas"/>
        <family val="3"/>
      </rPr>
      <t>[CL_FAM]</t>
    </r>
    <r>
      <rPr>
        <sz val="9.5"/>
        <color theme="1"/>
        <rFont val="Consolas"/>
        <family val="3"/>
      </rPr>
      <t xml:space="preserve"> </t>
    </r>
    <r>
      <rPr>
        <sz val="9.5"/>
        <color rgb="FF808080"/>
        <rFont val="Consolas"/>
        <family val="3"/>
      </rPr>
      <t>IS</t>
    </r>
    <r>
      <rPr>
        <sz val="9.5"/>
        <color theme="1"/>
        <rFont val="Consolas"/>
        <family val="3"/>
      </rPr>
      <t xml:space="preserve"> </t>
    </r>
    <r>
      <rPr>
        <sz val="9.5"/>
        <color rgb="FF808080"/>
        <rFont val="Consolas"/>
        <family val="3"/>
      </rPr>
      <t>NULL</t>
    </r>
    <r>
      <rPr>
        <sz val="9.5"/>
        <color theme="1"/>
        <rFont val="Consolas"/>
        <family val="3"/>
      </rPr>
      <t xml:space="preserve"> </t>
    </r>
    <r>
      <rPr>
        <sz val="9.5"/>
        <color rgb="FF0000FF"/>
        <rFont val="Consolas"/>
        <family val="3"/>
      </rPr>
      <t>THEN</t>
    </r>
    <r>
      <rPr>
        <sz val="9.5"/>
        <color theme="1"/>
        <rFont val="Consolas"/>
        <family val="3"/>
      </rPr>
      <t xml:space="preserve"> 0 </t>
    </r>
  </si>
  <si>
    <r>
      <t>ELSE</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[CL_FAM Rev Costs]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[CL_FAM]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&lt;</t>
    </r>
    <r>
      <rPr>
        <sz val="9.5"/>
        <color theme="1"/>
        <rFont val="Consolas"/>
        <family val="3"/>
      </rPr>
      <t xml:space="preserve"> 0.5</t>
    </r>
  </si>
  <si>
    <r>
      <t>THEN</t>
    </r>
    <r>
      <rPr>
        <sz val="9.5"/>
        <color theme="1"/>
        <rFont val="Consolas"/>
        <family val="3"/>
      </rPr>
      <t xml:space="preserve"> 0.5</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[CL_FAM]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</si>
  <si>
    <r>
      <t>ELSE</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[CL_FAM Rev Costs]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END</t>
    </r>
  </si>
  <si>
    <r>
      <t>END</t>
    </r>
    <r>
      <rPr>
        <sz val="9.5"/>
        <color rgb="FF808080"/>
        <rFont val="Consolas"/>
        <family val="3"/>
      </rPr>
      <t>,</t>
    </r>
  </si>
  <si>
    <r>
      <t>CL_FAS_Limit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008080"/>
        <rFont val="Consolas"/>
        <family val="3"/>
      </rPr>
      <t>[CL_FAS]</t>
    </r>
    <r>
      <rPr>
        <sz val="9.5"/>
        <color theme="1"/>
        <rFont val="Consolas"/>
        <family val="3"/>
      </rPr>
      <t xml:space="preserve"> </t>
    </r>
    <r>
      <rPr>
        <sz val="9.5"/>
        <color rgb="FF808080"/>
        <rFont val="Consolas"/>
        <family val="3"/>
      </rPr>
      <t>=</t>
    </r>
    <r>
      <rPr>
        <sz val="9.5"/>
        <color theme="1"/>
        <rFont val="Consolas"/>
        <family val="3"/>
      </rPr>
      <t xml:space="preserve"> 0 </t>
    </r>
    <r>
      <rPr>
        <sz val="9.5"/>
        <color rgb="FF808080"/>
        <rFont val="Consolas"/>
        <family val="3"/>
      </rPr>
      <t>OR</t>
    </r>
    <r>
      <rPr>
        <sz val="9.5"/>
        <color theme="1"/>
        <rFont val="Consolas"/>
        <family val="3"/>
      </rPr>
      <t xml:space="preserve"> </t>
    </r>
    <r>
      <rPr>
        <sz val="9.5"/>
        <color rgb="FF008080"/>
        <rFont val="Consolas"/>
        <family val="3"/>
      </rPr>
      <t>[CL_FAS]</t>
    </r>
    <r>
      <rPr>
        <sz val="9.5"/>
        <color theme="1"/>
        <rFont val="Consolas"/>
        <family val="3"/>
      </rPr>
      <t xml:space="preserve"> </t>
    </r>
    <r>
      <rPr>
        <sz val="9.5"/>
        <color rgb="FF808080"/>
        <rFont val="Consolas"/>
        <family val="3"/>
      </rPr>
      <t>IS</t>
    </r>
    <r>
      <rPr>
        <sz val="9.5"/>
        <color theme="1"/>
        <rFont val="Consolas"/>
        <family val="3"/>
      </rPr>
      <t xml:space="preserve"> </t>
    </r>
    <r>
      <rPr>
        <sz val="9.5"/>
        <color rgb="FF808080"/>
        <rFont val="Consolas"/>
        <family val="3"/>
      </rPr>
      <t>NULL</t>
    </r>
    <r>
      <rPr>
        <sz val="9.5"/>
        <color theme="1"/>
        <rFont val="Consolas"/>
        <family val="3"/>
      </rPr>
      <t xml:space="preserve"> </t>
    </r>
    <r>
      <rPr>
        <sz val="9.5"/>
        <color rgb="FF0000FF"/>
        <rFont val="Consolas"/>
        <family val="3"/>
      </rPr>
      <t>THEN</t>
    </r>
    <r>
      <rPr>
        <sz val="9.5"/>
        <color theme="1"/>
        <rFont val="Consolas"/>
        <family val="3"/>
      </rPr>
      <t xml:space="preserve"> 0 </t>
    </r>
  </si>
  <si>
    <r>
      <t>ELSE</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[CL_FAS Rev Costs]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[CL_FAS]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&lt;</t>
    </r>
    <r>
      <rPr>
        <sz val="9.5"/>
        <color theme="1"/>
        <rFont val="Consolas"/>
        <family val="3"/>
      </rPr>
      <t xml:space="preserve"> 0.5</t>
    </r>
  </si>
  <si>
    <r>
      <t>THEN</t>
    </r>
    <r>
      <rPr>
        <sz val="9.5"/>
        <color theme="1"/>
        <rFont val="Consolas"/>
        <family val="3"/>
      </rPr>
      <t xml:space="preserve"> 0.5</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[CL_FAS]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</si>
  <si>
    <r>
      <t>ELSE</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[CL_FAS Rev Costs]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END</t>
    </r>
  </si>
  <si>
    <r>
      <t>CL_FUM_Limit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008080"/>
        <rFont val="Consolas"/>
        <family val="3"/>
      </rPr>
      <t>[CL_FUM]</t>
    </r>
    <r>
      <rPr>
        <sz val="9.5"/>
        <color theme="1"/>
        <rFont val="Consolas"/>
        <family val="3"/>
      </rPr>
      <t xml:space="preserve"> </t>
    </r>
    <r>
      <rPr>
        <sz val="9.5"/>
        <color rgb="FF808080"/>
        <rFont val="Consolas"/>
        <family val="3"/>
      </rPr>
      <t>=</t>
    </r>
    <r>
      <rPr>
        <sz val="9.5"/>
        <color theme="1"/>
        <rFont val="Consolas"/>
        <family val="3"/>
      </rPr>
      <t xml:space="preserve"> 0 </t>
    </r>
    <r>
      <rPr>
        <sz val="9.5"/>
        <color rgb="FF808080"/>
        <rFont val="Consolas"/>
        <family val="3"/>
      </rPr>
      <t>OR</t>
    </r>
    <r>
      <rPr>
        <sz val="9.5"/>
        <color theme="1"/>
        <rFont val="Consolas"/>
        <family val="3"/>
      </rPr>
      <t xml:space="preserve"> </t>
    </r>
    <r>
      <rPr>
        <sz val="9.5"/>
        <color rgb="FF008080"/>
        <rFont val="Consolas"/>
        <family val="3"/>
      </rPr>
      <t>[CL_FUM]</t>
    </r>
    <r>
      <rPr>
        <sz val="9.5"/>
        <color theme="1"/>
        <rFont val="Consolas"/>
        <family val="3"/>
      </rPr>
      <t xml:space="preserve"> </t>
    </r>
    <r>
      <rPr>
        <sz val="9.5"/>
        <color rgb="FF808080"/>
        <rFont val="Consolas"/>
        <family val="3"/>
      </rPr>
      <t>IS</t>
    </r>
    <r>
      <rPr>
        <sz val="9.5"/>
        <color theme="1"/>
        <rFont val="Consolas"/>
        <family val="3"/>
      </rPr>
      <t xml:space="preserve"> </t>
    </r>
    <r>
      <rPr>
        <sz val="9.5"/>
        <color rgb="FF808080"/>
        <rFont val="Consolas"/>
        <family val="3"/>
      </rPr>
      <t>NULL</t>
    </r>
    <r>
      <rPr>
        <sz val="9.5"/>
        <color theme="1"/>
        <rFont val="Consolas"/>
        <family val="3"/>
      </rPr>
      <t xml:space="preserve"> </t>
    </r>
    <r>
      <rPr>
        <sz val="9.5"/>
        <color rgb="FF0000FF"/>
        <rFont val="Consolas"/>
        <family val="3"/>
      </rPr>
      <t>THEN</t>
    </r>
    <r>
      <rPr>
        <sz val="9.5"/>
        <color theme="1"/>
        <rFont val="Consolas"/>
        <family val="3"/>
      </rPr>
      <t xml:space="preserve"> 0 </t>
    </r>
  </si>
  <si>
    <r>
      <t>ELSE</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[CL_FUM Rev Costs]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[CL_FUM]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&lt;</t>
    </r>
    <r>
      <rPr>
        <sz val="9.5"/>
        <color theme="1"/>
        <rFont val="Consolas"/>
        <family val="3"/>
      </rPr>
      <t xml:space="preserve"> 0.5</t>
    </r>
  </si>
  <si>
    <r>
      <t>THEN</t>
    </r>
    <r>
      <rPr>
        <sz val="9.5"/>
        <color theme="1"/>
        <rFont val="Consolas"/>
        <family val="3"/>
      </rPr>
      <t xml:space="preserve"> 0.5</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[CL_FUM]</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</si>
  <si>
    <r>
      <t>ELSE</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[CL_FUM Rev Costs]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END</t>
    </r>
  </si>
  <si>
    <r>
      <t>CL_FUS_Limit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008080"/>
        <rFont val="Consolas"/>
        <family val="3"/>
      </rPr>
      <t>[CL_FUS]</t>
    </r>
    <r>
      <rPr>
        <sz val="9.5"/>
        <color theme="1"/>
        <rFont val="Consolas"/>
        <family val="3"/>
      </rPr>
      <t xml:space="preserve"> </t>
    </r>
    <r>
      <rPr>
        <sz val="9.5"/>
        <color rgb="FF808080"/>
        <rFont val="Consolas"/>
        <family val="3"/>
      </rPr>
      <t>=</t>
    </r>
    <r>
      <rPr>
        <sz val="9.5"/>
        <color theme="1"/>
        <rFont val="Consolas"/>
        <family val="3"/>
      </rPr>
      <t xml:space="preserve"> 0 </t>
    </r>
    <r>
      <rPr>
        <sz val="9.5"/>
        <color rgb="FF808080"/>
        <rFont val="Consolas"/>
        <family val="3"/>
      </rPr>
      <t>OR</t>
    </r>
    <r>
      <rPr>
        <sz val="9.5"/>
        <color theme="1"/>
        <rFont val="Consolas"/>
        <family val="3"/>
      </rPr>
      <t xml:space="preserve"> </t>
    </r>
    <r>
      <rPr>
        <sz val="9.5"/>
        <color rgb="FF008080"/>
        <rFont val="Consolas"/>
        <family val="3"/>
      </rPr>
      <t>[CL_FUS]</t>
    </r>
    <r>
      <rPr>
        <sz val="9.5"/>
        <color theme="1"/>
        <rFont val="Consolas"/>
        <family val="3"/>
      </rPr>
      <t xml:space="preserve"> </t>
    </r>
    <r>
      <rPr>
        <sz val="9.5"/>
        <color rgb="FF808080"/>
        <rFont val="Consolas"/>
        <family val="3"/>
      </rPr>
      <t>IS</t>
    </r>
    <r>
      <rPr>
        <sz val="9.5"/>
        <color theme="1"/>
        <rFont val="Consolas"/>
        <family val="3"/>
      </rPr>
      <t xml:space="preserve"> </t>
    </r>
    <r>
      <rPr>
        <sz val="9.5"/>
        <color rgb="FF808080"/>
        <rFont val="Consolas"/>
        <family val="3"/>
      </rPr>
      <t>NULL</t>
    </r>
    <r>
      <rPr>
        <sz val="9.5"/>
        <color theme="1"/>
        <rFont val="Consolas"/>
        <family val="3"/>
      </rPr>
      <t xml:space="preserve"> </t>
    </r>
    <r>
      <rPr>
        <sz val="9.5"/>
        <color rgb="FF0000FF"/>
        <rFont val="Consolas"/>
        <family val="3"/>
      </rPr>
      <t>THEN</t>
    </r>
    <r>
      <rPr>
        <sz val="9.5"/>
        <color theme="1"/>
        <rFont val="Consolas"/>
        <family val="3"/>
      </rPr>
      <t xml:space="preserve"> 0 </t>
    </r>
  </si>
  <si>
    <r>
      <t>ELSE</t>
    </r>
    <r>
      <rPr>
        <sz val="9.5"/>
        <color theme="1"/>
        <rFont val="Consolas"/>
        <family val="3"/>
      </rPr>
      <t xml:space="preserve"> </t>
    </r>
    <r>
      <rPr>
        <sz val="9.5"/>
        <color rgb="FF0000FF"/>
        <rFont val="Consolas"/>
        <family val="3"/>
      </rPr>
      <t>CASE</t>
    </r>
    <r>
      <rPr>
        <sz val="9.5"/>
        <color theme="1"/>
        <rFont val="Consolas"/>
        <family val="3"/>
      </rPr>
      <t xml:space="preserve"> </t>
    </r>
    <r>
      <rPr>
        <sz val="9.5"/>
        <color rgb="FF0000FF"/>
        <rFont val="Consolas"/>
        <family val="3"/>
      </rPr>
      <t>WHEN</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[CL_FUS Rev Costs]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[CL_FUS]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808080"/>
        <rFont val="Consolas"/>
        <family val="3"/>
      </rPr>
      <t>&lt;</t>
    </r>
    <r>
      <rPr>
        <sz val="9.5"/>
        <color theme="1"/>
        <rFont val="Consolas"/>
        <family val="3"/>
      </rPr>
      <t xml:space="preserve"> 0.5</t>
    </r>
  </si>
  <si>
    <r>
      <t>THEN</t>
    </r>
    <r>
      <rPr>
        <sz val="9.5"/>
        <color theme="1"/>
        <rFont val="Consolas"/>
        <family val="3"/>
      </rPr>
      <t xml:space="preserve"> 0.5</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</si>
  <si>
    <r>
      <t>ELSE</t>
    </r>
    <r>
      <rPr>
        <sz val="9.5"/>
        <color theme="1"/>
        <rFont val="Consolas"/>
        <family val="3"/>
      </rPr>
      <t xml:space="preserve"> </t>
    </r>
    <r>
      <rPr>
        <sz val="9.5"/>
        <color rgb="FFFF00FF"/>
        <rFont val="Consolas"/>
        <family val="3"/>
      </rPr>
      <t>COALESCE</t>
    </r>
    <r>
      <rPr>
        <sz val="9.5"/>
        <color rgb="FF808080"/>
        <rFont val="Consolas"/>
        <family val="3"/>
      </rPr>
      <t>(</t>
    </r>
    <r>
      <rPr>
        <sz val="9.5"/>
        <color rgb="FF008080"/>
        <rFont val="Consolas"/>
        <family val="3"/>
      </rPr>
      <t>[CL_FUS Rev Costs]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END</t>
    </r>
  </si>
  <si>
    <r>
      <t>#02D</t>
    </r>
    <r>
      <rPr>
        <sz val="9.5"/>
        <color theme="1"/>
        <rFont val="Consolas"/>
        <family val="3"/>
      </rPr>
      <t xml:space="preserve"> </t>
    </r>
  </si>
  <si>
    <r>
      <t>INNER</t>
    </r>
    <r>
      <rPr>
        <sz val="9.5"/>
        <color theme="1"/>
        <rFont val="Consolas"/>
        <family val="3"/>
      </rPr>
      <t xml:space="preserve"> </t>
    </r>
    <r>
      <rPr>
        <sz val="9.5"/>
        <color rgb="FF808080"/>
        <rFont val="Consolas"/>
        <family val="3"/>
      </rPr>
      <t>JOIN</t>
    </r>
    <r>
      <rPr>
        <sz val="9.5"/>
        <color theme="1"/>
        <rFont val="Consolas"/>
        <family val="3"/>
      </rPr>
      <t xml:space="preserve"> </t>
    </r>
    <r>
      <rPr>
        <sz val="9.5"/>
        <color rgb="FF008080"/>
        <rFont val="Consolas"/>
        <family val="3"/>
      </rPr>
      <t>[stage]</t>
    </r>
    <r>
      <rPr>
        <sz val="9.5"/>
        <color rgb="FF808080"/>
        <rFont val="Consolas"/>
        <family val="3"/>
      </rPr>
      <t>.</t>
    </r>
    <r>
      <rPr>
        <sz val="9.5"/>
        <color rgb="FF008080"/>
        <rFont val="Consolas"/>
        <family val="3"/>
      </rPr>
      <t>[OPATT_Cost_Crosstab]</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out_01a</t>
    </r>
    <r>
      <rPr>
        <sz val="9.5"/>
        <color theme="1"/>
        <rFont val="Consolas"/>
        <family val="3"/>
      </rPr>
      <t xml:space="preserve">  </t>
    </r>
  </si>
  <si>
    <r>
      <t>ON</t>
    </r>
    <r>
      <rPr>
        <sz val="9.5"/>
        <color theme="1"/>
        <rFont val="Consolas"/>
        <family val="3"/>
      </rPr>
      <t xml:space="preserve"> </t>
    </r>
    <r>
      <rPr>
        <sz val="9.5"/>
        <color rgb="FF008080"/>
        <rFont val="Consolas"/>
        <family val="3"/>
      </rPr>
      <t>#02D</t>
    </r>
    <r>
      <rPr>
        <sz val="9.5"/>
        <color rgb="FF808080"/>
        <rFont val="Consolas"/>
        <family val="3"/>
      </rPr>
      <t>.</t>
    </r>
    <r>
      <rPr>
        <sz val="9.5"/>
        <color rgb="FF008080"/>
        <rFont val="Consolas"/>
        <family val="3"/>
      </rPr>
      <t>[Tariff TFC]</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out_01a</t>
    </r>
    <r>
      <rPr>
        <sz val="9.5"/>
        <color rgb="FF808080"/>
        <rFont val="Consolas"/>
        <family val="3"/>
      </rPr>
      <t>.</t>
    </r>
    <r>
      <rPr>
        <sz val="9.5"/>
        <color rgb="FF008080"/>
        <rFont val="Consolas"/>
        <family val="3"/>
      </rPr>
      <t>[Tariff TFC]</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A</t>
    </r>
  </si>
  <si>
    <r>
      <t>SET</t>
    </r>
    <r>
      <rPr>
        <sz val="9.5"/>
        <color theme="1"/>
        <rFont val="Consolas"/>
        <family val="3"/>
      </rPr>
      <t xml:space="preserve">  </t>
    </r>
    <r>
      <rPr>
        <sz val="9.5"/>
        <color rgb="FF008080"/>
        <rFont val="Consolas"/>
        <family val="3"/>
      </rPr>
      <t>@LoggingValues</t>
    </r>
    <r>
      <rPr>
        <sz val="9.5"/>
        <color theme="1"/>
        <rFont val="Consolas"/>
        <family val="3"/>
      </rPr>
      <t xml:space="preserve"> </t>
    </r>
    <r>
      <rPr>
        <sz val="9.5"/>
        <color rgb="FF808080"/>
        <rFont val="Consolas"/>
        <family val="3"/>
      </rPr>
      <t>=</t>
    </r>
    <r>
      <rPr>
        <sz val="9.5"/>
        <color theme="1"/>
        <rFont val="Consolas"/>
        <family val="3"/>
      </rPr>
      <t xml:space="preserve"> </t>
    </r>
    <r>
      <rPr>
        <sz val="9.5"/>
        <color rgb="FFFF0000"/>
        <rFont val="Consolas"/>
        <family val="3"/>
      </rPr>
      <t>'02h: Revised Costs after top-slice'</t>
    </r>
  </si>
  <si>
    <t>--02f: Total Top-slice to be removed</t>
  </si>
  <si>
    <t>--Amounts to be top-sliced</t>
  </si>
  <si>
    <r>
      <t>Sum</t>
    </r>
    <r>
      <rPr>
        <sz val="9.5"/>
        <color rgb="FF808080"/>
        <rFont val="Consolas"/>
        <family val="3"/>
      </rPr>
      <t>(</t>
    </r>
    <r>
      <rPr>
        <sz val="9.5"/>
        <color rgb="FF008080"/>
        <rFont val="Consolas"/>
        <family val="3"/>
      </rPr>
      <t>#02e</t>
    </r>
    <r>
      <rPr>
        <sz val="9.5"/>
        <color rgb="FF808080"/>
        <rFont val="Consolas"/>
        <family val="3"/>
      </rPr>
      <t>.</t>
    </r>
    <r>
      <rPr>
        <sz val="9.5"/>
        <color rgb="FF008080"/>
        <rFont val="Consolas"/>
        <family val="3"/>
      </rPr>
      <t>[Total CL Revised Costs]</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[SumOfTotal CL Revised Costs]</t>
    </r>
    <r>
      <rPr>
        <sz val="9.5"/>
        <color rgb="FF808080"/>
        <rFont val="Consolas"/>
        <family val="3"/>
      </rPr>
      <t>,</t>
    </r>
    <r>
      <rPr>
        <sz val="9.5"/>
        <color theme="1"/>
        <rFont val="Consolas"/>
        <family val="3"/>
      </rPr>
      <t xml:space="preserve"> </t>
    </r>
  </si>
  <si>
    <r>
      <t>Sum</t>
    </r>
    <r>
      <rPr>
        <sz val="9.5"/>
        <color rgb="FF808080"/>
        <rFont val="Consolas"/>
        <family val="3"/>
      </rPr>
      <t>(</t>
    </r>
    <r>
      <rPr>
        <sz val="9.5"/>
        <color rgb="FFFF00FF"/>
        <rFont val="Consolas"/>
        <family val="3"/>
      </rPr>
      <t>abs</t>
    </r>
    <r>
      <rPr>
        <sz val="9.5"/>
        <color rgb="FF808080"/>
        <rFont val="Consolas"/>
        <family val="3"/>
      </rPr>
      <t>(</t>
    </r>
    <r>
      <rPr>
        <sz val="9.5"/>
        <color rgb="FF008080"/>
        <rFont val="Consolas"/>
        <family val="3"/>
      </rPr>
      <t>#02e</t>
    </r>
    <r>
      <rPr>
        <sz val="9.5"/>
        <color rgb="FF808080"/>
        <rFont val="Consolas"/>
        <family val="3"/>
      </rPr>
      <t>.</t>
    </r>
    <r>
      <rPr>
        <sz val="9.5"/>
        <color rgb="FF008080"/>
        <rFont val="Consolas"/>
        <family val="3"/>
      </rPr>
      <t>[Limiting_top-slice]</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Limit_TS</t>
    </r>
    <r>
      <rPr>
        <sz val="9.5"/>
        <color rgb="FF808080"/>
        <rFont val="Consolas"/>
        <family val="3"/>
      </rPr>
      <t>,</t>
    </r>
    <r>
      <rPr>
        <sz val="9.5"/>
        <color theme="1"/>
        <rFont val="Consolas"/>
        <family val="3"/>
      </rPr>
      <t xml:space="preserve"> </t>
    </r>
  </si>
  <si>
    <r>
      <t>in_05b</t>
    </r>
    <r>
      <rPr>
        <sz val="9.5"/>
        <color rgb="FF808080"/>
        <rFont val="Consolas"/>
        <family val="3"/>
      </rPr>
      <t>.</t>
    </r>
    <r>
      <rPr>
        <sz val="9.5"/>
        <color rgb="FF008080"/>
        <rFont val="Consolas"/>
        <family val="3"/>
      </rPr>
      <t>[Top-Slice]</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Additional_TS</t>
    </r>
    <r>
      <rPr>
        <sz val="9.5"/>
        <color rgb="FF808080"/>
        <rFont val="Consolas"/>
        <family val="3"/>
      </rPr>
      <t>,</t>
    </r>
    <r>
      <rPr>
        <sz val="9.5"/>
        <color theme="1"/>
        <rFont val="Consolas"/>
        <family val="3"/>
      </rPr>
      <t xml:space="preserve"> </t>
    </r>
  </si>
  <si>
    <r>
      <t>in_12a</t>
    </r>
    <r>
      <rPr>
        <sz val="9.5"/>
        <color rgb="FF808080"/>
        <rFont val="Consolas"/>
        <family val="3"/>
      </rPr>
      <t>.</t>
    </r>
    <r>
      <rPr>
        <sz val="9.5"/>
        <color rgb="FF008080"/>
        <rFont val="Consolas"/>
        <family val="3"/>
      </rPr>
      <t>[National Average]</t>
    </r>
    <r>
      <rPr>
        <sz val="9.5"/>
        <color rgb="FF808080"/>
        <rFont val="Consolas"/>
        <family val="3"/>
      </rPr>
      <t>,</t>
    </r>
    <r>
      <rPr>
        <sz val="9.5"/>
        <color theme="1"/>
        <rFont val="Consolas"/>
        <family val="3"/>
      </rPr>
      <t xml:space="preserve"> </t>
    </r>
  </si>
  <si>
    <r>
      <t>Sum</t>
    </r>
    <r>
      <rPr>
        <sz val="9.5"/>
        <color rgb="FF808080"/>
        <rFont val="Consolas"/>
        <family val="3"/>
      </rPr>
      <t>(</t>
    </r>
    <r>
      <rPr>
        <sz val="9.5"/>
        <color rgb="FFFF00FF"/>
        <rFont val="Consolas"/>
        <family val="3"/>
      </rPr>
      <t>abs</t>
    </r>
    <r>
      <rPr>
        <sz val="9.5"/>
        <color rgb="FF808080"/>
        <rFont val="Consolas"/>
        <family val="3"/>
      </rPr>
      <t>(</t>
    </r>
    <r>
      <rPr>
        <sz val="9.5"/>
        <color rgb="FF008080"/>
        <rFont val="Consolas"/>
        <family val="3"/>
      </rPr>
      <t>#02e</t>
    </r>
    <r>
      <rPr>
        <sz val="9.5"/>
        <color rgb="FF808080"/>
        <rFont val="Consolas"/>
        <family val="3"/>
      </rPr>
      <t>.</t>
    </r>
    <r>
      <rPr>
        <sz val="9.5"/>
        <color rgb="FF008080"/>
        <rFont val="Consolas"/>
        <family val="3"/>
      </rPr>
      <t>[Limiting_top-slice]</t>
    </r>
    <r>
      <rPr>
        <sz val="9.5"/>
        <color rgb="FF808080"/>
        <rFont val="Consolas"/>
        <family val="3"/>
      </rPr>
      <t>))</t>
    </r>
    <r>
      <rPr>
        <sz val="9.5"/>
        <color theme="1"/>
        <rFont val="Consolas"/>
        <family val="3"/>
      </rPr>
      <t xml:space="preserve"> </t>
    </r>
    <r>
      <rPr>
        <sz val="9.5"/>
        <color rgb="FF808080"/>
        <rFont val="Consolas"/>
        <family val="3"/>
      </rPr>
      <t>+(</t>
    </r>
    <r>
      <rPr>
        <sz val="9.5"/>
        <color rgb="FF008080"/>
        <rFont val="Consolas"/>
        <family val="3"/>
      </rPr>
      <t>in_05b</t>
    </r>
    <r>
      <rPr>
        <sz val="9.5"/>
        <color rgb="FF808080"/>
        <rFont val="Consolas"/>
        <family val="3"/>
      </rPr>
      <t>.</t>
    </r>
    <r>
      <rPr>
        <sz val="9.5"/>
        <color rgb="FF008080"/>
        <rFont val="Consolas"/>
        <family val="3"/>
      </rPr>
      <t>[Top-Slice]</t>
    </r>
    <r>
      <rPr>
        <sz val="9.5"/>
        <color rgb="FF808080"/>
        <rFont val="Consolas"/>
        <family val="3"/>
      </rPr>
      <t>/</t>
    </r>
    <r>
      <rPr>
        <sz val="9.5"/>
        <color rgb="FF008080"/>
        <rFont val="Consolas"/>
        <family val="3"/>
      </rPr>
      <t>[National Average]</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[Top-slice]</t>
    </r>
  </si>
  <si>
    <r>
      <t>into</t>
    </r>
    <r>
      <rPr>
        <sz val="9.5"/>
        <color theme="1"/>
        <rFont val="Consolas"/>
        <family val="3"/>
      </rPr>
      <t xml:space="preserve"> </t>
    </r>
    <r>
      <rPr>
        <sz val="9.5"/>
        <color rgb="FF008080"/>
        <rFont val="Consolas"/>
        <family val="3"/>
      </rPr>
      <t>#02f</t>
    </r>
  </si>
  <si>
    <r>
      <t>[input]</t>
    </r>
    <r>
      <rPr>
        <sz val="9.5"/>
        <color rgb="FF808080"/>
        <rFont val="Consolas"/>
        <family val="3"/>
      </rPr>
      <t>.</t>
    </r>
    <r>
      <rPr>
        <sz val="9.5"/>
        <color rgb="FF008080"/>
        <rFont val="Consolas"/>
        <family val="3"/>
      </rPr>
      <t>[OPATT_D&amp;D_Topslice]</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in_05b</t>
    </r>
    <r>
      <rPr>
        <sz val="9.5"/>
        <color rgb="FF808080"/>
        <rFont val="Consolas"/>
        <family val="3"/>
      </rPr>
      <t>,</t>
    </r>
    <r>
      <rPr>
        <sz val="9.5"/>
        <color theme="1"/>
        <rFont val="Consolas"/>
        <family val="3"/>
      </rPr>
      <t xml:space="preserve"> </t>
    </r>
  </si>
  <si>
    <r>
      <t>[Stage]</t>
    </r>
    <r>
      <rPr>
        <sz val="9.5"/>
        <color rgb="FF808080"/>
        <rFont val="Consolas"/>
        <family val="3"/>
      </rPr>
      <t>.</t>
    </r>
    <r>
      <rPr>
        <sz val="9.5"/>
        <color rgb="FF008080"/>
        <rFont val="Consolas"/>
        <family val="3"/>
      </rPr>
      <t>[OPATT_Nat_Avg_MFF]</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in_12a</t>
    </r>
    <r>
      <rPr>
        <sz val="9.5"/>
        <color rgb="FF808080"/>
        <rFont val="Consolas"/>
        <family val="3"/>
      </rPr>
      <t>,</t>
    </r>
  </si>
  <si>
    <r>
      <t>#02D</t>
    </r>
    <r>
      <rPr>
        <sz val="9.5"/>
        <color theme="1"/>
        <rFont val="Consolas"/>
        <family val="3"/>
      </rPr>
      <t xml:space="preserve"> </t>
    </r>
    <r>
      <rPr>
        <sz val="9.5"/>
        <color rgb="FF808080"/>
        <rFont val="Consolas"/>
        <family val="3"/>
      </rPr>
      <t>INNER</t>
    </r>
    <r>
      <rPr>
        <sz val="9.5"/>
        <color theme="1"/>
        <rFont val="Consolas"/>
        <family val="3"/>
      </rPr>
      <t xml:space="preserve"> </t>
    </r>
    <r>
      <rPr>
        <sz val="9.5"/>
        <color rgb="FF808080"/>
        <rFont val="Consolas"/>
        <family val="3"/>
      </rPr>
      <t>JOIN</t>
    </r>
    <r>
      <rPr>
        <sz val="9.5"/>
        <color theme="1"/>
        <rFont val="Consolas"/>
        <family val="3"/>
      </rPr>
      <t xml:space="preserve"> </t>
    </r>
    <r>
      <rPr>
        <sz val="9.5"/>
        <color rgb="FF008080"/>
        <rFont val="Consolas"/>
        <family val="3"/>
      </rPr>
      <t>#02e</t>
    </r>
    <r>
      <rPr>
        <sz val="9.5"/>
        <color theme="1"/>
        <rFont val="Consolas"/>
        <family val="3"/>
      </rPr>
      <t xml:space="preserve"> </t>
    </r>
    <r>
      <rPr>
        <sz val="9.5"/>
        <color rgb="FF0000FF"/>
        <rFont val="Consolas"/>
        <family val="3"/>
      </rPr>
      <t>ON</t>
    </r>
    <r>
      <rPr>
        <sz val="9.5"/>
        <color theme="1"/>
        <rFont val="Consolas"/>
        <family val="3"/>
      </rPr>
      <t xml:space="preserve"> </t>
    </r>
    <r>
      <rPr>
        <sz val="9.5"/>
        <color rgb="FF008080"/>
        <rFont val="Consolas"/>
        <family val="3"/>
      </rPr>
      <t>#02D</t>
    </r>
    <r>
      <rPr>
        <sz val="9.5"/>
        <color rgb="FF808080"/>
        <rFont val="Consolas"/>
        <family val="3"/>
      </rPr>
      <t>.</t>
    </r>
    <r>
      <rPr>
        <sz val="9.5"/>
        <color rgb="FF008080"/>
        <rFont val="Consolas"/>
        <family val="3"/>
      </rPr>
      <t>[Tariff TFC]</t>
    </r>
    <r>
      <rPr>
        <sz val="9.5"/>
        <color theme="1"/>
        <rFont val="Consolas"/>
        <family val="3"/>
      </rPr>
      <t xml:space="preserve"> </t>
    </r>
    <r>
      <rPr>
        <sz val="9.5"/>
        <color rgb="FF808080"/>
        <rFont val="Consolas"/>
        <family val="3"/>
      </rPr>
      <t>=</t>
    </r>
    <r>
      <rPr>
        <sz val="9.5"/>
        <color theme="1"/>
        <rFont val="Consolas"/>
        <family val="3"/>
      </rPr>
      <t xml:space="preserve"> </t>
    </r>
    <r>
      <rPr>
        <sz val="9.5"/>
        <color rgb="FF008080"/>
        <rFont val="Consolas"/>
        <family val="3"/>
      </rPr>
      <t>#02e</t>
    </r>
    <r>
      <rPr>
        <sz val="9.5"/>
        <color rgb="FF808080"/>
        <rFont val="Consolas"/>
        <family val="3"/>
      </rPr>
      <t>.</t>
    </r>
    <r>
      <rPr>
        <sz val="9.5"/>
        <color rgb="FF008080"/>
        <rFont val="Consolas"/>
        <family val="3"/>
      </rPr>
      <t>[Tariff TFC]</t>
    </r>
  </si>
  <si>
    <r>
      <t>GROUP</t>
    </r>
    <r>
      <rPr>
        <sz val="9.5"/>
        <color theme="1"/>
        <rFont val="Consolas"/>
        <family val="3"/>
      </rPr>
      <t xml:space="preserve"> </t>
    </r>
    <r>
      <rPr>
        <sz val="9.5"/>
        <color rgb="FF0000FF"/>
        <rFont val="Consolas"/>
        <family val="3"/>
      </rPr>
      <t>BY</t>
    </r>
    <r>
      <rPr>
        <sz val="9.5"/>
        <color theme="1"/>
        <rFont val="Consolas"/>
        <family val="3"/>
      </rPr>
      <t xml:space="preserve"> </t>
    </r>
    <r>
      <rPr>
        <sz val="9.5"/>
        <color rgb="FF008080"/>
        <rFont val="Consolas"/>
        <family val="3"/>
      </rPr>
      <t>in_05b</t>
    </r>
    <r>
      <rPr>
        <sz val="9.5"/>
        <color rgb="FF808080"/>
        <rFont val="Consolas"/>
        <family val="3"/>
      </rPr>
      <t>.</t>
    </r>
    <r>
      <rPr>
        <sz val="9.5"/>
        <color rgb="FF008080"/>
        <rFont val="Consolas"/>
        <family val="3"/>
      </rPr>
      <t>[Top-Slice]</t>
    </r>
    <r>
      <rPr>
        <sz val="9.5"/>
        <color rgb="FF808080"/>
        <rFont val="Consolas"/>
        <family val="3"/>
      </rPr>
      <t>,</t>
    </r>
    <r>
      <rPr>
        <sz val="9.5"/>
        <color theme="1"/>
        <rFont val="Consolas"/>
        <family val="3"/>
      </rPr>
      <t xml:space="preserve"> </t>
    </r>
    <r>
      <rPr>
        <sz val="9.5"/>
        <color rgb="FF008080"/>
        <rFont val="Consolas"/>
        <family val="3"/>
      </rPr>
      <t>in_12a</t>
    </r>
    <r>
      <rPr>
        <sz val="9.5"/>
        <color rgb="FF808080"/>
        <rFont val="Consolas"/>
        <family val="3"/>
      </rPr>
      <t>.</t>
    </r>
    <r>
      <rPr>
        <sz val="9.5"/>
        <color rgb="FF008080"/>
        <rFont val="Consolas"/>
        <family val="3"/>
      </rPr>
      <t>[National Average]</t>
    </r>
  </si>
  <si>
    <t>--02g: % Top-slice</t>
  </si>
  <si>
    <t>--Top-slice as a % of overall costs</t>
  </si>
  <si>
    <r>
      <t xml:space="preserve">SELECT </t>
    </r>
    <r>
      <rPr>
        <sz val="9.5"/>
        <color rgb="FF808080"/>
        <rFont val="Consolas"/>
        <family val="3"/>
      </rPr>
      <t>(</t>
    </r>
    <r>
      <rPr>
        <sz val="9.5"/>
        <color rgb="FF008080"/>
        <rFont val="Consolas"/>
        <family val="3"/>
      </rPr>
      <t>[Top-slice]</t>
    </r>
    <r>
      <rPr>
        <sz val="9.5"/>
        <color rgb="FF808080"/>
        <rFont val="Consolas"/>
        <family val="3"/>
      </rPr>
      <t>)/(</t>
    </r>
    <r>
      <rPr>
        <sz val="9.5"/>
        <color rgb="FF008080"/>
        <rFont val="Consolas"/>
        <family val="3"/>
      </rPr>
      <t>[SumofTotal CL Revised Costs]</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 Top-slice]</t>
    </r>
  </si>
  <si>
    <r>
      <t>into</t>
    </r>
    <r>
      <rPr>
        <sz val="9.5"/>
        <color theme="1"/>
        <rFont val="Consolas"/>
        <family val="3"/>
      </rPr>
      <t xml:space="preserve"> </t>
    </r>
    <r>
      <rPr>
        <sz val="9.5"/>
        <color rgb="FF008080"/>
        <rFont val="Consolas"/>
        <family val="3"/>
      </rPr>
      <t>#02g</t>
    </r>
  </si>
  <si>
    <r>
      <t>FROM</t>
    </r>
    <r>
      <rPr>
        <sz val="9.5"/>
        <color theme="1"/>
        <rFont val="Consolas"/>
        <family val="3"/>
      </rPr>
      <t xml:space="preserve"> </t>
    </r>
    <r>
      <rPr>
        <sz val="9.5"/>
        <color rgb="FF008080"/>
        <rFont val="Consolas"/>
        <family val="3"/>
      </rPr>
      <t>#02f</t>
    </r>
  </si>
  <si>
    <t>--02h: Revised Costs after top-slice</t>
  </si>
  <si>
    <t>--Revised costs following removal of D&amp;D and top-slice</t>
  </si>
  <si>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N'[output].[OPATT_FinalTariff]'</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</si>
  <si>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[output]</t>
    </r>
    <r>
      <rPr>
        <sz val="9.5"/>
        <color rgb="FF808080"/>
        <rFont val="Consolas"/>
        <family val="3"/>
      </rPr>
      <t>.</t>
    </r>
    <r>
      <rPr>
        <sz val="9.5"/>
        <color rgb="FF008080"/>
        <rFont val="Consolas"/>
        <family val="3"/>
      </rPr>
      <t>[OPATT_FinalTariff]</t>
    </r>
  </si>
  <si>
    <r>
      <t>COALESCE</t>
    </r>
    <r>
      <rPr>
        <sz val="9.5"/>
        <color rgb="FF808080"/>
        <rFont val="Consolas"/>
        <family val="3"/>
      </rPr>
      <t>(</t>
    </r>
    <r>
      <rPr>
        <sz val="9.5"/>
        <color rgb="FF008080"/>
        <rFont val="Consolas"/>
        <family val="3"/>
      </rPr>
      <t>[CL_FAM]</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[CL_FAS]</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[CL_FUM]</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[CL_FUS]</t>
    </r>
    <r>
      <rPr>
        <sz val="9.5"/>
        <color rgb="FF808080"/>
        <rFont val="Consolas"/>
        <family val="3"/>
      </rPr>
      <t>,</t>
    </r>
    <r>
      <rPr>
        <sz val="9.5"/>
        <color theme="1"/>
        <rFont val="Consolas"/>
        <family val="3"/>
      </rPr>
      <t>0</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Total_Costs</t>
    </r>
  </si>
  <si>
    <r>
      <t>into</t>
    </r>
    <r>
      <rPr>
        <sz val="9.5"/>
        <color theme="1"/>
        <rFont val="Consolas"/>
        <family val="3"/>
      </rPr>
      <t xml:space="preserve"> </t>
    </r>
    <r>
      <rPr>
        <sz val="9.5"/>
        <color rgb="FF008080"/>
        <rFont val="Consolas"/>
        <family val="3"/>
      </rPr>
      <t>[output]</t>
    </r>
    <r>
      <rPr>
        <sz val="9.5"/>
        <color rgb="FF808080"/>
        <rFont val="Consolas"/>
        <family val="3"/>
      </rPr>
      <t>.</t>
    </r>
    <r>
      <rPr>
        <sz val="9.5"/>
        <color rgb="FF008080"/>
        <rFont val="Consolas"/>
        <family val="3"/>
      </rPr>
      <t>[OPATT_FinalTariff]</t>
    </r>
  </si>
  <si>
    <r>
      <t>#02E</t>
    </r>
    <r>
      <rPr>
        <sz val="9.5"/>
        <color rgb="FF808080"/>
        <rFont val="Consolas"/>
        <family val="3"/>
      </rPr>
      <t>.</t>
    </r>
    <r>
      <rPr>
        <sz val="9.5"/>
        <color rgb="FF008080"/>
        <rFont val="Consolas"/>
        <family val="3"/>
      </rPr>
      <t>[Tariff TFC]</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</si>
  <si>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[CL_FAM_Limit]</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[CL_FAM_Limit]</t>
    </r>
    <r>
      <rPr>
        <sz val="9.5"/>
        <color rgb="FF808080"/>
        <rFont val="Consolas"/>
        <family val="3"/>
      </rPr>
      <t>,</t>
    </r>
    <r>
      <rPr>
        <sz val="9.5"/>
        <color theme="1"/>
        <rFont val="Consolas"/>
        <family val="3"/>
      </rPr>
      <t>0</t>
    </r>
    <r>
      <rPr>
        <sz val="9.5"/>
        <color rgb="FF808080"/>
        <rFont val="Consolas"/>
        <family val="3"/>
      </rPr>
      <t>)*(</t>
    </r>
    <r>
      <rPr>
        <sz val="9.5"/>
        <color rgb="FF008080"/>
        <rFont val="Consolas"/>
        <family val="3"/>
      </rPr>
      <t>[% Top-Slice]</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CL_FAM</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</si>
  <si>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[CL_FAS_Limit]</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[CL_FAS_Limit]</t>
    </r>
    <r>
      <rPr>
        <sz val="9.5"/>
        <color rgb="FF808080"/>
        <rFont val="Consolas"/>
        <family val="3"/>
      </rPr>
      <t>,</t>
    </r>
    <r>
      <rPr>
        <sz val="9.5"/>
        <color theme="1"/>
        <rFont val="Consolas"/>
        <family val="3"/>
      </rPr>
      <t>0</t>
    </r>
    <r>
      <rPr>
        <sz val="9.5"/>
        <color rgb="FF808080"/>
        <rFont val="Consolas"/>
        <family val="3"/>
      </rPr>
      <t>)*(</t>
    </r>
    <r>
      <rPr>
        <sz val="9.5"/>
        <color rgb="FF008080"/>
        <rFont val="Consolas"/>
        <family val="3"/>
      </rPr>
      <t>[% Top-Slice]</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CL_FAS</t>
    </r>
    <r>
      <rPr>
        <sz val="9.5"/>
        <color rgb="FF808080"/>
        <rFont val="Consolas"/>
        <family val="3"/>
      </rPr>
      <t>,</t>
    </r>
    <r>
      <rPr>
        <sz val="9.5"/>
        <color theme="1"/>
        <rFont val="Consolas"/>
        <family val="3"/>
      </rPr>
      <t xml:space="preserve"> </t>
    </r>
  </si>
  <si>
    <r>
      <t>COALESCE</t>
    </r>
    <r>
      <rPr>
        <sz val="9.5"/>
        <color rgb="FF808080"/>
        <rFont val="Consolas"/>
        <family val="3"/>
      </rPr>
      <t>(</t>
    </r>
    <r>
      <rPr>
        <sz val="9.5"/>
        <color rgb="FF008080"/>
        <rFont val="Consolas"/>
        <family val="3"/>
      </rPr>
      <t>[CL_FUM_Limit]</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[CL_FUM_Limit]</t>
    </r>
    <r>
      <rPr>
        <sz val="9.5"/>
        <color rgb="FF808080"/>
        <rFont val="Consolas"/>
        <family val="3"/>
      </rPr>
      <t>,</t>
    </r>
    <r>
      <rPr>
        <sz val="9.5"/>
        <color theme="1"/>
        <rFont val="Consolas"/>
        <family val="3"/>
      </rPr>
      <t>0</t>
    </r>
    <r>
      <rPr>
        <sz val="9.5"/>
        <color rgb="FF808080"/>
        <rFont val="Consolas"/>
        <family val="3"/>
      </rPr>
      <t>)*(</t>
    </r>
    <r>
      <rPr>
        <sz val="9.5"/>
        <color rgb="FF008080"/>
        <rFont val="Consolas"/>
        <family val="3"/>
      </rPr>
      <t>[% Top-Slice]</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CL_FUM</t>
    </r>
    <r>
      <rPr>
        <sz val="9.5"/>
        <color rgb="FF808080"/>
        <rFont val="Consolas"/>
        <family val="3"/>
      </rPr>
      <t>,</t>
    </r>
  </si>
  <si>
    <r>
      <t>COALESCE</t>
    </r>
    <r>
      <rPr>
        <sz val="9.5"/>
        <color rgb="FF808080"/>
        <rFont val="Consolas"/>
        <family val="3"/>
      </rPr>
      <t>(</t>
    </r>
    <r>
      <rPr>
        <sz val="9.5"/>
        <color rgb="FF008080"/>
        <rFont val="Consolas"/>
        <family val="3"/>
      </rPr>
      <t>[CL_FUS_Limit]</t>
    </r>
    <r>
      <rPr>
        <sz val="9.5"/>
        <color rgb="FF808080"/>
        <rFont val="Consolas"/>
        <family val="3"/>
      </rPr>
      <t>,</t>
    </r>
    <r>
      <rPr>
        <sz val="9.5"/>
        <color theme="1"/>
        <rFont val="Consolas"/>
        <family val="3"/>
      </rPr>
      <t>0</t>
    </r>
    <r>
      <rPr>
        <sz val="9.5"/>
        <color rgb="FF808080"/>
        <rFont val="Consolas"/>
        <family val="3"/>
      </rPr>
      <t>)-(</t>
    </r>
    <r>
      <rPr>
        <sz val="9.5"/>
        <color rgb="FFFF00FF"/>
        <rFont val="Consolas"/>
        <family val="3"/>
      </rPr>
      <t>COALESCE</t>
    </r>
    <r>
      <rPr>
        <sz val="9.5"/>
        <color rgb="FF808080"/>
        <rFont val="Consolas"/>
        <family val="3"/>
      </rPr>
      <t>(</t>
    </r>
    <r>
      <rPr>
        <sz val="9.5"/>
        <color rgb="FF008080"/>
        <rFont val="Consolas"/>
        <family val="3"/>
      </rPr>
      <t>[CL_FUS_Limit]</t>
    </r>
    <r>
      <rPr>
        <sz val="9.5"/>
        <color rgb="FF808080"/>
        <rFont val="Consolas"/>
        <family val="3"/>
      </rPr>
      <t>,</t>
    </r>
    <r>
      <rPr>
        <sz val="9.5"/>
        <color theme="1"/>
        <rFont val="Consolas"/>
        <family val="3"/>
      </rPr>
      <t>0</t>
    </r>
    <r>
      <rPr>
        <sz val="9.5"/>
        <color rgb="FF808080"/>
        <rFont val="Consolas"/>
        <family val="3"/>
      </rPr>
      <t>)*(</t>
    </r>
    <r>
      <rPr>
        <sz val="9.5"/>
        <color rgb="FF008080"/>
        <rFont val="Consolas"/>
        <family val="3"/>
      </rPr>
      <t>[% Top-Slice]</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CL_FUS</t>
    </r>
    <r>
      <rPr>
        <sz val="9.5"/>
        <color theme="1"/>
        <rFont val="Consolas"/>
        <family val="3"/>
      </rPr>
      <t xml:space="preserve"> </t>
    </r>
  </si>
  <si>
    <r>
      <t>#02E</t>
    </r>
    <r>
      <rPr>
        <sz val="9.5"/>
        <color rgb="FF808080"/>
        <rFont val="Consolas"/>
        <family val="3"/>
      </rPr>
      <t>,</t>
    </r>
    <r>
      <rPr>
        <sz val="9.5"/>
        <color theme="1"/>
        <rFont val="Consolas"/>
        <family val="3"/>
      </rPr>
      <t xml:space="preserve"> </t>
    </r>
    <r>
      <rPr>
        <sz val="9.5"/>
        <color rgb="FF008080"/>
        <rFont val="Consolas"/>
        <family val="3"/>
      </rPr>
      <t>#02g</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AS</t>
    </r>
    <r>
      <rPr>
        <sz val="9.5"/>
        <color theme="1"/>
        <rFont val="Consolas"/>
        <family val="3"/>
      </rPr>
      <t xml:space="preserve"> </t>
    </r>
    <r>
      <rPr>
        <sz val="9.5"/>
        <color rgb="FF008080"/>
        <rFont val="Consolas"/>
        <family val="3"/>
      </rPr>
      <t>A</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</si>
  <si>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N'#_01B'</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</si>
  <si>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#_01B</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</si>
  <si>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N'#01D'</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</si>
  <si>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#01D</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</si>
  <si>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N'#_01a'</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</si>
  <si>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#_01a</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</si>
  <si>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N'#02C'</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</si>
  <si>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#02C</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</si>
  <si>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N'#02D'</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</si>
  <si>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#02D</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</si>
  <si>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N'#02E'</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</si>
  <si>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#02E</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</si>
  <si>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N'#_02a'</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</si>
  <si>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#_02a</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</si>
  <si>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N'#_02b'</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</si>
  <si>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#_02b</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</si>
  <si>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N'#02f'</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</si>
  <si>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#02f</t>
    </r>
  </si>
  <si>
    <r>
      <t>IF</t>
    </r>
    <r>
      <rPr>
        <sz val="9.5"/>
        <color theme="1"/>
        <rFont val="Consolas"/>
        <family val="3"/>
      </rPr>
      <t xml:space="preserve">  </t>
    </r>
    <r>
      <rPr>
        <sz val="9.5"/>
        <color rgb="FF808080"/>
        <rFont val="Consolas"/>
        <family val="3"/>
      </rPr>
      <t>EXISTS</t>
    </r>
    <r>
      <rPr>
        <sz val="9.5"/>
        <color rgb="FF0000FF"/>
        <rFont val="Consolas"/>
        <family val="3"/>
      </rPr>
      <t xml:space="preserve"> </t>
    </r>
    <r>
      <rPr>
        <sz val="9.5"/>
        <color rgb="FF808080"/>
        <rFont val="Consolas"/>
        <family val="3"/>
      </rPr>
      <t>(</t>
    </r>
    <r>
      <rPr>
        <sz val="9.5"/>
        <color rgb="FF0000FF"/>
        <rFont val="Consolas"/>
        <family val="3"/>
      </rPr>
      <t>SELECT</t>
    </r>
    <r>
      <rPr>
        <sz val="9.5"/>
        <color theme="1"/>
        <rFont val="Consolas"/>
        <family val="3"/>
      </rPr>
      <t xml:space="preserve"> </t>
    </r>
    <r>
      <rPr>
        <sz val="9.5"/>
        <color rgb="FF808080"/>
        <rFont val="Consolas"/>
        <family val="3"/>
      </rPr>
      <t>*</t>
    </r>
    <r>
      <rPr>
        <sz val="9.5"/>
        <color theme="1"/>
        <rFont val="Consolas"/>
        <family val="3"/>
      </rPr>
      <t xml:space="preserve"> </t>
    </r>
    <r>
      <rPr>
        <sz val="9.5"/>
        <color rgb="FF0000FF"/>
        <rFont val="Consolas"/>
        <family val="3"/>
      </rPr>
      <t>FROM</t>
    </r>
    <r>
      <rPr>
        <sz val="9.5"/>
        <color theme="1"/>
        <rFont val="Consolas"/>
        <family val="3"/>
      </rPr>
      <t xml:space="preserve"> </t>
    </r>
    <r>
      <rPr>
        <sz val="9.5"/>
        <color rgb="FF008000"/>
        <rFont val="Consolas"/>
        <family val="3"/>
      </rPr>
      <t>sys</t>
    </r>
    <r>
      <rPr>
        <sz val="9.5"/>
        <color rgb="FF808080"/>
        <rFont val="Consolas"/>
        <family val="3"/>
      </rPr>
      <t>.</t>
    </r>
    <r>
      <rPr>
        <sz val="9.5"/>
        <color rgb="FF008000"/>
        <rFont val="Consolas"/>
        <family val="3"/>
      </rPr>
      <t>objects</t>
    </r>
    <r>
      <rPr>
        <sz val="9.5"/>
        <color theme="1"/>
        <rFont val="Consolas"/>
        <family val="3"/>
      </rPr>
      <t xml:space="preserve"> </t>
    </r>
    <r>
      <rPr>
        <sz val="9.5"/>
        <color rgb="FF0000FF"/>
        <rFont val="Consolas"/>
        <family val="3"/>
      </rPr>
      <t>WHERE</t>
    </r>
    <r>
      <rPr>
        <sz val="9.5"/>
        <color theme="1"/>
        <rFont val="Consolas"/>
        <family val="3"/>
      </rPr>
      <t xml:space="preserve"> </t>
    </r>
    <r>
      <rPr>
        <sz val="9.5"/>
        <color rgb="FFFF00FF"/>
        <rFont val="Consolas"/>
        <family val="3"/>
      </rPr>
      <t>object_id</t>
    </r>
    <r>
      <rPr>
        <sz val="9.5"/>
        <color theme="1"/>
        <rFont val="Consolas"/>
        <family val="3"/>
      </rPr>
      <t xml:space="preserve"> </t>
    </r>
    <r>
      <rPr>
        <sz val="9.5"/>
        <color rgb="FF808080"/>
        <rFont val="Consolas"/>
        <family val="3"/>
      </rPr>
      <t>=</t>
    </r>
    <r>
      <rPr>
        <sz val="9.5"/>
        <color theme="1"/>
        <rFont val="Consolas"/>
        <family val="3"/>
      </rPr>
      <t xml:space="preserve"> </t>
    </r>
    <r>
      <rPr>
        <sz val="9.5"/>
        <color rgb="FFFF00FF"/>
        <rFont val="Consolas"/>
        <family val="3"/>
      </rPr>
      <t>OBJECT_ID</t>
    </r>
    <r>
      <rPr>
        <sz val="9.5"/>
        <color rgb="FF808080"/>
        <rFont val="Consolas"/>
        <family val="3"/>
      </rPr>
      <t>(</t>
    </r>
    <r>
      <rPr>
        <sz val="9.5"/>
        <color rgb="FFFF0000"/>
        <rFont val="Consolas"/>
        <family val="3"/>
      </rPr>
      <t>N'#02g'</t>
    </r>
    <r>
      <rPr>
        <sz val="9.5"/>
        <color rgb="FF808080"/>
        <rFont val="Consolas"/>
        <family val="3"/>
      </rPr>
      <t>)</t>
    </r>
    <r>
      <rPr>
        <sz val="9.5"/>
        <color theme="1"/>
        <rFont val="Consolas"/>
        <family val="3"/>
      </rPr>
      <t xml:space="preserve"> </t>
    </r>
    <r>
      <rPr>
        <sz val="9.5"/>
        <color rgb="FF808080"/>
        <rFont val="Consolas"/>
        <family val="3"/>
      </rPr>
      <t>AND</t>
    </r>
    <r>
      <rPr>
        <sz val="9.5"/>
        <color theme="1"/>
        <rFont val="Consolas"/>
        <family val="3"/>
      </rPr>
      <t xml:space="preserve"> </t>
    </r>
    <r>
      <rPr>
        <sz val="9.5"/>
        <color rgb="FF0000FF"/>
        <rFont val="Consolas"/>
        <family val="3"/>
      </rPr>
      <t>type</t>
    </r>
    <r>
      <rPr>
        <sz val="9.5"/>
        <color theme="1"/>
        <rFont val="Consolas"/>
        <family val="3"/>
      </rPr>
      <t xml:space="preserve"> </t>
    </r>
    <r>
      <rPr>
        <sz val="9.5"/>
        <color rgb="FF808080"/>
        <rFont val="Consolas"/>
        <family val="3"/>
      </rPr>
      <t>in</t>
    </r>
    <r>
      <rPr>
        <sz val="9.5"/>
        <color rgb="FF0000FF"/>
        <rFont val="Consolas"/>
        <family val="3"/>
      </rPr>
      <t xml:space="preserve"> </t>
    </r>
    <r>
      <rPr>
        <sz val="9.5"/>
        <color rgb="FF808080"/>
        <rFont val="Consolas"/>
        <family val="3"/>
      </rPr>
      <t>(</t>
    </r>
    <r>
      <rPr>
        <sz val="9.5"/>
        <color rgb="FFFF0000"/>
        <rFont val="Consolas"/>
        <family val="3"/>
      </rPr>
      <t>N'U'</t>
    </r>
    <r>
      <rPr>
        <sz val="9.5"/>
        <color rgb="FF808080"/>
        <rFont val="Consolas"/>
        <family val="3"/>
      </rPr>
      <t>))</t>
    </r>
  </si>
  <si>
    <r>
      <t>DROP</t>
    </r>
    <r>
      <rPr>
        <sz val="9.5"/>
        <color theme="1"/>
        <rFont val="Consolas"/>
        <family val="3"/>
      </rPr>
      <t xml:space="preserve"> </t>
    </r>
    <r>
      <rPr>
        <sz val="9.5"/>
        <color rgb="FF0000FF"/>
        <rFont val="Consolas"/>
        <family val="3"/>
      </rPr>
      <t>TABLE</t>
    </r>
    <r>
      <rPr>
        <sz val="9.5"/>
        <color theme="1"/>
        <rFont val="Consolas"/>
        <family val="3"/>
      </rPr>
      <t xml:space="preserve"> </t>
    </r>
    <r>
      <rPr>
        <sz val="9.5"/>
        <color rgb="FF008080"/>
        <rFont val="Consolas"/>
        <family val="3"/>
      </rPr>
      <t>#02g</t>
    </r>
  </si>
  <si>
    <t>end</t>
  </si>
  <si>
    <t>Reference costs data</t>
  </si>
  <si>
    <t>Prices</t>
  </si>
  <si>
    <t xml:space="preserve">WF01B
First Attendance - Single Professional </t>
  </si>
  <si>
    <t xml:space="preserve">WF02B
First Attendance - Multi Professional </t>
  </si>
  <si>
    <t xml:space="preserve">WF01A
Follow Up Attendance - Single Professional </t>
  </si>
  <si>
    <t xml:space="preserve">WF02A
Follow Up Attendance - Multi Professional </t>
  </si>
  <si>
    <t>Output for BPT</t>
  </si>
  <si>
    <r>
      <t xml:space="preserve">WF01B
</t>
    </r>
    <r>
      <rPr>
        <i/>
        <sz val="10"/>
        <rFont val="Calibri"/>
        <family val="2"/>
        <scheme val="minor"/>
      </rPr>
      <t>First Attendance - Single Professional</t>
    </r>
  </si>
  <si>
    <r>
      <t xml:space="preserve">WF02B
</t>
    </r>
    <r>
      <rPr>
        <i/>
        <sz val="10"/>
        <rFont val="Calibri"/>
        <family val="2"/>
        <scheme val="minor"/>
      </rPr>
      <t>First Attendance - Multi Professional</t>
    </r>
  </si>
  <si>
    <r>
      <t xml:space="preserve">WF01A
</t>
    </r>
    <r>
      <rPr>
        <i/>
        <sz val="10"/>
        <rFont val="Calibri"/>
        <family val="2"/>
        <scheme val="minor"/>
      </rPr>
      <t>Follow Up Attendance - Single Professional</t>
    </r>
  </si>
  <si>
    <r>
      <t xml:space="preserve">WF02A
</t>
    </r>
    <r>
      <rPr>
        <i/>
        <sz val="10"/>
        <rFont val="Calibri"/>
        <family val="2"/>
        <scheme val="minor"/>
      </rPr>
      <t>Follow Up Attendance - Multi Professional</t>
    </r>
  </si>
  <si>
    <r>
      <t xml:space="preserve">WF01B
</t>
    </r>
    <r>
      <rPr>
        <i/>
        <sz val="10"/>
        <rFont val="Calibri"/>
        <family val="2"/>
        <scheme val="minor"/>
      </rPr>
      <t>First Attendance - Single Professional (£)</t>
    </r>
  </si>
  <si>
    <r>
      <t xml:space="preserve">WF02B
</t>
    </r>
    <r>
      <rPr>
        <i/>
        <sz val="10"/>
        <rFont val="Calibri"/>
        <family val="2"/>
        <scheme val="minor"/>
      </rPr>
      <t>First Attendance - Multi Professional (£)</t>
    </r>
  </si>
  <si>
    <r>
      <t xml:space="preserve">WF01A
</t>
    </r>
    <r>
      <rPr>
        <i/>
        <sz val="10"/>
        <rFont val="Calibri"/>
        <family val="2"/>
        <scheme val="minor"/>
      </rPr>
      <t>Follow Up Attendance - Single Professional (£)</t>
    </r>
  </si>
  <si>
    <r>
      <t xml:space="preserve">WF02A
</t>
    </r>
    <r>
      <rPr>
        <i/>
        <sz val="10"/>
        <rFont val="Calibri"/>
        <family val="2"/>
        <scheme val="minor"/>
      </rPr>
      <t>Follow Up Attendance - Multi Professional (£)</t>
    </r>
  </si>
  <si>
    <t>Total quantum pre QR1</t>
  </si>
  <si>
    <t>This tab displays the comparison between final 16/17 prices with 15/16 final prices</t>
  </si>
  <si>
    <t xml:space="preserve">Treatment function description </t>
  </si>
  <si>
    <t>1 &gt;&gt;Prices</t>
  </si>
  <si>
    <t>3 &gt;&gt; SQL inputs</t>
  </si>
  <si>
    <t>This worksheet has the non-mandatory OPROC HRGs to rebundled into OPATT
- Table [output].[09NonMandHRGOPATT] has the non-mandatory OPROC HRGs
- Table [Stage].[OPROC_National_Data] has all OPROC HRGs without rebundled diagnostic imaging and Uplift figures
- Table 'Exclusions' has the OPROC HRGs which should not be rebundled into OPATT</t>
  </si>
  <si>
    <t>This worksheet displays the price adjustments applied to the tariff (inflation, efficiency, CNST, quantum reconciliation, etc.)</t>
  </si>
  <si>
    <t>Apply various adjustments including low volume, zero volume, FA not less than FU, etc. and uplifts.</t>
  </si>
  <si>
    <t>We use a chain linking the post adjustments for joining the efficiency and inflation adjustment together from 2015/16 onwards (this is a slight methodological change from the 13/14 DH method).</t>
  </si>
  <si>
    <t>2016-17 tariff - outpatient attendances  - Post manual adjustment prices</t>
  </si>
  <si>
    <t>2016-17 tariff - outpatient attendances - Pre manual adjustment prices</t>
  </si>
  <si>
    <t>2016-17 National tariff proposals: Calculation model OPATT</t>
  </si>
</sst>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41" formatCode="_-* #,##0_-;\-* #,##0_-;_-* &quot;-&quot;_-;_-@_-"/>
    <numFmt numFmtId="44" formatCode="_-&quot;£&quot;* #,##0.00_-;\-&quot;£&quot;* #,##0.00_-;_-&quot;£&quot;* &quot;-&quot;??_-;_-@_-"/>
    <numFmt numFmtId="43" formatCode="_-* #,##0.00_-;\-* #,##0.00_-;_-* &quot;-&quot;??_-;_-@_-"/>
    <numFmt numFmtId="164" formatCode="#,##0_ ;\-#,##0\ "/>
    <numFmt numFmtId="165" formatCode="0.0%"/>
    <numFmt numFmtId="166" formatCode="0_ ;\-0\ "/>
    <numFmt numFmtId="167" formatCode="_-* #,##0_-;\-* #,##0_-;_-* &quot;-&quot;??_-;_-@_-"/>
    <numFmt numFmtId="168" formatCode="0.000%"/>
    <numFmt numFmtId="169" formatCode="#,##0.00%\ ;\-#,##0.00%;&quot;-&quot;\ "/>
    <numFmt numFmtId="170" formatCode="#,##0.0%\ ;\-#,##0.0%;&quot;-&quot;\ "/>
    <numFmt numFmtId="171" formatCode="#,##0_);[Red]\(#,##0\);&quot;-&quot;_);[Blue]&quot;Error-&quot;@"/>
    <numFmt numFmtId="172" formatCode="#,##0.0_);[Red]\(#,##0.0\);&quot;-&quot;_);[Blue]&quot;Error-&quot;@"/>
    <numFmt numFmtId="173" formatCode="#,##0.00_);[Red]\(#,##0.00\);&quot;-&quot;_);[Blue]&quot;Error-&quot;@"/>
    <numFmt numFmtId="174" formatCode="&quot;£&quot;* #,##0_);[Red]&quot;£&quot;* \(#,##0\);&quot;£&quot;* &quot;-&quot;_);[Blue]&quot;Error-&quot;@"/>
    <numFmt numFmtId="175" formatCode="&quot;£&quot;* #,##0.0_);[Red]&quot;£&quot;* \(#,##0.0\);&quot;£&quot;* &quot;-&quot;_);[Blue]&quot;Error-&quot;@"/>
    <numFmt numFmtId="176" formatCode="&quot;£&quot;* #,##0.00_);[Red]&quot;£&quot;* \(#,##0.00\);&quot;£&quot;* &quot;-&quot;_);[Blue]&quot;Error-&quot;@"/>
    <numFmt numFmtId="177" formatCode="dd\ mmm\ yyyy_)"/>
    <numFmt numFmtId="178" formatCode="dd/mm/yy_)"/>
    <numFmt numFmtId="179" formatCode="0%_);[Red]\-0%_);0%_);[Blue]&quot;Error-&quot;@"/>
    <numFmt numFmtId="180" formatCode="0.0%_);[Red]\-0.0%_);0.0%_);[Blue]&quot;Error-&quot;@"/>
    <numFmt numFmtId="181" formatCode="0.00%_);[Red]\-0.00%_);0.00%_);[Blue]&quot;Error-&quot;@"/>
    <numFmt numFmtId="182" formatCode="000"/>
    <numFmt numFmtId="183" formatCode="#,##0.0_);\(#,##0.0\)"/>
    <numFmt numFmtId="184" formatCode="#,##0;\(#,##0\)"/>
    <numFmt numFmtId="185" formatCode="#,##0;\-#,##0;\-"/>
    <numFmt numFmtId="186" formatCode="_(* #,##0.00_);_(* \(#,##0.00\);_(* &quot;-&quot;??_);_(@_)"/>
    <numFmt numFmtId="187" formatCode="_(&quot;£&quot;* #,##0.00_);_(&quot;£&quot;* \(#,##0.00\);_(&quot;£&quot;* &quot;-&quot;??_);_(@_)"/>
    <numFmt numFmtId="188" formatCode="#,##0\ ;\(#,##0\)\ ;\ &quot;-&quot;"/>
    <numFmt numFmtId="189" formatCode="mmm\ \-\ yy"/>
    <numFmt numFmtId="190" formatCode="* #,##0\ ;* \(#,##0\);* &quot; - &quot;;* @\ "/>
    <numFmt numFmtId="191" formatCode="_([$€]* #,##0.00_);_([$€]* \(#,##0.00\);_([$€]* &quot;-&quot;??_);_(@_)"/>
    <numFmt numFmtId="192" formatCode="[Magenta]&quot;Err&quot;;[Magenta]&quot;Err&quot;;[Blue]&quot;OK&quot;"/>
    <numFmt numFmtId="193" formatCode="General\ &quot;.&quot;"/>
    <numFmt numFmtId="194" formatCode="#,##0_);[Red]\(#,##0\);\-_)"/>
    <numFmt numFmtId="195" formatCode="0.0_)%;[Red]\(0.0%\);0.0_)%"/>
    <numFmt numFmtId="196" formatCode="#,##0;[Red]\(#,##0\)"/>
    <numFmt numFmtId="197" formatCode="0.00%;\(0.00%\)"/>
    <numFmt numFmtId="198" formatCode="#,##0;\-#,##0.00_-;&quot;-&quot;"/>
    <numFmt numFmtId="199" formatCode="#,##0,;\(#,##0,\);\-;@"/>
    <numFmt numFmtId="200" formatCode="0.00_)"/>
    <numFmt numFmtId="201" formatCode="_-[$€-2]* #,##0.00_-;\-[$€-2]* #,##0.00_-;_-[$€-2]* &quot;-&quot;??_-"/>
    <numFmt numFmtId="202" formatCode="#,##0;\(#,##0\);\-;@"/>
    <numFmt numFmtId="203" formatCode="\+\ #,##0.0_);\-\ #,##0.0_)"/>
    <numFmt numFmtId="204" formatCode="#,##0.0,,;\-#,##0.0,,;\-"/>
    <numFmt numFmtId="205" formatCode="#,##0,;\-#,##0,;\-"/>
    <numFmt numFmtId="206" formatCode="0.0%;\-0.0%;\-"/>
    <numFmt numFmtId="207" formatCode="#,##0&quot;,000&quot;;\-#,##0&quot;,000&quot;;\-"/>
    <numFmt numFmtId="208" formatCode="#,##0.0,,;\-#,##0.0,,"/>
    <numFmt numFmtId="209" formatCode="#,##0,;\-#,##0,"/>
    <numFmt numFmtId="210" formatCode="&quot;Val &quot;0"/>
    <numFmt numFmtId="211" formatCode="#,##0.000000_ ;\-#,##0.000000\ "/>
    <numFmt numFmtId="212" formatCode="_(&quot;$&quot;* #,##0.00_);_(&quot;$&quot;* \(#,##0.00\);_(&quot;$&quot;* &quot;-&quot;??_);_(@_)"/>
    <numFmt numFmtId="213" formatCode="0.000000000"/>
    <numFmt numFmtId="214" formatCode="#,##0.00_ ;\-#,##0.00\ "/>
  </numFmts>
  <fonts count="153">
    <font>
      <sz val="11"/>
      <color theme="1"/>
      <name val="Calibri"/>
      <family val="2"/>
      <scheme val="minor"/>
    </font>
    <font>
      <sz val="10"/>
      <name val="Arial"/>
      <family val="2"/>
    </font>
    <font>
      <sz val="10"/>
      <name val="Arial"/>
      <family val="2"/>
    </font>
    <font>
      <b/>
      <u/>
      <sz val="10"/>
      <name val="Arial"/>
      <family val="2"/>
    </font>
    <font>
      <b/>
      <u/>
      <sz val="8"/>
      <name val="Arial"/>
      <family val="2"/>
    </font>
    <font>
      <sz val="8"/>
      <name val="Arial"/>
      <family val="2"/>
    </font>
    <font>
      <u/>
      <sz val="10"/>
      <color indexed="12"/>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b/>
      <sz val="11"/>
      <color theme="1"/>
      <name val="Calibri"/>
      <family val="2"/>
      <scheme val="minor"/>
    </font>
    <font>
      <b/>
      <sz val="8"/>
      <name val="Arial"/>
      <family val="2"/>
    </font>
    <font>
      <sz val="10"/>
      <color theme="1"/>
      <name val="Calibri"/>
      <family val="2"/>
      <scheme val="minor"/>
    </font>
    <font>
      <b/>
      <sz val="12"/>
      <name val="Arial"/>
      <family val="2"/>
    </font>
    <font>
      <sz val="12"/>
      <name val="Arial"/>
      <family val="2"/>
    </font>
    <font>
      <sz val="10"/>
      <color indexed="8"/>
      <name val="Arial"/>
      <family val="2"/>
    </font>
    <font>
      <u/>
      <sz val="11"/>
      <color theme="10"/>
      <name val="Calibri"/>
      <family val="2"/>
      <scheme val="minor"/>
    </font>
    <font>
      <sz val="10"/>
      <name val="Arial"/>
      <family val="2"/>
    </font>
    <font>
      <u/>
      <sz val="10"/>
      <color theme="10"/>
      <name val="Arial"/>
      <family val="2"/>
    </font>
    <font>
      <u/>
      <sz val="12"/>
      <color theme="10"/>
      <name val="Arial"/>
      <family val="2"/>
    </font>
    <font>
      <sz val="12"/>
      <color theme="1"/>
      <name val="Arial"/>
      <family val="2"/>
    </font>
    <font>
      <b/>
      <sz val="10"/>
      <name val="Arial"/>
      <family val="2"/>
    </font>
    <font>
      <sz val="10"/>
      <name val="Arial"/>
      <family val="2"/>
    </font>
    <font>
      <sz val="10"/>
      <name val="Arial"/>
      <family val="2"/>
    </font>
    <font>
      <sz val="10"/>
      <name val="Arial"/>
      <family val="2"/>
    </font>
    <font>
      <sz val="10"/>
      <color theme="1"/>
      <name val="Arial"/>
      <family val="2"/>
    </font>
    <font>
      <sz val="10"/>
      <name val="Arial"/>
      <family val="2"/>
    </font>
    <font>
      <b/>
      <sz val="8"/>
      <color theme="1"/>
      <name val="Arial"/>
      <family val="2"/>
    </font>
    <font>
      <sz val="8"/>
      <color theme="1"/>
      <name val="Arial"/>
      <family val="2"/>
    </font>
    <font>
      <sz val="16"/>
      <color theme="3"/>
      <name val="Calibri"/>
      <family val="2"/>
      <scheme val="minor"/>
    </font>
    <font>
      <b/>
      <i/>
      <sz val="10"/>
      <color theme="1"/>
      <name val="Calibri"/>
      <family val="2"/>
      <scheme val="minor"/>
    </font>
    <font>
      <i/>
      <sz val="10"/>
      <color theme="1"/>
      <name val="Calibri"/>
      <family val="2"/>
      <scheme val="minor"/>
    </font>
    <font>
      <b/>
      <sz val="10"/>
      <color theme="1"/>
      <name val="Calibri"/>
      <family val="2"/>
      <scheme val="minor"/>
    </font>
    <font>
      <sz val="10"/>
      <color rgb="FF00B050"/>
      <name val="Calibri"/>
      <family val="2"/>
      <scheme val="minor"/>
    </font>
    <font>
      <sz val="10"/>
      <name val="Calibri"/>
      <family val="2"/>
      <scheme val="minor"/>
    </font>
    <font>
      <sz val="9"/>
      <name val="Arial"/>
      <family val="2"/>
    </font>
    <font>
      <i/>
      <sz val="8"/>
      <color indexed="62"/>
      <name val="Arial"/>
      <family val="2"/>
    </font>
    <font>
      <sz val="8"/>
      <color indexed="20"/>
      <name val="Arial"/>
      <family val="2"/>
    </font>
    <font>
      <sz val="9"/>
      <color indexed="8"/>
      <name val="Arial"/>
      <family val="2"/>
    </font>
    <font>
      <sz val="7"/>
      <name val="Arial"/>
      <family val="2"/>
    </font>
    <font>
      <sz val="10"/>
      <name val="Helv"/>
      <family val="2"/>
    </font>
    <font>
      <sz val="10"/>
      <name val="Geneva"/>
    </font>
    <font>
      <sz val="12"/>
      <name val="Times New Roman"/>
      <family val="1"/>
    </font>
    <font>
      <sz val="10"/>
      <color indexed="8"/>
      <name val="MS Sans Serif"/>
      <family val="2"/>
    </font>
    <font>
      <b/>
      <sz val="12"/>
      <color indexed="63"/>
      <name val="Arial"/>
      <family val="2"/>
    </font>
    <font>
      <b/>
      <sz val="9"/>
      <color indexed="63"/>
      <name val="Arial"/>
      <family val="2"/>
    </font>
    <font>
      <b/>
      <sz val="11"/>
      <color indexed="28"/>
      <name val="Arial"/>
      <family val="2"/>
    </font>
    <font>
      <i/>
      <sz val="8"/>
      <color indexed="8"/>
      <name val="Arial"/>
      <family val="2"/>
    </font>
    <font>
      <sz val="10.5"/>
      <name val="Times New Roman"/>
      <family val="1"/>
    </font>
    <font>
      <b/>
      <sz val="8.5"/>
      <name val="Times New Roman"/>
      <family val="1"/>
    </font>
    <font>
      <b/>
      <sz val="10"/>
      <color indexed="18"/>
      <name val="MS Sans Serif"/>
      <family val="2"/>
    </font>
    <font>
      <sz val="12"/>
      <color indexed="8"/>
      <name val="Arial"/>
      <family val="2"/>
    </font>
    <font>
      <sz val="10"/>
      <name val="Tahoma"/>
      <family val="2"/>
    </font>
    <font>
      <sz val="11"/>
      <name val="Arial"/>
      <family val="2"/>
    </font>
    <font>
      <sz val="11"/>
      <name val="Times New Roman"/>
      <family val="1"/>
    </font>
    <font>
      <sz val="11"/>
      <name val="Book Antiqua"/>
      <family val="1"/>
    </font>
    <font>
      <b/>
      <sz val="8"/>
      <color indexed="12"/>
      <name val="Arial"/>
      <family val="2"/>
    </font>
    <font>
      <b/>
      <sz val="12"/>
      <color indexed="8"/>
      <name val="Arial"/>
      <family val="2"/>
    </font>
    <font>
      <b/>
      <sz val="10.5"/>
      <color indexed="8"/>
      <name val="Arial"/>
      <family val="2"/>
    </font>
    <font>
      <sz val="10"/>
      <color indexed="12"/>
      <name val="Arial"/>
      <family val="2"/>
    </font>
    <font>
      <b/>
      <sz val="9"/>
      <color theme="0"/>
      <name val="Arial"/>
      <family val="2"/>
    </font>
    <font>
      <b/>
      <sz val="11"/>
      <name val="Arial"/>
      <family val="2"/>
    </font>
    <font>
      <b/>
      <sz val="11"/>
      <color indexed="10"/>
      <name val="Arial"/>
      <family val="2"/>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b/>
      <sz val="12"/>
      <color indexed="12"/>
      <name val="Arial"/>
      <family val="2"/>
    </font>
    <font>
      <u/>
      <sz val="8"/>
      <color theme="10"/>
      <name val="Arial"/>
      <family val="2"/>
    </font>
    <font>
      <u/>
      <sz val="11"/>
      <color theme="10"/>
      <name val="Calibri"/>
      <family val="2"/>
    </font>
    <font>
      <sz val="10"/>
      <color indexed="24"/>
      <name val="Arial"/>
      <family val="2"/>
    </font>
    <font>
      <sz val="7"/>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b/>
      <u val="singleAccounting"/>
      <sz val="9"/>
      <color theme="0"/>
      <name val="Arial"/>
      <family val="2"/>
    </font>
    <font>
      <sz val="11"/>
      <name val="Univers 45 Light"/>
      <family val="2"/>
    </font>
    <font>
      <sz val="8"/>
      <color indexed="10"/>
      <name val="Arial"/>
      <family val="2"/>
    </font>
    <font>
      <b/>
      <i/>
      <sz val="16"/>
      <name val="Helv"/>
    </font>
    <font>
      <sz val="12"/>
      <color theme="1"/>
      <name val="Calibri"/>
      <family val="2"/>
      <scheme val="minor"/>
    </font>
    <font>
      <sz val="10"/>
      <name val="Times New Roman"/>
      <family val="1"/>
    </font>
    <font>
      <sz val="7"/>
      <color theme="1"/>
      <name val="Arial"/>
      <family val="2"/>
    </font>
    <font>
      <sz val="6"/>
      <name val="Arial"/>
      <family val="2"/>
    </font>
    <font>
      <sz val="8"/>
      <name val="Tahoma"/>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9"/>
      <name val="Tahoma"/>
      <family val="2"/>
    </font>
    <font>
      <b/>
      <u/>
      <sz val="11"/>
      <name val="Arial"/>
      <family val="2"/>
    </font>
    <font>
      <b/>
      <i/>
      <sz val="11"/>
      <name val="Arial"/>
      <family val="2"/>
    </font>
    <font>
      <sz val="8.5"/>
      <name val="Times New Roman"/>
      <family val="1"/>
    </font>
    <font>
      <i/>
      <sz val="8.5"/>
      <name val="Times New Roman"/>
      <family val="1"/>
    </font>
    <font>
      <b/>
      <sz val="10.5"/>
      <name val="Times New Roman"/>
      <family val="1"/>
    </font>
    <font>
      <b/>
      <sz val="8"/>
      <name val="Times New Roman"/>
      <family val="1"/>
    </font>
    <font>
      <b/>
      <i/>
      <sz val="10.5"/>
      <name val="Times New Roman"/>
      <family val="1"/>
    </font>
    <font>
      <i/>
      <sz val="10.5"/>
      <name val="Times New Roman"/>
      <family val="1"/>
    </font>
    <font>
      <i/>
      <sz val="8.5"/>
      <color indexed="10"/>
      <name val="Times New Roman"/>
      <family val="1"/>
    </font>
    <font>
      <sz val="8.5"/>
      <color indexed="10"/>
      <name val="Times New Roman"/>
      <family val="1"/>
    </font>
    <font>
      <b/>
      <sz val="16"/>
      <color indexed="9"/>
      <name val="Arial"/>
      <family val="2"/>
    </font>
    <font>
      <b/>
      <sz val="16"/>
      <color indexed="24"/>
      <name val="Univers 45 Light"/>
      <family val="2"/>
    </font>
    <font>
      <b/>
      <sz val="14"/>
      <name val="Arial"/>
      <family val="2"/>
    </font>
    <font>
      <sz val="10"/>
      <color indexed="10"/>
      <name val="Arial"/>
      <family val="2"/>
    </font>
    <font>
      <sz val="8"/>
      <color rgb="FF0070C0"/>
      <name val="Arial"/>
      <family val="2"/>
    </font>
    <font>
      <i/>
      <sz val="11"/>
      <color theme="1"/>
      <name val="Calibri"/>
      <family val="2"/>
      <scheme val="minor"/>
    </font>
    <font>
      <sz val="10"/>
      <name val="Arial"/>
      <family val="2"/>
    </font>
    <font>
      <sz val="10"/>
      <name val="Arial"/>
      <family val="2"/>
    </font>
    <font>
      <b/>
      <sz val="20"/>
      <color rgb="FF7030A0"/>
      <name val="Arial"/>
      <family val="2"/>
    </font>
    <font>
      <sz val="10"/>
      <name val="MS Sans Serif"/>
      <family val="2"/>
    </font>
    <font>
      <u/>
      <sz val="10"/>
      <color indexed="12"/>
      <name val="MS Sans Serif"/>
      <family val="2"/>
    </font>
    <font>
      <b/>
      <sz val="10"/>
      <name val="Calibri"/>
      <family val="2"/>
      <scheme val="minor"/>
    </font>
    <font>
      <sz val="16"/>
      <color theme="3" tint="0.39997558519241921"/>
      <name val="Calibri"/>
      <family val="2"/>
      <scheme val="minor"/>
    </font>
    <font>
      <u/>
      <sz val="10"/>
      <color theme="1"/>
      <name val="Calibri"/>
      <family val="2"/>
      <scheme val="minor"/>
    </font>
    <font>
      <sz val="10"/>
      <name val="Arial"/>
      <family val="2"/>
    </font>
    <font>
      <b/>
      <sz val="10"/>
      <color rgb="FF3F3F3F"/>
      <name val="Arial"/>
      <family val="2"/>
    </font>
    <font>
      <u/>
      <sz val="10"/>
      <color theme="10"/>
      <name val="Calibri"/>
      <family val="2"/>
      <scheme val="minor"/>
    </font>
    <font>
      <sz val="10"/>
      <color indexed="8"/>
      <name val="Calibri"/>
      <family val="2"/>
      <scheme val="minor"/>
    </font>
    <font>
      <b/>
      <i/>
      <sz val="10"/>
      <color rgb="FF7030A0"/>
      <name val="Calibri"/>
      <family val="2"/>
      <scheme val="minor"/>
    </font>
    <font>
      <b/>
      <u/>
      <sz val="10"/>
      <name val="Calibri"/>
      <family val="2"/>
      <scheme val="minor"/>
    </font>
    <font>
      <i/>
      <sz val="10"/>
      <name val="Calibri"/>
      <family val="2"/>
      <scheme val="minor"/>
    </font>
    <font>
      <sz val="10"/>
      <color rgb="FFFF0000"/>
      <name val="Calibri"/>
      <family val="2"/>
      <scheme val="minor"/>
    </font>
    <font>
      <i/>
      <sz val="10"/>
      <color indexed="22"/>
      <name val="Arial"/>
      <family val="2"/>
    </font>
    <font>
      <sz val="10"/>
      <color theme="1"/>
      <name val="Calibri"/>
      <family val="2"/>
    </font>
    <font>
      <sz val="9.5"/>
      <color rgb="FF0000FF"/>
      <name val="Consolas"/>
      <family val="3"/>
    </font>
    <font>
      <sz val="9.5"/>
      <color theme="1"/>
      <name val="Consolas"/>
      <family val="3"/>
    </font>
    <font>
      <sz val="9.5"/>
      <color rgb="FF008080"/>
      <name val="Consolas"/>
      <family val="3"/>
    </font>
    <font>
      <sz val="9.5"/>
      <color rgb="FF008000"/>
      <name val="Consolas"/>
      <family val="3"/>
    </font>
    <font>
      <sz val="9.5"/>
      <color rgb="FF808080"/>
      <name val="Consolas"/>
      <family val="3"/>
    </font>
    <font>
      <sz val="9.5"/>
      <color rgb="FFFF00FF"/>
      <name val="Consolas"/>
      <family val="3"/>
    </font>
    <font>
      <sz val="9.5"/>
      <color rgb="FFFF0000"/>
      <name val="Consolas"/>
      <family val="3"/>
    </font>
    <font>
      <u/>
      <sz val="8"/>
      <color theme="10"/>
      <name val="Calibri"/>
      <family val="2"/>
      <scheme val="minor"/>
    </font>
    <font>
      <sz val="8"/>
      <name val="Calibri"/>
      <family val="2"/>
      <scheme val="minor"/>
    </font>
    <font>
      <b/>
      <u/>
      <sz val="12"/>
      <name val="Calibri"/>
      <family val="2"/>
      <scheme val="minor"/>
    </font>
    <font>
      <b/>
      <u/>
      <sz val="11"/>
      <name val="Calibri"/>
      <family val="2"/>
      <scheme val="minor"/>
    </font>
    <font>
      <u/>
      <sz val="10"/>
      <color indexed="12"/>
      <name val="Calibri"/>
      <family val="2"/>
      <scheme val="minor"/>
    </font>
  </fonts>
  <fills count="70">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rgb="FFFFFF99"/>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indexed="13"/>
        <bgColor indexed="64"/>
      </patternFill>
    </fill>
    <fill>
      <patternFill patternType="solid">
        <fgColor indexed="43"/>
        <bgColor indexed="64"/>
      </patternFill>
    </fill>
    <fill>
      <patternFill patternType="solid">
        <fgColor theme="5" tint="0.79998168889431442"/>
        <bgColor indexed="64"/>
      </patternFill>
    </fill>
    <fill>
      <patternFill patternType="solid">
        <fgColor theme="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5"/>
        <bgColor indexed="64"/>
      </patternFill>
    </fill>
    <fill>
      <patternFill patternType="solid">
        <fgColor theme="9"/>
        <bgColor indexed="64"/>
      </patternFill>
    </fill>
    <fill>
      <patternFill patternType="solid">
        <fgColor rgb="FFCCFFCC"/>
        <bgColor indexed="64"/>
      </patternFill>
    </fill>
    <fill>
      <patternFill patternType="solid">
        <fgColor theme="6"/>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bgColor indexed="64"/>
      </patternFill>
    </fill>
    <fill>
      <patternFill patternType="solid">
        <fgColor indexed="47"/>
        <bgColor indexed="64"/>
      </patternFill>
    </fill>
    <fill>
      <patternFill patternType="solid">
        <fgColor indexed="31"/>
        <bgColor indexed="64"/>
      </patternFill>
    </fill>
    <fill>
      <patternFill patternType="solid">
        <fgColor indexed="22"/>
        <bgColor indexed="64"/>
      </patternFill>
    </fill>
    <fill>
      <patternFill patternType="solid">
        <fgColor theme="4" tint="0.79998168889431442"/>
        <bgColor indexed="65"/>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51"/>
        <bgColor indexed="64"/>
      </patternFill>
    </fill>
    <fill>
      <patternFill patternType="solid">
        <fgColor indexed="30"/>
        <bgColor indexed="64"/>
      </patternFill>
    </fill>
    <fill>
      <patternFill patternType="solid">
        <fgColor theme="3"/>
        <bgColor indexed="64"/>
      </patternFill>
    </fill>
    <fill>
      <patternFill patternType="solid">
        <fgColor indexed="46"/>
        <bgColor indexed="64"/>
      </patternFill>
    </fill>
    <fill>
      <patternFill patternType="solid">
        <fgColor indexed="24"/>
        <bgColor indexed="64"/>
      </patternFill>
    </fill>
    <fill>
      <patternFill patternType="solid">
        <fgColor rgb="FFFFC00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indexed="65"/>
        <bgColor indexed="64"/>
      </patternFill>
    </fill>
    <fill>
      <patternFill patternType="solid">
        <fgColor theme="7"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2F2F2"/>
      </patternFill>
    </fill>
    <fill>
      <patternFill patternType="solid">
        <fgColor theme="2"/>
        <bgColor indexed="64"/>
      </patternFill>
    </fill>
    <fill>
      <patternFill patternType="solid">
        <fgColor theme="6" tint="0.59999389629810485"/>
        <bgColor indexed="64"/>
      </patternFill>
    </fill>
    <fill>
      <patternFill patternType="solid">
        <fgColor theme="0" tint="-0.14999847407452621"/>
        <bgColor indexed="64"/>
      </patternFill>
    </fill>
  </fills>
  <borders count="19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34998626667073579"/>
      </left>
      <right style="thin">
        <color theme="0" tint="-0.34998626667073579"/>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bottom style="medium">
        <color indexed="64"/>
      </bottom>
      <diagonal/>
    </border>
    <border>
      <left/>
      <right style="medium">
        <color indexed="64"/>
      </right>
      <top/>
      <bottom style="medium">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theme="0" tint="-0.499984740745262"/>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bottom style="medium">
        <color indexed="64"/>
      </bottom>
      <diagonal/>
    </border>
    <border>
      <left style="thin">
        <color theme="0" tint="-0.499984740745262"/>
      </left>
      <right style="medium">
        <color indexed="64"/>
      </right>
      <top/>
      <bottom style="medium">
        <color indexed="64"/>
      </bottom>
      <diagonal/>
    </border>
    <border>
      <left style="medium">
        <color indexed="64"/>
      </left>
      <right style="thin">
        <color theme="0" tint="-0.34998626667073579"/>
      </right>
      <top style="medium">
        <color indexed="64"/>
      </top>
      <bottom style="medium">
        <color indexed="64"/>
      </bottom>
      <diagonal/>
    </border>
    <border>
      <left style="medium">
        <color indexed="64"/>
      </left>
      <right style="thin">
        <color theme="0" tint="-0.499984740745262"/>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medium">
        <color indexed="64"/>
      </left>
      <right style="thin">
        <color theme="0" tint="-0.499984740745262"/>
      </right>
      <top/>
      <bottom style="thin">
        <color theme="0" tint="-0.499984740745262"/>
      </bottom>
      <diagonal/>
    </border>
    <border>
      <left style="medium">
        <color indexed="64"/>
      </left>
      <right style="thin">
        <color theme="0" tint="-0.499984740745262"/>
      </right>
      <top style="thin">
        <color theme="0" tint="-0.499984740745262"/>
      </top>
      <bottom/>
      <diagonal/>
    </border>
    <border>
      <left style="thin">
        <color theme="0" tint="-0.499984740745262"/>
      </left>
      <right style="thin">
        <color theme="0" tint="-0.499984740745262"/>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style="dashed">
        <color indexed="63"/>
      </left>
      <right style="dashed">
        <color indexed="63"/>
      </right>
      <top style="dashed">
        <color indexed="63"/>
      </top>
      <bottom style="dashed">
        <color indexed="63"/>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hair">
        <color indexed="64"/>
      </left>
      <right/>
      <top style="hair">
        <color indexed="64"/>
      </top>
      <bottom style="hair">
        <color indexed="64"/>
      </bottom>
      <diagonal/>
    </border>
    <border>
      <left style="thin">
        <color indexed="9"/>
      </left>
      <right style="thin">
        <color indexed="9"/>
      </right>
      <top style="thin">
        <color indexed="9"/>
      </top>
      <bottom style="thin">
        <color indexed="9"/>
      </bottom>
      <diagonal/>
    </border>
    <border>
      <left style="dotted">
        <color indexed="28"/>
      </left>
      <right style="dotted">
        <color indexed="28"/>
      </right>
      <top style="dotted">
        <color indexed="28"/>
      </top>
      <bottom style="dotted">
        <color indexed="2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12"/>
      </top>
      <bottom style="thin">
        <color indexed="12"/>
      </bottom>
      <diagonal/>
    </border>
    <border>
      <left/>
      <right/>
      <top/>
      <bottom style="thin">
        <color indexed="12"/>
      </bottom>
      <diagonal/>
    </border>
    <border>
      <left style="double">
        <color indexed="64"/>
      </left>
      <right/>
      <top/>
      <bottom style="double">
        <color indexed="64"/>
      </bottom>
      <diagonal/>
    </border>
    <border>
      <left/>
      <right/>
      <top style="thin">
        <color indexed="64"/>
      </top>
      <bottom/>
      <diagonal/>
    </border>
    <border>
      <left/>
      <right/>
      <top style="thin">
        <color indexed="62"/>
      </top>
      <bottom style="double">
        <color indexed="62"/>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style="medium">
        <color indexed="64"/>
      </bottom>
      <diagonal/>
    </border>
    <border>
      <left style="thin">
        <color theme="0" tint="-0.34998626667073579"/>
      </left>
      <right style="medium">
        <color indexed="64"/>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bottom/>
      <diagonal/>
    </border>
    <border>
      <left style="medium">
        <color indexed="64"/>
      </left>
      <right style="thin">
        <color theme="0" tint="-0.499984740745262"/>
      </right>
      <top style="medium">
        <color indexed="64"/>
      </top>
      <bottom style="thin">
        <color indexed="64"/>
      </bottom>
      <diagonal/>
    </border>
  </borders>
  <cellStyleXfs count="62404">
    <xf numFmtId="0" fontId="0" fillId="0" borderId="0"/>
    <xf numFmtId="0" fontId="1" fillId="0" borderId="0"/>
    <xf numFmtId="0" fontId="2" fillId="0" borderId="0"/>
    <xf numFmtId="0" fontId="6" fillId="0" borderId="0" applyNumberFormat="0" applyFill="0" applyBorder="0" applyAlignment="0" applyProtection="0">
      <alignment vertical="top"/>
      <protection locked="0"/>
    </xf>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5" fillId="0" borderId="0"/>
    <xf numFmtId="0" fontId="10" fillId="5" borderId="0" applyNumberFormat="0" applyBorder="0" applyAlignment="0" applyProtection="0"/>
    <xf numFmtId="0" fontId="11" fillId="22" borderId="16" applyNumberFormat="0" applyAlignment="0" applyProtection="0"/>
    <xf numFmtId="0" fontId="12" fillId="23" borderId="17" applyNumberFormat="0" applyAlignment="0" applyProtection="0"/>
    <xf numFmtId="0" fontId="13" fillId="0" borderId="0" applyNumberFormat="0" applyFill="0" applyBorder="0" applyAlignment="0" applyProtection="0"/>
    <xf numFmtId="0" fontId="14" fillId="6" borderId="0" applyNumberFormat="0" applyBorder="0" applyAlignment="0" applyProtection="0"/>
    <xf numFmtId="0" fontId="15" fillId="0" borderId="18" applyNumberFormat="0" applyFill="0" applyAlignment="0" applyProtection="0"/>
    <xf numFmtId="0" fontId="16" fillId="0" borderId="19" applyNumberFormat="0" applyFill="0" applyAlignment="0" applyProtection="0"/>
    <xf numFmtId="0" fontId="17" fillId="0" borderId="20" applyNumberFormat="0" applyFill="0" applyAlignment="0" applyProtection="0"/>
    <xf numFmtId="0" fontId="17" fillId="0" borderId="0" applyNumberFormat="0" applyFill="0" applyBorder="0" applyAlignment="0" applyProtection="0"/>
    <xf numFmtId="0" fontId="18" fillId="9" borderId="16" applyNumberFormat="0" applyAlignment="0" applyProtection="0"/>
    <xf numFmtId="0" fontId="19" fillId="0" borderId="21" applyNumberFormat="0" applyFill="0" applyAlignment="0" applyProtection="0"/>
    <xf numFmtId="0" fontId="20" fillId="24" borderId="0" applyNumberFormat="0" applyBorder="0" applyAlignment="0" applyProtection="0"/>
    <xf numFmtId="0" fontId="8" fillId="25" borderId="22" applyNumberFormat="0" applyFont="0" applyAlignment="0" applyProtection="0"/>
    <xf numFmtId="0" fontId="21" fillId="22" borderId="23" applyNumberFormat="0" applyAlignment="0" applyProtection="0"/>
    <xf numFmtId="0" fontId="22" fillId="0" borderId="0" applyNumberFormat="0" applyFill="0" applyBorder="0" applyAlignment="0" applyProtection="0"/>
    <xf numFmtId="0" fontId="23" fillId="0" borderId="24" applyNumberFormat="0" applyFill="0" applyAlignment="0" applyProtection="0"/>
    <xf numFmtId="0" fontId="24" fillId="0" borderId="0" applyNumberForma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31" fillId="0" borderId="0"/>
    <xf numFmtId="0" fontId="11" fillId="22" borderId="36" applyNumberFormat="0" applyAlignment="0" applyProtection="0"/>
    <xf numFmtId="0" fontId="18" fillId="9" borderId="36" applyNumberFormat="0" applyAlignment="0" applyProtection="0"/>
    <xf numFmtId="0" fontId="1" fillId="0" borderId="0"/>
    <xf numFmtId="0" fontId="8" fillId="25" borderId="35" applyNumberFormat="0" applyFont="0" applyAlignment="0" applyProtection="0"/>
    <xf numFmtId="0" fontId="21" fillId="22" borderId="37" applyNumberFormat="0" applyAlignment="0" applyProtection="0"/>
    <xf numFmtId="0" fontId="23" fillId="0" borderId="38" applyNumberFormat="0" applyFill="0" applyAlignment="0" applyProtection="0"/>
    <xf numFmtId="0" fontId="25" fillId="0" borderId="0"/>
    <xf numFmtId="9" fontId="25"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1" fillId="22" borderId="39" applyNumberFormat="0" applyAlignment="0" applyProtection="0"/>
    <xf numFmtId="0" fontId="18" fillId="9" borderId="39" applyNumberFormat="0" applyAlignment="0" applyProtection="0"/>
    <xf numFmtId="0" fontId="8" fillId="25" borderId="40" applyNumberFormat="0" applyFont="0" applyAlignment="0" applyProtection="0"/>
    <xf numFmtId="0" fontId="21" fillId="22" borderId="41" applyNumberFormat="0" applyAlignment="0" applyProtection="0"/>
    <xf numFmtId="0" fontId="23" fillId="0" borderId="42" applyNumberFormat="0" applyFill="0" applyAlignment="0" applyProtection="0"/>
    <xf numFmtId="0" fontId="32" fillId="0" borderId="0" applyNumberFormat="0" applyFill="0" applyBorder="0" applyAlignment="0" applyProtection="0"/>
    <xf numFmtId="0" fontId="33" fillId="0" borderId="0"/>
    <xf numFmtId="0" fontId="25" fillId="0" borderId="0"/>
    <xf numFmtId="0" fontId="11" fillId="22" borderId="39" applyNumberFormat="0" applyAlignment="0" applyProtection="0"/>
    <xf numFmtId="0" fontId="18" fillId="9" borderId="39" applyNumberFormat="0" applyAlignment="0" applyProtection="0"/>
    <xf numFmtId="0" fontId="8" fillId="25" borderId="40" applyNumberFormat="0" applyFont="0" applyAlignment="0" applyProtection="0"/>
    <xf numFmtId="0" fontId="21" fillId="22" borderId="41" applyNumberFormat="0" applyAlignment="0" applyProtection="0"/>
    <xf numFmtId="0" fontId="23" fillId="0" borderId="42" applyNumberFormat="0" applyFill="0" applyAlignment="0" applyProtection="0"/>
    <xf numFmtId="0" fontId="25" fillId="0" borderId="0"/>
    <xf numFmtId="43" fontId="25" fillId="0" borderId="0" applyFont="0" applyFill="0" applyBorder="0" applyAlignment="0" applyProtection="0"/>
    <xf numFmtId="0" fontId="25" fillId="0" borderId="0"/>
    <xf numFmtId="0" fontId="11" fillId="22" borderId="39" applyNumberFormat="0" applyAlignment="0" applyProtection="0"/>
    <xf numFmtId="0" fontId="8" fillId="25" borderId="40" applyNumberFormat="0" applyFont="0" applyAlignment="0" applyProtection="0"/>
    <xf numFmtId="0" fontId="21" fillId="22" borderId="41" applyNumberFormat="0" applyAlignment="0" applyProtection="0"/>
    <xf numFmtId="0" fontId="23" fillId="0" borderId="42" applyNumberFormat="0" applyFill="0" applyAlignment="0" applyProtection="0"/>
    <xf numFmtId="43" fontId="25" fillId="0" borderId="0" applyFont="0" applyFill="0" applyBorder="0" applyAlignment="0" applyProtection="0"/>
    <xf numFmtId="43" fontId="25" fillId="0" borderId="0" applyFont="0" applyFill="0" applyBorder="0" applyAlignment="0" applyProtection="0"/>
    <xf numFmtId="0" fontId="18" fillId="9" borderId="39" applyNumberFormat="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17" fillId="0" borderId="20" applyNumberFormat="0" applyFill="0" applyAlignment="0" applyProtection="0"/>
    <xf numFmtId="0" fontId="17" fillId="0" borderId="20" applyNumberFormat="0" applyFill="0" applyAlignment="0" applyProtection="0"/>
    <xf numFmtId="0" fontId="25" fillId="0" borderId="0"/>
    <xf numFmtId="43" fontId="25" fillId="0" borderId="0" applyFont="0" applyFill="0" applyBorder="0" applyAlignment="0" applyProtection="0"/>
    <xf numFmtId="0" fontId="11" fillId="22" borderId="43" applyNumberFormat="0" applyAlignment="0" applyProtection="0"/>
    <xf numFmtId="0" fontId="18" fillId="9" borderId="43" applyNumberFormat="0" applyAlignment="0" applyProtection="0"/>
    <xf numFmtId="0" fontId="8" fillId="25" borderId="44" applyNumberFormat="0" applyFont="0" applyAlignment="0" applyProtection="0"/>
    <xf numFmtId="0" fontId="21" fillId="22" borderId="45" applyNumberFormat="0" applyAlignment="0" applyProtection="0"/>
    <xf numFmtId="0" fontId="23" fillId="0" borderId="46" applyNumberFormat="0" applyFill="0" applyAlignment="0" applyProtection="0"/>
    <xf numFmtId="0" fontId="11" fillId="22" borderId="47" applyNumberFormat="0" applyAlignment="0" applyProtection="0"/>
    <xf numFmtId="0" fontId="11" fillId="22" borderId="47" applyNumberFormat="0" applyAlignment="0" applyProtection="0"/>
    <xf numFmtId="0" fontId="18" fillId="9" borderId="47" applyNumberFormat="0" applyAlignment="0" applyProtection="0"/>
    <xf numFmtId="0" fontId="18" fillId="9" borderId="47" applyNumberFormat="0" applyAlignment="0" applyProtection="0"/>
    <xf numFmtId="0" fontId="8" fillId="25" borderId="48" applyNumberFormat="0" applyFont="0" applyAlignment="0" applyProtection="0"/>
    <xf numFmtId="0" fontId="8" fillId="25" borderId="48" applyNumberFormat="0" applyFont="0" applyAlignment="0" applyProtection="0"/>
    <xf numFmtId="0" fontId="21" fillId="22" borderId="49" applyNumberFormat="0" applyAlignment="0" applyProtection="0"/>
    <xf numFmtId="0" fontId="21" fillId="22" borderId="49" applyNumberFormat="0" applyAlignment="0" applyProtection="0"/>
    <xf numFmtId="0" fontId="23" fillId="0" borderId="50" applyNumberFormat="0" applyFill="0" applyAlignment="0" applyProtection="0"/>
    <xf numFmtId="0" fontId="23" fillId="0" borderId="50" applyNumberFormat="0" applyFill="0" applyAlignment="0" applyProtection="0"/>
    <xf numFmtId="0" fontId="8" fillId="25" borderId="44" applyNumberFormat="0" applyFont="0" applyAlignment="0" applyProtection="0"/>
    <xf numFmtId="0" fontId="11" fillId="22" borderId="47" applyNumberFormat="0" applyAlignment="0" applyProtection="0"/>
    <xf numFmtId="0" fontId="8" fillId="25" borderId="48" applyNumberFormat="0" applyFont="0" applyAlignment="0" applyProtection="0"/>
    <xf numFmtId="0" fontId="21" fillId="22" borderId="49" applyNumberFormat="0" applyAlignment="0" applyProtection="0"/>
    <xf numFmtId="0" fontId="23" fillId="0" borderId="50" applyNumberFormat="0" applyFill="0" applyAlignment="0" applyProtection="0"/>
    <xf numFmtId="0" fontId="18" fillId="9" borderId="47" applyNumberFormat="0" applyAlignment="0" applyProtection="0"/>
    <xf numFmtId="0" fontId="11" fillId="22" borderId="47" applyNumberFormat="0" applyAlignment="0" applyProtection="0"/>
    <xf numFmtId="0" fontId="18" fillId="9" borderId="47" applyNumberFormat="0" applyAlignment="0" applyProtection="0"/>
    <xf numFmtId="0" fontId="8" fillId="25" borderId="48" applyNumberFormat="0" applyFont="0" applyAlignment="0" applyProtection="0"/>
    <xf numFmtId="0" fontId="21" fillId="22" borderId="49" applyNumberFormat="0" applyAlignment="0" applyProtection="0"/>
    <xf numFmtId="0" fontId="23" fillId="0" borderId="50" applyNumberFormat="0" applyFill="0" applyAlignment="0" applyProtection="0"/>
    <xf numFmtId="0" fontId="34" fillId="0" borderId="0" applyNumberFormat="0" applyFill="0" applyBorder="0" applyAlignment="0" applyProtection="0"/>
    <xf numFmtId="0" fontId="25" fillId="0" borderId="0"/>
    <xf numFmtId="0" fontId="35" fillId="0" borderId="0" applyNumberForma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1" fillId="22" borderId="52" applyNumberFormat="0" applyAlignment="0" applyProtection="0"/>
    <xf numFmtId="0" fontId="18" fillId="9" borderId="52" applyNumberFormat="0" applyAlignment="0" applyProtection="0"/>
    <xf numFmtId="0" fontId="8" fillId="25" borderId="53" applyNumberFormat="0" applyFont="0" applyAlignment="0" applyProtection="0"/>
    <xf numFmtId="0" fontId="21" fillId="22" borderId="54" applyNumberFormat="0" applyAlignment="0" applyProtection="0"/>
    <xf numFmtId="0" fontId="23" fillId="0" borderId="55" applyNumberFormat="0" applyFill="0" applyAlignment="0" applyProtection="0"/>
    <xf numFmtId="0" fontId="11" fillId="22" borderId="52" applyNumberFormat="0" applyAlignment="0" applyProtection="0"/>
    <xf numFmtId="0" fontId="18" fillId="9" borderId="52" applyNumberFormat="0" applyAlignment="0" applyProtection="0"/>
    <xf numFmtId="0" fontId="8" fillId="25" borderId="53" applyNumberFormat="0" applyFont="0" applyAlignment="0" applyProtection="0"/>
    <xf numFmtId="0" fontId="21" fillId="22" borderId="54" applyNumberFormat="0" applyAlignment="0" applyProtection="0"/>
    <xf numFmtId="0" fontId="23" fillId="0" borderId="55" applyNumberFormat="0" applyFill="0" applyAlignment="0" applyProtection="0"/>
    <xf numFmtId="0" fontId="11" fillId="22" borderId="52" applyNumberFormat="0" applyAlignment="0" applyProtection="0"/>
    <xf numFmtId="0" fontId="18" fillId="9" borderId="52" applyNumberFormat="0" applyAlignment="0" applyProtection="0"/>
    <xf numFmtId="0" fontId="8" fillId="25" borderId="53" applyNumberFormat="0" applyFont="0" applyAlignment="0" applyProtection="0"/>
    <xf numFmtId="0" fontId="21" fillId="22" borderId="54" applyNumberFormat="0" applyAlignment="0" applyProtection="0"/>
    <xf numFmtId="0" fontId="23" fillId="0" borderId="55" applyNumberFormat="0" applyFill="0" applyAlignment="0" applyProtection="0"/>
    <xf numFmtId="0" fontId="38" fillId="0" borderId="0"/>
    <xf numFmtId="0" fontId="11" fillId="22" borderId="52" applyNumberFormat="0" applyAlignment="0" applyProtection="0"/>
    <xf numFmtId="0" fontId="18" fillId="9" borderId="52" applyNumberFormat="0" applyAlignment="0" applyProtection="0"/>
    <xf numFmtId="0" fontId="8" fillId="25" borderId="53" applyNumberFormat="0" applyFont="0" applyAlignment="0" applyProtection="0"/>
    <xf numFmtId="0" fontId="21" fillId="22" borderId="54" applyNumberFormat="0" applyAlignment="0" applyProtection="0"/>
    <xf numFmtId="0" fontId="23" fillId="0" borderId="55" applyNumberFormat="0" applyFill="0" applyAlignment="0" applyProtection="0"/>
    <xf numFmtId="0" fontId="11" fillId="22" borderId="52" applyNumberFormat="0" applyAlignment="0" applyProtection="0"/>
    <xf numFmtId="0" fontId="8" fillId="25" borderId="53" applyNumberFormat="0" applyFont="0" applyAlignment="0" applyProtection="0"/>
    <xf numFmtId="0" fontId="21" fillId="22" borderId="54" applyNumberFormat="0" applyAlignment="0" applyProtection="0"/>
    <xf numFmtId="0" fontId="23" fillId="0" borderId="55" applyNumberFormat="0" applyFill="0" applyAlignment="0" applyProtection="0"/>
    <xf numFmtId="0" fontId="18" fillId="9" borderId="52" applyNumberFormat="0" applyAlignment="0" applyProtection="0"/>
    <xf numFmtId="0" fontId="11" fillId="22" borderId="52" applyNumberFormat="0" applyAlignment="0" applyProtection="0"/>
    <xf numFmtId="0" fontId="18" fillId="9" borderId="52" applyNumberFormat="0" applyAlignment="0" applyProtection="0"/>
    <xf numFmtId="0" fontId="8" fillId="25" borderId="53" applyNumberFormat="0" applyFont="0" applyAlignment="0" applyProtection="0"/>
    <xf numFmtId="0" fontId="21" fillId="22" borderId="54" applyNumberFormat="0" applyAlignment="0" applyProtection="0"/>
    <xf numFmtId="0" fontId="23" fillId="0" borderId="55" applyNumberFormat="0" applyFill="0" applyAlignment="0" applyProtection="0"/>
    <xf numFmtId="0" fontId="11" fillId="22" borderId="52" applyNumberFormat="0" applyAlignment="0" applyProtection="0"/>
    <xf numFmtId="0" fontId="11" fillId="22" borderId="52" applyNumberFormat="0" applyAlignment="0" applyProtection="0"/>
    <xf numFmtId="0" fontId="18" fillId="9" borderId="52" applyNumberFormat="0" applyAlignment="0" applyProtection="0"/>
    <xf numFmtId="0" fontId="18" fillId="9" borderId="52" applyNumberFormat="0" applyAlignment="0" applyProtection="0"/>
    <xf numFmtId="0" fontId="8" fillId="25" borderId="53" applyNumberFormat="0" applyFont="0" applyAlignment="0" applyProtection="0"/>
    <xf numFmtId="0" fontId="8" fillId="25" borderId="53" applyNumberFormat="0" applyFont="0" applyAlignment="0" applyProtection="0"/>
    <xf numFmtId="0" fontId="21" fillId="22" borderId="54" applyNumberFormat="0" applyAlignment="0" applyProtection="0"/>
    <xf numFmtId="0" fontId="21" fillId="22" borderId="54" applyNumberFormat="0" applyAlignment="0" applyProtection="0"/>
    <xf numFmtId="0" fontId="23" fillId="0" borderId="55" applyNumberFormat="0" applyFill="0" applyAlignment="0" applyProtection="0"/>
    <xf numFmtId="0" fontId="23" fillId="0" borderId="55" applyNumberFormat="0" applyFill="0" applyAlignment="0" applyProtection="0"/>
    <xf numFmtId="0" fontId="8" fillId="25" borderId="53" applyNumberFormat="0" applyFont="0" applyAlignment="0" applyProtection="0"/>
    <xf numFmtId="0" fontId="11" fillId="22" borderId="70" applyNumberFormat="0" applyAlignment="0" applyProtection="0"/>
    <xf numFmtId="0" fontId="11" fillId="22" borderId="70" applyNumberFormat="0" applyAlignment="0" applyProtection="0"/>
    <xf numFmtId="0" fontId="11" fillId="22" borderId="70" applyNumberFormat="0" applyAlignment="0" applyProtection="0"/>
    <xf numFmtId="0" fontId="21" fillId="22" borderId="71" applyNumberFormat="0" applyAlignment="0" applyProtection="0"/>
    <xf numFmtId="0" fontId="18" fillId="9" borderId="70" applyNumberFormat="0" applyAlignment="0" applyProtection="0"/>
    <xf numFmtId="0" fontId="11" fillId="22" borderId="70" applyNumberFormat="0" applyAlignment="0" applyProtection="0"/>
    <xf numFmtId="0" fontId="21" fillId="22" borderId="71" applyNumberFormat="0" applyAlignment="0" applyProtection="0"/>
    <xf numFmtId="0" fontId="11" fillId="22" borderId="70" applyNumberFormat="0" applyAlignment="0" applyProtection="0"/>
    <xf numFmtId="0" fontId="8" fillId="25" borderId="73" applyNumberFormat="0" applyFont="0" applyAlignment="0" applyProtection="0"/>
    <xf numFmtId="0" fontId="18" fillId="9" borderId="70" applyNumberFormat="0" applyAlignment="0" applyProtection="0"/>
    <xf numFmtId="0" fontId="11" fillId="22" borderId="70" applyNumberFormat="0" applyAlignment="0" applyProtection="0"/>
    <xf numFmtId="0" fontId="11" fillId="22" borderId="70" applyNumberFormat="0" applyAlignment="0" applyProtection="0"/>
    <xf numFmtId="0" fontId="11" fillId="22" borderId="70" applyNumberFormat="0" applyAlignment="0" applyProtection="0"/>
    <xf numFmtId="0" fontId="11" fillId="22" borderId="70" applyNumberFormat="0" applyAlignment="0" applyProtection="0"/>
    <xf numFmtId="0" fontId="11" fillId="22" borderId="70" applyNumberFormat="0" applyAlignment="0" applyProtection="0"/>
    <xf numFmtId="0" fontId="11" fillId="22" borderId="66" applyNumberFormat="0" applyAlignment="0" applyProtection="0"/>
    <xf numFmtId="0" fontId="23" fillId="0" borderId="72" applyNumberFormat="0" applyFill="0" applyAlignment="0" applyProtection="0"/>
    <xf numFmtId="0" fontId="11" fillId="22" borderId="70" applyNumberFormat="0" applyAlignment="0" applyProtection="0"/>
    <xf numFmtId="0" fontId="18" fillId="9" borderId="66" applyNumberFormat="0" applyAlignment="0" applyProtection="0"/>
    <xf numFmtId="0" fontId="11" fillId="22" borderId="70"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70" applyNumberFormat="0" applyAlignment="0" applyProtection="0"/>
    <xf numFmtId="0" fontId="8" fillId="25" borderId="73" applyNumberFormat="0" applyFont="0" applyAlignment="0" applyProtection="0"/>
    <xf numFmtId="0" fontId="18" fillId="9" borderId="70" applyNumberFormat="0" applyAlignment="0" applyProtection="0"/>
    <xf numFmtId="0" fontId="21" fillId="22" borderId="71" applyNumberFormat="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8" fillId="25" borderId="73" applyNumberFormat="0" applyFont="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 fillId="0" borderId="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23" fillId="0" borderId="72" applyNumberFormat="0" applyFill="0" applyAlignment="0" applyProtection="0"/>
    <xf numFmtId="0" fontId="23" fillId="0" borderId="72" applyNumberFormat="0" applyFill="0" applyAlignment="0" applyProtection="0"/>
    <xf numFmtId="0" fontId="11" fillId="22"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70" applyNumberFormat="0" applyAlignment="0" applyProtection="0"/>
    <xf numFmtId="0" fontId="18" fillId="9" borderId="66" applyNumberFormat="0" applyAlignment="0" applyProtection="0"/>
    <xf numFmtId="0" fontId="8" fillId="25" borderId="73" applyNumberFormat="0" applyFont="0" applyAlignment="0" applyProtection="0"/>
    <xf numFmtId="0" fontId="23" fillId="0" borderId="72" applyNumberFormat="0" applyFill="0" applyAlignment="0" applyProtection="0"/>
    <xf numFmtId="0" fontId="18" fillId="9" borderId="70" applyNumberFormat="0" applyAlignment="0" applyProtection="0"/>
    <xf numFmtId="0" fontId="8" fillId="25" borderId="73" applyNumberFormat="0" applyFont="0" applyAlignment="0" applyProtection="0"/>
    <xf numFmtId="0" fontId="18" fillId="9" borderId="70" applyNumberFormat="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1" fillId="22" borderId="66" applyNumberFormat="0" applyAlignment="0" applyProtection="0"/>
    <xf numFmtId="0" fontId="18" fillId="9"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8" fillId="25" borderId="67" applyNumberFormat="0" applyFont="0" applyAlignment="0" applyProtection="0"/>
    <xf numFmtId="0" fontId="21" fillId="22" borderId="68" applyNumberFormat="0" applyAlignment="0" applyProtection="0"/>
    <xf numFmtId="0" fontId="21" fillId="22" borderId="68" applyNumberFormat="0" applyAlignment="0" applyProtection="0"/>
    <xf numFmtId="0" fontId="23" fillId="0" borderId="69" applyNumberFormat="0" applyFill="0" applyAlignment="0" applyProtection="0"/>
    <xf numFmtId="0" fontId="23" fillId="0" borderId="69" applyNumberFormat="0" applyFill="0" applyAlignment="0" applyProtection="0"/>
    <xf numFmtId="0" fontId="8" fillId="25" borderId="67" applyNumberFormat="0" applyFont="0" applyAlignment="0" applyProtection="0"/>
    <xf numFmtId="0" fontId="11" fillId="22"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8" fillId="9" borderId="66" applyNumberFormat="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70" applyNumberFormat="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 fillId="0" borderId="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8" fillId="9" borderId="66" applyNumberFormat="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1" fillId="22" borderId="66" applyNumberFormat="0" applyAlignment="0" applyProtection="0"/>
    <xf numFmtId="0" fontId="18" fillId="9"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8" fillId="25" borderId="67" applyNumberFormat="0" applyFont="0" applyAlignment="0" applyProtection="0"/>
    <xf numFmtId="0" fontId="21" fillId="22" borderId="68" applyNumberFormat="0" applyAlignment="0" applyProtection="0"/>
    <xf numFmtId="0" fontId="21" fillId="22" borderId="68" applyNumberFormat="0" applyAlignment="0" applyProtection="0"/>
    <xf numFmtId="0" fontId="23" fillId="0" borderId="69" applyNumberFormat="0" applyFill="0" applyAlignment="0" applyProtection="0"/>
    <xf numFmtId="0" fontId="23" fillId="0" borderId="69" applyNumberFormat="0" applyFill="0" applyAlignment="0" applyProtection="0"/>
    <xf numFmtId="0" fontId="8" fillId="25" borderId="67" applyNumberFormat="0" applyFont="0" applyAlignment="0" applyProtection="0"/>
    <xf numFmtId="0" fontId="11" fillId="22" borderId="66" applyNumberFormat="0" applyAlignment="0" applyProtection="0"/>
    <xf numFmtId="0" fontId="18" fillId="9" borderId="66" applyNumberForma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8" fillId="9" borderId="66" applyNumberForma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39" fillId="0" borderId="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8" fillId="9" borderId="66" applyNumberFormat="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1" fillId="22" borderId="66" applyNumberFormat="0" applyAlignment="0" applyProtection="0"/>
    <xf numFmtId="0" fontId="18" fillId="9"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8" fillId="25" borderId="67" applyNumberFormat="0" applyFont="0" applyAlignment="0" applyProtection="0"/>
    <xf numFmtId="0" fontId="21" fillId="22" borderId="68" applyNumberFormat="0" applyAlignment="0" applyProtection="0"/>
    <xf numFmtId="0" fontId="21" fillId="22" borderId="68" applyNumberFormat="0" applyAlignment="0" applyProtection="0"/>
    <xf numFmtId="0" fontId="23" fillId="0" borderId="69" applyNumberFormat="0" applyFill="0" applyAlignment="0" applyProtection="0"/>
    <xf numFmtId="0" fontId="23" fillId="0" borderId="69" applyNumberFormat="0" applyFill="0" applyAlignment="0" applyProtection="0"/>
    <xf numFmtId="0" fontId="8" fillId="25" borderId="67" applyNumberFormat="0" applyFont="0" applyAlignment="0" applyProtection="0"/>
    <xf numFmtId="0" fontId="8" fillId="25" borderId="73" applyNumberFormat="0" applyFont="0" applyAlignment="0" applyProtection="0"/>
    <xf numFmtId="0" fontId="18" fillId="9" borderId="70" applyNumberFormat="0" applyAlignment="0" applyProtection="0"/>
    <xf numFmtId="0" fontId="21" fillId="22" borderId="71" applyNumberFormat="0" applyAlignment="0" applyProtection="0"/>
    <xf numFmtId="0" fontId="8" fillId="25" borderId="73" applyNumberFormat="0" applyFont="0" applyAlignment="0" applyProtection="0"/>
    <xf numFmtId="0" fontId="11" fillId="22" borderId="70" applyNumberFormat="0" applyAlignment="0" applyProtection="0"/>
    <xf numFmtId="0" fontId="21" fillId="22" borderId="71" applyNumberFormat="0" applyAlignment="0" applyProtection="0"/>
    <xf numFmtId="0" fontId="21" fillId="22" borderId="71" applyNumberFormat="0" applyAlignment="0" applyProtection="0"/>
    <xf numFmtId="0" fontId="11" fillId="22"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23" fillId="0" borderId="72" applyNumberFormat="0" applyFill="0" applyAlignment="0" applyProtection="0"/>
    <xf numFmtId="0" fontId="8" fillId="25" borderId="73" applyNumberFormat="0" applyFont="0" applyAlignment="0" applyProtection="0"/>
    <xf numFmtId="0" fontId="18" fillId="9" borderId="70" applyNumberFormat="0" applyAlignment="0" applyProtection="0"/>
    <xf numFmtId="0" fontId="8" fillId="25" borderId="73" applyNumberFormat="0" applyFont="0" applyAlignment="0" applyProtection="0"/>
    <xf numFmtId="0" fontId="8" fillId="25" borderId="73" applyNumberFormat="0" applyFont="0" applyAlignment="0" applyProtection="0"/>
    <xf numFmtId="0" fontId="21" fillId="22" borderId="71" applyNumberFormat="0" applyAlignment="0" applyProtection="0"/>
    <xf numFmtId="0" fontId="8" fillId="25" borderId="73" applyNumberFormat="0" applyFont="0" applyAlignment="0" applyProtection="0"/>
    <xf numFmtId="0" fontId="18" fillId="9" borderId="70" applyNumberFormat="0" applyAlignment="0" applyProtection="0"/>
    <xf numFmtId="0" fontId="21" fillId="22" borderId="71" applyNumberFormat="0" applyAlignment="0" applyProtection="0"/>
    <xf numFmtId="0" fontId="8" fillId="25" borderId="73" applyNumberFormat="0" applyFont="0" applyAlignment="0" applyProtection="0"/>
    <xf numFmtId="0" fontId="23" fillId="0" borderId="72" applyNumberFormat="0" applyFill="0" applyAlignment="0" applyProtection="0"/>
    <xf numFmtId="0" fontId="18" fillId="9" borderId="70" applyNumberFormat="0" applyAlignment="0" applyProtection="0"/>
    <xf numFmtId="0" fontId="18" fillId="9" borderId="70" applyNumberFormat="0" applyAlignment="0" applyProtection="0"/>
    <xf numFmtId="0" fontId="21" fillId="22" borderId="71" applyNumberFormat="0" applyAlignment="0" applyProtection="0"/>
    <xf numFmtId="0" fontId="21" fillId="22" borderId="71" applyNumberFormat="0" applyAlignment="0" applyProtection="0"/>
    <xf numFmtId="0" fontId="18" fillId="9" borderId="70" applyNumberFormat="0" applyAlignment="0" applyProtection="0"/>
    <xf numFmtId="0" fontId="18" fillId="9" borderId="70" applyNumberFormat="0" applyAlignment="0" applyProtection="0"/>
    <xf numFmtId="0" fontId="18" fillId="9" borderId="70" applyNumberFormat="0" applyAlignment="0" applyProtection="0"/>
    <xf numFmtId="0" fontId="21" fillId="22" borderId="71"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8" fillId="25" borderId="73" applyNumberFormat="0" applyFont="0" applyAlignment="0" applyProtection="0"/>
    <xf numFmtId="0" fontId="18" fillId="9" borderId="70" applyNumberFormat="0" applyAlignment="0" applyProtection="0"/>
    <xf numFmtId="0" fontId="18" fillId="9" borderId="70" applyNumberFormat="0" applyAlignment="0" applyProtection="0"/>
    <xf numFmtId="0" fontId="18" fillId="9"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8" fillId="25" borderId="73" applyNumberFormat="0" applyFont="0" applyAlignment="0" applyProtection="0"/>
    <xf numFmtId="0" fontId="8" fillId="25" borderId="73" applyNumberFormat="0" applyFont="0" applyAlignment="0" applyProtection="0"/>
    <xf numFmtId="0" fontId="23" fillId="0" borderId="72" applyNumberFormat="0" applyFill="0" applyAlignment="0" applyProtection="0"/>
    <xf numFmtId="0" fontId="21" fillId="22" borderId="71" applyNumberFormat="0" applyAlignment="0" applyProtection="0"/>
    <xf numFmtId="0" fontId="11" fillId="22" borderId="70" applyNumberFormat="0" applyAlignment="0" applyProtection="0"/>
    <xf numFmtId="0" fontId="18" fillId="9" borderId="70" applyNumberFormat="0" applyAlignment="0" applyProtection="0"/>
    <xf numFmtId="0" fontId="21" fillId="22" borderId="71" applyNumberFormat="0" applyAlignment="0" applyProtection="0"/>
    <xf numFmtId="0" fontId="11" fillId="22" borderId="70" applyNumberFormat="0" applyAlignment="0" applyProtection="0"/>
    <xf numFmtId="0" fontId="11" fillId="22" borderId="70" applyNumberFormat="0" applyAlignment="0" applyProtection="0"/>
    <xf numFmtId="0" fontId="18" fillId="9" borderId="70" applyNumberFormat="0" applyAlignment="0" applyProtection="0"/>
    <xf numFmtId="0" fontId="23" fillId="0" borderId="72" applyNumberFormat="0" applyFill="0" applyAlignment="0" applyProtection="0"/>
    <xf numFmtId="0" fontId="23" fillId="0" borderId="72" applyNumberFormat="0" applyFill="0" applyAlignment="0" applyProtection="0"/>
    <xf numFmtId="0" fontId="18" fillId="9" borderId="70" applyNumberFormat="0" applyAlignment="0" applyProtection="0"/>
    <xf numFmtId="0" fontId="11" fillId="22" borderId="70" applyNumberFormat="0" applyAlignment="0" applyProtection="0"/>
    <xf numFmtId="0" fontId="8" fillId="25" borderId="67" applyNumberFormat="0" applyFont="0" applyAlignment="0" applyProtection="0"/>
    <xf numFmtId="0" fontId="21" fillId="22" borderId="68" applyNumberFormat="0" applyAlignment="0" applyProtection="0"/>
    <xf numFmtId="0" fontId="11" fillId="22" borderId="66" applyNumberFormat="0" applyAlignment="0" applyProtection="0"/>
    <xf numFmtId="0" fontId="23" fillId="0" borderId="72" applyNumberFormat="0" applyFill="0" applyAlignment="0" applyProtection="0"/>
    <xf numFmtId="0" fontId="21" fillId="22" borderId="71" applyNumberFormat="0" applyAlignment="0" applyProtection="0"/>
    <xf numFmtId="0" fontId="18" fillId="9" borderId="66" applyNumberFormat="0" applyAlignment="0" applyProtection="0"/>
    <xf numFmtId="0" fontId="21" fillId="22" borderId="68" applyNumberFormat="0" applyAlignment="0" applyProtection="0"/>
    <xf numFmtId="0" fontId="8" fillId="25" borderId="73" applyNumberFormat="0" applyFont="0" applyAlignment="0" applyProtection="0"/>
    <xf numFmtId="0" fontId="21" fillId="22" borderId="71" applyNumberFormat="0" applyAlignment="0" applyProtection="0"/>
    <xf numFmtId="0" fontId="21" fillId="22" borderId="71" applyNumberFormat="0" applyAlignment="0" applyProtection="0"/>
    <xf numFmtId="0" fontId="18" fillId="9" borderId="70" applyNumberFormat="0" applyAlignment="0" applyProtection="0"/>
    <xf numFmtId="0" fontId="23" fillId="0" borderId="69" applyNumberFormat="0" applyFill="0" applyAlignment="0" applyProtection="0"/>
    <xf numFmtId="0" fontId="23" fillId="0" borderId="72" applyNumberFormat="0" applyFill="0" applyAlignment="0" applyProtection="0"/>
    <xf numFmtId="0" fontId="23" fillId="0" borderId="72" applyNumberFormat="0" applyFill="0" applyAlignment="0" applyProtection="0"/>
    <xf numFmtId="0" fontId="23" fillId="0" borderId="72" applyNumberFormat="0" applyFill="0" applyAlignment="0" applyProtection="0"/>
    <xf numFmtId="0" fontId="23" fillId="0" borderId="69" applyNumberFormat="0" applyFill="0" applyAlignment="0" applyProtection="0"/>
    <xf numFmtId="0" fontId="11" fillId="22" borderId="70" applyNumberFormat="0" applyAlignment="0" applyProtection="0"/>
    <xf numFmtId="0" fontId="23" fillId="0" borderId="69" applyNumberFormat="0" applyFill="0" applyAlignment="0" applyProtection="0"/>
    <xf numFmtId="0" fontId="21" fillId="22" borderId="68" applyNumberFormat="0" applyAlignment="0" applyProtection="0"/>
    <xf numFmtId="0" fontId="11" fillId="22" borderId="66" applyNumberFormat="0" applyAlignment="0" applyProtection="0"/>
    <xf numFmtId="0" fontId="23" fillId="0" borderId="72" applyNumberFormat="0" applyFill="0" applyAlignment="0" applyProtection="0"/>
    <xf numFmtId="0" fontId="21" fillId="22" borderId="71" applyNumberFormat="0" applyAlignment="0" applyProtection="0"/>
    <xf numFmtId="0" fontId="18" fillId="9" borderId="66" applyNumberFormat="0" applyAlignment="0" applyProtection="0"/>
    <xf numFmtId="0" fontId="18" fillId="9" borderId="66" applyNumberFormat="0" applyAlignment="0" applyProtection="0"/>
    <xf numFmtId="0" fontId="23" fillId="0" borderId="72" applyNumberFormat="0" applyFill="0" applyAlignment="0" applyProtection="0"/>
    <xf numFmtId="0" fontId="18" fillId="9" borderId="66" applyNumberFormat="0" applyAlignment="0" applyProtection="0"/>
    <xf numFmtId="0" fontId="23" fillId="0" borderId="69" applyNumberFormat="0" applyFill="0" applyAlignment="0" applyProtection="0"/>
    <xf numFmtId="0" fontId="11" fillId="22" borderId="66" applyNumberFormat="0" applyAlignment="0" applyProtection="0"/>
    <xf numFmtId="0" fontId="11" fillId="22" borderId="66" applyNumberFormat="0" applyAlignment="0" applyProtection="0"/>
    <xf numFmtId="0" fontId="8" fillId="25" borderId="67"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66" applyNumberFormat="0" applyAlignment="0" applyProtection="0"/>
    <xf numFmtId="0" fontId="8" fillId="25" borderId="67" applyNumberFormat="0" applyFont="0" applyAlignment="0" applyProtection="0"/>
    <xf numFmtId="0" fontId="11" fillId="22" borderId="70" applyNumberFormat="0" applyAlignment="0" applyProtection="0"/>
    <xf numFmtId="0" fontId="11" fillId="22" borderId="70" applyNumberFormat="0" applyAlignment="0" applyProtection="0"/>
    <xf numFmtId="0" fontId="8" fillId="25" borderId="73" applyNumberFormat="0" applyFont="0" applyAlignment="0" applyProtection="0"/>
    <xf numFmtId="0" fontId="8" fillId="25" borderId="67" applyNumberFormat="0" applyFont="0" applyAlignment="0" applyProtection="0"/>
    <xf numFmtId="0" fontId="1" fillId="0" borderId="0"/>
    <xf numFmtId="0" fontId="23" fillId="0" borderId="72" applyNumberFormat="0" applyFill="0" applyAlignment="0" applyProtection="0"/>
    <xf numFmtId="0" fontId="21" fillId="22" borderId="71" applyNumberFormat="0" applyAlignment="0" applyProtection="0"/>
    <xf numFmtId="0" fontId="8" fillId="25" borderId="67" applyNumberFormat="0" applyFont="0" applyAlignment="0" applyProtection="0"/>
    <xf numFmtId="0" fontId="23" fillId="0" borderId="69" applyNumberFormat="0" applyFill="0" applyAlignment="0" applyProtection="0"/>
    <xf numFmtId="0" fontId="11" fillId="22" borderId="70" applyNumberFormat="0" applyAlignment="0" applyProtection="0"/>
    <xf numFmtId="0" fontId="23" fillId="0" borderId="72" applyNumberFormat="0" applyFill="0" applyAlignment="0" applyProtection="0"/>
    <xf numFmtId="0" fontId="8" fillId="25" borderId="73" applyNumberFormat="0" applyFont="0" applyAlignment="0" applyProtection="0"/>
    <xf numFmtId="0" fontId="23" fillId="0" borderId="72" applyNumberFormat="0" applyFill="0" applyAlignment="0" applyProtection="0"/>
    <xf numFmtId="0" fontId="18" fillId="9" borderId="70" applyNumberFormat="0" applyAlignment="0" applyProtection="0"/>
    <xf numFmtId="0" fontId="18" fillId="9" borderId="66" applyNumberFormat="0" applyAlignment="0" applyProtection="0"/>
    <xf numFmtId="0" fontId="21" fillId="22" borderId="68" applyNumberFormat="0" applyAlignment="0" applyProtection="0"/>
    <xf numFmtId="0" fontId="8" fillId="25" borderId="73" applyNumberFormat="0" applyFont="0" applyAlignment="0" applyProtection="0"/>
    <xf numFmtId="0" fontId="21" fillId="22" borderId="68" applyNumberFormat="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11" fillId="22" borderId="70" applyNumberFormat="0" applyAlignment="0" applyProtection="0"/>
    <xf numFmtId="0" fontId="23" fillId="0" borderId="72" applyNumberFormat="0" applyFill="0" applyAlignment="0" applyProtection="0"/>
    <xf numFmtId="0" fontId="23" fillId="0" borderId="72" applyNumberFormat="0" applyFill="0" applyAlignment="0" applyProtection="0"/>
    <xf numFmtId="0" fontId="8" fillId="25" borderId="73" applyNumberFormat="0" applyFont="0" applyAlignment="0" applyProtection="0"/>
    <xf numFmtId="0" fontId="11" fillId="22" borderId="70" applyNumberFormat="0" applyAlignment="0" applyProtection="0"/>
    <xf numFmtId="0" fontId="21" fillId="22" borderId="71" applyNumberFormat="0" applyAlignment="0" applyProtection="0"/>
    <xf numFmtId="0" fontId="23" fillId="0" borderId="72" applyNumberFormat="0" applyFill="0" applyAlignment="0" applyProtection="0"/>
    <xf numFmtId="0" fontId="18" fillId="9" borderId="66" applyNumberFormat="0" applyAlignment="0" applyProtection="0"/>
    <xf numFmtId="0" fontId="23" fillId="0" borderId="69" applyNumberFormat="0" applyFill="0" applyAlignment="0" applyProtection="0"/>
    <xf numFmtId="0" fontId="8" fillId="25" borderId="73" applyNumberFormat="0" applyFont="0" applyAlignment="0" applyProtection="0"/>
    <xf numFmtId="0" fontId="21" fillId="22" borderId="71" applyNumberFormat="0" applyAlignment="0" applyProtection="0"/>
    <xf numFmtId="0" fontId="8" fillId="25" borderId="73" applyNumberFormat="0" applyFont="0" applyAlignment="0" applyProtection="0"/>
    <xf numFmtId="0" fontId="8" fillId="25" borderId="67" applyNumberFormat="0" applyFont="0" applyAlignment="0" applyProtection="0"/>
    <xf numFmtId="0" fontId="21" fillId="22" borderId="71" applyNumberFormat="0" applyAlignment="0" applyProtection="0"/>
    <xf numFmtId="0" fontId="8" fillId="25" borderId="67" applyNumberFormat="0" applyFont="0" applyAlignment="0" applyProtection="0"/>
    <xf numFmtId="0" fontId="21" fillId="22" borderId="68" applyNumberFormat="0" applyAlignment="0" applyProtection="0"/>
    <xf numFmtId="0" fontId="18" fillId="9" borderId="66" applyNumberFormat="0" applyAlignment="0" applyProtection="0"/>
    <xf numFmtId="0" fontId="18" fillId="9" borderId="66" applyNumberFormat="0" applyAlignment="0" applyProtection="0"/>
    <xf numFmtId="0" fontId="23" fillId="0" borderId="69" applyNumberFormat="0" applyFill="0" applyAlignment="0" applyProtection="0"/>
    <xf numFmtId="0" fontId="18" fillId="9" borderId="70" applyNumberFormat="0" applyAlignment="0" applyProtection="0"/>
    <xf numFmtId="0" fontId="8" fillId="25" borderId="73" applyNumberFormat="0" applyFont="0" applyAlignment="0" applyProtection="0"/>
    <xf numFmtId="0" fontId="23" fillId="0" borderId="72" applyNumberFormat="0" applyFill="0" applyAlignment="0" applyProtection="0"/>
    <xf numFmtId="0" fontId="18" fillId="9" borderId="70" applyNumberFormat="0" applyAlignment="0" applyProtection="0"/>
    <xf numFmtId="0" fontId="18" fillId="9" borderId="70" applyNumberFormat="0" applyAlignment="0" applyProtection="0"/>
    <xf numFmtId="0" fontId="11" fillId="22" borderId="70" applyNumberFormat="0" applyAlignment="0" applyProtection="0"/>
    <xf numFmtId="0" fontId="21" fillId="22" borderId="71" applyNumberFormat="0" applyAlignment="0" applyProtection="0"/>
    <xf numFmtId="0" fontId="21" fillId="22" borderId="71" applyNumberFormat="0" applyAlignment="0" applyProtection="0"/>
    <xf numFmtId="0" fontId="18" fillId="9" borderId="70" applyNumberFormat="0" applyAlignment="0" applyProtection="0"/>
    <xf numFmtId="0" fontId="11" fillId="22" borderId="70" applyNumberFormat="0" applyAlignment="0" applyProtection="0"/>
    <xf numFmtId="0" fontId="21" fillId="22" borderId="68" applyNumberFormat="0" applyAlignment="0" applyProtection="0"/>
    <xf numFmtId="0" fontId="23" fillId="0" borderId="69" applyNumberFormat="0" applyFill="0" applyAlignment="0" applyProtection="0"/>
    <xf numFmtId="0" fontId="21" fillId="22" borderId="68" applyNumberFormat="0" applyAlignment="0" applyProtection="0"/>
    <xf numFmtId="0" fontId="11" fillId="22"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8" fillId="9" borderId="66" applyNumberFormat="0" applyAlignment="0" applyProtection="0"/>
    <xf numFmtId="0" fontId="11" fillId="22" borderId="66" applyNumberFormat="0" applyAlignment="0" applyProtection="0"/>
    <xf numFmtId="0" fontId="11" fillId="22" borderId="66" applyNumberFormat="0" applyAlignment="0" applyProtection="0"/>
    <xf numFmtId="0" fontId="11" fillId="22"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1" fillId="22" borderId="66" applyNumberFormat="0" applyAlignment="0" applyProtection="0"/>
    <xf numFmtId="0" fontId="18" fillId="9"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8" fillId="25" borderId="67" applyNumberFormat="0" applyFont="0" applyAlignment="0" applyProtection="0"/>
    <xf numFmtId="0" fontId="21" fillId="22" borderId="68" applyNumberFormat="0" applyAlignment="0" applyProtection="0"/>
    <xf numFmtId="0" fontId="21" fillId="22" borderId="68" applyNumberFormat="0" applyAlignment="0" applyProtection="0"/>
    <xf numFmtId="0" fontId="23" fillId="0" borderId="69" applyNumberFormat="0" applyFill="0" applyAlignment="0" applyProtection="0"/>
    <xf numFmtId="0" fontId="23" fillId="0" borderId="69" applyNumberFormat="0" applyFill="0" applyAlignment="0" applyProtection="0"/>
    <xf numFmtId="0" fontId="8" fillId="25" borderId="67" applyNumberFormat="0" applyFont="0" applyAlignment="0" applyProtection="0"/>
    <xf numFmtId="0" fontId="8" fillId="25" borderId="67" applyNumberFormat="0" applyFont="0" applyAlignment="0" applyProtection="0"/>
    <xf numFmtId="0" fontId="21" fillId="22" borderId="68" applyNumberFormat="0" applyAlignment="0" applyProtection="0"/>
    <xf numFmtId="0" fontId="23" fillId="0" borderId="69" applyNumberFormat="0" applyFill="0" applyAlignment="0" applyProtection="0"/>
    <xf numFmtId="0" fontId="8" fillId="25" borderId="67" applyNumberFormat="0" applyFont="0" applyAlignment="0" applyProtection="0"/>
    <xf numFmtId="0" fontId="11" fillId="22" borderId="66" applyNumberFormat="0" applyAlignment="0" applyProtection="0"/>
    <xf numFmtId="0" fontId="11" fillId="22" borderId="66" applyNumberFormat="0" applyAlignment="0" applyProtection="0"/>
    <xf numFmtId="0" fontId="18" fillId="9" borderId="66" applyNumberFormat="0" applyAlignment="0" applyProtection="0"/>
    <xf numFmtId="0" fontId="21" fillId="22" borderId="68" applyNumberFormat="0" applyAlignment="0" applyProtection="0"/>
    <xf numFmtId="0" fontId="23" fillId="0" borderId="69" applyNumberFormat="0" applyFill="0" applyAlignment="0" applyProtection="0"/>
    <xf numFmtId="0" fontId="11" fillId="22" borderId="66" applyNumberFormat="0" applyAlignment="0" applyProtection="0"/>
    <xf numFmtId="0" fontId="11" fillId="22" borderId="66" applyNumberFormat="0" applyAlignment="0" applyProtection="0"/>
    <xf numFmtId="0" fontId="18" fillId="9" borderId="66" applyNumberFormat="0" applyAlignment="0" applyProtection="0"/>
    <xf numFmtId="0" fontId="18" fillId="9" borderId="66" applyNumberFormat="0" applyAlignment="0" applyProtection="0"/>
    <xf numFmtId="0" fontId="8" fillId="25" borderId="67" applyNumberFormat="0" applyFont="0" applyAlignment="0" applyProtection="0"/>
    <xf numFmtId="0" fontId="8" fillId="25" borderId="67" applyNumberFormat="0" applyFont="0" applyAlignment="0" applyProtection="0"/>
    <xf numFmtId="0" fontId="21" fillId="22" borderId="68" applyNumberFormat="0" applyAlignment="0" applyProtection="0"/>
    <xf numFmtId="0" fontId="21" fillId="22" borderId="68" applyNumberFormat="0" applyAlignment="0" applyProtection="0"/>
    <xf numFmtId="0" fontId="23" fillId="0" borderId="69" applyNumberFormat="0" applyFill="0" applyAlignment="0" applyProtection="0"/>
    <xf numFmtId="0" fontId="23" fillId="0" borderId="69" applyNumberFormat="0" applyFill="0" applyAlignment="0" applyProtection="0"/>
    <xf numFmtId="0" fontId="8" fillId="25" borderId="67" applyNumberFormat="0" applyFont="0" applyAlignment="0" applyProtection="0"/>
    <xf numFmtId="0" fontId="23" fillId="0" borderId="72" applyNumberFormat="0" applyFill="0" applyAlignment="0" applyProtection="0"/>
    <xf numFmtId="0" fontId="23" fillId="0" borderId="72" applyNumberFormat="0" applyFill="0" applyAlignment="0" applyProtection="0"/>
    <xf numFmtId="0" fontId="23" fillId="0" borderId="72" applyNumberFormat="0" applyFill="0" applyAlignment="0" applyProtection="0"/>
    <xf numFmtId="0" fontId="8" fillId="25" borderId="73" applyNumberFormat="0" applyFont="0" applyAlignment="0" applyProtection="0"/>
    <xf numFmtId="0" fontId="23" fillId="0" borderId="72" applyNumberFormat="0" applyFill="0" applyAlignment="0" applyProtection="0"/>
    <xf numFmtId="0" fontId="8" fillId="25" borderId="73" applyNumberFormat="0" applyFont="0" applyAlignment="0" applyProtection="0"/>
    <xf numFmtId="0" fontId="23" fillId="0" borderId="72" applyNumberFormat="0" applyFill="0" applyAlignment="0" applyProtection="0"/>
    <xf numFmtId="0" fontId="11" fillId="22" borderId="70" applyNumberFormat="0" applyAlignment="0" applyProtection="0"/>
    <xf numFmtId="0" fontId="21" fillId="22" borderId="71" applyNumberFormat="0" applyAlignment="0" applyProtection="0"/>
    <xf numFmtId="0" fontId="23" fillId="0" borderId="72" applyNumberFormat="0" applyFill="0" applyAlignment="0" applyProtection="0"/>
    <xf numFmtId="0" fontId="21" fillId="22" borderId="71" applyNumberFormat="0" applyAlignment="0" applyProtection="0"/>
    <xf numFmtId="0" fontId="21" fillId="22" borderId="71" applyNumberFormat="0" applyAlignment="0" applyProtection="0"/>
    <xf numFmtId="0" fontId="8" fillId="25" borderId="73" applyNumberFormat="0" applyFont="0" applyAlignment="0" applyProtection="0"/>
    <xf numFmtId="0" fontId="8" fillId="25" borderId="73" applyNumberFormat="0" applyFont="0" applyAlignment="0" applyProtection="0"/>
    <xf numFmtId="0" fontId="8" fillId="25" borderId="73" applyNumberFormat="0" applyFont="0" applyAlignment="0" applyProtection="0"/>
    <xf numFmtId="0" fontId="18" fillId="9" borderId="70" applyNumberFormat="0" applyAlignment="0" applyProtection="0"/>
    <xf numFmtId="0" fontId="11" fillId="22" borderId="70" applyNumberFormat="0" applyAlignment="0" applyProtection="0"/>
    <xf numFmtId="0" fontId="23" fillId="0" borderId="72" applyNumberFormat="0" applyFill="0" applyAlignment="0" applyProtection="0"/>
    <xf numFmtId="0" fontId="21" fillId="22" borderId="71" applyNumberFormat="0" applyAlignment="0" applyProtection="0"/>
    <xf numFmtId="0" fontId="11" fillId="22" borderId="70" applyNumberFormat="0" applyAlignment="0" applyProtection="0"/>
    <xf numFmtId="0" fontId="8" fillId="25" borderId="73" applyNumberFormat="0" applyFont="0" applyAlignment="0" applyProtection="0"/>
    <xf numFmtId="0" fontId="18" fillId="9" borderId="70" applyNumberFormat="0" applyAlignment="0" applyProtection="0"/>
    <xf numFmtId="0" fontId="21" fillId="22" borderId="71" applyNumberFormat="0" applyAlignment="0" applyProtection="0"/>
    <xf numFmtId="0" fontId="18" fillId="9"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18" fillId="9" borderId="70" applyNumberFormat="0" applyAlignment="0" applyProtection="0"/>
    <xf numFmtId="0" fontId="18" fillId="9" borderId="70" applyNumberFormat="0" applyAlignment="0" applyProtection="0"/>
    <xf numFmtId="0" fontId="1" fillId="0" borderId="0"/>
    <xf numFmtId="0" fontId="1"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20" fillId="24" borderId="0" applyNumberFormat="0" applyBorder="0" applyAlignment="0" applyProtection="0"/>
    <xf numFmtId="43" fontId="25" fillId="0" borderId="0" applyFont="0" applyFill="0" applyBorder="0" applyAlignment="0" applyProtection="0"/>
    <xf numFmtId="0" fontId="25" fillId="0" borderId="0"/>
    <xf numFmtId="0" fontId="11" fillId="22"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8" fillId="9" borderId="70" applyNumberFormat="0" applyAlignment="0" applyProtection="0"/>
    <xf numFmtId="0" fontId="11" fillId="22"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8" fillId="9" borderId="70" applyNumberFormat="0" applyAlignment="0" applyProtection="0"/>
    <xf numFmtId="0" fontId="11" fillId="22"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70" applyNumberFormat="0" applyAlignment="0" applyProtection="0"/>
    <xf numFmtId="0" fontId="11" fillId="22" borderId="70" applyNumberFormat="0" applyAlignment="0" applyProtection="0"/>
    <xf numFmtId="0" fontId="18" fillId="9"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8" fillId="25" borderId="73" applyNumberFormat="0" applyFont="0" applyAlignment="0" applyProtection="0"/>
    <xf numFmtId="0" fontId="21" fillId="22" borderId="71" applyNumberFormat="0" applyAlignment="0" applyProtection="0"/>
    <xf numFmtId="0" fontId="21" fillId="22" borderId="71" applyNumberFormat="0" applyAlignment="0" applyProtection="0"/>
    <xf numFmtId="0" fontId="23" fillId="0" borderId="72" applyNumberFormat="0" applyFill="0" applyAlignment="0" applyProtection="0"/>
    <xf numFmtId="0" fontId="23" fillId="0" borderId="72" applyNumberFormat="0" applyFill="0" applyAlignment="0" applyProtection="0"/>
    <xf numFmtId="0" fontId="8" fillId="25" borderId="73" applyNumberFormat="0" applyFont="0" applyAlignment="0" applyProtection="0"/>
    <xf numFmtId="0" fontId="8" fillId="9" borderId="0" applyNumberFormat="0" applyBorder="0" applyAlignment="0" applyProtection="0"/>
    <xf numFmtId="0" fontId="9" fillId="17" borderId="0" applyNumberFormat="0" applyBorder="0" applyAlignment="0" applyProtection="0"/>
    <xf numFmtId="0" fontId="9" fillId="15" borderId="0" applyNumberFormat="0" applyBorder="0" applyAlignment="0" applyProtection="0"/>
    <xf numFmtId="0" fontId="9" fillId="14" borderId="0" applyNumberFormat="0" applyBorder="0" applyAlignment="0" applyProtection="0"/>
    <xf numFmtId="0" fontId="1" fillId="0" borderId="0"/>
    <xf numFmtId="0" fontId="10" fillId="5" borderId="0" applyNumberFormat="0" applyBorder="0" applyAlignment="0" applyProtection="0"/>
    <xf numFmtId="0" fontId="8" fillId="6" borderId="0" applyNumberFormat="0" applyBorder="0" applyAlignment="0" applyProtection="0"/>
    <xf numFmtId="0" fontId="12" fillId="23" borderId="17" applyNumberFormat="0" applyAlignment="0" applyProtection="0"/>
    <xf numFmtId="0" fontId="8" fillId="8" borderId="0" applyNumberFormat="0" applyBorder="0" applyAlignment="0" applyProtection="0"/>
    <xf numFmtId="0" fontId="19" fillId="0" borderId="21" applyNumberFormat="0" applyFill="0" applyAlignment="0" applyProtection="0"/>
    <xf numFmtId="0" fontId="16" fillId="0" borderId="19" applyNumberFormat="0" applyFill="0" applyAlignment="0" applyProtection="0"/>
    <xf numFmtId="0" fontId="15" fillId="0" borderId="18" applyNumberFormat="0" applyFill="0" applyAlignment="0" applyProtection="0"/>
    <xf numFmtId="0" fontId="14" fillId="6" borderId="0" applyNumberFormat="0" applyBorder="0" applyAlignment="0" applyProtection="0"/>
    <xf numFmtId="9" fontId="1" fillId="0" borderId="0" applyFont="0" applyFill="0" applyBorder="0" applyAlignment="0" applyProtection="0"/>
    <xf numFmtId="0" fontId="8" fillId="5" borderId="0" applyNumberFormat="0" applyBorder="0" applyAlignment="0" applyProtection="0"/>
    <xf numFmtId="0" fontId="8" fillId="7" borderId="0" applyNumberFormat="0" applyBorder="0" applyAlignment="0" applyProtection="0"/>
    <xf numFmtId="0" fontId="17"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9" fillId="15" borderId="0" applyNumberFormat="0" applyBorder="0" applyAlignment="0" applyProtection="0"/>
    <xf numFmtId="0" fontId="22" fillId="0" borderId="0" applyNumberFormat="0" applyFill="0" applyBorder="0" applyAlignment="0" applyProtection="0"/>
    <xf numFmtId="0" fontId="9" fillId="20" borderId="0" applyNumberFormat="0" applyBorder="0" applyAlignment="0" applyProtection="0"/>
    <xf numFmtId="0" fontId="8" fillId="13" borderId="0" applyNumberFormat="0" applyBorder="0" applyAlignment="0" applyProtection="0"/>
    <xf numFmtId="0" fontId="13" fillId="0" borderId="0" applyNumberFormat="0" applyFill="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8" fillId="10" borderId="0" applyNumberFormat="0" applyBorder="0" applyAlignment="0" applyProtection="0"/>
    <xf numFmtId="0" fontId="24" fillId="0" borderId="0" applyNumberFormat="0" applyFill="0" applyBorder="0" applyAlignment="0" applyProtection="0"/>
    <xf numFmtId="0" fontId="9" fillId="18" borderId="0" applyNumberFormat="0" applyBorder="0" applyAlignment="0" applyProtection="0"/>
    <xf numFmtId="0" fontId="9" fillId="21" borderId="0" applyNumberFormat="0" applyBorder="0" applyAlignment="0" applyProtection="0"/>
    <xf numFmtId="0" fontId="8" fillId="7" borderId="0" applyNumberFormat="0" applyBorder="0" applyAlignment="0" applyProtection="0"/>
    <xf numFmtId="0" fontId="9" fillId="11" borderId="0" applyNumberFormat="0" applyBorder="0" applyAlignment="0" applyProtection="0"/>
    <xf numFmtId="0" fontId="9" fillId="16" borderId="0" applyNumberFormat="0" applyBorder="0" applyAlignment="0" applyProtection="0"/>
    <xf numFmtId="0" fontId="8" fillId="25" borderId="73" applyNumberFormat="0" applyFont="0" applyAlignment="0" applyProtection="0"/>
    <xf numFmtId="0" fontId="11" fillId="22"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8" fillId="9" borderId="70" applyNumberFormat="0" applyAlignment="0" applyProtection="0"/>
    <xf numFmtId="0" fontId="11" fillId="22"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8" fillId="9" borderId="70" applyNumberFormat="0" applyAlignment="0" applyProtection="0"/>
    <xf numFmtId="0" fontId="11" fillId="22"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21" fillId="22" borderId="71" applyNumberFormat="0" applyAlignment="0" applyProtection="0"/>
    <xf numFmtId="0" fontId="23" fillId="0" borderId="72" applyNumberFormat="0" applyFill="0" applyAlignment="0" applyProtection="0"/>
    <xf numFmtId="0" fontId="11" fillId="22" borderId="70" applyNumberFormat="0" applyAlignment="0" applyProtection="0"/>
    <xf numFmtId="0" fontId="11" fillId="22" borderId="70" applyNumberFormat="0" applyAlignment="0" applyProtection="0"/>
    <xf numFmtId="0" fontId="18" fillId="9" borderId="70" applyNumberFormat="0" applyAlignment="0" applyProtection="0"/>
    <xf numFmtId="0" fontId="18" fillId="9" borderId="70" applyNumberFormat="0" applyAlignment="0" applyProtection="0"/>
    <xf numFmtId="0" fontId="8" fillId="25" borderId="73" applyNumberFormat="0" applyFont="0" applyAlignment="0" applyProtection="0"/>
    <xf numFmtId="0" fontId="8" fillId="25" borderId="73" applyNumberFormat="0" applyFont="0" applyAlignment="0" applyProtection="0"/>
    <xf numFmtId="0" fontId="21" fillId="22" borderId="71" applyNumberFormat="0" applyAlignment="0" applyProtection="0"/>
    <xf numFmtId="0" fontId="21" fillId="22" borderId="71" applyNumberFormat="0" applyAlignment="0" applyProtection="0"/>
    <xf numFmtId="0" fontId="23" fillId="0" borderId="72" applyNumberFormat="0" applyFill="0" applyAlignment="0" applyProtection="0"/>
    <xf numFmtId="0" fontId="23" fillId="0" borderId="72" applyNumberFormat="0" applyFill="0" applyAlignment="0" applyProtection="0"/>
    <xf numFmtId="0" fontId="8" fillId="25" borderId="73" applyNumberFormat="0" applyFont="0" applyAlignment="0" applyProtection="0"/>
    <xf numFmtId="0" fontId="40" fillId="0" borderId="0"/>
    <xf numFmtId="0" fontId="25" fillId="0" borderId="0"/>
    <xf numFmtId="9" fontId="25" fillId="0" borderId="0" applyFont="0" applyFill="0" applyBorder="0" applyAlignment="0" applyProtection="0"/>
    <xf numFmtId="0" fontId="1" fillId="0" borderId="0"/>
    <xf numFmtId="0" fontId="1" fillId="0" borderId="0"/>
    <xf numFmtId="0" fontId="32" fillId="0" borderId="0" applyNumberFormat="0" applyFill="0" applyBorder="0" applyAlignment="0" applyProtection="0"/>
    <xf numFmtId="0" fontId="1" fillId="0" borderId="0"/>
    <xf numFmtId="0" fontId="1" fillId="0" borderId="0"/>
    <xf numFmtId="0" fontId="42" fillId="0" borderId="0"/>
    <xf numFmtId="0" fontId="30" fillId="0" borderId="0"/>
    <xf numFmtId="9"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1" fillId="0" borderId="0"/>
    <xf numFmtId="0" fontId="41" fillId="0" borderId="0"/>
    <xf numFmtId="0" fontId="41" fillId="0" borderId="0"/>
    <xf numFmtId="0" fontId="41" fillId="0" borderId="0"/>
    <xf numFmtId="0" fontId="30" fillId="0" borderId="0"/>
    <xf numFmtId="0" fontId="1" fillId="0" borderId="0"/>
    <xf numFmtId="9" fontId="25" fillId="0" borderId="0" applyFont="0" applyFill="0" applyBorder="0" applyAlignment="0" applyProtection="0"/>
    <xf numFmtId="0" fontId="1" fillId="0" borderId="0"/>
    <xf numFmtId="0" fontId="1" fillId="0" borderId="0"/>
    <xf numFmtId="9" fontId="25" fillId="0" borderId="0" applyFont="0" applyFill="0" applyBorder="0" applyAlignment="0" applyProtection="0"/>
    <xf numFmtId="0" fontId="25" fillId="0" borderId="0"/>
    <xf numFmtId="0" fontId="25" fillId="0" borderId="0"/>
    <xf numFmtId="0" fontId="25" fillId="0" borderId="0"/>
    <xf numFmtId="0" fontId="1" fillId="0" borderId="0"/>
    <xf numFmtId="0" fontId="25" fillId="0" borderId="0"/>
    <xf numFmtId="0" fontId="1" fillId="0" borderId="0"/>
    <xf numFmtId="0" fontId="32"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25" borderId="83" applyNumberFormat="0" applyFont="0" applyAlignment="0" applyProtection="0"/>
    <xf numFmtId="0" fontId="11" fillId="22" borderId="82" applyNumberFormat="0" applyAlignment="0" applyProtection="0"/>
    <xf numFmtId="0" fontId="8" fillId="25" borderId="83" applyNumberFormat="0" applyFont="0" applyAlignment="0" applyProtection="0"/>
    <xf numFmtId="0" fontId="21" fillId="22" borderId="84" applyNumberFormat="0" applyAlignment="0" applyProtection="0"/>
    <xf numFmtId="0" fontId="18" fillId="9" borderId="82" applyNumberFormat="0" applyAlignment="0" applyProtection="0"/>
    <xf numFmtId="0" fontId="18" fillId="9" borderId="82" applyNumberFormat="0" applyAlignment="0" applyProtection="0"/>
    <xf numFmtId="0" fontId="8" fillId="25" borderId="83" applyNumberFormat="0" applyFont="0" applyAlignment="0" applyProtection="0"/>
    <xf numFmtId="0" fontId="23" fillId="0" borderId="85" applyNumberFormat="0" applyFill="0" applyAlignment="0" applyProtection="0"/>
    <xf numFmtId="0" fontId="23" fillId="0" borderId="85" applyNumberFormat="0" applyFill="0" applyAlignment="0" applyProtection="0"/>
    <xf numFmtId="0" fontId="21" fillId="22" borderId="84" applyNumberFormat="0" applyAlignment="0" applyProtection="0"/>
    <xf numFmtId="0" fontId="21" fillId="22" borderId="84"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18" fillId="9" borderId="82" applyNumberFormat="0" applyAlignment="0" applyProtection="0"/>
    <xf numFmtId="0" fontId="18" fillId="9" borderId="82" applyNumberFormat="0" applyAlignment="0" applyProtection="0"/>
    <xf numFmtId="0" fontId="11" fillId="22" borderId="82" applyNumberFormat="0" applyAlignment="0" applyProtection="0"/>
    <xf numFmtId="0" fontId="11" fillId="22"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1" fillId="22"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1" fillId="22" borderId="82"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23" fillId="0" borderId="85" applyNumberFormat="0" applyFill="0" applyAlignment="0" applyProtection="0"/>
    <xf numFmtId="0" fontId="23" fillId="0" borderId="85" applyNumberFormat="0" applyFill="0" applyAlignment="0" applyProtection="0"/>
    <xf numFmtId="0" fontId="21" fillId="22" borderId="84" applyNumberFormat="0" applyAlignment="0" applyProtection="0"/>
    <xf numFmtId="0" fontId="21" fillId="22" borderId="84"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18" fillId="9" borderId="82" applyNumberFormat="0" applyAlignment="0" applyProtection="0"/>
    <xf numFmtId="0" fontId="18" fillId="9" borderId="82" applyNumberFormat="0" applyAlignment="0" applyProtection="0"/>
    <xf numFmtId="0" fontId="11" fillId="22" borderId="82" applyNumberFormat="0" applyAlignment="0" applyProtection="0"/>
    <xf numFmtId="0" fontId="11" fillId="22" borderId="82"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11" fillId="22" borderId="82" applyNumberFormat="0" applyAlignment="0" applyProtection="0"/>
    <xf numFmtId="0" fontId="8" fillId="25" borderId="83" applyNumberFormat="0" applyFont="0" applyAlignment="0" applyProtection="0"/>
    <xf numFmtId="0" fontId="18" fillId="9" borderId="82" applyNumberFormat="0" applyAlignment="0" applyProtection="0"/>
    <xf numFmtId="0" fontId="21" fillId="22" borderId="84" applyNumberFormat="0" applyAlignment="0" applyProtection="0"/>
    <xf numFmtId="0" fontId="8" fillId="25" borderId="83" applyNumberFormat="0" applyFont="0" applyAlignment="0" applyProtection="0"/>
    <xf numFmtId="0" fontId="23" fillId="0" borderId="85" applyNumberFormat="0" applyFill="0" applyAlignment="0" applyProtection="0"/>
    <xf numFmtId="0" fontId="21" fillId="22" borderId="84" applyNumberFormat="0" applyAlignment="0" applyProtection="0"/>
    <xf numFmtId="0" fontId="11" fillId="22" borderId="82" applyNumberFormat="0" applyAlignment="0" applyProtection="0"/>
    <xf numFmtId="0" fontId="23" fillId="0" borderId="85" applyNumberFormat="0" applyFill="0" applyAlignment="0" applyProtection="0"/>
    <xf numFmtId="0" fontId="11" fillId="22"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11" fillId="22" borderId="82" applyNumberFormat="0" applyAlignment="0" applyProtection="0"/>
    <xf numFmtId="0" fontId="21" fillId="22" borderId="84" applyNumberFormat="0" applyAlignment="0" applyProtection="0"/>
    <xf numFmtId="0" fontId="8" fillId="25" borderId="83" applyNumberFormat="0" applyFont="0" applyAlignment="0" applyProtection="0"/>
    <xf numFmtId="0" fontId="11" fillId="22" borderId="82" applyNumberFormat="0" applyAlignment="0" applyProtection="0"/>
    <xf numFmtId="0" fontId="8" fillId="25" borderId="83" applyNumberFormat="0" applyFont="0" applyAlignment="0" applyProtection="0"/>
    <xf numFmtId="0" fontId="21" fillId="22" borderId="84" applyNumberFormat="0" applyAlignment="0" applyProtection="0"/>
    <xf numFmtId="0" fontId="18" fillId="9" borderId="82" applyNumberFormat="0" applyAlignment="0" applyProtection="0"/>
    <xf numFmtId="0" fontId="21" fillId="22" borderId="84"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21" fillId="22" borderId="84"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23" fillId="0" borderId="85" applyNumberFormat="0" applyFill="0" applyAlignment="0" applyProtection="0"/>
    <xf numFmtId="0" fontId="8" fillId="25" borderId="83" applyNumberFormat="0" applyFont="0" applyAlignment="0" applyProtection="0"/>
    <xf numFmtId="0" fontId="23" fillId="0" borderId="85" applyNumberFormat="0" applyFill="0" applyAlignment="0" applyProtection="0"/>
    <xf numFmtId="0" fontId="8" fillId="25" borderId="83" applyNumberFormat="0" applyFont="0" applyAlignment="0" applyProtection="0"/>
    <xf numFmtId="0" fontId="21" fillId="22" borderId="84" applyNumberFormat="0" applyAlignment="0" applyProtection="0"/>
    <xf numFmtId="0" fontId="21" fillId="22" borderId="84" applyNumberFormat="0" applyAlignment="0" applyProtection="0"/>
    <xf numFmtId="0" fontId="18" fillId="9"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11" fillId="22" borderId="82"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23" fillId="0" borderId="85" applyNumberFormat="0" applyFill="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1" fillId="22" borderId="82" applyNumberFormat="0" applyAlignment="0" applyProtection="0"/>
    <xf numFmtId="0" fontId="11" fillId="22" borderId="82" applyNumberFormat="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18" fillId="9" borderId="82" applyNumberFormat="0" applyAlignment="0" applyProtection="0"/>
    <xf numFmtId="0" fontId="8" fillId="25" borderId="83" applyNumberFormat="0" applyFont="0" applyAlignment="0" applyProtection="0"/>
    <xf numFmtId="0" fontId="11" fillId="22" borderId="82" applyNumberFormat="0" applyAlignment="0" applyProtection="0"/>
    <xf numFmtId="0" fontId="11" fillId="22" borderId="82" applyNumberFormat="0" applyAlignment="0" applyProtection="0"/>
    <xf numFmtId="0" fontId="18" fillId="9" borderId="82" applyNumberFormat="0" applyAlignment="0" applyProtection="0"/>
    <xf numFmtId="0" fontId="21" fillId="22" borderId="84" applyNumberFormat="0" applyAlignment="0" applyProtection="0"/>
    <xf numFmtId="0" fontId="18" fillId="9" borderId="82" applyNumberFormat="0" applyAlignment="0" applyProtection="0"/>
    <xf numFmtId="0" fontId="8" fillId="25" borderId="83" applyNumberFormat="0" applyFont="0" applyAlignment="0" applyProtection="0"/>
    <xf numFmtId="0" fontId="18" fillId="9" borderId="82" applyNumberFormat="0" applyAlignment="0" applyProtection="0"/>
    <xf numFmtId="0" fontId="18" fillId="9" borderId="82" applyNumberFormat="0" applyAlignment="0" applyProtection="0"/>
    <xf numFmtId="0" fontId="21" fillId="22" borderId="84"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23" fillId="0" borderId="85" applyNumberFormat="0" applyFill="0" applyAlignment="0" applyProtection="0"/>
    <xf numFmtId="0" fontId="18" fillId="9" borderId="82" applyNumberFormat="0" applyAlignment="0" applyProtection="0"/>
    <xf numFmtId="0" fontId="11" fillId="22" borderId="82" applyNumberFormat="0" applyAlignment="0" applyProtection="0"/>
    <xf numFmtId="0" fontId="8" fillId="25" borderId="83" applyNumberFormat="0" applyFont="0" applyAlignment="0" applyProtection="0"/>
    <xf numFmtId="0" fontId="23" fillId="0" borderId="85" applyNumberFormat="0" applyFill="0" applyAlignment="0" applyProtection="0"/>
    <xf numFmtId="0" fontId="23" fillId="0" borderId="85" applyNumberFormat="0" applyFill="0" applyAlignment="0" applyProtection="0"/>
    <xf numFmtId="0" fontId="18" fillId="9" borderId="82" applyNumberFormat="0" applyAlignment="0" applyProtection="0"/>
    <xf numFmtId="0" fontId="8" fillId="25" borderId="83" applyNumberFormat="0" applyFont="0" applyAlignment="0" applyProtection="0"/>
    <xf numFmtId="0" fontId="21" fillId="22" borderId="84" applyNumberFormat="0" applyAlignment="0" applyProtection="0"/>
    <xf numFmtId="0" fontId="18" fillId="9" borderId="82" applyNumberFormat="0" applyAlignment="0" applyProtection="0"/>
    <xf numFmtId="0" fontId="8" fillId="25" borderId="83" applyNumberFormat="0" applyFont="0" applyAlignment="0" applyProtection="0"/>
    <xf numFmtId="0" fontId="23" fillId="0" borderId="85" applyNumberFormat="0" applyFill="0" applyAlignment="0" applyProtection="0"/>
    <xf numFmtId="0" fontId="8" fillId="25" borderId="83" applyNumberFormat="0" applyFont="0" applyAlignment="0" applyProtection="0"/>
    <xf numFmtId="0" fontId="8" fillId="25" borderId="83" applyNumberFormat="0" applyFont="0" applyAlignment="0" applyProtection="0"/>
    <xf numFmtId="0" fontId="8" fillId="25" borderId="83" applyNumberFormat="0" applyFont="0" applyAlignment="0" applyProtection="0"/>
    <xf numFmtId="0" fontId="8" fillId="25" borderId="83" applyNumberFormat="0" applyFont="0" applyAlignment="0" applyProtection="0"/>
    <xf numFmtId="0" fontId="11" fillId="22" borderId="82" applyNumberFormat="0" applyAlignment="0" applyProtection="0"/>
    <xf numFmtId="0" fontId="8" fillId="25" borderId="83" applyNumberFormat="0" applyFont="0" applyAlignment="0" applyProtection="0"/>
    <xf numFmtId="0" fontId="11" fillId="22" borderId="82" applyNumberFormat="0" applyAlignment="0" applyProtection="0"/>
    <xf numFmtId="0" fontId="23" fillId="0" borderId="85" applyNumberFormat="0" applyFill="0" applyAlignment="0" applyProtection="0"/>
    <xf numFmtId="0" fontId="18" fillId="9" borderId="82" applyNumberFormat="0" applyAlignment="0" applyProtection="0"/>
    <xf numFmtId="0" fontId="18" fillId="9" borderId="82" applyNumberFormat="0" applyAlignment="0" applyProtection="0"/>
    <xf numFmtId="0" fontId="21" fillId="22" borderId="84" applyNumberFormat="0" applyAlignment="0" applyProtection="0"/>
    <xf numFmtId="0" fontId="21" fillId="22" borderId="84" applyNumberFormat="0" applyAlignment="0" applyProtection="0"/>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18" fillId="9" borderId="82" applyNumberFormat="0" applyAlignment="0" applyProtection="0"/>
    <xf numFmtId="0" fontId="8" fillId="25" borderId="83" applyNumberFormat="0" applyFont="0" applyAlignment="0" applyProtection="0"/>
    <xf numFmtId="0" fontId="21" fillId="22" borderId="84" applyNumberFormat="0" applyAlignment="0" applyProtection="0"/>
    <xf numFmtId="0" fontId="23" fillId="0" borderId="85" applyNumberFormat="0" applyFill="0" applyAlignment="0" applyProtection="0"/>
    <xf numFmtId="0" fontId="18" fillId="9" borderId="82" applyNumberFormat="0" applyAlignment="0" applyProtection="0"/>
    <xf numFmtId="0" fontId="23" fillId="0" borderId="85" applyNumberFormat="0" applyFill="0" applyAlignment="0" applyProtection="0"/>
    <xf numFmtId="0" fontId="23" fillId="0" borderId="85" applyNumberFormat="0" applyFill="0" applyAlignment="0" applyProtection="0"/>
    <xf numFmtId="0" fontId="18" fillId="9" borderId="82" applyNumberFormat="0" applyAlignment="0" applyProtection="0"/>
    <xf numFmtId="0" fontId="21" fillId="22" borderId="84" applyNumberFormat="0" applyAlignment="0" applyProtection="0"/>
    <xf numFmtId="0" fontId="21" fillId="22" borderId="84"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18" fillId="9" borderId="82" applyNumberFormat="0" applyAlignment="0" applyProtection="0"/>
    <xf numFmtId="0" fontId="18" fillId="9" borderId="82"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21" fillId="22" borderId="84" applyNumberFormat="0" applyAlignment="0" applyProtection="0"/>
    <xf numFmtId="0" fontId="21" fillId="22" borderId="84" applyNumberFormat="0" applyAlignment="0" applyProtection="0"/>
    <xf numFmtId="0" fontId="21" fillId="22" borderId="84" applyNumberFormat="0" applyAlignment="0" applyProtection="0"/>
    <xf numFmtId="0" fontId="18" fillId="9" borderId="82"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21" fillId="22" borderId="84" applyNumberFormat="0" applyAlignment="0" applyProtection="0"/>
    <xf numFmtId="0" fontId="18" fillId="9" borderId="82" applyNumberFormat="0" applyAlignment="0" applyProtection="0"/>
    <xf numFmtId="0" fontId="8" fillId="25" borderId="83" applyNumberFormat="0" applyFont="0" applyAlignment="0" applyProtection="0"/>
    <xf numFmtId="0" fontId="21" fillId="22" borderId="84"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18" fillId="9" borderId="82" applyNumberFormat="0" applyAlignment="0" applyProtection="0"/>
    <xf numFmtId="0" fontId="8" fillId="25" borderId="83" applyNumberFormat="0" applyFont="0" applyAlignment="0" applyProtection="0"/>
    <xf numFmtId="0" fontId="23" fillId="0" borderId="85" applyNumberFormat="0" applyFill="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21" fillId="22" borderId="84" applyNumberFormat="0" applyAlignment="0" applyProtection="0"/>
    <xf numFmtId="0" fontId="8" fillId="25" borderId="83" applyNumberFormat="0" applyFont="0" applyAlignment="0" applyProtection="0"/>
    <xf numFmtId="0" fontId="11" fillId="22" borderId="82" applyNumberFormat="0" applyAlignment="0" applyProtection="0"/>
    <xf numFmtId="0" fontId="21" fillId="22" borderId="84" applyNumberFormat="0" applyAlignment="0" applyProtection="0"/>
    <xf numFmtId="0" fontId="21" fillId="22" borderId="84" applyNumberFormat="0" applyAlignment="0" applyProtection="0"/>
    <xf numFmtId="0" fontId="11" fillId="22" borderId="82" applyNumberFormat="0" applyAlignment="0" applyProtection="0"/>
    <xf numFmtId="0" fontId="8" fillId="25" borderId="83" applyNumberFormat="0" applyFont="0" applyAlignment="0" applyProtection="0"/>
    <xf numFmtId="0" fontId="21" fillId="22" borderId="84" applyNumberFormat="0" applyAlignment="0" applyProtection="0"/>
    <xf numFmtId="0" fontId="18" fillId="9" borderId="82"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23" fillId="0" borderId="85" applyNumberFormat="0" applyFill="0" applyAlignment="0" applyProtection="0"/>
    <xf numFmtId="0" fontId="23" fillId="0" borderId="85" applyNumberFormat="0" applyFill="0" applyAlignment="0" applyProtection="0"/>
    <xf numFmtId="0" fontId="21" fillId="22" borderId="84" applyNumberFormat="0" applyAlignment="0" applyProtection="0"/>
    <xf numFmtId="0" fontId="21" fillId="22" borderId="84"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18" fillId="9" borderId="82" applyNumberFormat="0" applyAlignment="0" applyProtection="0"/>
    <xf numFmtId="0" fontId="18" fillId="9" borderId="82" applyNumberFormat="0" applyAlignment="0" applyProtection="0"/>
    <xf numFmtId="0" fontId="11" fillId="22" borderId="82" applyNumberFormat="0" applyAlignment="0" applyProtection="0"/>
    <xf numFmtId="0" fontId="11" fillId="22"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1" fillId="22"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21" fillId="22" borderId="84" applyNumberFormat="0" applyAlignment="0" applyProtection="0"/>
    <xf numFmtId="0" fontId="11" fillId="22" borderId="82" applyNumberFormat="0" applyAlignment="0" applyProtection="0"/>
    <xf numFmtId="0" fontId="23" fillId="0" borderId="85" applyNumberFormat="0" applyFill="0" applyAlignment="0" applyProtection="0"/>
    <xf numFmtId="0" fontId="18" fillId="9" borderId="82" applyNumberFormat="0" applyAlignment="0" applyProtection="0"/>
    <xf numFmtId="0" fontId="11" fillId="22" borderId="82" applyNumberFormat="0" applyAlignment="0" applyProtection="0"/>
    <xf numFmtId="0" fontId="18" fillId="9" borderId="82" applyNumberFormat="0" applyAlignment="0" applyProtection="0"/>
    <xf numFmtId="0" fontId="11" fillId="22" borderId="82" applyNumberFormat="0" applyAlignment="0" applyProtection="0"/>
    <xf numFmtId="0" fontId="18" fillId="9" borderId="82" applyNumberFormat="0" applyAlignment="0" applyProtection="0"/>
    <xf numFmtId="0" fontId="11" fillId="22" borderId="82" applyNumberFormat="0" applyAlignment="0" applyProtection="0"/>
    <xf numFmtId="0" fontId="21" fillId="22" borderId="84" applyNumberFormat="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8" fillId="25" borderId="83" applyNumberFormat="0" applyFont="0" applyAlignment="0" applyProtection="0"/>
    <xf numFmtId="0" fontId="11" fillId="22" borderId="82" applyNumberFormat="0" applyAlignment="0" applyProtection="0"/>
    <xf numFmtId="0" fontId="8" fillId="25" borderId="83" applyNumberFormat="0" applyFont="0" applyAlignment="0" applyProtection="0"/>
    <xf numFmtId="0" fontId="18" fillId="9" borderId="82" applyNumberFormat="0" applyAlignment="0" applyProtection="0"/>
    <xf numFmtId="0" fontId="21" fillId="22" borderId="84" applyNumberFormat="0" applyAlignment="0" applyProtection="0"/>
    <xf numFmtId="0" fontId="8" fillId="25" borderId="83" applyNumberFormat="0" applyFont="0" applyAlignment="0" applyProtection="0"/>
    <xf numFmtId="0" fontId="23" fillId="0" borderId="85" applyNumberFormat="0" applyFill="0" applyAlignment="0" applyProtection="0"/>
    <xf numFmtId="0" fontId="21" fillId="22" borderId="84"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23" fillId="0" borderId="85" applyNumberFormat="0" applyFill="0" applyAlignment="0" applyProtection="0"/>
    <xf numFmtId="0" fontId="18" fillId="9" borderId="82" applyNumberFormat="0" applyAlignment="0" applyProtection="0"/>
    <xf numFmtId="0" fontId="11" fillId="22" borderId="82" applyNumberFormat="0" applyAlignment="0" applyProtection="0"/>
    <xf numFmtId="0" fontId="21" fillId="22" borderId="84" applyNumberFormat="0" applyAlignment="0" applyProtection="0"/>
    <xf numFmtId="0" fontId="8" fillId="25" borderId="83" applyNumberFormat="0" applyFont="0" applyAlignment="0" applyProtection="0"/>
    <xf numFmtId="0" fontId="23" fillId="0" borderId="85" applyNumberFormat="0" applyFill="0" applyAlignment="0" applyProtection="0"/>
    <xf numFmtId="0" fontId="23" fillId="0" borderId="85" applyNumberFormat="0" applyFill="0" applyAlignment="0" applyProtection="0"/>
    <xf numFmtId="0" fontId="8" fillId="25" borderId="83" applyNumberFormat="0" applyFont="0" applyAlignment="0" applyProtection="0"/>
    <xf numFmtId="0" fontId="8" fillId="25" borderId="83" applyNumberFormat="0" applyFont="0" applyAlignment="0" applyProtection="0"/>
    <xf numFmtId="0" fontId="11" fillId="22"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23" fillId="0" borderId="85" applyNumberFormat="0" applyFill="0" applyAlignment="0" applyProtection="0"/>
    <xf numFmtId="0" fontId="21" fillId="22" borderId="84" applyNumberFormat="0" applyAlignment="0" applyProtection="0"/>
    <xf numFmtId="0" fontId="23" fillId="0" borderId="85" applyNumberFormat="0" applyFill="0" applyAlignment="0" applyProtection="0"/>
    <xf numFmtId="0" fontId="23" fillId="0" borderId="85" applyNumberFormat="0" applyFill="0" applyAlignment="0" applyProtection="0"/>
    <xf numFmtId="0" fontId="8" fillId="25" borderId="83" applyNumberFormat="0" applyFont="0" applyAlignment="0" applyProtection="0"/>
    <xf numFmtId="0" fontId="18" fillId="9" borderId="82" applyNumberFormat="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21" fillId="22" borderId="84" applyNumberFormat="0" applyAlignment="0" applyProtection="0"/>
    <xf numFmtId="0" fontId="11" fillId="22" borderId="82" applyNumberFormat="0" applyAlignment="0" applyProtection="0"/>
    <xf numFmtId="0" fontId="21" fillId="22" borderId="84" applyNumberFormat="0" applyAlignment="0" applyProtection="0"/>
    <xf numFmtId="0" fontId="11" fillId="22" borderId="82" applyNumberFormat="0" applyAlignment="0" applyProtection="0"/>
    <xf numFmtId="0" fontId="23" fillId="0" borderId="85" applyNumberFormat="0" applyFill="0" applyAlignment="0" applyProtection="0"/>
    <xf numFmtId="0" fontId="11" fillId="22" borderId="82" applyNumberFormat="0" applyAlignment="0" applyProtection="0"/>
    <xf numFmtId="0" fontId="18" fillId="9" borderId="82" applyNumberFormat="0" applyAlignment="0" applyProtection="0"/>
    <xf numFmtId="0" fontId="11" fillId="22" borderId="82" applyNumberFormat="0" applyAlignment="0" applyProtection="0"/>
    <xf numFmtId="0" fontId="11" fillId="22" borderId="82" applyNumberFormat="0" applyAlignment="0" applyProtection="0"/>
    <xf numFmtId="0" fontId="11" fillId="22" borderId="82" applyNumberFormat="0" applyAlignment="0" applyProtection="0"/>
    <xf numFmtId="0" fontId="11" fillId="22" borderId="82" applyNumberFormat="0" applyAlignment="0" applyProtection="0"/>
    <xf numFmtId="0" fontId="18" fillId="9" borderId="82" applyNumberFormat="0" applyAlignment="0" applyProtection="0"/>
    <xf numFmtId="0" fontId="8" fillId="25" borderId="83" applyNumberFormat="0" applyFont="0" applyAlignment="0" applyProtection="0"/>
    <xf numFmtId="0" fontId="11" fillId="22" borderId="82" applyNumberFormat="0" applyAlignment="0" applyProtection="0"/>
    <xf numFmtId="0" fontId="11" fillId="22" borderId="82" applyNumberFormat="0" applyAlignment="0" applyProtection="0"/>
    <xf numFmtId="0" fontId="11" fillId="22" borderId="82" applyNumberFormat="0" applyAlignment="0" applyProtection="0"/>
    <xf numFmtId="0" fontId="11" fillId="22" borderId="82"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8" fillId="25" borderId="83" applyNumberFormat="0" applyFont="0" applyAlignment="0" applyProtection="0"/>
    <xf numFmtId="0" fontId="11" fillId="22" borderId="82" applyNumberFormat="0" applyAlignment="0" applyProtection="0"/>
    <xf numFmtId="0" fontId="11" fillId="22" borderId="82" applyNumberFormat="0" applyAlignment="0" applyProtection="0"/>
    <xf numFmtId="0" fontId="8" fillId="25" borderId="83" applyNumberFormat="0" applyFont="0" applyAlignment="0" applyProtection="0"/>
    <xf numFmtId="0" fontId="18" fillId="9"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8" fillId="25" borderId="83" applyNumberFormat="0" applyFont="0" applyAlignment="0" applyProtection="0"/>
    <xf numFmtId="0" fontId="23" fillId="0" borderId="85" applyNumberFormat="0" applyFill="0" applyAlignment="0" applyProtection="0"/>
    <xf numFmtId="0" fontId="21" fillId="22" borderId="84" applyNumberFormat="0" applyAlignment="0" applyProtection="0"/>
    <xf numFmtId="0" fontId="11" fillId="22" borderId="82" applyNumberFormat="0" applyAlignment="0" applyProtection="0"/>
    <xf numFmtId="0" fontId="23" fillId="0" borderId="85" applyNumberFormat="0" applyFill="0" applyAlignment="0" applyProtection="0"/>
    <xf numFmtId="0" fontId="18" fillId="9" borderId="82" applyNumberFormat="0" applyAlignment="0" applyProtection="0"/>
    <xf numFmtId="0" fontId="11" fillId="22" borderId="82" applyNumberFormat="0" applyAlignment="0" applyProtection="0"/>
    <xf numFmtId="0" fontId="18" fillId="9" borderId="82" applyNumberFormat="0" applyAlignment="0" applyProtection="0"/>
    <xf numFmtId="0" fontId="21" fillId="22" borderId="84" applyNumberFormat="0" applyAlignment="0" applyProtection="0"/>
    <xf numFmtId="0" fontId="8" fillId="25" borderId="83" applyNumberFormat="0" applyFont="0" applyAlignment="0" applyProtection="0"/>
    <xf numFmtId="0" fontId="11" fillId="22" borderId="82" applyNumberFormat="0" applyAlignment="0" applyProtection="0"/>
    <xf numFmtId="0" fontId="8" fillId="25" borderId="83" applyNumberFormat="0" applyFont="0" applyAlignment="0" applyProtection="0"/>
    <xf numFmtId="0" fontId="21" fillId="22" borderId="84" applyNumberFormat="0" applyAlignment="0" applyProtection="0"/>
    <xf numFmtId="0" fontId="18" fillId="9" borderId="82" applyNumberFormat="0" applyAlignment="0" applyProtection="0"/>
    <xf numFmtId="0" fontId="11" fillId="22" borderId="82" applyNumberFormat="0" applyAlignment="0" applyProtection="0"/>
    <xf numFmtId="0" fontId="23" fillId="0" borderId="85" applyNumberFormat="0" applyFill="0" applyAlignment="0" applyProtection="0"/>
    <xf numFmtId="0" fontId="18" fillId="9" borderId="82" applyNumberFormat="0" applyAlignment="0" applyProtection="0"/>
    <xf numFmtId="0" fontId="11" fillId="22" borderId="82" applyNumberFormat="0" applyAlignment="0" applyProtection="0"/>
    <xf numFmtId="0" fontId="21" fillId="22" borderId="84"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1" fillId="22"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8" fillId="25" borderId="83" applyNumberFormat="0" applyFon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8" fillId="9"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21" fillId="22" borderId="80" applyNumberFormat="0" applyAlignment="0" applyProtection="0"/>
    <xf numFmtId="0" fontId="21" fillId="22" borderId="80"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8" fillId="25" borderId="79" applyNumberFormat="0" applyFont="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8" fillId="9"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8" fillId="9"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21" fillId="22" borderId="80" applyNumberFormat="0" applyAlignment="0" applyProtection="0"/>
    <xf numFmtId="0" fontId="21" fillId="22" borderId="80"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8" fillId="25" borderId="79" applyNumberFormat="0" applyFont="0" applyAlignment="0" applyProtection="0"/>
    <xf numFmtId="0" fontId="11" fillId="22" borderId="78" applyNumberFormat="0" applyAlignment="0" applyProtection="0"/>
    <xf numFmtId="0" fontId="11" fillId="22" borderId="78" applyNumberFormat="0" applyAlignment="0" applyProtection="0"/>
    <xf numFmtId="0" fontId="11" fillId="22" borderId="78" applyNumberFormat="0" applyAlignment="0" applyProtection="0"/>
    <xf numFmtId="0" fontId="21" fillId="22" borderId="80" applyNumberFormat="0" applyAlignment="0" applyProtection="0"/>
    <xf numFmtId="0" fontId="18" fillId="9" borderId="78" applyNumberFormat="0" applyAlignment="0" applyProtection="0"/>
    <xf numFmtId="0" fontId="11" fillId="22" borderId="78" applyNumberFormat="0" applyAlignment="0" applyProtection="0"/>
    <xf numFmtId="0" fontId="21" fillId="22" borderId="80" applyNumberFormat="0" applyAlignment="0" applyProtection="0"/>
    <xf numFmtId="0" fontId="11" fillId="22" borderId="78" applyNumberFormat="0" applyAlignment="0" applyProtection="0"/>
    <xf numFmtId="0" fontId="8" fillId="25" borderId="79" applyNumberFormat="0" applyFont="0" applyAlignment="0" applyProtection="0"/>
    <xf numFmtId="0" fontId="18" fillId="9" borderId="78" applyNumberFormat="0" applyAlignment="0" applyProtection="0"/>
    <xf numFmtId="0" fontId="11" fillId="22" borderId="78" applyNumberFormat="0" applyAlignment="0" applyProtection="0"/>
    <xf numFmtId="0" fontId="11" fillId="22" borderId="78" applyNumberFormat="0" applyAlignment="0" applyProtection="0"/>
    <xf numFmtId="0" fontId="11" fillId="22" borderId="78" applyNumberFormat="0" applyAlignment="0" applyProtection="0"/>
    <xf numFmtId="0" fontId="11" fillId="22" borderId="78" applyNumberFormat="0" applyAlignment="0" applyProtection="0"/>
    <xf numFmtId="0" fontId="11" fillId="22" borderId="78" applyNumberFormat="0" applyAlignment="0" applyProtection="0"/>
    <xf numFmtId="0" fontId="11" fillId="22" borderId="78"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8" fillId="25" borderId="79" applyNumberFormat="0" applyFont="0" applyAlignment="0" applyProtection="0"/>
    <xf numFmtId="0" fontId="18" fillId="9" borderId="78" applyNumberFormat="0" applyAlignment="0" applyProtection="0"/>
    <xf numFmtId="0" fontId="21" fillId="22" borderId="80"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8" fillId="25" borderId="79" applyNumberFormat="0" applyFon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23" fillId="0" borderId="81" applyNumberFormat="0" applyFill="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3" fillId="0" borderId="81" applyNumberFormat="0" applyFill="0" applyAlignment="0" applyProtection="0"/>
    <xf numFmtId="0" fontId="18" fillId="9" borderId="78" applyNumberFormat="0" applyAlignment="0" applyProtection="0"/>
    <xf numFmtId="0" fontId="8" fillId="25" borderId="79" applyNumberFormat="0" applyFont="0" applyAlignment="0" applyProtection="0"/>
    <xf numFmtId="0" fontId="18" fillId="9"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21" fillId="22" borderId="80" applyNumberFormat="0" applyAlignment="0" applyProtection="0"/>
    <xf numFmtId="0" fontId="21" fillId="22" borderId="80"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8" fillId="25" borderId="79" applyNumberFormat="0" applyFont="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8" fillId="9"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8" fillId="9"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21" fillId="22" borderId="80" applyNumberFormat="0" applyAlignment="0" applyProtection="0"/>
    <xf numFmtId="0" fontId="21" fillId="22" borderId="80"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8" fillId="25" borderId="79" applyNumberFormat="0" applyFont="0" applyAlignment="0" applyProtection="0"/>
    <xf numFmtId="0" fontId="11" fillId="22" borderId="78" applyNumberFormat="0" applyAlignment="0" applyProtection="0"/>
    <xf numFmtId="0" fontId="18" fillId="9" borderId="78" applyNumberForma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8" fillId="9"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21" fillId="22" borderId="80" applyNumberFormat="0" applyAlignment="0" applyProtection="0"/>
    <xf numFmtId="0" fontId="21" fillId="22" borderId="80"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8" fillId="25" borderId="79" applyNumberFormat="0" applyFont="0" applyAlignment="0" applyProtection="0"/>
    <xf numFmtId="0" fontId="8" fillId="25" borderId="79" applyNumberFormat="0" applyFont="0" applyAlignment="0" applyProtection="0"/>
    <xf numFmtId="0" fontId="18" fillId="9" borderId="78" applyNumberFormat="0" applyAlignment="0" applyProtection="0"/>
    <xf numFmtId="0" fontId="21" fillId="22" borderId="80" applyNumberFormat="0" applyAlignment="0" applyProtection="0"/>
    <xf numFmtId="0" fontId="8" fillId="25" borderId="79" applyNumberFormat="0" applyFont="0" applyAlignment="0" applyProtection="0"/>
    <xf numFmtId="0" fontId="11" fillId="22" borderId="78" applyNumberFormat="0" applyAlignment="0" applyProtection="0"/>
    <xf numFmtId="0" fontId="21" fillId="22" borderId="80" applyNumberFormat="0" applyAlignment="0" applyProtection="0"/>
    <xf numFmtId="0" fontId="21" fillId="22" borderId="80" applyNumberFormat="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8" fillId="25" borderId="79" applyNumberFormat="0" applyFont="0" applyAlignment="0" applyProtection="0"/>
    <xf numFmtId="0" fontId="18" fillId="9" borderId="78"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21" fillId="22" borderId="80" applyNumberFormat="0" applyAlignment="0" applyProtection="0"/>
    <xf numFmtId="0" fontId="8" fillId="25" borderId="79" applyNumberFormat="0" applyFont="0" applyAlignment="0" applyProtection="0"/>
    <xf numFmtId="0" fontId="18" fillId="9" borderId="78" applyNumberFormat="0" applyAlignment="0" applyProtection="0"/>
    <xf numFmtId="0" fontId="21" fillId="22" borderId="80" applyNumberFormat="0" applyAlignment="0" applyProtection="0"/>
    <xf numFmtId="0" fontId="8" fillId="25" borderId="79" applyNumberFormat="0" applyFont="0" applyAlignment="0" applyProtection="0"/>
    <xf numFmtId="0" fontId="23" fillId="0" borderId="81" applyNumberFormat="0" applyFill="0" applyAlignment="0" applyProtection="0"/>
    <xf numFmtId="0" fontId="18" fillId="9" borderId="78" applyNumberFormat="0" applyAlignment="0" applyProtection="0"/>
    <xf numFmtId="0" fontId="18" fillId="9" borderId="78" applyNumberFormat="0" applyAlignment="0" applyProtection="0"/>
    <xf numFmtId="0" fontId="21" fillId="22" borderId="80" applyNumberFormat="0" applyAlignment="0" applyProtection="0"/>
    <xf numFmtId="0" fontId="21" fillId="22" borderId="80" applyNumberFormat="0" applyAlignment="0" applyProtection="0"/>
    <xf numFmtId="0" fontId="18" fillId="9" borderId="78" applyNumberFormat="0" applyAlignment="0" applyProtection="0"/>
    <xf numFmtId="0" fontId="18" fillId="9" borderId="78" applyNumberFormat="0" applyAlignment="0" applyProtection="0"/>
    <xf numFmtId="0" fontId="18" fillId="9" borderId="78" applyNumberFormat="0" applyAlignment="0" applyProtection="0"/>
    <xf numFmtId="0" fontId="21" fillId="22" borderId="80"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8" fillId="25" borderId="79" applyNumberFormat="0" applyFont="0" applyAlignment="0" applyProtection="0"/>
    <xf numFmtId="0" fontId="18" fillId="9" borderId="78" applyNumberFormat="0" applyAlignment="0" applyProtection="0"/>
    <xf numFmtId="0" fontId="18" fillId="9" borderId="78" applyNumberFormat="0" applyAlignment="0" applyProtection="0"/>
    <xf numFmtId="0" fontId="18" fillId="9"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8" fillId="25" borderId="79" applyNumberFormat="0" applyFont="0" applyAlignment="0" applyProtection="0"/>
    <xf numFmtId="0" fontId="23" fillId="0" borderId="81" applyNumberFormat="0" applyFill="0" applyAlignment="0" applyProtection="0"/>
    <xf numFmtId="0" fontId="21" fillId="22" borderId="80" applyNumberFormat="0" applyAlignment="0" applyProtection="0"/>
    <xf numFmtId="0" fontId="11" fillId="22" borderId="78" applyNumberFormat="0" applyAlignment="0" applyProtection="0"/>
    <xf numFmtId="0" fontId="18" fillId="9" borderId="78" applyNumberFormat="0" applyAlignment="0" applyProtection="0"/>
    <xf numFmtId="0" fontId="21" fillId="22" borderId="80" applyNumberFormat="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18" fillId="9" borderId="78" applyNumberFormat="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11" fillId="22" borderId="78" applyNumberFormat="0" applyAlignment="0" applyProtection="0"/>
    <xf numFmtId="0" fontId="23" fillId="0" borderId="81" applyNumberFormat="0" applyFill="0" applyAlignment="0" applyProtection="0"/>
    <xf numFmtId="0" fontId="21" fillId="22" borderId="80" applyNumberFormat="0" applyAlignment="0" applyProtection="0"/>
    <xf numFmtId="0" fontId="18" fillId="9" borderId="78" applyNumberFormat="0" applyAlignment="0" applyProtection="0"/>
    <xf numFmtId="0" fontId="21" fillId="22" borderId="80" applyNumberFormat="0" applyAlignment="0" applyProtection="0"/>
    <xf numFmtId="0" fontId="8" fillId="25" borderId="79" applyNumberFormat="0" applyFont="0" applyAlignment="0" applyProtection="0"/>
    <xf numFmtId="0" fontId="21" fillId="22" borderId="80" applyNumberFormat="0" applyAlignment="0" applyProtection="0"/>
    <xf numFmtId="0" fontId="21" fillId="22" borderId="80" applyNumberFormat="0" applyAlignment="0" applyProtection="0"/>
    <xf numFmtId="0" fontId="18" fillId="9" borderId="78"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23" fillId="0" borderId="81" applyNumberFormat="0" applyFill="0" applyAlignment="0" applyProtection="0"/>
    <xf numFmtId="0" fontId="23" fillId="0" borderId="81" applyNumberFormat="0" applyFill="0" applyAlignment="0" applyProtection="0"/>
    <xf numFmtId="0" fontId="23" fillId="0" borderId="81" applyNumberFormat="0" applyFill="0" applyAlignment="0" applyProtection="0"/>
    <xf numFmtId="0" fontId="11" fillId="22" borderId="78" applyNumberFormat="0" applyAlignment="0" applyProtection="0"/>
    <xf numFmtId="0" fontId="23" fillId="0" borderId="81" applyNumberFormat="0" applyFill="0" applyAlignment="0" applyProtection="0"/>
    <xf numFmtId="0" fontId="21" fillId="22" borderId="80" applyNumberFormat="0" applyAlignment="0" applyProtection="0"/>
    <xf numFmtId="0" fontId="11" fillId="22" borderId="78" applyNumberFormat="0" applyAlignment="0" applyProtection="0"/>
    <xf numFmtId="0" fontId="23" fillId="0" borderId="81" applyNumberFormat="0" applyFill="0" applyAlignment="0" applyProtection="0"/>
    <xf numFmtId="0" fontId="21" fillId="22" borderId="80" applyNumberFormat="0" applyAlignment="0" applyProtection="0"/>
    <xf numFmtId="0" fontId="18" fillId="9" borderId="78" applyNumberFormat="0" applyAlignment="0" applyProtection="0"/>
    <xf numFmtId="0" fontId="18" fillId="9" borderId="78" applyNumberFormat="0" applyAlignment="0" applyProtection="0"/>
    <xf numFmtId="0" fontId="23" fillId="0" borderId="81" applyNumberFormat="0" applyFill="0" applyAlignment="0" applyProtection="0"/>
    <xf numFmtId="0" fontId="18" fillId="9" borderId="78" applyNumberFormat="0" applyAlignment="0" applyProtection="0"/>
    <xf numFmtId="0" fontId="23" fillId="0" borderId="81" applyNumberFormat="0" applyFill="0" applyAlignment="0" applyProtection="0"/>
    <xf numFmtId="0" fontId="11" fillId="22" borderId="78" applyNumberFormat="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8" fillId="25" borderId="79" applyNumberFormat="0" applyFont="0" applyAlignment="0" applyProtection="0"/>
    <xf numFmtId="0" fontId="11" fillId="22" borderId="78" applyNumberFormat="0" applyAlignment="0" applyProtection="0"/>
    <xf numFmtId="0" fontId="11" fillId="22" borderId="78"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23" fillId="0" borderId="81" applyNumberFormat="0" applyFill="0" applyAlignment="0" applyProtection="0"/>
    <xf numFmtId="0" fontId="21" fillId="22" borderId="80" applyNumberFormat="0" applyAlignment="0" applyProtection="0"/>
    <xf numFmtId="0" fontId="8" fillId="25" borderId="79" applyNumberFormat="0" applyFont="0" applyAlignment="0" applyProtection="0"/>
    <xf numFmtId="0" fontId="23" fillId="0" borderId="81" applyNumberFormat="0" applyFill="0" applyAlignment="0" applyProtection="0"/>
    <xf numFmtId="0" fontId="11" fillId="22" borderId="78" applyNumberFormat="0" applyAlignment="0" applyProtection="0"/>
    <xf numFmtId="0" fontId="23" fillId="0" borderId="81" applyNumberFormat="0" applyFill="0" applyAlignment="0" applyProtection="0"/>
    <xf numFmtId="0" fontId="8" fillId="25" borderId="79" applyNumberFormat="0" applyFont="0" applyAlignment="0" applyProtection="0"/>
    <xf numFmtId="0" fontId="23" fillId="0" borderId="81" applyNumberFormat="0" applyFill="0" applyAlignment="0" applyProtection="0"/>
    <xf numFmtId="0" fontId="18" fillId="9" borderId="78" applyNumberFormat="0" applyAlignment="0" applyProtection="0"/>
    <xf numFmtId="0" fontId="18" fillId="9" borderId="78" applyNumberFormat="0" applyAlignment="0" applyProtection="0"/>
    <xf numFmtId="0" fontId="21" fillId="22" borderId="80" applyNumberFormat="0" applyAlignment="0" applyProtection="0"/>
    <xf numFmtId="0" fontId="8" fillId="25" borderId="79" applyNumberFormat="0" applyFont="0" applyAlignment="0" applyProtection="0"/>
    <xf numFmtId="0" fontId="21" fillId="22" borderId="80"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11" fillId="22" borderId="78"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8" fillId="25" borderId="79" applyNumberFormat="0" applyFont="0" applyAlignment="0" applyProtection="0"/>
    <xf numFmtId="0" fontId="11" fillId="22" borderId="78" applyNumberFormat="0" applyAlignment="0" applyProtection="0"/>
    <xf numFmtId="0" fontId="21" fillId="22" borderId="80" applyNumberFormat="0" applyAlignment="0" applyProtection="0"/>
    <xf numFmtId="0" fontId="23" fillId="0" borderId="81" applyNumberFormat="0" applyFill="0" applyAlignment="0" applyProtection="0"/>
    <xf numFmtId="0" fontId="18" fillId="9" borderId="78" applyNumberFormat="0" applyAlignment="0" applyProtection="0"/>
    <xf numFmtId="0" fontId="23" fillId="0" borderId="81" applyNumberFormat="0" applyFill="0" applyAlignment="0" applyProtection="0"/>
    <xf numFmtId="0" fontId="8" fillId="25" borderId="79" applyNumberFormat="0" applyFont="0" applyAlignment="0" applyProtection="0"/>
    <xf numFmtId="0" fontId="21" fillId="22" borderId="80"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21" fillId="22" borderId="80" applyNumberFormat="0" applyAlignment="0" applyProtection="0"/>
    <xf numFmtId="0" fontId="8" fillId="25" borderId="79" applyNumberFormat="0" applyFont="0" applyAlignment="0" applyProtection="0"/>
    <xf numFmtId="0" fontId="21" fillId="22" borderId="80" applyNumberFormat="0" applyAlignment="0" applyProtection="0"/>
    <xf numFmtId="0" fontId="18" fillId="9" borderId="78" applyNumberFormat="0" applyAlignment="0" applyProtection="0"/>
    <xf numFmtId="0" fontId="18" fillId="9" borderId="78" applyNumberFormat="0" applyAlignment="0" applyProtection="0"/>
    <xf numFmtId="0" fontId="23" fillId="0" borderId="81" applyNumberFormat="0" applyFill="0" applyAlignment="0" applyProtection="0"/>
    <xf numFmtId="0" fontId="18" fillId="9" borderId="78" applyNumberFormat="0" applyAlignment="0" applyProtection="0"/>
    <xf numFmtId="0" fontId="8" fillId="25" borderId="79" applyNumberFormat="0" applyFont="0" applyAlignment="0" applyProtection="0"/>
    <xf numFmtId="0" fontId="23" fillId="0" borderId="81" applyNumberFormat="0" applyFill="0" applyAlignment="0" applyProtection="0"/>
    <xf numFmtId="0" fontId="18" fillId="9" borderId="78" applyNumberFormat="0" applyAlignment="0" applyProtection="0"/>
    <xf numFmtId="0" fontId="18" fillId="9" borderId="78" applyNumberFormat="0" applyAlignment="0" applyProtection="0"/>
    <xf numFmtId="0" fontId="11" fillId="22" borderId="78" applyNumberFormat="0" applyAlignment="0" applyProtection="0"/>
    <xf numFmtId="0" fontId="21" fillId="22" borderId="80" applyNumberFormat="0" applyAlignment="0" applyProtection="0"/>
    <xf numFmtId="0" fontId="21" fillId="22" borderId="80" applyNumberFormat="0" applyAlignment="0" applyProtection="0"/>
    <xf numFmtId="0" fontId="18" fillId="9" borderId="78" applyNumberFormat="0" applyAlignment="0" applyProtection="0"/>
    <xf numFmtId="0" fontId="11" fillId="22" borderId="78" applyNumberFormat="0" applyAlignment="0" applyProtection="0"/>
    <xf numFmtId="0" fontId="21" fillId="22" borderId="80" applyNumberFormat="0" applyAlignment="0" applyProtection="0"/>
    <xf numFmtId="0" fontId="23" fillId="0" borderId="81" applyNumberFormat="0" applyFill="0" applyAlignment="0" applyProtection="0"/>
    <xf numFmtId="0" fontId="21" fillId="22" borderId="80" applyNumberFormat="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8" fillId="9" borderId="78" applyNumberFormat="0" applyAlignment="0" applyProtection="0"/>
    <xf numFmtId="0" fontId="11" fillId="22" borderId="78" applyNumberFormat="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21" fillId="22" borderId="80" applyNumberFormat="0" applyAlignment="0" applyProtection="0"/>
    <xf numFmtId="0" fontId="21" fillId="22" borderId="80"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8" fillId="25" borderId="79" applyNumberFormat="0" applyFon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8" fillId="25" borderId="79" applyNumberFormat="0" applyFont="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21" fillId="22" borderId="80" applyNumberFormat="0" applyAlignment="0" applyProtection="0"/>
    <xf numFmtId="0" fontId="21" fillId="22" borderId="80"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8" fillId="25" borderId="79" applyNumberFormat="0" applyFont="0" applyAlignment="0" applyProtection="0"/>
    <xf numFmtId="0" fontId="23" fillId="0" borderId="81" applyNumberFormat="0" applyFill="0" applyAlignment="0" applyProtection="0"/>
    <xf numFmtId="0" fontId="23" fillId="0" borderId="81" applyNumberFormat="0" applyFill="0" applyAlignment="0" applyProtection="0"/>
    <xf numFmtId="0" fontId="23" fillId="0" borderId="81" applyNumberFormat="0" applyFill="0" applyAlignment="0" applyProtection="0"/>
    <xf numFmtId="0" fontId="8" fillId="25" borderId="79" applyNumberFormat="0" applyFont="0" applyAlignment="0" applyProtection="0"/>
    <xf numFmtId="0" fontId="23" fillId="0" borderId="81" applyNumberFormat="0" applyFill="0" applyAlignment="0" applyProtection="0"/>
    <xf numFmtId="0" fontId="8" fillId="25" borderId="79" applyNumberFormat="0" applyFont="0" applyAlignment="0" applyProtection="0"/>
    <xf numFmtId="0" fontId="23" fillId="0" borderId="81" applyNumberFormat="0" applyFill="0" applyAlignment="0" applyProtection="0"/>
    <xf numFmtId="0" fontId="11" fillId="22" borderId="78" applyNumberFormat="0" applyAlignment="0" applyProtection="0"/>
    <xf numFmtId="0" fontId="21" fillId="22" borderId="80" applyNumberFormat="0" applyAlignment="0" applyProtection="0"/>
    <xf numFmtId="0" fontId="23" fillId="0" borderId="81" applyNumberFormat="0" applyFill="0" applyAlignment="0" applyProtection="0"/>
    <xf numFmtId="0" fontId="21" fillId="22" borderId="80" applyNumberFormat="0" applyAlignment="0" applyProtection="0"/>
    <xf numFmtId="0" fontId="21" fillId="22" borderId="80"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8" fillId="25" borderId="79" applyNumberFormat="0" applyFont="0" applyAlignment="0" applyProtection="0"/>
    <xf numFmtId="0" fontId="18" fillId="9" borderId="78" applyNumberFormat="0" applyAlignment="0" applyProtection="0"/>
    <xf numFmtId="0" fontId="11" fillId="22" borderId="78" applyNumberFormat="0" applyAlignment="0" applyProtection="0"/>
    <xf numFmtId="0" fontId="23" fillId="0" borderId="81" applyNumberFormat="0" applyFill="0" applyAlignment="0" applyProtection="0"/>
    <xf numFmtId="0" fontId="21" fillId="22" borderId="80" applyNumberFormat="0" applyAlignment="0" applyProtection="0"/>
    <xf numFmtId="0" fontId="11" fillId="22" borderId="78" applyNumberFormat="0" applyAlignment="0" applyProtection="0"/>
    <xf numFmtId="0" fontId="8" fillId="25" borderId="79" applyNumberFormat="0" applyFont="0" applyAlignment="0" applyProtection="0"/>
    <xf numFmtId="0" fontId="18" fillId="9" borderId="78" applyNumberFormat="0" applyAlignment="0" applyProtection="0"/>
    <xf numFmtId="0" fontId="21" fillId="22" borderId="80" applyNumberFormat="0" applyAlignment="0" applyProtection="0"/>
    <xf numFmtId="0" fontId="18" fillId="9"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18" fillId="9" borderId="78" applyNumberFormat="0" applyAlignment="0" applyProtection="0"/>
    <xf numFmtId="0" fontId="18" fillId="9" borderId="78" applyNumberFormat="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8" fillId="9"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8" fillId="9"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21" fillId="22" borderId="80" applyNumberFormat="0" applyAlignment="0" applyProtection="0"/>
    <xf numFmtId="0" fontId="21" fillId="22" borderId="80"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8" fillId="25" borderId="79" applyNumberFormat="0" applyFont="0" applyAlignment="0" applyProtection="0"/>
    <xf numFmtId="0" fontId="8" fillId="25" borderId="79" applyNumberFormat="0" applyFont="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8" fillId="9"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8" fillId="9" borderId="78" applyNumberFormat="0" applyAlignment="0" applyProtection="0"/>
    <xf numFmtId="0" fontId="11" fillId="22"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21" fillId="22" borderId="80" applyNumberFormat="0" applyAlignment="0" applyProtection="0"/>
    <xf numFmtId="0" fontId="23" fillId="0" borderId="81" applyNumberFormat="0" applyFill="0" applyAlignment="0" applyProtection="0"/>
    <xf numFmtId="0" fontId="11" fillId="22" borderId="78" applyNumberFormat="0" applyAlignment="0" applyProtection="0"/>
    <xf numFmtId="0" fontId="11" fillId="22" borderId="78" applyNumberFormat="0" applyAlignment="0" applyProtection="0"/>
    <xf numFmtId="0" fontId="18" fillId="9" borderId="78" applyNumberFormat="0" applyAlignment="0" applyProtection="0"/>
    <xf numFmtId="0" fontId="18" fillId="9" borderId="78" applyNumberFormat="0" applyAlignment="0" applyProtection="0"/>
    <xf numFmtId="0" fontId="8" fillId="25" borderId="79" applyNumberFormat="0" applyFont="0" applyAlignment="0" applyProtection="0"/>
    <xf numFmtId="0" fontId="8" fillId="25" borderId="79" applyNumberFormat="0" applyFont="0" applyAlignment="0" applyProtection="0"/>
    <xf numFmtId="0" fontId="21" fillId="22" borderId="80" applyNumberFormat="0" applyAlignment="0" applyProtection="0"/>
    <xf numFmtId="0" fontId="21" fillId="22" borderId="80" applyNumberFormat="0" applyAlignment="0" applyProtection="0"/>
    <xf numFmtId="0" fontId="23" fillId="0" borderId="81" applyNumberFormat="0" applyFill="0" applyAlignment="0" applyProtection="0"/>
    <xf numFmtId="0" fontId="23" fillId="0" borderId="81" applyNumberFormat="0" applyFill="0" applyAlignment="0" applyProtection="0"/>
    <xf numFmtId="0" fontId="8" fillId="25" borderId="79" applyNumberFormat="0" applyFont="0" applyAlignment="0" applyProtection="0"/>
    <xf numFmtId="0" fontId="21" fillId="22" borderId="84" applyNumberFormat="0" applyAlignment="0" applyProtection="0"/>
    <xf numFmtId="0" fontId="18" fillId="9" borderId="82" applyNumberFormat="0" applyAlignment="0" applyProtection="0"/>
    <xf numFmtId="0" fontId="23" fillId="0" borderId="85" applyNumberFormat="0" applyFill="0" applyAlignment="0" applyProtection="0"/>
    <xf numFmtId="0" fontId="11" fillId="22"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11" fillId="22"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11" fillId="22" borderId="82" applyNumberFormat="0" applyAlignment="0" applyProtection="0"/>
    <xf numFmtId="0" fontId="23" fillId="0" borderId="85" applyNumberFormat="0" applyFill="0" applyAlignment="0" applyProtection="0"/>
    <xf numFmtId="0" fontId="18" fillId="9" borderId="82" applyNumberFormat="0" applyAlignment="0" applyProtection="0"/>
    <xf numFmtId="0" fontId="21" fillId="22" borderId="84" applyNumberFormat="0" applyAlignment="0" applyProtection="0"/>
    <xf numFmtId="0" fontId="21" fillId="22" borderId="84" applyNumberFormat="0" applyAlignment="0" applyProtection="0"/>
    <xf numFmtId="0" fontId="21" fillId="22" borderId="84" applyNumberFormat="0" applyAlignment="0" applyProtection="0"/>
    <xf numFmtId="0" fontId="23" fillId="0" borderId="85" applyNumberFormat="0" applyFill="0" applyAlignment="0" applyProtection="0"/>
    <xf numFmtId="0" fontId="11" fillId="22" borderId="82" applyNumberFormat="0" applyAlignment="0" applyProtection="0"/>
    <xf numFmtId="0" fontId="21" fillId="22" borderId="84" applyNumberFormat="0" applyAlignment="0" applyProtection="0"/>
    <xf numFmtId="0" fontId="21" fillId="22" borderId="84" applyNumberFormat="0" applyAlignment="0" applyProtection="0"/>
    <xf numFmtId="0" fontId="23" fillId="0" borderId="85" applyNumberFormat="0" applyFill="0" applyAlignment="0" applyProtection="0"/>
    <xf numFmtId="0" fontId="18" fillId="9" borderId="82" applyNumberFormat="0" applyAlignment="0" applyProtection="0"/>
    <xf numFmtId="0" fontId="18" fillId="9" borderId="82" applyNumberFormat="0" applyAlignment="0" applyProtection="0"/>
    <xf numFmtId="0" fontId="21" fillId="22" borderId="84" applyNumberFormat="0" applyAlignment="0" applyProtection="0"/>
    <xf numFmtId="0" fontId="11" fillId="22" borderId="82" applyNumberFormat="0" applyAlignment="0" applyProtection="0"/>
    <xf numFmtId="0" fontId="21" fillId="22" borderId="84"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21" fillId="22" borderId="84" applyNumberFormat="0" applyAlignment="0" applyProtection="0"/>
    <xf numFmtId="0" fontId="18" fillId="9" borderId="82" applyNumberFormat="0" applyAlignment="0" applyProtection="0"/>
    <xf numFmtId="0" fontId="11" fillId="22" borderId="82" applyNumberFormat="0" applyAlignment="0" applyProtection="0"/>
    <xf numFmtId="0" fontId="11" fillId="22" borderId="82" applyNumberFormat="0" applyAlignment="0" applyProtection="0"/>
    <xf numFmtId="0" fontId="11" fillId="22" borderId="82" applyNumberFormat="0" applyAlignment="0" applyProtection="0"/>
    <xf numFmtId="0" fontId="18" fillId="9" borderId="82" applyNumberFormat="0" applyAlignment="0" applyProtection="0"/>
    <xf numFmtId="0" fontId="8" fillId="25" borderId="83" applyNumberFormat="0" applyFont="0" applyAlignment="0" applyProtection="0"/>
    <xf numFmtId="0" fontId="18" fillId="9"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11" fillId="22" borderId="82" applyNumberFormat="0" applyAlignment="0" applyProtection="0"/>
    <xf numFmtId="0" fontId="18" fillId="9" borderId="82" applyNumberFormat="0" applyAlignment="0" applyProtection="0"/>
    <xf numFmtId="0" fontId="21" fillId="22" borderId="84" applyNumberFormat="0" applyAlignment="0" applyProtection="0"/>
    <xf numFmtId="0" fontId="11" fillId="22" borderId="82"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21" fillId="22" borderId="84" applyNumberFormat="0" applyAlignment="0" applyProtection="0"/>
    <xf numFmtId="0" fontId="21" fillId="22" borderId="84" applyNumberFormat="0" applyAlignment="0" applyProtection="0"/>
    <xf numFmtId="0" fontId="8" fillId="25" borderId="83" applyNumberFormat="0" applyFont="0" applyAlignment="0" applyProtection="0"/>
    <xf numFmtId="0" fontId="21" fillId="22" borderId="84" applyNumberFormat="0" applyAlignment="0" applyProtection="0"/>
    <xf numFmtId="0" fontId="21" fillId="22" borderId="84"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21" fillId="22" borderId="84" applyNumberFormat="0" applyAlignment="0" applyProtection="0"/>
    <xf numFmtId="0" fontId="23" fillId="0" borderId="85" applyNumberFormat="0" applyFill="0" applyAlignment="0" applyProtection="0"/>
    <xf numFmtId="0" fontId="11" fillId="22"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11" fillId="22" borderId="82" applyNumberFormat="0" applyAlignment="0" applyProtection="0"/>
    <xf numFmtId="0" fontId="21" fillId="22" borderId="84" applyNumberFormat="0" applyAlignment="0" applyProtection="0"/>
    <xf numFmtId="0" fontId="11" fillId="22" borderId="82" applyNumberFormat="0" applyAlignment="0" applyProtection="0"/>
    <xf numFmtId="0" fontId="8" fillId="25" borderId="83" applyNumberFormat="0" applyFont="0" applyAlignment="0" applyProtection="0"/>
    <xf numFmtId="0" fontId="11" fillId="22" borderId="82" applyNumberFormat="0" applyAlignment="0" applyProtection="0"/>
    <xf numFmtId="0" fontId="8" fillId="25" borderId="83" applyNumberFormat="0" applyFont="0" applyAlignment="0" applyProtection="0"/>
    <xf numFmtId="0" fontId="21" fillId="22" borderId="84" applyNumberFormat="0" applyAlignment="0" applyProtection="0"/>
    <xf numFmtId="0" fontId="23" fillId="0" borderId="85" applyNumberFormat="0" applyFill="0" applyAlignment="0" applyProtection="0"/>
    <xf numFmtId="0" fontId="18" fillId="9" borderId="82" applyNumberFormat="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11" fillId="22" borderId="82" applyNumberFormat="0" applyAlignment="0" applyProtection="0"/>
    <xf numFmtId="0" fontId="8" fillId="25" borderId="83" applyNumberFormat="0" applyFont="0" applyAlignment="0" applyProtection="0"/>
    <xf numFmtId="0" fontId="11" fillId="22" borderId="82" applyNumberFormat="0" applyAlignment="0" applyProtection="0"/>
    <xf numFmtId="0" fontId="18" fillId="9" borderId="82" applyNumberFormat="0" applyAlignment="0" applyProtection="0"/>
    <xf numFmtId="0" fontId="18" fillId="9" borderId="82" applyNumberFormat="0" applyAlignment="0" applyProtection="0"/>
    <xf numFmtId="0" fontId="8" fillId="25" borderId="83" applyNumberFormat="0" applyFont="0" applyAlignment="0" applyProtection="0"/>
    <xf numFmtId="0" fontId="21" fillId="22" borderId="84" applyNumberFormat="0" applyAlignment="0" applyProtection="0"/>
    <xf numFmtId="0" fontId="8" fillId="25" borderId="83" applyNumberFormat="0" applyFont="0" applyAlignment="0" applyProtection="0"/>
    <xf numFmtId="0" fontId="11" fillId="22" borderId="82" applyNumberFormat="0" applyAlignment="0" applyProtection="0"/>
    <xf numFmtId="0" fontId="23" fillId="0" borderId="85" applyNumberFormat="0" applyFill="0" applyAlignment="0" applyProtection="0"/>
    <xf numFmtId="0" fontId="18" fillId="9" borderId="82" applyNumberFormat="0" applyAlignment="0" applyProtection="0"/>
    <xf numFmtId="0" fontId="11" fillId="22" borderId="82" applyNumberFormat="0" applyAlignment="0" applyProtection="0"/>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11" fillId="22" borderId="82" applyNumberFormat="0" applyAlignment="0" applyProtection="0"/>
    <xf numFmtId="0" fontId="8" fillId="25" borderId="83" applyNumberFormat="0" applyFont="0" applyAlignment="0" applyProtection="0"/>
    <xf numFmtId="0" fontId="23" fillId="0" borderId="85" applyNumberFormat="0" applyFill="0" applyAlignment="0" applyProtection="0"/>
    <xf numFmtId="0" fontId="11" fillId="22" borderId="82" applyNumberFormat="0" applyAlignment="0" applyProtection="0"/>
    <xf numFmtId="0" fontId="21" fillId="22" borderId="84" applyNumberFormat="0" applyAlignment="0" applyProtection="0"/>
    <xf numFmtId="0" fontId="11" fillId="22" borderId="82" applyNumberFormat="0" applyAlignment="0" applyProtection="0"/>
    <xf numFmtId="0" fontId="8" fillId="25" borderId="83" applyNumberFormat="0" applyFont="0" applyAlignment="0" applyProtection="0"/>
    <xf numFmtId="0" fontId="23" fillId="0" borderId="85" applyNumberFormat="0" applyFill="0" applyAlignment="0" applyProtection="0"/>
    <xf numFmtId="0" fontId="11" fillId="22" borderId="82" applyNumberFormat="0" applyAlignment="0" applyProtection="0"/>
    <xf numFmtId="0" fontId="18" fillId="9" borderId="82" applyNumberFormat="0" applyAlignment="0" applyProtection="0"/>
    <xf numFmtId="0" fontId="8" fillId="25" borderId="83" applyNumberFormat="0" applyFont="0" applyAlignment="0" applyProtection="0"/>
    <xf numFmtId="0" fontId="11" fillId="22" borderId="82" applyNumberFormat="0" applyAlignment="0" applyProtection="0"/>
    <xf numFmtId="0" fontId="21" fillId="22" borderId="84" applyNumberFormat="0" applyAlignment="0" applyProtection="0"/>
    <xf numFmtId="0" fontId="23" fillId="0" borderId="85" applyNumberFormat="0" applyFill="0" applyAlignment="0" applyProtection="0"/>
    <xf numFmtId="0" fontId="18" fillId="9" borderId="82" applyNumberFormat="0" applyAlignment="0" applyProtection="0"/>
    <xf numFmtId="0" fontId="8" fillId="25" borderId="83" applyNumberFormat="0" applyFont="0" applyAlignment="0" applyProtection="0"/>
    <xf numFmtId="0" fontId="23" fillId="0" borderId="85" applyNumberFormat="0" applyFill="0" applyAlignment="0" applyProtection="0"/>
    <xf numFmtId="0" fontId="23" fillId="0" borderId="85" applyNumberFormat="0" applyFill="0" applyAlignment="0" applyProtection="0"/>
    <xf numFmtId="0" fontId="8" fillId="25" borderId="83" applyNumberFormat="0" applyFont="0" applyAlignment="0" applyProtection="0"/>
    <xf numFmtId="0" fontId="23" fillId="0" borderId="85" applyNumberFormat="0" applyFill="0" applyAlignment="0" applyProtection="0"/>
    <xf numFmtId="0" fontId="18" fillId="9" borderId="82" applyNumberFormat="0" applyAlignment="0" applyProtection="0"/>
    <xf numFmtId="0" fontId="8" fillId="25" borderId="83" applyNumberFormat="0" applyFont="0" applyAlignment="0" applyProtection="0"/>
    <xf numFmtId="0" fontId="21" fillId="22" borderId="84" applyNumberFormat="0" applyAlignment="0" applyProtection="0"/>
    <xf numFmtId="0" fontId="11" fillId="22" borderId="82" applyNumberFormat="0" applyAlignment="0" applyProtection="0"/>
    <xf numFmtId="0" fontId="11" fillId="22"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8" fillId="25" borderId="83" applyNumberFormat="0" applyFont="0" applyAlignment="0" applyProtection="0"/>
    <xf numFmtId="0" fontId="11" fillId="22" borderId="82" applyNumberFormat="0" applyAlignment="0" applyProtection="0"/>
    <xf numFmtId="0" fontId="11" fillId="22" borderId="82" applyNumberFormat="0" applyAlignment="0" applyProtection="0"/>
    <xf numFmtId="0" fontId="21" fillId="22" borderId="84" applyNumberFormat="0" applyAlignment="0" applyProtection="0"/>
    <xf numFmtId="0" fontId="21" fillId="22" borderId="84" applyNumberFormat="0" applyAlignment="0" applyProtection="0"/>
    <xf numFmtId="0" fontId="11" fillId="22"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11" fillId="22" borderId="82" applyNumberFormat="0" applyAlignment="0" applyProtection="0"/>
    <xf numFmtId="0" fontId="23" fillId="0" borderId="85" applyNumberFormat="0" applyFill="0" applyAlignment="0" applyProtection="0"/>
    <xf numFmtId="0" fontId="21" fillId="22" borderId="84"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18" fillId="9" borderId="82" applyNumberFormat="0" applyAlignment="0" applyProtection="0"/>
    <xf numFmtId="0" fontId="23" fillId="0" borderId="85" applyNumberFormat="0" applyFill="0" applyAlignment="0" applyProtection="0"/>
    <xf numFmtId="0" fontId="18" fillId="9" borderId="82" applyNumberFormat="0" applyAlignment="0" applyProtection="0"/>
    <xf numFmtId="0" fontId="11" fillId="22" borderId="82" applyNumberFormat="0" applyAlignment="0" applyProtection="0"/>
    <xf numFmtId="0" fontId="11" fillId="22" borderId="82" applyNumberFormat="0" applyAlignment="0" applyProtection="0"/>
    <xf numFmtId="0" fontId="21" fillId="22" borderId="84" applyNumberFormat="0" applyAlignment="0" applyProtection="0"/>
    <xf numFmtId="0" fontId="11" fillId="22" borderId="82" applyNumberFormat="0" applyAlignment="0" applyProtection="0"/>
    <xf numFmtId="0" fontId="21" fillId="22" borderId="84" applyNumberFormat="0" applyAlignment="0" applyProtection="0"/>
    <xf numFmtId="0" fontId="21" fillId="22" borderId="84" applyNumberFormat="0" applyAlignment="0" applyProtection="0"/>
    <xf numFmtId="0" fontId="11" fillId="22" borderId="82" applyNumberFormat="0" applyAlignment="0" applyProtection="0"/>
    <xf numFmtId="0" fontId="11" fillId="22" borderId="82" applyNumberFormat="0" applyAlignment="0" applyProtection="0"/>
    <xf numFmtId="0" fontId="21" fillId="22" borderId="84"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11" fillId="22" borderId="82" applyNumberFormat="0" applyAlignment="0" applyProtection="0"/>
    <xf numFmtId="0" fontId="21" fillId="22" borderId="84" applyNumberFormat="0" applyAlignment="0" applyProtection="0"/>
    <xf numFmtId="0" fontId="18" fillId="9" borderId="82" applyNumberFormat="0" applyAlignment="0" applyProtection="0"/>
    <xf numFmtId="0" fontId="11" fillId="22" borderId="82" applyNumberFormat="0" applyAlignment="0" applyProtection="0"/>
    <xf numFmtId="0" fontId="8" fillId="25" borderId="83" applyNumberFormat="0" applyFont="0" applyAlignment="0" applyProtection="0"/>
    <xf numFmtId="0" fontId="18" fillId="9" borderId="82" applyNumberFormat="0" applyAlignment="0" applyProtection="0"/>
    <xf numFmtId="0" fontId="18" fillId="9" borderId="82" applyNumberFormat="0" applyAlignment="0" applyProtection="0"/>
    <xf numFmtId="0" fontId="21" fillId="22" borderId="84" applyNumberFormat="0" applyAlignment="0" applyProtection="0"/>
    <xf numFmtId="0" fontId="18" fillId="9"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23" fillId="0" borderId="85" applyNumberFormat="0" applyFill="0" applyAlignment="0" applyProtection="0"/>
    <xf numFmtId="0" fontId="18" fillId="9" borderId="82" applyNumberFormat="0" applyAlignment="0" applyProtection="0"/>
    <xf numFmtId="0" fontId="18" fillId="9" borderId="82" applyNumberFormat="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23" fillId="0" borderId="85" applyNumberFormat="0" applyFill="0" applyAlignment="0" applyProtection="0"/>
    <xf numFmtId="0" fontId="11" fillId="22" borderId="82" applyNumberFormat="0" applyAlignment="0" applyProtection="0"/>
    <xf numFmtId="0" fontId="8" fillId="25" borderId="83" applyNumberFormat="0" applyFont="0" applyAlignment="0" applyProtection="0"/>
    <xf numFmtId="0" fontId="18" fillId="9" borderId="82" applyNumberFormat="0" applyAlignment="0" applyProtection="0"/>
    <xf numFmtId="0" fontId="21" fillId="22" borderId="84"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21" fillId="22" borderId="84" applyNumberFormat="0" applyAlignment="0" applyProtection="0"/>
    <xf numFmtId="0" fontId="21" fillId="22" borderId="84" applyNumberFormat="0" applyAlignment="0" applyProtection="0"/>
    <xf numFmtId="0" fontId="21" fillId="22" borderId="84" applyNumberFormat="0" applyAlignment="0" applyProtection="0"/>
    <xf numFmtId="0" fontId="21" fillId="22" borderId="84" applyNumberFormat="0" applyAlignment="0" applyProtection="0"/>
    <xf numFmtId="0" fontId="23" fillId="0" borderId="85" applyNumberFormat="0" applyFill="0" applyAlignment="0" applyProtection="0"/>
    <xf numFmtId="0" fontId="21" fillId="22" borderId="84" applyNumberFormat="0" applyAlignment="0" applyProtection="0"/>
    <xf numFmtId="0" fontId="23" fillId="0" borderId="85" applyNumberFormat="0" applyFill="0" applyAlignment="0" applyProtection="0"/>
    <xf numFmtId="0" fontId="21" fillId="22" borderId="84" applyNumberFormat="0" applyAlignment="0" applyProtection="0"/>
    <xf numFmtId="0" fontId="11" fillId="22" borderId="82" applyNumberFormat="0" applyAlignment="0" applyProtection="0"/>
    <xf numFmtId="0" fontId="18" fillId="9" borderId="82" applyNumberFormat="0" applyAlignment="0" applyProtection="0"/>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18" fillId="9" borderId="82" applyNumberFormat="0" applyAlignment="0" applyProtection="0"/>
    <xf numFmtId="0" fontId="23" fillId="0" borderId="85" applyNumberFormat="0" applyFill="0" applyAlignment="0" applyProtection="0"/>
    <xf numFmtId="0" fontId="11" fillId="22" borderId="82" applyNumberFormat="0" applyAlignment="0" applyProtection="0"/>
    <xf numFmtId="0" fontId="11" fillId="22" borderId="82" applyNumberFormat="0" applyAlignment="0" applyProtection="0"/>
    <xf numFmtId="0" fontId="18" fillId="9" borderId="82" applyNumberFormat="0" applyAlignment="0" applyProtection="0"/>
    <xf numFmtId="0" fontId="8" fillId="25" borderId="83" applyNumberFormat="0" applyFont="0" applyAlignment="0" applyProtection="0"/>
    <xf numFmtId="0" fontId="11" fillId="22" borderId="82" applyNumberFormat="0" applyAlignment="0" applyProtection="0"/>
    <xf numFmtId="0" fontId="23" fillId="0" borderId="85" applyNumberFormat="0" applyFill="0" applyAlignment="0" applyProtection="0"/>
    <xf numFmtId="0" fontId="23" fillId="0" borderId="85" applyNumberFormat="0" applyFill="0" applyAlignment="0" applyProtection="0"/>
    <xf numFmtId="0" fontId="18" fillId="9" borderId="82" applyNumberFormat="0" applyAlignment="0" applyProtection="0"/>
    <xf numFmtId="0" fontId="11" fillId="22" borderId="82" applyNumberFormat="0" applyAlignment="0" applyProtection="0"/>
    <xf numFmtId="0" fontId="11" fillId="22" borderId="82" applyNumberFormat="0" applyAlignment="0" applyProtection="0"/>
    <xf numFmtId="0" fontId="18" fillId="9" borderId="82" applyNumberFormat="0" applyAlignment="0" applyProtection="0"/>
    <xf numFmtId="0" fontId="18" fillId="9" borderId="82" applyNumberFormat="0" applyAlignment="0" applyProtection="0"/>
    <xf numFmtId="0" fontId="8" fillId="25" borderId="83" applyNumberFormat="0" applyFont="0" applyAlignment="0" applyProtection="0"/>
    <xf numFmtId="0" fontId="18" fillId="9" borderId="82" applyNumberFormat="0" applyAlignment="0" applyProtection="0"/>
    <xf numFmtId="0" fontId="23" fillId="0" borderId="85" applyNumberFormat="0" applyFill="0" applyAlignment="0" applyProtection="0"/>
    <xf numFmtId="0" fontId="23" fillId="0" borderId="85" applyNumberFormat="0" applyFill="0" applyAlignment="0" applyProtection="0"/>
    <xf numFmtId="0" fontId="21" fillId="22" borderId="84" applyNumberFormat="0" applyAlignment="0" applyProtection="0"/>
    <xf numFmtId="0" fontId="23" fillId="0" borderId="85" applyNumberFormat="0" applyFill="0" applyAlignment="0" applyProtection="0"/>
    <xf numFmtId="0" fontId="21" fillId="22" borderId="84" applyNumberFormat="0" applyAlignment="0" applyProtection="0"/>
    <xf numFmtId="0" fontId="23" fillId="0" borderId="85" applyNumberFormat="0" applyFill="0" applyAlignment="0" applyProtection="0"/>
    <xf numFmtId="0" fontId="8" fillId="25" borderId="83" applyNumberFormat="0" applyFont="0" applyAlignment="0" applyProtection="0"/>
    <xf numFmtId="0" fontId="23" fillId="0" borderId="85" applyNumberFormat="0" applyFill="0" applyAlignment="0" applyProtection="0"/>
    <xf numFmtId="0" fontId="18" fillId="9" borderId="82" applyNumberFormat="0" applyAlignment="0" applyProtection="0"/>
    <xf numFmtId="0" fontId="18" fillId="9" borderId="82" applyNumberFormat="0" applyAlignment="0" applyProtection="0"/>
    <xf numFmtId="0" fontId="18" fillId="9" borderId="82" applyNumberFormat="0" applyAlignment="0" applyProtection="0"/>
    <xf numFmtId="0" fontId="21" fillId="22" borderId="84" applyNumberFormat="0" applyAlignment="0" applyProtection="0"/>
    <xf numFmtId="0" fontId="8" fillId="25" borderId="83" applyNumberFormat="0" applyFont="0" applyAlignment="0" applyProtection="0"/>
    <xf numFmtId="0" fontId="8" fillId="25" borderId="83" applyNumberFormat="0" applyFont="0" applyAlignment="0" applyProtection="0"/>
    <xf numFmtId="0" fontId="8" fillId="25" borderId="83" applyNumberFormat="0" applyFont="0" applyAlignment="0" applyProtection="0"/>
    <xf numFmtId="0" fontId="11" fillId="22" borderId="82" applyNumberFormat="0" applyAlignment="0" applyProtection="0"/>
    <xf numFmtId="0" fontId="11" fillId="22" borderId="82" applyNumberFormat="0" applyAlignment="0" applyProtection="0"/>
    <xf numFmtId="0" fontId="21" fillId="22" borderId="84" applyNumberFormat="0" applyAlignment="0" applyProtection="0"/>
    <xf numFmtId="0" fontId="8" fillId="25" borderId="83" applyNumberFormat="0" applyFont="0" applyAlignment="0" applyProtection="0"/>
    <xf numFmtId="0" fontId="18" fillId="9" borderId="82" applyNumberFormat="0" applyAlignment="0" applyProtection="0"/>
    <xf numFmtId="0" fontId="18" fillId="9" borderId="82" applyNumberFormat="0" applyAlignment="0" applyProtection="0"/>
    <xf numFmtId="0" fontId="18" fillId="9" borderId="82" applyNumberFormat="0" applyAlignment="0" applyProtection="0"/>
    <xf numFmtId="0" fontId="8" fillId="25" borderId="83" applyNumberFormat="0" applyFont="0" applyAlignment="0" applyProtection="0"/>
    <xf numFmtId="0" fontId="23" fillId="0" borderId="85" applyNumberFormat="0" applyFill="0" applyAlignment="0" applyProtection="0"/>
    <xf numFmtId="0" fontId="11" fillId="22" borderId="82" applyNumberFormat="0" applyAlignment="0" applyProtection="0"/>
    <xf numFmtId="0" fontId="21" fillId="22" borderId="84" applyNumberFormat="0" applyAlignment="0" applyProtection="0"/>
    <xf numFmtId="0" fontId="11" fillId="22" borderId="82" applyNumberFormat="0" applyAlignment="0" applyProtection="0"/>
    <xf numFmtId="0" fontId="23" fillId="0" borderId="85" applyNumberFormat="0" applyFill="0" applyAlignment="0" applyProtection="0"/>
    <xf numFmtId="0" fontId="23" fillId="0" borderId="85" applyNumberFormat="0" applyFill="0" applyAlignment="0" applyProtection="0"/>
    <xf numFmtId="0" fontId="11" fillId="22" borderId="82" applyNumberFormat="0" applyAlignment="0" applyProtection="0"/>
    <xf numFmtId="0" fontId="21" fillId="22" borderId="84" applyNumberFormat="0" applyAlignment="0" applyProtection="0"/>
    <xf numFmtId="0" fontId="23" fillId="0" borderId="85" applyNumberFormat="0" applyFill="0" applyAlignment="0" applyProtection="0"/>
    <xf numFmtId="0" fontId="18" fillId="9" borderId="82" applyNumberFormat="0" applyAlignment="0" applyProtection="0"/>
    <xf numFmtId="0" fontId="23" fillId="0" borderId="89" applyNumberFormat="0" applyFill="0" applyAlignment="0" applyProtection="0"/>
    <xf numFmtId="0" fontId="21" fillId="22" borderId="88" applyNumberFormat="0" applyAlignment="0" applyProtection="0"/>
    <xf numFmtId="0" fontId="11" fillId="22"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18" fillId="9" borderId="86" applyNumberFormat="0" applyAlignment="0" applyProtection="0"/>
    <xf numFmtId="0" fontId="11" fillId="22" borderId="86" applyNumberFormat="0" applyAlignment="0" applyProtection="0"/>
    <xf numFmtId="0" fontId="11" fillId="22" borderId="86" applyNumberFormat="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21" fillId="22" borderId="88"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8" fillId="9" borderId="86" applyNumberFormat="0" applyAlignment="0" applyProtection="0"/>
    <xf numFmtId="0" fontId="21" fillId="22" borderId="88" applyNumberFormat="0" applyAlignment="0" applyProtection="0"/>
    <xf numFmtId="0" fontId="18" fillId="9" borderId="86" applyNumberFormat="0" applyAlignment="0" applyProtection="0"/>
    <xf numFmtId="0" fontId="11" fillId="22" borderId="86" applyNumberFormat="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8" fillId="25" borderId="87" applyNumberFormat="0" applyFont="0" applyAlignment="0" applyProtection="0"/>
    <xf numFmtId="0" fontId="18" fillId="9" borderId="86"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11" fillId="22" borderId="86" applyNumberFormat="0" applyAlignment="0" applyProtection="0"/>
    <xf numFmtId="0" fontId="11" fillId="22" borderId="86" applyNumberFormat="0" applyAlignment="0" applyProtection="0"/>
    <xf numFmtId="0" fontId="11" fillId="22" borderId="86" applyNumberFormat="0" applyAlignment="0" applyProtection="0"/>
    <xf numFmtId="0" fontId="21" fillId="22" borderId="88" applyNumberFormat="0" applyAlignment="0" applyProtection="0"/>
    <xf numFmtId="0" fontId="18" fillId="9" borderId="86" applyNumberFormat="0" applyAlignment="0" applyProtection="0"/>
    <xf numFmtId="0" fontId="11" fillId="22" borderId="86" applyNumberFormat="0" applyAlignment="0" applyProtection="0"/>
    <xf numFmtId="0" fontId="21" fillId="22" borderId="88" applyNumberFormat="0" applyAlignment="0" applyProtection="0"/>
    <xf numFmtId="0" fontId="11" fillId="22"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11" fillId="22" borderId="86" applyNumberFormat="0" applyAlignment="0" applyProtection="0"/>
    <xf numFmtId="0" fontId="11" fillId="22" borderId="86" applyNumberFormat="0" applyAlignment="0" applyProtection="0"/>
    <xf numFmtId="0" fontId="11" fillId="22" borderId="86" applyNumberFormat="0" applyAlignment="0" applyProtection="0"/>
    <xf numFmtId="0" fontId="11" fillId="22" borderId="86" applyNumberFormat="0" applyAlignment="0" applyProtection="0"/>
    <xf numFmtId="0" fontId="11" fillId="22" borderId="86" applyNumberFormat="0" applyAlignment="0" applyProtection="0"/>
    <xf numFmtId="0" fontId="11" fillId="22"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21" fillId="22" borderId="88"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18" fillId="9"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11" fillId="22" borderId="86" applyNumberFormat="0" applyAlignment="0" applyProtection="0"/>
    <xf numFmtId="0" fontId="18" fillId="9"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8" fillId="25" borderId="87" applyNumberFormat="0" applyFont="0" applyAlignment="0" applyProtection="0"/>
    <xf numFmtId="0" fontId="18" fillId="9"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11" fillId="22" borderId="86" applyNumberFormat="0" applyAlignment="0" applyProtection="0"/>
    <xf numFmtId="0" fontId="21" fillId="22" borderId="88" applyNumberFormat="0" applyAlignment="0" applyProtection="0"/>
    <xf numFmtId="0" fontId="21" fillId="22" borderId="88" applyNumberFormat="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8" fillId="25" borderId="87" applyNumberFormat="0" applyFont="0" applyAlignment="0" applyProtection="0"/>
    <xf numFmtId="0" fontId="18" fillId="9"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18" fillId="9" borderId="86" applyNumberFormat="0" applyAlignment="0" applyProtection="0"/>
    <xf numFmtId="0" fontId="18" fillId="9" borderId="86" applyNumberFormat="0" applyAlignment="0" applyProtection="0"/>
    <xf numFmtId="0" fontId="21" fillId="22" borderId="88" applyNumberFormat="0" applyAlignment="0" applyProtection="0"/>
    <xf numFmtId="0" fontId="21" fillId="22" borderId="88" applyNumberFormat="0" applyAlignment="0" applyProtection="0"/>
    <xf numFmtId="0" fontId="18" fillId="9" borderId="86" applyNumberFormat="0" applyAlignment="0" applyProtection="0"/>
    <xf numFmtId="0" fontId="18" fillId="9" borderId="86" applyNumberFormat="0" applyAlignment="0" applyProtection="0"/>
    <xf numFmtId="0" fontId="18" fillId="9"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18" fillId="9" borderId="86" applyNumberFormat="0" applyAlignment="0" applyProtection="0"/>
    <xf numFmtId="0" fontId="18" fillId="9"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23" fillId="0" borderId="89" applyNumberFormat="0" applyFill="0" applyAlignment="0" applyProtection="0"/>
    <xf numFmtId="0" fontId="21" fillId="22" borderId="88" applyNumberFormat="0" applyAlignment="0" applyProtection="0"/>
    <xf numFmtId="0" fontId="11" fillId="22" borderId="86" applyNumberFormat="0" applyAlignment="0" applyProtection="0"/>
    <xf numFmtId="0" fontId="18" fillId="9" borderId="86" applyNumberFormat="0" applyAlignment="0" applyProtection="0"/>
    <xf numFmtId="0" fontId="21" fillId="22" borderId="88" applyNumberFormat="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11" fillId="22" borderId="86" applyNumberFormat="0" applyAlignment="0" applyProtection="0"/>
    <xf numFmtId="0" fontId="23" fillId="0" borderId="89" applyNumberFormat="0" applyFill="0" applyAlignment="0" applyProtection="0"/>
    <xf numFmtId="0" fontId="21" fillId="22" borderId="88" applyNumberFormat="0" applyAlignment="0" applyProtection="0"/>
    <xf numFmtId="0" fontId="18" fillId="9"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18" fillId="9"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23" fillId="0" borderId="89" applyNumberFormat="0" applyFill="0" applyAlignment="0" applyProtection="0"/>
    <xf numFmtId="0" fontId="23" fillId="0" borderId="89" applyNumberFormat="0" applyFill="0" applyAlignment="0" applyProtection="0"/>
    <xf numFmtId="0" fontId="23" fillId="0" borderId="89" applyNumberFormat="0" applyFill="0" applyAlignment="0" applyProtection="0"/>
    <xf numFmtId="0" fontId="11" fillId="22" borderId="86" applyNumberFormat="0" applyAlignment="0" applyProtection="0"/>
    <xf numFmtId="0" fontId="23" fillId="0" borderId="89" applyNumberFormat="0" applyFill="0" applyAlignment="0" applyProtection="0"/>
    <xf numFmtId="0" fontId="21" fillId="22" borderId="88" applyNumberFormat="0" applyAlignment="0" applyProtection="0"/>
    <xf numFmtId="0" fontId="11" fillId="22" borderId="86" applyNumberFormat="0" applyAlignment="0" applyProtection="0"/>
    <xf numFmtId="0" fontId="23" fillId="0" borderId="89" applyNumberFormat="0" applyFill="0" applyAlignment="0" applyProtection="0"/>
    <xf numFmtId="0" fontId="21" fillId="22" borderId="88" applyNumberFormat="0" applyAlignment="0" applyProtection="0"/>
    <xf numFmtId="0" fontId="18" fillId="9"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18" fillId="9"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11" fillId="22"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3" fillId="0" borderId="89" applyNumberFormat="0" applyFill="0" applyAlignment="0" applyProtection="0"/>
    <xf numFmtId="0" fontId="21" fillId="22" borderId="88"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11" fillId="22" borderId="86"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23" fillId="0" borderId="89" applyNumberFormat="0" applyFill="0" applyAlignment="0" applyProtection="0"/>
    <xf numFmtId="0" fontId="18" fillId="9" borderId="86" applyNumberFormat="0" applyAlignment="0" applyProtection="0"/>
    <xf numFmtId="0" fontId="18" fillId="9"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21" fillId="22" borderId="88"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11" fillId="22"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11" fillId="22"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21" fillId="22" borderId="88"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8" fillId="25" borderId="87" applyNumberFormat="0" applyFont="0" applyAlignment="0" applyProtection="0"/>
    <xf numFmtId="0" fontId="21" fillId="22" borderId="88" applyNumberFormat="0" applyAlignment="0" applyProtection="0"/>
    <xf numFmtId="0" fontId="18" fillId="9"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18" fillId="9" borderId="86"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18" fillId="9" borderId="86" applyNumberFormat="0" applyAlignment="0" applyProtection="0"/>
    <xf numFmtId="0" fontId="18" fillId="9" borderId="86" applyNumberFormat="0" applyAlignment="0" applyProtection="0"/>
    <xf numFmtId="0" fontId="11" fillId="22" borderId="86" applyNumberFormat="0" applyAlignment="0" applyProtection="0"/>
    <xf numFmtId="0" fontId="21" fillId="22" borderId="88" applyNumberFormat="0" applyAlignment="0" applyProtection="0"/>
    <xf numFmtId="0" fontId="21" fillId="22" borderId="88" applyNumberFormat="0" applyAlignment="0" applyProtection="0"/>
    <xf numFmtId="0" fontId="18" fillId="9" borderId="86" applyNumberFormat="0" applyAlignment="0" applyProtection="0"/>
    <xf numFmtId="0" fontId="11" fillId="22"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21" fillId="22" borderId="88" applyNumberFormat="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23" fillId="0" borderId="89" applyNumberFormat="0" applyFill="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23" fillId="0" borderId="89" applyNumberFormat="0" applyFill="0" applyAlignment="0" applyProtection="0"/>
    <xf numFmtId="0" fontId="8" fillId="25" borderId="87" applyNumberFormat="0" applyFont="0" applyAlignment="0" applyProtection="0"/>
    <xf numFmtId="0" fontId="23" fillId="0" borderId="89" applyNumberFormat="0" applyFill="0" applyAlignment="0" applyProtection="0"/>
    <xf numFmtId="0" fontId="11" fillId="22"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21" fillId="22" borderId="88" applyNumberFormat="0" applyAlignment="0" applyProtection="0"/>
    <xf numFmtId="0" fontId="21" fillId="22" borderId="88"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18" fillId="9" borderId="86" applyNumberFormat="0" applyAlignment="0" applyProtection="0"/>
    <xf numFmtId="0" fontId="11" fillId="22" borderId="86" applyNumberFormat="0" applyAlignment="0" applyProtection="0"/>
    <xf numFmtId="0" fontId="23" fillId="0" borderId="89" applyNumberFormat="0" applyFill="0" applyAlignment="0" applyProtection="0"/>
    <xf numFmtId="0" fontId="21" fillId="22" borderId="88" applyNumberFormat="0" applyAlignment="0" applyProtection="0"/>
    <xf numFmtId="0" fontId="11" fillId="22"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21" fillId="22" borderId="88"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18" fillId="9" borderId="86" applyNumberFormat="0" applyAlignment="0" applyProtection="0"/>
    <xf numFmtId="0" fontId="18" fillId="9" borderId="86" applyNumberFormat="0" applyAlignment="0" applyProtection="0"/>
    <xf numFmtId="0" fontId="21" fillId="22" borderId="88" applyNumberFormat="0" applyAlignment="0" applyProtection="0"/>
    <xf numFmtId="0" fontId="21" fillId="22" borderId="88" applyNumberFormat="0" applyAlignment="0" applyProtection="0"/>
    <xf numFmtId="0" fontId="18" fillId="9"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21" fillId="22" borderId="88" applyNumberFormat="0" applyAlignment="0" applyProtection="0"/>
    <xf numFmtId="0" fontId="18" fillId="9"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23" fillId="0" borderId="89" applyNumberFormat="0" applyFill="0" applyAlignment="0" applyProtection="0"/>
    <xf numFmtId="0" fontId="18" fillId="9"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11" fillId="22"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18" fillId="9" borderId="86"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23" fillId="0" borderId="89" applyNumberFormat="0" applyFill="0" applyAlignment="0" applyProtection="0"/>
    <xf numFmtId="0" fontId="11" fillId="22" borderId="86" applyNumberFormat="0" applyAlignment="0" applyProtection="0"/>
    <xf numFmtId="0" fontId="23" fillId="0" borderId="89" applyNumberFormat="0" applyFill="0" applyAlignment="0" applyProtection="0"/>
    <xf numFmtId="0" fontId="21" fillId="22" borderId="88" applyNumberFormat="0" applyAlignment="0" applyProtection="0"/>
    <xf numFmtId="0" fontId="18" fillId="9" borderId="86" applyNumberFormat="0" applyAlignment="0" applyProtection="0"/>
    <xf numFmtId="0" fontId="11" fillId="22" borderId="86" applyNumberFormat="0" applyAlignment="0" applyProtection="0"/>
    <xf numFmtId="0" fontId="21" fillId="22" borderId="88"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23" fillId="0" borderId="89" applyNumberFormat="0" applyFill="0" applyAlignment="0" applyProtection="0"/>
    <xf numFmtId="0" fontId="18" fillId="9" borderId="86" applyNumberFormat="0" applyAlignment="0" applyProtection="0"/>
    <xf numFmtId="0" fontId="18" fillId="9" borderId="86" applyNumberFormat="0" applyAlignment="0" applyProtection="0"/>
    <xf numFmtId="0" fontId="11" fillId="22" borderId="86" applyNumberFormat="0" applyAlignment="0" applyProtection="0"/>
    <xf numFmtId="0" fontId="21" fillId="22" borderId="88" applyNumberFormat="0" applyAlignment="0" applyProtection="0"/>
    <xf numFmtId="0" fontId="11" fillId="22"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3" fillId="0" borderId="89" applyNumberFormat="0" applyFill="0" applyAlignment="0" applyProtection="0"/>
    <xf numFmtId="0" fontId="21" fillId="22" borderId="88" applyNumberFormat="0" applyAlignment="0" applyProtection="0"/>
    <xf numFmtId="0" fontId="18" fillId="9"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21" fillId="22" borderId="88" applyNumberFormat="0" applyAlignment="0" applyProtection="0"/>
    <xf numFmtId="0" fontId="18" fillId="9"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18" fillId="9"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21" fillId="22" borderId="88" applyNumberFormat="0" applyAlignment="0" applyProtection="0"/>
    <xf numFmtId="0" fontId="8" fillId="25" borderId="87" applyNumberFormat="0" applyFont="0" applyAlignment="0" applyProtection="0"/>
    <xf numFmtId="0" fontId="21" fillId="22" borderId="88" applyNumberFormat="0" applyAlignment="0" applyProtection="0"/>
    <xf numFmtId="0" fontId="8" fillId="25" borderId="87" applyNumberFormat="0" applyFont="0" applyAlignment="0" applyProtection="0"/>
    <xf numFmtId="0" fontId="11" fillId="22"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21" fillId="22" borderId="88"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8" fillId="25" borderId="87" applyNumberFormat="0" applyFont="0" applyAlignment="0" applyProtection="0"/>
    <xf numFmtId="0" fontId="11" fillId="22"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18" fillId="9" borderId="86"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18" fillId="9" borderId="86" applyNumberFormat="0" applyAlignment="0" applyProtection="0"/>
    <xf numFmtId="0" fontId="18" fillId="9"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18" fillId="9" borderId="86" applyNumberFormat="0" applyAlignment="0" applyProtection="0"/>
    <xf numFmtId="0" fontId="21" fillId="22" borderId="88" applyNumberFormat="0" applyAlignment="0" applyProtection="0"/>
    <xf numFmtId="0" fontId="21" fillId="22" borderId="88" applyNumberFormat="0" applyAlignment="0" applyProtection="0"/>
    <xf numFmtId="0" fontId="11" fillId="22" borderId="86" applyNumberFormat="0" applyAlignment="0" applyProtection="0"/>
    <xf numFmtId="0" fontId="11" fillId="22"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21" fillId="22" borderId="88" applyNumberFormat="0" applyAlignment="0" applyProtection="0"/>
    <xf numFmtId="0" fontId="18" fillId="9" borderId="86" applyNumberFormat="0" applyAlignment="0" applyProtection="0"/>
    <xf numFmtId="0" fontId="21" fillId="22" borderId="88"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8" fillId="25" borderId="87" applyNumberFormat="0" applyFont="0" applyAlignment="0" applyProtection="0"/>
    <xf numFmtId="0" fontId="21" fillId="22" borderId="88"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11" fillId="22" borderId="86" applyNumberFormat="0" applyAlignment="0" applyProtection="0"/>
    <xf numFmtId="0" fontId="21" fillId="22" borderId="88" applyNumberFormat="0" applyAlignment="0" applyProtection="0"/>
    <xf numFmtId="0" fontId="18" fillId="9" borderId="86" applyNumberFormat="0" applyAlignment="0" applyProtection="0"/>
    <xf numFmtId="0" fontId="21" fillId="22" borderId="88" applyNumberFormat="0" applyAlignment="0" applyProtection="0"/>
    <xf numFmtId="0" fontId="11" fillId="22" borderId="86" applyNumberFormat="0" applyAlignment="0" applyProtection="0"/>
    <xf numFmtId="0" fontId="18" fillId="9" borderId="86" applyNumberFormat="0" applyAlignment="0" applyProtection="0"/>
    <xf numFmtId="0" fontId="11" fillId="22" borderId="86" applyNumberFormat="0" applyAlignment="0" applyProtection="0"/>
    <xf numFmtId="0" fontId="11" fillId="22" borderId="86" applyNumberFormat="0" applyAlignment="0" applyProtection="0"/>
    <xf numFmtId="0" fontId="21" fillId="22" borderId="88" applyNumberFormat="0" applyAlignment="0" applyProtection="0"/>
    <xf numFmtId="0" fontId="18" fillId="9" borderId="86" applyNumberFormat="0" applyAlignment="0" applyProtection="0"/>
    <xf numFmtId="0" fontId="11" fillId="22" borderId="86" applyNumberFormat="0" applyAlignment="0" applyProtection="0"/>
    <xf numFmtId="0" fontId="21" fillId="22" borderId="88" applyNumberFormat="0" applyAlignment="0" applyProtection="0"/>
    <xf numFmtId="0" fontId="18" fillId="9"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11" fillId="22" borderId="86" applyNumberForma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21" fillId="22" borderId="88" applyNumberFormat="0" applyAlignment="0" applyProtection="0"/>
    <xf numFmtId="0" fontId="11" fillId="22"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18" fillId="9"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21" fillId="22" borderId="88" applyNumberFormat="0" applyAlignment="0" applyProtection="0"/>
    <xf numFmtId="0" fontId="18" fillId="9"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8" fillId="25" borderId="87" applyNumberFormat="0" applyFont="0" applyAlignment="0" applyProtection="0"/>
    <xf numFmtId="0" fontId="23" fillId="0" borderId="89" applyNumberFormat="0" applyFill="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8" fillId="25" borderId="87" applyNumberFormat="0" applyFont="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11" fillId="22"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3" fillId="0" borderId="89" applyNumberFormat="0" applyFill="0" applyAlignment="0" applyProtection="0"/>
    <xf numFmtId="0" fontId="23" fillId="0" borderId="89" applyNumberFormat="0" applyFill="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21" fillId="22" borderId="88" applyNumberFormat="0" applyAlignment="0" applyProtection="0"/>
    <xf numFmtId="0" fontId="18" fillId="9" borderId="86" applyNumberFormat="0" applyAlignment="0" applyProtection="0"/>
    <xf numFmtId="0" fontId="11" fillId="22" borderId="86"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8" fillId="25" borderId="87" applyNumberFormat="0" applyFont="0" applyAlignment="0" applyProtection="0"/>
    <xf numFmtId="0" fontId="18" fillId="9" borderId="86" applyNumberFormat="0" applyAlignment="0" applyProtection="0"/>
    <xf numFmtId="0" fontId="21" fillId="22" borderId="88" applyNumberFormat="0" applyAlignment="0" applyProtection="0"/>
    <xf numFmtId="0" fontId="11" fillId="22" borderId="86" applyNumberFormat="0" applyAlignment="0" applyProtection="0"/>
    <xf numFmtId="0" fontId="23" fillId="0" borderId="89" applyNumberFormat="0" applyFill="0" applyAlignment="0" applyProtection="0"/>
    <xf numFmtId="0" fontId="21" fillId="22" borderId="88" applyNumberFormat="0" applyAlignment="0" applyProtection="0"/>
    <xf numFmtId="0" fontId="11" fillId="22"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11" fillId="22" borderId="86"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18" fillId="9"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21" fillId="22" borderId="88" applyNumberFormat="0" applyAlignment="0" applyProtection="0"/>
    <xf numFmtId="0" fontId="11" fillId="22" borderId="86" applyNumberFormat="0" applyAlignment="0" applyProtection="0"/>
    <xf numFmtId="0" fontId="11" fillId="22"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23" fillId="0" borderId="89" applyNumberFormat="0" applyFill="0" applyAlignment="0" applyProtection="0"/>
    <xf numFmtId="0" fontId="11" fillId="22"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21" fillId="22" borderId="88" applyNumberFormat="0" applyAlignment="0" applyProtection="0"/>
    <xf numFmtId="0" fontId="18" fillId="9" borderId="86" applyNumberFormat="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21" fillId="22" borderId="88" applyNumberFormat="0" applyAlignment="0" applyProtection="0"/>
    <xf numFmtId="0" fontId="21" fillId="22" borderId="88" applyNumberFormat="0" applyAlignment="0" applyProtection="0"/>
    <xf numFmtId="0" fontId="11" fillId="22" borderId="86" applyNumberFormat="0" applyAlignment="0" applyProtection="0"/>
    <xf numFmtId="0" fontId="21" fillId="22" borderId="88" applyNumberFormat="0" applyAlignment="0" applyProtection="0"/>
    <xf numFmtId="0" fontId="18" fillId="9" borderId="86" applyNumberFormat="0" applyAlignment="0" applyProtection="0"/>
    <xf numFmtId="0" fontId="11" fillId="22"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11" fillId="22"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21" fillId="22" borderId="88"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23" fillId="0" borderId="89" applyNumberFormat="0" applyFill="0" applyAlignment="0" applyProtection="0"/>
    <xf numFmtId="0" fontId="21" fillId="22" borderId="88" applyNumberFormat="0" applyAlignment="0" applyProtection="0"/>
    <xf numFmtId="0" fontId="11" fillId="22"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8" fillId="25" borderId="87" applyNumberFormat="0" applyFon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11" fillId="22" borderId="86" applyNumberFormat="0" applyAlignment="0" applyProtection="0"/>
    <xf numFmtId="0" fontId="21" fillId="22" borderId="88" applyNumberFormat="0" applyAlignment="0" applyProtection="0"/>
    <xf numFmtId="0" fontId="11" fillId="22"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8" fillId="25" borderId="87" applyNumberFormat="0" applyFont="0" applyAlignment="0" applyProtection="0"/>
    <xf numFmtId="0" fontId="23" fillId="0" borderId="89" applyNumberFormat="0" applyFill="0" applyAlignment="0" applyProtection="0"/>
    <xf numFmtId="0" fontId="8" fillId="25" borderId="87" applyNumberFormat="0" applyFont="0" applyAlignment="0" applyProtection="0"/>
    <xf numFmtId="0" fontId="8" fillId="25" borderId="87" applyNumberFormat="0" applyFont="0" applyAlignment="0" applyProtection="0"/>
    <xf numFmtId="0" fontId="23" fillId="0" borderId="89" applyNumberFormat="0" applyFill="0" applyAlignment="0" applyProtection="0"/>
    <xf numFmtId="0" fontId="18" fillId="9" borderId="86" applyNumberFormat="0" applyAlignment="0" applyProtection="0"/>
    <xf numFmtId="0" fontId="8" fillId="25" borderId="87" applyNumberFormat="0" applyFont="0" applyAlignment="0" applyProtection="0"/>
    <xf numFmtId="0" fontId="11" fillId="22" borderId="86" applyNumberFormat="0" applyAlignment="0" applyProtection="0"/>
    <xf numFmtId="0" fontId="21" fillId="22" borderId="88" applyNumberFormat="0" applyAlignment="0" applyProtection="0"/>
    <xf numFmtId="0" fontId="18" fillId="9" borderId="86" applyNumberFormat="0" applyAlignment="0" applyProtection="0"/>
    <xf numFmtId="0" fontId="21" fillId="22" borderId="88" applyNumberFormat="0" applyAlignment="0" applyProtection="0"/>
    <xf numFmtId="0" fontId="21" fillId="22" borderId="88" applyNumberFormat="0" applyAlignment="0" applyProtection="0"/>
    <xf numFmtId="0" fontId="8" fillId="25" borderId="87" applyNumberFormat="0" applyFon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18" fillId="9"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11" fillId="22"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23" fillId="0" borderId="89" applyNumberFormat="0" applyFill="0" applyAlignment="0" applyProtection="0"/>
    <xf numFmtId="0" fontId="18" fillId="9" borderId="86" applyNumberFormat="0" applyAlignment="0" applyProtection="0"/>
    <xf numFmtId="0" fontId="21" fillId="22" borderId="88" applyNumberForma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18" fillId="9" borderId="86" applyNumberFormat="0" applyAlignment="0" applyProtection="0"/>
    <xf numFmtId="0" fontId="21" fillId="22" borderId="88" applyNumberFormat="0" applyAlignment="0" applyProtection="0"/>
    <xf numFmtId="0" fontId="11" fillId="22"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21" fillId="22" borderId="88" applyNumberFormat="0" applyAlignment="0" applyProtection="0"/>
    <xf numFmtId="0" fontId="18" fillId="9" borderId="86" applyNumberFormat="0" applyAlignment="0" applyProtection="0"/>
    <xf numFmtId="0" fontId="11" fillId="22" borderId="86" applyNumberFormat="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21" fillId="22" borderId="88" applyNumberFormat="0" applyAlignment="0" applyProtection="0"/>
    <xf numFmtId="0" fontId="11" fillId="22" borderId="86"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21" fillId="22" borderId="88" applyNumberFormat="0" applyAlignment="0" applyProtection="0"/>
    <xf numFmtId="0" fontId="11" fillId="22" borderId="86" applyNumberFormat="0" applyAlignment="0" applyProtection="0"/>
    <xf numFmtId="0" fontId="8" fillId="25" borderId="87" applyNumberFormat="0" applyFont="0" applyAlignment="0" applyProtection="0"/>
    <xf numFmtId="0" fontId="11" fillId="22"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18" fillId="9"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8" fillId="25" borderId="87" applyNumberFormat="0" applyFont="0" applyAlignment="0" applyProtection="0"/>
    <xf numFmtId="0" fontId="11" fillId="22" borderId="86"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11" fillId="22" borderId="86" applyNumberFormat="0" applyAlignment="0" applyProtection="0"/>
    <xf numFmtId="0" fontId="21" fillId="22" borderId="88" applyNumberFormat="0" applyAlignment="0" applyProtection="0"/>
    <xf numFmtId="0" fontId="11" fillId="22" borderId="86"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11" fillId="22"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23" fillId="0" borderId="89" applyNumberFormat="0" applyFill="0" applyAlignment="0" applyProtection="0"/>
    <xf numFmtId="0" fontId="8" fillId="25" borderId="87" applyNumberFormat="0" applyFont="0" applyAlignment="0" applyProtection="0"/>
    <xf numFmtId="0" fontId="23" fillId="0" borderId="89" applyNumberFormat="0" applyFill="0" applyAlignment="0" applyProtection="0"/>
    <xf numFmtId="0" fontId="18" fillId="9" borderId="86" applyNumberFormat="0" applyAlignment="0" applyProtection="0"/>
    <xf numFmtId="0" fontId="8" fillId="25" borderId="87" applyNumberFormat="0" applyFont="0" applyAlignment="0" applyProtection="0"/>
    <xf numFmtId="0" fontId="21" fillId="22" borderId="88" applyNumberFormat="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21" fillId="22" borderId="88" applyNumberFormat="0" applyAlignment="0" applyProtection="0"/>
    <xf numFmtId="0" fontId="8" fillId="25" borderId="87" applyNumberFormat="0" applyFont="0" applyAlignment="0" applyProtection="0"/>
    <xf numFmtId="0" fontId="11" fillId="22" borderId="86" applyNumberFormat="0" applyAlignment="0" applyProtection="0"/>
    <xf numFmtId="0" fontId="11" fillId="22" borderId="86" applyNumberFormat="0" applyAlignment="0" applyProtection="0"/>
    <xf numFmtId="0" fontId="21" fillId="22" borderId="88" applyNumberFormat="0" applyAlignment="0" applyProtection="0"/>
    <xf numFmtId="0" fontId="21" fillId="22" borderId="88" applyNumberFormat="0" applyAlignment="0" applyProtection="0"/>
    <xf numFmtId="0" fontId="11" fillId="22"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23" fillId="0" borderId="89" applyNumberFormat="0" applyFill="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18" fillId="9" borderId="86" applyNumberFormat="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11" fillId="22" borderId="86" applyNumberFormat="0" applyAlignment="0" applyProtection="0"/>
    <xf numFmtId="0" fontId="21" fillId="22" borderId="88" applyNumberFormat="0" applyAlignment="0" applyProtection="0"/>
    <xf numFmtId="0" fontId="11" fillId="22" borderId="86" applyNumberFormat="0" applyAlignment="0" applyProtection="0"/>
    <xf numFmtId="0" fontId="21" fillId="22" borderId="88" applyNumberFormat="0" applyAlignment="0" applyProtection="0"/>
    <xf numFmtId="0" fontId="21" fillId="22" borderId="88" applyNumberFormat="0" applyAlignment="0" applyProtection="0"/>
    <xf numFmtId="0" fontId="11" fillId="22" borderId="86" applyNumberFormat="0" applyAlignment="0" applyProtection="0"/>
    <xf numFmtId="0" fontId="11" fillId="22"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11" fillId="22" borderId="86" applyNumberFormat="0" applyAlignment="0" applyProtection="0"/>
    <xf numFmtId="0" fontId="21" fillId="22" borderId="88" applyNumberFormat="0" applyAlignment="0" applyProtection="0"/>
    <xf numFmtId="0" fontId="18" fillId="9" borderId="86" applyNumberFormat="0" applyAlignment="0" applyProtection="0"/>
    <xf numFmtId="0" fontId="11" fillId="22"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18" fillId="9" borderId="86" applyNumberFormat="0" applyAlignment="0" applyProtection="0"/>
    <xf numFmtId="0" fontId="21" fillId="22" borderId="88" applyNumberFormat="0" applyAlignment="0" applyProtection="0"/>
    <xf numFmtId="0" fontId="18" fillId="9"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18" fillId="9" borderId="86" applyNumberFormat="0" applyAlignment="0" applyProtection="0"/>
    <xf numFmtId="0" fontId="18" fillId="9"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18" fillId="9"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21" fillId="22" borderId="88" applyNumberFormat="0" applyAlignment="0" applyProtection="0"/>
    <xf numFmtId="0" fontId="21" fillId="22" borderId="88" applyNumberFormat="0" applyAlignment="0" applyProtection="0"/>
    <xf numFmtId="0" fontId="21" fillId="22" borderId="88" applyNumberFormat="0" applyAlignment="0" applyProtection="0"/>
    <xf numFmtId="0" fontId="21" fillId="22" borderId="88" applyNumberFormat="0" applyAlignment="0" applyProtection="0"/>
    <xf numFmtId="0" fontId="23" fillId="0" borderId="89" applyNumberFormat="0" applyFill="0" applyAlignment="0" applyProtection="0"/>
    <xf numFmtId="0" fontId="21" fillId="22" borderId="88" applyNumberFormat="0" applyAlignment="0" applyProtection="0"/>
    <xf numFmtId="0" fontId="23" fillId="0" borderId="89" applyNumberFormat="0" applyFill="0" applyAlignment="0" applyProtection="0"/>
    <xf numFmtId="0" fontId="21" fillId="22" borderId="88" applyNumberFormat="0" applyAlignment="0" applyProtection="0"/>
    <xf numFmtId="0" fontId="11" fillId="22" borderId="86" applyNumberFormat="0" applyAlignment="0" applyProtection="0"/>
    <xf numFmtId="0" fontId="18" fillId="9"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23" fillId="0" borderId="89" applyNumberFormat="0" applyFill="0" applyAlignment="0" applyProtection="0"/>
    <xf numFmtId="0" fontId="18" fillId="9" borderId="86" applyNumberFormat="0" applyAlignment="0" applyProtection="0"/>
    <xf numFmtId="0" fontId="23" fillId="0" borderId="89" applyNumberFormat="0" applyFill="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11" fillId="22"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18" fillId="9" borderId="86" applyNumberFormat="0" applyAlignment="0" applyProtection="0"/>
    <xf numFmtId="0" fontId="11" fillId="22" borderId="86" applyNumberFormat="0" applyAlignment="0" applyProtection="0"/>
    <xf numFmtId="0" fontId="11" fillId="22"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18" fillId="9"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21" fillId="22" borderId="88" applyNumberFormat="0" applyAlignment="0" applyProtection="0"/>
    <xf numFmtId="0" fontId="23" fillId="0" borderId="89" applyNumberFormat="0" applyFill="0" applyAlignment="0" applyProtection="0"/>
    <xf numFmtId="0" fontId="21" fillId="22" borderId="88" applyNumberFormat="0" applyAlignment="0" applyProtection="0"/>
    <xf numFmtId="0" fontId="23" fillId="0" borderId="89" applyNumberFormat="0" applyFill="0" applyAlignment="0" applyProtection="0"/>
    <xf numFmtId="0" fontId="8" fillId="25" borderId="87" applyNumberFormat="0" applyFont="0" applyAlignment="0" applyProtection="0"/>
    <xf numFmtId="0" fontId="23" fillId="0" borderId="89" applyNumberFormat="0" applyFill="0" applyAlignment="0" applyProtection="0"/>
    <xf numFmtId="0" fontId="18" fillId="9" borderId="86" applyNumberFormat="0" applyAlignment="0" applyProtection="0"/>
    <xf numFmtId="0" fontId="18" fillId="9" borderId="86" applyNumberFormat="0" applyAlignment="0" applyProtection="0"/>
    <xf numFmtId="0" fontId="18" fillId="9"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8" fillId="25" borderId="87" applyNumberFormat="0" applyFont="0" applyAlignment="0" applyProtection="0"/>
    <xf numFmtId="0" fontId="8" fillId="25" borderId="87" applyNumberFormat="0" applyFont="0" applyAlignment="0" applyProtection="0"/>
    <xf numFmtId="0" fontId="11" fillId="22" borderId="86" applyNumberFormat="0" applyAlignment="0" applyProtection="0"/>
    <xf numFmtId="0" fontId="11" fillId="22" borderId="86" applyNumberFormat="0" applyAlignment="0" applyProtection="0"/>
    <xf numFmtId="0" fontId="21" fillId="22" borderId="88" applyNumberFormat="0" applyAlignment="0" applyProtection="0"/>
    <xf numFmtId="0" fontId="8" fillId="25" borderId="87" applyNumberFormat="0" applyFont="0" applyAlignment="0" applyProtection="0"/>
    <xf numFmtId="0" fontId="18" fillId="9" borderId="86" applyNumberFormat="0" applyAlignment="0" applyProtection="0"/>
    <xf numFmtId="0" fontId="18" fillId="9" borderId="86" applyNumberFormat="0" applyAlignment="0" applyProtection="0"/>
    <xf numFmtId="0" fontId="18" fillId="9" borderId="86" applyNumberFormat="0" applyAlignment="0" applyProtection="0"/>
    <xf numFmtId="0" fontId="8" fillId="25" borderId="87" applyNumberFormat="0" applyFont="0" applyAlignment="0" applyProtection="0"/>
    <xf numFmtId="0" fontId="23" fillId="0" borderId="89" applyNumberFormat="0" applyFill="0" applyAlignment="0" applyProtection="0"/>
    <xf numFmtId="0" fontId="11" fillId="22" borderId="86" applyNumberFormat="0" applyAlignment="0" applyProtection="0"/>
    <xf numFmtId="0" fontId="21" fillId="22" borderId="88" applyNumberFormat="0" applyAlignment="0" applyProtection="0"/>
    <xf numFmtId="0" fontId="11" fillId="22" borderId="86" applyNumberFormat="0" applyAlignment="0" applyProtection="0"/>
    <xf numFmtId="0" fontId="23" fillId="0" borderId="89" applyNumberFormat="0" applyFill="0" applyAlignment="0" applyProtection="0"/>
    <xf numFmtId="0" fontId="23" fillId="0" borderId="89" applyNumberFormat="0" applyFill="0" applyAlignment="0" applyProtection="0"/>
    <xf numFmtId="0" fontId="11" fillId="22" borderId="86" applyNumberFormat="0" applyAlignment="0" applyProtection="0"/>
    <xf numFmtId="0" fontId="21" fillId="22" borderId="88" applyNumberFormat="0" applyAlignment="0" applyProtection="0"/>
    <xf numFmtId="0" fontId="23" fillId="0" borderId="89" applyNumberFormat="0" applyFill="0" applyAlignment="0" applyProtection="0"/>
    <xf numFmtId="0" fontId="18" fillId="9" borderId="86" applyNumberFormat="0" applyAlignment="0" applyProtection="0"/>
    <xf numFmtId="0" fontId="23" fillId="0" borderId="93" applyNumberFormat="0" applyFill="0" applyAlignment="0" applyProtection="0"/>
    <xf numFmtId="0" fontId="21" fillId="22" borderId="92" applyNumberFormat="0" applyAlignment="0" applyProtection="0"/>
    <xf numFmtId="0" fontId="11" fillId="22"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18" fillId="9" borderId="90" applyNumberFormat="0" applyAlignment="0" applyProtection="0"/>
    <xf numFmtId="0" fontId="11" fillId="22" borderId="90" applyNumberFormat="0" applyAlignment="0" applyProtection="0"/>
    <xf numFmtId="0" fontId="11" fillId="22" borderId="90" applyNumberFormat="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21" fillId="22" borderId="92"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8" fillId="9" borderId="90" applyNumberFormat="0" applyAlignment="0" applyProtection="0"/>
    <xf numFmtId="0" fontId="21" fillId="22" borderId="92" applyNumberFormat="0" applyAlignment="0" applyProtection="0"/>
    <xf numFmtId="0" fontId="18" fillId="9" borderId="90" applyNumberFormat="0" applyAlignment="0" applyProtection="0"/>
    <xf numFmtId="0" fontId="11" fillId="22" borderId="90" applyNumberFormat="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8" fillId="25" borderId="91" applyNumberFormat="0" applyFont="0" applyAlignment="0" applyProtection="0"/>
    <xf numFmtId="0" fontId="18" fillId="9" borderId="90"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11" fillId="22" borderId="90" applyNumberFormat="0" applyAlignment="0" applyProtection="0"/>
    <xf numFmtId="0" fontId="11" fillId="22" borderId="90" applyNumberFormat="0" applyAlignment="0" applyProtection="0"/>
    <xf numFmtId="0" fontId="11" fillId="22" borderId="90" applyNumberFormat="0" applyAlignment="0" applyProtection="0"/>
    <xf numFmtId="0" fontId="21" fillId="22" borderId="92" applyNumberFormat="0" applyAlignment="0" applyProtection="0"/>
    <xf numFmtId="0" fontId="18" fillId="9" borderId="90" applyNumberFormat="0" applyAlignment="0" applyProtection="0"/>
    <xf numFmtId="0" fontId="11" fillId="22" borderId="90" applyNumberFormat="0" applyAlignment="0" applyProtection="0"/>
    <xf numFmtId="0" fontId="21" fillId="22" borderId="92" applyNumberFormat="0" applyAlignment="0" applyProtection="0"/>
    <xf numFmtId="0" fontId="11" fillId="22"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11" fillId="22" borderId="90" applyNumberFormat="0" applyAlignment="0" applyProtection="0"/>
    <xf numFmtId="0" fontId="11" fillId="22" borderId="90" applyNumberFormat="0" applyAlignment="0" applyProtection="0"/>
    <xf numFmtId="0" fontId="11" fillId="22" borderId="90" applyNumberFormat="0" applyAlignment="0" applyProtection="0"/>
    <xf numFmtId="0" fontId="11" fillId="22" borderId="90" applyNumberFormat="0" applyAlignment="0" applyProtection="0"/>
    <xf numFmtId="0" fontId="11" fillId="22" borderId="90" applyNumberFormat="0" applyAlignment="0" applyProtection="0"/>
    <xf numFmtId="0" fontId="11" fillId="22"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21" fillId="22" borderId="92"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18" fillId="9"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11" fillId="22" borderId="90" applyNumberFormat="0" applyAlignment="0" applyProtection="0"/>
    <xf numFmtId="0" fontId="18" fillId="9"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8" fillId="25" borderId="91" applyNumberFormat="0" applyFont="0" applyAlignment="0" applyProtection="0"/>
    <xf numFmtId="0" fontId="18" fillId="9"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11" fillId="22" borderId="90" applyNumberFormat="0" applyAlignment="0" applyProtection="0"/>
    <xf numFmtId="0" fontId="21" fillId="22" borderId="92" applyNumberFormat="0" applyAlignment="0" applyProtection="0"/>
    <xf numFmtId="0" fontId="21" fillId="22" borderId="92" applyNumberFormat="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8" fillId="25" borderId="91" applyNumberFormat="0" applyFont="0" applyAlignment="0" applyProtection="0"/>
    <xf numFmtId="0" fontId="18" fillId="9"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18" fillId="9" borderId="90" applyNumberFormat="0" applyAlignment="0" applyProtection="0"/>
    <xf numFmtId="0" fontId="18" fillId="9" borderId="90" applyNumberFormat="0" applyAlignment="0" applyProtection="0"/>
    <xf numFmtId="0" fontId="21" fillId="22" borderId="92" applyNumberFormat="0" applyAlignment="0" applyProtection="0"/>
    <xf numFmtId="0" fontId="21" fillId="22" borderId="92" applyNumberFormat="0" applyAlignment="0" applyProtection="0"/>
    <xf numFmtId="0" fontId="18" fillId="9" borderId="90" applyNumberFormat="0" applyAlignment="0" applyProtection="0"/>
    <xf numFmtId="0" fontId="18" fillId="9" borderId="90" applyNumberFormat="0" applyAlignment="0" applyProtection="0"/>
    <xf numFmtId="0" fontId="18" fillId="9"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18" fillId="9" borderId="90" applyNumberFormat="0" applyAlignment="0" applyProtection="0"/>
    <xf numFmtId="0" fontId="18" fillId="9"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23" fillId="0" borderId="93" applyNumberFormat="0" applyFill="0" applyAlignment="0" applyProtection="0"/>
    <xf numFmtId="0" fontId="21" fillId="22" borderId="92" applyNumberFormat="0" applyAlignment="0" applyProtection="0"/>
    <xf numFmtId="0" fontId="11" fillId="22" borderId="90" applyNumberFormat="0" applyAlignment="0" applyProtection="0"/>
    <xf numFmtId="0" fontId="18" fillId="9" borderId="90" applyNumberFormat="0" applyAlignment="0" applyProtection="0"/>
    <xf numFmtId="0" fontId="21" fillId="22" borderId="92" applyNumberFormat="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11" fillId="22" borderId="90" applyNumberFormat="0" applyAlignment="0" applyProtection="0"/>
    <xf numFmtId="0" fontId="23" fillId="0" borderId="93" applyNumberFormat="0" applyFill="0" applyAlignment="0" applyProtection="0"/>
    <xf numFmtId="0" fontId="21" fillId="22" borderId="92" applyNumberFormat="0" applyAlignment="0" applyProtection="0"/>
    <xf numFmtId="0" fontId="18" fillId="9"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18" fillId="9"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11" fillId="22" borderId="90" applyNumberFormat="0" applyAlignment="0" applyProtection="0"/>
    <xf numFmtId="0" fontId="23" fillId="0" borderId="93" applyNumberFormat="0" applyFill="0" applyAlignment="0" applyProtection="0"/>
    <xf numFmtId="0" fontId="21" fillId="22" borderId="92" applyNumberFormat="0" applyAlignment="0" applyProtection="0"/>
    <xf numFmtId="0" fontId="11" fillId="22" borderId="90" applyNumberFormat="0" applyAlignment="0" applyProtection="0"/>
    <xf numFmtId="0" fontId="23" fillId="0" borderId="93" applyNumberFormat="0" applyFill="0" applyAlignment="0" applyProtection="0"/>
    <xf numFmtId="0" fontId="21" fillId="22" borderId="92" applyNumberFormat="0" applyAlignment="0" applyProtection="0"/>
    <xf numFmtId="0" fontId="18" fillId="9"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18" fillId="9"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11" fillId="22"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3" fillId="0" borderId="93" applyNumberFormat="0" applyFill="0" applyAlignment="0" applyProtection="0"/>
    <xf numFmtId="0" fontId="21" fillId="22" borderId="92"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11" fillId="22" borderId="90"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23" fillId="0" borderId="93" applyNumberFormat="0" applyFill="0" applyAlignment="0" applyProtection="0"/>
    <xf numFmtId="0" fontId="18" fillId="9" borderId="90" applyNumberFormat="0" applyAlignment="0" applyProtection="0"/>
    <xf numFmtId="0" fontId="18" fillId="9"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21" fillId="22" borderId="92"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11" fillId="22"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11" fillId="22"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21" fillId="22" borderId="92"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8" fillId="25" borderId="91" applyNumberFormat="0" applyFont="0" applyAlignment="0" applyProtection="0"/>
    <xf numFmtId="0" fontId="21" fillId="22" borderId="92" applyNumberFormat="0" applyAlignment="0" applyProtection="0"/>
    <xf numFmtId="0" fontId="18" fillId="9"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18" fillId="9" borderId="90"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18" fillId="9" borderId="90" applyNumberFormat="0" applyAlignment="0" applyProtection="0"/>
    <xf numFmtId="0" fontId="18" fillId="9" borderId="90" applyNumberFormat="0" applyAlignment="0" applyProtection="0"/>
    <xf numFmtId="0" fontId="11" fillId="22" borderId="90" applyNumberFormat="0" applyAlignment="0" applyProtection="0"/>
    <xf numFmtId="0" fontId="21" fillId="22" borderId="92" applyNumberFormat="0" applyAlignment="0" applyProtection="0"/>
    <xf numFmtId="0" fontId="21" fillId="22" borderId="92" applyNumberFormat="0" applyAlignment="0" applyProtection="0"/>
    <xf numFmtId="0" fontId="18" fillId="9" borderId="90" applyNumberFormat="0" applyAlignment="0" applyProtection="0"/>
    <xf numFmtId="0" fontId="11" fillId="22"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21" fillId="22" borderId="92" applyNumberFormat="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23" fillId="0" borderId="93" applyNumberFormat="0" applyFill="0" applyAlignment="0" applyProtection="0"/>
    <xf numFmtId="0" fontId="8" fillId="25" borderId="91" applyNumberFormat="0" applyFont="0" applyAlignment="0" applyProtection="0"/>
    <xf numFmtId="0" fontId="23" fillId="0" borderId="93" applyNumberFormat="0" applyFill="0" applyAlignment="0" applyProtection="0"/>
    <xf numFmtId="0" fontId="11" fillId="22"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21" fillId="22" borderId="92" applyNumberFormat="0" applyAlignment="0" applyProtection="0"/>
    <xf numFmtId="0" fontId="21" fillId="22" borderId="92"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18" fillId="9" borderId="90" applyNumberFormat="0" applyAlignment="0" applyProtection="0"/>
    <xf numFmtId="0" fontId="11" fillId="22" borderId="90" applyNumberFormat="0" applyAlignment="0" applyProtection="0"/>
    <xf numFmtId="0" fontId="23" fillId="0" borderId="93" applyNumberFormat="0" applyFill="0" applyAlignment="0" applyProtection="0"/>
    <xf numFmtId="0" fontId="21" fillId="22" borderId="92" applyNumberFormat="0" applyAlignment="0" applyProtection="0"/>
    <xf numFmtId="0" fontId="11" fillId="22"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21" fillId="22" borderId="92"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18" fillId="9" borderId="90" applyNumberFormat="0" applyAlignment="0" applyProtection="0"/>
    <xf numFmtId="0" fontId="18" fillId="9" borderId="90" applyNumberFormat="0" applyAlignment="0" applyProtection="0"/>
    <xf numFmtId="0" fontId="21" fillId="22" borderId="92" applyNumberFormat="0" applyAlignment="0" applyProtection="0"/>
    <xf numFmtId="0" fontId="21" fillId="22" borderId="92" applyNumberFormat="0" applyAlignment="0" applyProtection="0"/>
    <xf numFmtId="0" fontId="18" fillId="9"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21" fillId="22" borderId="92" applyNumberFormat="0" applyAlignment="0" applyProtection="0"/>
    <xf numFmtId="0" fontId="18" fillId="9"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23" fillId="0" borderId="93" applyNumberFormat="0" applyFill="0" applyAlignment="0" applyProtection="0"/>
    <xf numFmtId="0" fontId="18" fillId="9"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11" fillId="22"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18" fillId="9" borderId="90"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23" fillId="0" borderId="93" applyNumberFormat="0" applyFill="0" applyAlignment="0" applyProtection="0"/>
    <xf numFmtId="0" fontId="11" fillId="22" borderId="90" applyNumberFormat="0" applyAlignment="0" applyProtection="0"/>
    <xf numFmtId="0" fontId="23" fillId="0" borderId="93" applyNumberFormat="0" applyFill="0" applyAlignment="0" applyProtection="0"/>
    <xf numFmtId="0" fontId="21" fillId="22" borderId="92" applyNumberFormat="0" applyAlignment="0" applyProtection="0"/>
    <xf numFmtId="0" fontId="18" fillId="9" borderId="90" applyNumberFormat="0" applyAlignment="0" applyProtection="0"/>
    <xf numFmtId="0" fontId="11" fillId="22" borderId="90" applyNumberFormat="0" applyAlignment="0" applyProtection="0"/>
    <xf numFmtId="0" fontId="21" fillId="22" borderId="92"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23" fillId="0" borderId="93" applyNumberFormat="0" applyFill="0" applyAlignment="0" applyProtection="0"/>
    <xf numFmtId="0" fontId="18" fillId="9" borderId="90" applyNumberFormat="0" applyAlignment="0" applyProtection="0"/>
    <xf numFmtId="0" fontId="18" fillId="9" borderId="90" applyNumberFormat="0" applyAlignment="0" applyProtection="0"/>
    <xf numFmtId="0" fontId="11" fillId="22" borderId="90" applyNumberFormat="0" applyAlignment="0" applyProtection="0"/>
    <xf numFmtId="0" fontId="21" fillId="22" borderId="92" applyNumberFormat="0" applyAlignment="0" applyProtection="0"/>
    <xf numFmtId="0" fontId="11" fillId="22"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3" fillId="0" borderId="93" applyNumberFormat="0" applyFill="0" applyAlignment="0" applyProtection="0"/>
    <xf numFmtId="0" fontId="21" fillId="22" borderId="92" applyNumberFormat="0" applyAlignment="0" applyProtection="0"/>
    <xf numFmtId="0" fontId="18" fillId="9"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21" fillId="22" borderId="92" applyNumberFormat="0" applyAlignment="0" applyProtection="0"/>
    <xf numFmtId="0" fontId="18" fillId="9"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18" fillId="9"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21" fillId="22" borderId="92" applyNumberFormat="0" applyAlignment="0" applyProtection="0"/>
    <xf numFmtId="0" fontId="8" fillId="25" borderId="91" applyNumberFormat="0" applyFont="0" applyAlignment="0" applyProtection="0"/>
    <xf numFmtId="0" fontId="21" fillId="22" borderId="92" applyNumberFormat="0" applyAlignment="0" applyProtection="0"/>
    <xf numFmtId="0" fontId="8" fillId="25" borderId="91" applyNumberFormat="0" applyFont="0" applyAlignment="0" applyProtection="0"/>
    <xf numFmtId="0" fontId="11" fillId="22"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21" fillId="22" borderId="92"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8" fillId="25" borderId="91" applyNumberFormat="0" applyFont="0" applyAlignment="0" applyProtection="0"/>
    <xf numFmtId="0" fontId="11" fillId="22"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18" fillId="9" borderId="90"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18" fillId="9" borderId="90" applyNumberFormat="0" applyAlignment="0" applyProtection="0"/>
    <xf numFmtId="0" fontId="18" fillId="9"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18" fillId="9" borderId="90" applyNumberFormat="0" applyAlignment="0" applyProtection="0"/>
    <xf numFmtId="0" fontId="21" fillId="22" borderId="92" applyNumberFormat="0" applyAlignment="0" applyProtection="0"/>
    <xf numFmtId="0" fontId="21" fillId="22" borderId="92" applyNumberFormat="0" applyAlignment="0" applyProtection="0"/>
    <xf numFmtId="0" fontId="11" fillId="22" borderId="90" applyNumberFormat="0" applyAlignment="0" applyProtection="0"/>
    <xf numFmtId="0" fontId="11" fillId="22"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21" fillId="22" borderId="92" applyNumberFormat="0" applyAlignment="0" applyProtection="0"/>
    <xf numFmtId="0" fontId="18" fillId="9" borderId="90" applyNumberFormat="0" applyAlignment="0" applyProtection="0"/>
    <xf numFmtId="0" fontId="21" fillId="22" borderId="92"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8" fillId="25" borderId="91" applyNumberFormat="0" applyFont="0" applyAlignment="0" applyProtection="0"/>
    <xf numFmtId="0" fontId="21" fillId="22" borderId="92"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11" fillId="22" borderId="90" applyNumberFormat="0" applyAlignment="0" applyProtection="0"/>
    <xf numFmtId="0" fontId="21" fillId="22" borderId="92" applyNumberFormat="0" applyAlignment="0" applyProtection="0"/>
    <xf numFmtId="0" fontId="18" fillId="9" borderId="90" applyNumberFormat="0" applyAlignment="0" applyProtection="0"/>
    <xf numFmtId="0" fontId="21" fillId="22" borderId="92" applyNumberFormat="0" applyAlignment="0" applyProtection="0"/>
    <xf numFmtId="0" fontId="11" fillId="22" borderId="90" applyNumberFormat="0" applyAlignment="0" applyProtection="0"/>
    <xf numFmtId="0" fontId="18" fillId="9" borderId="90" applyNumberFormat="0" applyAlignment="0" applyProtection="0"/>
    <xf numFmtId="0" fontId="11" fillId="22" borderId="90" applyNumberFormat="0" applyAlignment="0" applyProtection="0"/>
    <xf numFmtId="0" fontId="11" fillId="22" borderId="90" applyNumberFormat="0" applyAlignment="0" applyProtection="0"/>
    <xf numFmtId="0" fontId="21" fillId="22" borderId="92" applyNumberFormat="0" applyAlignment="0" applyProtection="0"/>
    <xf numFmtId="0" fontId="18" fillId="9" borderId="90" applyNumberFormat="0" applyAlignment="0" applyProtection="0"/>
    <xf numFmtId="0" fontId="11" fillId="22" borderId="90" applyNumberFormat="0" applyAlignment="0" applyProtection="0"/>
    <xf numFmtId="0" fontId="21" fillId="22" borderId="92" applyNumberFormat="0" applyAlignment="0" applyProtection="0"/>
    <xf numFmtId="0" fontId="18" fillId="9"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11" fillId="22" borderId="90" applyNumberForma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21" fillId="22" borderId="92" applyNumberFormat="0" applyAlignment="0" applyProtection="0"/>
    <xf numFmtId="0" fontId="11" fillId="22"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18" fillId="9"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21" fillId="22" borderId="92" applyNumberFormat="0" applyAlignment="0" applyProtection="0"/>
    <xf numFmtId="0" fontId="18" fillId="9"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8" fillId="25" borderId="91" applyNumberFormat="0" applyFont="0" applyAlignment="0" applyProtection="0"/>
    <xf numFmtId="0" fontId="23" fillId="0" borderId="93" applyNumberFormat="0" applyFill="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8" fillId="25" borderId="91" applyNumberFormat="0" applyFont="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11" fillId="22"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21" fillId="22" borderId="92" applyNumberFormat="0" applyAlignment="0" applyProtection="0"/>
    <xf numFmtId="0" fontId="18" fillId="9" borderId="90" applyNumberFormat="0" applyAlignment="0" applyProtection="0"/>
    <xf numFmtId="0" fontId="11" fillId="22" borderId="90"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8" fillId="25" borderId="91" applyNumberFormat="0" applyFont="0" applyAlignment="0" applyProtection="0"/>
    <xf numFmtId="0" fontId="18" fillId="9" borderId="90" applyNumberFormat="0" applyAlignment="0" applyProtection="0"/>
    <xf numFmtId="0" fontId="21" fillId="22" borderId="92" applyNumberFormat="0" applyAlignment="0" applyProtection="0"/>
    <xf numFmtId="0" fontId="11" fillId="22" borderId="90" applyNumberFormat="0" applyAlignment="0" applyProtection="0"/>
    <xf numFmtId="0" fontId="23" fillId="0" borderId="93" applyNumberFormat="0" applyFill="0" applyAlignment="0" applyProtection="0"/>
    <xf numFmtId="0" fontId="21" fillId="22" borderId="92" applyNumberFormat="0" applyAlignment="0" applyProtection="0"/>
    <xf numFmtId="0" fontId="11" fillId="22"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11" fillId="22" borderId="90"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18" fillId="9"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21" fillId="22" borderId="92" applyNumberFormat="0" applyAlignment="0" applyProtection="0"/>
    <xf numFmtId="0" fontId="11" fillId="22" borderId="90" applyNumberFormat="0" applyAlignment="0" applyProtection="0"/>
    <xf numFmtId="0" fontId="11" fillId="22"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23" fillId="0" borderId="93" applyNumberFormat="0" applyFill="0" applyAlignment="0" applyProtection="0"/>
    <xf numFmtId="0" fontId="11" fillId="22"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21" fillId="22" borderId="92" applyNumberFormat="0" applyAlignment="0" applyProtection="0"/>
    <xf numFmtId="0" fontId="18" fillId="9" borderId="90" applyNumberFormat="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21" fillId="22" borderId="92" applyNumberFormat="0" applyAlignment="0" applyProtection="0"/>
    <xf numFmtId="0" fontId="21" fillId="22" borderId="92" applyNumberFormat="0" applyAlignment="0" applyProtection="0"/>
    <xf numFmtId="0" fontId="11" fillId="22" borderId="90" applyNumberFormat="0" applyAlignment="0" applyProtection="0"/>
    <xf numFmtId="0" fontId="21" fillId="22" borderId="92" applyNumberFormat="0" applyAlignment="0" applyProtection="0"/>
    <xf numFmtId="0" fontId="18" fillId="9" borderId="90" applyNumberFormat="0" applyAlignment="0" applyProtection="0"/>
    <xf numFmtId="0" fontId="11" fillId="22"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11" fillId="22"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21" fillId="22" borderId="92"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23" fillId="0" borderId="93" applyNumberFormat="0" applyFill="0" applyAlignment="0" applyProtection="0"/>
    <xf numFmtId="0" fontId="21" fillId="22" borderId="92" applyNumberFormat="0" applyAlignment="0" applyProtection="0"/>
    <xf numFmtId="0" fontId="11" fillId="22"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8" fillId="25" borderId="91" applyNumberFormat="0" applyFon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11" fillId="22" borderId="90" applyNumberFormat="0" applyAlignment="0" applyProtection="0"/>
    <xf numFmtId="0" fontId="21" fillId="22" borderId="92" applyNumberFormat="0" applyAlignment="0" applyProtection="0"/>
    <xf numFmtId="0" fontId="11" fillId="22"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8" fillId="25" borderId="91" applyNumberFormat="0" applyFont="0" applyAlignment="0" applyProtection="0"/>
    <xf numFmtId="0" fontId="23" fillId="0" borderId="93" applyNumberFormat="0" applyFill="0" applyAlignment="0" applyProtection="0"/>
    <xf numFmtId="0" fontId="8" fillId="25" borderId="91" applyNumberFormat="0" applyFont="0" applyAlignment="0" applyProtection="0"/>
    <xf numFmtId="0" fontId="8" fillId="25" borderId="91" applyNumberFormat="0" applyFont="0" applyAlignment="0" applyProtection="0"/>
    <xf numFmtId="0" fontId="23" fillId="0" borderId="93" applyNumberFormat="0" applyFill="0" applyAlignment="0" applyProtection="0"/>
    <xf numFmtId="0" fontId="18" fillId="9" borderId="90" applyNumberFormat="0" applyAlignment="0" applyProtection="0"/>
    <xf numFmtId="0" fontId="8" fillId="25" borderId="91" applyNumberFormat="0" applyFont="0" applyAlignment="0" applyProtection="0"/>
    <xf numFmtId="0" fontId="11" fillId="22" borderId="90" applyNumberFormat="0" applyAlignment="0" applyProtection="0"/>
    <xf numFmtId="0" fontId="21" fillId="22" borderId="92" applyNumberFormat="0" applyAlignment="0" applyProtection="0"/>
    <xf numFmtId="0" fontId="18" fillId="9" borderId="90" applyNumberFormat="0" applyAlignment="0" applyProtection="0"/>
    <xf numFmtId="0" fontId="21" fillId="22" borderId="92" applyNumberFormat="0" applyAlignment="0" applyProtection="0"/>
    <xf numFmtId="0" fontId="21" fillId="22" borderId="92" applyNumberFormat="0" applyAlignment="0" applyProtection="0"/>
    <xf numFmtId="0" fontId="8" fillId="25" borderId="91" applyNumberFormat="0" applyFon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18" fillId="9"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11" fillId="22"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23" fillId="0" borderId="93" applyNumberFormat="0" applyFill="0" applyAlignment="0" applyProtection="0"/>
    <xf numFmtId="0" fontId="18" fillId="9" borderId="90" applyNumberFormat="0" applyAlignment="0" applyProtection="0"/>
    <xf numFmtId="0" fontId="21" fillId="22" borderId="92" applyNumberForma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18" fillId="9" borderId="90" applyNumberFormat="0" applyAlignment="0" applyProtection="0"/>
    <xf numFmtId="0" fontId="21" fillId="22" borderId="92" applyNumberFormat="0" applyAlignment="0" applyProtection="0"/>
    <xf numFmtId="0" fontId="11" fillId="22"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21" fillId="22" borderId="92" applyNumberFormat="0" applyAlignment="0" applyProtection="0"/>
    <xf numFmtId="0" fontId="18" fillId="9" borderId="90" applyNumberFormat="0" applyAlignment="0" applyProtection="0"/>
    <xf numFmtId="0" fontId="11" fillId="22" borderId="90" applyNumberFormat="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21" fillId="22" borderId="92" applyNumberFormat="0" applyAlignment="0" applyProtection="0"/>
    <xf numFmtId="0" fontId="11" fillId="22" borderId="90"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21" fillId="22" borderId="92" applyNumberFormat="0" applyAlignment="0" applyProtection="0"/>
    <xf numFmtId="0" fontId="11" fillId="22" borderId="90" applyNumberFormat="0" applyAlignment="0" applyProtection="0"/>
    <xf numFmtId="0" fontId="8" fillId="25" borderId="91" applyNumberFormat="0" applyFont="0" applyAlignment="0" applyProtection="0"/>
    <xf numFmtId="0" fontId="11" fillId="22"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18" fillId="9"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8" fillId="25" borderId="91" applyNumberFormat="0" applyFont="0" applyAlignment="0" applyProtection="0"/>
    <xf numFmtId="0" fontId="11" fillId="22" borderId="90"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11" fillId="22" borderId="90" applyNumberFormat="0" applyAlignment="0" applyProtection="0"/>
    <xf numFmtId="0" fontId="21" fillId="22" borderId="92" applyNumberFormat="0" applyAlignment="0" applyProtection="0"/>
    <xf numFmtId="0" fontId="11" fillId="22" borderId="90"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11" fillId="22"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23" fillId="0" borderId="93" applyNumberFormat="0" applyFill="0" applyAlignment="0" applyProtection="0"/>
    <xf numFmtId="0" fontId="8" fillId="25" borderId="91" applyNumberFormat="0" applyFont="0" applyAlignment="0" applyProtection="0"/>
    <xf numFmtId="0" fontId="23" fillId="0" borderId="93" applyNumberFormat="0" applyFill="0" applyAlignment="0" applyProtection="0"/>
    <xf numFmtId="0" fontId="18" fillId="9" borderId="90" applyNumberFormat="0" applyAlignment="0" applyProtection="0"/>
    <xf numFmtId="0" fontId="8" fillId="25" borderId="91" applyNumberFormat="0" applyFont="0" applyAlignment="0" applyProtection="0"/>
    <xf numFmtId="0" fontId="21" fillId="22" borderId="92" applyNumberFormat="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21" fillId="22" borderId="92" applyNumberFormat="0" applyAlignment="0" applyProtection="0"/>
    <xf numFmtId="0" fontId="8" fillId="25" borderId="91" applyNumberFormat="0" applyFont="0" applyAlignment="0" applyProtection="0"/>
    <xf numFmtId="0" fontId="11" fillId="22" borderId="90" applyNumberFormat="0" applyAlignment="0" applyProtection="0"/>
    <xf numFmtId="0" fontId="11" fillId="22" borderId="90" applyNumberFormat="0" applyAlignment="0" applyProtection="0"/>
    <xf numFmtId="0" fontId="21" fillId="22" borderId="92" applyNumberFormat="0" applyAlignment="0" applyProtection="0"/>
    <xf numFmtId="0" fontId="21" fillId="22" borderId="92" applyNumberFormat="0" applyAlignment="0" applyProtection="0"/>
    <xf numFmtId="0" fontId="11" fillId="22"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23" fillId="0" borderId="93" applyNumberFormat="0" applyFill="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18" fillId="9" borderId="90" applyNumberFormat="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11" fillId="22" borderId="90" applyNumberFormat="0" applyAlignment="0" applyProtection="0"/>
    <xf numFmtId="0" fontId="21" fillId="22" borderId="92" applyNumberFormat="0" applyAlignment="0" applyProtection="0"/>
    <xf numFmtId="0" fontId="11" fillId="22" borderId="90" applyNumberFormat="0" applyAlignment="0" applyProtection="0"/>
    <xf numFmtId="0" fontId="21" fillId="22" borderId="92" applyNumberFormat="0" applyAlignment="0" applyProtection="0"/>
    <xf numFmtId="0" fontId="21" fillId="22" borderId="92" applyNumberFormat="0" applyAlignment="0" applyProtection="0"/>
    <xf numFmtId="0" fontId="11" fillId="22" borderId="90" applyNumberFormat="0" applyAlignment="0" applyProtection="0"/>
    <xf numFmtId="0" fontId="11" fillId="22"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11" fillId="22" borderId="90" applyNumberFormat="0" applyAlignment="0" applyProtection="0"/>
    <xf numFmtId="0" fontId="21" fillId="22" borderId="92" applyNumberFormat="0" applyAlignment="0" applyProtection="0"/>
    <xf numFmtId="0" fontId="18" fillId="9" borderId="90" applyNumberFormat="0" applyAlignment="0" applyProtection="0"/>
    <xf numFmtId="0" fontId="11" fillId="22"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18" fillId="9" borderId="90" applyNumberFormat="0" applyAlignment="0" applyProtection="0"/>
    <xf numFmtId="0" fontId="21" fillId="22" borderId="92" applyNumberFormat="0" applyAlignment="0" applyProtection="0"/>
    <xf numFmtId="0" fontId="18" fillId="9"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18" fillId="9" borderId="90" applyNumberFormat="0" applyAlignment="0" applyProtection="0"/>
    <xf numFmtId="0" fontId="18" fillId="9"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18" fillId="9"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21" fillId="22" borderId="92" applyNumberFormat="0" applyAlignment="0" applyProtection="0"/>
    <xf numFmtId="0" fontId="21" fillId="22" borderId="92" applyNumberFormat="0" applyAlignment="0" applyProtection="0"/>
    <xf numFmtId="0" fontId="21" fillId="22" borderId="92" applyNumberFormat="0" applyAlignment="0" applyProtection="0"/>
    <xf numFmtId="0" fontId="21" fillId="22" borderId="92" applyNumberFormat="0" applyAlignment="0" applyProtection="0"/>
    <xf numFmtId="0" fontId="23" fillId="0" borderId="93" applyNumberFormat="0" applyFill="0" applyAlignment="0" applyProtection="0"/>
    <xf numFmtId="0" fontId="21" fillId="22" borderId="92" applyNumberFormat="0" applyAlignment="0" applyProtection="0"/>
    <xf numFmtId="0" fontId="23" fillId="0" borderId="93" applyNumberFormat="0" applyFill="0" applyAlignment="0" applyProtection="0"/>
    <xf numFmtId="0" fontId="21" fillId="22" borderId="92" applyNumberFormat="0" applyAlignment="0" applyProtection="0"/>
    <xf numFmtId="0" fontId="11" fillId="22" borderId="90" applyNumberFormat="0" applyAlignment="0" applyProtection="0"/>
    <xf numFmtId="0" fontId="18" fillId="9"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23" fillId="0" borderId="93" applyNumberFormat="0" applyFill="0" applyAlignment="0" applyProtection="0"/>
    <xf numFmtId="0" fontId="18" fillId="9" borderId="90" applyNumberFormat="0" applyAlignment="0" applyProtection="0"/>
    <xf numFmtId="0" fontId="23" fillId="0" borderId="93" applyNumberFormat="0" applyFill="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11" fillId="22"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18" fillId="9" borderId="90" applyNumberFormat="0" applyAlignment="0" applyProtection="0"/>
    <xf numFmtId="0" fontId="11" fillId="22" borderId="90" applyNumberFormat="0" applyAlignment="0" applyProtection="0"/>
    <xf numFmtId="0" fontId="11" fillId="22"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18" fillId="9"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21" fillId="22" borderId="92" applyNumberFormat="0" applyAlignment="0" applyProtection="0"/>
    <xf numFmtId="0" fontId="23" fillId="0" borderId="93" applyNumberFormat="0" applyFill="0" applyAlignment="0" applyProtection="0"/>
    <xf numFmtId="0" fontId="21" fillId="22" borderId="92" applyNumberFormat="0" applyAlignment="0" applyProtection="0"/>
    <xf numFmtId="0" fontId="23" fillId="0" borderId="93" applyNumberFormat="0" applyFill="0" applyAlignment="0" applyProtection="0"/>
    <xf numFmtId="0" fontId="8" fillId="25" borderId="91" applyNumberFormat="0" applyFont="0" applyAlignment="0" applyProtection="0"/>
    <xf numFmtId="0" fontId="23" fillId="0" borderId="93" applyNumberFormat="0" applyFill="0" applyAlignment="0" applyProtection="0"/>
    <xf numFmtId="0" fontId="18" fillId="9" borderId="90" applyNumberFormat="0" applyAlignment="0" applyProtection="0"/>
    <xf numFmtId="0" fontId="18" fillId="9" borderId="90" applyNumberFormat="0" applyAlignment="0" applyProtection="0"/>
    <xf numFmtId="0" fontId="18" fillId="9"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8" fillId="25" borderId="91" applyNumberFormat="0" applyFont="0" applyAlignment="0" applyProtection="0"/>
    <xf numFmtId="0" fontId="8" fillId="25" borderId="91" applyNumberFormat="0" applyFont="0" applyAlignment="0" applyProtection="0"/>
    <xf numFmtId="0" fontId="11" fillId="22" borderId="90" applyNumberFormat="0" applyAlignment="0" applyProtection="0"/>
    <xf numFmtId="0" fontId="11" fillId="22" borderId="90" applyNumberFormat="0" applyAlignment="0" applyProtection="0"/>
    <xf numFmtId="0" fontId="21" fillId="22" borderId="92" applyNumberFormat="0" applyAlignment="0" applyProtection="0"/>
    <xf numFmtId="0" fontId="8" fillId="25" borderId="91" applyNumberFormat="0" applyFont="0" applyAlignment="0" applyProtection="0"/>
    <xf numFmtId="0" fontId="18" fillId="9" borderId="90" applyNumberFormat="0" applyAlignment="0" applyProtection="0"/>
    <xf numFmtId="0" fontId="18" fillId="9" borderId="90" applyNumberFormat="0" applyAlignment="0" applyProtection="0"/>
    <xf numFmtId="0" fontId="18" fillId="9" borderId="90" applyNumberFormat="0" applyAlignment="0" applyProtection="0"/>
    <xf numFmtId="0" fontId="8" fillId="25" borderId="91" applyNumberFormat="0" applyFont="0" applyAlignment="0" applyProtection="0"/>
    <xf numFmtId="0" fontId="23" fillId="0" borderId="93" applyNumberFormat="0" applyFill="0" applyAlignment="0" applyProtection="0"/>
    <xf numFmtId="0" fontId="11" fillId="22" borderId="90" applyNumberFormat="0" applyAlignment="0" applyProtection="0"/>
    <xf numFmtId="0" fontId="21" fillId="22" borderId="92" applyNumberFormat="0" applyAlignment="0" applyProtection="0"/>
    <xf numFmtId="0" fontId="11" fillId="22" borderId="90" applyNumberFormat="0" applyAlignment="0" applyProtection="0"/>
    <xf numFmtId="0" fontId="23" fillId="0" borderId="93" applyNumberFormat="0" applyFill="0" applyAlignment="0" applyProtection="0"/>
    <xf numFmtId="0" fontId="23" fillId="0" borderId="93" applyNumberFormat="0" applyFill="0" applyAlignment="0" applyProtection="0"/>
    <xf numFmtId="0" fontId="11" fillId="22" borderId="90" applyNumberFormat="0" applyAlignment="0" applyProtection="0"/>
    <xf numFmtId="0" fontId="21" fillId="22" borderId="92" applyNumberFormat="0" applyAlignment="0" applyProtection="0"/>
    <xf numFmtId="0" fontId="23" fillId="0" borderId="93" applyNumberFormat="0" applyFill="0" applyAlignment="0" applyProtection="0"/>
    <xf numFmtId="0" fontId="18" fillId="9" borderId="90"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18" fillId="9"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18" fillId="9"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18" fillId="9"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8" fillId="25" borderId="95" applyNumberFormat="0" applyFont="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21" fillId="22" borderId="96"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8" fillId="25" borderId="95" applyNumberFormat="0" applyFon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23" fillId="0" borderId="97" applyNumberFormat="0" applyFill="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8" fillId="9" borderId="94" applyNumberFormat="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21" fillId="22" borderId="96" applyNumberFormat="0" applyAlignment="0" applyProtection="0"/>
    <xf numFmtId="0" fontId="21" fillId="22" borderId="96" applyNumberForma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11" fillId="22" borderId="94" applyNumberFormat="0" applyAlignment="0" applyProtection="0"/>
    <xf numFmtId="0" fontId="21" fillId="22" borderId="96" applyNumberFormat="0" applyAlignment="0" applyProtection="0"/>
    <xf numFmtId="0" fontId="18" fillId="9" borderId="94" applyNumberFormat="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18" fillId="9"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21" fillId="22" borderId="96" applyNumberFormat="0" applyAlignment="0" applyProtection="0"/>
    <xf numFmtId="0" fontId="21" fillId="22" borderId="96" applyNumberFormat="0" applyAlignment="0" applyProtection="0"/>
    <xf numFmtId="0" fontId="21" fillId="22" borderId="96" applyNumberFormat="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11" fillId="22" borderId="94" applyNumberForma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23" fillId="0" borderId="97" applyNumberFormat="0" applyFill="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8" fillId="9" borderId="94" applyNumberFormat="0" applyAlignment="0" applyProtection="0"/>
    <xf numFmtId="0" fontId="11" fillId="22" borderId="94" applyNumberFormat="0" applyAlignment="0" applyProtection="0"/>
    <xf numFmtId="0" fontId="11" fillId="22"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18" fillId="9"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21" fillId="22" borderId="96" applyNumberFormat="0" applyAlignment="0" applyProtection="0"/>
    <xf numFmtId="0" fontId="23" fillId="0" borderId="97" applyNumberFormat="0" applyFill="0" applyAlignment="0" applyProtection="0"/>
    <xf numFmtId="0" fontId="21" fillId="22" borderId="96" applyNumberFormat="0" applyAlignment="0" applyProtection="0"/>
    <xf numFmtId="0" fontId="23" fillId="0" borderId="97" applyNumberFormat="0" applyFill="0" applyAlignment="0" applyProtection="0"/>
    <xf numFmtId="0" fontId="8" fillId="25" borderId="95" applyNumberFormat="0" applyFont="0" applyAlignment="0" applyProtection="0"/>
    <xf numFmtId="0" fontId="23" fillId="0" borderId="97" applyNumberFormat="0" applyFill="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8" fillId="25" borderId="95" applyNumberFormat="0" applyFont="0" applyAlignment="0" applyProtection="0"/>
    <xf numFmtId="0" fontId="8" fillId="25" borderId="95" applyNumberFormat="0" applyFont="0" applyAlignment="0" applyProtection="0"/>
    <xf numFmtId="0" fontId="11" fillId="22" borderId="94" applyNumberFormat="0" applyAlignment="0" applyProtection="0"/>
    <xf numFmtId="0" fontId="11" fillId="22" borderId="94" applyNumberFormat="0" applyAlignment="0" applyProtection="0"/>
    <xf numFmtId="0" fontId="21" fillId="22" borderId="96" applyNumberFormat="0" applyAlignment="0" applyProtection="0"/>
    <xf numFmtId="0" fontId="8" fillId="25" borderId="95" applyNumberFormat="0" applyFont="0" applyAlignment="0" applyProtection="0"/>
    <xf numFmtId="0" fontId="18" fillId="9" borderId="94" applyNumberFormat="0" applyAlignment="0" applyProtection="0"/>
    <xf numFmtId="0" fontId="18" fillId="9" borderId="94" applyNumberFormat="0" applyAlignment="0" applyProtection="0"/>
    <xf numFmtId="0" fontId="18" fillId="9" borderId="94" applyNumberFormat="0" applyAlignment="0" applyProtection="0"/>
    <xf numFmtId="0" fontId="8" fillId="25" borderId="95" applyNumberFormat="0" applyFont="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11" fillId="22" borderId="94" applyNumberFormat="0" applyAlignment="0" applyProtection="0"/>
    <xf numFmtId="0" fontId="23" fillId="0" borderId="97" applyNumberFormat="0" applyFill="0" applyAlignment="0" applyProtection="0"/>
    <xf numFmtId="0" fontId="23" fillId="0" borderId="97" applyNumberFormat="0" applyFill="0" applyAlignment="0" applyProtection="0"/>
    <xf numFmtId="0" fontId="11" fillId="22" borderId="94" applyNumberFormat="0" applyAlignment="0" applyProtection="0"/>
    <xf numFmtId="0" fontId="21" fillId="22" borderId="96" applyNumberFormat="0" applyAlignment="0" applyProtection="0"/>
    <xf numFmtId="0" fontId="23" fillId="0" borderId="97" applyNumberFormat="0" applyFill="0" applyAlignment="0" applyProtection="0"/>
    <xf numFmtId="0" fontId="18" fillId="9" borderId="94"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8" fillId="25" borderId="99" applyNumberFormat="0" applyFont="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8" fillId="25" borderId="99" applyNumberFormat="0" applyFon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1" fillId="22" borderId="100" applyNumberFormat="0" applyAlignment="0" applyProtection="0"/>
    <xf numFmtId="0" fontId="21" fillId="22" borderId="100" applyNumberForma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11" fillId="22" borderId="98" applyNumberFormat="0" applyAlignment="0" applyProtection="0"/>
    <xf numFmtId="0" fontId="21" fillId="22" borderId="100" applyNumberFormat="0" applyAlignment="0" applyProtection="0"/>
    <xf numFmtId="0" fontId="18" fillId="9" borderId="98" applyNumberFormat="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18" fillId="9"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11" fillId="22" borderId="98" applyNumberForma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23" fillId="0" borderId="101" applyNumberFormat="0" applyFill="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8" fillId="9" borderId="98" applyNumberFormat="0" applyAlignment="0" applyProtection="0"/>
    <xf numFmtId="0" fontId="11" fillId="22" borderId="98" applyNumberFormat="0" applyAlignment="0" applyProtection="0"/>
    <xf numFmtId="0" fontId="11" fillId="22"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18" fillId="9"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21" fillId="22" borderId="100" applyNumberFormat="0" applyAlignment="0" applyProtection="0"/>
    <xf numFmtId="0" fontId="23" fillId="0" borderId="101" applyNumberFormat="0" applyFill="0" applyAlignment="0" applyProtection="0"/>
    <xf numFmtId="0" fontId="8" fillId="25" borderId="99" applyNumberFormat="0" applyFont="0" applyAlignment="0" applyProtection="0"/>
    <xf numFmtId="0" fontId="23" fillId="0" borderId="101" applyNumberFormat="0" applyFill="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8" fillId="25" borderId="99" applyNumberFormat="0" applyFont="0" applyAlignment="0" applyProtection="0"/>
    <xf numFmtId="0" fontId="8" fillId="25" borderId="99" applyNumberFormat="0" applyFont="0" applyAlignment="0" applyProtection="0"/>
    <xf numFmtId="0" fontId="11" fillId="22" borderId="98" applyNumberFormat="0" applyAlignment="0" applyProtection="0"/>
    <xf numFmtId="0" fontId="11" fillId="22" borderId="98" applyNumberFormat="0" applyAlignment="0" applyProtection="0"/>
    <xf numFmtId="0" fontId="21" fillId="22" borderId="100" applyNumberFormat="0" applyAlignment="0" applyProtection="0"/>
    <xf numFmtId="0" fontId="8" fillId="25" borderId="99" applyNumberFormat="0" applyFont="0" applyAlignment="0" applyProtection="0"/>
    <xf numFmtId="0" fontId="18" fillId="9" borderId="98" applyNumberFormat="0" applyAlignment="0" applyProtection="0"/>
    <xf numFmtId="0" fontId="18" fillId="9" borderId="98" applyNumberFormat="0" applyAlignment="0" applyProtection="0"/>
    <xf numFmtId="0" fontId="18" fillId="9" borderId="98" applyNumberFormat="0" applyAlignment="0" applyProtection="0"/>
    <xf numFmtId="0" fontId="8" fillId="25" borderId="99" applyNumberFormat="0" applyFont="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11" fillId="22" borderId="98" applyNumberFormat="0" applyAlignment="0" applyProtection="0"/>
    <xf numFmtId="0" fontId="23" fillId="0" borderId="101" applyNumberFormat="0" applyFill="0" applyAlignment="0" applyProtection="0"/>
    <xf numFmtId="0" fontId="23" fillId="0" borderId="101" applyNumberFormat="0" applyFill="0" applyAlignment="0" applyProtection="0"/>
    <xf numFmtId="0" fontId="11" fillId="22" borderId="98" applyNumberFormat="0" applyAlignment="0" applyProtection="0"/>
    <xf numFmtId="0" fontId="21" fillId="22" borderId="100" applyNumberFormat="0" applyAlignment="0" applyProtection="0"/>
    <xf numFmtId="0" fontId="23" fillId="0" borderId="101" applyNumberFormat="0" applyFill="0" applyAlignment="0" applyProtection="0"/>
    <xf numFmtId="0" fontId="18" fillId="9" borderId="98" applyNumberFormat="0" applyAlignment="0" applyProtection="0"/>
    <xf numFmtId="171" fontId="51" fillId="0" borderId="119"/>
    <xf numFmtId="0" fontId="23" fillId="0" borderId="118" applyNumberFormat="0" applyFill="0" applyAlignment="0" applyProtection="0"/>
    <xf numFmtId="0" fontId="21" fillId="22" borderId="116" applyNumberFormat="0" applyAlignment="0" applyProtection="0"/>
    <xf numFmtId="0" fontId="8" fillId="25" borderId="115" applyNumberFormat="0" applyFont="0" applyAlignment="0" applyProtection="0"/>
    <xf numFmtId="0" fontId="18" fillId="9" borderId="114" applyNumberFormat="0" applyAlignment="0" applyProtection="0"/>
    <xf numFmtId="0" fontId="11" fillId="22" borderId="114" applyNumberFormat="0" applyAlignment="0" applyProtection="0"/>
    <xf numFmtId="0" fontId="23" fillId="0" borderId="118" applyNumberFormat="0" applyFill="0" applyAlignment="0" applyProtection="0"/>
    <xf numFmtId="0" fontId="23" fillId="0" borderId="118" applyNumberFormat="0" applyFill="0" applyAlignment="0" applyProtection="0"/>
    <xf numFmtId="0" fontId="23" fillId="0" borderId="118" applyNumberFormat="0" applyFill="0" applyAlignment="0" applyProtection="0"/>
    <xf numFmtId="0" fontId="23" fillId="0" borderId="118" applyNumberFormat="0" applyFill="0" applyAlignment="0" applyProtection="0"/>
    <xf numFmtId="0" fontId="21" fillId="22" borderId="116" applyNumberFormat="0" applyAlignment="0" applyProtection="0"/>
    <xf numFmtId="0" fontId="21" fillId="22" borderId="116" applyNumberFormat="0" applyAlignment="0" applyProtection="0"/>
    <xf numFmtId="0" fontId="21" fillId="22" borderId="116" applyNumberFormat="0" applyAlignment="0" applyProtection="0"/>
    <xf numFmtId="0" fontId="21" fillId="22" borderId="116" applyNumberFormat="0" applyAlignment="0" applyProtection="0"/>
    <xf numFmtId="0" fontId="8" fillId="25" borderId="115" applyNumberFormat="0" applyFont="0" applyAlignment="0" applyProtection="0"/>
    <xf numFmtId="0" fontId="8" fillId="25" borderId="115" applyNumberFormat="0" applyFont="0" applyAlignment="0" applyProtection="0"/>
    <xf numFmtId="0" fontId="18" fillId="9" borderId="114" applyNumberFormat="0" applyAlignment="0" applyProtection="0"/>
    <xf numFmtId="0" fontId="18" fillId="9" borderId="114" applyNumberFormat="0" applyAlignment="0" applyProtection="0"/>
    <xf numFmtId="0" fontId="51" fillId="0" borderId="0"/>
    <xf numFmtId="0" fontId="11" fillId="22" borderId="114" applyNumberFormat="0" applyAlignment="0" applyProtection="0"/>
    <xf numFmtId="0" fontId="11" fillId="22" borderId="114" applyNumberFormat="0" applyAlignment="0" applyProtection="0"/>
    <xf numFmtId="171" fontId="51" fillId="0" borderId="119"/>
    <xf numFmtId="175" fontId="51" fillId="0" borderId="119"/>
    <xf numFmtId="180" fontId="51" fillId="0" borderId="119"/>
    <xf numFmtId="181" fontId="51" fillId="0" borderId="119"/>
    <xf numFmtId="171" fontId="51" fillId="0" borderId="0"/>
    <xf numFmtId="172" fontId="51" fillId="0" borderId="0"/>
    <xf numFmtId="173" fontId="51" fillId="0" borderId="0"/>
    <xf numFmtId="171" fontId="51" fillId="0" borderId="74"/>
    <xf numFmtId="172" fontId="51" fillId="0" borderId="74"/>
    <xf numFmtId="172" fontId="51" fillId="0" borderId="74"/>
    <xf numFmtId="173" fontId="51" fillId="0" borderId="74"/>
    <xf numFmtId="173" fontId="51" fillId="0" borderId="74"/>
    <xf numFmtId="171" fontId="51" fillId="0" borderId="74"/>
    <xf numFmtId="174" fontId="51" fillId="0" borderId="0"/>
    <xf numFmtId="175" fontId="51" fillId="0" borderId="0"/>
    <xf numFmtId="176" fontId="51" fillId="0" borderId="0"/>
    <xf numFmtId="174" fontId="51" fillId="0" borderId="74"/>
    <xf numFmtId="175" fontId="51" fillId="0" borderId="74"/>
    <xf numFmtId="175" fontId="51" fillId="0" borderId="74"/>
    <xf numFmtId="176" fontId="51" fillId="0" borderId="74"/>
    <xf numFmtId="176" fontId="51" fillId="0" borderId="74"/>
    <xf numFmtId="174" fontId="51" fillId="0" borderId="74"/>
    <xf numFmtId="177" fontId="51" fillId="0" borderId="0">
      <alignment horizontal="right"/>
      <protection locked="0"/>
    </xf>
    <xf numFmtId="178" fontId="51" fillId="0" borderId="0">
      <alignment horizontal="right"/>
      <protection locked="0"/>
    </xf>
    <xf numFmtId="179" fontId="51" fillId="0" borderId="0"/>
    <xf numFmtId="180" fontId="51" fillId="0" borderId="0"/>
    <xf numFmtId="181" fontId="51" fillId="0" borderId="0"/>
    <xf numFmtId="179" fontId="51" fillId="0" borderId="74"/>
    <xf numFmtId="180" fontId="51" fillId="0" borderId="74"/>
    <xf numFmtId="180" fontId="51" fillId="0" borderId="74"/>
    <xf numFmtId="181" fontId="51" fillId="0" borderId="74"/>
    <xf numFmtId="181" fontId="51" fillId="0" borderId="74"/>
    <xf numFmtId="179" fontId="51" fillId="0" borderId="74"/>
    <xf numFmtId="44" fontId="1" fillId="0" borderId="0" applyFont="0" applyFill="0" applyBorder="0" applyAlignment="0" applyProtection="0"/>
    <xf numFmtId="171" fontId="51" fillId="31" borderId="104">
      <protection locked="0"/>
    </xf>
    <xf numFmtId="172" fontId="51" fillId="31" borderId="104">
      <protection locked="0"/>
    </xf>
    <xf numFmtId="173" fontId="51" fillId="31" borderId="104">
      <protection locked="0"/>
    </xf>
    <xf numFmtId="174" fontId="51" fillId="31" borderId="104">
      <protection locked="0"/>
    </xf>
    <xf numFmtId="175" fontId="51" fillId="31" borderId="104">
      <protection locked="0"/>
    </xf>
    <xf numFmtId="176" fontId="51" fillId="31" borderId="104">
      <protection locked="0"/>
    </xf>
    <xf numFmtId="177" fontId="51" fillId="44" borderId="104">
      <alignment horizontal="right"/>
      <protection locked="0"/>
    </xf>
    <xf numFmtId="178" fontId="51" fillId="44" borderId="104">
      <alignment horizontal="right"/>
      <protection locked="0"/>
    </xf>
    <xf numFmtId="0" fontId="51" fillId="45" borderId="104">
      <alignment horizontal="left"/>
      <protection locked="0"/>
    </xf>
    <xf numFmtId="49" fontId="51" fillId="26" borderId="104">
      <alignment horizontal="left" vertical="top" wrapText="1"/>
      <protection locked="0"/>
    </xf>
    <xf numFmtId="179" fontId="51" fillId="31" borderId="104">
      <protection locked="0"/>
    </xf>
    <xf numFmtId="180" fontId="51" fillId="31" borderId="104">
      <protection locked="0"/>
    </xf>
    <xf numFmtId="181" fontId="51" fillId="31" borderId="104">
      <protection locked="0"/>
    </xf>
    <xf numFmtId="49" fontId="51" fillId="26" borderId="104">
      <alignment horizontal="left"/>
      <protection locked="0"/>
    </xf>
    <xf numFmtId="182" fontId="51" fillId="31" borderId="104">
      <alignment horizontal="left" indent="1"/>
      <protection locked="0"/>
    </xf>
    <xf numFmtId="0" fontId="23" fillId="0" borderId="118" applyNumberFormat="0" applyFill="0" applyAlignment="0" applyProtection="0"/>
    <xf numFmtId="0" fontId="17" fillId="0" borderId="105" applyNumberFormat="0" applyFill="0" applyAlignment="0" applyProtection="0"/>
    <xf numFmtId="0" fontId="17" fillId="0" borderId="105" applyNumberFormat="0" applyFill="0" applyAlignment="0" applyProtection="0"/>
    <xf numFmtId="0" fontId="23" fillId="0" borderId="118" applyNumberFormat="0" applyFill="0" applyAlignment="0" applyProtection="0"/>
    <xf numFmtId="0" fontId="54" fillId="46" borderId="117">
      <protection locked="0"/>
    </xf>
    <xf numFmtId="0" fontId="51" fillId="0" borderId="0"/>
    <xf numFmtId="0" fontId="52" fillId="0" borderId="0"/>
    <xf numFmtId="0" fontId="53" fillId="0" borderId="0">
      <alignment horizontal="center"/>
    </xf>
    <xf numFmtId="0" fontId="8" fillId="25" borderId="115" applyNumberFormat="0" applyFont="0" applyAlignment="0" applyProtection="0"/>
    <xf numFmtId="0" fontId="8" fillId="25" borderId="115" applyNumberFormat="0" applyFont="0" applyAlignment="0" applyProtection="0"/>
    <xf numFmtId="0" fontId="25" fillId="0" borderId="0"/>
    <xf numFmtId="0" fontId="54" fillId="46" borderId="103">
      <protection locked="0"/>
    </xf>
    <xf numFmtId="0" fontId="54" fillId="46" borderId="103">
      <protection locked="0"/>
    </xf>
    <xf numFmtId="0" fontId="55" fillId="0" borderId="0">
      <alignment horizontal="center"/>
    </xf>
    <xf numFmtId="15" fontId="55" fillId="0" borderId="0">
      <alignment horizontal="center"/>
    </xf>
    <xf numFmtId="172" fontId="51" fillId="0" borderId="74"/>
    <xf numFmtId="172" fontId="51" fillId="0" borderId="74"/>
    <xf numFmtId="173" fontId="51" fillId="0" borderId="74"/>
    <xf numFmtId="173" fontId="51" fillId="0" borderId="74"/>
    <xf numFmtId="171" fontId="51" fillId="0" borderId="74"/>
    <xf numFmtId="171" fontId="51" fillId="0" borderId="74"/>
    <xf numFmtId="175" fontId="51" fillId="0" borderId="74"/>
    <xf numFmtId="175" fontId="51" fillId="0" borderId="74"/>
    <xf numFmtId="176" fontId="51" fillId="0" borderId="74"/>
    <xf numFmtId="176" fontId="51" fillId="0" borderId="74"/>
    <xf numFmtId="174" fontId="51" fillId="0" borderId="74"/>
    <xf numFmtId="174" fontId="51" fillId="0" borderId="74"/>
    <xf numFmtId="180" fontId="51" fillId="0" borderId="74"/>
    <xf numFmtId="180" fontId="51" fillId="0" borderId="74"/>
    <xf numFmtId="181" fontId="51" fillId="0" borderId="74"/>
    <xf numFmtId="181" fontId="51" fillId="0" borderId="74"/>
    <xf numFmtId="179" fontId="51" fillId="0" borderId="74"/>
    <xf numFmtId="179" fontId="51" fillId="0" borderId="74"/>
    <xf numFmtId="0" fontId="54" fillId="46" borderId="117">
      <protection locked="0"/>
    </xf>
    <xf numFmtId="0" fontId="21" fillId="22" borderId="116" applyNumberFormat="0" applyAlignment="0" applyProtection="0"/>
    <xf numFmtId="179" fontId="51" fillId="0" borderId="119"/>
    <xf numFmtId="171" fontId="51" fillId="0" borderId="74"/>
    <xf numFmtId="172" fontId="51" fillId="0" borderId="74"/>
    <xf numFmtId="173" fontId="51" fillId="0" borderId="74"/>
    <xf numFmtId="174" fontId="51" fillId="0" borderId="74"/>
    <xf numFmtId="175" fontId="51" fillId="0" borderId="74"/>
    <xf numFmtId="176" fontId="51" fillId="0" borderId="74"/>
    <xf numFmtId="179" fontId="51" fillId="0" borderId="74"/>
    <xf numFmtId="180" fontId="51" fillId="0" borderId="74"/>
    <xf numFmtId="181" fontId="51" fillId="0" borderId="74"/>
    <xf numFmtId="0" fontId="54" fillId="46" borderId="103">
      <protection locked="0"/>
    </xf>
    <xf numFmtId="0" fontId="21" fillId="22" borderId="116" applyNumberFormat="0" applyAlignment="0" applyProtection="0"/>
    <xf numFmtId="171" fontId="51" fillId="0" borderId="74"/>
    <xf numFmtId="172" fontId="51" fillId="0" borderId="74"/>
    <xf numFmtId="173" fontId="51" fillId="0" borderId="74"/>
    <xf numFmtId="174" fontId="51" fillId="0" borderId="74"/>
    <xf numFmtId="175" fontId="51" fillId="0" borderId="74"/>
    <xf numFmtId="176" fontId="51" fillId="0" borderId="74"/>
    <xf numFmtId="179" fontId="51" fillId="0" borderId="74"/>
    <xf numFmtId="180" fontId="51" fillId="0" borderId="74"/>
    <xf numFmtId="181" fontId="51" fillId="0" borderId="74"/>
    <xf numFmtId="0" fontId="54" fillId="46" borderId="103">
      <protection locked="0"/>
    </xf>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79" fontId="51" fillId="0" borderId="109"/>
    <xf numFmtId="179" fontId="51" fillId="0" borderId="109"/>
    <xf numFmtId="180" fontId="51" fillId="0" borderId="109"/>
    <xf numFmtId="171" fontId="51" fillId="0" borderId="109"/>
    <xf numFmtId="174" fontId="51" fillId="0" borderId="109"/>
    <xf numFmtId="174" fontId="51" fillId="0" borderId="109"/>
    <xf numFmtId="176" fontId="51" fillId="0" borderId="109"/>
    <xf numFmtId="171"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17" fillId="0" borderId="107" applyNumberFormat="0" applyFill="0" applyAlignment="0" applyProtection="0"/>
    <xf numFmtId="0" fontId="11" fillId="22" borderId="106" applyNumberFormat="0" applyAlignment="0" applyProtection="0"/>
    <xf numFmtId="0" fontId="18" fillId="9" borderId="106" applyNumberFormat="0" applyAlignment="0" applyProtection="0"/>
    <xf numFmtId="0" fontId="11" fillId="22" borderId="106" applyNumberFormat="0" applyAlignment="0" applyProtection="0"/>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175" fontId="51" fillId="0" borderId="109"/>
    <xf numFmtId="179" fontId="51" fillId="0" borderId="109"/>
    <xf numFmtId="171" fontId="51" fillId="0" borderId="109"/>
    <xf numFmtId="172" fontId="51" fillId="0" borderId="109"/>
    <xf numFmtId="173" fontId="51" fillId="0" borderId="109"/>
    <xf numFmtId="171" fontId="51" fillId="0" borderId="113"/>
    <xf numFmtId="174" fontId="51" fillId="0" borderId="109"/>
    <xf numFmtId="175" fontId="51" fillId="0" borderId="109"/>
    <xf numFmtId="176" fontId="51" fillId="0" borderId="109"/>
    <xf numFmtId="175" fontId="51" fillId="0" borderId="109"/>
    <xf numFmtId="179" fontId="51" fillId="0" borderId="109"/>
    <xf numFmtId="180" fontId="51" fillId="0" borderId="109"/>
    <xf numFmtId="181" fontId="51" fillId="0" borderId="109"/>
    <xf numFmtId="174" fontId="51" fillId="0" borderId="109"/>
    <xf numFmtId="0" fontId="17" fillId="0" borderId="107" applyNumberFormat="0" applyFill="0" applyAlignment="0" applyProtection="0"/>
    <xf numFmtId="171" fontId="51" fillId="0" borderId="109"/>
    <xf numFmtId="0" fontId="54" fillId="46" borderId="108">
      <protection locked="0"/>
    </xf>
    <xf numFmtId="0" fontId="11" fillId="22" borderId="106" applyNumberFormat="0" applyAlignment="0" applyProtection="0"/>
    <xf numFmtId="0" fontId="11" fillId="22" borderId="106" applyNumberFormat="0" applyAlignment="0" applyProtection="0"/>
    <xf numFmtId="181" fontId="51" fillId="0" borderId="109"/>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173" fontId="51" fillId="0" borderId="109"/>
    <xf numFmtId="0" fontId="18" fillId="9" borderId="106" applyNumberFormat="0" applyAlignment="0" applyProtection="0"/>
    <xf numFmtId="0" fontId="11" fillId="22" borderId="106" applyNumberFormat="0" applyAlignment="0" applyProtection="0"/>
    <xf numFmtId="0" fontId="17" fillId="0" borderId="107" applyNumberFormat="0" applyFill="0" applyAlignment="0" applyProtection="0"/>
    <xf numFmtId="0" fontId="18" fillId="9" borderId="106" applyNumberFormat="0" applyAlignment="0" applyProtection="0"/>
    <xf numFmtId="0" fontId="21" fillId="22" borderId="110" applyNumberFormat="0" applyAlignment="0" applyProtection="0"/>
    <xf numFmtId="172" fontId="51" fillId="0" borderId="109"/>
    <xf numFmtId="173" fontId="51" fillId="0" borderId="109"/>
    <xf numFmtId="0" fontId="18" fillId="9" borderId="106" applyNumberFormat="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11" fillId="22" borderId="114" applyNumberFormat="0" applyAlignment="0" applyProtection="0"/>
    <xf numFmtId="0" fontId="21" fillId="22" borderId="110" applyNumberFormat="0" applyAlignment="0" applyProtection="0"/>
    <xf numFmtId="0" fontId="23" fillId="0" borderId="111" applyNumberFormat="0" applyFill="0" applyAlignment="0" applyProtection="0"/>
    <xf numFmtId="176" fontId="51" fillId="0" borderId="109"/>
    <xf numFmtId="171" fontId="51" fillId="0" borderId="109"/>
    <xf numFmtId="172" fontId="51" fillId="0" borderId="109"/>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174" fontId="51" fillId="0" borderId="109"/>
    <xf numFmtId="179"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171" fontId="51" fillId="0" borderId="109"/>
    <xf numFmtId="179" fontId="51" fillId="0" borderId="109"/>
    <xf numFmtId="174" fontId="51" fillId="0" borderId="109"/>
    <xf numFmtId="174" fontId="51" fillId="0" borderId="109"/>
    <xf numFmtId="179" fontId="51" fillId="0" borderId="109"/>
    <xf numFmtId="171"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0" fontId="54" fillId="46" borderId="108">
      <protection locked="0"/>
    </xf>
    <xf numFmtId="171" fontId="51" fillId="0" borderId="109"/>
    <xf numFmtId="181" fontId="51" fillId="0" borderId="109"/>
    <xf numFmtId="174" fontId="51" fillId="0" borderId="109"/>
    <xf numFmtId="176" fontId="51" fillId="0" borderId="109"/>
    <xf numFmtId="173" fontId="51" fillId="0" borderId="109"/>
    <xf numFmtId="172" fontId="51" fillId="0" borderId="109"/>
    <xf numFmtId="179"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179" fontId="51" fillId="0" borderId="109"/>
    <xf numFmtId="180"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3">
      <protection locked="0"/>
    </xf>
    <xf numFmtId="171" fontId="51" fillId="0" borderId="109"/>
    <xf numFmtId="174" fontId="51" fillId="0" borderId="109"/>
    <xf numFmtId="179" fontId="51" fillId="0" borderId="109"/>
    <xf numFmtId="0" fontId="54" fillId="46" borderId="108">
      <protection locked="0"/>
    </xf>
    <xf numFmtId="0" fontId="54" fillId="46" borderId="108">
      <protection locked="0"/>
    </xf>
    <xf numFmtId="0" fontId="11" fillId="22" borderId="106" applyNumberFormat="0" applyAlignment="0" applyProtection="0"/>
    <xf numFmtId="174" fontId="51" fillId="0" borderId="109"/>
    <xf numFmtId="171" fontId="51" fillId="0" borderId="109"/>
    <xf numFmtId="174" fontId="51" fillId="0" borderId="109"/>
    <xf numFmtId="174" fontId="51" fillId="0" borderId="109"/>
    <xf numFmtId="0" fontId="21" fillId="22" borderId="110" applyNumberFormat="0" applyAlignment="0" applyProtection="0"/>
    <xf numFmtId="179" fontId="51" fillId="0" borderId="109"/>
    <xf numFmtId="174" fontId="51" fillId="0" borderId="109"/>
    <xf numFmtId="0" fontId="54" fillId="46" borderId="108">
      <protection locked="0"/>
    </xf>
    <xf numFmtId="0" fontId="21" fillId="22" borderId="110" applyNumberFormat="0" applyAlignment="0" applyProtection="0"/>
    <xf numFmtId="0" fontId="8" fillId="25" borderId="99" applyNumberFormat="0" applyFont="0" applyAlignment="0" applyProtection="0"/>
    <xf numFmtId="171" fontId="51" fillId="0" borderId="109"/>
    <xf numFmtId="0" fontId="8" fillId="25" borderId="99" applyNumberFormat="0" applyFont="0" applyAlignment="0" applyProtection="0"/>
    <xf numFmtId="173" fontId="51" fillId="0" borderId="109"/>
    <xf numFmtId="0" fontId="23" fillId="0" borderId="111" applyNumberFormat="0" applyFill="0" applyAlignment="0" applyProtection="0"/>
    <xf numFmtId="175" fontId="51" fillId="0" borderId="109"/>
    <xf numFmtId="174" fontId="51" fillId="0" borderId="109"/>
    <xf numFmtId="0" fontId="23" fillId="0" borderId="111" applyNumberFormat="0" applyFill="0" applyAlignment="0" applyProtection="0"/>
    <xf numFmtId="181" fontId="51" fillId="0" borderId="109"/>
    <xf numFmtId="174" fontId="51" fillId="0" borderId="109"/>
    <xf numFmtId="174" fontId="51" fillId="0" borderId="109"/>
    <xf numFmtId="0" fontId="18" fillId="9" borderId="106" applyNumberFormat="0" applyAlignment="0" applyProtection="0"/>
    <xf numFmtId="0" fontId="21" fillId="22" borderId="110" applyNumberFormat="0" applyAlignment="0" applyProtection="0"/>
    <xf numFmtId="171" fontId="51" fillId="0" borderId="109"/>
    <xf numFmtId="172" fontId="51" fillId="0" borderId="109"/>
    <xf numFmtId="176" fontId="51" fillId="0" borderId="109"/>
    <xf numFmtId="0" fontId="23" fillId="0" borderId="111" applyNumberFormat="0" applyFill="0" applyAlignment="0" applyProtection="0"/>
    <xf numFmtId="175" fontId="51" fillId="0" borderId="109"/>
    <xf numFmtId="171" fontId="51" fillId="0" borderId="109"/>
    <xf numFmtId="179" fontId="51" fillId="0" borderId="109"/>
    <xf numFmtId="0" fontId="18" fillId="9" borderId="106" applyNumberFormat="0" applyAlignment="0" applyProtection="0"/>
    <xf numFmtId="171" fontId="51" fillId="0" borderId="109"/>
    <xf numFmtId="0" fontId="21" fillId="22" borderId="110" applyNumberFormat="0" applyAlignment="0" applyProtection="0"/>
    <xf numFmtId="179" fontId="51" fillId="0" borderId="109"/>
    <xf numFmtId="171" fontId="51" fillId="0" borderId="109"/>
    <xf numFmtId="179" fontId="51" fillId="0" borderId="109"/>
    <xf numFmtId="174" fontId="51" fillId="0" borderId="109"/>
    <xf numFmtId="172" fontId="51" fillId="0" borderId="109"/>
    <xf numFmtId="171" fontId="51" fillId="0" borderId="109"/>
    <xf numFmtId="174" fontId="51" fillId="0" borderId="109"/>
    <xf numFmtId="173" fontId="51" fillId="0" borderId="109"/>
    <xf numFmtId="180" fontId="51" fillId="0" borderId="109"/>
    <xf numFmtId="179" fontId="51" fillId="0" borderId="109"/>
    <xf numFmtId="174" fontId="51" fillId="0" borderId="109"/>
    <xf numFmtId="171" fontId="51" fillId="0" borderId="109"/>
    <xf numFmtId="179" fontId="51" fillId="0" borderId="109"/>
    <xf numFmtId="174" fontId="51" fillId="0" borderId="109"/>
    <xf numFmtId="171" fontId="51" fillId="0" borderId="109"/>
    <xf numFmtId="179" fontId="51" fillId="0" borderId="109"/>
    <xf numFmtId="179" fontId="51" fillId="0" borderId="109"/>
    <xf numFmtId="180" fontId="51" fillId="0" borderId="109"/>
    <xf numFmtId="176" fontId="51" fillId="0" borderId="109"/>
    <xf numFmtId="171" fontId="51" fillId="0" borderId="109"/>
    <xf numFmtId="0" fontId="23" fillId="0" borderId="111" applyNumberFormat="0" applyFill="0" applyAlignment="0" applyProtection="0"/>
    <xf numFmtId="0" fontId="11" fillId="22" borderId="106" applyNumberFormat="0" applyAlignment="0" applyProtection="0"/>
    <xf numFmtId="171" fontId="51" fillId="0" borderId="109"/>
    <xf numFmtId="173" fontId="51" fillId="0" borderId="109"/>
    <xf numFmtId="171" fontId="51" fillId="0" borderId="109"/>
    <xf numFmtId="174" fontId="51" fillId="0" borderId="109"/>
    <xf numFmtId="179" fontId="51" fillId="0" borderId="109"/>
    <xf numFmtId="171" fontId="51" fillId="0" borderId="109"/>
    <xf numFmtId="0" fontId="18" fillId="9" borderId="106" applyNumberFormat="0" applyAlignment="0" applyProtection="0"/>
    <xf numFmtId="173" fontId="51" fillId="0" borderId="109"/>
    <xf numFmtId="0" fontId="11" fillId="22" borderId="106" applyNumberFormat="0" applyAlignment="0" applyProtection="0"/>
    <xf numFmtId="181" fontId="51" fillId="0" borderId="109"/>
    <xf numFmtId="171" fontId="51" fillId="0" borderId="109"/>
    <xf numFmtId="172" fontId="51" fillId="0" borderId="109"/>
    <xf numFmtId="174" fontId="51" fillId="0" borderId="109"/>
    <xf numFmtId="175" fontId="51" fillId="0" borderId="109"/>
    <xf numFmtId="174" fontId="51" fillId="0" borderId="109"/>
    <xf numFmtId="174" fontId="51" fillId="0" borderId="109"/>
    <xf numFmtId="0" fontId="11" fillId="22" borderId="106" applyNumberFormat="0" applyAlignment="0" applyProtection="0"/>
    <xf numFmtId="171" fontId="51" fillId="0" borderId="109"/>
    <xf numFmtId="174" fontId="51" fillId="0" borderId="109"/>
    <xf numFmtId="181" fontId="51" fillId="0" borderId="109"/>
    <xf numFmtId="171"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179" fontId="51" fillId="0" borderId="109"/>
    <xf numFmtId="171" fontId="51" fillId="0" borderId="109"/>
    <xf numFmtId="179" fontId="51" fillId="0" borderId="109"/>
    <xf numFmtId="179" fontId="51" fillId="0" borderId="109"/>
    <xf numFmtId="0" fontId="54" fillId="46" borderId="108">
      <protection locked="0"/>
    </xf>
    <xf numFmtId="0" fontId="8" fillId="25" borderId="99" applyNumberFormat="0" applyFont="0" applyAlignment="0" applyProtection="0"/>
    <xf numFmtId="179" fontId="51" fillId="0" borderId="109"/>
    <xf numFmtId="176" fontId="51" fillId="0" borderId="109"/>
    <xf numFmtId="171" fontId="51" fillId="0" borderId="109"/>
    <xf numFmtId="0" fontId="11" fillId="22" borderId="106" applyNumberFormat="0" applyAlignment="0" applyProtection="0"/>
    <xf numFmtId="0" fontId="17" fillId="0" borderId="107" applyNumberFormat="0" applyFill="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0" fontId="21" fillId="22" borderId="110" applyNumberFormat="0" applyAlignment="0" applyProtection="0"/>
    <xf numFmtId="174" fontId="51" fillId="0" borderId="109"/>
    <xf numFmtId="174" fontId="51" fillId="0" borderId="109"/>
    <xf numFmtId="172" fontId="51" fillId="0" borderId="109"/>
    <xf numFmtId="174" fontId="51" fillId="0" borderId="109"/>
    <xf numFmtId="179" fontId="51" fillId="0" borderId="109"/>
    <xf numFmtId="179" fontId="51" fillId="0" borderId="109"/>
    <xf numFmtId="171" fontId="51" fillId="0" borderId="109"/>
    <xf numFmtId="174" fontId="51" fillId="0" borderId="109"/>
    <xf numFmtId="179" fontId="51" fillId="0" borderId="109"/>
    <xf numFmtId="171" fontId="51" fillId="0" borderId="109"/>
    <xf numFmtId="173" fontId="51" fillId="0" borderId="109"/>
    <xf numFmtId="179" fontId="51" fillId="0" borderId="109"/>
    <xf numFmtId="0" fontId="23" fillId="0" borderId="111" applyNumberFormat="0" applyFill="0" applyAlignment="0" applyProtection="0"/>
    <xf numFmtId="174" fontId="51" fillId="0" borderId="109"/>
    <xf numFmtId="174" fontId="51" fillId="0" borderId="109"/>
    <xf numFmtId="179" fontId="51" fillId="0" borderId="109"/>
    <xf numFmtId="171" fontId="51" fillId="0" borderId="109"/>
    <xf numFmtId="0" fontId="18" fillId="9" borderId="106" applyNumberFormat="0" applyAlignment="0" applyProtection="0"/>
    <xf numFmtId="176" fontId="51" fillId="0" borderId="109"/>
    <xf numFmtId="175" fontId="51" fillId="0" borderId="109"/>
    <xf numFmtId="180" fontId="51" fillId="0" borderId="109"/>
    <xf numFmtId="175" fontId="51" fillId="0" borderId="109"/>
    <xf numFmtId="180" fontId="51" fillId="0" borderId="109"/>
    <xf numFmtId="172" fontId="51" fillId="0" borderId="109"/>
    <xf numFmtId="0" fontId="54" fillId="46" borderId="108">
      <protection locked="0"/>
    </xf>
    <xf numFmtId="180" fontId="51" fillId="0" borderId="109"/>
    <xf numFmtId="181" fontId="51" fillId="0" borderId="109"/>
    <xf numFmtId="0" fontId="54" fillId="46" borderId="108">
      <protection locked="0"/>
    </xf>
    <xf numFmtId="174" fontId="51" fillId="0" borderId="109"/>
    <xf numFmtId="181" fontId="51" fillId="0" borderId="109"/>
    <xf numFmtId="0" fontId="17" fillId="0" borderId="107" applyNumberFormat="0" applyFill="0" applyAlignment="0" applyProtection="0"/>
    <xf numFmtId="176" fontId="51" fillId="0" borderId="109"/>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9" fontId="51" fillId="0" borderId="109"/>
    <xf numFmtId="171" fontId="51" fillId="0" borderId="109"/>
    <xf numFmtId="174" fontId="51" fillId="0" borderId="109"/>
    <xf numFmtId="179" fontId="51" fillId="0" borderId="109"/>
    <xf numFmtId="179" fontId="51" fillId="0" borderId="109"/>
    <xf numFmtId="179" fontId="51" fillId="0" borderId="109"/>
    <xf numFmtId="174" fontId="51" fillId="0" borderId="109"/>
    <xf numFmtId="179" fontId="51" fillId="0" borderId="109"/>
    <xf numFmtId="179" fontId="51" fillId="0" borderId="109"/>
    <xf numFmtId="174" fontId="51" fillId="0" borderId="109"/>
    <xf numFmtId="174" fontId="51" fillId="0" borderId="109"/>
    <xf numFmtId="0" fontId="21" fillId="22" borderId="110" applyNumberFormat="0" applyAlignment="0" applyProtection="0"/>
    <xf numFmtId="174" fontId="51" fillId="0" borderId="109"/>
    <xf numFmtId="0" fontId="23" fillId="0" borderId="111" applyNumberFormat="0" applyFill="0" applyAlignment="0" applyProtection="0"/>
    <xf numFmtId="171" fontId="51" fillId="0" borderId="109"/>
    <xf numFmtId="171" fontId="51" fillId="0" borderId="109"/>
    <xf numFmtId="174" fontId="51" fillId="0" borderId="109"/>
    <xf numFmtId="175" fontId="51" fillId="0" borderId="109"/>
    <xf numFmtId="0" fontId="18" fillId="9" borderId="106" applyNumberFormat="0" applyAlignment="0" applyProtection="0"/>
    <xf numFmtId="171" fontId="51" fillId="0" borderId="109"/>
    <xf numFmtId="0" fontId="21" fillId="22" borderId="110" applyNumberFormat="0" applyAlignment="0" applyProtection="0"/>
    <xf numFmtId="173" fontId="51" fillId="0" borderId="109"/>
    <xf numFmtId="171" fontId="51" fillId="0" borderId="109"/>
    <xf numFmtId="0" fontId="18" fillId="9" borderId="106" applyNumberFormat="0" applyAlignment="0" applyProtection="0"/>
    <xf numFmtId="176" fontId="51" fillId="0" borderId="109"/>
    <xf numFmtId="0" fontId="11" fillId="22" borderId="106" applyNumberFormat="0" applyAlignment="0" applyProtection="0"/>
    <xf numFmtId="171" fontId="51" fillId="0" borderId="109"/>
    <xf numFmtId="171" fontId="51" fillId="0" borderId="109"/>
    <xf numFmtId="179" fontId="51" fillId="0" borderId="109"/>
    <xf numFmtId="0" fontId="54" fillId="46" borderId="108">
      <protection locked="0"/>
    </xf>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5" fontId="51" fillId="0" borderId="109"/>
    <xf numFmtId="179" fontId="51" fillId="0" borderId="109"/>
    <xf numFmtId="171" fontId="51" fillId="0" borderId="109"/>
    <xf numFmtId="171" fontId="51" fillId="0" borderId="109"/>
    <xf numFmtId="0" fontId="23" fillId="0" borderId="111" applyNumberFormat="0" applyFill="0" applyAlignment="0" applyProtection="0"/>
    <xf numFmtId="179" fontId="51" fillId="0" borderId="109"/>
    <xf numFmtId="171" fontId="51" fillId="0" borderId="109"/>
    <xf numFmtId="171" fontId="51" fillId="0" borderId="109"/>
    <xf numFmtId="179" fontId="51" fillId="0" borderId="109"/>
    <xf numFmtId="174" fontId="51" fillId="0" borderId="109"/>
    <xf numFmtId="174" fontId="51" fillId="0" borderId="109"/>
    <xf numFmtId="179" fontId="51" fillId="0" borderId="109"/>
    <xf numFmtId="179" fontId="51" fillId="0" borderId="109"/>
    <xf numFmtId="179" fontId="51" fillId="0" borderId="109"/>
    <xf numFmtId="171" fontId="51" fillId="0" borderId="109"/>
    <xf numFmtId="173" fontId="51" fillId="0" borderId="109"/>
    <xf numFmtId="171" fontId="51" fillId="0" borderId="109"/>
    <xf numFmtId="179" fontId="51" fillId="0" borderId="109"/>
    <xf numFmtId="0" fontId="18" fillId="9" borderId="106" applyNumberFormat="0" applyAlignment="0" applyProtection="0"/>
    <xf numFmtId="179" fontId="51" fillId="0" borderId="109"/>
    <xf numFmtId="179" fontId="51" fillId="0" borderId="109"/>
    <xf numFmtId="0" fontId="23" fillId="0" borderId="111" applyNumberFormat="0" applyFill="0" applyAlignment="0" applyProtection="0"/>
    <xf numFmtId="171" fontId="51" fillId="0" borderId="109"/>
    <xf numFmtId="0" fontId="8" fillId="25" borderId="99" applyNumberFormat="0" applyFont="0" applyAlignment="0" applyProtection="0"/>
    <xf numFmtId="0" fontId="18" fillId="9" borderId="106" applyNumberFormat="0" applyAlignment="0" applyProtection="0"/>
    <xf numFmtId="171" fontId="51" fillId="0" borderId="109"/>
    <xf numFmtId="179" fontId="51" fillId="0" borderId="109"/>
    <xf numFmtId="0" fontId="8" fillId="25" borderId="99" applyNumberFormat="0" applyFont="0" applyAlignment="0" applyProtection="0"/>
    <xf numFmtId="0" fontId="11" fillId="22" borderId="106" applyNumberFormat="0" applyAlignment="0" applyProtection="0"/>
    <xf numFmtId="171" fontId="51" fillId="0" borderId="109"/>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1" fontId="51" fillId="0" borderId="109"/>
    <xf numFmtId="180" fontId="51" fillId="0" borderId="109"/>
    <xf numFmtId="174" fontId="51" fillId="0" borderId="109"/>
    <xf numFmtId="174" fontId="51" fillId="0" borderId="109"/>
    <xf numFmtId="173" fontId="51" fillId="0" borderId="109"/>
    <xf numFmtId="179" fontId="51" fillId="0" borderId="109"/>
    <xf numFmtId="172" fontId="51" fillId="0" borderId="109"/>
    <xf numFmtId="0" fontId="21" fillId="22" borderId="110" applyNumberFormat="0" applyAlignment="0" applyProtection="0"/>
    <xf numFmtId="171" fontId="51" fillId="0" borderId="109"/>
    <xf numFmtId="174" fontId="51" fillId="0" borderId="109"/>
    <xf numFmtId="179" fontId="51" fillId="0" borderId="109"/>
    <xf numFmtId="0" fontId="11" fillId="22" borderId="106" applyNumberFormat="0" applyAlignment="0" applyProtection="0"/>
    <xf numFmtId="174" fontId="51" fillId="0" borderId="109"/>
    <xf numFmtId="175" fontId="51" fillId="0" borderId="109"/>
    <xf numFmtId="174" fontId="51" fillId="0" borderId="109"/>
    <xf numFmtId="181" fontId="51" fillId="0" borderId="109"/>
    <xf numFmtId="0" fontId="17" fillId="0" borderId="107" applyNumberFormat="0" applyFill="0" applyAlignment="0" applyProtection="0"/>
    <xf numFmtId="176" fontId="51" fillId="0" borderId="109"/>
    <xf numFmtId="172" fontId="51" fillId="0" borderId="109"/>
    <xf numFmtId="179" fontId="51" fillId="0" borderId="109"/>
    <xf numFmtId="180" fontId="51" fillId="0" borderId="109"/>
    <xf numFmtId="181" fontId="51" fillId="0" borderId="109"/>
    <xf numFmtId="0" fontId="54" fillId="46" borderId="108">
      <protection locked="0"/>
    </xf>
    <xf numFmtId="0" fontId="17" fillId="0" borderId="107"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4" fontId="51" fillId="0" borderId="109"/>
    <xf numFmtId="174" fontId="51" fillId="0" borderId="109"/>
    <xf numFmtId="174" fontId="51" fillId="0" borderId="109"/>
    <xf numFmtId="171" fontId="51" fillId="0" borderId="109"/>
    <xf numFmtId="0" fontId="18" fillId="9" borderId="106" applyNumberFormat="0" applyAlignment="0" applyProtection="0"/>
    <xf numFmtId="174" fontId="51" fillId="0" borderId="109"/>
    <xf numFmtId="171" fontId="51" fillId="0" borderId="109"/>
    <xf numFmtId="179" fontId="51" fillId="0" borderId="109"/>
    <xf numFmtId="173" fontId="51" fillId="0" borderId="109"/>
    <xf numFmtId="173" fontId="51" fillId="0" borderId="109"/>
    <xf numFmtId="171" fontId="51" fillId="0" borderId="109"/>
    <xf numFmtId="173" fontId="51" fillId="0" borderId="109"/>
    <xf numFmtId="174" fontId="51" fillId="0" borderId="109"/>
    <xf numFmtId="176" fontId="51" fillId="0" borderId="109"/>
    <xf numFmtId="171" fontId="51" fillId="0" borderId="109"/>
    <xf numFmtId="0" fontId="11" fillId="22" borderId="106" applyNumberFormat="0" applyAlignment="0" applyProtection="0"/>
    <xf numFmtId="179" fontId="51" fillId="0" borderId="109"/>
    <xf numFmtId="179" fontId="51" fillId="0" borderId="109"/>
    <xf numFmtId="179" fontId="51" fillId="0" borderId="109"/>
    <xf numFmtId="171" fontId="51" fillId="0" borderId="109"/>
    <xf numFmtId="0" fontId="8" fillId="25" borderId="99" applyNumberFormat="0" applyFont="0" applyAlignment="0" applyProtection="0"/>
    <xf numFmtId="171" fontId="51" fillId="0" borderId="109"/>
    <xf numFmtId="180" fontId="51" fillId="0" borderId="109"/>
    <xf numFmtId="174" fontId="51" fillId="0" borderId="109"/>
    <xf numFmtId="175" fontId="51" fillId="0" borderId="109"/>
    <xf numFmtId="0" fontId="18" fillId="9" borderId="106" applyNumberFormat="0" applyAlignment="0" applyProtection="0"/>
    <xf numFmtId="171" fontId="51" fillId="0" borderId="109"/>
    <xf numFmtId="179" fontId="51" fillId="0" borderId="109"/>
    <xf numFmtId="174" fontId="51" fillId="0" borderId="109"/>
    <xf numFmtId="179" fontId="51" fillId="0" borderId="109"/>
    <xf numFmtId="171" fontId="51" fillId="0" borderId="109"/>
    <xf numFmtId="179" fontId="51" fillId="0" borderId="109"/>
    <xf numFmtId="174" fontId="51" fillId="0" borderId="109"/>
    <xf numFmtId="174" fontId="51" fillId="0" borderId="109"/>
    <xf numFmtId="171" fontId="51" fillId="0" borderId="109"/>
    <xf numFmtId="174" fontId="51" fillId="0" borderId="109"/>
    <xf numFmtId="175" fontId="51" fillId="0" borderId="109"/>
    <xf numFmtId="174" fontId="51" fillId="0" borderId="109"/>
    <xf numFmtId="179" fontId="51" fillId="0" borderId="109"/>
    <xf numFmtId="179" fontId="51" fillId="0" borderId="109"/>
    <xf numFmtId="171" fontId="51" fillId="0" borderId="109"/>
    <xf numFmtId="0" fontId="21" fillId="22" borderId="110" applyNumberFormat="0" applyAlignment="0" applyProtection="0"/>
    <xf numFmtId="172" fontId="51" fillId="0" borderId="109"/>
    <xf numFmtId="0" fontId="23" fillId="0" borderId="111" applyNumberFormat="0" applyFill="0" applyAlignment="0" applyProtection="0"/>
    <xf numFmtId="0" fontId="8" fillId="25" borderId="99" applyNumberFormat="0" applyFont="0" applyAlignment="0" applyProtection="0"/>
    <xf numFmtId="43" fontId="8" fillId="0" borderId="0" applyFont="0" applyFill="0" applyBorder="0" applyAlignment="0" applyProtection="0"/>
    <xf numFmtId="0" fontId="54" fillId="46" borderId="108">
      <protection locked="0"/>
    </xf>
    <xf numFmtId="175" fontId="51" fillId="0" borderId="109"/>
    <xf numFmtId="0" fontId="23" fillId="0" borderId="111" applyNumberFormat="0" applyFill="0" applyAlignment="0" applyProtection="0"/>
    <xf numFmtId="174" fontId="51" fillId="0" borderId="109"/>
    <xf numFmtId="0" fontId="21" fillId="22" borderId="110" applyNumberFormat="0" applyAlignment="0" applyProtection="0"/>
    <xf numFmtId="171" fontId="51" fillId="0" borderId="109"/>
    <xf numFmtId="181" fontId="51" fillId="0" borderId="109"/>
    <xf numFmtId="171" fontId="51" fillId="0" borderId="109"/>
    <xf numFmtId="179" fontId="51" fillId="0" borderId="109"/>
    <xf numFmtId="0" fontId="11" fillId="22" borderId="106" applyNumberFormat="0" applyAlignment="0" applyProtection="0"/>
    <xf numFmtId="174" fontId="51" fillId="0" borderId="109"/>
    <xf numFmtId="180" fontId="51" fillId="0" borderId="109"/>
    <xf numFmtId="174" fontId="51" fillId="0" borderId="109"/>
    <xf numFmtId="171" fontId="51" fillId="0" borderId="109"/>
    <xf numFmtId="174" fontId="51" fillId="0" borderId="109"/>
    <xf numFmtId="172" fontId="51" fillId="0" borderId="109"/>
    <xf numFmtId="179" fontId="51" fillId="0" borderId="109"/>
    <xf numFmtId="176" fontId="51" fillId="0" borderId="109"/>
    <xf numFmtId="174" fontId="51" fillId="0" borderId="109"/>
    <xf numFmtId="172" fontId="51" fillId="0" borderId="109"/>
    <xf numFmtId="171" fontId="51" fillId="0" borderId="109"/>
    <xf numFmtId="180" fontId="51" fillId="0" borderId="109"/>
    <xf numFmtId="181" fontId="51" fillId="0" borderId="109"/>
    <xf numFmtId="0" fontId="54" fillId="46" borderId="108">
      <protection locked="0"/>
    </xf>
    <xf numFmtId="179" fontId="51" fillId="0" borderId="109"/>
    <xf numFmtId="179" fontId="51" fillId="0" borderId="109"/>
    <xf numFmtId="179" fontId="51" fillId="0" borderId="109"/>
    <xf numFmtId="171" fontId="51" fillId="0" borderId="109"/>
    <xf numFmtId="179" fontId="51" fillId="0" borderId="109"/>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81" fontId="51" fillId="0" borderId="109"/>
    <xf numFmtId="171" fontId="51" fillId="0" borderId="109"/>
    <xf numFmtId="174" fontId="51" fillId="0" borderId="109"/>
    <xf numFmtId="179" fontId="51" fillId="0" borderId="109"/>
    <xf numFmtId="171" fontId="51" fillId="0" borderId="109"/>
    <xf numFmtId="0" fontId="8" fillId="25" borderId="99" applyNumberFormat="0" applyFont="0" applyAlignment="0" applyProtection="0"/>
    <xf numFmtId="174" fontId="51" fillId="0" borderId="109"/>
    <xf numFmtId="176" fontId="51" fillId="0" borderId="109"/>
    <xf numFmtId="179" fontId="51" fillId="0" borderId="109"/>
    <xf numFmtId="171" fontId="51" fillId="0" borderId="109"/>
    <xf numFmtId="174"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4" fontId="51" fillId="0" borderId="109"/>
    <xf numFmtId="179" fontId="51" fillId="0" borderId="109"/>
    <xf numFmtId="171" fontId="51" fillId="0" borderId="109"/>
    <xf numFmtId="179" fontId="51" fillId="0" borderId="109"/>
    <xf numFmtId="179" fontId="51" fillId="0" borderId="109"/>
    <xf numFmtId="174" fontId="51" fillId="0" borderId="109"/>
    <xf numFmtId="174" fontId="51" fillId="0" borderId="109"/>
    <xf numFmtId="171" fontId="51" fillId="0" borderId="109"/>
    <xf numFmtId="171" fontId="51" fillId="0" borderId="109"/>
    <xf numFmtId="171" fontId="51" fillId="0" borderId="109"/>
    <xf numFmtId="0" fontId="54" fillId="46" borderId="112">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4" fontId="51" fillId="0" borderId="109"/>
    <xf numFmtId="0" fontId="54" fillId="46" borderId="112">
      <protection locked="0"/>
    </xf>
    <xf numFmtId="9" fontId="8" fillId="0" borderId="0" applyFont="0" applyFill="0" applyBorder="0" applyAlignment="0" applyProtection="0"/>
    <xf numFmtId="181" fontId="51" fillId="0" borderId="109"/>
    <xf numFmtId="171" fontId="51" fillId="0" borderId="109"/>
    <xf numFmtId="0" fontId="11" fillId="22" borderId="106" applyNumberFormat="0" applyAlignment="0" applyProtection="0"/>
    <xf numFmtId="0" fontId="18" fillId="9" borderId="106" applyNumberFormat="0" applyAlignment="0" applyProtection="0"/>
    <xf numFmtId="181" fontId="51" fillId="0" borderId="109"/>
    <xf numFmtId="180" fontId="51" fillId="0" borderId="109"/>
    <xf numFmtId="179" fontId="51" fillId="0" borderId="109"/>
    <xf numFmtId="171" fontId="51" fillId="0" borderId="109"/>
    <xf numFmtId="175" fontId="51" fillId="0" borderId="109"/>
    <xf numFmtId="176" fontId="51" fillId="0" borderId="109"/>
    <xf numFmtId="175" fontId="51" fillId="0" borderId="109"/>
    <xf numFmtId="174" fontId="51" fillId="0" borderId="109"/>
    <xf numFmtId="176" fontId="51" fillId="0" borderId="109"/>
    <xf numFmtId="180" fontId="51" fillId="0" borderId="109"/>
    <xf numFmtId="173" fontId="51" fillId="0" borderId="109"/>
    <xf numFmtId="0" fontId="11" fillId="22" borderId="106" applyNumberFormat="0" applyAlignment="0" applyProtection="0"/>
    <xf numFmtId="172" fontId="51" fillId="0" borderId="109"/>
    <xf numFmtId="179" fontId="51" fillId="0" borderId="109"/>
    <xf numFmtId="176" fontId="51" fillId="0" borderId="109"/>
    <xf numFmtId="174" fontId="51" fillId="0" borderId="109"/>
    <xf numFmtId="171" fontId="51" fillId="0" borderId="109"/>
    <xf numFmtId="0" fontId="21" fillId="22" borderId="110" applyNumberFormat="0" applyAlignment="0" applyProtection="0"/>
    <xf numFmtId="0" fontId="23" fillId="0" borderId="111" applyNumberFormat="0" applyFill="0" applyAlignment="0" applyProtection="0"/>
    <xf numFmtId="180" fontId="51" fillId="0" borderId="109"/>
    <xf numFmtId="175" fontId="51" fillId="0" borderId="109"/>
    <xf numFmtId="173" fontId="51" fillId="0" borderId="109"/>
    <xf numFmtId="172" fontId="51" fillId="0" borderId="109"/>
    <xf numFmtId="171" fontId="51" fillId="0" borderId="109"/>
    <xf numFmtId="181"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11" fillId="22" borderId="106" applyNumberFormat="0" applyAlignment="0" applyProtection="0"/>
    <xf numFmtId="0" fontId="54" fillId="46" borderId="108">
      <protection locked="0"/>
    </xf>
    <xf numFmtId="0" fontId="11" fillId="22" borderId="106" applyNumberFormat="0" applyAlignment="0" applyProtection="0"/>
    <xf numFmtId="0" fontId="21" fillId="22" borderId="110" applyNumberFormat="0" applyAlignment="0" applyProtection="0"/>
    <xf numFmtId="0" fontId="54" fillId="46" borderId="108">
      <protection locked="0"/>
    </xf>
    <xf numFmtId="173" fontId="51" fillId="0" borderId="109"/>
    <xf numFmtId="172"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23" fillId="0" borderId="111" applyNumberFormat="0" applyFill="0" applyAlignment="0" applyProtection="0"/>
    <xf numFmtId="171" fontId="51" fillId="0" borderId="109"/>
    <xf numFmtId="172"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9" fontId="51" fillId="0" borderId="109"/>
    <xf numFmtId="0" fontId="8" fillId="25" borderId="99" applyNumberFormat="0" applyFont="0" applyAlignment="0" applyProtection="0"/>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1" fontId="51" fillId="0" borderId="109"/>
    <xf numFmtId="179" fontId="51" fillId="0" borderId="109"/>
    <xf numFmtId="0" fontId="11" fillId="22" borderId="106" applyNumberFormat="0" applyAlignment="0" applyProtection="0"/>
    <xf numFmtId="0" fontId="54" fillId="46" borderId="108">
      <protection locked="0"/>
    </xf>
    <xf numFmtId="181" fontId="51" fillId="0" borderId="109"/>
    <xf numFmtId="171" fontId="51" fillId="0" borderId="109"/>
    <xf numFmtId="0" fontId="23" fillId="0" borderId="111" applyNumberFormat="0" applyFill="0" applyAlignment="0" applyProtection="0"/>
    <xf numFmtId="179" fontId="51" fillId="0" borderId="109"/>
    <xf numFmtId="0" fontId="54" fillId="46" borderId="108">
      <protection locked="0"/>
    </xf>
    <xf numFmtId="0" fontId="11" fillId="22" borderId="106" applyNumberFormat="0" applyAlignment="0" applyProtection="0"/>
    <xf numFmtId="171" fontId="51" fillId="0" borderId="109"/>
    <xf numFmtId="171" fontId="51" fillId="0" borderId="109"/>
    <xf numFmtId="0" fontId="18" fillId="9" borderId="106" applyNumberFormat="0" applyAlignment="0" applyProtection="0"/>
    <xf numFmtId="172" fontId="51" fillId="0" borderId="109"/>
    <xf numFmtId="171" fontId="51" fillId="0" borderId="109"/>
    <xf numFmtId="174" fontId="51" fillId="0" borderId="109"/>
    <xf numFmtId="171" fontId="51" fillId="0" borderId="109"/>
    <xf numFmtId="174" fontId="51" fillId="0" borderId="109"/>
    <xf numFmtId="175" fontId="51" fillId="0" borderId="109"/>
    <xf numFmtId="176" fontId="51" fillId="0" borderId="109"/>
    <xf numFmtId="0" fontId="8" fillId="25" borderId="99" applyNumberFormat="0" applyFont="0" applyAlignment="0" applyProtection="0"/>
    <xf numFmtId="174" fontId="51" fillId="0" borderId="109"/>
    <xf numFmtId="179" fontId="51" fillId="0" borderId="109"/>
    <xf numFmtId="171" fontId="51" fillId="0" borderId="109"/>
    <xf numFmtId="180" fontId="51" fillId="0" borderId="109"/>
    <xf numFmtId="181" fontId="51" fillId="0" borderId="109"/>
    <xf numFmtId="0" fontId="18" fillId="9" borderId="106" applyNumberFormat="0" applyAlignment="0" applyProtection="0"/>
    <xf numFmtId="179" fontId="51" fillId="0" borderId="109"/>
    <xf numFmtId="179" fontId="51" fillId="0" borderId="109"/>
    <xf numFmtId="174" fontId="51" fillId="0" borderId="109"/>
    <xf numFmtId="171" fontId="51" fillId="0" borderId="109"/>
    <xf numFmtId="175" fontId="51" fillId="0" borderId="109"/>
    <xf numFmtId="171" fontId="51" fillId="0" borderId="109"/>
    <xf numFmtId="171" fontId="51" fillId="0" borderId="109"/>
    <xf numFmtId="174" fontId="51" fillId="0" borderId="109"/>
    <xf numFmtId="174" fontId="51" fillId="0" borderId="109"/>
    <xf numFmtId="171" fontId="51" fillId="0" borderId="109"/>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8" fillId="25" borderId="99" applyNumberFormat="0" applyFont="0" applyAlignment="0" applyProtection="0"/>
    <xf numFmtId="173" fontId="51" fillId="0" borderId="109"/>
    <xf numFmtId="174" fontId="51" fillId="0" borderId="109"/>
    <xf numFmtId="179" fontId="51" fillId="0" borderId="109"/>
    <xf numFmtId="0" fontId="11" fillId="22" borderId="106" applyNumberFormat="0" applyAlignment="0" applyProtection="0"/>
    <xf numFmtId="173" fontId="51" fillId="0" borderId="109"/>
    <xf numFmtId="172" fontId="51" fillId="0" borderId="109"/>
    <xf numFmtId="0" fontId="21" fillId="22" borderId="110" applyNumberFormat="0" applyAlignment="0" applyProtection="0"/>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3" fontId="51" fillId="0" borderId="109"/>
    <xf numFmtId="175" fontId="51" fillId="0" borderId="109"/>
    <xf numFmtId="176"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80" fontId="51" fillId="0" borderId="109"/>
    <xf numFmtId="174" fontId="51" fillId="0" borderId="109"/>
    <xf numFmtId="179"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174" fontId="51" fillId="0" borderId="109"/>
    <xf numFmtId="179" fontId="51" fillId="0" borderId="109"/>
    <xf numFmtId="174" fontId="51" fillId="0" borderId="109"/>
    <xf numFmtId="171" fontId="51" fillId="0" borderId="109"/>
    <xf numFmtId="179" fontId="51" fillId="0" borderId="109"/>
    <xf numFmtId="174" fontId="51" fillId="0" borderId="109"/>
    <xf numFmtId="179" fontId="51" fillId="0" borderId="109"/>
    <xf numFmtId="171" fontId="51" fillId="0" borderId="109"/>
    <xf numFmtId="171" fontId="51" fillId="0" borderId="109"/>
    <xf numFmtId="179"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6" fontId="51" fillId="0" borderId="109"/>
    <xf numFmtId="0" fontId="11" fillId="22" borderId="106" applyNumberFormat="0" applyAlignment="0" applyProtection="0"/>
    <xf numFmtId="180" fontId="51" fillId="0" borderId="109"/>
    <xf numFmtId="179" fontId="51" fillId="0" borderId="109"/>
    <xf numFmtId="171" fontId="51" fillId="0" borderId="109"/>
    <xf numFmtId="171" fontId="51" fillId="0" borderId="109"/>
    <xf numFmtId="174" fontId="51" fillId="0" borderId="109"/>
    <xf numFmtId="174" fontId="51" fillId="0" borderId="109"/>
    <xf numFmtId="171" fontId="51" fillId="0" borderId="109"/>
    <xf numFmtId="0" fontId="23" fillId="0" borderId="111" applyNumberFormat="0" applyFill="0" applyAlignment="0" applyProtection="0"/>
    <xf numFmtId="174" fontId="51" fillId="0" borderId="109"/>
    <xf numFmtId="0" fontId="18" fillId="9" borderId="106" applyNumberFormat="0" applyAlignment="0" applyProtection="0"/>
    <xf numFmtId="0" fontId="21" fillId="22" borderId="110" applyNumberFormat="0" applyAlignment="0" applyProtection="0"/>
    <xf numFmtId="0" fontId="8" fillId="25" borderId="99" applyNumberFormat="0" applyFont="0" applyAlignment="0" applyProtection="0"/>
    <xf numFmtId="0" fontId="54" fillId="46" borderId="108">
      <protection locked="0"/>
    </xf>
    <xf numFmtId="179" fontId="51" fillId="0" borderId="109"/>
    <xf numFmtId="0" fontId="11" fillId="22" borderId="106" applyNumberFormat="0" applyAlignment="0" applyProtection="0"/>
    <xf numFmtId="0" fontId="18" fillId="9" borderId="106" applyNumberFormat="0" applyAlignment="0" applyProtection="0"/>
    <xf numFmtId="174" fontId="51" fillId="0" borderId="109"/>
    <xf numFmtId="171" fontId="51" fillId="0" borderId="109"/>
    <xf numFmtId="179" fontId="51" fillId="0" borderId="109"/>
    <xf numFmtId="174" fontId="51" fillId="0" borderId="109"/>
    <xf numFmtId="171" fontId="51" fillId="0" borderId="109"/>
    <xf numFmtId="172" fontId="51" fillId="0" borderId="109"/>
    <xf numFmtId="171" fontId="51" fillId="0" borderId="109"/>
    <xf numFmtId="174" fontId="51" fillId="0" borderId="109"/>
    <xf numFmtId="179" fontId="51" fillId="0" borderId="109"/>
    <xf numFmtId="171" fontId="51" fillId="0" borderId="109"/>
    <xf numFmtId="179" fontId="51" fillId="0" borderId="109"/>
    <xf numFmtId="0" fontId="11" fillId="22" borderId="106" applyNumberFormat="0" applyAlignment="0" applyProtection="0"/>
    <xf numFmtId="181" fontId="51" fillId="0" borderId="109"/>
    <xf numFmtId="175" fontId="51" fillId="0" borderId="109"/>
    <xf numFmtId="179" fontId="51" fillId="0" borderId="109"/>
    <xf numFmtId="171" fontId="51" fillId="0" borderId="109"/>
    <xf numFmtId="0" fontId="11" fillId="22" borderId="106" applyNumberFormat="0" applyAlignment="0" applyProtection="0"/>
    <xf numFmtId="0" fontId="18" fillId="9" borderId="106" applyNumberFormat="0" applyAlignment="0" applyProtection="0"/>
    <xf numFmtId="0" fontId="23" fillId="0" borderId="111" applyNumberFormat="0" applyFill="0" applyAlignment="0" applyProtection="0"/>
    <xf numFmtId="179" fontId="51" fillId="0" borderId="109"/>
    <xf numFmtId="179" fontId="51" fillId="0" borderId="109"/>
    <xf numFmtId="174" fontId="51" fillId="0" borderId="109"/>
    <xf numFmtId="173" fontId="51" fillId="0" borderId="109"/>
    <xf numFmtId="0" fontId="8" fillId="25" borderId="99" applyNumberFormat="0" applyFont="0" applyAlignment="0" applyProtection="0"/>
    <xf numFmtId="174"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9" fontId="51" fillId="0" borderId="109"/>
    <xf numFmtId="174"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13"/>
    <xf numFmtId="172" fontId="51" fillId="0" borderId="113"/>
    <xf numFmtId="173" fontId="51" fillId="0" borderId="113"/>
    <xf numFmtId="174" fontId="51" fillId="0" borderId="113"/>
    <xf numFmtId="175" fontId="51" fillId="0" borderId="113"/>
    <xf numFmtId="176" fontId="51" fillId="0" borderId="113"/>
    <xf numFmtId="179" fontId="51" fillId="0" borderId="113"/>
    <xf numFmtId="180" fontId="51" fillId="0" borderId="113"/>
    <xf numFmtId="181" fontId="51" fillId="0" borderId="113"/>
    <xf numFmtId="0" fontId="54" fillId="46" borderId="112">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13"/>
    <xf numFmtId="172" fontId="51" fillId="0" borderId="113"/>
    <xf numFmtId="173" fontId="51" fillId="0" borderId="113"/>
    <xf numFmtId="174" fontId="51" fillId="0" borderId="113"/>
    <xf numFmtId="175" fontId="51" fillId="0" borderId="113"/>
    <xf numFmtId="176" fontId="51" fillId="0" borderId="113"/>
    <xf numFmtId="179" fontId="51" fillId="0" borderId="113"/>
    <xf numFmtId="180" fontId="51" fillId="0" borderId="113"/>
    <xf numFmtId="181" fontId="51" fillId="0" borderId="113"/>
    <xf numFmtId="0" fontId="54" fillId="46" borderId="112">
      <protection locked="0"/>
    </xf>
    <xf numFmtId="0" fontId="21" fillId="22" borderId="110" applyNumberFormat="0" applyAlignment="0" applyProtection="0"/>
    <xf numFmtId="179" fontId="51" fillId="0" borderId="113"/>
    <xf numFmtId="179" fontId="51" fillId="0" borderId="113"/>
    <xf numFmtId="0" fontId="11" fillId="22" borderId="106" applyNumberFormat="0" applyAlignment="0" applyProtection="0"/>
    <xf numFmtId="179" fontId="51" fillId="0" borderId="109"/>
    <xf numFmtId="0" fontId="23" fillId="0" borderId="111" applyNumberFormat="0" applyFill="0" applyAlignment="0" applyProtection="0"/>
    <xf numFmtId="173" fontId="51" fillId="0" borderId="109"/>
    <xf numFmtId="175" fontId="51" fillId="0" borderId="109"/>
    <xf numFmtId="0" fontId="21" fillId="22" borderId="110" applyNumberFormat="0" applyAlignment="0" applyProtection="0"/>
    <xf numFmtId="179" fontId="51" fillId="0" borderId="109"/>
    <xf numFmtId="174" fontId="51" fillId="0" borderId="109"/>
    <xf numFmtId="173" fontId="51" fillId="0" borderId="109"/>
    <xf numFmtId="0" fontId="23" fillId="0" borderId="111" applyNumberFormat="0" applyFill="0" applyAlignment="0" applyProtection="0"/>
    <xf numFmtId="0" fontId="11" fillId="22" borderId="106" applyNumberFormat="0" applyAlignment="0" applyProtection="0"/>
    <xf numFmtId="0" fontId="8" fillId="25" borderId="99" applyNumberFormat="0" applyFont="0" applyAlignment="0" applyProtection="0"/>
    <xf numFmtId="174" fontId="51" fillId="0" borderId="113"/>
    <xf numFmtId="0" fontId="11" fillId="22" borderId="106" applyNumberFormat="0" applyAlignment="0" applyProtection="0"/>
    <xf numFmtId="175" fontId="51" fillId="0" borderId="109"/>
    <xf numFmtId="174" fontId="51" fillId="0" borderId="109"/>
    <xf numFmtId="0" fontId="23" fillId="0" borderId="111" applyNumberFormat="0" applyFill="0" applyAlignment="0" applyProtection="0"/>
    <xf numFmtId="0" fontId="23" fillId="0" borderId="111" applyNumberFormat="0" applyFill="0" applyAlignment="0" applyProtection="0"/>
    <xf numFmtId="0" fontId="54" fillId="46" borderId="108">
      <protection locked="0"/>
    </xf>
    <xf numFmtId="0" fontId="54" fillId="46" borderId="108">
      <protection locked="0"/>
    </xf>
    <xf numFmtId="0" fontId="21" fillId="22" borderId="110" applyNumberFormat="0" applyAlignment="0" applyProtection="0"/>
    <xf numFmtId="0" fontId="21" fillId="22" borderId="110" applyNumberFormat="0" applyAlignment="0" applyProtection="0"/>
    <xf numFmtId="0" fontId="8" fillId="25" borderId="99" applyNumberFormat="0" applyFont="0" applyAlignment="0" applyProtection="0"/>
    <xf numFmtId="0" fontId="8" fillId="25" borderId="99" applyNumberFormat="0" applyFont="0" applyAlignment="0" applyProtection="0"/>
    <xf numFmtId="171" fontId="51" fillId="0" borderId="113"/>
    <xf numFmtId="0" fontId="18" fillId="9" borderId="106" applyNumberFormat="0" applyAlignment="0" applyProtection="0"/>
    <xf numFmtId="0" fontId="17" fillId="0" borderId="105" applyNumberFormat="0" applyFill="0" applyAlignment="0" applyProtection="0"/>
    <xf numFmtId="0" fontId="17" fillId="0" borderId="105" applyNumberFormat="0" applyFill="0" applyAlignment="0" applyProtection="0"/>
    <xf numFmtId="174" fontId="51" fillId="0" borderId="113"/>
    <xf numFmtId="0" fontId="21" fillId="22" borderId="110" applyNumberFormat="0" applyAlignment="0" applyProtection="0"/>
    <xf numFmtId="0" fontId="23" fillId="0" borderId="111" applyNumberFormat="0" applyFill="0" applyAlignment="0" applyProtection="0"/>
    <xf numFmtId="0" fontId="21" fillId="22" borderId="110" applyNumberFormat="0" applyAlignment="0" applyProtection="0"/>
    <xf numFmtId="175" fontId="51" fillId="0" borderId="109"/>
    <xf numFmtId="0" fontId="23" fillId="0" borderId="111" applyNumberFormat="0" applyFill="0" applyAlignment="0" applyProtection="0"/>
    <xf numFmtId="179" fontId="51" fillId="0" borderId="113"/>
    <xf numFmtId="0" fontId="23" fillId="0" borderId="111" applyNumberFormat="0" applyFill="0" applyAlignment="0" applyProtection="0"/>
    <xf numFmtId="0" fontId="18" fillId="9" borderId="106" applyNumberFormat="0" applyAlignment="0" applyProtection="0"/>
    <xf numFmtId="171" fontId="51" fillId="0" borderId="109"/>
    <xf numFmtId="180" fontId="51" fillId="0" borderId="109"/>
    <xf numFmtId="171" fontId="51" fillId="0" borderId="109"/>
    <xf numFmtId="0" fontId="21" fillId="22" borderId="110" applyNumberFormat="0" applyAlignment="0" applyProtection="0"/>
    <xf numFmtId="0" fontId="23" fillId="0" borderId="111" applyNumberFormat="0" applyFill="0" applyAlignment="0" applyProtection="0"/>
    <xf numFmtId="0" fontId="54" fillId="46" borderId="108">
      <protection locked="0"/>
    </xf>
    <xf numFmtId="0" fontId="21" fillId="22" borderId="110" applyNumberFormat="0" applyAlignment="0" applyProtection="0"/>
    <xf numFmtId="174" fontId="51" fillId="0" borderId="109"/>
    <xf numFmtId="0" fontId="18" fillId="9" borderId="106" applyNumberFormat="0" applyAlignment="0" applyProtection="0"/>
    <xf numFmtId="171" fontId="51" fillId="0" borderId="113"/>
    <xf numFmtId="0" fontId="23" fillId="0" borderId="111" applyNumberFormat="0" applyFill="0" applyAlignment="0" applyProtection="0"/>
    <xf numFmtId="179" fontId="51" fillId="0" borderId="109"/>
    <xf numFmtId="174" fontId="51" fillId="0" borderId="113"/>
    <xf numFmtId="0" fontId="54" fillId="46" borderId="108">
      <protection locked="0"/>
    </xf>
    <xf numFmtId="0" fontId="17" fillId="0" borderId="105" applyNumberFormat="0" applyFill="0" applyAlignment="0" applyProtection="0"/>
    <xf numFmtId="0" fontId="23" fillId="0" borderId="111" applyNumberFormat="0" applyFill="0" applyAlignment="0" applyProtection="0"/>
    <xf numFmtId="176" fontId="51" fillId="0" borderId="109"/>
    <xf numFmtId="174" fontId="51" fillId="0" borderId="109"/>
    <xf numFmtId="179" fontId="51" fillId="0" borderId="109"/>
    <xf numFmtId="171" fontId="51" fillId="0" borderId="109"/>
    <xf numFmtId="171" fontId="51" fillId="0" borderId="113"/>
    <xf numFmtId="174" fontId="51" fillId="0" borderId="113"/>
    <xf numFmtId="179" fontId="51" fillId="0" borderId="113"/>
    <xf numFmtId="173" fontId="51" fillId="0" borderId="109"/>
    <xf numFmtId="0" fontId="17" fillId="0" borderId="105" applyNumberFormat="0" applyFill="0" applyAlignment="0" applyProtection="0"/>
    <xf numFmtId="0" fontId="17" fillId="0" borderId="105" applyNumberFormat="0" applyFill="0" applyAlignment="0" applyProtection="0"/>
    <xf numFmtId="174" fontId="51" fillId="0" borderId="109"/>
    <xf numFmtId="179" fontId="51" fillId="0" borderId="109"/>
    <xf numFmtId="0" fontId="11" fillId="22" borderId="106" applyNumberFormat="0" applyAlignment="0" applyProtection="0"/>
    <xf numFmtId="0" fontId="11" fillId="22" borderId="106" applyNumberFormat="0" applyAlignment="0" applyProtection="0"/>
    <xf numFmtId="174" fontId="51" fillId="0" borderId="113"/>
    <xf numFmtId="171" fontId="51" fillId="0" borderId="109"/>
    <xf numFmtId="0" fontId="18" fillId="9" borderId="106" applyNumberFormat="0" applyAlignment="0" applyProtection="0"/>
    <xf numFmtId="171" fontId="51" fillId="0" borderId="113"/>
    <xf numFmtId="0" fontId="23" fillId="0" borderId="111" applyNumberFormat="0" applyFill="0" applyAlignment="0" applyProtection="0"/>
    <xf numFmtId="0" fontId="8" fillId="25" borderId="99" applyNumberFormat="0" applyFont="0" applyAlignment="0" applyProtection="0"/>
    <xf numFmtId="0" fontId="17" fillId="0" borderId="105" applyNumberFormat="0" applyFill="0" applyAlignment="0" applyProtection="0"/>
    <xf numFmtId="0" fontId="54" fillId="46" borderId="112">
      <protection locked="0"/>
    </xf>
    <xf numFmtId="0" fontId="11" fillId="22" borderId="106" applyNumberFormat="0" applyAlignment="0" applyProtection="0"/>
    <xf numFmtId="0" fontId="18" fillId="9" borderId="106" applyNumberFormat="0" applyAlignment="0" applyProtection="0"/>
    <xf numFmtId="171" fontId="51" fillId="0" borderId="109"/>
    <xf numFmtId="172" fontId="51" fillId="0" borderId="113"/>
    <xf numFmtId="172" fontId="51" fillId="0" borderId="113"/>
    <xf numFmtId="173" fontId="51" fillId="0" borderId="113"/>
    <xf numFmtId="173" fontId="51" fillId="0" borderId="113"/>
    <xf numFmtId="171" fontId="51" fillId="0" borderId="113"/>
    <xf numFmtId="171" fontId="51" fillId="0" borderId="113"/>
    <xf numFmtId="175" fontId="51" fillId="0" borderId="113"/>
    <xf numFmtId="175" fontId="51" fillId="0" borderId="113"/>
    <xf numFmtId="176" fontId="51" fillId="0" borderId="113"/>
    <xf numFmtId="176" fontId="51" fillId="0" borderId="113"/>
    <xf numFmtId="174" fontId="51" fillId="0" borderId="113"/>
    <xf numFmtId="174" fontId="51" fillId="0" borderId="113"/>
    <xf numFmtId="180" fontId="51" fillId="0" borderId="113"/>
    <xf numFmtId="180" fontId="51" fillId="0" borderId="113"/>
    <xf numFmtId="181" fontId="51" fillId="0" borderId="113"/>
    <xf numFmtId="181" fontId="51" fillId="0" borderId="113"/>
    <xf numFmtId="179" fontId="51" fillId="0" borderId="113"/>
    <xf numFmtId="179" fontId="51" fillId="0" borderId="113"/>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0" fontId="18" fillId="9" borderId="106" applyNumberFormat="0" applyAlignment="0" applyProtection="0"/>
    <xf numFmtId="0" fontId="21" fillId="22" borderId="110" applyNumberFormat="0" applyAlignment="0" applyProtection="0"/>
    <xf numFmtId="0" fontId="21" fillId="22" borderId="110" applyNumberFormat="0" applyAlignment="0" applyProtection="0"/>
    <xf numFmtId="0" fontId="21" fillId="22" borderId="110" applyNumberFormat="0" applyAlignment="0" applyProtection="0"/>
    <xf numFmtId="0" fontId="21" fillId="22" borderId="110"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23" fillId="0" borderId="111" applyNumberFormat="0" applyFill="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179" fontId="51" fillId="0" borderId="113"/>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12">
      <protection locked="0"/>
    </xf>
    <xf numFmtId="0" fontId="11" fillId="22" borderId="106" applyNumberFormat="0" applyAlignment="0" applyProtection="0"/>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12">
      <protection locked="0"/>
    </xf>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79" fontId="51" fillId="0" borderId="109"/>
    <xf numFmtId="179" fontId="51" fillId="0" borderId="109"/>
    <xf numFmtId="180" fontId="51" fillId="0" borderId="109"/>
    <xf numFmtId="171" fontId="51" fillId="0" borderId="109"/>
    <xf numFmtId="174" fontId="51" fillId="0" borderId="109"/>
    <xf numFmtId="174" fontId="51" fillId="0" borderId="109"/>
    <xf numFmtId="176" fontId="51" fillId="0" borderId="109"/>
    <xf numFmtId="171"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17" fillId="0" borderId="105" applyNumberFormat="0" applyFill="0" applyAlignment="0" applyProtection="0"/>
    <xf numFmtId="0" fontId="11" fillId="22" borderId="106" applyNumberFormat="0" applyAlignment="0" applyProtection="0"/>
    <xf numFmtId="0" fontId="18" fillId="9" borderId="106" applyNumberFormat="0" applyAlignment="0" applyProtection="0"/>
    <xf numFmtId="0" fontId="11" fillId="22"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175" fontId="51" fillId="0" borderId="109"/>
    <xf numFmtId="179"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5" fontId="51" fillId="0" borderId="109"/>
    <xf numFmtId="179" fontId="51" fillId="0" borderId="109"/>
    <xf numFmtId="180" fontId="51" fillId="0" borderId="109"/>
    <xf numFmtId="181" fontId="51" fillId="0" borderId="109"/>
    <xf numFmtId="174" fontId="51" fillId="0" borderId="109"/>
    <xf numFmtId="0" fontId="17" fillId="0" borderId="105" applyNumberFormat="0" applyFill="0" applyAlignment="0" applyProtection="0"/>
    <xf numFmtId="171" fontId="51" fillId="0" borderId="109"/>
    <xf numFmtId="0" fontId="54" fillId="46" borderId="108">
      <protection locked="0"/>
    </xf>
    <xf numFmtId="0" fontId="11" fillId="22" borderId="106" applyNumberFormat="0" applyAlignment="0" applyProtection="0"/>
    <xf numFmtId="0" fontId="11" fillId="22" borderId="106" applyNumberFormat="0" applyAlignment="0" applyProtection="0"/>
    <xf numFmtId="181" fontId="51" fillId="0" borderId="109"/>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173" fontId="51" fillId="0" borderId="109"/>
    <xf numFmtId="0" fontId="18" fillId="9" borderId="106" applyNumberFormat="0" applyAlignment="0" applyProtection="0"/>
    <xf numFmtId="0" fontId="11" fillId="22" borderId="106" applyNumberFormat="0" applyAlignment="0" applyProtection="0"/>
    <xf numFmtId="0" fontId="17" fillId="0" borderId="105" applyNumberFormat="0" applyFill="0" applyAlignment="0" applyProtection="0"/>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172" fontId="51" fillId="0" borderId="109"/>
    <xf numFmtId="173" fontId="51" fillId="0" borderId="109"/>
    <xf numFmtId="0" fontId="18" fillId="9" borderId="106" applyNumberFormat="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11" fillId="22" borderId="114" applyNumberFormat="0" applyAlignment="0" applyProtection="0"/>
    <xf numFmtId="0" fontId="21" fillId="22" borderId="110" applyNumberFormat="0" applyAlignment="0" applyProtection="0"/>
    <xf numFmtId="0" fontId="23" fillId="0" borderId="111" applyNumberFormat="0" applyFill="0" applyAlignment="0" applyProtection="0"/>
    <xf numFmtId="176" fontId="51" fillId="0" borderId="109"/>
    <xf numFmtId="171" fontId="51" fillId="0" borderId="109"/>
    <xf numFmtId="172" fontId="51" fillId="0" borderId="109"/>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174" fontId="51" fillId="0" borderId="109"/>
    <xf numFmtId="179"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171" fontId="51" fillId="0" borderId="109"/>
    <xf numFmtId="179" fontId="51" fillId="0" borderId="109"/>
    <xf numFmtId="174" fontId="51" fillId="0" borderId="109"/>
    <xf numFmtId="174" fontId="51" fillId="0" borderId="109"/>
    <xf numFmtId="179" fontId="51" fillId="0" borderId="109"/>
    <xf numFmtId="171"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0" fontId="54" fillId="46" borderId="108">
      <protection locked="0"/>
    </xf>
    <xf numFmtId="171" fontId="51" fillId="0" borderId="109"/>
    <xf numFmtId="181" fontId="51" fillId="0" borderId="109"/>
    <xf numFmtId="174" fontId="51" fillId="0" borderId="109"/>
    <xf numFmtId="176" fontId="51" fillId="0" borderId="109"/>
    <xf numFmtId="173" fontId="51" fillId="0" borderId="109"/>
    <xf numFmtId="172" fontId="51" fillId="0" borderId="109"/>
    <xf numFmtId="179"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179" fontId="51" fillId="0" borderId="109"/>
    <xf numFmtId="180"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12">
      <protection locked="0"/>
    </xf>
    <xf numFmtId="171" fontId="51" fillId="0" borderId="109"/>
    <xf numFmtId="174" fontId="51" fillId="0" borderId="109"/>
    <xf numFmtId="179" fontId="51" fillId="0" borderId="109"/>
    <xf numFmtId="0" fontId="54" fillId="46" borderId="108">
      <protection locked="0"/>
    </xf>
    <xf numFmtId="0" fontId="54" fillId="46" borderId="108">
      <protection locked="0"/>
    </xf>
    <xf numFmtId="0" fontId="11" fillId="22" borderId="106" applyNumberFormat="0" applyAlignment="0" applyProtection="0"/>
    <xf numFmtId="174" fontId="51" fillId="0" borderId="109"/>
    <xf numFmtId="171" fontId="51" fillId="0" borderId="109"/>
    <xf numFmtId="174" fontId="51" fillId="0" borderId="109"/>
    <xf numFmtId="174" fontId="51" fillId="0" borderId="109"/>
    <xf numFmtId="0" fontId="21" fillId="22" borderId="110" applyNumberFormat="0" applyAlignment="0" applyProtection="0"/>
    <xf numFmtId="179" fontId="51" fillId="0" borderId="109"/>
    <xf numFmtId="174" fontId="51" fillId="0" borderId="109"/>
    <xf numFmtId="0" fontId="54" fillId="46" borderId="108">
      <protection locked="0"/>
    </xf>
    <xf numFmtId="0" fontId="21" fillId="22" borderId="110" applyNumberFormat="0" applyAlignment="0" applyProtection="0"/>
    <xf numFmtId="0" fontId="8" fillId="25" borderId="99" applyNumberFormat="0" applyFont="0" applyAlignment="0" applyProtection="0"/>
    <xf numFmtId="171" fontId="51" fillId="0" borderId="109"/>
    <xf numFmtId="0" fontId="8" fillId="25" borderId="99" applyNumberFormat="0" applyFont="0" applyAlignment="0" applyProtection="0"/>
    <xf numFmtId="173" fontId="51" fillId="0" borderId="109"/>
    <xf numFmtId="0" fontId="23" fillId="0" borderId="111" applyNumberFormat="0" applyFill="0" applyAlignment="0" applyProtection="0"/>
    <xf numFmtId="175" fontId="51" fillId="0" borderId="109"/>
    <xf numFmtId="174" fontId="51" fillId="0" borderId="109"/>
    <xf numFmtId="0" fontId="23" fillId="0" borderId="111" applyNumberFormat="0" applyFill="0" applyAlignment="0" applyProtection="0"/>
    <xf numFmtId="181" fontId="51" fillId="0" borderId="109"/>
    <xf numFmtId="174" fontId="51" fillId="0" borderId="109"/>
    <xf numFmtId="174" fontId="51" fillId="0" borderId="109"/>
    <xf numFmtId="0" fontId="18" fillId="9" borderId="106" applyNumberFormat="0" applyAlignment="0" applyProtection="0"/>
    <xf numFmtId="0" fontId="21" fillId="22" borderId="110" applyNumberFormat="0" applyAlignment="0" applyProtection="0"/>
    <xf numFmtId="171" fontId="51" fillId="0" borderId="109"/>
    <xf numFmtId="172" fontId="51" fillId="0" borderId="109"/>
    <xf numFmtId="176" fontId="51" fillId="0" borderId="109"/>
    <xf numFmtId="0" fontId="23" fillId="0" borderId="111" applyNumberFormat="0" applyFill="0" applyAlignment="0" applyProtection="0"/>
    <xf numFmtId="175" fontId="51" fillId="0" borderId="109"/>
    <xf numFmtId="171" fontId="51" fillId="0" borderId="109"/>
    <xf numFmtId="179" fontId="51" fillId="0" borderId="109"/>
    <xf numFmtId="0" fontId="18" fillId="9" borderId="106" applyNumberFormat="0" applyAlignment="0" applyProtection="0"/>
    <xf numFmtId="171" fontId="51" fillId="0" borderId="109"/>
    <xf numFmtId="0" fontId="21" fillId="22" borderId="110" applyNumberFormat="0" applyAlignment="0" applyProtection="0"/>
    <xf numFmtId="179" fontId="51" fillId="0" borderId="109"/>
    <xf numFmtId="171" fontId="51" fillId="0" borderId="109"/>
    <xf numFmtId="179" fontId="51" fillId="0" borderId="109"/>
    <xf numFmtId="174" fontId="51" fillId="0" borderId="109"/>
    <xf numFmtId="172" fontId="51" fillId="0" borderId="109"/>
    <xf numFmtId="171" fontId="51" fillId="0" borderId="109"/>
    <xf numFmtId="174" fontId="51" fillId="0" borderId="109"/>
    <xf numFmtId="173" fontId="51" fillId="0" borderId="109"/>
    <xf numFmtId="180" fontId="51" fillId="0" borderId="109"/>
    <xf numFmtId="179" fontId="51" fillId="0" borderId="109"/>
    <xf numFmtId="174" fontId="51" fillId="0" borderId="109"/>
    <xf numFmtId="171" fontId="51" fillId="0" borderId="109"/>
    <xf numFmtId="179" fontId="51" fillId="0" borderId="109"/>
    <xf numFmtId="174" fontId="51" fillId="0" borderId="109"/>
    <xf numFmtId="171" fontId="51" fillId="0" borderId="109"/>
    <xf numFmtId="179" fontId="51" fillId="0" borderId="109"/>
    <xf numFmtId="179" fontId="51" fillId="0" borderId="109"/>
    <xf numFmtId="180" fontId="51" fillId="0" borderId="109"/>
    <xf numFmtId="176" fontId="51" fillId="0" borderId="109"/>
    <xf numFmtId="171" fontId="51" fillId="0" borderId="109"/>
    <xf numFmtId="0" fontId="23" fillId="0" borderId="111" applyNumberFormat="0" applyFill="0" applyAlignment="0" applyProtection="0"/>
    <xf numFmtId="0" fontId="11" fillId="22" borderId="106" applyNumberFormat="0" applyAlignment="0" applyProtection="0"/>
    <xf numFmtId="171" fontId="51" fillId="0" borderId="109"/>
    <xf numFmtId="173" fontId="51" fillId="0" borderId="109"/>
    <xf numFmtId="171" fontId="51" fillId="0" borderId="109"/>
    <xf numFmtId="174" fontId="51" fillId="0" borderId="109"/>
    <xf numFmtId="179" fontId="51" fillId="0" borderId="109"/>
    <xf numFmtId="171" fontId="51" fillId="0" borderId="109"/>
    <xf numFmtId="0" fontId="18" fillId="9" borderId="106" applyNumberFormat="0" applyAlignment="0" applyProtection="0"/>
    <xf numFmtId="173" fontId="51" fillId="0" borderId="109"/>
    <xf numFmtId="0" fontId="11" fillId="22" borderId="106" applyNumberFormat="0" applyAlignment="0" applyProtection="0"/>
    <xf numFmtId="181" fontId="51" fillId="0" borderId="109"/>
    <xf numFmtId="171" fontId="51" fillId="0" borderId="109"/>
    <xf numFmtId="172" fontId="51" fillId="0" borderId="109"/>
    <xf numFmtId="174" fontId="51" fillId="0" borderId="109"/>
    <xf numFmtId="175" fontId="51" fillId="0" borderId="109"/>
    <xf numFmtId="174" fontId="51" fillId="0" borderId="109"/>
    <xf numFmtId="174" fontId="51" fillId="0" borderId="109"/>
    <xf numFmtId="0" fontId="11" fillId="22" borderId="106" applyNumberFormat="0" applyAlignment="0" applyProtection="0"/>
    <xf numFmtId="171" fontId="51" fillId="0" borderId="109"/>
    <xf numFmtId="174" fontId="51" fillId="0" borderId="109"/>
    <xf numFmtId="181" fontId="51" fillId="0" borderId="109"/>
    <xf numFmtId="171"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179" fontId="51" fillId="0" borderId="109"/>
    <xf numFmtId="171" fontId="51" fillId="0" borderId="109"/>
    <xf numFmtId="179" fontId="51" fillId="0" borderId="109"/>
    <xf numFmtId="179" fontId="51" fillId="0" borderId="109"/>
    <xf numFmtId="0" fontId="54" fillId="46" borderId="108">
      <protection locked="0"/>
    </xf>
    <xf numFmtId="0" fontId="8" fillId="25" borderId="99" applyNumberFormat="0" applyFont="0" applyAlignment="0" applyProtection="0"/>
    <xf numFmtId="179" fontId="51" fillId="0" borderId="109"/>
    <xf numFmtId="176" fontId="51" fillId="0" borderId="109"/>
    <xf numFmtId="171" fontId="51" fillId="0" borderId="109"/>
    <xf numFmtId="0" fontId="11" fillId="22" borderId="106" applyNumberFormat="0" applyAlignment="0" applyProtection="0"/>
    <xf numFmtId="0" fontId="17" fillId="0" borderId="105" applyNumberFormat="0" applyFill="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0" fontId="21" fillId="22" borderId="110" applyNumberFormat="0" applyAlignment="0" applyProtection="0"/>
    <xf numFmtId="174" fontId="51" fillId="0" borderId="109"/>
    <xf numFmtId="174" fontId="51" fillId="0" borderId="109"/>
    <xf numFmtId="172" fontId="51" fillId="0" borderId="109"/>
    <xf numFmtId="174" fontId="51" fillId="0" borderId="109"/>
    <xf numFmtId="179" fontId="51" fillId="0" borderId="109"/>
    <xf numFmtId="179" fontId="51" fillId="0" borderId="109"/>
    <xf numFmtId="171" fontId="51" fillId="0" borderId="109"/>
    <xf numFmtId="174" fontId="51" fillId="0" borderId="109"/>
    <xf numFmtId="179" fontId="51" fillId="0" borderId="109"/>
    <xf numFmtId="171" fontId="51" fillId="0" borderId="109"/>
    <xf numFmtId="173" fontId="51" fillId="0" borderId="109"/>
    <xf numFmtId="179" fontId="51" fillId="0" borderId="109"/>
    <xf numFmtId="0" fontId="23" fillId="0" borderId="111" applyNumberFormat="0" applyFill="0" applyAlignment="0" applyProtection="0"/>
    <xf numFmtId="174" fontId="51" fillId="0" borderId="109"/>
    <xf numFmtId="174" fontId="51" fillId="0" borderId="109"/>
    <xf numFmtId="179" fontId="51" fillId="0" borderId="109"/>
    <xf numFmtId="171" fontId="51" fillId="0" borderId="109"/>
    <xf numFmtId="0" fontId="18" fillId="9" borderId="106" applyNumberFormat="0" applyAlignment="0" applyProtection="0"/>
    <xf numFmtId="176" fontId="51" fillId="0" borderId="109"/>
    <xf numFmtId="175" fontId="51" fillId="0" borderId="109"/>
    <xf numFmtId="180" fontId="51" fillId="0" borderId="109"/>
    <xf numFmtId="175" fontId="51" fillId="0" borderId="109"/>
    <xf numFmtId="180" fontId="51" fillId="0" borderId="109"/>
    <xf numFmtId="172" fontId="51" fillId="0" borderId="109"/>
    <xf numFmtId="0" fontId="54" fillId="46" borderId="108">
      <protection locked="0"/>
    </xf>
    <xf numFmtId="180" fontId="51" fillId="0" borderId="109"/>
    <xf numFmtId="181" fontId="51" fillId="0" borderId="109"/>
    <xf numFmtId="0" fontId="54" fillId="46" borderId="108">
      <protection locked="0"/>
    </xf>
    <xf numFmtId="174" fontId="51" fillId="0" borderId="109"/>
    <xf numFmtId="181" fontId="51" fillId="0" borderId="109"/>
    <xf numFmtId="0" fontId="17" fillId="0" borderId="105" applyNumberFormat="0" applyFill="0" applyAlignment="0" applyProtection="0"/>
    <xf numFmtId="176" fontId="51" fillId="0" borderId="109"/>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9" fontId="51" fillId="0" borderId="109"/>
    <xf numFmtId="171" fontId="51" fillId="0" borderId="109"/>
    <xf numFmtId="174" fontId="51" fillId="0" borderId="109"/>
    <xf numFmtId="179" fontId="51" fillId="0" borderId="109"/>
    <xf numFmtId="179" fontId="51" fillId="0" borderId="109"/>
    <xf numFmtId="179" fontId="51" fillId="0" borderId="109"/>
    <xf numFmtId="174" fontId="51" fillId="0" borderId="109"/>
    <xf numFmtId="179" fontId="51" fillId="0" borderId="109"/>
    <xf numFmtId="179" fontId="51" fillId="0" borderId="109"/>
    <xf numFmtId="174" fontId="51" fillId="0" borderId="109"/>
    <xf numFmtId="174" fontId="51" fillId="0" borderId="109"/>
    <xf numFmtId="0" fontId="21" fillId="22" borderId="110" applyNumberFormat="0" applyAlignment="0" applyProtection="0"/>
    <xf numFmtId="174" fontId="51" fillId="0" borderId="109"/>
    <xf numFmtId="0" fontId="23" fillId="0" borderId="111" applyNumberFormat="0" applyFill="0" applyAlignment="0" applyProtection="0"/>
    <xf numFmtId="171" fontId="51" fillId="0" borderId="109"/>
    <xf numFmtId="171" fontId="51" fillId="0" borderId="109"/>
    <xf numFmtId="174" fontId="51" fillId="0" borderId="109"/>
    <xf numFmtId="175" fontId="51" fillId="0" borderId="109"/>
    <xf numFmtId="0" fontId="18" fillId="9" borderId="106" applyNumberFormat="0" applyAlignment="0" applyProtection="0"/>
    <xf numFmtId="171" fontId="51" fillId="0" borderId="109"/>
    <xf numFmtId="0" fontId="21" fillId="22" borderId="110" applyNumberFormat="0" applyAlignment="0" applyProtection="0"/>
    <xf numFmtId="173" fontId="51" fillId="0" borderId="109"/>
    <xf numFmtId="171" fontId="51" fillId="0" borderId="109"/>
    <xf numFmtId="0" fontId="18" fillId="9" borderId="106" applyNumberFormat="0" applyAlignment="0" applyProtection="0"/>
    <xf numFmtId="176" fontId="51" fillId="0" borderId="109"/>
    <xf numFmtId="0" fontId="11" fillId="22" borderId="106" applyNumberFormat="0" applyAlignment="0" applyProtection="0"/>
    <xf numFmtId="171" fontId="51" fillId="0" borderId="109"/>
    <xf numFmtId="171" fontId="51" fillId="0" borderId="109"/>
    <xf numFmtId="179" fontId="51" fillId="0" borderId="109"/>
    <xf numFmtId="0" fontId="54" fillId="46" borderId="108">
      <protection locked="0"/>
    </xf>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5" fontId="51" fillId="0" borderId="109"/>
    <xf numFmtId="179" fontId="51" fillId="0" borderId="109"/>
    <xf numFmtId="171" fontId="51" fillId="0" borderId="109"/>
    <xf numFmtId="171" fontId="51" fillId="0" borderId="109"/>
    <xf numFmtId="0" fontId="23" fillId="0" borderId="111" applyNumberFormat="0" applyFill="0" applyAlignment="0" applyProtection="0"/>
    <xf numFmtId="179" fontId="51" fillId="0" borderId="109"/>
    <xf numFmtId="171" fontId="51" fillId="0" borderId="109"/>
    <xf numFmtId="171" fontId="51" fillId="0" borderId="109"/>
    <xf numFmtId="179" fontId="51" fillId="0" borderId="109"/>
    <xf numFmtId="174" fontId="51" fillId="0" borderId="109"/>
    <xf numFmtId="174" fontId="51" fillId="0" borderId="109"/>
    <xf numFmtId="179" fontId="51" fillId="0" borderId="109"/>
    <xf numFmtId="179" fontId="51" fillId="0" borderId="109"/>
    <xf numFmtId="179" fontId="51" fillId="0" borderId="109"/>
    <xf numFmtId="171" fontId="51" fillId="0" borderId="109"/>
    <xf numFmtId="173" fontId="51" fillId="0" borderId="109"/>
    <xf numFmtId="171" fontId="51" fillId="0" borderId="109"/>
    <xf numFmtId="179" fontId="51" fillId="0" borderId="109"/>
    <xf numFmtId="0" fontId="18" fillId="9" borderId="106" applyNumberFormat="0" applyAlignment="0" applyProtection="0"/>
    <xf numFmtId="179" fontId="51" fillId="0" borderId="109"/>
    <xf numFmtId="179" fontId="51" fillId="0" borderId="109"/>
    <xf numFmtId="0" fontId="23" fillId="0" borderId="111" applyNumberFormat="0" applyFill="0" applyAlignment="0" applyProtection="0"/>
    <xf numFmtId="171" fontId="51" fillId="0" borderId="109"/>
    <xf numFmtId="0" fontId="8" fillId="25" borderId="99" applyNumberFormat="0" applyFont="0" applyAlignment="0" applyProtection="0"/>
    <xf numFmtId="0" fontId="18" fillId="9" borderId="106" applyNumberFormat="0" applyAlignment="0" applyProtection="0"/>
    <xf numFmtId="171" fontId="51" fillId="0" borderId="109"/>
    <xf numFmtId="179" fontId="51" fillId="0" borderId="109"/>
    <xf numFmtId="0" fontId="8" fillId="25" borderId="99" applyNumberFormat="0" applyFont="0" applyAlignment="0" applyProtection="0"/>
    <xf numFmtId="0" fontId="11" fillId="22" borderId="106" applyNumberFormat="0" applyAlignment="0" applyProtection="0"/>
    <xf numFmtId="171" fontId="51" fillId="0" borderId="109"/>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1" fontId="51" fillId="0" borderId="109"/>
    <xf numFmtId="180" fontId="51" fillId="0" borderId="109"/>
    <xf numFmtId="174" fontId="51" fillId="0" borderId="109"/>
    <xf numFmtId="174" fontId="51" fillId="0" borderId="109"/>
    <xf numFmtId="173" fontId="51" fillId="0" borderId="109"/>
    <xf numFmtId="179" fontId="51" fillId="0" borderId="109"/>
    <xf numFmtId="172" fontId="51" fillId="0" borderId="109"/>
    <xf numFmtId="0" fontId="21" fillId="22" borderId="110" applyNumberFormat="0" applyAlignment="0" applyProtection="0"/>
    <xf numFmtId="171" fontId="51" fillId="0" borderId="109"/>
    <xf numFmtId="174" fontId="51" fillId="0" borderId="109"/>
    <xf numFmtId="179" fontId="51" fillId="0" borderId="109"/>
    <xf numFmtId="0" fontId="11" fillId="22" borderId="106" applyNumberFormat="0" applyAlignment="0" applyProtection="0"/>
    <xf numFmtId="174" fontId="51" fillId="0" borderId="109"/>
    <xf numFmtId="175" fontId="51" fillId="0" borderId="109"/>
    <xf numFmtId="174" fontId="51" fillId="0" borderId="109"/>
    <xf numFmtId="181" fontId="51" fillId="0" borderId="109"/>
    <xf numFmtId="0" fontId="17" fillId="0" borderId="105" applyNumberFormat="0" applyFill="0" applyAlignment="0" applyProtection="0"/>
    <xf numFmtId="176" fontId="51" fillId="0" borderId="109"/>
    <xf numFmtId="172" fontId="51" fillId="0" borderId="109"/>
    <xf numFmtId="179" fontId="51" fillId="0" borderId="109"/>
    <xf numFmtId="180" fontId="51" fillId="0" borderId="109"/>
    <xf numFmtId="181" fontId="51" fillId="0" borderId="109"/>
    <xf numFmtId="0" fontId="54" fillId="46" borderId="108">
      <protection locked="0"/>
    </xf>
    <xf numFmtId="0" fontId="17" fillId="0" borderId="105"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4" fontId="51" fillId="0" borderId="109"/>
    <xf numFmtId="174" fontId="51" fillId="0" borderId="109"/>
    <xf numFmtId="174" fontId="51" fillId="0" borderId="109"/>
    <xf numFmtId="171" fontId="51" fillId="0" borderId="109"/>
    <xf numFmtId="0" fontId="18" fillId="9" borderId="106" applyNumberFormat="0" applyAlignment="0" applyProtection="0"/>
    <xf numFmtId="174" fontId="51" fillId="0" borderId="109"/>
    <xf numFmtId="171" fontId="51" fillId="0" borderId="109"/>
    <xf numFmtId="179" fontId="51" fillId="0" borderId="109"/>
    <xf numFmtId="173" fontId="51" fillId="0" borderId="109"/>
    <xf numFmtId="173" fontId="51" fillId="0" borderId="109"/>
    <xf numFmtId="171" fontId="51" fillId="0" borderId="109"/>
    <xf numFmtId="173" fontId="51" fillId="0" borderId="109"/>
    <xf numFmtId="174" fontId="51" fillId="0" borderId="109"/>
    <xf numFmtId="176" fontId="51" fillId="0" borderId="109"/>
    <xf numFmtId="171" fontId="51" fillId="0" borderId="109"/>
    <xf numFmtId="0" fontId="11" fillId="22" borderId="106" applyNumberFormat="0" applyAlignment="0" applyProtection="0"/>
    <xf numFmtId="179" fontId="51" fillId="0" borderId="109"/>
    <xf numFmtId="179" fontId="51" fillId="0" borderId="109"/>
    <xf numFmtId="179" fontId="51" fillId="0" borderId="109"/>
    <xf numFmtId="171" fontId="51" fillId="0" borderId="109"/>
    <xf numFmtId="0" fontId="8" fillId="25" borderId="99" applyNumberFormat="0" applyFont="0" applyAlignment="0" applyProtection="0"/>
    <xf numFmtId="171" fontId="51" fillId="0" borderId="109"/>
    <xf numFmtId="180" fontId="51" fillId="0" borderId="109"/>
    <xf numFmtId="174" fontId="51" fillId="0" borderId="109"/>
    <xf numFmtId="175" fontId="51" fillId="0" borderId="109"/>
    <xf numFmtId="0" fontId="18" fillId="9" borderId="106" applyNumberFormat="0" applyAlignment="0" applyProtection="0"/>
    <xf numFmtId="171" fontId="51" fillId="0" borderId="109"/>
    <xf numFmtId="179" fontId="51" fillId="0" borderId="109"/>
    <xf numFmtId="174" fontId="51" fillId="0" borderId="109"/>
    <xf numFmtId="179" fontId="51" fillId="0" borderId="109"/>
    <xf numFmtId="171" fontId="51" fillId="0" borderId="109"/>
    <xf numFmtId="179" fontId="51" fillId="0" borderId="109"/>
    <xf numFmtId="174" fontId="51" fillId="0" borderId="109"/>
    <xf numFmtId="174" fontId="51" fillId="0" borderId="109"/>
    <xf numFmtId="171" fontId="51" fillId="0" borderId="109"/>
    <xf numFmtId="174" fontId="51" fillId="0" borderId="109"/>
    <xf numFmtId="175" fontId="51" fillId="0" borderId="109"/>
    <xf numFmtId="174" fontId="51" fillId="0" borderId="109"/>
    <xf numFmtId="179" fontId="51" fillId="0" borderId="109"/>
    <xf numFmtId="179" fontId="51" fillId="0" borderId="109"/>
    <xf numFmtId="171" fontId="51" fillId="0" borderId="109"/>
    <xf numFmtId="0" fontId="21" fillId="22" borderId="110" applyNumberFormat="0" applyAlignment="0" applyProtection="0"/>
    <xf numFmtId="172" fontId="51" fillId="0" borderId="109"/>
    <xf numFmtId="0" fontId="23" fillId="0" borderId="111" applyNumberFormat="0" applyFill="0" applyAlignment="0" applyProtection="0"/>
    <xf numFmtId="0" fontId="8" fillId="25" borderId="99" applyNumberFormat="0" applyFont="0" applyAlignment="0" applyProtection="0"/>
    <xf numFmtId="0" fontId="54" fillId="46" borderId="108">
      <protection locked="0"/>
    </xf>
    <xf numFmtId="175" fontId="51" fillId="0" borderId="109"/>
    <xf numFmtId="0" fontId="23" fillId="0" borderId="111" applyNumberFormat="0" applyFill="0" applyAlignment="0" applyProtection="0"/>
    <xf numFmtId="174" fontId="51" fillId="0" borderId="109"/>
    <xf numFmtId="0" fontId="21" fillId="22" borderId="110" applyNumberFormat="0" applyAlignment="0" applyProtection="0"/>
    <xf numFmtId="171" fontId="51" fillId="0" borderId="109"/>
    <xf numFmtId="181" fontId="51" fillId="0" borderId="109"/>
    <xf numFmtId="171" fontId="51" fillId="0" borderId="109"/>
    <xf numFmtId="179" fontId="51" fillId="0" borderId="109"/>
    <xf numFmtId="0" fontId="11" fillId="22" borderId="106" applyNumberFormat="0" applyAlignment="0" applyProtection="0"/>
    <xf numFmtId="174" fontId="51" fillId="0" borderId="109"/>
    <xf numFmtId="180" fontId="51" fillId="0" borderId="109"/>
    <xf numFmtId="174" fontId="51" fillId="0" borderId="109"/>
    <xf numFmtId="171" fontId="51" fillId="0" borderId="109"/>
    <xf numFmtId="174" fontId="51" fillId="0" borderId="109"/>
    <xf numFmtId="172" fontId="51" fillId="0" borderId="109"/>
    <xf numFmtId="179" fontId="51" fillId="0" borderId="109"/>
    <xf numFmtId="176" fontId="51" fillId="0" borderId="109"/>
    <xf numFmtId="174" fontId="51" fillId="0" borderId="109"/>
    <xf numFmtId="172" fontId="51" fillId="0" borderId="109"/>
    <xf numFmtId="171" fontId="51" fillId="0" borderId="109"/>
    <xf numFmtId="180" fontId="51" fillId="0" borderId="109"/>
    <xf numFmtId="181" fontId="51" fillId="0" borderId="109"/>
    <xf numFmtId="0" fontId="54" fillId="46" borderId="108">
      <protection locked="0"/>
    </xf>
    <xf numFmtId="179" fontId="51" fillId="0" borderId="109"/>
    <xf numFmtId="179" fontId="51" fillId="0" borderId="109"/>
    <xf numFmtId="179" fontId="51" fillId="0" borderId="109"/>
    <xf numFmtId="171" fontId="51" fillId="0" borderId="109"/>
    <xf numFmtId="179" fontId="51" fillId="0" borderId="109"/>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81" fontId="51" fillId="0" borderId="109"/>
    <xf numFmtId="171" fontId="51" fillId="0" borderId="109"/>
    <xf numFmtId="174" fontId="51" fillId="0" borderId="109"/>
    <xf numFmtId="179" fontId="51" fillId="0" borderId="109"/>
    <xf numFmtId="171" fontId="51" fillId="0" borderId="109"/>
    <xf numFmtId="0" fontId="8" fillId="25" borderId="99" applyNumberFormat="0" applyFont="0" applyAlignment="0" applyProtection="0"/>
    <xf numFmtId="174" fontId="51" fillId="0" borderId="109"/>
    <xf numFmtId="176" fontId="51" fillId="0" borderId="109"/>
    <xf numFmtId="179" fontId="51" fillId="0" borderId="109"/>
    <xf numFmtId="171" fontId="51" fillId="0" borderId="109"/>
    <xf numFmtId="174"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4" fontId="51" fillId="0" borderId="109"/>
    <xf numFmtId="179" fontId="51" fillId="0" borderId="109"/>
    <xf numFmtId="171" fontId="51" fillId="0" borderId="109"/>
    <xf numFmtId="179" fontId="51" fillId="0" borderId="109"/>
    <xf numFmtId="179" fontId="51" fillId="0" borderId="109"/>
    <xf numFmtId="174" fontId="51" fillId="0" borderId="109"/>
    <xf numFmtId="174" fontId="51" fillId="0" borderId="109"/>
    <xf numFmtId="171" fontId="51" fillId="0" borderId="109"/>
    <xf numFmtId="171" fontId="51" fillId="0" borderId="109"/>
    <xf numFmtId="171" fontId="51" fillId="0" borderId="109"/>
    <xf numFmtId="0" fontId="54" fillId="46" borderId="112">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4" fontId="51" fillId="0" borderId="109"/>
    <xf numFmtId="0" fontId="54" fillId="46" borderId="112">
      <protection locked="0"/>
    </xf>
    <xf numFmtId="0" fontId="18" fillId="9" borderId="106" applyNumberFormat="0" applyAlignment="0" applyProtection="0"/>
    <xf numFmtId="181" fontId="51" fillId="0" borderId="109"/>
    <xf numFmtId="171" fontId="51" fillId="0" borderId="109"/>
    <xf numFmtId="0" fontId="11" fillId="22" borderId="106" applyNumberFormat="0" applyAlignment="0" applyProtection="0"/>
    <xf numFmtId="0" fontId="18" fillId="9" borderId="106" applyNumberFormat="0" applyAlignment="0" applyProtection="0"/>
    <xf numFmtId="181" fontId="51" fillId="0" borderId="109"/>
    <xf numFmtId="180" fontId="51" fillId="0" borderId="109"/>
    <xf numFmtId="179" fontId="51" fillId="0" borderId="109"/>
    <xf numFmtId="171" fontId="51" fillId="0" borderId="109"/>
    <xf numFmtId="175" fontId="51" fillId="0" borderId="109"/>
    <xf numFmtId="176" fontId="51" fillId="0" borderId="109"/>
    <xf numFmtId="175" fontId="51" fillId="0" borderId="109"/>
    <xf numFmtId="174" fontId="51" fillId="0" borderId="109"/>
    <xf numFmtId="176" fontId="51" fillId="0" borderId="109"/>
    <xf numFmtId="180" fontId="51" fillId="0" borderId="109"/>
    <xf numFmtId="173" fontId="51" fillId="0" borderId="109"/>
    <xf numFmtId="0" fontId="11" fillId="22" borderId="106" applyNumberFormat="0" applyAlignment="0" applyProtection="0"/>
    <xf numFmtId="172" fontId="51" fillId="0" borderId="109"/>
    <xf numFmtId="179" fontId="51" fillId="0" borderId="109"/>
    <xf numFmtId="176" fontId="51" fillId="0" borderId="109"/>
    <xf numFmtId="174" fontId="51" fillId="0" borderId="109"/>
    <xf numFmtId="171" fontId="51" fillId="0" borderId="109"/>
    <xf numFmtId="0" fontId="21" fillId="22" borderId="110" applyNumberFormat="0" applyAlignment="0" applyProtection="0"/>
    <xf numFmtId="0" fontId="23" fillId="0" borderId="111" applyNumberFormat="0" applyFill="0" applyAlignment="0" applyProtection="0"/>
    <xf numFmtId="180" fontId="51" fillId="0" borderId="109"/>
    <xf numFmtId="175" fontId="51" fillId="0" borderId="109"/>
    <xf numFmtId="173" fontId="51" fillId="0" borderId="109"/>
    <xf numFmtId="172" fontId="51" fillId="0" borderId="109"/>
    <xf numFmtId="171" fontId="51" fillId="0" borderId="109"/>
    <xf numFmtId="181"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11" fillId="22" borderId="106" applyNumberFormat="0" applyAlignment="0" applyProtection="0"/>
    <xf numFmtId="0" fontId="54" fillId="46" borderId="108">
      <protection locked="0"/>
    </xf>
    <xf numFmtId="0" fontId="11" fillId="22" borderId="106" applyNumberFormat="0" applyAlignment="0" applyProtection="0"/>
    <xf numFmtId="0" fontId="21" fillId="22" borderId="110" applyNumberFormat="0" applyAlignment="0" applyProtection="0"/>
    <xf numFmtId="0" fontId="54" fillId="46" borderId="108">
      <protection locked="0"/>
    </xf>
    <xf numFmtId="173" fontId="51" fillId="0" borderId="109"/>
    <xf numFmtId="172"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23" fillId="0" borderId="111" applyNumberFormat="0" applyFill="0" applyAlignment="0" applyProtection="0"/>
    <xf numFmtId="171" fontId="51" fillId="0" borderId="109"/>
    <xf numFmtId="172"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9" fontId="51" fillId="0" borderId="109"/>
    <xf numFmtId="0" fontId="8" fillId="25" borderId="99" applyNumberFormat="0" applyFont="0" applyAlignment="0" applyProtection="0"/>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1" fontId="51" fillId="0" borderId="109"/>
    <xf numFmtId="179" fontId="51" fillId="0" borderId="109"/>
    <xf numFmtId="0" fontId="11" fillId="22" borderId="106" applyNumberFormat="0" applyAlignment="0" applyProtection="0"/>
    <xf numFmtId="0" fontId="54" fillId="46" borderId="108">
      <protection locked="0"/>
    </xf>
    <xf numFmtId="181" fontId="51" fillId="0" borderId="109"/>
    <xf numFmtId="171" fontId="51" fillId="0" borderId="109"/>
    <xf numFmtId="0" fontId="23" fillId="0" borderId="111" applyNumberFormat="0" applyFill="0" applyAlignment="0" applyProtection="0"/>
    <xf numFmtId="179" fontId="51" fillId="0" borderId="109"/>
    <xf numFmtId="0" fontId="54" fillId="46" borderId="108">
      <protection locked="0"/>
    </xf>
    <xf numFmtId="0" fontId="11" fillId="22" borderId="106" applyNumberFormat="0" applyAlignment="0" applyProtection="0"/>
    <xf numFmtId="171" fontId="51" fillId="0" borderId="109"/>
    <xf numFmtId="171" fontId="51" fillId="0" borderId="109"/>
    <xf numFmtId="0" fontId="18" fillId="9" borderId="106" applyNumberFormat="0" applyAlignment="0" applyProtection="0"/>
    <xf numFmtId="172" fontId="51" fillId="0" borderId="109"/>
    <xf numFmtId="171" fontId="51" fillId="0" borderId="109"/>
    <xf numFmtId="174" fontId="51" fillId="0" borderId="109"/>
    <xf numFmtId="171" fontId="51" fillId="0" borderId="109"/>
    <xf numFmtId="174" fontId="51" fillId="0" borderId="109"/>
    <xf numFmtId="175" fontId="51" fillId="0" borderId="109"/>
    <xf numFmtId="176" fontId="51" fillId="0" borderId="109"/>
    <xf numFmtId="0" fontId="8" fillId="25" borderId="99" applyNumberFormat="0" applyFont="0" applyAlignment="0" applyProtection="0"/>
    <xf numFmtId="174" fontId="51" fillId="0" borderId="109"/>
    <xf numFmtId="179" fontId="51" fillId="0" borderId="109"/>
    <xf numFmtId="171" fontId="51" fillId="0" borderId="109"/>
    <xf numFmtId="180" fontId="51" fillId="0" borderId="109"/>
    <xf numFmtId="181" fontId="51" fillId="0" borderId="109"/>
    <xf numFmtId="0" fontId="18" fillId="9" borderId="106" applyNumberFormat="0" applyAlignment="0" applyProtection="0"/>
    <xf numFmtId="179" fontId="51" fillId="0" borderId="109"/>
    <xf numFmtId="179" fontId="51" fillId="0" borderId="109"/>
    <xf numFmtId="174" fontId="51" fillId="0" borderId="109"/>
    <xf numFmtId="171" fontId="51" fillId="0" borderId="109"/>
    <xf numFmtId="175" fontId="51" fillId="0" borderId="109"/>
    <xf numFmtId="171" fontId="51" fillId="0" borderId="109"/>
    <xf numFmtId="171" fontId="51" fillId="0" borderId="109"/>
    <xf numFmtId="174" fontId="51" fillId="0" borderId="109"/>
    <xf numFmtId="174" fontId="51" fillId="0" borderId="109"/>
    <xf numFmtId="171" fontId="51" fillId="0" borderId="109"/>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8" fillId="25" borderId="99" applyNumberFormat="0" applyFont="0" applyAlignment="0" applyProtection="0"/>
    <xf numFmtId="173" fontId="51" fillId="0" borderId="109"/>
    <xf numFmtId="174" fontId="51" fillId="0" borderId="109"/>
    <xf numFmtId="179" fontId="51" fillId="0" borderId="109"/>
    <xf numFmtId="0" fontId="11" fillId="22" borderId="106" applyNumberFormat="0" applyAlignment="0" applyProtection="0"/>
    <xf numFmtId="173" fontId="51" fillId="0" borderId="109"/>
    <xf numFmtId="172" fontId="51" fillId="0" borderId="109"/>
    <xf numFmtId="0" fontId="21" fillId="22" borderId="110" applyNumberFormat="0" applyAlignment="0" applyProtection="0"/>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3" fontId="51" fillId="0" borderId="109"/>
    <xf numFmtId="175" fontId="51" fillId="0" borderId="109"/>
    <xf numFmtId="176"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80" fontId="51" fillId="0" borderId="109"/>
    <xf numFmtId="174" fontId="51" fillId="0" borderId="109"/>
    <xf numFmtId="179"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174" fontId="51" fillId="0" borderId="109"/>
    <xf numFmtId="179" fontId="51" fillId="0" borderId="109"/>
    <xf numFmtId="174" fontId="51" fillId="0" borderId="109"/>
    <xf numFmtId="171" fontId="51" fillId="0" borderId="109"/>
    <xf numFmtId="179" fontId="51" fillId="0" borderId="109"/>
    <xf numFmtId="174" fontId="51" fillId="0" borderId="109"/>
    <xf numFmtId="179" fontId="51" fillId="0" borderId="109"/>
    <xf numFmtId="171" fontId="51" fillId="0" borderId="109"/>
    <xf numFmtId="171" fontId="51" fillId="0" borderId="109"/>
    <xf numFmtId="179"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6" fontId="51" fillId="0" borderId="109"/>
    <xf numFmtId="0" fontId="11" fillId="22" borderId="106" applyNumberFormat="0" applyAlignment="0" applyProtection="0"/>
    <xf numFmtId="180" fontId="51" fillId="0" borderId="109"/>
    <xf numFmtId="179" fontId="51" fillId="0" borderId="109"/>
    <xf numFmtId="171" fontId="51" fillId="0" borderId="109"/>
    <xf numFmtId="171" fontId="51" fillId="0" borderId="109"/>
    <xf numFmtId="174" fontId="51" fillId="0" borderId="109"/>
    <xf numFmtId="174" fontId="51" fillId="0" borderId="109"/>
    <xf numFmtId="171" fontId="51" fillId="0" borderId="109"/>
    <xf numFmtId="0" fontId="23" fillId="0" borderId="111" applyNumberFormat="0" applyFill="0" applyAlignment="0" applyProtection="0"/>
    <xf numFmtId="174" fontId="51" fillId="0" borderId="109"/>
    <xf numFmtId="0" fontId="18" fillId="9" borderId="106" applyNumberFormat="0" applyAlignment="0" applyProtection="0"/>
    <xf numFmtId="0" fontId="21" fillId="22" borderId="110" applyNumberFormat="0" applyAlignment="0" applyProtection="0"/>
    <xf numFmtId="0" fontId="8" fillId="25" borderId="99" applyNumberFormat="0" applyFont="0" applyAlignment="0" applyProtection="0"/>
    <xf numFmtId="0" fontId="54" fillId="46" borderId="108">
      <protection locked="0"/>
    </xf>
    <xf numFmtId="179" fontId="51" fillId="0" borderId="109"/>
    <xf numFmtId="0" fontId="11" fillId="22" borderId="106" applyNumberFormat="0" applyAlignment="0" applyProtection="0"/>
    <xf numFmtId="0" fontId="18" fillId="9" borderId="106" applyNumberFormat="0" applyAlignment="0" applyProtection="0"/>
    <xf numFmtId="174" fontId="51" fillId="0" borderId="109"/>
    <xf numFmtId="171" fontId="51" fillId="0" borderId="109"/>
    <xf numFmtId="179" fontId="51" fillId="0" borderId="109"/>
    <xf numFmtId="174" fontId="51" fillId="0" borderId="109"/>
    <xf numFmtId="171" fontId="51" fillId="0" borderId="109"/>
    <xf numFmtId="172" fontId="51" fillId="0" borderId="109"/>
    <xf numFmtId="171" fontId="51" fillId="0" borderId="109"/>
    <xf numFmtId="174" fontId="51" fillId="0" borderId="109"/>
    <xf numFmtId="179" fontId="51" fillId="0" borderId="109"/>
    <xf numFmtId="171" fontId="51" fillId="0" borderId="109"/>
    <xf numFmtId="179" fontId="51" fillId="0" borderId="109"/>
    <xf numFmtId="0" fontId="11" fillId="22" borderId="106" applyNumberFormat="0" applyAlignment="0" applyProtection="0"/>
    <xf numFmtId="181" fontId="51" fillId="0" borderId="109"/>
    <xf numFmtId="175" fontId="51" fillId="0" borderId="109"/>
    <xf numFmtId="179" fontId="51" fillId="0" borderId="109"/>
    <xf numFmtId="171" fontId="51" fillId="0" borderId="109"/>
    <xf numFmtId="0" fontId="11" fillId="22" borderId="106" applyNumberFormat="0" applyAlignment="0" applyProtection="0"/>
    <xf numFmtId="0" fontId="18" fillId="9" borderId="106" applyNumberFormat="0" applyAlignment="0" applyProtection="0"/>
    <xf numFmtId="0" fontId="23" fillId="0" borderId="111" applyNumberFormat="0" applyFill="0" applyAlignment="0" applyProtection="0"/>
    <xf numFmtId="179" fontId="51" fillId="0" borderId="109"/>
    <xf numFmtId="179" fontId="51" fillId="0" borderId="109"/>
    <xf numFmtId="174" fontId="51" fillId="0" borderId="109"/>
    <xf numFmtId="173" fontId="51" fillId="0" borderId="109"/>
    <xf numFmtId="0" fontId="8" fillId="25" borderId="99" applyNumberFormat="0" applyFont="0" applyAlignment="0" applyProtection="0"/>
    <xf numFmtId="174"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9" fontId="51" fillId="0" borderId="109"/>
    <xf numFmtId="174"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1" fillId="22" borderId="106" applyNumberFormat="0" applyAlignment="0" applyProtection="0"/>
    <xf numFmtId="0" fontId="11" fillId="22" borderId="106" applyNumberFormat="0" applyAlignment="0" applyProtection="0"/>
    <xf numFmtId="0" fontId="21" fillId="22" borderId="110"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0" fontId="18" fillId="9" borderId="106" applyNumberFormat="0" applyAlignment="0" applyProtection="0"/>
    <xf numFmtId="0" fontId="11" fillId="22" borderId="106" applyNumberFormat="0" applyAlignment="0" applyProtection="0"/>
    <xf numFmtId="176" fontId="51" fillId="0" borderId="109"/>
    <xf numFmtId="0" fontId="8" fillId="25" borderId="99" applyNumberFormat="0" applyFont="0" applyAlignment="0" applyProtection="0"/>
    <xf numFmtId="0" fontId="11" fillId="22" borderId="106" applyNumberFormat="0" applyAlignment="0" applyProtection="0"/>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0" fontId="18" fillId="9" borderId="106" applyNumberFormat="0" applyAlignment="0" applyProtection="0"/>
    <xf numFmtId="0" fontId="21" fillId="22" borderId="110" applyNumberFormat="0" applyAlignment="0" applyProtection="0"/>
    <xf numFmtId="0" fontId="21" fillId="22" borderId="110" applyNumberFormat="0" applyAlignment="0" applyProtection="0"/>
    <xf numFmtId="0" fontId="21" fillId="22" borderId="110" applyNumberFormat="0" applyAlignment="0" applyProtection="0"/>
    <xf numFmtId="0" fontId="21" fillId="22" borderId="110"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23" fillId="0" borderId="111" applyNumberFormat="0" applyFill="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79" fontId="51" fillId="0" borderId="109"/>
    <xf numFmtId="179" fontId="51" fillId="0" borderId="109"/>
    <xf numFmtId="180" fontId="51" fillId="0" borderId="109"/>
    <xf numFmtId="171" fontId="51" fillId="0" borderId="109"/>
    <xf numFmtId="174" fontId="51" fillId="0" borderId="109"/>
    <xf numFmtId="174" fontId="51" fillId="0" borderId="109"/>
    <xf numFmtId="176" fontId="51" fillId="0" borderId="109"/>
    <xf numFmtId="171"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17" fillId="0" borderId="105" applyNumberFormat="0" applyFill="0" applyAlignment="0" applyProtection="0"/>
    <xf numFmtId="0" fontId="11" fillId="22" borderId="106" applyNumberFormat="0" applyAlignment="0" applyProtection="0"/>
    <xf numFmtId="0" fontId="18" fillId="9" borderId="106" applyNumberFormat="0" applyAlignment="0" applyProtection="0"/>
    <xf numFmtId="0" fontId="11" fillId="22"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175" fontId="51" fillId="0" borderId="109"/>
    <xf numFmtId="179"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5" fontId="51" fillId="0" borderId="109"/>
    <xf numFmtId="179" fontId="51" fillId="0" borderId="109"/>
    <xf numFmtId="180" fontId="51" fillId="0" borderId="109"/>
    <xf numFmtId="181" fontId="51" fillId="0" borderId="109"/>
    <xf numFmtId="174" fontId="51" fillId="0" borderId="109"/>
    <xf numFmtId="0" fontId="17" fillId="0" borderId="105" applyNumberFormat="0" applyFill="0" applyAlignment="0" applyProtection="0"/>
    <xf numFmtId="171" fontId="51" fillId="0" borderId="109"/>
    <xf numFmtId="0" fontId="54" fillId="46" borderId="108">
      <protection locked="0"/>
    </xf>
    <xf numFmtId="0" fontId="11" fillId="22" borderId="106" applyNumberFormat="0" applyAlignment="0" applyProtection="0"/>
    <xf numFmtId="0" fontId="11" fillId="22" borderId="106" applyNumberFormat="0" applyAlignment="0" applyProtection="0"/>
    <xf numFmtId="181" fontId="51" fillId="0" borderId="109"/>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173" fontId="51" fillId="0" borderId="109"/>
    <xf numFmtId="0" fontId="18" fillId="9" borderId="106" applyNumberFormat="0" applyAlignment="0" applyProtection="0"/>
    <xf numFmtId="0" fontId="11" fillId="22" borderId="106" applyNumberFormat="0" applyAlignment="0" applyProtection="0"/>
    <xf numFmtId="0" fontId="17" fillId="0" borderId="105" applyNumberFormat="0" applyFill="0" applyAlignment="0" applyProtection="0"/>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172" fontId="51" fillId="0" borderId="109"/>
    <xf numFmtId="173" fontId="51" fillId="0" borderId="109"/>
    <xf numFmtId="0" fontId="18" fillId="9" borderId="106" applyNumberFormat="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176" fontId="51" fillId="0" borderId="109"/>
    <xf numFmtId="171" fontId="51" fillId="0" borderId="109"/>
    <xf numFmtId="172" fontId="51" fillId="0" borderId="109"/>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174" fontId="51" fillId="0" borderId="109"/>
    <xf numFmtId="179"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171" fontId="51" fillId="0" borderId="109"/>
    <xf numFmtId="179" fontId="51" fillId="0" borderId="109"/>
    <xf numFmtId="174" fontId="51" fillId="0" borderId="109"/>
    <xf numFmtId="174" fontId="51" fillId="0" borderId="109"/>
    <xf numFmtId="179" fontId="51" fillId="0" borderId="109"/>
    <xf numFmtId="171"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0" fontId="54" fillId="46" borderId="108">
      <protection locked="0"/>
    </xf>
    <xf numFmtId="171" fontId="51" fillId="0" borderId="109"/>
    <xf numFmtId="181" fontId="51" fillId="0" borderId="109"/>
    <xf numFmtId="174" fontId="51" fillId="0" borderId="109"/>
    <xf numFmtId="176" fontId="51" fillId="0" borderId="109"/>
    <xf numFmtId="173" fontId="51" fillId="0" borderId="109"/>
    <xf numFmtId="172" fontId="51" fillId="0" borderId="109"/>
    <xf numFmtId="179"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179" fontId="51" fillId="0" borderId="109"/>
    <xf numFmtId="180"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174" fontId="51" fillId="0" borderId="109"/>
    <xf numFmtId="179" fontId="51" fillId="0" borderId="109"/>
    <xf numFmtId="0" fontId="54" fillId="46" borderId="108">
      <protection locked="0"/>
    </xf>
    <xf numFmtId="0" fontId="54" fillId="46" borderId="108">
      <protection locked="0"/>
    </xf>
    <xf numFmtId="0" fontId="11" fillId="22" borderId="106" applyNumberFormat="0" applyAlignment="0" applyProtection="0"/>
    <xf numFmtId="174" fontId="51" fillId="0" borderId="109"/>
    <xf numFmtId="171" fontId="51" fillId="0" borderId="109"/>
    <xf numFmtId="174" fontId="51" fillId="0" borderId="109"/>
    <xf numFmtId="174" fontId="51" fillId="0" borderId="109"/>
    <xf numFmtId="0" fontId="21" fillId="22" borderId="110" applyNumberFormat="0" applyAlignment="0" applyProtection="0"/>
    <xf numFmtId="179" fontId="51" fillId="0" borderId="109"/>
    <xf numFmtId="174" fontId="51" fillId="0" borderId="109"/>
    <xf numFmtId="0" fontId="54" fillId="46" borderId="108">
      <protection locked="0"/>
    </xf>
    <xf numFmtId="0" fontId="21" fillId="22" borderId="110" applyNumberFormat="0" applyAlignment="0" applyProtection="0"/>
    <xf numFmtId="0" fontId="8" fillId="25" borderId="99" applyNumberFormat="0" applyFont="0" applyAlignment="0" applyProtection="0"/>
    <xf numFmtId="171" fontId="51" fillId="0" borderId="109"/>
    <xf numFmtId="0" fontId="8" fillId="25" borderId="99" applyNumberFormat="0" applyFont="0" applyAlignment="0" applyProtection="0"/>
    <xf numFmtId="173" fontId="51" fillId="0" borderId="109"/>
    <xf numFmtId="0" fontId="23" fillId="0" borderId="111" applyNumberFormat="0" applyFill="0" applyAlignment="0" applyProtection="0"/>
    <xf numFmtId="175" fontId="51" fillId="0" borderId="109"/>
    <xf numFmtId="174" fontId="51" fillId="0" borderId="109"/>
    <xf numFmtId="0" fontId="23" fillId="0" borderId="111" applyNumberFormat="0" applyFill="0" applyAlignment="0" applyProtection="0"/>
    <xf numFmtId="181" fontId="51" fillId="0" borderId="109"/>
    <xf numFmtId="174" fontId="51" fillId="0" borderId="109"/>
    <xf numFmtId="174" fontId="51" fillId="0" borderId="109"/>
    <xf numFmtId="0" fontId="18" fillId="9" borderId="106" applyNumberFormat="0" applyAlignment="0" applyProtection="0"/>
    <xf numFmtId="0" fontId="21" fillId="22" borderId="110" applyNumberFormat="0" applyAlignment="0" applyProtection="0"/>
    <xf numFmtId="171" fontId="51" fillId="0" borderId="109"/>
    <xf numFmtId="172" fontId="51" fillId="0" borderId="109"/>
    <xf numFmtId="176" fontId="51" fillId="0" borderId="109"/>
    <xf numFmtId="0" fontId="23" fillId="0" borderId="111" applyNumberFormat="0" applyFill="0" applyAlignment="0" applyProtection="0"/>
    <xf numFmtId="175" fontId="51" fillId="0" borderId="109"/>
    <xf numFmtId="171" fontId="51" fillId="0" borderId="109"/>
    <xf numFmtId="179" fontId="51" fillId="0" borderId="109"/>
    <xf numFmtId="0" fontId="18" fillId="9" borderId="106" applyNumberFormat="0" applyAlignment="0" applyProtection="0"/>
    <xf numFmtId="171" fontId="51" fillId="0" borderId="109"/>
    <xf numFmtId="0" fontId="21" fillId="22" borderId="110" applyNumberFormat="0" applyAlignment="0" applyProtection="0"/>
    <xf numFmtId="179" fontId="51" fillId="0" borderId="109"/>
    <xf numFmtId="171" fontId="51" fillId="0" borderId="109"/>
    <xf numFmtId="179" fontId="51" fillId="0" borderId="109"/>
    <xf numFmtId="174" fontId="51" fillId="0" borderId="109"/>
    <xf numFmtId="172" fontId="51" fillId="0" borderId="109"/>
    <xf numFmtId="171" fontId="51" fillId="0" borderId="109"/>
    <xf numFmtId="174" fontId="51" fillId="0" borderId="109"/>
    <xf numFmtId="173" fontId="51" fillId="0" borderId="109"/>
    <xf numFmtId="180" fontId="51" fillId="0" borderId="109"/>
    <xf numFmtId="179" fontId="51" fillId="0" borderId="109"/>
    <xf numFmtId="174" fontId="51" fillId="0" borderId="109"/>
    <xf numFmtId="171" fontId="51" fillId="0" borderId="109"/>
    <xf numFmtId="179" fontId="51" fillId="0" borderId="109"/>
    <xf numFmtId="174" fontId="51" fillId="0" borderId="109"/>
    <xf numFmtId="171" fontId="51" fillId="0" borderId="109"/>
    <xf numFmtId="179" fontId="51" fillId="0" borderId="109"/>
    <xf numFmtId="179" fontId="51" fillId="0" borderId="109"/>
    <xf numFmtId="180" fontId="51" fillId="0" borderId="109"/>
    <xf numFmtId="176" fontId="51" fillId="0" borderId="109"/>
    <xf numFmtId="171" fontId="51" fillId="0" borderId="109"/>
    <xf numFmtId="0" fontId="23" fillId="0" borderId="111" applyNumberFormat="0" applyFill="0" applyAlignment="0" applyProtection="0"/>
    <xf numFmtId="0" fontId="11" fillId="22" borderId="106" applyNumberFormat="0" applyAlignment="0" applyProtection="0"/>
    <xf numFmtId="171" fontId="51" fillId="0" borderId="109"/>
    <xf numFmtId="173" fontId="51" fillId="0" borderId="109"/>
    <xf numFmtId="171" fontId="51" fillId="0" borderId="109"/>
    <xf numFmtId="174" fontId="51" fillId="0" borderId="109"/>
    <xf numFmtId="179" fontId="51" fillId="0" borderId="109"/>
    <xf numFmtId="171" fontId="51" fillId="0" borderId="109"/>
    <xf numFmtId="0" fontId="18" fillId="9" borderId="106" applyNumberFormat="0" applyAlignment="0" applyProtection="0"/>
    <xf numFmtId="173" fontId="51" fillId="0" borderId="109"/>
    <xf numFmtId="0" fontId="11" fillId="22" borderId="106" applyNumberFormat="0" applyAlignment="0" applyProtection="0"/>
    <xf numFmtId="181" fontId="51" fillId="0" borderId="109"/>
    <xf numFmtId="171" fontId="51" fillId="0" borderId="109"/>
    <xf numFmtId="172" fontId="51" fillId="0" borderId="109"/>
    <xf numFmtId="174" fontId="51" fillId="0" borderId="109"/>
    <xf numFmtId="175" fontId="51" fillId="0" borderId="109"/>
    <xf numFmtId="174" fontId="51" fillId="0" borderId="109"/>
    <xf numFmtId="174" fontId="51" fillId="0" borderId="109"/>
    <xf numFmtId="0" fontId="11" fillId="22" borderId="106" applyNumberFormat="0" applyAlignment="0" applyProtection="0"/>
    <xf numFmtId="171" fontId="51" fillId="0" borderId="109"/>
    <xf numFmtId="174" fontId="51" fillId="0" borderId="109"/>
    <xf numFmtId="181" fontId="51" fillId="0" borderId="109"/>
    <xf numFmtId="171"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179" fontId="51" fillId="0" borderId="109"/>
    <xf numFmtId="171" fontId="51" fillId="0" borderId="109"/>
    <xf numFmtId="179" fontId="51" fillId="0" borderId="109"/>
    <xf numFmtId="179" fontId="51" fillId="0" borderId="109"/>
    <xf numFmtId="0" fontId="54" fillId="46" borderId="108">
      <protection locked="0"/>
    </xf>
    <xf numFmtId="0" fontId="8" fillId="25" borderId="99" applyNumberFormat="0" applyFont="0" applyAlignment="0" applyProtection="0"/>
    <xf numFmtId="179" fontId="51" fillId="0" borderId="109"/>
    <xf numFmtId="176" fontId="51" fillId="0" borderId="109"/>
    <xf numFmtId="171" fontId="51" fillId="0" borderId="109"/>
    <xf numFmtId="0" fontId="11" fillId="22" borderId="106" applyNumberFormat="0" applyAlignment="0" applyProtection="0"/>
    <xf numFmtId="0" fontId="17" fillId="0" borderId="105" applyNumberFormat="0" applyFill="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0" fontId="21" fillId="22" borderId="110" applyNumberFormat="0" applyAlignment="0" applyProtection="0"/>
    <xf numFmtId="174" fontId="51" fillId="0" borderId="109"/>
    <xf numFmtId="174" fontId="51" fillId="0" borderId="109"/>
    <xf numFmtId="172" fontId="51" fillId="0" borderId="109"/>
    <xf numFmtId="174" fontId="51" fillId="0" borderId="109"/>
    <xf numFmtId="179" fontId="51" fillId="0" borderId="109"/>
    <xf numFmtId="179" fontId="51" fillId="0" borderId="109"/>
    <xf numFmtId="171" fontId="51" fillId="0" borderId="109"/>
    <xf numFmtId="174" fontId="51" fillId="0" borderId="109"/>
    <xf numFmtId="179" fontId="51" fillId="0" borderId="109"/>
    <xf numFmtId="171" fontId="51" fillId="0" borderId="109"/>
    <xf numFmtId="173" fontId="51" fillId="0" borderId="109"/>
    <xf numFmtId="179" fontId="51" fillId="0" borderId="109"/>
    <xf numFmtId="0" fontId="23" fillId="0" borderId="111" applyNumberFormat="0" applyFill="0" applyAlignment="0" applyProtection="0"/>
    <xf numFmtId="174" fontId="51" fillId="0" borderId="109"/>
    <xf numFmtId="174" fontId="51" fillId="0" borderId="109"/>
    <xf numFmtId="179" fontId="51" fillId="0" borderId="109"/>
    <xf numFmtId="171" fontId="51" fillId="0" borderId="109"/>
    <xf numFmtId="0" fontId="18" fillId="9" borderId="106" applyNumberFormat="0" applyAlignment="0" applyProtection="0"/>
    <xf numFmtId="176" fontId="51" fillId="0" borderId="109"/>
    <xf numFmtId="175" fontId="51" fillId="0" borderId="109"/>
    <xf numFmtId="180" fontId="51" fillId="0" borderId="109"/>
    <xf numFmtId="175" fontId="51" fillId="0" borderId="109"/>
    <xf numFmtId="180" fontId="51" fillId="0" borderId="109"/>
    <xf numFmtId="172" fontId="51" fillId="0" borderId="109"/>
    <xf numFmtId="0" fontId="54" fillId="46" borderId="108">
      <protection locked="0"/>
    </xf>
    <xf numFmtId="180" fontId="51" fillId="0" borderId="109"/>
    <xf numFmtId="181" fontId="51" fillId="0" borderId="109"/>
    <xf numFmtId="0" fontId="54" fillId="46" borderId="108">
      <protection locked="0"/>
    </xf>
    <xf numFmtId="174" fontId="51" fillId="0" borderId="109"/>
    <xf numFmtId="181" fontId="51" fillId="0" borderId="109"/>
    <xf numFmtId="0" fontId="17" fillId="0" borderId="105" applyNumberFormat="0" applyFill="0" applyAlignment="0" applyProtection="0"/>
    <xf numFmtId="176" fontId="51" fillId="0" borderId="109"/>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9" fontId="51" fillId="0" borderId="109"/>
    <xf numFmtId="171" fontId="51" fillId="0" borderId="109"/>
    <xf numFmtId="174" fontId="51" fillId="0" borderId="109"/>
    <xf numFmtId="179" fontId="51" fillId="0" borderId="109"/>
    <xf numFmtId="179" fontId="51" fillId="0" borderId="109"/>
    <xf numFmtId="179" fontId="51" fillId="0" borderId="109"/>
    <xf numFmtId="174" fontId="51" fillId="0" borderId="109"/>
    <xf numFmtId="179" fontId="51" fillId="0" borderId="109"/>
    <xf numFmtId="179" fontId="51" fillId="0" borderId="109"/>
    <xf numFmtId="174" fontId="51" fillId="0" borderId="109"/>
    <xf numFmtId="174" fontId="51" fillId="0" borderId="109"/>
    <xf numFmtId="0" fontId="21" fillId="22" borderId="110" applyNumberFormat="0" applyAlignment="0" applyProtection="0"/>
    <xf numFmtId="174" fontId="51" fillId="0" borderId="109"/>
    <xf numFmtId="0" fontId="23" fillId="0" borderId="111" applyNumberFormat="0" applyFill="0" applyAlignment="0" applyProtection="0"/>
    <xf numFmtId="171" fontId="51" fillId="0" borderId="109"/>
    <xf numFmtId="171" fontId="51" fillId="0" borderId="109"/>
    <xf numFmtId="174" fontId="51" fillId="0" borderId="109"/>
    <xf numFmtId="175" fontId="51" fillId="0" borderId="109"/>
    <xf numFmtId="0" fontId="18" fillId="9" borderId="106" applyNumberFormat="0" applyAlignment="0" applyProtection="0"/>
    <xf numFmtId="171" fontId="51" fillId="0" borderId="109"/>
    <xf numFmtId="0" fontId="21" fillId="22" borderId="110" applyNumberFormat="0" applyAlignment="0" applyProtection="0"/>
    <xf numFmtId="173" fontId="51" fillId="0" borderId="109"/>
    <xf numFmtId="171" fontId="51" fillId="0" borderId="109"/>
    <xf numFmtId="0" fontId="18" fillId="9" borderId="106" applyNumberFormat="0" applyAlignment="0" applyProtection="0"/>
    <xf numFmtId="176" fontId="51" fillId="0" borderId="109"/>
    <xf numFmtId="0" fontId="11" fillId="22" borderId="106" applyNumberFormat="0" applyAlignment="0" applyProtection="0"/>
    <xf numFmtId="171" fontId="51" fillId="0" borderId="109"/>
    <xf numFmtId="171" fontId="51" fillId="0" borderId="109"/>
    <xf numFmtId="179" fontId="51" fillId="0" borderId="109"/>
    <xf numFmtId="0" fontId="54" fillId="46" borderId="108">
      <protection locked="0"/>
    </xf>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5" fontId="51" fillId="0" borderId="109"/>
    <xf numFmtId="179" fontId="51" fillId="0" borderId="109"/>
    <xf numFmtId="171" fontId="51" fillId="0" borderId="109"/>
    <xf numFmtId="171" fontId="51" fillId="0" borderId="109"/>
    <xf numFmtId="0" fontId="23" fillId="0" borderId="111" applyNumberFormat="0" applyFill="0" applyAlignment="0" applyProtection="0"/>
    <xf numFmtId="179" fontId="51" fillId="0" borderId="109"/>
    <xf numFmtId="171" fontId="51" fillId="0" borderId="109"/>
    <xf numFmtId="171" fontId="51" fillId="0" borderId="109"/>
    <xf numFmtId="179" fontId="51" fillId="0" borderId="109"/>
    <xf numFmtId="174" fontId="51" fillId="0" borderId="109"/>
    <xf numFmtId="174" fontId="51" fillId="0" borderId="109"/>
    <xf numFmtId="179" fontId="51" fillId="0" borderId="109"/>
    <xf numFmtId="179" fontId="51" fillId="0" borderId="109"/>
    <xf numFmtId="179" fontId="51" fillId="0" borderId="109"/>
    <xf numFmtId="171" fontId="51" fillId="0" borderId="109"/>
    <xf numFmtId="173" fontId="51" fillId="0" borderId="109"/>
    <xf numFmtId="171" fontId="51" fillId="0" borderId="109"/>
    <xf numFmtId="179" fontId="51" fillId="0" borderId="109"/>
    <xf numFmtId="0" fontId="18" fillId="9" borderId="106" applyNumberFormat="0" applyAlignment="0" applyProtection="0"/>
    <xf numFmtId="179" fontId="51" fillId="0" borderId="109"/>
    <xf numFmtId="179" fontId="51" fillId="0" borderId="109"/>
    <xf numFmtId="0" fontId="23" fillId="0" borderId="111" applyNumberFormat="0" applyFill="0" applyAlignment="0" applyProtection="0"/>
    <xf numFmtId="171" fontId="51" fillId="0" borderId="109"/>
    <xf numFmtId="0" fontId="8" fillId="25" borderId="99" applyNumberFormat="0" applyFont="0" applyAlignment="0" applyProtection="0"/>
    <xf numFmtId="0" fontId="18" fillId="9" borderId="106" applyNumberFormat="0" applyAlignment="0" applyProtection="0"/>
    <xf numFmtId="171" fontId="51" fillId="0" borderId="109"/>
    <xf numFmtId="179" fontId="51" fillId="0" borderId="109"/>
    <xf numFmtId="0" fontId="8" fillId="25" borderId="99" applyNumberFormat="0" applyFont="0" applyAlignment="0" applyProtection="0"/>
    <xf numFmtId="0" fontId="11" fillId="22" borderId="106" applyNumberFormat="0" applyAlignment="0" applyProtection="0"/>
    <xf numFmtId="171" fontId="51" fillId="0" borderId="109"/>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1" fontId="51" fillId="0" borderId="109"/>
    <xf numFmtId="180" fontId="51" fillId="0" borderId="109"/>
    <xf numFmtId="174" fontId="51" fillId="0" borderId="109"/>
    <xf numFmtId="174" fontId="51" fillId="0" borderId="109"/>
    <xf numFmtId="173" fontId="51" fillId="0" borderId="109"/>
    <xf numFmtId="179" fontId="51" fillId="0" borderId="109"/>
    <xf numFmtId="172" fontId="51" fillId="0" borderId="109"/>
    <xf numFmtId="0" fontId="21" fillId="22" borderId="110" applyNumberFormat="0" applyAlignment="0" applyProtection="0"/>
    <xf numFmtId="171" fontId="51" fillId="0" borderId="109"/>
    <xf numFmtId="174" fontId="51" fillId="0" borderId="109"/>
    <xf numFmtId="179" fontId="51" fillId="0" borderId="109"/>
    <xf numFmtId="0" fontId="11" fillId="22" borderId="106" applyNumberFormat="0" applyAlignment="0" applyProtection="0"/>
    <xf numFmtId="174" fontId="51" fillId="0" borderId="109"/>
    <xf numFmtId="175" fontId="51" fillId="0" borderId="109"/>
    <xf numFmtId="174" fontId="51" fillId="0" borderId="109"/>
    <xf numFmtId="181" fontId="51" fillId="0" borderId="109"/>
    <xf numFmtId="0" fontId="17" fillId="0" borderId="105" applyNumberFormat="0" applyFill="0" applyAlignment="0" applyProtection="0"/>
    <xf numFmtId="176" fontId="51" fillId="0" borderId="109"/>
    <xf numFmtId="172" fontId="51" fillId="0" borderId="109"/>
    <xf numFmtId="179" fontId="51" fillId="0" borderId="109"/>
    <xf numFmtId="180" fontId="51" fillId="0" borderId="109"/>
    <xf numFmtId="181" fontId="51" fillId="0" borderId="109"/>
    <xf numFmtId="0" fontId="54" fillId="46" borderId="108">
      <protection locked="0"/>
    </xf>
    <xf numFmtId="0" fontId="17" fillId="0" borderId="105"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4" fontId="51" fillId="0" borderId="109"/>
    <xf numFmtId="174" fontId="51" fillId="0" borderId="109"/>
    <xf numFmtId="174" fontId="51" fillId="0" borderId="109"/>
    <xf numFmtId="171" fontId="51" fillId="0" borderId="109"/>
    <xf numFmtId="0" fontId="18" fillId="9" borderId="106" applyNumberFormat="0" applyAlignment="0" applyProtection="0"/>
    <xf numFmtId="174" fontId="51" fillId="0" borderId="109"/>
    <xf numFmtId="171" fontId="51" fillId="0" borderId="109"/>
    <xf numFmtId="179" fontId="51" fillId="0" borderId="109"/>
    <xf numFmtId="173" fontId="51" fillId="0" borderId="109"/>
    <xf numFmtId="173" fontId="51" fillId="0" borderId="109"/>
    <xf numFmtId="171" fontId="51" fillId="0" borderId="109"/>
    <xf numFmtId="173" fontId="51" fillId="0" borderId="109"/>
    <xf numFmtId="174" fontId="51" fillId="0" borderId="109"/>
    <xf numFmtId="176" fontId="51" fillId="0" borderId="109"/>
    <xf numFmtId="171" fontId="51" fillId="0" borderId="109"/>
    <xf numFmtId="0" fontId="11" fillId="22" borderId="106" applyNumberFormat="0" applyAlignment="0" applyProtection="0"/>
    <xf numFmtId="179" fontId="51" fillId="0" borderId="109"/>
    <xf numFmtId="179" fontId="51" fillId="0" borderId="109"/>
    <xf numFmtId="179" fontId="51" fillId="0" borderId="109"/>
    <xf numFmtId="171" fontId="51" fillId="0" borderId="109"/>
    <xf numFmtId="0" fontId="8" fillId="25" borderId="99" applyNumberFormat="0" applyFont="0" applyAlignment="0" applyProtection="0"/>
    <xf numFmtId="171" fontId="51" fillId="0" borderId="109"/>
    <xf numFmtId="180" fontId="51" fillId="0" borderId="109"/>
    <xf numFmtId="174" fontId="51" fillId="0" borderId="109"/>
    <xf numFmtId="175" fontId="51" fillId="0" borderId="109"/>
    <xf numFmtId="0" fontId="18" fillId="9" borderId="106" applyNumberFormat="0" applyAlignment="0" applyProtection="0"/>
    <xf numFmtId="171" fontId="51" fillId="0" borderId="109"/>
    <xf numFmtId="179" fontId="51" fillId="0" borderId="109"/>
    <xf numFmtId="174" fontId="51" fillId="0" borderId="109"/>
    <xf numFmtId="179" fontId="51" fillId="0" borderId="109"/>
    <xf numFmtId="171" fontId="51" fillId="0" borderId="109"/>
    <xf numFmtId="179" fontId="51" fillId="0" borderId="109"/>
    <xf numFmtId="174" fontId="51" fillId="0" borderId="109"/>
    <xf numFmtId="174" fontId="51" fillId="0" borderId="109"/>
    <xf numFmtId="171" fontId="51" fillId="0" borderId="109"/>
    <xf numFmtId="174" fontId="51" fillId="0" borderId="109"/>
    <xf numFmtId="175" fontId="51" fillId="0" borderId="109"/>
    <xf numFmtId="174" fontId="51" fillId="0" borderId="109"/>
    <xf numFmtId="179" fontId="51" fillId="0" borderId="109"/>
    <xf numFmtId="179" fontId="51" fillId="0" borderId="109"/>
    <xf numFmtId="171" fontId="51" fillId="0" borderId="109"/>
    <xf numFmtId="0" fontId="21" fillId="22" borderId="110" applyNumberFormat="0" applyAlignment="0" applyProtection="0"/>
    <xf numFmtId="172" fontId="51" fillId="0" borderId="109"/>
    <xf numFmtId="0" fontId="23" fillId="0" borderId="111" applyNumberFormat="0" applyFill="0" applyAlignment="0" applyProtection="0"/>
    <xf numFmtId="0" fontId="8" fillId="25" borderId="99" applyNumberFormat="0" applyFont="0" applyAlignment="0" applyProtection="0"/>
    <xf numFmtId="174" fontId="51" fillId="0" borderId="109"/>
    <xf numFmtId="0" fontId="54" fillId="46" borderId="108">
      <protection locked="0"/>
    </xf>
    <xf numFmtId="175" fontId="51" fillId="0" borderId="109"/>
    <xf numFmtId="0" fontId="23" fillId="0" borderId="111" applyNumberFormat="0" applyFill="0" applyAlignment="0" applyProtection="0"/>
    <xf numFmtId="174" fontId="51" fillId="0" borderId="109"/>
    <xf numFmtId="0" fontId="21" fillId="22" borderId="110" applyNumberFormat="0" applyAlignment="0" applyProtection="0"/>
    <xf numFmtId="171" fontId="51" fillId="0" borderId="109"/>
    <xf numFmtId="181" fontId="51" fillId="0" borderId="109"/>
    <xf numFmtId="171" fontId="51" fillId="0" borderId="109"/>
    <xf numFmtId="179" fontId="51" fillId="0" borderId="109"/>
    <xf numFmtId="0" fontId="11" fillId="22" borderId="106" applyNumberFormat="0" applyAlignment="0" applyProtection="0"/>
    <xf numFmtId="174" fontId="51" fillId="0" borderId="109"/>
    <xf numFmtId="180" fontId="51" fillId="0" borderId="109"/>
    <xf numFmtId="174" fontId="51" fillId="0" borderId="109"/>
    <xf numFmtId="171" fontId="51" fillId="0" borderId="109"/>
    <xf numFmtId="174" fontId="51" fillId="0" borderId="109"/>
    <xf numFmtId="172" fontId="51" fillId="0" borderId="109"/>
    <xf numFmtId="179" fontId="51" fillId="0" borderId="109"/>
    <xf numFmtId="176" fontId="51" fillId="0" borderId="109"/>
    <xf numFmtId="174" fontId="51" fillId="0" borderId="109"/>
    <xf numFmtId="172" fontId="51" fillId="0" borderId="109"/>
    <xf numFmtId="171" fontId="51" fillId="0" borderId="109"/>
    <xf numFmtId="180" fontId="51" fillId="0" borderId="109"/>
    <xf numFmtId="181" fontId="51" fillId="0" borderId="109"/>
    <xf numFmtId="0" fontId="54" fillId="46" borderId="108">
      <protection locked="0"/>
    </xf>
    <xf numFmtId="179" fontId="51" fillId="0" borderId="109"/>
    <xf numFmtId="179" fontId="51" fillId="0" borderId="109"/>
    <xf numFmtId="179" fontId="51" fillId="0" borderId="109"/>
    <xf numFmtId="171" fontId="51" fillId="0" borderId="109"/>
    <xf numFmtId="179" fontId="51" fillId="0" borderId="109"/>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81" fontId="51" fillId="0" borderId="109"/>
    <xf numFmtId="171" fontId="51" fillId="0" borderId="109"/>
    <xf numFmtId="174" fontId="51" fillId="0" borderId="109"/>
    <xf numFmtId="179" fontId="51" fillId="0" borderId="109"/>
    <xf numFmtId="171" fontId="51" fillId="0" borderId="109"/>
    <xf numFmtId="0" fontId="8" fillId="25" borderId="99" applyNumberFormat="0" applyFont="0" applyAlignment="0" applyProtection="0"/>
    <xf numFmtId="174" fontId="51" fillId="0" borderId="109"/>
    <xf numFmtId="176" fontId="51" fillId="0" borderId="109"/>
    <xf numFmtId="179" fontId="51" fillId="0" borderId="109"/>
    <xf numFmtId="171" fontId="51" fillId="0" borderId="109"/>
    <xf numFmtId="174"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4" fontId="51" fillId="0" borderId="109"/>
    <xf numFmtId="179" fontId="51" fillId="0" borderId="109"/>
    <xf numFmtId="171" fontId="51" fillId="0" borderId="109"/>
    <xf numFmtId="179" fontId="51" fillId="0" borderId="109"/>
    <xf numFmtId="179" fontId="51" fillId="0" borderId="109"/>
    <xf numFmtId="174" fontId="51" fillId="0" borderId="109"/>
    <xf numFmtId="174" fontId="51" fillId="0" borderId="109"/>
    <xf numFmtId="171" fontId="51" fillId="0" borderId="109"/>
    <xf numFmtId="171" fontId="51" fillId="0" borderId="109"/>
    <xf numFmtId="17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4" fontId="51" fillId="0" borderId="109"/>
    <xf numFmtId="0" fontId="54" fillId="46" borderId="108">
      <protection locked="0"/>
    </xf>
    <xf numFmtId="181" fontId="51" fillId="0" borderId="109"/>
    <xf numFmtId="171" fontId="51" fillId="0" borderId="109"/>
    <xf numFmtId="0" fontId="11" fillId="22" borderId="106" applyNumberFormat="0" applyAlignment="0" applyProtection="0"/>
    <xf numFmtId="0" fontId="18" fillId="9" borderId="106" applyNumberFormat="0" applyAlignment="0" applyProtection="0"/>
    <xf numFmtId="181" fontId="51" fillId="0" borderId="109"/>
    <xf numFmtId="180" fontId="51" fillId="0" borderId="109"/>
    <xf numFmtId="179" fontId="51" fillId="0" borderId="109"/>
    <xf numFmtId="171" fontId="51" fillId="0" borderId="109"/>
    <xf numFmtId="175" fontId="51" fillId="0" borderId="109"/>
    <xf numFmtId="176" fontId="51" fillId="0" borderId="109"/>
    <xf numFmtId="175" fontId="51" fillId="0" borderId="109"/>
    <xf numFmtId="174" fontId="51" fillId="0" borderId="109"/>
    <xf numFmtId="176" fontId="51" fillId="0" borderId="109"/>
    <xf numFmtId="180" fontId="51" fillId="0" borderId="109"/>
    <xf numFmtId="173" fontId="51" fillId="0" borderId="109"/>
    <xf numFmtId="0" fontId="11" fillId="22" borderId="106" applyNumberFormat="0" applyAlignment="0" applyProtection="0"/>
    <xf numFmtId="172" fontId="51" fillId="0" borderId="109"/>
    <xf numFmtId="179" fontId="51" fillId="0" borderId="109"/>
    <xf numFmtId="176" fontId="51" fillId="0" borderId="109"/>
    <xf numFmtId="174" fontId="51" fillId="0" borderId="109"/>
    <xf numFmtId="171" fontId="51" fillId="0" borderId="109"/>
    <xf numFmtId="0" fontId="21" fillId="22" borderId="110" applyNumberFormat="0" applyAlignment="0" applyProtection="0"/>
    <xf numFmtId="0" fontId="23" fillId="0" borderId="111" applyNumberFormat="0" applyFill="0" applyAlignment="0" applyProtection="0"/>
    <xf numFmtId="180" fontId="51" fillId="0" borderId="109"/>
    <xf numFmtId="175" fontId="51" fillId="0" borderId="109"/>
    <xf numFmtId="173" fontId="51" fillId="0" borderId="109"/>
    <xf numFmtId="172" fontId="51" fillId="0" borderId="109"/>
    <xf numFmtId="171" fontId="51" fillId="0" borderId="109"/>
    <xf numFmtId="181"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11" fillId="22" borderId="106" applyNumberFormat="0" applyAlignment="0" applyProtection="0"/>
    <xf numFmtId="0" fontId="54" fillId="46" borderId="108">
      <protection locked="0"/>
    </xf>
    <xf numFmtId="0" fontId="11" fillId="22" borderId="106" applyNumberFormat="0" applyAlignment="0" applyProtection="0"/>
    <xf numFmtId="0" fontId="21" fillId="22" borderId="110" applyNumberFormat="0" applyAlignment="0" applyProtection="0"/>
    <xf numFmtId="0" fontId="54" fillId="46" borderId="108">
      <protection locked="0"/>
    </xf>
    <xf numFmtId="173" fontId="51" fillId="0" borderId="109"/>
    <xf numFmtId="172"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23" fillId="0" borderId="111" applyNumberFormat="0" applyFill="0" applyAlignment="0" applyProtection="0"/>
    <xf numFmtId="171" fontId="51" fillId="0" borderId="109"/>
    <xf numFmtId="172"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9" fontId="51" fillId="0" borderId="109"/>
    <xf numFmtId="0" fontId="8" fillId="25" borderId="99" applyNumberFormat="0" applyFont="0" applyAlignment="0" applyProtection="0"/>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1" fontId="51" fillId="0" borderId="109"/>
    <xf numFmtId="179" fontId="51" fillId="0" borderId="109"/>
    <xf numFmtId="0" fontId="11" fillId="22" borderId="106" applyNumberFormat="0" applyAlignment="0" applyProtection="0"/>
    <xf numFmtId="0" fontId="54" fillId="46" borderId="108">
      <protection locked="0"/>
    </xf>
    <xf numFmtId="181" fontId="51" fillId="0" borderId="109"/>
    <xf numFmtId="171" fontId="51" fillId="0" borderId="109"/>
    <xf numFmtId="0" fontId="23" fillId="0" borderId="111" applyNumberFormat="0" applyFill="0" applyAlignment="0" applyProtection="0"/>
    <xf numFmtId="179" fontId="51" fillId="0" borderId="109"/>
    <xf numFmtId="0" fontId="54" fillId="46" borderId="108">
      <protection locked="0"/>
    </xf>
    <xf numFmtId="0" fontId="11" fillId="22" borderId="106" applyNumberFormat="0" applyAlignment="0" applyProtection="0"/>
    <xf numFmtId="171" fontId="51" fillId="0" borderId="109"/>
    <xf numFmtId="171" fontId="51" fillId="0" borderId="109"/>
    <xf numFmtId="0" fontId="18" fillId="9" borderId="106" applyNumberFormat="0" applyAlignment="0" applyProtection="0"/>
    <xf numFmtId="172" fontId="51" fillId="0" borderId="109"/>
    <xf numFmtId="171" fontId="51" fillId="0" borderId="109"/>
    <xf numFmtId="174" fontId="51" fillId="0" borderId="109"/>
    <xf numFmtId="171" fontId="51" fillId="0" borderId="109"/>
    <xf numFmtId="174" fontId="51" fillId="0" borderId="109"/>
    <xf numFmtId="175" fontId="51" fillId="0" borderId="109"/>
    <xf numFmtId="176" fontId="51" fillId="0" borderId="109"/>
    <xf numFmtId="0" fontId="8" fillId="25" borderId="99" applyNumberFormat="0" applyFont="0" applyAlignment="0" applyProtection="0"/>
    <xf numFmtId="174" fontId="51" fillId="0" borderId="109"/>
    <xf numFmtId="179" fontId="51" fillId="0" borderId="109"/>
    <xf numFmtId="171" fontId="51" fillId="0" borderId="109"/>
    <xf numFmtId="180" fontId="51" fillId="0" borderId="109"/>
    <xf numFmtId="181" fontId="51" fillId="0" borderId="109"/>
    <xf numFmtId="0" fontId="18" fillId="9" borderId="106" applyNumberFormat="0" applyAlignment="0" applyProtection="0"/>
    <xf numFmtId="179" fontId="51" fillId="0" borderId="109"/>
    <xf numFmtId="179" fontId="51" fillId="0" borderId="109"/>
    <xf numFmtId="174" fontId="51" fillId="0" borderId="109"/>
    <xf numFmtId="171" fontId="51" fillId="0" borderId="109"/>
    <xf numFmtId="175" fontId="51" fillId="0" borderId="109"/>
    <xf numFmtId="171" fontId="51" fillId="0" borderId="109"/>
    <xf numFmtId="171" fontId="51" fillId="0" borderId="109"/>
    <xf numFmtId="174" fontId="51" fillId="0" borderId="109"/>
    <xf numFmtId="174" fontId="51" fillId="0" borderId="109"/>
    <xf numFmtId="171" fontId="51" fillId="0" borderId="109"/>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8" fillId="25" borderId="99" applyNumberFormat="0" applyFont="0" applyAlignment="0" applyProtection="0"/>
    <xf numFmtId="173" fontId="51" fillId="0" borderId="109"/>
    <xf numFmtId="174" fontId="51" fillId="0" borderId="109"/>
    <xf numFmtId="179" fontId="51" fillId="0" borderId="109"/>
    <xf numFmtId="0" fontId="11" fillId="22" borderId="106" applyNumberFormat="0" applyAlignment="0" applyProtection="0"/>
    <xf numFmtId="173" fontId="51" fillId="0" borderId="109"/>
    <xf numFmtId="172" fontId="51" fillId="0" borderId="109"/>
    <xf numFmtId="0" fontId="21" fillId="22" borderId="110" applyNumberFormat="0" applyAlignment="0" applyProtection="0"/>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3" fontId="51" fillId="0" borderId="109"/>
    <xf numFmtId="175" fontId="51" fillId="0" borderId="109"/>
    <xf numFmtId="176"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80" fontId="51" fillId="0" borderId="109"/>
    <xf numFmtId="174" fontId="51" fillId="0" borderId="109"/>
    <xf numFmtId="179"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174" fontId="51" fillId="0" borderId="109"/>
    <xf numFmtId="179" fontId="51" fillId="0" borderId="109"/>
    <xf numFmtId="174" fontId="51" fillId="0" borderId="109"/>
    <xf numFmtId="171" fontId="51" fillId="0" borderId="109"/>
    <xf numFmtId="179" fontId="51" fillId="0" borderId="109"/>
    <xf numFmtId="174" fontId="51" fillId="0" borderId="109"/>
    <xf numFmtId="179" fontId="51" fillId="0" borderId="109"/>
    <xf numFmtId="171" fontId="51" fillId="0" borderId="109"/>
    <xf numFmtId="171" fontId="51" fillId="0" borderId="109"/>
    <xf numFmtId="179"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6" fontId="51" fillId="0" borderId="109"/>
    <xf numFmtId="0" fontId="11" fillId="22" borderId="106" applyNumberFormat="0" applyAlignment="0" applyProtection="0"/>
    <xf numFmtId="180" fontId="51" fillId="0" borderId="109"/>
    <xf numFmtId="179" fontId="51" fillId="0" borderId="109"/>
    <xf numFmtId="171" fontId="51" fillId="0" borderId="109"/>
    <xf numFmtId="171" fontId="51" fillId="0" borderId="109"/>
    <xf numFmtId="174" fontId="51" fillId="0" borderId="109"/>
    <xf numFmtId="174" fontId="51" fillId="0" borderId="109"/>
    <xf numFmtId="171" fontId="51" fillId="0" borderId="109"/>
    <xf numFmtId="0" fontId="23" fillId="0" borderId="111" applyNumberFormat="0" applyFill="0" applyAlignment="0" applyProtection="0"/>
    <xf numFmtId="174" fontId="51" fillId="0" borderId="109"/>
    <xf numFmtId="0" fontId="18" fillId="9" borderId="106" applyNumberFormat="0" applyAlignment="0" applyProtection="0"/>
    <xf numFmtId="0" fontId="21" fillId="22" borderId="110" applyNumberFormat="0" applyAlignment="0" applyProtection="0"/>
    <xf numFmtId="0" fontId="8" fillId="25" borderId="99" applyNumberFormat="0" applyFont="0" applyAlignment="0" applyProtection="0"/>
    <xf numFmtId="0" fontId="54" fillId="46" borderId="108">
      <protection locked="0"/>
    </xf>
    <xf numFmtId="179" fontId="51" fillId="0" borderId="109"/>
    <xf numFmtId="0" fontId="11" fillId="22" borderId="106" applyNumberFormat="0" applyAlignment="0" applyProtection="0"/>
    <xf numFmtId="0" fontId="18" fillId="9" borderId="106" applyNumberFormat="0" applyAlignment="0" applyProtection="0"/>
    <xf numFmtId="174" fontId="51" fillId="0" borderId="109"/>
    <xf numFmtId="171" fontId="51" fillId="0" borderId="109"/>
    <xf numFmtId="179" fontId="51" fillId="0" borderId="109"/>
    <xf numFmtId="174" fontId="51" fillId="0" borderId="109"/>
    <xf numFmtId="171" fontId="51" fillId="0" borderId="109"/>
    <xf numFmtId="172" fontId="51" fillId="0" borderId="109"/>
    <xf numFmtId="171" fontId="51" fillId="0" borderId="109"/>
    <xf numFmtId="174" fontId="51" fillId="0" borderId="109"/>
    <xf numFmtId="179" fontId="51" fillId="0" borderId="109"/>
    <xf numFmtId="171" fontId="51" fillId="0" borderId="109"/>
    <xf numFmtId="179" fontId="51" fillId="0" borderId="109"/>
    <xf numFmtId="0" fontId="11" fillId="22" borderId="106" applyNumberFormat="0" applyAlignment="0" applyProtection="0"/>
    <xf numFmtId="181" fontId="51" fillId="0" borderId="109"/>
    <xf numFmtId="175" fontId="51" fillId="0" borderId="109"/>
    <xf numFmtId="179" fontId="51" fillId="0" borderId="109"/>
    <xf numFmtId="171" fontId="51" fillId="0" borderId="109"/>
    <xf numFmtId="0" fontId="11" fillId="22" borderId="106" applyNumberFormat="0" applyAlignment="0" applyProtection="0"/>
    <xf numFmtId="0" fontId="18" fillId="9" borderId="106" applyNumberFormat="0" applyAlignment="0" applyProtection="0"/>
    <xf numFmtId="0" fontId="23" fillId="0" borderId="111" applyNumberFormat="0" applyFill="0" applyAlignment="0" applyProtection="0"/>
    <xf numFmtId="179" fontId="51" fillId="0" borderId="109"/>
    <xf numFmtId="179" fontId="51" fillId="0" borderId="109"/>
    <xf numFmtId="174" fontId="51" fillId="0" borderId="109"/>
    <xf numFmtId="173" fontId="51" fillId="0" borderId="109"/>
    <xf numFmtId="0" fontId="8" fillId="25" borderId="99" applyNumberFormat="0" applyFont="0" applyAlignment="0" applyProtection="0"/>
    <xf numFmtId="174"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9" fontId="51" fillId="0" borderId="109"/>
    <xf numFmtId="174"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21" fillId="22" borderId="110" applyNumberFormat="0" applyAlignment="0" applyProtection="0"/>
    <xf numFmtId="0" fontId="21" fillId="22" borderId="110" applyNumberFormat="0" applyAlignment="0" applyProtection="0"/>
    <xf numFmtId="0" fontId="17" fillId="0" borderId="105" applyNumberFormat="0" applyFill="0" applyAlignment="0" applyProtection="0"/>
    <xf numFmtId="0" fontId="17" fillId="0" borderId="105" applyNumberFormat="0" applyFill="0" applyAlignment="0" applyProtection="0"/>
    <xf numFmtId="0" fontId="21" fillId="22" borderId="110" applyNumberFormat="0" applyAlignment="0" applyProtection="0"/>
    <xf numFmtId="0" fontId="18" fillId="9" borderId="106" applyNumberFormat="0" applyAlignment="0" applyProtection="0"/>
    <xf numFmtId="0" fontId="18" fillId="9" borderId="106"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171" fontId="51" fillId="0" borderId="109"/>
    <xf numFmtId="172" fontId="51" fillId="0" borderId="109"/>
    <xf numFmtId="173" fontId="51" fillId="0" borderId="109"/>
    <xf numFmtId="174" fontId="51" fillId="0" borderId="109"/>
    <xf numFmtId="0" fontId="8" fillId="25" borderId="99" applyNumberFormat="0" applyFont="0" applyAlignment="0" applyProtection="0"/>
    <xf numFmtId="0" fontId="8" fillId="25" borderId="99" applyNumberFormat="0" applyFont="0" applyAlignment="0" applyProtection="0"/>
    <xf numFmtId="0" fontId="21" fillId="22" borderId="110" applyNumberFormat="0" applyAlignment="0" applyProtection="0"/>
    <xf numFmtId="0" fontId="21" fillId="22" borderId="110" applyNumberFormat="0" applyAlignment="0" applyProtection="0"/>
    <xf numFmtId="179" fontId="51" fillId="0" borderId="109"/>
    <xf numFmtId="0" fontId="54" fillId="46" borderId="108">
      <protection locked="0"/>
    </xf>
    <xf numFmtId="0" fontId="54" fillId="46" borderId="108">
      <protection locked="0"/>
    </xf>
    <xf numFmtId="0" fontId="11" fillId="22" borderId="106" applyNumberFormat="0" applyAlignment="0" applyProtection="0"/>
    <xf numFmtId="179" fontId="51" fillId="0" borderId="109"/>
    <xf numFmtId="0" fontId="23" fillId="0" borderId="111" applyNumberFormat="0" applyFill="0" applyAlignment="0" applyProtection="0"/>
    <xf numFmtId="0" fontId="23" fillId="0" borderId="111" applyNumberFormat="0" applyFill="0" applyAlignment="0" applyProtection="0"/>
    <xf numFmtId="171" fontId="51" fillId="0" borderId="109"/>
    <xf numFmtId="171" fontId="51" fillId="0" borderId="109"/>
    <xf numFmtId="0" fontId="18" fillId="9" borderId="106" applyNumberFormat="0" applyAlignment="0" applyProtection="0"/>
    <xf numFmtId="179" fontId="51" fillId="0" borderId="109"/>
    <xf numFmtId="0" fontId="54" fillId="46" borderId="108">
      <protection locked="0"/>
    </xf>
    <xf numFmtId="0" fontId="17" fillId="0" borderId="105" applyNumberFormat="0" applyFill="0" applyAlignment="0" applyProtection="0"/>
    <xf numFmtId="175" fontId="51" fillId="0" borderId="109"/>
    <xf numFmtId="174" fontId="51" fillId="0" borderId="109"/>
    <xf numFmtId="174" fontId="51" fillId="0" borderId="109"/>
    <xf numFmtId="171" fontId="51" fillId="0" borderId="109"/>
    <xf numFmtId="171" fontId="51" fillId="0" borderId="109"/>
    <xf numFmtId="171" fontId="51" fillId="0" borderId="109"/>
    <xf numFmtId="0" fontId="11" fillId="22" borderId="106" applyNumberFormat="0" applyAlignment="0" applyProtection="0"/>
    <xf numFmtId="0" fontId="8" fillId="25" borderId="99" applyNumberFormat="0" applyFont="0" applyAlignment="0" applyProtection="0"/>
    <xf numFmtId="180" fontId="51" fillId="0" borderId="109"/>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0" fontId="18" fillId="9" borderId="106" applyNumberFormat="0" applyAlignment="0" applyProtection="0"/>
    <xf numFmtId="0" fontId="21" fillId="22" borderId="110" applyNumberFormat="0" applyAlignment="0" applyProtection="0"/>
    <xf numFmtId="0" fontId="21" fillId="22" borderId="110" applyNumberFormat="0" applyAlignment="0" applyProtection="0"/>
    <xf numFmtId="0" fontId="21" fillId="22" borderId="110" applyNumberFormat="0" applyAlignment="0" applyProtection="0"/>
    <xf numFmtId="0" fontId="21" fillId="22" borderId="110"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23" fillId="0" borderId="111" applyNumberFormat="0" applyFill="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79" fontId="51" fillId="0" borderId="109"/>
    <xf numFmtId="179" fontId="51" fillId="0" borderId="109"/>
    <xf numFmtId="180" fontId="51" fillId="0" borderId="109"/>
    <xf numFmtId="171" fontId="51" fillId="0" borderId="109"/>
    <xf numFmtId="174" fontId="51" fillId="0" borderId="109"/>
    <xf numFmtId="174" fontId="51" fillId="0" borderId="109"/>
    <xf numFmtId="176" fontId="51" fillId="0" borderId="109"/>
    <xf numFmtId="171"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17" fillId="0" borderId="105" applyNumberFormat="0" applyFill="0" applyAlignment="0" applyProtection="0"/>
    <xf numFmtId="0" fontId="11" fillId="22" borderId="106" applyNumberFormat="0" applyAlignment="0" applyProtection="0"/>
    <xf numFmtId="0" fontId="18" fillId="9" borderId="106" applyNumberFormat="0" applyAlignment="0" applyProtection="0"/>
    <xf numFmtId="0" fontId="11" fillId="22"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0" fontId="8" fillId="25" borderId="99" applyNumberFormat="0" applyFont="0" applyAlignment="0" applyProtection="0"/>
    <xf numFmtId="175" fontId="51" fillId="0" borderId="109"/>
    <xf numFmtId="179"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5" fontId="51" fillId="0" borderId="109"/>
    <xf numFmtId="179" fontId="51" fillId="0" borderId="109"/>
    <xf numFmtId="180" fontId="51" fillId="0" borderId="109"/>
    <xf numFmtId="181" fontId="51" fillId="0" borderId="109"/>
    <xf numFmtId="174" fontId="51" fillId="0" borderId="109"/>
    <xf numFmtId="0" fontId="17" fillId="0" borderId="105" applyNumberFormat="0" applyFill="0" applyAlignment="0" applyProtection="0"/>
    <xf numFmtId="171" fontId="51" fillId="0" borderId="109"/>
    <xf numFmtId="0" fontId="54" fillId="46" borderId="108">
      <protection locked="0"/>
    </xf>
    <xf numFmtId="0" fontId="11" fillId="22" borderId="106" applyNumberFormat="0" applyAlignment="0" applyProtection="0"/>
    <xf numFmtId="0" fontId="11" fillId="22" borderId="106" applyNumberFormat="0" applyAlignment="0" applyProtection="0"/>
    <xf numFmtId="181" fontId="51" fillId="0" borderId="109"/>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173" fontId="51" fillId="0" borderId="109"/>
    <xf numFmtId="0" fontId="18" fillId="9" borderId="106" applyNumberFormat="0" applyAlignment="0" applyProtection="0"/>
    <xf numFmtId="0" fontId="11" fillId="22" borderId="106" applyNumberFormat="0" applyAlignment="0" applyProtection="0"/>
    <xf numFmtId="0" fontId="17" fillId="0" borderId="105" applyNumberFormat="0" applyFill="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2" fontId="51" fillId="0" borderId="109"/>
    <xf numFmtId="173" fontId="51" fillId="0" borderId="109"/>
    <xf numFmtId="0" fontId="18" fillId="9" borderId="106" applyNumberFormat="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176" fontId="51" fillId="0" borderId="119"/>
    <xf numFmtId="0" fontId="21" fillId="22" borderId="110" applyNumberFormat="0" applyAlignment="0" applyProtection="0"/>
    <xf numFmtId="0" fontId="23" fillId="0" borderId="111" applyNumberFormat="0" applyFill="0" applyAlignment="0" applyProtection="0"/>
    <xf numFmtId="176" fontId="51" fillId="0" borderId="109"/>
    <xf numFmtId="171" fontId="51" fillId="0" borderId="109"/>
    <xf numFmtId="172" fontId="51" fillId="0" borderId="109"/>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174" fontId="51" fillId="0" borderId="109"/>
    <xf numFmtId="179"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171" fontId="51" fillId="0" borderId="109"/>
    <xf numFmtId="179" fontId="51" fillId="0" borderId="109"/>
    <xf numFmtId="174" fontId="51" fillId="0" borderId="109"/>
    <xf numFmtId="174" fontId="51" fillId="0" borderId="109"/>
    <xf numFmtId="179" fontId="51" fillId="0" borderId="109"/>
    <xf numFmtId="171"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0" fontId="54" fillId="46" borderId="108">
      <protection locked="0"/>
    </xf>
    <xf numFmtId="171" fontId="51" fillId="0" borderId="109"/>
    <xf numFmtId="181" fontId="51" fillId="0" borderId="109"/>
    <xf numFmtId="174" fontId="51" fillId="0" borderId="109"/>
    <xf numFmtId="176" fontId="51" fillId="0" borderId="109"/>
    <xf numFmtId="173" fontId="51" fillId="0" borderId="109"/>
    <xf numFmtId="172" fontId="51" fillId="0" borderId="109"/>
    <xf numFmtId="179"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179" fontId="51" fillId="0" borderId="109"/>
    <xf numFmtId="180"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174" fontId="51" fillId="0" borderId="109"/>
    <xf numFmtId="179" fontId="51" fillId="0" borderId="109"/>
    <xf numFmtId="0" fontId="54" fillId="46" borderId="108">
      <protection locked="0"/>
    </xf>
    <xf numFmtId="0" fontId="54" fillId="46" borderId="108">
      <protection locked="0"/>
    </xf>
    <xf numFmtId="0" fontId="11" fillId="22" borderId="106" applyNumberFormat="0" applyAlignment="0" applyProtection="0"/>
    <xf numFmtId="174" fontId="51" fillId="0" borderId="109"/>
    <xf numFmtId="171" fontId="51" fillId="0" borderId="109"/>
    <xf numFmtId="174" fontId="51" fillId="0" borderId="109"/>
    <xf numFmtId="174" fontId="51" fillId="0" borderId="109"/>
    <xf numFmtId="0" fontId="21" fillId="22" borderId="110" applyNumberFormat="0" applyAlignment="0" applyProtection="0"/>
    <xf numFmtId="179" fontId="51" fillId="0" borderId="109"/>
    <xf numFmtId="174" fontId="51" fillId="0" borderId="109"/>
    <xf numFmtId="0" fontId="54" fillId="46" borderId="108">
      <protection locked="0"/>
    </xf>
    <xf numFmtId="0" fontId="21" fillId="22" borderId="110" applyNumberFormat="0" applyAlignment="0" applyProtection="0"/>
    <xf numFmtId="0" fontId="8" fillId="25" borderId="99" applyNumberFormat="0" applyFont="0" applyAlignment="0" applyProtection="0"/>
    <xf numFmtId="171" fontId="51" fillId="0" borderId="109"/>
    <xf numFmtId="0" fontId="8" fillId="25" borderId="99" applyNumberFormat="0" applyFont="0" applyAlignment="0" applyProtection="0"/>
    <xf numFmtId="173" fontId="51" fillId="0" borderId="109"/>
    <xf numFmtId="0" fontId="23" fillId="0" borderId="111" applyNumberFormat="0" applyFill="0" applyAlignment="0" applyProtection="0"/>
    <xf numFmtId="175" fontId="51" fillId="0" borderId="109"/>
    <xf numFmtId="174" fontId="51" fillId="0" borderId="109"/>
    <xf numFmtId="0" fontId="23" fillId="0" borderId="111" applyNumberFormat="0" applyFill="0" applyAlignment="0" applyProtection="0"/>
    <xf numFmtId="181" fontId="51" fillId="0" borderId="109"/>
    <xf numFmtId="174" fontId="51" fillId="0" borderId="109"/>
    <xf numFmtId="174" fontId="51" fillId="0" borderId="109"/>
    <xf numFmtId="0" fontId="18" fillId="9" borderId="106" applyNumberFormat="0" applyAlignment="0" applyProtection="0"/>
    <xf numFmtId="0" fontId="21" fillId="22" borderId="110" applyNumberFormat="0" applyAlignment="0" applyProtection="0"/>
    <xf numFmtId="171" fontId="51" fillId="0" borderId="109"/>
    <xf numFmtId="0" fontId="18" fillId="9" borderId="114" applyNumberFormat="0" applyAlignment="0" applyProtection="0"/>
    <xf numFmtId="172" fontId="51" fillId="0" borderId="109"/>
    <xf numFmtId="176" fontId="51" fillId="0" borderId="109"/>
    <xf numFmtId="0" fontId="23" fillId="0" borderId="111" applyNumberFormat="0" applyFill="0" applyAlignment="0" applyProtection="0"/>
    <xf numFmtId="0" fontId="8" fillId="25" borderId="99" applyNumberFormat="0" applyFont="0" applyAlignment="0" applyProtection="0"/>
    <xf numFmtId="175" fontId="51" fillId="0" borderId="109"/>
    <xf numFmtId="171" fontId="51" fillId="0" borderId="109"/>
    <xf numFmtId="179" fontId="51" fillId="0" borderId="109"/>
    <xf numFmtId="0" fontId="18" fillId="9" borderId="106" applyNumberFormat="0" applyAlignment="0" applyProtection="0"/>
    <xf numFmtId="171" fontId="51" fillId="0" borderId="109"/>
    <xf numFmtId="0" fontId="21" fillId="22" borderId="110" applyNumberFormat="0" applyAlignment="0" applyProtection="0"/>
    <xf numFmtId="179" fontId="51" fillId="0" borderId="109"/>
    <xf numFmtId="171" fontId="51" fillId="0" borderId="109"/>
    <xf numFmtId="179" fontId="51" fillId="0" borderId="109"/>
    <xf numFmtId="174" fontId="51" fillId="0" borderId="109"/>
    <xf numFmtId="172" fontId="51" fillId="0" borderId="109"/>
    <xf numFmtId="171" fontId="51" fillId="0" borderId="109"/>
    <xf numFmtId="174" fontId="51" fillId="0" borderId="109"/>
    <xf numFmtId="173" fontId="51" fillId="0" borderId="109"/>
    <xf numFmtId="180" fontId="51" fillId="0" borderId="109"/>
    <xf numFmtId="179" fontId="51" fillId="0" borderId="109"/>
    <xf numFmtId="174" fontId="51" fillId="0" borderId="109"/>
    <xf numFmtId="171" fontId="51" fillId="0" borderId="109"/>
    <xf numFmtId="179" fontId="51" fillId="0" borderId="109"/>
    <xf numFmtId="174" fontId="51" fillId="0" borderId="109"/>
    <xf numFmtId="171" fontId="51" fillId="0" borderId="109"/>
    <xf numFmtId="179" fontId="51" fillId="0" borderId="109"/>
    <xf numFmtId="179" fontId="51" fillId="0" borderId="109"/>
    <xf numFmtId="180" fontId="51" fillId="0" borderId="109"/>
    <xf numFmtId="176" fontId="51" fillId="0" borderId="109"/>
    <xf numFmtId="171" fontId="51" fillId="0" borderId="109"/>
    <xf numFmtId="0" fontId="23" fillId="0" borderId="111" applyNumberFormat="0" applyFill="0" applyAlignment="0" applyProtection="0"/>
    <xf numFmtId="0" fontId="11" fillId="22" borderId="106" applyNumberFormat="0" applyAlignment="0" applyProtection="0"/>
    <xf numFmtId="171" fontId="51" fillId="0" borderId="109"/>
    <xf numFmtId="173" fontId="51" fillId="0" borderId="109"/>
    <xf numFmtId="171" fontId="51" fillId="0" borderId="109"/>
    <xf numFmtId="174" fontId="51" fillId="0" borderId="109"/>
    <xf numFmtId="179" fontId="51" fillId="0" borderId="109"/>
    <xf numFmtId="171" fontId="51" fillId="0" borderId="109"/>
    <xf numFmtId="0" fontId="18" fillId="9" borderId="106" applyNumberFormat="0" applyAlignment="0" applyProtection="0"/>
    <xf numFmtId="173" fontId="51" fillId="0" borderId="109"/>
    <xf numFmtId="0" fontId="11" fillId="22" borderId="106" applyNumberFormat="0" applyAlignment="0" applyProtection="0"/>
    <xf numFmtId="181" fontId="51" fillId="0" borderId="109"/>
    <xf numFmtId="171" fontId="51" fillId="0" borderId="109"/>
    <xf numFmtId="172" fontId="51" fillId="0" borderId="109"/>
    <xf numFmtId="174" fontId="51" fillId="0" borderId="109"/>
    <xf numFmtId="175" fontId="51" fillId="0" borderId="109"/>
    <xf numFmtId="174" fontId="51" fillId="0" borderId="109"/>
    <xf numFmtId="174" fontId="51" fillId="0" borderId="109"/>
    <xf numFmtId="0" fontId="11" fillId="22" borderId="106" applyNumberFormat="0" applyAlignment="0" applyProtection="0"/>
    <xf numFmtId="171" fontId="51" fillId="0" borderId="109"/>
    <xf numFmtId="174" fontId="51" fillId="0" borderId="109"/>
    <xf numFmtId="181" fontId="51" fillId="0" borderId="109"/>
    <xf numFmtId="171"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179" fontId="51" fillId="0" borderId="109"/>
    <xf numFmtId="0" fontId="8" fillId="25" borderId="99" applyNumberFormat="0" applyFont="0" applyAlignment="0" applyProtection="0"/>
    <xf numFmtId="171" fontId="51" fillId="0" borderId="109"/>
    <xf numFmtId="179" fontId="51" fillId="0" borderId="109"/>
    <xf numFmtId="179" fontId="51" fillId="0" borderId="109"/>
    <xf numFmtId="0" fontId="54" fillId="46" borderId="108">
      <protection locked="0"/>
    </xf>
    <xf numFmtId="0" fontId="8" fillId="25" borderId="99" applyNumberFormat="0" applyFont="0" applyAlignment="0" applyProtection="0"/>
    <xf numFmtId="179" fontId="51" fillId="0" borderId="109"/>
    <xf numFmtId="176" fontId="51" fillId="0" borderId="109"/>
    <xf numFmtId="171" fontId="51" fillId="0" borderId="109"/>
    <xf numFmtId="0" fontId="11" fillId="22" borderId="106" applyNumberFormat="0" applyAlignment="0" applyProtection="0"/>
    <xf numFmtId="0" fontId="17" fillId="0" borderId="105" applyNumberFormat="0" applyFill="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0" fontId="21" fillId="22" borderId="110" applyNumberFormat="0" applyAlignment="0" applyProtection="0"/>
    <xf numFmtId="174" fontId="51" fillId="0" borderId="109"/>
    <xf numFmtId="174" fontId="51" fillId="0" borderId="109"/>
    <xf numFmtId="172" fontId="51" fillId="0" borderId="109"/>
    <xf numFmtId="174" fontId="51" fillId="0" borderId="109"/>
    <xf numFmtId="179" fontId="51" fillId="0" borderId="109"/>
    <xf numFmtId="179" fontId="51" fillId="0" borderId="109"/>
    <xf numFmtId="171" fontId="51" fillId="0" borderId="109"/>
    <xf numFmtId="174" fontId="51" fillId="0" borderId="109"/>
    <xf numFmtId="179" fontId="51" fillId="0" borderId="109"/>
    <xf numFmtId="171" fontId="51" fillId="0" borderId="109"/>
    <xf numFmtId="173" fontId="51" fillId="0" borderId="109"/>
    <xf numFmtId="179" fontId="51" fillId="0" borderId="109"/>
    <xf numFmtId="0" fontId="23" fillId="0" borderId="111" applyNumberFormat="0" applyFill="0" applyAlignment="0" applyProtection="0"/>
    <xf numFmtId="174" fontId="51" fillId="0" borderId="109"/>
    <xf numFmtId="174" fontId="51" fillId="0" borderId="109"/>
    <xf numFmtId="179" fontId="51" fillId="0" borderId="109"/>
    <xf numFmtId="171" fontId="51" fillId="0" borderId="109"/>
    <xf numFmtId="0" fontId="18" fillId="9" borderId="106" applyNumberFormat="0" applyAlignment="0" applyProtection="0"/>
    <xf numFmtId="176" fontId="51" fillId="0" borderId="109"/>
    <xf numFmtId="175" fontId="51" fillId="0" borderId="109"/>
    <xf numFmtId="180" fontId="51" fillId="0" borderId="109"/>
    <xf numFmtId="175" fontId="51" fillId="0" borderId="109"/>
    <xf numFmtId="180" fontId="51" fillId="0" borderId="109"/>
    <xf numFmtId="172" fontId="51" fillId="0" borderId="109"/>
    <xf numFmtId="0" fontId="54" fillId="46" borderId="108">
      <protection locked="0"/>
    </xf>
    <xf numFmtId="180" fontId="51" fillId="0" borderId="109"/>
    <xf numFmtId="181" fontId="51" fillId="0" borderId="109"/>
    <xf numFmtId="0" fontId="54" fillId="46" borderId="108">
      <protection locked="0"/>
    </xf>
    <xf numFmtId="174" fontId="51" fillId="0" borderId="109"/>
    <xf numFmtId="181" fontId="51" fillId="0" borderId="109"/>
    <xf numFmtId="0" fontId="17" fillId="0" borderId="105" applyNumberFormat="0" applyFill="0" applyAlignment="0" applyProtection="0"/>
    <xf numFmtId="176" fontId="51" fillId="0" borderId="109"/>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9" fontId="51" fillId="0" borderId="109"/>
    <xf numFmtId="171" fontId="51" fillId="0" borderId="109"/>
    <xf numFmtId="174" fontId="51" fillId="0" borderId="109"/>
    <xf numFmtId="179" fontId="51" fillId="0" borderId="109"/>
    <xf numFmtId="179" fontId="51" fillId="0" borderId="109"/>
    <xf numFmtId="179" fontId="51" fillId="0" borderId="109"/>
    <xf numFmtId="174" fontId="51" fillId="0" borderId="109"/>
    <xf numFmtId="179" fontId="51" fillId="0" borderId="109"/>
    <xf numFmtId="179" fontId="51" fillId="0" borderId="109"/>
    <xf numFmtId="174" fontId="51" fillId="0" borderId="109"/>
    <xf numFmtId="174" fontId="51" fillId="0" borderId="109"/>
    <xf numFmtId="0" fontId="21" fillId="22" borderId="110" applyNumberFormat="0" applyAlignment="0" applyProtection="0"/>
    <xf numFmtId="174" fontId="51" fillId="0" borderId="109"/>
    <xf numFmtId="0" fontId="23" fillId="0" borderId="111" applyNumberFormat="0" applyFill="0" applyAlignment="0" applyProtection="0"/>
    <xf numFmtId="171" fontId="51" fillId="0" borderId="109"/>
    <xf numFmtId="171" fontId="51" fillId="0" borderId="109"/>
    <xf numFmtId="174" fontId="51" fillId="0" borderId="109"/>
    <xf numFmtId="175" fontId="51" fillId="0" borderId="109"/>
    <xf numFmtId="0" fontId="18" fillId="9" borderId="106" applyNumberFormat="0" applyAlignment="0" applyProtection="0"/>
    <xf numFmtId="171" fontId="51" fillId="0" borderId="109"/>
    <xf numFmtId="0" fontId="21" fillId="22" borderId="110" applyNumberFormat="0" applyAlignment="0" applyProtection="0"/>
    <xf numFmtId="173" fontId="51" fillId="0" borderId="109"/>
    <xf numFmtId="171" fontId="51" fillId="0" borderId="109"/>
    <xf numFmtId="0" fontId="18" fillId="9" borderId="106" applyNumberFormat="0" applyAlignment="0" applyProtection="0"/>
    <xf numFmtId="176" fontId="51" fillId="0" borderId="109"/>
    <xf numFmtId="0" fontId="11" fillId="22" borderId="106" applyNumberFormat="0" applyAlignment="0" applyProtection="0"/>
    <xf numFmtId="171" fontId="51" fillId="0" borderId="109"/>
    <xf numFmtId="171" fontId="51" fillId="0" borderId="109"/>
    <xf numFmtId="179" fontId="51" fillId="0" borderId="109"/>
    <xf numFmtId="0" fontId="54" fillId="46" borderId="108">
      <protection locked="0"/>
    </xf>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5" fontId="51" fillId="0" borderId="109"/>
    <xf numFmtId="179" fontId="51" fillId="0" borderId="109"/>
    <xf numFmtId="171" fontId="51" fillId="0" borderId="109"/>
    <xf numFmtId="171" fontId="51" fillId="0" borderId="109"/>
    <xf numFmtId="0" fontId="23" fillId="0" borderId="111" applyNumberFormat="0" applyFill="0" applyAlignment="0" applyProtection="0"/>
    <xf numFmtId="179" fontId="51" fillId="0" borderId="109"/>
    <xf numFmtId="171" fontId="51" fillId="0" borderId="109"/>
    <xf numFmtId="171" fontId="51" fillId="0" borderId="109"/>
    <xf numFmtId="179" fontId="51" fillId="0" borderId="109"/>
    <xf numFmtId="174" fontId="51" fillId="0" borderId="109"/>
    <xf numFmtId="174" fontId="51" fillId="0" borderId="109"/>
    <xf numFmtId="179" fontId="51" fillId="0" borderId="109"/>
    <xf numFmtId="179" fontId="51" fillId="0" borderId="109"/>
    <xf numFmtId="179" fontId="51" fillId="0" borderId="109"/>
    <xf numFmtId="171" fontId="51" fillId="0" borderId="109"/>
    <xf numFmtId="173" fontId="51" fillId="0" borderId="109"/>
    <xf numFmtId="171" fontId="51" fillId="0" borderId="109"/>
    <xf numFmtId="179" fontId="51" fillId="0" borderId="109"/>
    <xf numFmtId="0" fontId="18" fillId="9" borderId="106" applyNumberFormat="0" applyAlignment="0" applyProtection="0"/>
    <xf numFmtId="179" fontId="51" fillId="0" borderId="109"/>
    <xf numFmtId="179" fontId="51" fillId="0" borderId="109"/>
    <xf numFmtId="0" fontId="23" fillId="0" borderId="111" applyNumberFormat="0" applyFill="0" applyAlignment="0" applyProtection="0"/>
    <xf numFmtId="171" fontId="51" fillId="0" borderId="109"/>
    <xf numFmtId="0" fontId="8" fillId="25" borderId="99" applyNumberFormat="0" applyFont="0" applyAlignment="0" applyProtection="0"/>
    <xf numFmtId="0" fontId="18" fillId="9" borderId="106" applyNumberFormat="0" applyAlignment="0" applyProtection="0"/>
    <xf numFmtId="171" fontId="51" fillId="0" borderId="109"/>
    <xf numFmtId="179" fontId="51" fillId="0" borderId="109"/>
    <xf numFmtId="0" fontId="8" fillId="25" borderId="99" applyNumberFormat="0" applyFont="0" applyAlignment="0" applyProtection="0"/>
    <xf numFmtId="0" fontId="11" fillId="22" borderId="106" applyNumberFormat="0" applyAlignment="0" applyProtection="0"/>
    <xf numFmtId="171" fontId="51" fillId="0" borderId="109"/>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1" fontId="51" fillId="0" borderId="109"/>
    <xf numFmtId="180" fontId="51" fillId="0" borderId="109"/>
    <xf numFmtId="174" fontId="51" fillId="0" borderId="109"/>
    <xf numFmtId="174" fontId="51" fillId="0" borderId="109"/>
    <xf numFmtId="173" fontId="51" fillId="0" borderId="109"/>
    <xf numFmtId="179" fontId="51" fillId="0" borderId="109"/>
    <xf numFmtId="172" fontId="51" fillId="0" borderId="109"/>
    <xf numFmtId="0" fontId="21" fillId="22" borderId="110" applyNumberFormat="0" applyAlignment="0" applyProtection="0"/>
    <xf numFmtId="171" fontId="51" fillId="0" borderId="109"/>
    <xf numFmtId="174" fontId="51" fillId="0" borderId="109"/>
    <xf numFmtId="179" fontId="51" fillId="0" borderId="109"/>
    <xf numFmtId="0" fontId="11" fillId="22" borderId="106" applyNumberFormat="0" applyAlignment="0" applyProtection="0"/>
    <xf numFmtId="174" fontId="51" fillId="0" borderId="109"/>
    <xf numFmtId="175" fontId="51" fillId="0" borderId="109"/>
    <xf numFmtId="174" fontId="51" fillId="0" borderId="109"/>
    <xf numFmtId="181" fontId="51" fillId="0" borderId="109"/>
    <xf numFmtId="0" fontId="17" fillId="0" borderId="105" applyNumberFormat="0" applyFill="0" applyAlignment="0" applyProtection="0"/>
    <xf numFmtId="176" fontId="51" fillId="0" borderId="109"/>
    <xf numFmtId="172" fontId="51" fillId="0" borderId="109"/>
    <xf numFmtId="179" fontId="51" fillId="0" borderId="109"/>
    <xf numFmtId="180" fontId="51" fillId="0" borderId="109"/>
    <xf numFmtId="181" fontId="51" fillId="0" borderId="109"/>
    <xf numFmtId="0" fontId="54" fillId="46" borderId="108">
      <protection locked="0"/>
    </xf>
    <xf numFmtId="0" fontId="17" fillId="0" borderId="105"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4" fontId="51" fillId="0" borderId="109"/>
    <xf numFmtId="174" fontId="51" fillId="0" borderId="109"/>
    <xf numFmtId="174" fontId="51" fillId="0" borderId="109"/>
    <xf numFmtId="171" fontId="51" fillId="0" borderId="109"/>
    <xf numFmtId="0" fontId="18" fillId="9" borderId="106" applyNumberFormat="0" applyAlignment="0" applyProtection="0"/>
    <xf numFmtId="174" fontId="51" fillId="0" borderId="109"/>
    <xf numFmtId="171" fontId="51" fillId="0" borderId="109"/>
    <xf numFmtId="179" fontId="51" fillId="0" borderId="109"/>
    <xf numFmtId="173" fontId="51" fillId="0" borderId="109"/>
    <xf numFmtId="173" fontId="51" fillId="0" borderId="109"/>
    <xf numFmtId="171" fontId="51" fillId="0" borderId="109"/>
    <xf numFmtId="173" fontId="51" fillId="0" borderId="109"/>
    <xf numFmtId="174" fontId="51" fillId="0" borderId="109"/>
    <xf numFmtId="176" fontId="51" fillId="0" borderId="109"/>
    <xf numFmtId="171" fontId="51" fillId="0" borderId="109"/>
    <xf numFmtId="0" fontId="11" fillId="22" borderId="106" applyNumberFormat="0" applyAlignment="0" applyProtection="0"/>
    <xf numFmtId="179" fontId="51" fillId="0" borderId="109"/>
    <xf numFmtId="179" fontId="51" fillId="0" borderId="109"/>
    <xf numFmtId="179" fontId="51" fillId="0" borderId="109"/>
    <xf numFmtId="171" fontId="51" fillId="0" borderId="109"/>
    <xf numFmtId="0" fontId="8" fillId="25" borderId="99" applyNumberFormat="0" applyFont="0" applyAlignment="0" applyProtection="0"/>
    <xf numFmtId="171" fontId="51" fillId="0" borderId="109"/>
    <xf numFmtId="180" fontId="51" fillId="0" borderId="109"/>
    <xf numFmtId="174" fontId="51" fillId="0" borderId="109"/>
    <xf numFmtId="175" fontId="51" fillId="0" borderId="109"/>
    <xf numFmtId="0" fontId="18" fillId="9" borderId="106" applyNumberFormat="0" applyAlignment="0" applyProtection="0"/>
    <xf numFmtId="171" fontId="51" fillId="0" borderId="109"/>
    <xf numFmtId="179" fontId="51" fillId="0" borderId="109"/>
    <xf numFmtId="174" fontId="51" fillId="0" borderId="109"/>
    <xf numFmtId="179" fontId="51" fillId="0" borderId="109"/>
    <xf numFmtId="171" fontId="51" fillId="0" borderId="109"/>
    <xf numFmtId="179" fontId="51" fillId="0" borderId="109"/>
    <xf numFmtId="174" fontId="51" fillId="0" borderId="109"/>
    <xf numFmtId="174" fontId="51" fillId="0" borderId="109"/>
    <xf numFmtId="171" fontId="51" fillId="0" borderId="109"/>
    <xf numFmtId="174" fontId="51" fillId="0" borderId="109"/>
    <xf numFmtId="175" fontId="51" fillId="0" borderId="109"/>
    <xf numFmtId="174" fontId="51" fillId="0" borderId="109"/>
    <xf numFmtId="179" fontId="51" fillId="0" borderId="109"/>
    <xf numFmtId="179" fontId="51" fillId="0" borderId="109"/>
    <xf numFmtId="171" fontId="51" fillId="0" borderId="109"/>
    <xf numFmtId="0" fontId="21" fillId="22" borderId="110" applyNumberFormat="0" applyAlignment="0" applyProtection="0"/>
    <xf numFmtId="172" fontId="51" fillId="0" borderId="109"/>
    <xf numFmtId="0" fontId="23" fillId="0" borderId="111" applyNumberFormat="0" applyFill="0" applyAlignment="0" applyProtection="0"/>
    <xf numFmtId="0" fontId="8" fillId="25" borderId="99" applyNumberFormat="0" applyFont="0" applyAlignment="0" applyProtection="0"/>
    <xf numFmtId="174" fontId="51" fillId="0" borderId="109"/>
    <xf numFmtId="0" fontId="54" fillId="46" borderId="108">
      <protection locked="0"/>
    </xf>
    <xf numFmtId="175" fontId="51" fillId="0" borderId="109"/>
    <xf numFmtId="0" fontId="23" fillId="0" borderId="111" applyNumberFormat="0" applyFill="0" applyAlignment="0" applyProtection="0"/>
    <xf numFmtId="174" fontId="51" fillId="0" borderId="109"/>
    <xf numFmtId="0" fontId="21" fillId="22" borderId="110" applyNumberFormat="0" applyAlignment="0" applyProtection="0"/>
    <xf numFmtId="171" fontId="51" fillId="0" borderId="109"/>
    <xf numFmtId="181" fontId="51" fillId="0" borderId="109"/>
    <xf numFmtId="171" fontId="51" fillId="0" borderId="109"/>
    <xf numFmtId="179" fontId="51" fillId="0" borderId="109"/>
    <xf numFmtId="0" fontId="11" fillId="22" borderId="106" applyNumberFormat="0" applyAlignment="0" applyProtection="0"/>
    <xf numFmtId="174" fontId="51" fillId="0" borderId="109"/>
    <xf numFmtId="180" fontId="51" fillId="0" borderId="109"/>
    <xf numFmtId="174" fontId="51" fillId="0" borderId="109"/>
    <xf numFmtId="171" fontId="51" fillId="0" borderId="109"/>
    <xf numFmtId="174" fontId="51" fillId="0" borderId="109"/>
    <xf numFmtId="172" fontId="51" fillId="0" borderId="109"/>
    <xf numFmtId="179" fontId="51" fillId="0" borderId="109"/>
    <xf numFmtId="176" fontId="51" fillId="0" borderId="109"/>
    <xf numFmtId="174" fontId="51" fillId="0" borderId="109"/>
    <xf numFmtId="172" fontId="51" fillId="0" borderId="109"/>
    <xf numFmtId="171" fontId="51" fillId="0" borderId="109"/>
    <xf numFmtId="180" fontId="51" fillId="0" borderId="109"/>
    <xf numFmtId="181" fontId="51" fillId="0" borderId="109"/>
    <xf numFmtId="0" fontId="54" fillId="46" borderId="108">
      <protection locked="0"/>
    </xf>
    <xf numFmtId="179" fontId="51" fillId="0" borderId="109"/>
    <xf numFmtId="179" fontId="51" fillId="0" borderId="109"/>
    <xf numFmtId="179" fontId="51" fillId="0" borderId="109"/>
    <xf numFmtId="171" fontId="51" fillId="0" borderId="109"/>
    <xf numFmtId="179" fontId="51" fillId="0" borderId="109"/>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81" fontId="51" fillId="0" borderId="109"/>
    <xf numFmtId="171" fontId="51" fillId="0" borderId="109"/>
    <xf numFmtId="174" fontId="51" fillId="0" borderId="109"/>
    <xf numFmtId="179" fontId="51" fillId="0" borderId="109"/>
    <xf numFmtId="171" fontId="51" fillId="0" borderId="109"/>
    <xf numFmtId="0" fontId="8" fillId="25" borderId="99" applyNumberFormat="0" applyFont="0" applyAlignment="0" applyProtection="0"/>
    <xf numFmtId="174" fontId="51" fillId="0" borderId="109"/>
    <xf numFmtId="176" fontId="51" fillId="0" borderId="109"/>
    <xf numFmtId="179" fontId="51" fillId="0" borderId="109"/>
    <xf numFmtId="171" fontId="51" fillId="0" borderId="109"/>
    <xf numFmtId="174"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4" fontId="51" fillId="0" borderId="109"/>
    <xf numFmtId="179" fontId="51" fillId="0" borderId="109"/>
    <xf numFmtId="171" fontId="51" fillId="0" borderId="109"/>
    <xf numFmtId="179" fontId="51" fillId="0" borderId="109"/>
    <xf numFmtId="179" fontId="51" fillId="0" borderId="109"/>
    <xf numFmtId="174" fontId="51" fillId="0" borderId="109"/>
    <xf numFmtId="174" fontId="51" fillId="0" borderId="109"/>
    <xf numFmtId="171" fontId="51" fillId="0" borderId="109"/>
    <xf numFmtId="171" fontId="51" fillId="0" borderId="109"/>
    <xf numFmtId="17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4" fontId="51" fillId="0" borderId="109"/>
    <xf numFmtId="0" fontId="54" fillId="46" borderId="108">
      <protection locked="0"/>
    </xf>
    <xf numFmtId="0" fontId="8" fillId="25" borderId="99" applyNumberFormat="0" applyFont="0" applyAlignment="0" applyProtection="0"/>
    <xf numFmtId="181" fontId="51" fillId="0" borderId="109"/>
    <xf numFmtId="171" fontId="51" fillId="0" borderId="109"/>
    <xf numFmtId="0" fontId="11" fillId="22" borderId="106" applyNumberFormat="0" applyAlignment="0" applyProtection="0"/>
    <xf numFmtId="0" fontId="18" fillId="9" borderId="106" applyNumberFormat="0" applyAlignment="0" applyProtection="0"/>
    <xf numFmtId="181" fontId="51" fillId="0" borderId="109"/>
    <xf numFmtId="180" fontId="51" fillId="0" borderId="109"/>
    <xf numFmtId="179" fontId="51" fillId="0" borderId="109"/>
    <xf numFmtId="171" fontId="51" fillId="0" borderId="109"/>
    <xf numFmtId="175" fontId="51" fillId="0" borderId="109"/>
    <xf numFmtId="176" fontId="51" fillId="0" borderId="109"/>
    <xf numFmtId="175" fontId="51" fillId="0" borderId="109"/>
    <xf numFmtId="174" fontId="51" fillId="0" borderId="109"/>
    <xf numFmtId="176" fontId="51" fillId="0" borderId="109"/>
    <xf numFmtId="180" fontId="51" fillId="0" borderId="109"/>
    <xf numFmtId="173" fontId="51" fillId="0" borderId="109"/>
    <xf numFmtId="0" fontId="11" fillId="22" borderId="106" applyNumberFormat="0" applyAlignment="0" applyProtection="0"/>
    <xf numFmtId="172" fontId="51" fillId="0" borderId="109"/>
    <xf numFmtId="179" fontId="51" fillId="0" borderId="109"/>
    <xf numFmtId="176" fontId="51" fillId="0" borderId="109"/>
    <xf numFmtId="174" fontId="51" fillId="0" borderId="109"/>
    <xf numFmtId="171" fontId="51" fillId="0" borderId="109"/>
    <xf numFmtId="0" fontId="21" fillId="22" borderId="110" applyNumberFormat="0" applyAlignment="0" applyProtection="0"/>
    <xf numFmtId="0" fontId="23" fillId="0" borderId="111" applyNumberFormat="0" applyFill="0" applyAlignment="0" applyProtection="0"/>
    <xf numFmtId="180" fontId="51" fillId="0" borderId="109"/>
    <xf numFmtId="175" fontId="51" fillId="0" borderId="109"/>
    <xf numFmtId="173" fontId="51" fillId="0" borderId="109"/>
    <xf numFmtId="172" fontId="51" fillId="0" borderId="109"/>
    <xf numFmtId="171" fontId="51" fillId="0" borderId="109"/>
    <xf numFmtId="181"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11" fillId="22" borderId="106" applyNumberFormat="0" applyAlignment="0" applyProtection="0"/>
    <xf numFmtId="0" fontId="54" fillId="46" borderId="108">
      <protection locked="0"/>
    </xf>
    <xf numFmtId="0" fontId="11" fillId="22" borderId="106" applyNumberFormat="0" applyAlignment="0" applyProtection="0"/>
    <xf numFmtId="0" fontId="21" fillId="22" borderId="110" applyNumberFormat="0" applyAlignment="0" applyProtection="0"/>
    <xf numFmtId="0" fontId="54" fillId="46" borderId="108">
      <protection locked="0"/>
    </xf>
    <xf numFmtId="173" fontId="51" fillId="0" borderId="109"/>
    <xf numFmtId="172"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23" fillId="0" borderId="111" applyNumberFormat="0" applyFill="0" applyAlignment="0" applyProtection="0"/>
    <xf numFmtId="171" fontId="51" fillId="0" borderId="109"/>
    <xf numFmtId="172"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9" fontId="51" fillId="0" borderId="109"/>
    <xf numFmtId="0" fontId="8" fillId="25" borderId="99" applyNumberFormat="0" applyFont="0" applyAlignment="0" applyProtection="0"/>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1" fontId="51" fillId="0" borderId="109"/>
    <xf numFmtId="179" fontId="51" fillId="0" borderId="109"/>
    <xf numFmtId="0" fontId="11" fillId="22" borderId="106" applyNumberFormat="0" applyAlignment="0" applyProtection="0"/>
    <xf numFmtId="0" fontId="54" fillId="46" borderId="108">
      <protection locked="0"/>
    </xf>
    <xf numFmtId="181" fontId="51" fillId="0" borderId="109"/>
    <xf numFmtId="171" fontId="51" fillId="0" borderId="109"/>
    <xf numFmtId="0" fontId="23" fillId="0" borderId="111" applyNumberFormat="0" applyFill="0" applyAlignment="0" applyProtection="0"/>
    <xf numFmtId="179" fontId="51" fillId="0" borderId="109"/>
    <xf numFmtId="0" fontId="54" fillId="46" borderId="108">
      <protection locked="0"/>
    </xf>
    <xf numFmtId="0" fontId="11" fillId="22" borderId="106" applyNumberFormat="0" applyAlignment="0" applyProtection="0"/>
    <xf numFmtId="171" fontId="51" fillId="0" borderId="109"/>
    <xf numFmtId="171" fontId="51" fillId="0" borderId="109"/>
    <xf numFmtId="0" fontId="18" fillId="9" borderId="106" applyNumberFormat="0" applyAlignment="0" applyProtection="0"/>
    <xf numFmtId="172" fontId="51" fillId="0" borderId="109"/>
    <xf numFmtId="171" fontId="51" fillId="0" borderId="109"/>
    <xf numFmtId="174" fontId="51" fillId="0" borderId="109"/>
    <xf numFmtId="171" fontId="51" fillId="0" borderId="109"/>
    <xf numFmtId="174" fontId="51" fillId="0" borderId="109"/>
    <xf numFmtId="175" fontId="51" fillId="0" borderId="109"/>
    <xf numFmtId="176" fontId="51" fillId="0" borderId="109"/>
    <xf numFmtId="0" fontId="8" fillId="25" borderId="99" applyNumberFormat="0" applyFont="0" applyAlignment="0" applyProtection="0"/>
    <xf numFmtId="174" fontId="51" fillId="0" borderId="109"/>
    <xf numFmtId="179" fontId="51" fillId="0" borderId="109"/>
    <xf numFmtId="171" fontId="51" fillId="0" borderId="109"/>
    <xf numFmtId="180" fontId="51" fillId="0" borderId="109"/>
    <xf numFmtId="181" fontId="51" fillId="0" borderId="109"/>
    <xf numFmtId="0" fontId="18" fillId="9" borderId="106" applyNumberFormat="0" applyAlignment="0" applyProtection="0"/>
    <xf numFmtId="179" fontId="51" fillId="0" borderId="109"/>
    <xf numFmtId="179" fontId="51" fillId="0" borderId="109"/>
    <xf numFmtId="174" fontId="51" fillId="0" borderId="109"/>
    <xf numFmtId="171" fontId="51" fillId="0" borderId="109"/>
    <xf numFmtId="175" fontId="51" fillId="0" borderId="109"/>
    <xf numFmtId="171" fontId="51" fillId="0" borderId="109"/>
    <xf numFmtId="171" fontId="51" fillId="0" borderId="109"/>
    <xf numFmtId="174" fontId="51" fillId="0" borderId="109"/>
    <xf numFmtId="174" fontId="51" fillId="0" borderId="109"/>
    <xf numFmtId="171" fontId="51" fillId="0" borderId="109"/>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8" fillId="25" borderId="99" applyNumberFormat="0" applyFont="0" applyAlignment="0" applyProtection="0"/>
    <xf numFmtId="173" fontId="51" fillId="0" borderId="109"/>
    <xf numFmtId="174" fontId="51" fillId="0" borderId="109"/>
    <xf numFmtId="179" fontId="51" fillId="0" borderId="109"/>
    <xf numFmtId="0" fontId="11" fillId="22" borderId="106" applyNumberFormat="0" applyAlignment="0" applyProtection="0"/>
    <xf numFmtId="173" fontId="51" fillId="0" borderId="109"/>
    <xf numFmtId="172" fontId="51" fillId="0" borderId="109"/>
    <xf numFmtId="0" fontId="21" fillId="22" borderId="110" applyNumberFormat="0" applyAlignment="0" applyProtection="0"/>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3" fontId="51" fillId="0" borderId="109"/>
    <xf numFmtId="175" fontId="51" fillId="0" borderId="109"/>
    <xf numFmtId="176"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80" fontId="51" fillId="0" borderId="109"/>
    <xf numFmtId="174" fontId="51" fillId="0" borderId="109"/>
    <xf numFmtId="179"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174" fontId="51" fillId="0" borderId="109"/>
    <xf numFmtId="179" fontId="51" fillId="0" borderId="109"/>
    <xf numFmtId="174" fontId="51" fillId="0" borderId="109"/>
    <xf numFmtId="171" fontId="51" fillId="0" borderId="109"/>
    <xf numFmtId="179" fontId="51" fillId="0" borderId="109"/>
    <xf numFmtId="174" fontId="51" fillId="0" borderId="109"/>
    <xf numFmtId="179" fontId="51" fillId="0" borderId="109"/>
    <xf numFmtId="171" fontId="51" fillId="0" borderId="109"/>
    <xf numFmtId="171" fontId="51" fillId="0" borderId="109"/>
    <xf numFmtId="179"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6" fontId="51" fillId="0" borderId="109"/>
    <xf numFmtId="0" fontId="11" fillId="22" borderId="106" applyNumberFormat="0" applyAlignment="0" applyProtection="0"/>
    <xf numFmtId="180" fontId="51" fillId="0" borderId="109"/>
    <xf numFmtId="179" fontId="51" fillId="0" borderId="109"/>
    <xf numFmtId="171" fontId="51" fillId="0" borderId="109"/>
    <xf numFmtId="171" fontId="51" fillId="0" borderId="109"/>
    <xf numFmtId="174" fontId="51" fillId="0" borderId="109"/>
    <xf numFmtId="174" fontId="51" fillId="0" borderId="109"/>
    <xf numFmtId="171" fontId="51" fillId="0" borderId="109"/>
    <xf numFmtId="0" fontId="23" fillId="0" borderId="111" applyNumberFormat="0" applyFill="0" applyAlignment="0" applyProtection="0"/>
    <xf numFmtId="174" fontId="51" fillId="0" borderId="109"/>
    <xf numFmtId="0" fontId="18" fillId="9" borderId="106" applyNumberFormat="0" applyAlignment="0" applyProtection="0"/>
    <xf numFmtId="0" fontId="21" fillId="22" borderId="110" applyNumberFormat="0" applyAlignment="0" applyProtection="0"/>
    <xf numFmtId="0" fontId="8" fillId="25" borderId="99" applyNumberFormat="0" applyFont="0" applyAlignment="0" applyProtection="0"/>
    <xf numFmtId="0" fontId="54" fillId="46" borderId="108">
      <protection locked="0"/>
    </xf>
    <xf numFmtId="179" fontId="51" fillId="0" borderId="109"/>
    <xf numFmtId="0" fontId="11" fillId="22" borderId="106" applyNumberFormat="0" applyAlignment="0" applyProtection="0"/>
    <xf numFmtId="0" fontId="18" fillId="9" borderId="106" applyNumberFormat="0" applyAlignment="0" applyProtection="0"/>
    <xf numFmtId="174" fontId="51" fillId="0" borderId="109"/>
    <xf numFmtId="171" fontId="51" fillId="0" borderId="109"/>
    <xf numFmtId="179" fontId="51" fillId="0" borderId="109"/>
    <xf numFmtId="174" fontId="51" fillId="0" borderId="109"/>
    <xf numFmtId="171" fontId="51" fillId="0" borderId="109"/>
    <xf numFmtId="172" fontId="51" fillId="0" borderId="109"/>
    <xf numFmtId="171" fontId="51" fillId="0" borderId="109"/>
    <xf numFmtId="174" fontId="51" fillId="0" borderId="109"/>
    <xf numFmtId="179" fontId="51" fillId="0" borderId="109"/>
    <xf numFmtId="171" fontId="51" fillId="0" borderId="109"/>
    <xf numFmtId="179" fontId="51" fillId="0" borderId="109"/>
    <xf numFmtId="0" fontId="11" fillId="22" borderId="106" applyNumberFormat="0" applyAlignment="0" applyProtection="0"/>
    <xf numFmtId="181" fontId="51" fillId="0" borderId="109"/>
    <xf numFmtId="175" fontId="51" fillId="0" borderId="109"/>
    <xf numFmtId="179" fontId="51" fillId="0" borderId="109"/>
    <xf numFmtId="171" fontId="51" fillId="0" borderId="109"/>
    <xf numFmtId="0" fontId="11" fillId="22" borderId="106" applyNumberFormat="0" applyAlignment="0" applyProtection="0"/>
    <xf numFmtId="0" fontId="18" fillId="9" borderId="106" applyNumberFormat="0" applyAlignment="0" applyProtection="0"/>
    <xf numFmtId="0" fontId="23" fillId="0" borderId="111" applyNumberFormat="0" applyFill="0" applyAlignment="0" applyProtection="0"/>
    <xf numFmtId="179" fontId="51" fillId="0" borderId="109"/>
    <xf numFmtId="179" fontId="51" fillId="0" borderId="109"/>
    <xf numFmtId="174" fontId="51" fillId="0" borderId="109"/>
    <xf numFmtId="173" fontId="51" fillId="0" borderId="109"/>
    <xf numFmtId="0" fontId="8" fillId="25" borderId="99" applyNumberFormat="0" applyFont="0" applyAlignment="0" applyProtection="0"/>
    <xf numFmtId="174"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9" fontId="51" fillId="0" borderId="109"/>
    <xf numFmtId="174"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4" fontId="51" fillId="0" borderId="113"/>
    <xf numFmtId="171" fontId="51" fillId="0" borderId="113"/>
    <xf numFmtId="179" fontId="51" fillId="0" borderId="113"/>
    <xf numFmtId="0" fontId="23" fillId="0" borderId="111" applyNumberFormat="0" applyFill="0" applyAlignment="0" applyProtection="0"/>
    <xf numFmtId="179" fontId="51" fillId="0" borderId="109"/>
    <xf numFmtId="172" fontId="51" fillId="0" borderId="109"/>
    <xf numFmtId="171" fontId="51" fillId="0" borderId="109"/>
    <xf numFmtId="0" fontId="21" fillId="22" borderId="110" applyNumberFormat="0" applyAlignment="0" applyProtection="0"/>
    <xf numFmtId="0" fontId="54" fillId="46" borderId="112">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4" fontId="51" fillId="0" borderId="109"/>
    <xf numFmtId="179" fontId="51" fillId="0" borderId="109"/>
    <xf numFmtId="0" fontId="11" fillId="22" borderId="106" applyNumberFormat="0" applyAlignment="0" applyProtection="0"/>
    <xf numFmtId="0" fontId="54" fillId="46" borderId="108">
      <protection locked="0"/>
    </xf>
    <xf numFmtId="0" fontId="18" fillId="9" borderId="106" applyNumberFormat="0" applyAlignment="0" applyProtection="0"/>
    <xf numFmtId="0" fontId="18" fillId="9" borderId="106" applyNumberFormat="0" applyAlignment="0" applyProtection="0"/>
    <xf numFmtId="0" fontId="54" fillId="46" borderId="112">
      <protection locked="0"/>
    </xf>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1" fillId="22" borderId="110" applyNumberFormat="0" applyAlignment="0" applyProtection="0"/>
    <xf numFmtId="0" fontId="21" fillId="22" borderId="110" applyNumberFormat="0" applyAlignment="0" applyProtection="0"/>
    <xf numFmtId="0" fontId="21" fillId="22" borderId="110"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23" fillId="0" borderId="111" applyNumberFormat="0" applyFill="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12">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12">
      <protection locked="0"/>
    </xf>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79" fontId="51" fillId="0" borderId="109"/>
    <xf numFmtId="179" fontId="51" fillId="0" borderId="109"/>
    <xf numFmtId="180" fontId="51" fillId="0" borderId="109"/>
    <xf numFmtId="171" fontId="51" fillId="0" borderId="109"/>
    <xf numFmtId="174" fontId="51" fillId="0" borderId="109"/>
    <xf numFmtId="174" fontId="51" fillId="0" borderId="109"/>
    <xf numFmtId="176" fontId="51" fillId="0" borderId="109"/>
    <xf numFmtId="171"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11" fillId="22"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0" fontId="8" fillId="25" borderId="99" applyNumberFormat="0" applyFont="0" applyAlignment="0" applyProtection="0"/>
    <xf numFmtId="175" fontId="51" fillId="0" borderId="109"/>
    <xf numFmtId="179" fontId="51" fillId="0" borderId="109"/>
    <xf numFmtId="171" fontId="51" fillId="0" borderId="109"/>
    <xf numFmtId="172" fontId="51" fillId="0" borderId="109"/>
    <xf numFmtId="173" fontId="51" fillId="0" borderId="109"/>
    <xf numFmtId="0" fontId="8" fillId="25" borderId="99" applyNumberFormat="0" applyFont="0" applyAlignment="0" applyProtection="0"/>
    <xf numFmtId="174" fontId="51" fillId="0" borderId="109"/>
    <xf numFmtId="175" fontId="51" fillId="0" borderId="109"/>
    <xf numFmtId="176" fontId="51" fillId="0" borderId="109"/>
    <xf numFmtId="175" fontId="51" fillId="0" borderId="109"/>
    <xf numFmtId="179" fontId="51" fillId="0" borderId="109"/>
    <xf numFmtId="180" fontId="51" fillId="0" borderId="109"/>
    <xf numFmtId="181" fontId="51" fillId="0" borderId="109"/>
    <xf numFmtId="174" fontId="51" fillId="0" borderId="109"/>
    <xf numFmtId="0" fontId="21" fillId="22" borderId="110" applyNumberFormat="0" applyAlignment="0" applyProtection="0"/>
    <xf numFmtId="171" fontId="51" fillId="0" borderId="109"/>
    <xf numFmtId="0" fontId="54" fillId="46" borderId="108">
      <protection locked="0"/>
    </xf>
    <xf numFmtId="0" fontId="11" fillId="22" borderId="106" applyNumberFormat="0" applyAlignment="0" applyProtection="0"/>
    <xf numFmtId="0" fontId="11" fillId="22" borderId="106" applyNumberFormat="0" applyAlignment="0" applyProtection="0"/>
    <xf numFmtId="181" fontId="51" fillId="0" borderId="109"/>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173" fontId="51" fillId="0" borderId="109"/>
    <xf numFmtId="0" fontId="18" fillId="9" borderId="106" applyNumberFormat="0" applyAlignment="0" applyProtection="0"/>
    <xf numFmtId="0" fontId="11" fillId="22" borderId="106" applyNumberFormat="0" applyAlignment="0" applyProtection="0"/>
    <xf numFmtId="0" fontId="23" fillId="0" borderId="111" applyNumberFormat="0" applyFill="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2" fontId="51" fillId="0" borderId="109"/>
    <xf numFmtId="173" fontId="51" fillId="0" borderId="109"/>
    <xf numFmtId="0" fontId="18" fillId="9" borderId="106" applyNumberFormat="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176" fontId="51" fillId="0" borderId="119"/>
    <xf numFmtId="0" fontId="21" fillId="22" borderId="110" applyNumberFormat="0" applyAlignment="0" applyProtection="0"/>
    <xf numFmtId="0" fontId="23" fillId="0" borderId="111" applyNumberFormat="0" applyFill="0" applyAlignment="0" applyProtection="0"/>
    <xf numFmtId="176" fontId="51" fillId="0" borderId="109"/>
    <xf numFmtId="171" fontId="51" fillId="0" borderId="109"/>
    <xf numFmtId="172" fontId="51" fillId="0" borderId="109"/>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174" fontId="51" fillId="0" borderId="109"/>
    <xf numFmtId="179"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171" fontId="51" fillId="0" borderId="109"/>
    <xf numFmtId="179" fontId="51" fillId="0" borderId="109"/>
    <xf numFmtId="174" fontId="51" fillId="0" borderId="109"/>
    <xf numFmtId="174" fontId="51" fillId="0" borderId="109"/>
    <xf numFmtId="179" fontId="51" fillId="0" borderId="109"/>
    <xf numFmtId="171"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0" fontId="54" fillId="46" borderId="108">
      <protection locked="0"/>
    </xf>
    <xf numFmtId="171" fontId="51" fillId="0" borderId="109"/>
    <xf numFmtId="181" fontId="51" fillId="0" borderId="109"/>
    <xf numFmtId="174" fontId="51" fillId="0" borderId="109"/>
    <xf numFmtId="176" fontId="51" fillId="0" borderId="109"/>
    <xf numFmtId="173" fontId="51" fillId="0" borderId="109"/>
    <xf numFmtId="172" fontId="51" fillId="0" borderId="109"/>
    <xf numFmtId="179"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179" fontId="51" fillId="0" borderId="109"/>
    <xf numFmtId="180"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3" fontId="51" fillId="0" borderId="109"/>
    <xf numFmtId="171" fontId="51" fillId="0" borderId="109"/>
    <xf numFmtId="174" fontId="51" fillId="0" borderId="109"/>
    <xf numFmtId="179" fontId="51" fillId="0" borderId="109"/>
    <xf numFmtId="0" fontId="54" fillId="46" borderId="108">
      <protection locked="0"/>
    </xf>
    <xf numFmtId="0" fontId="54" fillId="46" borderId="108">
      <protection locked="0"/>
    </xf>
    <xf numFmtId="0" fontId="11" fillId="22" borderId="106" applyNumberFormat="0" applyAlignment="0" applyProtection="0"/>
    <xf numFmtId="174" fontId="51" fillId="0" borderId="109"/>
    <xf numFmtId="171" fontId="51" fillId="0" borderId="109"/>
    <xf numFmtId="174" fontId="51" fillId="0" borderId="109"/>
    <xf numFmtId="174" fontId="51" fillId="0" borderId="109"/>
    <xf numFmtId="0" fontId="21" fillId="22" borderId="110" applyNumberFormat="0" applyAlignment="0" applyProtection="0"/>
    <xf numFmtId="179" fontId="51" fillId="0" borderId="109"/>
    <xf numFmtId="174" fontId="51" fillId="0" borderId="109"/>
    <xf numFmtId="0" fontId="54" fillId="46" borderId="108">
      <protection locked="0"/>
    </xf>
    <xf numFmtId="0" fontId="21" fillId="22" borderId="110" applyNumberFormat="0" applyAlignment="0" applyProtection="0"/>
    <xf numFmtId="0" fontId="8" fillId="25" borderId="99" applyNumberFormat="0" applyFont="0" applyAlignment="0" applyProtection="0"/>
    <xf numFmtId="171" fontId="51" fillId="0" borderId="109"/>
    <xf numFmtId="0" fontId="8" fillId="25" borderId="99" applyNumberFormat="0" applyFont="0" applyAlignment="0" applyProtection="0"/>
    <xf numFmtId="173" fontId="51" fillId="0" borderId="109"/>
    <xf numFmtId="0" fontId="23" fillId="0" borderId="111" applyNumberFormat="0" applyFill="0" applyAlignment="0" applyProtection="0"/>
    <xf numFmtId="175" fontId="51" fillId="0" borderId="109"/>
    <xf numFmtId="174" fontId="51" fillId="0" borderId="109"/>
    <xf numFmtId="0" fontId="23" fillId="0" borderId="111" applyNumberFormat="0" applyFill="0" applyAlignment="0" applyProtection="0"/>
    <xf numFmtId="181" fontId="51" fillId="0" borderId="109"/>
    <xf numFmtId="174" fontId="51" fillId="0" borderId="109"/>
    <xf numFmtId="174" fontId="51" fillId="0" borderId="109"/>
    <xf numFmtId="0" fontId="18" fillId="9" borderId="106" applyNumberFormat="0" applyAlignment="0" applyProtection="0"/>
    <xf numFmtId="0" fontId="21" fillId="22" borderId="110" applyNumberFormat="0" applyAlignment="0" applyProtection="0"/>
    <xf numFmtId="171" fontId="51" fillId="0" borderId="109"/>
    <xf numFmtId="0" fontId="18" fillId="9" borderId="114" applyNumberFormat="0" applyAlignment="0" applyProtection="0"/>
    <xf numFmtId="172" fontId="51" fillId="0" borderId="109"/>
    <xf numFmtId="176" fontId="51" fillId="0" borderId="109"/>
    <xf numFmtId="0" fontId="23" fillId="0" borderId="111" applyNumberFormat="0" applyFill="0" applyAlignment="0" applyProtection="0"/>
    <xf numFmtId="0" fontId="8" fillId="25" borderId="99" applyNumberFormat="0" applyFont="0" applyAlignment="0" applyProtection="0"/>
    <xf numFmtId="175" fontId="51" fillId="0" borderId="109"/>
    <xf numFmtId="171" fontId="51" fillId="0" borderId="109"/>
    <xf numFmtId="179" fontId="51" fillId="0" borderId="109"/>
    <xf numFmtId="0" fontId="18" fillId="9" borderId="106" applyNumberFormat="0" applyAlignment="0" applyProtection="0"/>
    <xf numFmtId="171" fontId="51" fillId="0" borderId="109"/>
    <xf numFmtId="0" fontId="21" fillId="22" borderId="110" applyNumberFormat="0" applyAlignment="0" applyProtection="0"/>
    <xf numFmtId="179" fontId="51" fillId="0" borderId="109"/>
    <xf numFmtId="171" fontId="51" fillId="0" borderId="109"/>
    <xf numFmtId="179" fontId="51" fillId="0" borderId="109"/>
    <xf numFmtId="174" fontId="51" fillId="0" borderId="109"/>
    <xf numFmtId="172" fontId="51" fillId="0" borderId="109"/>
    <xf numFmtId="171" fontId="51" fillId="0" borderId="109"/>
    <xf numFmtId="174" fontId="51" fillId="0" borderId="109"/>
    <xf numFmtId="173" fontId="51" fillId="0" borderId="109"/>
    <xf numFmtId="180" fontId="51" fillId="0" borderId="109"/>
    <xf numFmtId="179" fontId="51" fillId="0" borderId="109"/>
    <xf numFmtId="174" fontId="51" fillId="0" borderId="109"/>
    <xf numFmtId="171" fontId="51" fillId="0" borderId="109"/>
    <xf numFmtId="179" fontId="51" fillId="0" borderId="109"/>
    <xf numFmtId="174" fontId="51" fillId="0" borderId="109"/>
    <xf numFmtId="171" fontId="51" fillId="0" borderId="109"/>
    <xf numFmtId="179" fontId="51" fillId="0" borderId="109"/>
    <xf numFmtId="179" fontId="51" fillId="0" borderId="109"/>
    <xf numFmtId="180" fontId="51" fillId="0" borderId="109"/>
    <xf numFmtId="176" fontId="51" fillId="0" borderId="109"/>
    <xf numFmtId="171" fontId="51" fillId="0" borderId="109"/>
    <xf numFmtId="0" fontId="23" fillId="0" borderId="111" applyNumberFormat="0" applyFill="0" applyAlignment="0" applyProtection="0"/>
    <xf numFmtId="0" fontId="11" fillId="22" borderId="106" applyNumberFormat="0" applyAlignment="0" applyProtection="0"/>
    <xf numFmtId="171" fontId="51" fillId="0" borderId="109"/>
    <xf numFmtId="173" fontId="51" fillId="0" borderId="109"/>
    <xf numFmtId="171" fontId="51" fillId="0" borderId="109"/>
    <xf numFmtId="174" fontId="51" fillId="0" borderId="109"/>
    <xf numFmtId="179" fontId="51" fillId="0" borderId="109"/>
    <xf numFmtId="171" fontId="51" fillId="0" borderId="109"/>
    <xf numFmtId="0" fontId="18" fillId="9" borderId="106" applyNumberFormat="0" applyAlignment="0" applyProtection="0"/>
    <xf numFmtId="173" fontId="51" fillId="0" borderId="109"/>
    <xf numFmtId="0" fontId="11" fillId="22" borderId="106" applyNumberFormat="0" applyAlignment="0" applyProtection="0"/>
    <xf numFmtId="181" fontId="51" fillId="0" borderId="109"/>
    <xf numFmtId="171" fontId="51" fillId="0" borderId="109"/>
    <xf numFmtId="172" fontId="51" fillId="0" borderId="109"/>
    <xf numFmtId="174" fontId="51" fillId="0" borderId="109"/>
    <xf numFmtId="175" fontId="51" fillId="0" borderId="109"/>
    <xf numFmtId="174" fontId="51" fillId="0" borderId="109"/>
    <xf numFmtId="174" fontId="51" fillId="0" borderId="109"/>
    <xf numFmtId="0" fontId="11" fillId="22" borderId="106" applyNumberFormat="0" applyAlignment="0" applyProtection="0"/>
    <xf numFmtId="171" fontId="51" fillId="0" borderId="109"/>
    <xf numFmtId="174" fontId="51" fillId="0" borderId="109"/>
    <xf numFmtId="181" fontId="51" fillId="0" borderId="109"/>
    <xf numFmtId="171"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179" fontId="51" fillId="0" borderId="109"/>
    <xf numFmtId="0" fontId="8" fillId="25" borderId="99" applyNumberFormat="0" applyFont="0" applyAlignment="0" applyProtection="0"/>
    <xf numFmtId="171" fontId="51" fillId="0" borderId="109"/>
    <xf numFmtId="179" fontId="51" fillId="0" borderId="109"/>
    <xf numFmtId="179" fontId="51" fillId="0" borderId="109"/>
    <xf numFmtId="0" fontId="54" fillId="46" borderId="108">
      <protection locked="0"/>
    </xf>
    <xf numFmtId="0" fontId="8" fillId="25" borderId="99" applyNumberFormat="0" applyFont="0" applyAlignment="0" applyProtection="0"/>
    <xf numFmtId="179" fontId="51" fillId="0" borderId="109"/>
    <xf numFmtId="176" fontId="51" fillId="0" borderId="109"/>
    <xf numFmtId="171" fontId="51" fillId="0" borderId="109"/>
    <xf numFmtId="0" fontId="11" fillId="22" borderId="106" applyNumberFormat="0" applyAlignment="0" applyProtection="0"/>
    <xf numFmtId="179" fontId="51" fillId="0" borderId="113"/>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0" fontId="21" fillId="22" borderId="110" applyNumberFormat="0" applyAlignment="0" applyProtection="0"/>
    <xf numFmtId="174" fontId="51" fillId="0" borderId="109"/>
    <xf numFmtId="174" fontId="51" fillId="0" borderId="109"/>
    <xf numFmtId="172" fontId="51" fillId="0" borderId="109"/>
    <xf numFmtId="174" fontId="51" fillId="0" borderId="109"/>
    <xf numFmtId="179" fontId="51" fillId="0" borderId="109"/>
    <xf numFmtId="179" fontId="51" fillId="0" borderId="109"/>
    <xf numFmtId="171" fontId="51" fillId="0" borderId="109"/>
    <xf numFmtId="174" fontId="51" fillId="0" borderId="109"/>
    <xf numFmtId="179" fontId="51" fillId="0" borderId="109"/>
    <xf numFmtId="171" fontId="51" fillId="0" borderId="109"/>
    <xf numFmtId="173" fontId="51" fillId="0" borderId="109"/>
    <xf numFmtId="179" fontId="51" fillId="0" borderId="109"/>
    <xf numFmtId="0" fontId="23" fillId="0" borderId="111" applyNumberFormat="0" applyFill="0" applyAlignment="0" applyProtection="0"/>
    <xf numFmtId="174" fontId="51" fillId="0" borderId="109"/>
    <xf numFmtId="174" fontId="51" fillId="0" borderId="109"/>
    <xf numFmtId="179" fontId="51" fillId="0" borderId="109"/>
    <xf numFmtId="171" fontId="51" fillId="0" borderId="109"/>
    <xf numFmtId="0" fontId="18" fillId="9" borderId="106" applyNumberFormat="0" applyAlignment="0" applyProtection="0"/>
    <xf numFmtId="176" fontId="51" fillId="0" borderId="109"/>
    <xf numFmtId="175" fontId="51" fillId="0" borderId="109"/>
    <xf numFmtId="180" fontId="51" fillId="0" borderId="109"/>
    <xf numFmtId="175" fontId="51" fillId="0" borderId="109"/>
    <xf numFmtId="180" fontId="51" fillId="0" borderId="109"/>
    <xf numFmtId="172" fontId="51" fillId="0" borderId="109"/>
    <xf numFmtId="0" fontId="54" fillId="46" borderId="108">
      <protection locked="0"/>
    </xf>
    <xf numFmtId="180" fontId="51" fillId="0" borderId="109"/>
    <xf numFmtId="181" fontId="51" fillId="0" borderId="109"/>
    <xf numFmtId="0" fontId="54" fillId="46" borderId="108">
      <protection locked="0"/>
    </xf>
    <xf numFmtId="174" fontId="51" fillId="0" borderId="109"/>
    <xf numFmtId="181" fontId="51" fillId="0" borderId="109"/>
    <xf numFmtId="0" fontId="21" fillId="22" borderId="110" applyNumberFormat="0" applyAlignment="0" applyProtection="0"/>
    <xf numFmtId="176" fontId="51" fillId="0" borderId="109"/>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9" fontId="51" fillId="0" borderId="109"/>
    <xf numFmtId="171" fontId="51" fillId="0" borderId="109"/>
    <xf numFmtId="174" fontId="51" fillId="0" borderId="109"/>
    <xf numFmtId="179" fontId="51" fillId="0" borderId="109"/>
    <xf numFmtId="179" fontId="51" fillId="0" borderId="109"/>
    <xf numFmtId="179" fontId="51" fillId="0" borderId="109"/>
    <xf numFmtId="174" fontId="51" fillId="0" borderId="109"/>
    <xf numFmtId="179" fontId="51" fillId="0" borderId="109"/>
    <xf numFmtId="179" fontId="51" fillId="0" borderId="109"/>
    <xf numFmtId="174" fontId="51" fillId="0" borderId="109"/>
    <xf numFmtId="174" fontId="51" fillId="0" borderId="109"/>
    <xf numFmtId="0" fontId="21" fillId="22" borderId="110" applyNumberFormat="0" applyAlignment="0" applyProtection="0"/>
    <xf numFmtId="174" fontId="51" fillId="0" borderId="109"/>
    <xf numFmtId="0" fontId="23" fillId="0" borderId="111" applyNumberFormat="0" applyFill="0" applyAlignment="0" applyProtection="0"/>
    <xf numFmtId="171" fontId="51" fillId="0" borderId="109"/>
    <xf numFmtId="171" fontId="51" fillId="0" borderId="109"/>
    <xf numFmtId="174" fontId="51" fillId="0" borderId="109"/>
    <xf numFmtId="175" fontId="51" fillId="0" borderId="109"/>
    <xf numFmtId="0" fontId="18" fillId="9" borderId="106" applyNumberFormat="0" applyAlignment="0" applyProtection="0"/>
    <xf numFmtId="171" fontId="51" fillId="0" borderId="109"/>
    <xf numFmtId="0" fontId="21" fillId="22" borderId="110" applyNumberFormat="0" applyAlignment="0" applyProtection="0"/>
    <xf numFmtId="173" fontId="51" fillId="0" borderId="109"/>
    <xf numFmtId="171" fontId="51" fillId="0" borderId="109"/>
    <xf numFmtId="0" fontId="18" fillId="9" borderId="106" applyNumberFormat="0" applyAlignment="0" applyProtection="0"/>
    <xf numFmtId="176" fontId="51" fillId="0" borderId="109"/>
    <xf numFmtId="0" fontId="11" fillId="22" borderId="106" applyNumberFormat="0" applyAlignment="0" applyProtection="0"/>
    <xf numFmtId="171" fontId="51" fillId="0" borderId="109"/>
    <xf numFmtId="171" fontId="51" fillId="0" borderId="109"/>
    <xf numFmtId="179" fontId="51" fillId="0" borderId="109"/>
    <xf numFmtId="0" fontId="54" fillId="46" borderId="108">
      <protection locked="0"/>
    </xf>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5" fontId="51" fillId="0" borderId="109"/>
    <xf numFmtId="179" fontId="51" fillId="0" borderId="109"/>
    <xf numFmtId="171" fontId="51" fillId="0" borderId="109"/>
    <xf numFmtId="171" fontId="51" fillId="0" borderId="109"/>
    <xf numFmtId="0" fontId="23" fillId="0" borderId="111" applyNumberFormat="0" applyFill="0" applyAlignment="0" applyProtection="0"/>
    <xf numFmtId="179" fontId="51" fillId="0" borderId="109"/>
    <xf numFmtId="171" fontId="51" fillId="0" borderId="109"/>
    <xf numFmtId="171" fontId="51" fillId="0" borderId="109"/>
    <xf numFmtId="179" fontId="51" fillId="0" borderId="109"/>
    <xf numFmtId="174" fontId="51" fillId="0" borderId="109"/>
    <xf numFmtId="174" fontId="51" fillId="0" borderId="109"/>
    <xf numFmtId="179" fontId="51" fillId="0" borderId="109"/>
    <xf numFmtId="179" fontId="51" fillId="0" borderId="109"/>
    <xf numFmtId="179" fontId="51" fillId="0" borderId="109"/>
    <xf numFmtId="171" fontId="51" fillId="0" borderId="109"/>
    <xf numFmtId="173" fontId="51" fillId="0" borderId="109"/>
    <xf numFmtId="171" fontId="51" fillId="0" borderId="109"/>
    <xf numFmtId="179" fontId="51" fillId="0" borderId="109"/>
    <xf numFmtId="0" fontId="18" fillId="9" borderId="106" applyNumberFormat="0" applyAlignment="0" applyProtection="0"/>
    <xf numFmtId="179" fontId="51" fillId="0" borderId="109"/>
    <xf numFmtId="179" fontId="51" fillId="0" borderId="109"/>
    <xf numFmtId="0" fontId="23" fillId="0" borderId="111" applyNumberFormat="0" applyFill="0" applyAlignment="0" applyProtection="0"/>
    <xf numFmtId="171" fontId="51" fillId="0" borderId="109"/>
    <xf numFmtId="0" fontId="8" fillId="25" borderId="99" applyNumberFormat="0" applyFont="0" applyAlignment="0" applyProtection="0"/>
    <xf numFmtId="0" fontId="18" fillId="9" borderId="106" applyNumberFormat="0" applyAlignment="0" applyProtection="0"/>
    <xf numFmtId="171" fontId="51" fillId="0" borderId="109"/>
    <xf numFmtId="179" fontId="51" fillId="0" borderId="109"/>
    <xf numFmtId="0" fontId="8" fillId="25" borderId="99" applyNumberFormat="0" applyFont="0" applyAlignment="0" applyProtection="0"/>
    <xf numFmtId="0" fontId="11" fillId="22" borderId="106" applyNumberFormat="0" applyAlignment="0" applyProtection="0"/>
    <xf numFmtId="171" fontId="51" fillId="0" borderId="109"/>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1" fontId="51" fillId="0" borderId="109"/>
    <xf numFmtId="180" fontId="51" fillId="0" borderId="109"/>
    <xf numFmtId="174" fontId="51" fillId="0" borderId="109"/>
    <xf numFmtId="174" fontId="51" fillId="0" borderId="109"/>
    <xf numFmtId="173" fontId="51" fillId="0" borderId="109"/>
    <xf numFmtId="179" fontId="51" fillId="0" borderId="109"/>
    <xf numFmtId="172" fontId="51" fillId="0" borderId="109"/>
    <xf numFmtId="0" fontId="21" fillId="22" borderId="110" applyNumberFormat="0" applyAlignment="0" applyProtection="0"/>
    <xf numFmtId="171" fontId="51" fillId="0" borderId="109"/>
    <xf numFmtId="174" fontId="51" fillId="0" borderId="109"/>
    <xf numFmtId="179" fontId="51" fillId="0" borderId="109"/>
    <xf numFmtId="0" fontId="11" fillId="22" borderId="106" applyNumberFormat="0" applyAlignment="0" applyProtection="0"/>
    <xf numFmtId="174" fontId="51" fillId="0" borderId="109"/>
    <xf numFmtId="175" fontId="51" fillId="0" borderId="109"/>
    <xf numFmtId="174" fontId="51" fillId="0" borderId="109"/>
    <xf numFmtId="181" fontId="51" fillId="0" borderId="109"/>
    <xf numFmtId="0" fontId="23" fillId="0" borderId="111" applyNumberFormat="0" applyFill="0" applyAlignment="0" applyProtection="0"/>
    <xf numFmtId="176" fontId="51" fillId="0" borderId="109"/>
    <xf numFmtId="172" fontId="51" fillId="0" borderId="109"/>
    <xf numFmtId="179" fontId="51" fillId="0" borderId="109"/>
    <xf numFmtId="180" fontId="51" fillId="0" borderId="109"/>
    <xf numFmtId="181" fontId="51" fillId="0" borderId="109"/>
    <xf numFmtId="0" fontId="54" fillId="46" borderId="108">
      <protection locked="0"/>
    </xf>
    <xf numFmtId="0" fontId="18" fillId="9" borderId="106"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4" fontId="51" fillId="0" borderId="109"/>
    <xf numFmtId="174" fontId="51" fillId="0" borderId="109"/>
    <xf numFmtId="174" fontId="51" fillId="0" borderId="109"/>
    <xf numFmtId="171" fontId="51" fillId="0" borderId="109"/>
    <xf numFmtId="0" fontId="18" fillId="9" borderId="106" applyNumberFormat="0" applyAlignment="0" applyProtection="0"/>
    <xf numFmtId="174" fontId="51" fillId="0" borderId="109"/>
    <xf numFmtId="171" fontId="51" fillId="0" borderId="109"/>
    <xf numFmtId="179" fontId="51" fillId="0" borderId="109"/>
    <xf numFmtId="173" fontId="51" fillId="0" borderId="109"/>
    <xf numFmtId="173" fontId="51" fillId="0" borderId="109"/>
    <xf numFmtId="171" fontId="51" fillId="0" borderId="109"/>
    <xf numFmtId="173" fontId="51" fillId="0" borderId="109"/>
    <xf numFmtId="174" fontId="51" fillId="0" borderId="109"/>
    <xf numFmtId="176" fontId="51" fillId="0" borderId="109"/>
    <xf numFmtId="171" fontId="51" fillId="0" borderId="109"/>
    <xf numFmtId="0" fontId="11" fillId="22" borderId="106" applyNumberFormat="0" applyAlignment="0" applyProtection="0"/>
    <xf numFmtId="179" fontId="51" fillId="0" borderId="109"/>
    <xf numFmtId="179" fontId="51" fillId="0" borderId="109"/>
    <xf numFmtId="179" fontId="51" fillId="0" borderId="109"/>
    <xf numFmtId="171" fontId="51" fillId="0" borderId="109"/>
    <xf numFmtId="0" fontId="8" fillId="25" borderId="99" applyNumberFormat="0" applyFont="0" applyAlignment="0" applyProtection="0"/>
    <xf numFmtId="171" fontId="51" fillId="0" borderId="109"/>
    <xf numFmtId="180" fontId="51" fillId="0" borderId="109"/>
    <xf numFmtId="174" fontId="51" fillId="0" borderId="109"/>
    <xf numFmtId="175" fontId="51" fillId="0" borderId="109"/>
    <xf numFmtId="0" fontId="18" fillId="9" borderId="106" applyNumberFormat="0" applyAlignment="0" applyProtection="0"/>
    <xf numFmtId="171" fontId="51" fillId="0" borderId="109"/>
    <xf numFmtId="179" fontId="51" fillId="0" borderId="109"/>
    <xf numFmtId="174" fontId="51" fillId="0" borderId="109"/>
    <xf numFmtId="179" fontId="51" fillId="0" borderId="109"/>
    <xf numFmtId="171" fontId="51" fillId="0" borderId="109"/>
    <xf numFmtId="179" fontId="51" fillId="0" borderId="109"/>
    <xf numFmtId="174" fontId="51" fillId="0" borderId="109"/>
    <xf numFmtId="174" fontId="51" fillId="0" borderId="109"/>
    <xf numFmtId="171" fontId="51" fillId="0" borderId="109"/>
    <xf numFmtId="174" fontId="51" fillId="0" borderId="109"/>
    <xf numFmtId="175" fontId="51" fillId="0" borderId="109"/>
    <xf numFmtId="174" fontId="51" fillId="0" borderId="109"/>
    <xf numFmtId="179" fontId="51" fillId="0" borderId="109"/>
    <xf numFmtId="179" fontId="51" fillId="0" borderId="109"/>
    <xf numFmtId="171" fontId="51" fillId="0" borderId="109"/>
    <xf numFmtId="0" fontId="21" fillId="22" borderId="110" applyNumberFormat="0" applyAlignment="0" applyProtection="0"/>
    <xf numFmtId="172" fontId="51" fillId="0" borderId="109"/>
    <xf numFmtId="0" fontId="23" fillId="0" borderId="111" applyNumberFormat="0" applyFill="0" applyAlignment="0" applyProtection="0"/>
    <xf numFmtId="0" fontId="8" fillId="25" borderId="99" applyNumberFormat="0" applyFont="0" applyAlignment="0" applyProtection="0"/>
    <xf numFmtId="172" fontId="51" fillId="0" borderId="109"/>
    <xf numFmtId="0" fontId="54" fillId="46" borderId="108">
      <protection locked="0"/>
    </xf>
    <xf numFmtId="175" fontId="51" fillId="0" borderId="109"/>
    <xf numFmtId="0" fontId="23" fillId="0" borderId="111" applyNumberFormat="0" applyFill="0" applyAlignment="0" applyProtection="0"/>
    <xf numFmtId="174" fontId="51" fillId="0" borderId="109"/>
    <xf numFmtId="0" fontId="21" fillId="22" borderId="110" applyNumberFormat="0" applyAlignment="0" applyProtection="0"/>
    <xf numFmtId="171" fontId="51" fillId="0" borderId="109"/>
    <xf numFmtId="181" fontId="51" fillId="0" borderId="109"/>
    <xf numFmtId="171" fontId="51" fillId="0" borderId="109"/>
    <xf numFmtId="179" fontId="51" fillId="0" borderId="109"/>
    <xf numFmtId="0" fontId="11" fillId="22" borderId="106" applyNumberFormat="0" applyAlignment="0" applyProtection="0"/>
    <xf numFmtId="174" fontId="51" fillId="0" borderId="109"/>
    <xf numFmtId="180" fontId="51" fillId="0" borderId="109"/>
    <xf numFmtId="174" fontId="51" fillId="0" borderId="109"/>
    <xf numFmtId="171" fontId="51" fillId="0" borderId="109"/>
    <xf numFmtId="174" fontId="51" fillId="0" borderId="109"/>
    <xf numFmtId="172" fontId="51" fillId="0" borderId="109"/>
    <xf numFmtId="179" fontId="51" fillId="0" borderId="109"/>
    <xf numFmtId="176" fontId="51" fillId="0" borderId="109"/>
    <xf numFmtId="174" fontId="51" fillId="0" borderId="109"/>
    <xf numFmtId="172" fontId="51" fillId="0" borderId="109"/>
    <xf numFmtId="171" fontId="51" fillId="0" borderId="109"/>
    <xf numFmtId="180" fontId="51" fillId="0" borderId="109"/>
    <xf numFmtId="181" fontId="51" fillId="0" borderId="109"/>
    <xf numFmtId="0" fontId="54" fillId="46" borderId="108">
      <protection locked="0"/>
    </xf>
    <xf numFmtId="179" fontId="51" fillId="0" borderId="109"/>
    <xf numFmtId="179" fontId="51" fillId="0" borderId="109"/>
    <xf numFmtId="179" fontId="51" fillId="0" borderId="109"/>
    <xf numFmtId="171" fontId="51" fillId="0" borderId="109"/>
    <xf numFmtId="179" fontId="51" fillId="0" borderId="109"/>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81" fontId="51" fillId="0" borderId="109"/>
    <xf numFmtId="171" fontId="51" fillId="0" borderId="109"/>
    <xf numFmtId="174" fontId="51" fillId="0" borderId="109"/>
    <xf numFmtId="179" fontId="51" fillId="0" borderId="109"/>
    <xf numFmtId="171" fontId="51" fillId="0" borderId="109"/>
    <xf numFmtId="0" fontId="8" fillId="25" borderId="99" applyNumberFormat="0" applyFont="0" applyAlignment="0" applyProtection="0"/>
    <xf numFmtId="174" fontId="51" fillId="0" borderId="109"/>
    <xf numFmtId="176" fontId="51" fillId="0" borderId="109"/>
    <xf numFmtId="179" fontId="51" fillId="0" borderId="109"/>
    <xf numFmtId="171" fontId="51" fillId="0" borderId="109"/>
    <xf numFmtId="174"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4" fontId="51" fillId="0" borderId="109"/>
    <xf numFmtId="179" fontId="51" fillId="0" borderId="109"/>
    <xf numFmtId="171" fontId="51" fillId="0" borderId="109"/>
    <xf numFmtId="179" fontId="51" fillId="0" borderId="109"/>
    <xf numFmtId="179" fontId="51" fillId="0" borderId="109"/>
    <xf numFmtId="174" fontId="51" fillId="0" borderId="109"/>
    <xf numFmtId="174" fontId="51" fillId="0" borderId="109"/>
    <xf numFmtId="171" fontId="51" fillId="0" borderId="109"/>
    <xf numFmtId="171" fontId="51" fillId="0" borderId="109"/>
    <xf numFmtId="171" fontId="51" fillId="0" borderId="109"/>
    <xf numFmtId="0" fontId="8" fillId="25" borderId="99" applyNumberFormat="0" applyFon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4" fontId="51" fillId="0" borderId="109"/>
    <xf numFmtId="0" fontId="23" fillId="0" borderId="111" applyNumberFormat="0" applyFill="0" applyAlignment="0" applyProtection="0"/>
    <xf numFmtId="0" fontId="18" fillId="9" borderId="106" applyNumberFormat="0" applyAlignment="0" applyProtection="0"/>
    <xf numFmtId="181" fontId="51" fillId="0" borderId="109"/>
    <xf numFmtId="171" fontId="51" fillId="0" borderId="109"/>
    <xf numFmtId="0" fontId="11" fillId="22" borderId="106" applyNumberFormat="0" applyAlignment="0" applyProtection="0"/>
    <xf numFmtId="0" fontId="18" fillId="9" borderId="106" applyNumberFormat="0" applyAlignment="0" applyProtection="0"/>
    <xf numFmtId="181" fontId="51" fillId="0" borderId="109"/>
    <xf numFmtId="180" fontId="51" fillId="0" borderId="109"/>
    <xf numFmtId="179" fontId="51" fillId="0" borderId="109"/>
    <xf numFmtId="171" fontId="51" fillId="0" borderId="109"/>
    <xf numFmtId="175" fontId="51" fillId="0" borderId="109"/>
    <xf numFmtId="176" fontId="51" fillId="0" borderId="109"/>
    <xf numFmtId="175" fontId="51" fillId="0" borderId="109"/>
    <xf numFmtId="174" fontId="51" fillId="0" borderId="109"/>
    <xf numFmtId="176" fontId="51" fillId="0" borderId="109"/>
    <xf numFmtId="180" fontId="51" fillId="0" borderId="109"/>
    <xf numFmtId="173" fontId="51" fillId="0" borderId="109"/>
    <xf numFmtId="0" fontId="11" fillId="22" borderId="106" applyNumberFormat="0" applyAlignment="0" applyProtection="0"/>
    <xf numFmtId="172" fontId="51" fillId="0" borderId="109"/>
    <xf numFmtId="179" fontId="51" fillId="0" borderId="109"/>
    <xf numFmtId="176" fontId="51" fillId="0" borderId="109"/>
    <xf numFmtId="174" fontId="51" fillId="0" borderId="109"/>
    <xf numFmtId="171" fontId="51" fillId="0" borderId="109"/>
    <xf numFmtId="0" fontId="21" fillId="22" borderId="110" applyNumberFormat="0" applyAlignment="0" applyProtection="0"/>
    <xf numFmtId="0" fontId="23" fillId="0" borderId="111" applyNumberFormat="0" applyFill="0" applyAlignment="0" applyProtection="0"/>
    <xf numFmtId="180" fontId="51" fillId="0" borderId="109"/>
    <xf numFmtId="175" fontId="51" fillId="0" borderId="109"/>
    <xf numFmtId="173" fontId="51" fillId="0" borderId="109"/>
    <xf numFmtId="172" fontId="51" fillId="0" borderId="109"/>
    <xf numFmtId="171" fontId="51" fillId="0" borderId="109"/>
    <xf numFmtId="181"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11" fillId="22" borderId="106" applyNumberFormat="0" applyAlignment="0" applyProtection="0"/>
    <xf numFmtId="0" fontId="21" fillId="22" borderId="110" applyNumberFormat="0" applyAlignment="0" applyProtection="0"/>
    <xf numFmtId="0" fontId="11" fillId="22" borderId="106" applyNumberFormat="0" applyAlignment="0" applyProtection="0"/>
    <xf numFmtId="0" fontId="21" fillId="22" borderId="110" applyNumberFormat="0" applyAlignment="0" applyProtection="0"/>
    <xf numFmtId="0" fontId="21" fillId="22" borderId="110" applyNumberFormat="0" applyAlignment="0" applyProtection="0"/>
    <xf numFmtId="173" fontId="51" fillId="0" borderId="109"/>
    <xf numFmtId="172"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23" fillId="0" borderId="111" applyNumberFormat="0" applyFill="0" applyAlignment="0" applyProtection="0"/>
    <xf numFmtId="0" fontId="23" fillId="0" borderId="111" applyNumberFormat="0" applyFill="0" applyAlignment="0" applyProtection="0"/>
    <xf numFmtId="171" fontId="51" fillId="0" borderId="109"/>
    <xf numFmtId="172" fontId="51" fillId="0" borderId="109"/>
    <xf numFmtId="0" fontId="21" fillId="22" borderId="110" applyNumberFormat="0" applyAlignment="0" applyProtection="0"/>
    <xf numFmtId="0" fontId="11" fillId="22" borderId="106" applyNumberFormat="0" applyAlignment="0" applyProtection="0"/>
    <xf numFmtId="0" fontId="18" fillId="9"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23" fillId="0" borderId="111" applyNumberFormat="0" applyFill="0" applyAlignment="0" applyProtection="0"/>
    <xf numFmtId="179" fontId="51" fillId="0" borderId="109"/>
    <xf numFmtId="0" fontId="8" fillId="25" borderId="99" applyNumberFormat="0" applyFont="0" applyAlignment="0" applyProtection="0"/>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21" fillId="22" borderId="110"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8" fillId="9" borderId="106" applyNumberFormat="0" applyAlignment="0" applyProtection="0"/>
    <xf numFmtId="174"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1" fontId="51" fillId="0" borderId="109"/>
    <xf numFmtId="179" fontId="51" fillId="0" borderId="109"/>
    <xf numFmtId="0" fontId="11" fillId="22" borderId="106" applyNumberFormat="0" applyAlignment="0" applyProtection="0"/>
    <xf numFmtId="175" fontId="51" fillId="0" borderId="109"/>
    <xf numFmtId="181" fontId="51" fillId="0" borderId="109"/>
    <xf numFmtId="171" fontId="51" fillId="0" borderId="109"/>
    <xf numFmtId="0" fontId="23" fillId="0" borderId="111" applyNumberFormat="0" applyFill="0" applyAlignment="0" applyProtection="0"/>
    <xf numFmtId="179" fontId="51" fillId="0" borderId="109"/>
    <xf numFmtId="174" fontId="51" fillId="0" borderId="109"/>
    <xf numFmtId="0" fontId="11" fillId="22" borderId="106" applyNumberFormat="0" applyAlignment="0" applyProtection="0"/>
    <xf numFmtId="171" fontId="51" fillId="0" borderId="109"/>
    <xf numFmtId="171" fontId="51" fillId="0" borderId="109"/>
    <xf numFmtId="0" fontId="18" fillId="9" borderId="106" applyNumberFormat="0" applyAlignment="0" applyProtection="0"/>
    <xf numFmtId="172" fontId="51" fillId="0" borderId="109"/>
    <xf numFmtId="171" fontId="51" fillId="0" borderId="109"/>
    <xf numFmtId="174" fontId="51" fillId="0" borderId="109"/>
    <xf numFmtId="171" fontId="51" fillId="0" borderId="109"/>
    <xf numFmtId="174" fontId="51" fillId="0" borderId="109"/>
    <xf numFmtId="175" fontId="51" fillId="0" borderId="109"/>
    <xf numFmtId="176" fontId="51" fillId="0" borderId="109"/>
    <xf numFmtId="0" fontId="8" fillId="25" borderId="99" applyNumberFormat="0" applyFont="0" applyAlignment="0" applyProtection="0"/>
    <xf numFmtId="174" fontId="51" fillId="0" borderId="109"/>
    <xf numFmtId="179" fontId="51" fillId="0" borderId="109"/>
    <xf numFmtId="171" fontId="51" fillId="0" borderId="109"/>
    <xf numFmtId="180" fontId="51" fillId="0" borderId="109"/>
    <xf numFmtId="181" fontId="51" fillId="0" borderId="109"/>
    <xf numFmtId="0" fontId="18" fillId="9" borderId="106" applyNumberFormat="0" applyAlignment="0" applyProtection="0"/>
    <xf numFmtId="179" fontId="51" fillId="0" borderId="109"/>
    <xf numFmtId="179" fontId="51" fillId="0" borderId="109"/>
    <xf numFmtId="174" fontId="51" fillId="0" borderId="109"/>
    <xf numFmtId="171" fontId="51" fillId="0" borderId="109"/>
    <xf numFmtId="175" fontId="51" fillId="0" borderId="109"/>
    <xf numFmtId="171" fontId="51" fillId="0" borderId="109"/>
    <xf numFmtId="171" fontId="51" fillId="0" borderId="109"/>
    <xf numFmtId="174" fontId="51" fillId="0" borderId="109"/>
    <xf numFmtId="174" fontId="51" fillId="0" borderId="109"/>
    <xf numFmtId="171" fontId="51" fillId="0" borderId="109"/>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8" fillId="25" borderId="99" applyNumberFormat="0" applyFont="0" applyAlignment="0" applyProtection="0"/>
    <xf numFmtId="173" fontId="51" fillId="0" borderId="109"/>
    <xf numFmtId="174" fontId="51" fillId="0" borderId="109"/>
    <xf numFmtId="179" fontId="51" fillId="0" borderId="109"/>
    <xf numFmtId="0" fontId="11" fillId="22" borderId="106" applyNumberFormat="0" applyAlignment="0" applyProtection="0"/>
    <xf numFmtId="173" fontId="51" fillId="0" borderId="109"/>
    <xf numFmtId="172" fontId="51" fillId="0" borderId="109"/>
    <xf numFmtId="0" fontId="21" fillId="22" borderId="110" applyNumberFormat="0" applyAlignment="0" applyProtection="0"/>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173" fontId="51" fillId="0" borderId="109"/>
    <xf numFmtId="175" fontId="51" fillId="0" borderId="109"/>
    <xf numFmtId="176"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80" fontId="51" fillId="0" borderId="109"/>
    <xf numFmtId="174" fontId="51" fillId="0" borderId="109"/>
    <xf numFmtId="179" fontId="51" fillId="0" borderId="109"/>
    <xf numFmtId="174" fontId="51" fillId="0" borderId="109"/>
    <xf numFmtId="176" fontId="51" fillId="0" borderId="109"/>
    <xf numFmtId="172" fontId="51" fillId="0" borderId="109"/>
    <xf numFmtId="180" fontId="51" fillId="0" borderId="109"/>
    <xf numFmtId="181" fontId="51" fillId="0" borderId="109"/>
    <xf numFmtId="0" fontId="21" fillId="22" borderId="110"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174" fontId="51" fillId="0" borderId="109"/>
    <xf numFmtId="179" fontId="51" fillId="0" borderId="109"/>
    <xf numFmtId="174" fontId="51" fillId="0" borderId="109"/>
    <xf numFmtId="171" fontId="51" fillId="0" borderId="109"/>
    <xf numFmtId="179" fontId="51" fillId="0" borderId="109"/>
    <xf numFmtId="174" fontId="51" fillId="0" borderId="109"/>
    <xf numFmtId="179" fontId="51" fillId="0" borderId="109"/>
    <xf numFmtId="171" fontId="51" fillId="0" borderId="109"/>
    <xf numFmtId="171" fontId="51" fillId="0" borderId="109"/>
    <xf numFmtId="179"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6" fontId="51" fillId="0" borderId="109"/>
    <xf numFmtId="0" fontId="11" fillId="22" borderId="106" applyNumberFormat="0" applyAlignment="0" applyProtection="0"/>
    <xf numFmtId="180" fontId="51" fillId="0" borderId="109"/>
    <xf numFmtId="179" fontId="51" fillId="0" borderId="109"/>
    <xf numFmtId="171" fontId="51" fillId="0" borderId="109"/>
    <xf numFmtId="171" fontId="51" fillId="0" borderId="109"/>
    <xf numFmtId="174" fontId="51" fillId="0" borderId="109"/>
    <xf numFmtId="174" fontId="51" fillId="0" borderId="109"/>
    <xf numFmtId="171" fontId="51" fillId="0" borderId="109"/>
    <xf numFmtId="0" fontId="23" fillId="0" borderId="111" applyNumberFormat="0" applyFill="0" applyAlignment="0" applyProtection="0"/>
    <xf numFmtId="174" fontId="51" fillId="0" borderId="109"/>
    <xf numFmtId="0" fontId="18" fillId="9" borderId="106" applyNumberFormat="0" applyAlignment="0" applyProtection="0"/>
    <xf numFmtId="0" fontId="21" fillId="22" borderId="110" applyNumberFormat="0" applyAlignment="0" applyProtection="0"/>
    <xf numFmtId="0" fontId="8" fillId="25" borderId="99" applyNumberFormat="0" applyFont="0" applyAlignment="0" applyProtection="0"/>
    <xf numFmtId="176" fontId="51" fillId="0" borderId="109"/>
    <xf numFmtId="179" fontId="51" fillId="0" borderId="109"/>
    <xf numFmtId="0" fontId="11" fillId="22" borderId="106" applyNumberFormat="0" applyAlignment="0" applyProtection="0"/>
    <xf numFmtId="0" fontId="18" fillId="9" borderId="106" applyNumberFormat="0" applyAlignment="0" applyProtection="0"/>
    <xf numFmtId="174" fontId="51" fillId="0" borderId="109"/>
    <xf numFmtId="171" fontId="51" fillId="0" borderId="109"/>
    <xf numFmtId="179" fontId="51" fillId="0" borderId="109"/>
    <xf numFmtId="174" fontId="51" fillId="0" borderId="109"/>
    <xf numFmtId="171" fontId="51" fillId="0" borderId="109"/>
    <xf numFmtId="172" fontId="51" fillId="0" borderId="109"/>
    <xf numFmtId="171" fontId="51" fillId="0" borderId="109"/>
    <xf numFmtId="174" fontId="51" fillId="0" borderId="109"/>
    <xf numFmtId="179" fontId="51" fillId="0" borderId="109"/>
    <xf numFmtId="171" fontId="51" fillId="0" borderId="109"/>
    <xf numFmtId="179" fontId="51" fillId="0" borderId="109"/>
    <xf numFmtId="0" fontId="11" fillId="22" borderId="106" applyNumberFormat="0" applyAlignment="0" applyProtection="0"/>
    <xf numFmtId="181" fontId="51" fillId="0" borderId="109"/>
    <xf numFmtId="175" fontId="51" fillId="0" borderId="109"/>
    <xf numFmtId="179" fontId="51" fillId="0" borderId="109"/>
    <xf numFmtId="171" fontId="51" fillId="0" borderId="109"/>
    <xf numFmtId="0" fontId="11" fillId="22" borderId="106" applyNumberFormat="0" applyAlignment="0" applyProtection="0"/>
    <xf numFmtId="0" fontId="18" fillId="9" borderId="106" applyNumberFormat="0" applyAlignment="0" applyProtection="0"/>
    <xf numFmtId="0" fontId="23" fillId="0" borderId="111" applyNumberFormat="0" applyFill="0" applyAlignment="0" applyProtection="0"/>
    <xf numFmtId="179" fontId="51" fillId="0" borderId="109"/>
    <xf numFmtId="179" fontId="51" fillId="0" borderId="109"/>
    <xf numFmtId="174" fontId="51" fillId="0" borderId="109"/>
    <xf numFmtId="173" fontId="51" fillId="0" borderId="109"/>
    <xf numFmtId="0" fontId="8" fillId="25" borderId="99" applyNumberFormat="0" applyFont="0" applyAlignment="0" applyProtection="0"/>
    <xf numFmtId="174"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23" fillId="0" borderId="111" applyNumberFormat="0" applyFill="0" applyAlignment="0" applyProtection="0"/>
    <xf numFmtId="179"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1" fontId="51" fillId="0" borderId="109"/>
    <xf numFmtId="17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9" fontId="51" fillId="0" borderId="109"/>
    <xf numFmtId="174" fontId="51" fillId="0" borderId="109"/>
    <xf numFmtId="172"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12">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12">
      <protection locked="0"/>
    </xf>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79" fontId="51" fillId="0" borderId="109"/>
    <xf numFmtId="179" fontId="51" fillId="0" borderId="109"/>
    <xf numFmtId="180" fontId="51" fillId="0" borderId="109"/>
    <xf numFmtId="171" fontId="51" fillId="0" borderId="109"/>
    <xf numFmtId="174" fontId="51" fillId="0" borderId="109"/>
    <xf numFmtId="174" fontId="51" fillId="0" borderId="109"/>
    <xf numFmtId="176" fontId="51" fillId="0" borderId="109"/>
    <xf numFmtId="171"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171" fontId="51" fillId="0" borderId="113"/>
    <xf numFmtId="0" fontId="11" fillId="22" borderId="106" applyNumberFormat="0" applyAlignment="0" applyProtection="0"/>
    <xf numFmtId="0" fontId="18" fillId="9" borderId="106" applyNumberFormat="0" applyAlignment="0" applyProtection="0"/>
    <xf numFmtId="0" fontId="11" fillId="22" borderId="106" applyNumberFormat="0" applyAlignment="0" applyProtection="0"/>
    <xf numFmtId="174" fontId="51" fillId="0" borderId="113"/>
    <xf numFmtId="0" fontId="21" fillId="22" borderId="110"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0" fontId="8" fillId="25" borderId="99" applyNumberFormat="0" applyFont="0" applyAlignment="0" applyProtection="0"/>
    <xf numFmtId="175" fontId="51" fillId="0" borderId="109"/>
    <xf numFmtId="179" fontId="51" fillId="0" borderId="109"/>
    <xf numFmtId="171" fontId="51" fillId="0" borderId="109"/>
    <xf numFmtId="172" fontId="51" fillId="0" borderId="109"/>
    <xf numFmtId="173" fontId="51" fillId="0" borderId="109"/>
    <xf numFmtId="0" fontId="8" fillId="25" borderId="99" applyNumberFormat="0" applyFont="0" applyAlignment="0" applyProtection="0"/>
    <xf numFmtId="174" fontId="51" fillId="0" borderId="109"/>
    <xf numFmtId="175" fontId="51" fillId="0" borderId="109"/>
    <xf numFmtId="176" fontId="51" fillId="0" borderId="109"/>
    <xf numFmtId="175" fontId="51" fillId="0" borderId="109"/>
    <xf numFmtId="179" fontId="51" fillId="0" borderId="109"/>
    <xf numFmtId="180" fontId="51" fillId="0" borderId="109"/>
    <xf numFmtId="181" fontId="51" fillId="0" borderId="109"/>
    <xf numFmtId="174" fontId="51" fillId="0" borderId="109"/>
    <xf numFmtId="174" fontId="51" fillId="0" borderId="109"/>
    <xf numFmtId="171" fontId="51" fillId="0" borderId="109"/>
    <xf numFmtId="0" fontId="54" fillId="46" borderId="108">
      <protection locked="0"/>
    </xf>
    <xf numFmtId="0" fontId="11" fillId="22" borderId="106" applyNumberFormat="0" applyAlignment="0" applyProtection="0"/>
    <xf numFmtId="0" fontId="11" fillId="22" borderId="106" applyNumberFormat="0" applyAlignment="0" applyProtection="0"/>
    <xf numFmtId="181" fontId="51" fillId="0" borderId="109"/>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173" fontId="51" fillId="0" borderId="109"/>
    <xf numFmtId="0" fontId="18" fillId="9" borderId="106" applyNumberFormat="0" applyAlignment="0" applyProtection="0"/>
    <xf numFmtId="0" fontId="11" fillId="22" borderId="106" applyNumberFormat="0" applyAlignment="0" applyProtection="0"/>
    <xf numFmtId="174" fontId="51" fillId="0" borderId="109"/>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2" fontId="51" fillId="0" borderId="109"/>
    <xf numFmtId="173" fontId="51" fillId="0" borderId="109"/>
    <xf numFmtId="0" fontId="18" fillId="9" borderId="106" applyNumberFormat="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179" fontId="51" fillId="0" borderId="119"/>
    <xf numFmtId="0" fontId="21" fillId="22" borderId="110" applyNumberFormat="0" applyAlignment="0" applyProtection="0"/>
    <xf numFmtId="0" fontId="23" fillId="0" borderId="111" applyNumberFormat="0" applyFill="0" applyAlignment="0" applyProtection="0"/>
    <xf numFmtId="176" fontId="51" fillId="0" borderId="109"/>
    <xf numFmtId="171" fontId="51" fillId="0" borderId="109"/>
    <xf numFmtId="172" fontId="51" fillId="0" borderId="109"/>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174" fontId="51" fillId="0" borderId="109"/>
    <xf numFmtId="179"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171" fontId="51" fillId="0" borderId="109"/>
    <xf numFmtId="179" fontId="51" fillId="0" borderId="109"/>
    <xf numFmtId="174" fontId="51" fillId="0" borderId="109"/>
    <xf numFmtId="174" fontId="51" fillId="0" borderId="109"/>
    <xf numFmtId="179" fontId="51" fillId="0" borderId="109"/>
    <xf numFmtId="171"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0" fontId="54" fillId="46" borderId="108">
      <protection locked="0"/>
    </xf>
    <xf numFmtId="171" fontId="51" fillId="0" borderId="109"/>
    <xf numFmtId="181" fontId="51" fillId="0" borderId="109"/>
    <xf numFmtId="174" fontId="51" fillId="0" borderId="109"/>
    <xf numFmtId="176" fontId="51" fillId="0" borderId="109"/>
    <xf numFmtId="173" fontId="51" fillId="0" borderId="109"/>
    <xf numFmtId="172" fontId="51" fillId="0" borderId="109"/>
    <xf numFmtId="179"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179" fontId="51" fillId="0" borderId="109"/>
    <xf numFmtId="180"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12">
      <protection locked="0"/>
    </xf>
    <xf numFmtId="171" fontId="51" fillId="0" borderId="109"/>
    <xf numFmtId="174" fontId="51" fillId="0" borderId="109"/>
    <xf numFmtId="179" fontId="51" fillId="0" borderId="109"/>
    <xf numFmtId="0" fontId="54" fillId="46" borderId="108">
      <protection locked="0"/>
    </xf>
    <xf numFmtId="0" fontId="54" fillId="46" borderId="108">
      <protection locked="0"/>
    </xf>
    <xf numFmtId="0" fontId="11" fillId="22" borderId="106" applyNumberFormat="0" applyAlignment="0" applyProtection="0"/>
    <xf numFmtId="174" fontId="51" fillId="0" borderId="109"/>
    <xf numFmtId="171" fontId="51" fillId="0" borderId="109"/>
    <xf numFmtId="174" fontId="51" fillId="0" borderId="109"/>
    <xf numFmtId="174" fontId="51" fillId="0" borderId="109"/>
    <xf numFmtId="0" fontId="21" fillId="22" borderId="110" applyNumberFormat="0" applyAlignment="0" applyProtection="0"/>
    <xf numFmtId="179" fontId="51" fillId="0" borderId="109"/>
    <xf numFmtId="174" fontId="51" fillId="0" borderId="109"/>
    <xf numFmtId="0" fontId="54" fillId="46" borderId="108">
      <protection locked="0"/>
    </xf>
    <xf numFmtId="0" fontId="21" fillId="22" borderId="110" applyNumberFormat="0" applyAlignment="0" applyProtection="0"/>
    <xf numFmtId="0" fontId="8" fillId="25" borderId="99" applyNumberFormat="0" applyFont="0" applyAlignment="0" applyProtection="0"/>
    <xf numFmtId="171" fontId="51" fillId="0" borderId="109"/>
    <xf numFmtId="0" fontId="8" fillId="25" borderId="99" applyNumberFormat="0" applyFont="0" applyAlignment="0" applyProtection="0"/>
    <xf numFmtId="173" fontId="51" fillId="0" borderId="109"/>
    <xf numFmtId="0" fontId="23" fillId="0" borderId="111" applyNumberFormat="0" applyFill="0" applyAlignment="0" applyProtection="0"/>
    <xf numFmtId="175" fontId="51" fillId="0" borderId="109"/>
    <xf numFmtId="174" fontId="51" fillId="0" borderId="109"/>
    <xf numFmtId="0" fontId="23" fillId="0" borderId="111" applyNumberFormat="0" applyFill="0" applyAlignment="0" applyProtection="0"/>
    <xf numFmtId="181" fontId="51" fillId="0" borderId="109"/>
    <xf numFmtId="174" fontId="51" fillId="0" borderId="109"/>
    <xf numFmtId="174" fontId="51" fillId="0" borderId="109"/>
    <xf numFmtId="0" fontId="18" fillId="9" borderId="106" applyNumberFormat="0" applyAlignment="0" applyProtection="0"/>
    <xf numFmtId="0" fontId="21" fillId="22" borderId="110" applyNumberFormat="0" applyAlignment="0" applyProtection="0"/>
    <xf numFmtId="171" fontId="51" fillId="0" borderId="109"/>
    <xf numFmtId="172" fontId="51" fillId="0" borderId="109"/>
    <xf numFmtId="176" fontId="51" fillId="0" borderId="109"/>
    <xf numFmtId="0" fontId="23" fillId="0" borderId="111" applyNumberFormat="0" applyFill="0" applyAlignment="0" applyProtection="0"/>
    <xf numFmtId="0" fontId="8" fillId="25" borderId="99" applyNumberFormat="0" applyFont="0" applyAlignment="0" applyProtection="0"/>
    <xf numFmtId="175" fontId="51" fillId="0" borderId="109"/>
    <xf numFmtId="171" fontId="51" fillId="0" borderId="109"/>
    <xf numFmtId="179" fontId="51" fillId="0" borderId="109"/>
    <xf numFmtId="0" fontId="18" fillId="9" borderId="106" applyNumberFormat="0" applyAlignment="0" applyProtection="0"/>
    <xf numFmtId="171" fontId="51" fillId="0" borderId="109"/>
    <xf numFmtId="0" fontId="21" fillId="22" borderId="110" applyNumberFormat="0" applyAlignment="0" applyProtection="0"/>
    <xf numFmtId="179" fontId="51" fillId="0" borderId="109"/>
    <xf numFmtId="171" fontId="51" fillId="0" borderId="109"/>
    <xf numFmtId="179" fontId="51" fillId="0" borderId="109"/>
    <xf numFmtId="174" fontId="51" fillId="0" borderId="109"/>
    <xf numFmtId="172" fontId="51" fillId="0" borderId="109"/>
    <xf numFmtId="171" fontId="51" fillId="0" borderId="109"/>
    <xf numFmtId="174" fontId="51" fillId="0" borderId="109"/>
    <xf numFmtId="173" fontId="51" fillId="0" borderId="109"/>
    <xf numFmtId="180" fontId="51" fillId="0" borderId="109"/>
    <xf numFmtId="179" fontId="51" fillId="0" borderId="109"/>
    <xf numFmtId="174" fontId="51" fillId="0" borderId="109"/>
    <xf numFmtId="171" fontId="51" fillId="0" borderId="109"/>
    <xf numFmtId="179" fontId="51" fillId="0" borderId="109"/>
    <xf numFmtId="174" fontId="51" fillId="0" borderId="109"/>
    <xf numFmtId="171" fontId="51" fillId="0" borderId="109"/>
    <xf numFmtId="179" fontId="51" fillId="0" borderId="109"/>
    <xf numFmtId="179" fontId="51" fillId="0" borderId="109"/>
    <xf numFmtId="180" fontId="51" fillId="0" borderId="109"/>
    <xf numFmtId="176" fontId="51" fillId="0" borderId="109"/>
    <xf numFmtId="171" fontId="51" fillId="0" borderId="109"/>
    <xf numFmtId="0" fontId="23" fillId="0" borderId="111" applyNumberFormat="0" applyFill="0" applyAlignment="0" applyProtection="0"/>
    <xf numFmtId="0" fontId="11" fillId="22" borderId="106" applyNumberFormat="0" applyAlignment="0" applyProtection="0"/>
    <xf numFmtId="171" fontId="51" fillId="0" borderId="109"/>
    <xf numFmtId="173" fontId="51" fillId="0" borderId="109"/>
    <xf numFmtId="171" fontId="51" fillId="0" borderId="109"/>
    <xf numFmtId="174" fontId="51" fillId="0" borderId="109"/>
    <xf numFmtId="179" fontId="51" fillId="0" borderId="109"/>
    <xf numFmtId="171" fontId="51" fillId="0" borderId="109"/>
    <xf numFmtId="0" fontId="18" fillId="9" borderId="106" applyNumberFormat="0" applyAlignment="0" applyProtection="0"/>
    <xf numFmtId="173" fontId="51" fillId="0" borderId="109"/>
    <xf numFmtId="0" fontId="11" fillId="22" borderId="106" applyNumberFormat="0" applyAlignment="0" applyProtection="0"/>
    <xf numFmtId="181" fontId="51" fillId="0" borderId="109"/>
    <xf numFmtId="171" fontId="51" fillId="0" borderId="109"/>
    <xf numFmtId="172" fontId="51" fillId="0" borderId="109"/>
    <xf numFmtId="174" fontId="51" fillId="0" borderId="109"/>
    <xf numFmtId="175" fontId="51" fillId="0" borderId="109"/>
    <xf numFmtId="174" fontId="51" fillId="0" borderId="109"/>
    <xf numFmtId="174" fontId="51" fillId="0" borderId="109"/>
    <xf numFmtId="0" fontId="11" fillId="22" borderId="106" applyNumberFormat="0" applyAlignment="0" applyProtection="0"/>
    <xf numFmtId="171" fontId="51" fillId="0" borderId="109"/>
    <xf numFmtId="174" fontId="51" fillId="0" borderId="109"/>
    <xf numFmtId="181" fontId="51" fillId="0" borderId="109"/>
    <xf numFmtId="171"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179" fontId="51" fillId="0" borderId="109"/>
    <xf numFmtId="0" fontId="8" fillId="25" borderId="99" applyNumberFormat="0" applyFont="0" applyAlignment="0" applyProtection="0"/>
    <xf numFmtId="171" fontId="51" fillId="0" borderId="109"/>
    <xf numFmtId="179" fontId="51" fillId="0" borderId="109"/>
    <xf numFmtId="179" fontId="51" fillId="0" borderId="109"/>
    <xf numFmtId="0" fontId="54" fillId="46" borderId="108">
      <protection locked="0"/>
    </xf>
    <xf numFmtId="0" fontId="8" fillId="25" borderId="99" applyNumberFormat="0" applyFont="0" applyAlignment="0" applyProtection="0"/>
    <xf numFmtId="179" fontId="51" fillId="0" borderId="109"/>
    <xf numFmtId="176" fontId="51" fillId="0" borderId="109"/>
    <xf numFmtId="171" fontId="51" fillId="0" borderId="109"/>
    <xf numFmtId="0" fontId="11" fillId="22" borderId="106" applyNumberFormat="0" applyAlignment="0" applyProtection="0"/>
    <xf numFmtId="174" fontId="51" fillId="0" borderId="109"/>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0" fontId="21" fillId="22" borderId="110" applyNumberFormat="0" applyAlignment="0" applyProtection="0"/>
    <xf numFmtId="174" fontId="51" fillId="0" borderId="109"/>
    <xf numFmtId="174" fontId="51" fillId="0" borderId="109"/>
    <xf numFmtId="172" fontId="51" fillId="0" borderId="109"/>
    <xf numFmtId="174" fontId="51" fillId="0" borderId="109"/>
    <xf numFmtId="179" fontId="51" fillId="0" borderId="109"/>
    <xf numFmtId="179" fontId="51" fillId="0" borderId="109"/>
    <xf numFmtId="171" fontId="51" fillId="0" borderId="109"/>
    <xf numFmtId="174" fontId="51" fillId="0" borderId="109"/>
    <xf numFmtId="179" fontId="51" fillId="0" borderId="109"/>
    <xf numFmtId="171" fontId="51" fillId="0" borderId="109"/>
    <xf numFmtId="173" fontId="51" fillId="0" borderId="109"/>
    <xf numFmtId="179" fontId="51" fillId="0" borderId="109"/>
    <xf numFmtId="0" fontId="23" fillId="0" borderId="111" applyNumberFormat="0" applyFill="0" applyAlignment="0" applyProtection="0"/>
    <xf numFmtId="174" fontId="51" fillId="0" borderId="109"/>
    <xf numFmtId="174" fontId="51" fillId="0" borderId="109"/>
    <xf numFmtId="179" fontId="51" fillId="0" borderId="109"/>
    <xf numFmtId="171" fontId="51" fillId="0" borderId="109"/>
    <xf numFmtId="0" fontId="18" fillId="9" borderId="106" applyNumberFormat="0" applyAlignment="0" applyProtection="0"/>
    <xf numFmtId="176" fontId="51" fillId="0" borderId="109"/>
    <xf numFmtId="175" fontId="51" fillId="0" borderId="109"/>
    <xf numFmtId="180" fontId="51" fillId="0" borderId="109"/>
    <xf numFmtId="175" fontId="51" fillId="0" borderId="109"/>
    <xf numFmtId="180" fontId="51" fillId="0" borderId="109"/>
    <xf numFmtId="172" fontId="51" fillId="0" borderId="109"/>
    <xf numFmtId="0" fontId="54" fillId="46" borderId="108">
      <protection locked="0"/>
    </xf>
    <xf numFmtId="180" fontId="51" fillId="0" borderId="109"/>
    <xf numFmtId="181" fontId="51" fillId="0" borderId="109"/>
    <xf numFmtId="0" fontId="54" fillId="46" borderId="108">
      <protection locked="0"/>
    </xf>
    <xf numFmtId="174" fontId="51" fillId="0" borderId="109"/>
    <xf numFmtId="181" fontId="51" fillId="0" borderId="109"/>
    <xf numFmtId="175" fontId="51" fillId="0" borderId="109"/>
    <xf numFmtId="176" fontId="51" fillId="0" borderId="109"/>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9" fontId="51" fillId="0" borderId="109"/>
    <xf numFmtId="171" fontId="51" fillId="0" borderId="109"/>
    <xf numFmtId="174" fontId="51" fillId="0" borderId="109"/>
    <xf numFmtId="179" fontId="51" fillId="0" borderId="109"/>
    <xf numFmtId="179" fontId="51" fillId="0" borderId="109"/>
    <xf numFmtId="179" fontId="51" fillId="0" borderId="109"/>
    <xf numFmtId="174" fontId="51" fillId="0" borderId="109"/>
    <xf numFmtId="179" fontId="51" fillId="0" borderId="109"/>
    <xf numFmtId="179" fontId="51" fillId="0" borderId="109"/>
    <xf numFmtId="174" fontId="51" fillId="0" borderId="109"/>
    <xf numFmtId="174" fontId="51" fillId="0" borderId="109"/>
    <xf numFmtId="0" fontId="21" fillId="22" borderId="110" applyNumberFormat="0" applyAlignment="0" applyProtection="0"/>
    <xf numFmtId="174" fontId="51" fillId="0" borderId="109"/>
    <xf numFmtId="0" fontId="23" fillId="0" borderId="111" applyNumberFormat="0" applyFill="0" applyAlignment="0" applyProtection="0"/>
    <xf numFmtId="171" fontId="51" fillId="0" borderId="109"/>
    <xf numFmtId="171" fontId="51" fillId="0" borderId="109"/>
    <xf numFmtId="174" fontId="51" fillId="0" borderId="109"/>
    <xf numFmtId="175" fontId="51" fillId="0" borderId="109"/>
    <xf numFmtId="0" fontId="18" fillId="9" borderId="106" applyNumberFormat="0" applyAlignment="0" applyProtection="0"/>
    <xf numFmtId="171" fontId="51" fillId="0" borderId="109"/>
    <xf numFmtId="0" fontId="21" fillId="22" borderId="110" applyNumberFormat="0" applyAlignment="0" applyProtection="0"/>
    <xf numFmtId="173" fontId="51" fillId="0" borderId="109"/>
    <xf numFmtId="171" fontId="51" fillId="0" borderId="109"/>
    <xf numFmtId="0" fontId="18" fillId="9" borderId="106" applyNumberFormat="0" applyAlignment="0" applyProtection="0"/>
    <xf numFmtId="176" fontId="51" fillId="0" borderId="109"/>
    <xf numFmtId="0" fontId="11" fillId="22" borderId="106" applyNumberFormat="0" applyAlignment="0" applyProtection="0"/>
    <xf numFmtId="171" fontId="51" fillId="0" borderId="109"/>
    <xf numFmtId="171" fontId="51" fillId="0" borderId="109"/>
    <xf numFmtId="179" fontId="51" fillId="0" borderId="109"/>
    <xf numFmtId="0" fontId="54" fillId="46" borderId="108">
      <protection locked="0"/>
    </xf>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5" fontId="51" fillId="0" borderId="109"/>
    <xf numFmtId="179" fontId="51" fillId="0" borderId="109"/>
    <xf numFmtId="171" fontId="51" fillId="0" borderId="109"/>
    <xf numFmtId="171" fontId="51" fillId="0" borderId="109"/>
    <xf numFmtId="0" fontId="23" fillId="0" borderId="111" applyNumberFormat="0" applyFill="0" applyAlignment="0" applyProtection="0"/>
    <xf numFmtId="179" fontId="51" fillId="0" borderId="109"/>
    <xf numFmtId="171" fontId="51" fillId="0" borderId="109"/>
    <xf numFmtId="171" fontId="51" fillId="0" borderId="109"/>
    <xf numFmtId="179" fontId="51" fillId="0" borderId="109"/>
    <xf numFmtId="174" fontId="51" fillId="0" borderId="109"/>
    <xf numFmtId="174" fontId="51" fillId="0" borderId="109"/>
    <xf numFmtId="179" fontId="51" fillId="0" borderId="109"/>
    <xf numFmtId="179" fontId="51" fillId="0" borderId="109"/>
    <xf numFmtId="179" fontId="51" fillId="0" borderId="109"/>
    <xf numFmtId="171" fontId="51" fillId="0" borderId="109"/>
    <xf numFmtId="173" fontId="51" fillId="0" borderId="109"/>
    <xf numFmtId="171" fontId="51" fillId="0" borderId="109"/>
    <xf numFmtId="179" fontId="51" fillId="0" borderId="109"/>
    <xf numFmtId="0" fontId="18" fillId="9" borderId="106" applyNumberFormat="0" applyAlignment="0" applyProtection="0"/>
    <xf numFmtId="179" fontId="51" fillId="0" borderId="109"/>
    <xf numFmtId="179" fontId="51" fillId="0" borderId="109"/>
    <xf numFmtId="0" fontId="23" fillId="0" borderId="111" applyNumberFormat="0" applyFill="0" applyAlignment="0" applyProtection="0"/>
    <xf numFmtId="171" fontId="51" fillId="0" borderId="109"/>
    <xf numFmtId="0" fontId="8" fillId="25" borderId="99" applyNumberFormat="0" applyFont="0" applyAlignment="0" applyProtection="0"/>
    <xf numFmtId="0" fontId="18" fillId="9" borderId="106" applyNumberFormat="0" applyAlignment="0" applyProtection="0"/>
    <xf numFmtId="171" fontId="51" fillId="0" borderId="109"/>
    <xf numFmtId="179" fontId="51" fillId="0" borderId="109"/>
    <xf numFmtId="0" fontId="8" fillId="25" borderId="99" applyNumberFormat="0" applyFont="0" applyAlignment="0" applyProtection="0"/>
    <xf numFmtId="0" fontId="11" fillId="22" borderId="106" applyNumberFormat="0" applyAlignment="0" applyProtection="0"/>
    <xf numFmtId="171" fontId="51" fillId="0" borderId="109"/>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1" fontId="51" fillId="0" borderId="109"/>
    <xf numFmtId="180" fontId="51" fillId="0" borderId="109"/>
    <xf numFmtId="174" fontId="51" fillId="0" borderId="109"/>
    <xf numFmtId="174" fontId="51" fillId="0" borderId="109"/>
    <xf numFmtId="173" fontId="51" fillId="0" borderId="109"/>
    <xf numFmtId="179" fontId="51" fillId="0" borderId="109"/>
    <xf numFmtId="172" fontId="51" fillId="0" borderId="109"/>
    <xf numFmtId="0" fontId="21" fillId="22" borderId="110" applyNumberFormat="0" applyAlignment="0" applyProtection="0"/>
    <xf numFmtId="171" fontId="51" fillId="0" borderId="109"/>
    <xf numFmtId="174" fontId="51" fillId="0" borderId="109"/>
    <xf numFmtId="179" fontId="51" fillId="0" borderId="109"/>
    <xf numFmtId="0" fontId="11" fillId="22" borderId="106" applyNumberFormat="0" applyAlignment="0" applyProtection="0"/>
    <xf numFmtId="174" fontId="51" fillId="0" borderId="109"/>
    <xf numFmtId="175" fontId="51" fillId="0" borderId="109"/>
    <xf numFmtId="174" fontId="51" fillId="0" borderId="109"/>
    <xf numFmtId="181" fontId="51" fillId="0" borderId="109"/>
    <xf numFmtId="171" fontId="51" fillId="0" borderId="109"/>
    <xf numFmtId="176" fontId="51" fillId="0" borderId="109"/>
    <xf numFmtId="172" fontId="51" fillId="0" borderId="109"/>
    <xf numFmtId="179" fontId="51" fillId="0" borderId="109"/>
    <xf numFmtId="180" fontId="51" fillId="0" borderId="109"/>
    <xf numFmtId="181" fontId="51" fillId="0" borderId="109"/>
    <xf numFmtId="0" fontId="54" fillId="46" borderId="108">
      <protection locked="0"/>
    </xf>
    <xf numFmtId="0" fontId="18" fillId="9" borderId="106"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4" fontId="51" fillId="0" borderId="109"/>
    <xf numFmtId="174" fontId="51" fillId="0" borderId="109"/>
    <xf numFmtId="174" fontId="51" fillId="0" borderId="109"/>
    <xf numFmtId="171" fontId="51" fillId="0" borderId="109"/>
    <xf numFmtId="0" fontId="18" fillId="9" borderId="106" applyNumberFormat="0" applyAlignment="0" applyProtection="0"/>
    <xf numFmtId="174" fontId="51" fillId="0" borderId="109"/>
    <xf numFmtId="171" fontId="51" fillId="0" borderId="109"/>
    <xf numFmtId="179" fontId="51" fillId="0" borderId="109"/>
    <xf numFmtId="173" fontId="51" fillId="0" borderId="109"/>
    <xf numFmtId="173" fontId="51" fillId="0" borderId="109"/>
    <xf numFmtId="171" fontId="51" fillId="0" borderId="109"/>
    <xf numFmtId="173" fontId="51" fillId="0" borderId="109"/>
    <xf numFmtId="174" fontId="51" fillId="0" borderId="109"/>
    <xf numFmtId="176" fontId="51" fillId="0" borderId="109"/>
    <xf numFmtId="171" fontId="51" fillId="0" borderId="109"/>
    <xf numFmtId="0" fontId="11" fillId="22" borderId="106" applyNumberFormat="0" applyAlignment="0" applyProtection="0"/>
    <xf numFmtId="179" fontId="51" fillId="0" borderId="109"/>
    <xf numFmtId="179" fontId="51" fillId="0" borderId="109"/>
    <xf numFmtId="179" fontId="51" fillId="0" borderId="109"/>
    <xf numFmtId="171" fontId="51" fillId="0" borderId="109"/>
    <xf numFmtId="0" fontId="8" fillId="25" borderId="99" applyNumberFormat="0" applyFont="0" applyAlignment="0" applyProtection="0"/>
    <xf numFmtId="171" fontId="51" fillId="0" borderId="109"/>
    <xf numFmtId="180" fontId="51" fillId="0" borderId="109"/>
    <xf numFmtId="174" fontId="51" fillId="0" borderId="109"/>
    <xf numFmtId="175" fontId="51" fillId="0" borderId="109"/>
    <xf numFmtId="0" fontId="18" fillId="9" borderId="106" applyNumberFormat="0" applyAlignment="0" applyProtection="0"/>
    <xf numFmtId="171" fontId="51" fillId="0" borderId="109"/>
    <xf numFmtId="179" fontId="51" fillId="0" borderId="109"/>
    <xf numFmtId="174" fontId="51" fillId="0" borderId="109"/>
    <xf numFmtId="179" fontId="51" fillId="0" borderId="109"/>
    <xf numFmtId="171" fontId="51" fillId="0" borderId="109"/>
    <xf numFmtId="179" fontId="51" fillId="0" borderId="109"/>
    <xf numFmtId="174" fontId="51" fillId="0" borderId="109"/>
    <xf numFmtId="174" fontId="51" fillId="0" borderId="109"/>
    <xf numFmtId="171" fontId="51" fillId="0" borderId="109"/>
    <xf numFmtId="174" fontId="51" fillId="0" borderId="109"/>
    <xf numFmtId="175" fontId="51" fillId="0" borderId="109"/>
    <xf numFmtId="174" fontId="51" fillId="0" borderId="109"/>
    <xf numFmtId="179" fontId="51" fillId="0" borderId="109"/>
    <xf numFmtId="179" fontId="51" fillId="0" borderId="109"/>
    <xf numFmtId="171" fontId="51" fillId="0" borderId="109"/>
    <xf numFmtId="0" fontId="21" fillId="22" borderId="110" applyNumberFormat="0" applyAlignment="0" applyProtection="0"/>
    <xf numFmtId="172" fontId="51" fillId="0" borderId="109"/>
    <xf numFmtId="0" fontId="23" fillId="0" borderId="111" applyNumberFormat="0" applyFill="0" applyAlignment="0" applyProtection="0"/>
    <xf numFmtId="0" fontId="8" fillId="25" borderId="99" applyNumberFormat="0" applyFont="0" applyAlignment="0" applyProtection="0"/>
    <xf numFmtId="0" fontId="11" fillId="22" borderId="106" applyNumberFormat="0" applyAlignment="0" applyProtection="0"/>
    <xf numFmtId="0" fontId="54" fillId="46" borderId="108">
      <protection locked="0"/>
    </xf>
    <xf numFmtId="175" fontId="51" fillId="0" borderId="109"/>
    <xf numFmtId="0" fontId="23" fillId="0" borderId="111" applyNumberFormat="0" applyFill="0" applyAlignment="0" applyProtection="0"/>
    <xf numFmtId="174" fontId="51" fillId="0" borderId="109"/>
    <xf numFmtId="0" fontId="21" fillId="22" borderId="110" applyNumberFormat="0" applyAlignment="0" applyProtection="0"/>
    <xf numFmtId="171" fontId="51" fillId="0" borderId="109"/>
    <xf numFmtId="181" fontId="51" fillId="0" borderId="109"/>
    <xf numFmtId="171" fontId="51" fillId="0" borderId="109"/>
    <xf numFmtId="179" fontId="51" fillId="0" borderId="109"/>
    <xf numFmtId="0" fontId="11" fillId="22" borderId="106" applyNumberFormat="0" applyAlignment="0" applyProtection="0"/>
    <xf numFmtId="174" fontId="51" fillId="0" borderId="109"/>
    <xf numFmtId="180" fontId="51" fillId="0" borderId="109"/>
    <xf numFmtId="174" fontId="51" fillId="0" borderId="109"/>
    <xf numFmtId="171" fontId="51" fillId="0" borderId="109"/>
    <xf numFmtId="174" fontId="51" fillId="0" borderId="109"/>
    <xf numFmtId="172" fontId="51" fillId="0" borderId="109"/>
    <xf numFmtId="179" fontId="51" fillId="0" borderId="109"/>
    <xf numFmtId="176" fontId="51" fillId="0" borderId="109"/>
    <xf numFmtId="174" fontId="51" fillId="0" borderId="109"/>
    <xf numFmtId="172" fontId="51" fillId="0" borderId="109"/>
    <xf numFmtId="171" fontId="51" fillId="0" borderId="109"/>
    <xf numFmtId="180" fontId="51" fillId="0" borderId="109"/>
    <xf numFmtId="181" fontId="51" fillId="0" borderId="109"/>
    <xf numFmtId="0" fontId="54" fillId="46" borderId="108">
      <protection locked="0"/>
    </xf>
    <xf numFmtId="179" fontId="51" fillId="0" borderId="109"/>
    <xf numFmtId="179" fontId="51" fillId="0" borderId="109"/>
    <xf numFmtId="179" fontId="51" fillId="0" borderId="109"/>
    <xf numFmtId="171" fontId="51" fillId="0" borderId="109"/>
    <xf numFmtId="179" fontId="51" fillId="0" borderId="109"/>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81" fontId="51" fillId="0" borderId="109"/>
    <xf numFmtId="171" fontId="51" fillId="0" borderId="109"/>
    <xf numFmtId="174" fontId="51" fillId="0" borderId="109"/>
    <xf numFmtId="179" fontId="51" fillId="0" borderId="109"/>
    <xf numFmtId="171" fontId="51" fillId="0" borderId="109"/>
    <xf numFmtId="0" fontId="8" fillId="25" borderId="99" applyNumberFormat="0" applyFont="0" applyAlignment="0" applyProtection="0"/>
    <xf numFmtId="174" fontId="51" fillId="0" borderId="109"/>
    <xf numFmtId="176" fontId="51" fillId="0" borderId="109"/>
    <xf numFmtId="179" fontId="51" fillId="0" borderId="109"/>
    <xf numFmtId="171" fontId="51" fillId="0" borderId="109"/>
    <xf numFmtId="174"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4" fontId="51" fillId="0" borderId="109"/>
    <xf numFmtId="179" fontId="51" fillId="0" borderId="109"/>
    <xf numFmtId="171" fontId="51" fillId="0" borderId="109"/>
    <xf numFmtId="179" fontId="51" fillId="0" borderId="109"/>
    <xf numFmtId="179" fontId="51" fillId="0" borderId="109"/>
    <xf numFmtId="174" fontId="51" fillId="0" borderId="109"/>
    <xf numFmtId="174" fontId="51" fillId="0" borderId="109"/>
    <xf numFmtId="171" fontId="51" fillId="0" borderId="109"/>
    <xf numFmtId="171" fontId="51" fillId="0" borderId="109"/>
    <xf numFmtId="171" fontId="51" fillId="0" borderId="109"/>
    <xf numFmtId="0" fontId="54" fillId="46" borderId="112">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4" fontId="51" fillId="0" borderId="109"/>
    <xf numFmtId="0" fontId="54" fillId="46" borderId="112">
      <protection locked="0"/>
    </xf>
    <xf numFmtId="176" fontId="51" fillId="0" borderId="109"/>
    <xf numFmtId="181" fontId="51" fillId="0" borderId="109"/>
    <xf numFmtId="171" fontId="51" fillId="0" borderId="109"/>
    <xf numFmtId="0" fontId="11" fillId="22" borderId="106" applyNumberFormat="0" applyAlignment="0" applyProtection="0"/>
    <xf numFmtId="0" fontId="18" fillId="9" borderId="106" applyNumberFormat="0" applyAlignment="0" applyProtection="0"/>
    <xf numFmtId="181" fontId="51" fillId="0" borderId="109"/>
    <xf numFmtId="180" fontId="51" fillId="0" borderId="109"/>
    <xf numFmtId="179" fontId="51" fillId="0" borderId="109"/>
    <xf numFmtId="171" fontId="51" fillId="0" borderId="109"/>
    <xf numFmtId="175" fontId="51" fillId="0" borderId="109"/>
    <xf numFmtId="176" fontId="51" fillId="0" borderId="109"/>
    <xf numFmtId="175" fontId="51" fillId="0" borderId="109"/>
    <xf numFmtId="174" fontId="51" fillId="0" borderId="109"/>
    <xf numFmtId="176" fontId="51" fillId="0" borderId="109"/>
    <xf numFmtId="180" fontId="51" fillId="0" borderId="109"/>
    <xf numFmtId="173" fontId="51" fillId="0" borderId="109"/>
    <xf numFmtId="0" fontId="11" fillId="22" borderId="106" applyNumberFormat="0" applyAlignment="0" applyProtection="0"/>
    <xf numFmtId="172" fontId="51" fillId="0" borderId="109"/>
    <xf numFmtId="179" fontId="51" fillId="0" borderId="109"/>
    <xf numFmtId="176" fontId="51" fillId="0" borderId="109"/>
    <xf numFmtId="174" fontId="51" fillId="0" borderId="109"/>
    <xf numFmtId="171" fontId="51" fillId="0" borderId="109"/>
    <xf numFmtId="0" fontId="21" fillId="22" borderId="110" applyNumberFormat="0" applyAlignment="0" applyProtection="0"/>
    <xf numFmtId="0" fontId="23" fillId="0" borderId="111" applyNumberFormat="0" applyFill="0" applyAlignment="0" applyProtection="0"/>
    <xf numFmtId="180" fontId="51" fillId="0" borderId="109"/>
    <xf numFmtId="175" fontId="51" fillId="0" borderId="109"/>
    <xf numFmtId="173" fontId="51" fillId="0" borderId="109"/>
    <xf numFmtId="172" fontId="51" fillId="0" borderId="109"/>
    <xf numFmtId="171" fontId="51" fillId="0" borderId="109"/>
    <xf numFmtId="181"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11" fillId="22" borderId="106" applyNumberFormat="0" applyAlignment="0" applyProtection="0"/>
    <xf numFmtId="0" fontId="54" fillId="46" borderId="108">
      <protection locked="0"/>
    </xf>
    <xf numFmtId="0" fontId="11" fillId="22" borderId="106" applyNumberFormat="0" applyAlignment="0" applyProtection="0"/>
    <xf numFmtId="0" fontId="21" fillId="22" borderId="110" applyNumberFormat="0" applyAlignment="0" applyProtection="0"/>
    <xf numFmtId="0" fontId="54" fillId="46" borderId="108">
      <protection locked="0"/>
    </xf>
    <xf numFmtId="173" fontId="51" fillId="0" borderId="109"/>
    <xf numFmtId="172"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23" fillId="0" borderId="111" applyNumberFormat="0" applyFill="0" applyAlignment="0" applyProtection="0"/>
    <xf numFmtId="171" fontId="51" fillId="0" borderId="109"/>
    <xf numFmtId="172"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9" fontId="51" fillId="0" borderId="109"/>
    <xf numFmtId="0" fontId="8" fillId="25" borderId="99" applyNumberFormat="0" applyFont="0" applyAlignment="0" applyProtection="0"/>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1" fontId="51" fillId="0" borderId="109"/>
    <xf numFmtId="179" fontId="51" fillId="0" borderId="109"/>
    <xf numFmtId="0" fontId="11" fillId="22" borderId="106" applyNumberFormat="0" applyAlignment="0" applyProtection="0"/>
    <xf numFmtId="0" fontId="54" fillId="46" borderId="108">
      <protection locked="0"/>
    </xf>
    <xf numFmtId="181" fontId="51" fillId="0" borderId="109"/>
    <xf numFmtId="171" fontId="51" fillId="0" borderId="109"/>
    <xf numFmtId="0" fontId="23" fillId="0" borderId="111" applyNumberFormat="0" applyFill="0" applyAlignment="0" applyProtection="0"/>
    <xf numFmtId="179" fontId="51" fillId="0" borderId="109"/>
    <xf numFmtId="0" fontId="54" fillId="46" borderId="108">
      <protection locked="0"/>
    </xf>
    <xf numFmtId="0" fontId="11" fillId="22" borderId="106" applyNumberFormat="0" applyAlignment="0" applyProtection="0"/>
    <xf numFmtId="171" fontId="51" fillId="0" borderId="109"/>
    <xf numFmtId="171" fontId="51" fillId="0" borderId="109"/>
    <xf numFmtId="0" fontId="18" fillId="9" borderId="106" applyNumberFormat="0" applyAlignment="0" applyProtection="0"/>
    <xf numFmtId="172" fontId="51" fillId="0" borderId="109"/>
    <xf numFmtId="171" fontId="51" fillId="0" borderId="109"/>
    <xf numFmtId="174" fontId="51" fillId="0" borderId="109"/>
    <xf numFmtId="171" fontId="51" fillId="0" borderId="109"/>
    <xf numFmtId="174" fontId="51" fillId="0" borderId="109"/>
    <xf numFmtId="175" fontId="51" fillId="0" borderId="109"/>
    <xf numFmtId="176" fontId="51" fillId="0" borderId="109"/>
    <xf numFmtId="0" fontId="8" fillId="25" borderId="99" applyNumberFormat="0" applyFont="0" applyAlignment="0" applyProtection="0"/>
    <xf numFmtId="174" fontId="51" fillId="0" borderId="109"/>
    <xf numFmtId="179" fontId="51" fillId="0" borderId="109"/>
    <xf numFmtId="171" fontId="51" fillId="0" borderId="109"/>
    <xf numFmtId="180" fontId="51" fillId="0" borderId="109"/>
    <xf numFmtId="181" fontId="51" fillId="0" borderId="109"/>
    <xf numFmtId="0" fontId="18" fillId="9" borderId="106" applyNumberFormat="0" applyAlignment="0" applyProtection="0"/>
    <xf numFmtId="179" fontId="51" fillId="0" borderId="109"/>
    <xf numFmtId="179" fontId="51" fillId="0" borderId="109"/>
    <xf numFmtId="174" fontId="51" fillId="0" borderId="109"/>
    <xf numFmtId="171" fontId="51" fillId="0" borderId="109"/>
    <xf numFmtId="175" fontId="51" fillId="0" borderId="109"/>
    <xf numFmtId="171" fontId="51" fillId="0" borderId="109"/>
    <xf numFmtId="171" fontId="51" fillId="0" borderId="109"/>
    <xf numFmtId="174" fontId="51" fillId="0" borderId="109"/>
    <xf numFmtId="174" fontId="51" fillId="0" borderId="109"/>
    <xf numFmtId="171" fontId="51" fillId="0" borderId="109"/>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8" fillId="25" borderId="99" applyNumberFormat="0" applyFont="0" applyAlignment="0" applyProtection="0"/>
    <xf numFmtId="173" fontId="51" fillId="0" borderId="109"/>
    <xf numFmtId="174" fontId="51" fillId="0" borderId="109"/>
    <xf numFmtId="179" fontId="51" fillId="0" borderId="109"/>
    <xf numFmtId="0" fontId="11" fillId="22" borderId="106" applyNumberFormat="0" applyAlignment="0" applyProtection="0"/>
    <xf numFmtId="173" fontId="51" fillId="0" borderId="109"/>
    <xf numFmtId="172" fontId="51" fillId="0" borderId="109"/>
    <xf numFmtId="0" fontId="21" fillId="22" borderId="110" applyNumberFormat="0" applyAlignment="0" applyProtection="0"/>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3" fontId="51" fillId="0" borderId="109"/>
    <xf numFmtId="175" fontId="51" fillId="0" borderId="109"/>
    <xf numFmtId="176"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80" fontId="51" fillId="0" borderId="109"/>
    <xf numFmtId="174" fontId="51" fillId="0" borderId="109"/>
    <xf numFmtId="179"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174" fontId="51" fillId="0" borderId="109"/>
    <xf numFmtId="179" fontId="51" fillId="0" borderId="109"/>
    <xf numFmtId="174" fontId="51" fillId="0" borderId="109"/>
    <xf numFmtId="171" fontId="51" fillId="0" borderId="109"/>
    <xf numFmtId="179" fontId="51" fillId="0" borderId="109"/>
    <xf numFmtId="174" fontId="51" fillId="0" borderId="109"/>
    <xf numFmtId="179" fontId="51" fillId="0" borderId="109"/>
    <xf numFmtId="171" fontId="51" fillId="0" borderId="109"/>
    <xf numFmtId="171" fontId="51" fillId="0" borderId="109"/>
    <xf numFmtId="179"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6" fontId="51" fillId="0" borderId="109"/>
    <xf numFmtId="0" fontId="11" fillId="22" borderId="106" applyNumberFormat="0" applyAlignment="0" applyProtection="0"/>
    <xf numFmtId="180" fontId="51" fillId="0" borderId="109"/>
    <xf numFmtId="179" fontId="51" fillId="0" borderId="109"/>
    <xf numFmtId="171" fontId="51" fillId="0" borderId="109"/>
    <xf numFmtId="171" fontId="51" fillId="0" borderId="109"/>
    <xf numFmtId="174" fontId="51" fillId="0" borderId="109"/>
    <xf numFmtId="174" fontId="51" fillId="0" borderId="109"/>
    <xf numFmtId="171" fontId="51" fillId="0" borderId="109"/>
    <xf numFmtId="0" fontId="23" fillId="0" borderId="111" applyNumberFormat="0" applyFill="0" applyAlignment="0" applyProtection="0"/>
    <xf numFmtId="174" fontId="51" fillId="0" borderId="109"/>
    <xf numFmtId="0" fontId="18" fillId="9" borderId="106" applyNumberFormat="0" applyAlignment="0" applyProtection="0"/>
    <xf numFmtId="0" fontId="21" fillId="22" borderId="110" applyNumberFormat="0" applyAlignment="0" applyProtection="0"/>
    <xf numFmtId="0" fontId="8" fillId="25" borderId="99" applyNumberFormat="0" applyFont="0" applyAlignment="0" applyProtection="0"/>
    <xf numFmtId="0" fontId="54" fillId="46" borderId="108">
      <protection locked="0"/>
    </xf>
    <xf numFmtId="179" fontId="51" fillId="0" borderId="109"/>
    <xf numFmtId="0" fontId="11" fillId="22" borderId="106" applyNumberFormat="0" applyAlignment="0" applyProtection="0"/>
    <xf numFmtId="0" fontId="18" fillId="9" borderId="106" applyNumberFormat="0" applyAlignment="0" applyProtection="0"/>
    <xf numFmtId="174" fontId="51" fillId="0" borderId="109"/>
    <xf numFmtId="171" fontId="51" fillId="0" borderId="109"/>
    <xf numFmtId="179" fontId="51" fillId="0" borderId="109"/>
    <xf numFmtId="174" fontId="51" fillId="0" borderId="109"/>
    <xf numFmtId="171" fontId="51" fillId="0" borderId="109"/>
    <xf numFmtId="172" fontId="51" fillId="0" borderId="109"/>
    <xf numFmtId="171" fontId="51" fillId="0" borderId="109"/>
    <xf numFmtId="174" fontId="51" fillId="0" borderId="109"/>
    <xf numFmtId="179" fontId="51" fillId="0" borderId="109"/>
    <xf numFmtId="171" fontId="51" fillId="0" borderId="109"/>
    <xf numFmtId="179" fontId="51" fillId="0" borderId="109"/>
    <xf numFmtId="0" fontId="11" fillId="22" borderId="106" applyNumberFormat="0" applyAlignment="0" applyProtection="0"/>
    <xf numFmtId="181" fontId="51" fillId="0" borderId="109"/>
    <xf numFmtId="175" fontId="51" fillId="0" borderId="109"/>
    <xf numFmtId="179" fontId="51" fillId="0" borderId="109"/>
    <xf numFmtId="171" fontId="51" fillId="0" borderId="109"/>
    <xf numFmtId="0" fontId="11" fillId="22" borderId="106" applyNumberFormat="0" applyAlignment="0" applyProtection="0"/>
    <xf numFmtId="0" fontId="18" fillId="9" borderId="106" applyNumberFormat="0" applyAlignment="0" applyProtection="0"/>
    <xf numFmtId="0" fontId="23" fillId="0" borderId="111" applyNumberFormat="0" applyFill="0" applyAlignment="0" applyProtection="0"/>
    <xf numFmtId="179" fontId="51" fillId="0" borderId="109"/>
    <xf numFmtId="179" fontId="51" fillId="0" borderId="109"/>
    <xf numFmtId="174" fontId="51" fillId="0" borderId="109"/>
    <xf numFmtId="173" fontId="51" fillId="0" borderId="109"/>
    <xf numFmtId="0" fontId="8" fillId="25" borderId="99" applyNumberFormat="0" applyFont="0" applyAlignment="0" applyProtection="0"/>
    <xf numFmtId="174"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9" fontId="51" fillId="0" borderId="109"/>
    <xf numFmtId="174"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174" fontId="51" fillId="0" borderId="109"/>
    <xf numFmtId="0" fontId="18" fillId="9" borderId="106" applyNumberFormat="0" applyAlignment="0" applyProtection="0"/>
    <xf numFmtId="0" fontId="8" fillId="25" borderId="99" applyNumberFormat="0" applyFont="0" applyAlignment="0" applyProtection="0"/>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54" fillId="46" borderId="108">
      <protection locked="0"/>
    </xf>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181"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79" fontId="51" fillId="0" borderId="109"/>
    <xf numFmtId="179" fontId="51" fillId="0" borderId="109"/>
    <xf numFmtId="180" fontId="51" fillId="0" borderId="109"/>
    <xf numFmtId="171" fontId="51" fillId="0" borderId="109"/>
    <xf numFmtId="174" fontId="51" fillId="0" borderId="109"/>
    <xf numFmtId="174" fontId="51" fillId="0" borderId="109"/>
    <xf numFmtId="176" fontId="51" fillId="0" borderId="109"/>
    <xf numFmtId="171"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17" fillId="0" borderId="105" applyNumberFormat="0" applyFill="0" applyAlignment="0" applyProtection="0"/>
    <xf numFmtId="0" fontId="11" fillId="22" borderId="106" applyNumberFormat="0" applyAlignment="0" applyProtection="0"/>
    <xf numFmtId="0" fontId="18" fillId="9" borderId="106" applyNumberFormat="0" applyAlignment="0" applyProtection="0"/>
    <xf numFmtId="0" fontId="11" fillId="22"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0" fontId="8" fillId="25" borderId="99" applyNumberFormat="0" applyFont="0" applyAlignment="0" applyProtection="0"/>
    <xf numFmtId="175" fontId="51" fillId="0" borderId="109"/>
    <xf numFmtId="179" fontId="51" fillId="0" borderId="109"/>
    <xf numFmtId="171" fontId="51" fillId="0" borderId="109"/>
    <xf numFmtId="172" fontId="51" fillId="0" borderId="109"/>
    <xf numFmtId="173" fontId="51" fillId="0" borderId="109"/>
    <xf numFmtId="0" fontId="8" fillId="25" borderId="99" applyNumberFormat="0" applyFont="0" applyAlignment="0" applyProtection="0"/>
    <xf numFmtId="174" fontId="51" fillId="0" borderId="109"/>
    <xf numFmtId="175" fontId="51" fillId="0" borderId="109"/>
    <xf numFmtId="176" fontId="51" fillId="0" borderId="109"/>
    <xf numFmtId="175" fontId="51" fillId="0" borderId="109"/>
    <xf numFmtId="179" fontId="51" fillId="0" borderId="109"/>
    <xf numFmtId="180" fontId="51" fillId="0" borderId="109"/>
    <xf numFmtId="181" fontId="51" fillId="0" borderId="109"/>
    <xf numFmtId="174" fontId="51" fillId="0" borderId="109"/>
    <xf numFmtId="0" fontId="17" fillId="0" borderId="105" applyNumberFormat="0" applyFill="0" applyAlignment="0" applyProtection="0"/>
    <xf numFmtId="171" fontId="51" fillId="0" borderId="109"/>
    <xf numFmtId="0" fontId="54" fillId="46" borderId="108">
      <protection locked="0"/>
    </xf>
    <xf numFmtId="0" fontId="11" fillId="22" borderId="106" applyNumberFormat="0" applyAlignment="0" applyProtection="0"/>
    <xf numFmtId="0" fontId="11" fillId="22" borderId="106" applyNumberFormat="0" applyAlignment="0" applyProtection="0"/>
    <xf numFmtId="181" fontId="51" fillId="0" borderId="109"/>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173" fontId="51" fillId="0" borderId="109"/>
    <xf numFmtId="0" fontId="18" fillId="9" borderId="106" applyNumberFormat="0" applyAlignment="0" applyProtection="0"/>
    <xf numFmtId="0" fontId="11" fillId="22" borderId="106" applyNumberFormat="0" applyAlignment="0" applyProtection="0"/>
    <xf numFmtId="0" fontId="17" fillId="0" borderId="105" applyNumberFormat="0" applyFill="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2" fontId="51" fillId="0" borderId="109"/>
    <xf numFmtId="173" fontId="51" fillId="0" borderId="109"/>
    <xf numFmtId="0" fontId="18" fillId="9" borderId="106" applyNumberFormat="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6" fontId="51" fillId="0" borderId="109"/>
    <xf numFmtId="171" fontId="51" fillId="0" borderId="109"/>
    <xf numFmtId="172" fontId="51" fillId="0" borderId="109"/>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174" fontId="51" fillId="0" borderId="109"/>
    <xf numFmtId="179"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171" fontId="51" fillId="0" borderId="109"/>
    <xf numFmtId="179" fontId="51" fillId="0" borderId="109"/>
    <xf numFmtId="174" fontId="51" fillId="0" borderId="109"/>
    <xf numFmtId="174" fontId="51" fillId="0" borderId="109"/>
    <xf numFmtId="179" fontId="51" fillId="0" borderId="109"/>
    <xf numFmtId="171"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0" fontId="54" fillId="46" borderId="108">
      <protection locked="0"/>
    </xf>
    <xf numFmtId="171" fontId="51" fillId="0" borderId="109"/>
    <xf numFmtId="181" fontId="51" fillId="0" borderId="109"/>
    <xf numFmtId="174" fontId="51" fillId="0" borderId="109"/>
    <xf numFmtId="176" fontId="51" fillId="0" borderId="109"/>
    <xf numFmtId="173" fontId="51" fillId="0" borderId="109"/>
    <xf numFmtId="172" fontId="51" fillId="0" borderId="109"/>
    <xf numFmtId="179"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179" fontId="51" fillId="0" borderId="109"/>
    <xf numFmtId="180"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174" fontId="51" fillId="0" borderId="109"/>
    <xf numFmtId="179" fontId="51" fillId="0" borderId="109"/>
    <xf numFmtId="0" fontId="54" fillId="46" borderId="108">
      <protection locked="0"/>
    </xf>
    <xf numFmtId="0" fontId="54" fillId="46" borderId="108">
      <protection locked="0"/>
    </xf>
    <xf numFmtId="0" fontId="11" fillId="22" borderId="106" applyNumberFormat="0" applyAlignment="0" applyProtection="0"/>
    <xf numFmtId="174" fontId="51" fillId="0" borderId="109"/>
    <xf numFmtId="171" fontId="51" fillId="0" borderId="109"/>
    <xf numFmtId="174" fontId="51" fillId="0" borderId="109"/>
    <xf numFmtId="174" fontId="51" fillId="0" borderId="109"/>
    <xf numFmtId="0" fontId="21" fillId="22" borderId="110" applyNumberFormat="0" applyAlignment="0" applyProtection="0"/>
    <xf numFmtId="179" fontId="51" fillId="0" borderId="109"/>
    <xf numFmtId="174" fontId="51" fillId="0" borderId="109"/>
    <xf numFmtId="0" fontId="54" fillId="46" borderId="108">
      <protection locked="0"/>
    </xf>
    <xf numFmtId="0" fontId="21" fillId="22" borderId="110" applyNumberFormat="0" applyAlignment="0" applyProtection="0"/>
    <xf numFmtId="0" fontId="8" fillId="25" borderId="99" applyNumberFormat="0" applyFont="0" applyAlignment="0" applyProtection="0"/>
    <xf numFmtId="171" fontId="51" fillId="0" borderId="109"/>
    <xf numFmtId="0" fontId="8" fillId="25" borderId="99" applyNumberFormat="0" applyFont="0" applyAlignment="0" applyProtection="0"/>
    <xf numFmtId="173" fontId="51" fillId="0" borderId="109"/>
    <xf numFmtId="0" fontId="23" fillId="0" borderId="111" applyNumberFormat="0" applyFill="0" applyAlignment="0" applyProtection="0"/>
    <xf numFmtId="175" fontId="51" fillId="0" borderId="109"/>
    <xf numFmtId="174" fontId="51" fillId="0" borderId="109"/>
    <xf numFmtId="0" fontId="23" fillId="0" borderId="111" applyNumberFormat="0" applyFill="0" applyAlignment="0" applyProtection="0"/>
    <xf numFmtId="181" fontId="51" fillId="0" borderId="109"/>
    <xf numFmtId="174" fontId="51" fillId="0" borderId="109"/>
    <xf numFmtId="174" fontId="51" fillId="0" borderId="109"/>
    <xf numFmtId="0" fontId="18" fillId="9" borderId="106" applyNumberFormat="0" applyAlignment="0" applyProtection="0"/>
    <xf numFmtId="0" fontId="21" fillId="22" borderId="110" applyNumberFormat="0" applyAlignment="0" applyProtection="0"/>
    <xf numFmtId="171" fontId="51" fillId="0" borderId="109"/>
    <xf numFmtId="0" fontId="8" fillId="25" borderId="99" applyNumberFormat="0" applyFont="0" applyAlignment="0" applyProtection="0"/>
    <xf numFmtId="172" fontId="51" fillId="0" borderId="109"/>
    <xf numFmtId="176" fontId="51" fillId="0" borderId="109"/>
    <xf numFmtId="0" fontId="23" fillId="0" borderId="111" applyNumberFormat="0" applyFill="0" applyAlignment="0" applyProtection="0"/>
    <xf numFmtId="0" fontId="8" fillId="25" borderId="99" applyNumberFormat="0" applyFont="0" applyAlignment="0" applyProtection="0"/>
    <xf numFmtId="175" fontId="51" fillId="0" borderId="109"/>
    <xf numFmtId="171" fontId="51" fillId="0" borderId="109"/>
    <xf numFmtId="179" fontId="51" fillId="0" borderId="109"/>
    <xf numFmtId="0" fontId="18" fillId="9" borderId="106" applyNumberFormat="0" applyAlignment="0" applyProtection="0"/>
    <xf numFmtId="171" fontId="51" fillId="0" borderId="109"/>
    <xf numFmtId="0" fontId="21" fillId="22" borderId="110" applyNumberFormat="0" applyAlignment="0" applyProtection="0"/>
    <xf numFmtId="179" fontId="51" fillId="0" borderId="109"/>
    <xf numFmtId="171" fontId="51" fillId="0" borderId="109"/>
    <xf numFmtId="179" fontId="51" fillId="0" borderId="109"/>
    <xf numFmtId="174" fontId="51" fillId="0" borderId="109"/>
    <xf numFmtId="172" fontId="51" fillId="0" borderId="109"/>
    <xf numFmtId="171" fontId="51" fillId="0" borderId="109"/>
    <xf numFmtId="174" fontId="51" fillId="0" borderId="109"/>
    <xf numFmtId="173" fontId="51" fillId="0" borderId="109"/>
    <xf numFmtId="180" fontId="51" fillId="0" borderId="109"/>
    <xf numFmtId="179" fontId="51" fillId="0" borderId="109"/>
    <xf numFmtId="174" fontId="51" fillId="0" borderId="109"/>
    <xf numFmtId="171" fontId="51" fillId="0" borderId="109"/>
    <xf numFmtId="179" fontId="51" fillId="0" borderId="109"/>
    <xf numFmtId="174" fontId="51" fillId="0" borderId="109"/>
    <xf numFmtId="171" fontId="51" fillId="0" borderId="109"/>
    <xf numFmtId="179" fontId="51" fillId="0" borderId="109"/>
    <xf numFmtId="179" fontId="51" fillId="0" borderId="109"/>
    <xf numFmtId="180" fontId="51" fillId="0" borderId="109"/>
    <xf numFmtId="176" fontId="51" fillId="0" borderId="109"/>
    <xf numFmtId="171" fontId="51" fillId="0" borderId="109"/>
    <xf numFmtId="0" fontId="23" fillId="0" borderId="111" applyNumberFormat="0" applyFill="0" applyAlignment="0" applyProtection="0"/>
    <xf numFmtId="0" fontId="11" fillId="22" borderId="106" applyNumberFormat="0" applyAlignment="0" applyProtection="0"/>
    <xf numFmtId="171" fontId="51" fillId="0" borderId="109"/>
    <xf numFmtId="173" fontId="51" fillId="0" borderId="109"/>
    <xf numFmtId="171" fontId="51" fillId="0" borderId="109"/>
    <xf numFmtId="174" fontId="51" fillId="0" borderId="109"/>
    <xf numFmtId="179" fontId="51" fillId="0" borderId="109"/>
    <xf numFmtId="171" fontId="51" fillId="0" borderId="109"/>
    <xf numFmtId="0" fontId="18" fillId="9" borderId="106" applyNumberFormat="0" applyAlignment="0" applyProtection="0"/>
    <xf numFmtId="173" fontId="51" fillId="0" borderId="109"/>
    <xf numFmtId="0" fontId="11" fillId="22" borderId="106" applyNumberFormat="0" applyAlignment="0" applyProtection="0"/>
    <xf numFmtId="181" fontId="51" fillId="0" borderId="109"/>
    <xf numFmtId="171" fontId="51" fillId="0" borderId="109"/>
    <xf numFmtId="172" fontId="51" fillId="0" borderId="109"/>
    <xf numFmtId="174" fontId="51" fillId="0" borderId="109"/>
    <xf numFmtId="175" fontId="51" fillId="0" borderId="109"/>
    <xf numFmtId="174" fontId="51" fillId="0" borderId="109"/>
    <xf numFmtId="174" fontId="51" fillId="0" borderId="109"/>
    <xf numFmtId="0" fontId="11" fillId="22" borderId="106" applyNumberFormat="0" applyAlignment="0" applyProtection="0"/>
    <xf numFmtId="171" fontId="51" fillId="0" borderId="109"/>
    <xf numFmtId="174" fontId="51" fillId="0" borderId="109"/>
    <xf numFmtId="181" fontId="51" fillId="0" borderId="109"/>
    <xf numFmtId="171"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179" fontId="51" fillId="0" borderId="109"/>
    <xf numFmtId="0" fontId="8" fillId="25" borderId="99" applyNumberFormat="0" applyFont="0" applyAlignment="0" applyProtection="0"/>
    <xf numFmtId="171" fontId="51" fillId="0" borderId="109"/>
    <xf numFmtId="179" fontId="51" fillId="0" borderId="109"/>
    <xf numFmtId="179" fontId="51" fillId="0" borderId="109"/>
    <xf numFmtId="0" fontId="54" fillId="46" borderId="108">
      <protection locked="0"/>
    </xf>
    <xf numFmtId="0" fontId="8" fillId="25" borderId="99" applyNumberFormat="0" applyFont="0" applyAlignment="0" applyProtection="0"/>
    <xf numFmtId="179" fontId="51" fillId="0" borderId="109"/>
    <xf numFmtId="176" fontId="51" fillId="0" borderId="109"/>
    <xf numFmtId="171" fontId="51" fillId="0" borderId="109"/>
    <xf numFmtId="0" fontId="11" fillId="22" borderId="106" applyNumberFormat="0" applyAlignment="0" applyProtection="0"/>
    <xf numFmtId="0" fontId="17" fillId="0" borderId="105" applyNumberFormat="0" applyFill="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0" fontId="21" fillId="22" borderId="110" applyNumberFormat="0" applyAlignment="0" applyProtection="0"/>
    <xf numFmtId="174" fontId="51" fillId="0" borderId="109"/>
    <xf numFmtId="174" fontId="51" fillId="0" borderId="109"/>
    <xf numFmtId="172" fontId="51" fillId="0" borderId="109"/>
    <xf numFmtId="174" fontId="51" fillId="0" borderId="109"/>
    <xf numFmtId="179" fontId="51" fillId="0" borderId="109"/>
    <xf numFmtId="179" fontId="51" fillId="0" borderId="109"/>
    <xf numFmtId="171" fontId="51" fillId="0" borderId="109"/>
    <xf numFmtId="174" fontId="51" fillId="0" borderId="109"/>
    <xf numFmtId="179" fontId="51" fillId="0" borderId="109"/>
    <xf numFmtId="171" fontId="51" fillId="0" borderId="109"/>
    <xf numFmtId="173" fontId="51" fillId="0" borderId="109"/>
    <xf numFmtId="179" fontId="51" fillId="0" borderId="109"/>
    <xf numFmtId="0" fontId="23" fillId="0" borderId="111" applyNumberFormat="0" applyFill="0" applyAlignment="0" applyProtection="0"/>
    <xf numFmtId="174" fontId="51" fillId="0" borderId="109"/>
    <xf numFmtId="174" fontId="51" fillId="0" borderId="109"/>
    <xf numFmtId="179" fontId="51" fillId="0" borderId="109"/>
    <xf numFmtId="171" fontId="51" fillId="0" borderId="109"/>
    <xf numFmtId="0" fontId="18" fillId="9" borderId="106" applyNumberFormat="0" applyAlignment="0" applyProtection="0"/>
    <xf numFmtId="176" fontId="51" fillId="0" borderId="109"/>
    <xf numFmtId="175" fontId="51" fillId="0" borderId="109"/>
    <xf numFmtId="180" fontId="51" fillId="0" borderId="109"/>
    <xf numFmtId="175" fontId="51" fillId="0" borderId="109"/>
    <xf numFmtId="180" fontId="51" fillId="0" borderId="109"/>
    <xf numFmtId="172" fontId="51" fillId="0" borderId="109"/>
    <xf numFmtId="0" fontId="54" fillId="46" borderId="108">
      <protection locked="0"/>
    </xf>
    <xf numFmtId="180" fontId="51" fillId="0" borderId="109"/>
    <xf numFmtId="181" fontId="51" fillId="0" borderId="109"/>
    <xf numFmtId="0" fontId="54" fillId="46" borderId="108">
      <protection locked="0"/>
    </xf>
    <xf numFmtId="174" fontId="51" fillId="0" borderId="109"/>
    <xf numFmtId="181" fontId="51" fillId="0" borderId="109"/>
    <xf numFmtId="0" fontId="17" fillId="0" borderId="105" applyNumberFormat="0" applyFill="0" applyAlignment="0" applyProtection="0"/>
    <xf numFmtId="176" fontId="51" fillId="0" borderId="109"/>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9" fontId="51" fillId="0" borderId="109"/>
    <xf numFmtId="171" fontId="51" fillId="0" borderId="109"/>
    <xf numFmtId="174" fontId="51" fillId="0" borderId="109"/>
    <xf numFmtId="179" fontId="51" fillId="0" borderId="109"/>
    <xf numFmtId="179" fontId="51" fillId="0" borderId="109"/>
    <xf numFmtId="179" fontId="51" fillId="0" borderId="109"/>
    <xf numFmtId="174" fontId="51" fillId="0" borderId="109"/>
    <xf numFmtId="179" fontId="51" fillId="0" borderId="109"/>
    <xf numFmtId="179" fontId="51" fillId="0" borderId="109"/>
    <xf numFmtId="174" fontId="51" fillId="0" borderId="109"/>
    <xf numFmtId="174" fontId="51" fillId="0" borderId="109"/>
    <xf numFmtId="0" fontId="21" fillId="22" borderId="110" applyNumberFormat="0" applyAlignment="0" applyProtection="0"/>
    <xf numFmtId="174" fontId="51" fillId="0" borderId="109"/>
    <xf numFmtId="0" fontId="23" fillId="0" borderId="111" applyNumberFormat="0" applyFill="0" applyAlignment="0" applyProtection="0"/>
    <xf numFmtId="171" fontId="51" fillId="0" borderId="109"/>
    <xf numFmtId="171" fontId="51" fillId="0" borderId="109"/>
    <xf numFmtId="174" fontId="51" fillId="0" borderId="109"/>
    <xf numFmtId="175" fontId="51" fillId="0" borderId="109"/>
    <xf numFmtId="0" fontId="18" fillId="9" borderId="106" applyNumberFormat="0" applyAlignment="0" applyProtection="0"/>
    <xf numFmtId="171" fontId="51" fillId="0" borderId="109"/>
    <xf numFmtId="0" fontId="21" fillId="22" borderId="110" applyNumberFormat="0" applyAlignment="0" applyProtection="0"/>
    <xf numFmtId="173" fontId="51" fillId="0" borderId="109"/>
    <xf numFmtId="171" fontId="51" fillId="0" borderId="109"/>
    <xf numFmtId="0" fontId="18" fillId="9" borderId="106" applyNumberFormat="0" applyAlignment="0" applyProtection="0"/>
    <xf numFmtId="176" fontId="51" fillId="0" borderId="109"/>
    <xf numFmtId="0" fontId="11" fillId="22" borderId="106" applyNumberFormat="0" applyAlignment="0" applyProtection="0"/>
    <xf numFmtId="171" fontId="51" fillId="0" borderId="109"/>
    <xf numFmtId="171" fontId="51" fillId="0" borderId="109"/>
    <xf numFmtId="179" fontId="51" fillId="0" borderId="109"/>
    <xf numFmtId="0" fontId="54" fillId="46" borderId="108">
      <protection locked="0"/>
    </xf>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5" fontId="51" fillId="0" borderId="109"/>
    <xf numFmtId="179" fontId="51" fillId="0" borderId="109"/>
    <xf numFmtId="171" fontId="51" fillId="0" borderId="109"/>
    <xf numFmtId="171" fontId="51" fillId="0" borderId="109"/>
    <xf numFmtId="0" fontId="23" fillId="0" borderId="111" applyNumberFormat="0" applyFill="0" applyAlignment="0" applyProtection="0"/>
    <xf numFmtId="179" fontId="51" fillId="0" borderId="109"/>
    <xf numFmtId="171" fontId="51" fillId="0" borderId="109"/>
    <xf numFmtId="171" fontId="51" fillId="0" borderId="109"/>
    <xf numFmtId="179" fontId="51" fillId="0" borderId="109"/>
    <xf numFmtId="174" fontId="51" fillId="0" borderId="109"/>
    <xf numFmtId="174" fontId="51" fillId="0" borderId="109"/>
    <xf numFmtId="179" fontId="51" fillId="0" borderId="109"/>
    <xf numFmtId="179" fontId="51" fillId="0" borderId="109"/>
    <xf numFmtId="179" fontId="51" fillId="0" borderId="109"/>
    <xf numFmtId="171" fontId="51" fillId="0" borderId="109"/>
    <xf numFmtId="173" fontId="51" fillId="0" borderId="109"/>
    <xf numFmtId="171" fontId="51" fillId="0" borderId="109"/>
    <xf numFmtId="179" fontId="51" fillId="0" borderId="109"/>
    <xf numFmtId="0" fontId="18" fillId="9" borderId="106" applyNumberFormat="0" applyAlignment="0" applyProtection="0"/>
    <xf numFmtId="179" fontId="51" fillId="0" borderId="109"/>
    <xf numFmtId="179" fontId="51" fillId="0" borderId="109"/>
    <xf numFmtId="0" fontId="23" fillId="0" borderId="111" applyNumberFormat="0" applyFill="0" applyAlignment="0" applyProtection="0"/>
    <xf numFmtId="171" fontId="51" fillId="0" borderId="109"/>
    <xf numFmtId="0" fontId="8" fillId="25" borderId="99" applyNumberFormat="0" applyFont="0" applyAlignment="0" applyProtection="0"/>
    <xf numFmtId="0" fontId="18" fillId="9" borderId="106" applyNumberFormat="0" applyAlignment="0" applyProtection="0"/>
    <xf numFmtId="171" fontId="51" fillId="0" borderId="109"/>
    <xf numFmtId="179" fontId="51" fillId="0" borderId="109"/>
    <xf numFmtId="0" fontId="8" fillId="25" borderId="99" applyNumberFormat="0" applyFont="0" applyAlignment="0" applyProtection="0"/>
    <xf numFmtId="0" fontId="11" fillId="22" borderId="106" applyNumberFormat="0" applyAlignment="0" applyProtection="0"/>
    <xf numFmtId="171" fontId="51" fillId="0" borderId="109"/>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1" fontId="51" fillId="0" borderId="109"/>
    <xf numFmtId="180" fontId="51" fillId="0" borderId="109"/>
    <xf numFmtId="174" fontId="51" fillId="0" borderId="109"/>
    <xf numFmtId="174" fontId="51" fillId="0" borderId="109"/>
    <xf numFmtId="173" fontId="51" fillId="0" borderId="109"/>
    <xf numFmtId="179" fontId="51" fillId="0" borderId="109"/>
    <xf numFmtId="172" fontId="51" fillId="0" borderId="109"/>
    <xf numFmtId="0" fontId="21" fillId="22" borderId="110" applyNumberFormat="0" applyAlignment="0" applyProtection="0"/>
    <xf numFmtId="171" fontId="51" fillId="0" borderId="109"/>
    <xf numFmtId="174" fontId="51" fillId="0" borderId="109"/>
    <xf numFmtId="179" fontId="51" fillId="0" borderId="109"/>
    <xf numFmtId="0" fontId="11" fillId="22" borderId="106" applyNumberFormat="0" applyAlignment="0" applyProtection="0"/>
    <xf numFmtId="174" fontId="51" fillId="0" borderId="109"/>
    <xf numFmtId="175" fontId="51" fillId="0" borderId="109"/>
    <xf numFmtId="174" fontId="51" fillId="0" borderId="109"/>
    <xf numFmtId="181" fontId="51" fillId="0" borderId="109"/>
    <xf numFmtId="0" fontId="17" fillId="0" borderId="105" applyNumberFormat="0" applyFill="0" applyAlignment="0" applyProtection="0"/>
    <xf numFmtId="176" fontId="51" fillId="0" borderId="109"/>
    <xf numFmtId="172" fontId="51" fillId="0" borderId="109"/>
    <xf numFmtId="179" fontId="51" fillId="0" borderId="109"/>
    <xf numFmtId="180" fontId="51" fillId="0" borderId="109"/>
    <xf numFmtId="181" fontId="51" fillId="0" borderId="109"/>
    <xf numFmtId="0" fontId="54" fillId="46" borderId="108">
      <protection locked="0"/>
    </xf>
    <xf numFmtId="0" fontId="17" fillId="0" borderId="105"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4" fontId="51" fillId="0" borderId="109"/>
    <xf numFmtId="174" fontId="51" fillId="0" borderId="109"/>
    <xf numFmtId="174" fontId="51" fillId="0" borderId="109"/>
    <xf numFmtId="171" fontId="51" fillId="0" borderId="109"/>
    <xf numFmtId="0" fontId="18" fillId="9" borderId="106" applyNumberFormat="0" applyAlignment="0" applyProtection="0"/>
    <xf numFmtId="174" fontId="51" fillId="0" borderId="109"/>
    <xf numFmtId="171" fontId="51" fillId="0" borderId="109"/>
    <xf numFmtId="179" fontId="51" fillId="0" borderId="109"/>
    <xf numFmtId="173" fontId="51" fillId="0" borderId="109"/>
    <xf numFmtId="173" fontId="51" fillId="0" borderId="109"/>
    <xf numFmtId="171" fontId="51" fillId="0" borderId="109"/>
    <xf numFmtId="173" fontId="51" fillId="0" borderId="109"/>
    <xf numFmtId="174" fontId="51" fillId="0" borderId="109"/>
    <xf numFmtId="176" fontId="51" fillId="0" borderId="109"/>
    <xf numFmtId="171" fontId="51" fillId="0" borderId="109"/>
    <xf numFmtId="0" fontId="11" fillId="22" borderId="106" applyNumberFormat="0" applyAlignment="0" applyProtection="0"/>
    <xf numFmtId="179" fontId="51" fillId="0" borderId="109"/>
    <xf numFmtId="179" fontId="51" fillId="0" borderId="109"/>
    <xf numFmtId="179" fontId="51" fillId="0" borderId="109"/>
    <xf numFmtId="171" fontId="51" fillId="0" borderId="109"/>
    <xf numFmtId="0" fontId="8" fillId="25" borderId="99" applyNumberFormat="0" applyFont="0" applyAlignment="0" applyProtection="0"/>
    <xf numFmtId="171" fontId="51" fillId="0" borderId="109"/>
    <xf numFmtId="180" fontId="51" fillId="0" borderId="109"/>
    <xf numFmtId="174" fontId="51" fillId="0" borderId="109"/>
    <xf numFmtId="175" fontId="51" fillId="0" borderId="109"/>
    <xf numFmtId="0" fontId="18" fillId="9" borderId="106" applyNumberFormat="0" applyAlignment="0" applyProtection="0"/>
    <xf numFmtId="171" fontId="51" fillId="0" borderId="109"/>
    <xf numFmtId="179" fontId="51" fillId="0" borderId="109"/>
    <xf numFmtId="174" fontId="51" fillId="0" borderId="109"/>
    <xf numFmtId="179" fontId="51" fillId="0" borderId="109"/>
    <xf numFmtId="171" fontId="51" fillId="0" borderId="109"/>
    <xf numFmtId="179" fontId="51" fillId="0" borderId="109"/>
    <xf numFmtId="174" fontId="51" fillId="0" borderId="109"/>
    <xf numFmtId="174" fontId="51" fillId="0" borderId="109"/>
    <xf numFmtId="171" fontId="51" fillId="0" borderId="109"/>
    <xf numFmtId="174" fontId="51" fillId="0" borderId="109"/>
    <xf numFmtId="175" fontId="51" fillId="0" borderId="109"/>
    <xf numFmtId="174" fontId="51" fillId="0" borderId="109"/>
    <xf numFmtId="179" fontId="51" fillId="0" borderId="109"/>
    <xf numFmtId="179" fontId="51" fillId="0" borderId="109"/>
    <xf numFmtId="171" fontId="51" fillId="0" borderId="109"/>
    <xf numFmtId="0" fontId="21" fillId="22" borderId="110" applyNumberFormat="0" applyAlignment="0" applyProtection="0"/>
    <xf numFmtId="172" fontId="51" fillId="0" borderId="109"/>
    <xf numFmtId="0" fontId="23" fillId="0" borderId="111" applyNumberFormat="0" applyFill="0" applyAlignment="0" applyProtection="0"/>
    <xf numFmtId="0" fontId="8" fillId="25" borderId="99" applyNumberFormat="0" applyFont="0" applyAlignment="0" applyProtection="0"/>
    <xf numFmtId="0" fontId="54" fillId="46" borderId="108">
      <protection locked="0"/>
    </xf>
    <xf numFmtId="175" fontId="51" fillId="0" borderId="109"/>
    <xf numFmtId="0" fontId="23" fillId="0" borderId="111" applyNumberFormat="0" applyFill="0" applyAlignment="0" applyProtection="0"/>
    <xf numFmtId="174" fontId="51" fillId="0" borderId="109"/>
    <xf numFmtId="0" fontId="21" fillId="22" borderId="110" applyNumberFormat="0" applyAlignment="0" applyProtection="0"/>
    <xf numFmtId="171" fontId="51" fillId="0" borderId="109"/>
    <xf numFmtId="181" fontId="51" fillId="0" borderId="109"/>
    <xf numFmtId="171" fontId="51" fillId="0" borderId="109"/>
    <xf numFmtId="179" fontId="51" fillId="0" borderId="109"/>
    <xf numFmtId="0" fontId="11" fillId="22" borderId="106" applyNumberFormat="0" applyAlignment="0" applyProtection="0"/>
    <xf numFmtId="174" fontId="51" fillId="0" borderId="109"/>
    <xf numFmtId="180" fontId="51" fillId="0" borderId="109"/>
    <xf numFmtId="174" fontId="51" fillId="0" borderId="109"/>
    <xf numFmtId="171" fontId="51" fillId="0" borderId="109"/>
    <xf numFmtId="174" fontId="51" fillId="0" borderId="109"/>
    <xf numFmtId="172" fontId="51" fillId="0" borderId="109"/>
    <xf numFmtId="179" fontId="51" fillId="0" borderId="109"/>
    <xf numFmtId="176" fontId="51" fillId="0" borderId="109"/>
    <xf numFmtId="174" fontId="51" fillId="0" borderId="109"/>
    <xf numFmtId="172" fontId="51" fillId="0" borderId="109"/>
    <xf numFmtId="171" fontId="51" fillId="0" borderId="109"/>
    <xf numFmtId="180" fontId="51" fillId="0" borderId="109"/>
    <xf numFmtId="181" fontId="51" fillId="0" borderId="109"/>
    <xf numFmtId="0" fontId="54" fillId="46" borderId="108">
      <protection locked="0"/>
    </xf>
    <xf numFmtId="179" fontId="51" fillId="0" borderId="109"/>
    <xf numFmtId="179" fontId="51" fillId="0" borderId="109"/>
    <xf numFmtId="179" fontId="51" fillId="0" borderId="109"/>
    <xf numFmtId="171" fontId="51" fillId="0" borderId="109"/>
    <xf numFmtId="179" fontId="51" fillId="0" borderId="109"/>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81" fontId="51" fillId="0" borderId="109"/>
    <xf numFmtId="171" fontId="51" fillId="0" borderId="109"/>
    <xf numFmtId="174" fontId="51" fillId="0" borderId="109"/>
    <xf numFmtId="179" fontId="51" fillId="0" borderId="109"/>
    <xf numFmtId="171" fontId="51" fillId="0" borderId="109"/>
    <xf numFmtId="0" fontId="8" fillId="25" borderId="99" applyNumberFormat="0" applyFont="0" applyAlignment="0" applyProtection="0"/>
    <xf numFmtId="174" fontId="51" fillId="0" borderId="109"/>
    <xf numFmtId="176" fontId="51" fillId="0" borderId="109"/>
    <xf numFmtId="179" fontId="51" fillId="0" borderId="109"/>
    <xf numFmtId="171" fontId="51" fillId="0" borderId="109"/>
    <xf numFmtId="174"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4" fontId="51" fillId="0" borderId="109"/>
    <xf numFmtId="179" fontId="51" fillId="0" borderId="109"/>
    <xf numFmtId="171" fontId="51" fillId="0" borderId="109"/>
    <xf numFmtId="179" fontId="51" fillId="0" borderId="109"/>
    <xf numFmtId="179" fontId="51" fillId="0" borderId="109"/>
    <xf numFmtId="174" fontId="51" fillId="0" borderId="109"/>
    <xf numFmtId="174" fontId="51" fillId="0" borderId="109"/>
    <xf numFmtId="171" fontId="51" fillId="0" borderId="109"/>
    <xf numFmtId="171" fontId="51" fillId="0" borderId="109"/>
    <xf numFmtId="171" fontId="51" fillId="0" borderId="109"/>
    <xf numFmtId="0" fontId="54" fillId="46" borderId="108">
      <protection locked="0"/>
    </xf>
    <xf numFmtId="179" fontId="51" fillId="0" borderId="109"/>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4" fontId="51" fillId="0" borderId="109"/>
    <xf numFmtId="0" fontId="54" fillId="46" borderId="108">
      <protection locked="0"/>
    </xf>
    <xf numFmtId="180" fontId="51" fillId="0" borderId="109"/>
    <xf numFmtId="0" fontId="8" fillId="25" borderId="99" applyNumberFormat="0" applyFont="0" applyAlignment="0" applyProtection="0"/>
    <xf numFmtId="0" fontId="18" fillId="9" borderId="106" applyNumberFormat="0" applyAlignment="0" applyProtection="0"/>
    <xf numFmtId="0" fontId="18" fillId="9" borderId="106" applyNumberFormat="0" applyAlignment="0" applyProtection="0"/>
    <xf numFmtId="181" fontId="51" fillId="0" borderId="109"/>
    <xf numFmtId="0" fontId="8" fillId="25" borderId="99" applyNumberFormat="0" applyFont="0" applyAlignment="0" applyProtection="0"/>
    <xf numFmtId="0" fontId="54" fillId="46" borderId="108">
      <protection locked="0"/>
    </xf>
    <xf numFmtId="0" fontId="54" fillId="46" borderId="108">
      <protection locked="0"/>
    </xf>
    <xf numFmtId="176" fontId="51" fillId="0" borderId="109"/>
    <xf numFmtId="175" fontId="51" fillId="0" borderId="109"/>
    <xf numFmtId="0" fontId="23" fillId="0" borderId="111" applyNumberFormat="0" applyFill="0" applyAlignment="0" applyProtection="0"/>
    <xf numFmtId="179" fontId="51" fillId="0" borderId="109"/>
    <xf numFmtId="0" fontId="23" fillId="0" borderId="111" applyNumberFormat="0" applyFill="0" applyAlignment="0" applyProtection="0"/>
    <xf numFmtId="0" fontId="11" fillId="22" borderId="106" applyNumberFormat="0" applyAlignment="0" applyProtection="0"/>
    <xf numFmtId="181" fontId="51" fillId="0" borderId="109"/>
    <xf numFmtId="0" fontId="11" fillId="22" borderId="106" applyNumberFormat="0" applyAlignment="0" applyProtection="0"/>
    <xf numFmtId="0" fontId="21" fillId="22" borderId="110" applyNumberFormat="0" applyAlignment="0" applyProtection="0"/>
    <xf numFmtId="174" fontId="51" fillId="0" borderId="109"/>
    <xf numFmtId="0" fontId="8" fillId="25" borderId="99" applyNumberFormat="0" applyFont="0" applyAlignment="0" applyProtection="0"/>
    <xf numFmtId="0" fontId="18" fillId="9" borderId="106" applyNumberFormat="0" applyAlignment="0" applyProtection="0"/>
    <xf numFmtId="179" fontId="51" fillId="0" borderId="109"/>
    <xf numFmtId="0" fontId="11" fillId="22" borderId="106" applyNumberFormat="0" applyAlignment="0" applyProtection="0"/>
    <xf numFmtId="0" fontId="18" fillId="9" borderId="106" applyNumberFormat="0" applyAlignment="0" applyProtection="0"/>
    <xf numFmtId="171" fontId="51" fillId="0" borderId="109"/>
    <xf numFmtId="0" fontId="54" fillId="46" borderId="108">
      <protection locked="0"/>
    </xf>
    <xf numFmtId="0" fontId="23" fillId="0" borderId="111" applyNumberFormat="0" applyFill="0" applyAlignment="0" applyProtection="0"/>
    <xf numFmtId="171" fontId="51" fillId="0" borderId="109"/>
    <xf numFmtId="179" fontId="51" fillId="0" borderId="109"/>
    <xf numFmtId="179" fontId="51" fillId="0" borderId="109"/>
    <xf numFmtId="171" fontId="51" fillId="0" borderId="109"/>
    <xf numFmtId="0" fontId="54" fillId="46" borderId="108">
      <protection locked="0"/>
    </xf>
    <xf numFmtId="180" fontId="51" fillId="0" borderId="109"/>
    <xf numFmtId="0" fontId="11" fillId="22" borderId="106" applyNumberFormat="0" applyAlignment="0" applyProtection="0"/>
    <xf numFmtId="171" fontId="51" fillId="0" borderId="109"/>
    <xf numFmtId="0" fontId="11" fillId="22" borderId="106" applyNumberFormat="0" applyAlignment="0" applyProtection="0"/>
    <xf numFmtId="171" fontId="51" fillId="0" borderId="109"/>
    <xf numFmtId="0" fontId="54" fillId="46" borderId="108">
      <protection locked="0"/>
    </xf>
    <xf numFmtId="179" fontId="51" fillId="0" borderId="113"/>
    <xf numFmtId="0" fontId="8" fillId="25" borderId="99" applyNumberFormat="0" applyFont="0" applyAlignment="0" applyProtection="0"/>
    <xf numFmtId="174" fontId="51" fillId="0" borderId="109"/>
    <xf numFmtId="174" fontId="51" fillId="0" borderId="113"/>
    <xf numFmtId="0" fontId="17" fillId="0" borderId="105" applyNumberFormat="0" applyFill="0" applyAlignment="0" applyProtection="0"/>
    <xf numFmtId="180" fontId="51" fillId="0" borderId="109"/>
    <xf numFmtId="174" fontId="51" fillId="0" borderId="109"/>
    <xf numFmtId="171" fontId="51" fillId="0" borderId="109"/>
    <xf numFmtId="0" fontId="8" fillId="25" borderId="99" applyNumberFormat="0" applyFont="0" applyAlignment="0" applyProtection="0"/>
    <xf numFmtId="174" fontId="51" fillId="0" borderId="109"/>
    <xf numFmtId="179" fontId="51" fillId="0" borderId="109"/>
    <xf numFmtId="175" fontId="51" fillId="0" borderId="109"/>
    <xf numFmtId="174" fontId="51" fillId="0" borderId="109"/>
    <xf numFmtId="179" fontId="51" fillId="0" borderId="109"/>
    <xf numFmtId="0" fontId="8" fillId="25" borderId="99" applyNumberFormat="0" applyFont="0" applyAlignment="0" applyProtection="0"/>
    <xf numFmtId="175" fontId="51" fillId="0" borderId="109"/>
    <xf numFmtId="171" fontId="51" fillId="0" borderId="109"/>
    <xf numFmtId="174" fontId="51" fillId="0" borderId="109"/>
    <xf numFmtId="179" fontId="51" fillId="0" borderId="109"/>
    <xf numFmtId="174" fontId="51" fillId="0" borderId="109"/>
    <xf numFmtId="176" fontId="51" fillId="0" borderId="109"/>
    <xf numFmtId="0" fontId="18" fillId="9" borderId="106" applyNumberFormat="0" applyAlignment="0" applyProtection="0"/>
    <xf numFmtId="0" fontId="21" fillId="22" borderId="110" applyNumberFormat="0" applyAlignment="0" applyProtection="0"/>
    <xf numFmtId="179" fontId="51" fillId="0" borderId="109"/>
    <xf numFmtId="180" fontId="51" fillId="0" borderId="109"/>
    <xf numFmtId="171" fontId="51" fillId="0" borderId="109"/>
    <xf numFmtId="171" fontId="51" fillId="0" borderId="109"/>
    <xf numFmtId="171" fontId="51" fillId="0" borderId="109"/>
    <xf numFmtId="174" fontId="51" fillId="0" borderId="109"/>
    <xf numFmtId="0" fontId="54" fillId="46" borderId="108">
      <protection locked="0"/>
    </xf>
    <xf numFmtId="173" fontId="51" fillId="0" borderId="109"/>
    <xf numFmtId="171" fontId="51" fillId="0" borderId="109"/>
    <xf numFmtId="0" fontId="8" fillId="25" borderId="99" applyNumberFormat="0" applyFont="0" applyAlignment="0" applyProtection="0"/>
    <xf numFmtId="0" fontId="11" fillId="22" borderId="106" applyNumberFormat="0" applyAlignment="0" applyProtection="0"/>
    <xf numFmtId="174" fontId="51" fillId="0" borderId="109"/>
    <xf numFmtId="171" fontId="51" fillId="0" borderId="113"/>
    <xf numFmtId="0" fontId="17" fillId="0" borderId="105" applyNumberFormat="0" applyFill="0" applyAlignment="0" applyProtection="0"/>
    <xf numFmtId="0" fontId="11" fillId="22" borderId="106" applyNumberFormat="0" applyAlignment="0" applyProtection="0"/>
    <xf numFmtId="175" fontId="51" fillId="0" borderId="109"/>
    <xf numFmtId="174" fontId="51" fillId="0" borderId="109"/>
    <xf numFmtId="174" fontId="51" fillId="0" borderId="109"/>
    <xf numFmtId="0" fontId="21" fillId="22" borderId="110" applyNumberFormat="0" applyAlignment="0" applyProtection="0"/>
    <xf numFmtId="173" fontId="51" fillId="0" borderId="109"/>
    <xf numFmtId="181" fontId="51" fillId="0" borderId="109"/>
    <xf numFmtId="172" fontId="51" fillId="0" borderId="109"/>
    <xf numFmtId="0" fontId="11" fillId="22" borderId="106" applyNumberFormat="0" applyAlignment="0" applyProtection="0"/>
    <xf numFmtId="171" fontId="51" fillId="0" borderId="109"/>
    <xf numFmtId="0" fontId="11" fillId="22" borderId="106" applyNumberFormat="0" applyAlignment="0" applyProtection="0"/>
    <xf numFmtId="171" fontId="51" fillId="0" borderId="109"/>
    <xf numFmtId="179" fontId="51" fillId="0" borderId="109"/>
    <xf numFmtId="176" fontId="51" fillId="0" borderId="109"/>
    <xf numFmtId="0" fontId="11" fillId="22" borderId="106" applyNumberFormat="0" applyAlignment="0" applyProtection="0"/>
    <xf numFmtId="179" fontId="51" fillId="0" borderId="109"/>
    <xf numFmtId="0" fontId="18" fillId="9" borderId="106" applyNumberFormat="0" applyAlignment="0" applyProtection="0"/>
    <xf numFmtId="172" fontId="51" fillId="0" borderId="109"/>
    <xf numFmtId="180" fontId="51" fillId="0" borderId="109"/>
    <xf numFmtId="171" fontId="51" fillId="0" borderId="109"/>
    <xf numFmtId="0" fontId="21" fillId="22" borderId="110" applyNumberFormat="0" applyAlignment="0" applyProtection="0"/>
    <xf numFmtId="172" fontId="51" fillId="0" borderId="109"/>
    <xf numFmtId="0" fontId="18" fillId="9" borderId="106" applyNumberFormat="0" applyAlignment="0" applyProtection="0"/>
    <xf numFmtId="180" fontId="51" fillId="0" borderId="109"/>
    <xf numFmtId="174" fontId="51" fillId="0" borderId="109"/>
    <xf numFmtId="172" fontId="51" fillId="0" borderId="109"/>
    <xf numFmtId="0" fontId="8" fillId="25" borderId="99" applyNumberFormat="0" applyFont="0" applyAlignment="0" applyProtection="0"/>
    <xf numFmtId="0" fontId="11" fillId="22" borderId="106" applyNumberFormat="0" applyAlignment="0" applyProtection="0"/>
    <xf numFmtId="0" fontId="54" fillId="46" borderId="108">
      <protection locked="0"/>
    </xf>
    <xf numFmtId="0" fontId="8" fillId="25" borderId="99" applyNumberFormat="0" applyFont="0" applyAlignment="0" applyProtection="0"/>
    <xf numFmtId="175" fontId="51" fillId="0" borderId="109"/>
    <xf numFmtId="179" fontId="51" fillId="0" borderId="109"/>
    <xf numFmtId="174" fontId="51" fillId="0" borderId="109"/>
    <xf numFmtId="181" fontId="51" fillId="0" borderId="109"/>
    <xf numFmtId="0" fontId="11" fillId="22" borderId="106" applyNumberFormat="0" applyAlignment="0" applyProtection="0"/>
    <xf numFmtId="174" fontId="51" fillId="0" borderId="109"/>
    <xf numFmtId="0" fontId="18" fillId="9" borderId="106" applyNumberFormat="0" applyAlignment="0" applyProtection="0"/>
    <xf numFmtId="0" fontId="21" fillId="22" borderId="110" applyNumberFormat="0" applyAlignment="0" applyProtection="0"/>
    <xf numFmtId="181" fontId="51" fillId="0" borderId="109"/>
    <xf numFmtId="0" fontId="8" fillId="25" borderId="99" applyNumberFormat="0" applyFont="0" applyAlignment="0" applyProtection="0"/>
    <xf numFmtId="180" fontId="51" fillId="0" borderId="109"/>
    <xf numFmtId="176" fontId="51" fillId="0" borderId="109"/>
    <xf numFmtId="0" fontId="18" fillId="9" borderId="106" applyNumberFormat="0" applyAlignment="0" applyProtection="0"/>
    <xf numFmtId="179" fontId="51" fillId="0" borderId="109"/>
    <xf numFmtId="180" fontId="51" fillId="0" borderId="109"/>
    <xf numFmtId="179" fontId="51" fillId="0" borderId="109"/>
    <xf numFmtId="176" fontId="51" fillId="0" borderId="109"/>
    <xf numFmtId="172" fontId="51" fillId="0" borderId="109"/>
    <xf numFmtId="181" fontId="51" fillId="0" borderId="109"/>
    <xf numFmtId="179" fontId="51" fillId="0" borderId="109"/>
    <xf numFmtId="174" fontId="51" fillId="0" borderId="109"/>
    <xf numFmtId="0" fontId="21" fillId="22" borderId="110" applyNumberFormat="0" applyAlignment="0" applyProtection="0"/>
    <xf numFmtId="176" fontId="51" fillId="0" borderId="109"/>
    <xf numFmtId="171" fontId="51" fillId="0" borderId="109"/>
    <xf numFmtId="173" fontId="51" fillId="0" borderId="109"/>
    <xf numFmtId="0" fontId="54" fillId="46" borderId="108">
      <protection locked="0"/>
    </xf>
    <xf numFmtId="175" fontId="51" fillId="0" borderId="109"/>
    <xf numFmtId="180" fontId="51" fillId="0" borderId="109"/>
    <xf numFmtId="0" fontId="21" fillId="22" borderId="110" applyNumberFormat="0" applyAlignment="0" applyProtection="0"/>
    <xf numFmtId="0" fontId="21" fillId="22" borderId="110" applyNumberFormat="0" applyAlignment="0" applyProtection="0"/>
    <xf numFmtId="179" fontId="51" fillId="0" borderId="109"/>
    <xf numFmtId="171" fontId="51" fillId="0" borderId="109"/>
    <xf numFmtId="0" fontId="54" fillId="46" borderId="108">
      <protection locked="0"/>
    </xf>
    <xf numFmtId="174" fontId="51" fillId="0" borderId="109"/>
    <xf numFmtId="174" fontId="51" fillId="0" borderId="109"/>
    <xf numFmtId="0" fontId="23" fillId="0" borderId="111" applyNumberFormat="0" applyFill="0" applyAlignment="0" applyProtection="0"/>
    <xf numFmtId="176" fontId="51" fillId="0" borderId="109"/>
    <xf numFmtId="173" fontId="51" fillId="0" borderId="109"/>
    <xf numFmtId="0" fontId="17" fillId="0" borderId="105" applyNumberFormat="0" applyFill="0" applyAlignment="0" applyProtection="0"/>
    <xf numFmtId="179" fontId="51" fillId="0" borderId="109"/>
    <xf numFmtId="0" fontId="23" fillId="0" borderId="111" applyNumberFormat="0" applyFill="0" applyAlignment="0" applyProtection="0"/>
    <xf numFmtId="174" fontId="51" fillId="0" borderId="109"/>
    <xf numFmtId="0" fontId="8" fillId="25" borderId="99" applyNumberFormat="0" applyFont="0" applyAlignment="0" applyProtection="0"/>
    <xf numFmtId="172" fontId="51" fillId="0" borderId="109"/>
    <xf numFmtId="171" fontId="51" fillId="0" borderId="109"/>
    <xf numFmtId="174" fontId="51" fillId="0" borderId="109"/>
    <xf numFmtId="179" fontId="51" fillId="0" borderId="109"/>
    <xf numFmtId="179" fontId="51" fillId="0" borderId="109"/>
    <xf numFmtId="179" fontId="51" fillId="0" borderId="109"/>
    <xf numFmtId="181" fontId="51" fillId="0" borderId="109"/>
    <xf numFmtId="0" fontId="21" fillId="22" borderId="110" applyNumberFormat="0" applyAlignment="0" applyProtection="0"/>
    <xf numFmtId="175" fontId="51" fillId="0" borderId="109"/>
    <xf numFmtId="172" fontId="51" fillId="0" borderId="109"/>
    <xf numFmtId="0" fontId="21" fillId="22" borderId="110" applyNumberFormat="0" applyAlignment="0" applyProtection="0"/>
    <xf numFmtId="181" fontId="51" fillId="0" borderId="109"/>
    <xf numFmtId="174" fontId="51" fillId="0" borderId="109"/>
    <xf numFmtId="180" fontId="51" fillId="0" borderId="109"/>
    <xf numFmtId="0" fontId="23" fillId="0" borderId="111" applyNumberFormat="0" applyFill="0" applyAlignment="0" applyProtection="0"/>
    <xf numFmtId="179" fontId="51" fillId="0" borderId="109"/>
    <xf numFmtId="0" fontId="23" fillId="0" borderId="111" applyNumberFormat="0" applyFill="0" applyAlignment="0" applyProtection="0"/>
    <xf numFmtId="0" fontId="17" fillId="0" borderId="105" applyNumberFormat="0" applyFill="0" applyAlignment="0" applyProtection="0"/>
    <xf numFmtId="176" fontId="51" fillId="0" borderId="109"/>
    <xf numFmtId="0" fontId="21" fillId="22" borderId="110" applyNumberFormat="0" applyAlignment="0" applyProtection="0"/>
    <xf numFmtId="171" fontId="51" fillId="0" borderId="109"/>
    <xf numFmtId="175" fontId="51" fillId="0" borderId="109"/>
    <xf numFmtId="174" fontId="51" fillId="0" borderId="109"/>
    <xf numFmtId="0" fontId="54" fillId="46" borderId="108">
      <protection locked="0"/>
    </xf>
    <xf numFmtId="176" fontId="51" fillId="0" borderId="109"/>
    <xf numFmtId="174" fontId="51" fillId="0" borderId="109"/>
    <xf numFmtId="0" fontId="23" fillId="0" borderId="111" applyNumberFormat="0" applyFill="0" applyAlignment="0" applyProtection="0"/>
    <xf numFmtId="0" fontId="8" fillId="25" borderId="99" applyNumberFormat="0" applyFont="0" applyAlignment="0" applyProtection="0"/>
    <xf numFmtId="0" fontId="23" fillId="0" borderId="111" applyNumberFormat="0" applyFill="0" applyAlignment="0" applyProtection="0"/>
    <xf numFmtId="174" fontId="51" fillId="0" borderId="113"/>
    <xf numFmtId="171" fontId="51" fillId="0" borderId="109"/>
    <xf numFmtId="0" fontId="8" fillId="25" borderId="99" applyNumberFormat="0" applyFont="0" applyAlignment="0" applyProtection="0"/>
    <xf numFmtId="181" fontId="51" fillId="0" borderId="109"/>
    <xf numFmtId="171" fontId="51" fillId="0" borderId="109"/>
    <xf numFmtId="171" fontId="51" fillId="0" borderId="109"/>
    <xf numFmtId="0" fontId="11" fillId="22" borderId="106" applyNumberFormat="0" applyAlignment="0" applyProtection="0"/>
    <xf numFmtId="173" fontId="51" fillId="0" borderId="109"/>
    <xf numFmtId="176" fontId="51" fillId="0" borderId="109"/>
    <xf numFmtId="179" fontId="51" fillId="0" borderId="109"/>
    <xf numFmtId="174" fontId="51" fillId="0" borderId="109"/>
    <xf numFmtId="174" fontId="51" fillId="0" borderId="109"/>
    <xf numFmtId="175" fontId="51" fillId="0" borderId="109"/>
    <xf numFmtId="173" fontId="51" fillId="0" borderId="109"/>
    <xf numFmtId="171" fontId="51" fillId="0" borderId="109"/>
    <xf numFmtId="174" fontId="51" fillId="0" borderId="109"/>
    <xf numFmtId="179" fontId="51" fillId="0" borderId="109"/>
    <xf numFmtId="0" fontId="17" fillId="0" borderId="105" applyNumberFormat="0" applyFill="0" applyAlignment="0" applyProtection="0"/>
    <xf numFmtId="174" fontId="51" fillId="0" borderId="109"/>
    <xf numFmtId="0" fontId="54" fillId="46" borderId="108">
      <protection locked="0"/>
    </xf>
    <xf numFmtId="0" fontId="8" fillId="25" borderId="99" applyNumberFormat="0" applyFon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171" fontId="51" fillId="0" borderId="109"/>
    <xf numFmtId="0" fontId="23" fillId="0" borderId="111" applyNumberFormat="0" applyFill="0" applyAlignment="0" applyProtection="0"/>
    <xf numFmtId="171" fontId="51" fillId="0" borderId="109"/>
    <xf numFmtId="0" fontId="21" fillId="22" borderId="110" applyNumberFormat="0" applyAlignment="0" applyProtection="0"/>
    <xf numFmtId="0" fontId="11" fillId="22" borderId="106" applyNumberFormat="0" applyAlignment="0" applyProtection="0"/>
    <xf numFmtId="180" fontId="51" fillId="0" borderId="109"/>
    <xf numFmtId="0" fontId="11" fillId="22" borderId="106" applyNumberFormat="0" applyAlignment="0" applyProtection="0"/>
    <xf numFmtId="173" fontId="51" fillId="0" borderId="109"/>
    <xf numFmtId="174" fontId="51" fillId="0" borderId="109"/>
    <xf numFmtId="0" fontId="23" fillId="0" borderId="111" applyNumberFormat="0" applyFill="0" applyAlignment="0" applyProtection="0"/>
    <xf numFmtId="0" fontId="11" fillId="22" borderId="106" applyNumberFormat="0" applyAlignment="0" applyProtection="0"/>
    <xf numFmtId="171" fontId="51" fillId="0" borderId="109"/>
    <xf numFmtId="0" fontId="17" fillId="0" borderId="105" applyNumberFormat="0" applyFill="0" applyAlignment="0" applyProtection="0"/>
    <xf numFmtId="181" fontId="51" fillId="0" borderId="109"/>
    <xf numFmtId="0" fontId="8" fillId="25" borderId="99" applyNumberFormat="0" applyFont="0" applyAlignment="0" applyProtection="0"/>
    <xf numFmtId="0" fontId="8" fillId="25" borderId="99" applyNumberFormat="0" applyFont="0" applyAlignment="0" applyProtection="0"/>
    <xf numFmtId="172" fontId="51" fillId="0" borderId="109"/>
    <xf numFmtId="0" fontId="23" fillId="0" borderId="111" applyNumberFormat="0" applyFill="0" applyAlignment="0" applyProtection="0"/>
    <xf numFmtId="181" fontId="51" fillId="0" borderId="109"/>
    <xf numFmtId="171" fontId="51" fillId="0" borderId="109"/>
    <xf numFmtId="0" fontId="21" fillId="22" borderId="110" applyNumberFormat="0" applyAlignment="0" applyProtection="0"/>
    <xf numFmtId="173" fontId="51" fillId="0" borderId="109"/>
    <xf numFmtId="0" fontId="21" fillId="22" borderId="110" applyNumberFormat="0" applyAlignment="0" applyProtection="0"/>
    <xf numFmtId="0" fontId="8" fillId="25" borderId="99" applyNumberFormat="0" applyFont="0" applyAlignment="0" applyProtection="0"/>
    <xf numFmtId="0" fontId="21" fillId="22" borderId="110" applyNumberFormat="0" applyAlignment="0" applyProtection="0"/>
    <xf numFmtId="0" fontId="18" fillId="9" borderId="106" applyNumberFormat="0" applyAlignment="0" applyProtection="0"/>
    <xf numFmtId="0" fontId="18" fillId="9" borderId="106" applyNumberFormat="0" applyAlignment="0" applyProtection="0"/>
    <xf numFmtId="179" fontId="51" fillId="0" borderId="109"/>
    <xf numFmtId="172" fontId="51" fillId="0" borderId="109"/>
    <xf numFmtId="174" fontId="51" fillId="0" borderId="109"/>
    <xf numFmtId="0" fontId="18" fillId="9" borderId="106" applyNumberFormat="0" applyAlignment="0" applyProtection="0"/>
    <xf numFmtId="173" fontId="51" fillId="0" borderId="109"/>
    <xf numFmtId="0" fontId="21" fillId="22" borderId="110" applyNumberFormat="0" applyAlignment="0" applyProtection="0"/>
    <xf numFmtId="0" fontId="54" fillId="46" borderId="112">
      <protection locked="0"/>
    </xf>
    <xf numFmtId="0" fontId="11" fillId="22" borderId="106" applyNumberFormat="0" applyAlignment="0" applyProtection="0"/>
    <xf numFmtId="179" fontId="51" fillId="0" borderId="109"/>
    <xf numFmtId="0" fontId="23" fillId="0" borderId="111" applyNumberFormat="0" applyFill="0" applyAlignment="0" applyProtection="0"/>
    <xf numFmtId="174" fontId="51" fillId="0" borderId="109"/>
    <xf numFmtId="175" fontId="51" fillId="0" borderId="109"/>
    <xf numFmtId="0" fontId="11" fillId="22" borderId="106" applyNumberFormat="0" applyAlignment="0" applyProtection="0"/>
    <xf numFmtId="172" fontId="51" fillId="0" borderId="109"/>
    <xf numFmtId="0" fontId="8" fillId="25" borderId="99" applyNumberFormat="0" applyFont="0" applyAlignment="0" applyProtection="0"/>
    <xf numFmtId="0" fontId="8" fillId="25" borderId="99" applyNumberFormat="0" applyFont="0" applyAlignment="0" applyProtection="0"/>
    <xf numFmtId="0" fontId="17" fillId="0" borderId="105" applyNumberFormat="0" applyFill="0" applyAlignment="0" applyProtection="0"/>
    <xf numFmtId="171" fontId="51" fillId="0" borderId="109"/>
    <xf numFmtId="0" fontId="23" fillId="0" borderId="111" applyNumberFormat="0" applyFill="0" applyAlignment="0" applyProtection="0"/>
    <xf numFmtId="179" fontId="51" fillId="0" borderId="109"/>
    <xf numFmtId="181" fontId="51" fillId="0" borderId="109"/>
    <xf numFmtId="171" fontId="51" fillId="0" borderId="109"/>
    <xf numFmtId="0" fontId="23" fillId="0" borderId="111" applyNumberFormat="0" applyFill="0" applyAlignment="0" applyProtection="0"/>
    <xf numFmtId="0" fontId="23" fillId="0" borderId="111" applyNumberFormat="0" applyFill="0" applyAlignment="0" applyProtection="0"/>
    <xf numFmtId="171" fontId="51" fillId="0" borderId="109"/>
    <xf numFmtId="0" fontId="18" fillId="9" borderId="106" applyNumberFormat="0" applyAlignment="0" applyProtection="0"/>
    <xf numFmtId="171" fontId="51" fillId="0" borderId="113"/>
    <xf numFmtId="179" fontId="51" fillId="0" borderId="109"/>
    <xf numFmtId="0" fontId="18" fillId="9" borderId="106" applyNumberFormat="0" applyAlignment="0" applyProtection="0"/>
    <xf numFmtId="0" fontId="21" fillId="22" borderId="110" applyNumberFormat="0" applyAlignment="0" applyProtection="0"/>
    <xf numFmtId="0" fontId="54" fillId="46" borderId="108">
      <protection locked="0"/>
    </xf>
    <xf numFmtId="176" fontId="51" fillId="0" borderId="109"/>
    <xf numFmtId="0" fontId="21" fillId="22" borderId="110" applyNumberFormat="0" applyAlignment="0" applyProtection="0"/>
    <xf numFmtId="173" fontId="51" fillId="0" borderId="109"/>
    <xf numFmtId="180" fontId="51" fillId="0" borderId="109"/>
    <xf numFmtId="172" fontId="51" fillId="0" borderId="109"/>
    <xf numFmtId="173" fontId="51" fillId="0" borderId="109"/>
    <xf numFmtId="0" fontId="21" fillId="22" borderId="110" applyNumberFormat="0" applyAlignment="0" applyProtection="0"/>
    <xf numFmtId="0" fontId="23" fillId="0" borderId="111" applyNumberFormat="0" applyFill="0" applyAlignment="0" applyProtection="0"/>
    <xf numFmtId="0" fontId="17" fillId="0" borderId="105" applyNumberFormat="0" applyFill="0" applyAlignment="0" applyProtection="0"/>
    <xf numFmtId="0" fontId="23" fillId="0" borderId="111" applyNumberFormat="0" applyFill="0" applyAlignment="0" applyProtection="0"/>
    <xf numFmtId="0" fontId="21" fillId="22" borderId="110" applyNumberFormat="0" applyAlignment="0" applyProtection="0"/>
    <xf numFmtId="179" fontId="51" fillId="0" borderId="109"/>
    <xf numFmtId="0" fontId="8" fillId="25" borderId="99" applyNumberFormat="0" applyFont="0" applyAlignment="0" applyProtection="0"/>
    <xf numFmtId="171" fontId="51" fillId="0" borderId="109"/>
    <xf numFmtId="179" fontId="51" fillId="0" borderId="109"/>
    <xf numFmtId="174" fontId="51" fillId="0" borderId="109"/>
    <xf numFmtId="0" fontId="8" fillId="25" borderId="99" applyNumberFormat="0" applyFont="0" applyAlignment="0" applyProtection="0"/>
    <xf numFmtId="0" fontId="54" fillId="46" borderId="108">
      <protection locked="0"/>
    </xf>
    <xf numFmtId="172" fontId="51" fillId="0" borderId="109"/>
    <xf numFmtId="0" fontId="11" fillId="22" borderId="106" applyNumberFormat="0" applyAlignment="0" applyProtection="0"/>
    <xf numFmtId="179" fontId="51" fillId="0" borderId="113"/>
    <xf numFmtId="0" fontId="23" fillId="0" borderId="111" applyNumberFormat="0" applyFill="0" applyAlignment="0" applyProtection="0"/>
    <xf numFmtId="0" fontId="8" fillId="25" borderId="99" applyNumberFormat="0" applyFont="0" applyAlignment="0" applyProtection="0"/>
    <xf numFmtId="0" fontId="18" fillId="9" borderId="106" applyNumberFormat="0" applyAlignment="0" applyProtection="0"/>
    <xf numFmtId="179" fontId="51" fillId="0" borderId="109"/>
    <xf numFmtId="176" fontId="51" fillId="0" borderId="109"/>
    <xf numFmtId="179" fontId="51" fillId="0" borderId="109"/>
    <xf numFmtId="171" fontId="51" fillId="0" borderId="109"/>
    <xf numFmtId="181" fontId="51" fillId="0" borderId="109"/>
    <xf numFmtId="171" fontId="51" fillId="0" borderId="109"/>
    <xf numFmtId="0" fontId="18" fillId="9" borderId="106" applyNumberFormat="0" applyAlignment="0" applyProtection="0"/>
    <xf numFmtId="0" fontId="18" fillId="9" borderId="106" applyNumberFormat="0" applyAlignment="0" applyProtection="0"/>
    <xf numFmtId="174" fontId="51" fillId="0" borderId="109"/>
    <xf numFmtId="0" fontId="8" fillId="25" borderId="99" applyNumberFormat="0" applyFont="0" applyAlignment="0" applyProtection="0"/>
    <xf numFmtId="181" fontId="51" fillId="0" borderId="109"/>
    <xf numFmtId="174" fontId="51" fillId="0" borderId="109"/>
    <xf numFmtId="0" fontId="21" fillId="22" borderId="110" applyNumberFormat="0" applyAlignment="0" applyProtection="0"/>
    <xf numFmtId="0" fontId="18" fillId="9" borderId="106" applyNumberFormat="0" applyAlignment="0" applyProtection="0"/>
    <xf numFmtId="179" fontId="51" fillId="0" borderId="109"/>
    <xf numFmtId="179" fontId="51" fillId="0" borderId="109"/>
    <xf numFmtId="0" fontId="18" fillId="9" borderId="106" applyNumberFormat="0" applyAlignment="0" applyProtection="0"/>
    <xf numFmtId="180" fontId="51" fillId="0" borderId="109"/>
    <xf numFmtId="0" fontId="8" fillId="25" borderId="99" applyNumberFormat="0" applyFont="0" applyAlignment="0" applyProtection="0"/>
    <xf numFmtId="0" fontId="54" fillId="46" borderId="108">
      <protection locked="0"/>
    </xf>
    <xf numFmtId="0" fontId="11" fillId="22" borderId="106" applyNumberFormat="0" applyAlignment="0" applyProtection="0"/>
    <xf numFmtId="174" fontId="51" fillId="0" borderId="109"/>
    <xf numFmtId="175" fontId="51" fillId="0" borderId="109"/>
    <xf numFmtId="171" fontId="51" fillId="0" borderId="109"/>
    <xf numFmtId="0" fontId="8" fillId="25" borderId="99" applyNumberFormat="0" applyFont="0" applyAlignment="0" applyProtection="0"/>
    <xf numFmtId="0" fontId="11" fillId="22" borderId="106" applyNumberFormat="0" applyAlignment="0" applyProtection="0"/>
    <xf numFmtId="176" fontId="51" fillId="0" borderId="109"/>
    <xf numFmtId="173"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5" fontId="51" fillId="0" borderId="109"/>
    <xf numFmtId="179" fontId="51" fillId="0" borderId="109"/>
    <xf numFmtId="171" fontId="51" fillId="0" borderId="109"/>
    <xf numFmtId="171" fontId="51" fillId="0" borderId="109"/>
    <xf numFmtId="0" fontId="23" fillId="0" borderId="111" applyNumberFormat="0" applyFill="0" applyAlignment="0" applyProtection="0"/>
    <xf numFmtId="179" fontId="51" fillId="0" borderId="109"/>
    <xf numFmtId="171" fontId="51" fillId="0" borderId="109"/>
    <xf numFmtId="171" fontId="51" fillId="0" borderId="109"/>
    <xf numFmtId="179" fontId="51" fillId="0" borderId="109"/>
    <xf numFmtId="174" fontId="51" fillId="0" borderId="109"/>
    <xf numFmtId="174" fontId="51" fillId="0" borderId="109"/>
    <xf numFmtId="179" fontId="51" fillId="0" borderId="109"/>
    <xf numFmtId="179" fontId="51" fillId="0" borderId="109"/>
    <xf numFmtId="179" fontId="51" fillId="0" borderId="109"/>
    <xf numFmtId="171" fontId="51" fillId="0" borderId="109"/>
    <xf numFmtId="173" fontId="51" fillId="0" borderId="109"/>
    <xf numFmtId="171" fontId="51" fillId="0" borderId="109"/>
    <xf numFmtId="179" fontId="51" fillId="0" borderId="109"/>
    <xf numFmtId="0" fontId="18" fillId="9" borderId="106" applyNumberFormat="0" applyAlignment="0" applyProtection="0"/>
    <xf numFmtId="179" fontId="51" fillId="0" borderId="109"/>
    <xf numFmtId="179" fontId="51" fillId="0" borderId="109"/>
    <xf numFmtId="0" fontId="23" fillId="0" borderId="111" applyNumberFormat="0" applyFill="0" applyAlignment="0" applyProtection="0"/>
    <xf numFmtId="171" fontId="51" fillId="0" borderId="109"/>
    <xf numFmtId="0" fontId="8" fillId="25" borderId="99" applyNumberFormat="0" applyFont="0" applyAlignment="0" applyProtection="0"/>
    <xf numFmtId="0" fontId="18" fillId="9" borderId="106" applyNumberFormat="0" applyAlignment="0" applyProtection="0"/>
    <xf numFmtId="171" fontId="51" fillId="0" borderId="109"/>
    <xf numFmtId="179" fontId="51" fillId="0" borderId="109"/>
    <xf numFmtId="0" fontId="8" fillId="25" borderId="99" applyNumberFormat="0" applyFont="0" applyAlignment="0" applyProtection="0"/>
    <xf numFmtId="0" fontId="11" fillId="22" borderId="106" applyNumberFormat="0" applyAlignment="0" applyProtection="0"/>
    <xf numFmtId="171" fontId="51" fillId="0" borderId="109"/>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1" fontId="51" fillId="0" borderId="109"/>
    <xf numFmtId="180" fontId="51" fillId="0" borderId="109"/>
    <xf numFmtId="174" fontId="51" fillId="0" borderId="109"/>
    <xf numFmtId="174" fontId="51" fillId="0" borderId="109"/>
    <xf numFmtId="173" fontId="51" fillId="0" borderId="109"/>
    <xf numFmtId="179" fontId="51" fillId="0" borderId="109"/>
    <xf numFmtId="172" fontId="51" fillId="0" borderId="109"/>
    <xf numFmtId="0" fontId="21" fillId="22" borderId="110" applyNumberFormat="0" applyAlignment="0" applyProtection="0"/>
    <xf numFmtId="171" fontId="51" fillId="0" borderId="109"/>
    <xf numFmtId="174" fontId="51" fillId="0" borderId="109"/>
    <xf numFmtId="179" fontId="51" fillId="0" borderId="109"/>
    <xf numFmtId="0" fontId="11" fillId="22" borderId="106" applyNumberFormat="0" applyAlignment="0" applyProtection="0"/>
    <xf numFmtId="174" fontId="51" fillId="0" borderId="109"/>
    <xf numFmtId="175" fontId="51" fillId="0" borderId="109"/>
    <xf numFmtId="174" fontId="51" fillId="0" borderId="109"/>
    <xf numFmtId="181" fontId="51" fillId="0" borderId="109"/>
    <xf numFmtId="0" fontId="17" fillId="0" borderId="105" applyNumberFormat="0" applyFill="0" applyAlignment="0" applyProtection="0"/>
    <xf numFmtId="176" fontId="51" fillId="0" borderId="109"/>
    <xf numFmtId="172" fontId="51" fillId="0" borderId="109"/>
    <xf numFmtId="179" fontId="51" fillId="0" borderId="109"/>
    <xf numFmtId="180" fontId="51" fillId="0" borderId="109"/>
    <xf numFmtId="181" fontId="51" fillId="0" borderId="109"/>
    <xf numFmtId="0" fontId="54" fillId="46" borderId="108">
      <protection locked="0"/>
    </xf>
    <xf numFmtId="0" fontId="17" fillId="0" borderId="105"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4" fontId="51" fillId="0" borderId="109"/>
    <xf numFmtId="174" fontId="51" fillId="0" borderId="109"/>
    <xf numFmtId="174" fontId="51" fillId="0" borderId="109"/>
    <xf numFmtId="171" fontId="51" fillId="0" borderId="109"/>
    <xf numFmtId="0" fontId="18" fillId="9" borderId="106" applyNumberFormat="0" applyAlignment="0" applyProtection="0"/>
    <xf numFmtId="174" fontId="51" fillId="0" borderId="109"/>
    <xf numFmtId="171" fontId="51" fillId="0" borderId="109"/>
    <xf numFmtId="179" fontId="51" fillId="0" borderId="109"/>
    <xf numFmtId="173" fontId="51" fillId="0" borderId="109"/>
    <xf numFmtId="173" fontId="51" fillId="0" borderId="109"/>
    <xf numFmtId="171" fontId="51" fillId="0" borderId="109"/>
    <xf numFmtId="173" fontId="51" fillId="0" borderId="109"/>
    <xf numFmtId="174" fontId="51" fillId="0" borderId="109"/>
    <xf numFmtId="176" fontId="51" fillId="0" borderId="109"/>
    <xf numFmtId="171" fontId="51" fillId="0" borderId="109"/>
    <xf numFmtId="0" fontId="11" fillId="22" borderId="106" applyNumberFormat="0" applyAlignment="0" applyProtection="0"/>
    <xf numFmtId="179" fontId="51" fillId="0" borderId="109"/>
    <xf numFmtId="179" fontId="51" fillId="0" borderId="109"/>
    <xf numFmtId="179" fontId="51" fillId="0" borderId="109"/>
    <xf numFmtId="171" fontId="51" fillId="0" borderId="109"/>
    <xf numFmtId="0" fontId="8" fillId="25" borderId="99" applyNumberFormat="0" applyFont="0" applyAlignment="0" applyProtection="0"/>
    <xf numFmtId="171" fontId="51" fillId="0" borderId="109"/>
    <xf numFmtId="180" fontId="51" fillId="0" borderId="109"/>
    <xf numFmtId="174" fontId="51" fillId="0" borderId="109"/>
    <xf numFmtId="175" fontId="51" fillId="0" borderId="109"/>
    <xf numFmtId="0" fontId="18" fillId="9" borderId="106" applyNumberFormat="0" applyAlignment="0" applyProtection="0"/>
    <xf numFmtId="171" fontId="51" fillId="0" borderId="109"/>
    <xf numFmtId="179" fontId="51" fillId="0" borderId="109"/>
    <xf numFmtId="174" fontId="51" fillId="0" borderId="109"/>
    <xf numFmtId="179" fontId="51" fillId="0" borderId="109"/>
    <xf numFmtId="171" fontId="51" fillId="0" borderId="109"/>
    <xf numFmtId="179" fontId="51" fillId="0" borderId="109"/>
    <xf numFmtId="174" fontId="51" fillId="0" borderId="109"/>
    <xf numFmtId="174" fontId="51" fillId="0" borderId="109"/>
    <xf numFmtId="171" fontId="51" fillId="0" borderId="109"/>
    <xf numFmtId="174" fontId="51" fillId="0" borderId="109"/>
    <xf numFmtId="175" fontId="51" fillId="0" borderId="109"/>
    <xf numFmtId="174" fontId="51" fillId="0" borderId="109"/>
    <xf numFmtId="179" fontId="51" fillId="0" borderId="109"/>
    <xf numFmtId="179" fontId="51" fillId="0" borderId="109"/>
    <xf numFmtId="171" fontId="51" fillId="0" borderId="109"/>
    <xf numFmtId="0" fontId="21" fillId="22" borderId="110" applyNumberFormat="0" applyAlignment="0" applyProtection="0"/>
    <xf numFmtId="172" fontId="51" fillId="0" borderId="109"/>
    <xf numFmtId="0" fontId="23" fillId="0" borderId="111" applyNumberFormat="0" applyFill="0" applyAlignment="0" applyProtection="0"/>
    <xf numFmtId="0" fontId="8" fillId="25" borderId="99" applyNumberFormat="0" applyFont="0" applyAlignment="0" applyProtection="0"/>
    <xf numFmtId="0" fontId="54" fillId="46" borderId="108">
      <protection locked="0"/>
    </xf>
    <xf numFmtId="175" fontId="51" fillId="0" borderId="109"/>
    <xf numFmtId="0" fontId="23" fillId="0" borderId="111" applyNumberFormat="0" applyFill="0" applyAlignment="0" applyProtection="0"/>
    <xf numFmtId="174" fontId="51" fillId="0" borderId="109"/>
    <xf numFmtId="0" fontId="21" fillId="22" borderId="110" applyNumberFormat="0" applyAlignment="0" applyProtection="0"/>
    <xf numFmtId="171" fontId="51" fillId="0" borderId="109"/>
    <xf numFmtId="181" fontId="51" fillId="0" borderId="109"/>
    <xf numFmtId="171" fontId="51" fillId="0" borderId="109"/>
    <xf numFmtId="179" fontId="51" fillId="0" borderId="109"/>
    <xf numFmtId="0" fontId="11" fillId="22" borderId="106" applyNumberFormat="0" applyAlignment="0" applyProtection="0"/>
    <xf numFmtId="174" fontId="51" fillId="0" borderId="109"/>
    <xf numFmtId="180" fontId="51" fillId="0" borderId="109"/>
    <xf numFmtId="174" fontId="51" fillId="0" borderId="109"/>
    <xf numFmtId="171" fontId="51" fillId="0" borderId="109"/>
    <xf numFmtId="174" fontId="51" fillId="0" borderId="109"/>
    <xf numFmtId="172" fontId="51" fillId="0" borderId="109"/>
    <xf numFmtId="179" fontId="51" fillId="0" borderId="109"/>
    <xf numFmtId="176" fontId="51" fillId="0" borderId="109"/>
    <xf numFmtId="174" fontId="51" fillId="0" borderId="109"/>
    <xf numFmtId="172" fontId="51" fillId="0" borderId="109"/>
    <xf numFmtId="171" fontId="51" fillId="0" borderId="109"/>
    <xf numFmtId="180" fontId="51" fillId="0" borderId="109"/>
    <xf numFmtId="181" fontId="51" fillId="0" borderId="109"/>
    <xf numFmtId="0" fontId="54" fillId="46" borderId="108">
      <protection locked="0"/>
    </xf>
    <xf numFmtId="179" fontId="51" fillId="0" borderId="109"/>
    <xf numFmtId="179" fontId="51" fillId="0" borderId="109"/>
    <xf numFmtId="179" fontId="51" fillId="0" borderId="109"/>
    <xf numFmtId="171" fontId="51" fillId="0" borderId="109"/>
    <xf numFmtId="179" fontId="51" fillId="0" borderId="109"/>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81" fontId="51" fillId="0" borderId="109"/>
    <xf numFmtId="171" fontId="51" fillId="0" borderId="109"/>
    <xf numFmtId="174" fontId="51" fillId="0" borderId="109"/>
    <xf numFmtId="179" fontId="51" fillId="0" borderId="109"/>
    <xf numFmtId="171" fontId="51" fillId="0" borderId="109"/>
    <xf numFmtId="0" fontId="8" fillId="25" borderId="99" applyNumberFormat="0" applyFont="0" applyAlignment="0" applyProtection="0"/>
    <xf numFmtId="174" fontId="51" fillId="0" borderId="109"/>
    <xf numFmtId="176" fontId="51" fillId="0" borderId="109"/>
    <xf numFmtId="179" fontId="51" fillId="0" borderId="109"/>
    <xf numFmtId="171" fontId="51" fillId="0" borderId="109"/>
    <xf numFmtId="174"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4" fontId="51" fillId="0" borderId="109"/>
    <xf numFmtId="179" fontId="51" fillId="0" borderId="109"/>
    <xf numFmtId="171" fontId="51" fillId="0" borderId="109"/>
    <xf numFmtId="179" fontId="51" fillId="0" borderId="109"/>
    <xf numFmtId="179" fontId="51" fillId="0" borderId="109"/>
    <xf numFmtId="174" fontId="51" fillId="0" borderId="109"/>
    <xf numFmtId="174" fontId="51" fillId="0" borderId="109"/>
    <xf numFmtId="171" fontId="51" fillId="0" borderId="109"/>
    <xf numFmtId="171" fontId="51" fillId="0" borderId="109"/>
    <xf numFmtId="17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4" fontId="51" fillId="0" borderId="109"/>
    <xf numFmtId="181" fontId="51" fillId="0" borderId="109"/>
    <xf numFmtId="171" fontId="51" fillId="0" borderId="109"/>
    <xf numFmtId="0" fontId="11" fillId="22" borderId="106" applyNumberFormat="0" applyAlignment="0" applyProtection="0"/>
    <xf numFmtId="0" fontId="18" fillId="9" borderId="106" applyNumberFormat="0" applyAlignment="0" applyProtection="0"/>
    <xf numFmtId="181" fontId="51" fillId="0" borderId="109"/>
    <xf numFmtId="180" fontId="51" fillId="0" borderId="109"/>
    <xf numFmtId="179" fontId="51" fillId="0" borderId="109"/>
    <xf numFmtId="171" fontId="51" fillId="0" borderId="109"/>
    <xf numFmtId="175" fontId="51" fillId="0" borderId="109"/>
    <xf numFmtId="176" fontId="51" fillId="0" borderId="109"/>
    <xf numFmtId="175" fontId="51" fillId="0" borderId="109"/>
    <xf numFmtId="174" fontId="51" fillId="0" borderId="109"/>
    <xf numFmtId="176" fontId="51" fillId="0" borderId="109"/>
    <xf numFmtId="180" fontId="51" fillId="0" borderId="109"/>
    <xf numFmtId="173" fontId="51" fillId="0" borderId="109"/>
    <xf numFmtId="0" fontId="11" fillId="22" borderId="106" applyNumberFormat="0" applyAlignment="0" applyProtection="0"/>
    <xf numFmtId="172" fontId="51" fillId="0" borderId="109"/>
    <xf numFmtId="179" fontId="51" fillId="0" borderId="109"/>
    <xf numFmtId="176" fontId="51" fillId="0" borderId="109"/>
    <xf numFmtId="174" fontId="51" fillId="0" borderId="109"/>
    <xf numFmtId="171" fontId="51" fillId="0" borderId="109"/>
    <xf numFmtId="0" fontId="21" fillId="22" borderId="110" applyNumberFormat="0" applyAlignment="0" applyProtection="0"/>
    <xf numFmtId="0" fontId="23" fillId="0" borderId="111" applyNumberFormat="0" applyFill="0" applyAlignment="0" applyProtection="0"/>
    <xf numFmtId="180" fontId="51" fillId="0" borderId="109"/>
    <xf numFmtId="175" fontId="51" fillId="0" borderId="109"/>
    <xf numFmtId="173" fontId="51" fillId="0" borderId="109"/>
    <xf numFmtId="172" fontId="51" fillId="0" borderId="109"/>
    <xf numFmtId="171" fontId="51" fillId="0" borderId="109"/>
    <xf numFmtId="181"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11" fillId="22" borderId="106" applyNumberFormat="0" applyAlignment="0" applyProtection="0"/>
    <xf numFmtId="0" fontId="54" fillId="46" borderId="108">
      <protection locked="0"/>
    </xf>
    <xf numFmtId="0" fontId="11" fillId="22" borderId="106" applyNumberFormat="0" applyAlignment="0" applyProtection="0"/>
    <xf numFmtId="0" fontId="21" fillId="22" borderId="110" applyNumberFormat="0" applyAlignment="0" applyProtection="0"/>
    <xf numFmtId="0" fontId="54" fillId="46" borderId="108">
      <protection locked="0"/>
    </xf>
    <xf numFmtId="173" fontId="51" fillId="0" borderId="109"/>
    <xf numFmtId="172"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23" fillId="0" borderId="111" applyNumberFormat="0" applyFill="0" applyAlignment="0" applyProtection="0"/>
    <xf numFmtId="171" fontId="51" fillId="0" borderId="109"/>
    <xf numFmtId="172"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9" fontId="51" fillId="0" borderId="109"/>
    <xf numFmtId="0" fontId="8" fillId="25" borderId="99" applyNumberFormat="0" applyFont="0" applyAlignment="0" applyProtection="0"/>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1" fontId="51" fillId="0" borderId="109"/>
    <xf numFmtId="179" fontId="51" fillId="0" borderId="109"/>
    <xf numFmtId="0" fontId="11" fillId="22" borderId="106" applyNumberFormat="0" applyAlignment="0" applyProtection="0"/>
    <xf numFmtId="0" fontId="54" fillId="46" borderId="108">
      <protection locked="0"/>
    </xf>
    <xf numFmtId="181" fontId="51" fillId="0" borderId="109"/>
    <xf numFmtId="171" fontId="51" fillId="0" borderId="109"/>
    <xf numFmtId="0" fontId="23" fillId="0" borderId="111" applyNumberFormat="0" applyFill="0" applyAlignment="0" applyProtection="0"/>
    <xf numFmtId="179" fontId="51" fillId="0" borderId="109"/>
    <xf numFmtId="0" fontId="54" fillId="46" borderId="108">
      <protection locked="0"/>
    </xf>
    <xf numFmtId="0" fontId="11" fillId="22" borderId="106" applyNumberFormat="0" applyAlignment="0" applyProtection="0"/>
    <xf numFmtId="171" fontId="51" fillId="0" borderId="109"/>
    <xf numFmtId="171" fontId="51" fillId="0" borderId="109"/>
    <xf numFmtId="0" fontId="18" fillId="9" borderId="106" applyNumberFormat="0" applyAlignment="0" applyProtection="0"/>
    <xf numFmtId="172" fontId="51" fillId="0" borderId="109"/>
    <xf numFmtId="171" fontId="51" fillId="0" borderId="109"/>
    <xf numFmtId="174" fontId="51" fillId="0" borderId="109"/>
    <xf numFmtId="171" fontId="51" fillId="0" borderId="109"/>
    <xf numFmtId="174" fontId="51" fillId="0" borderId="109"/>
    <xf numFmtId="175" fontId="51" fillId="0" borderId="109"/>
    <xf numFmtId="176" fontId="51" fillId="0" borderId="109"/>
    <xf numFmtId="0" fontId="8" fillId="25" borderId="99" applyNumberFormat="0" applyFont="0" applyAlignment="0" applyProtection="0"/>
    <xf numFmtId="174" fontId="51" fillId="0" borderId="109"/>
    <xf numFmtId="179" fontId="51" fillId="0" borderId="109"/>
    <xf numFmtId="171" fontId="51" fillId="0" borderId="109"/>
    <xf numFmtId="180" fontId="51" fillId="0" borderId="109"/>
    <xf numFmtId="181" fontId="51" fillId="0" borderId="109"/>
    <xf numFmtId="0" fontId="18" fillId="9" borderId="106" applyNumberFormat="0" applyAlignment="0" applyProtection="0"/>
    <xf numFmtId="179" fontId="51" fillId="0" borderId="109"/>
    <xf numFmtId="179" fontId="51" fillId="0" borderId="109"/>
    <xf numFmtId="174" fontId="51" fillId="0" borderId="109"/>
    <xf numFmtId="171" fontId="51" fillId="0" borderId="109"/>
    <xf numFmtId="175" fontId="51" fillId="0" borderId="109"/>
    <xf numFmtId="171" fontId="51" fillId="0" borderId="109"/>
    <xf numFmtId="171" fontId="51" fillId="0" borderId="109"/>
    <xf numFmtId="174" fontId="51" fillId="0" borderId="109"/>
    <xf numFmtId="174" fontId="51" fillId="0" borderId="109"/>
    <xf numFmtId="171" fontId="51" fillId="0" borderId="109"/>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8" fillId="25" borderId="99" applyNumberFormat="0" applyFont="0" applyAlignment="0" applyProtection="0"/>
    <xf numFmtId="173" fontId="51" fillId="0" borderId="109"/>
    <xf numFmtId="174" fontId="51" fillId="0" borderId="109"/>
    <xf numFmtId="179" fontId="51" fillId="0" borderId="109"/>
    <xf numFmtId="0" fontId="11" fillId="22" borderId="106" applyNumberFormat="0" applyAlignment="0" applyProtection="0"/>
    <xf numFmtId="173" fontId="51" fillId="0" borderId="109"/>
    <xf numFmtId="172" fontId="51" fillId="0" borderId="109"/>
    <xf numFmtId="0" fontId="21" fillId="22" borderId="110" applyNumberFormat="0" applyAlignment="0" applyProtection="0"/>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3" fontId="51" fillId="0" borderId="109"/>
    <xf numFmtId="175" fontId="51" fillId="0" borderId="109"/>
    <xf numFmtId="176"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80" fontId="51" fillId="0" borderId="109"/>
    <xf numFmtId="174" fontId="51" fillId="0" borderId="109"/>
    <xf numFmtId="179"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174" fontId="51" fillId="0" borderId="109"/>
    <xf numFmtId="179" fontId="51" fillId="0" borderId="109"/>
    <xf numFmtId="174" fontId="51" fillId="0" borderId="109"/>
    <xf numFmtId="171" fontId="51" fillId="0" borderId="109"/>
    <xf numFmtId="179" fontId="51" fillId="0" borderId="109"/>
    <xf numFmtId="174" fontId="51" fillId="0" borderId="109"/>
    <xf numFmtId="179" fontId="51" fillId="0" borderId="109"/>
    <xf numFmtId="171" fontId="51" fillId="0" borderId="109"/>
    <xf numFmtId="171" fontId="51" fillId="0" borderId="109"/>
    <xf numFmtId="179"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6" fontId="51" fillId="0" borderId="109"/>
    <xf numFmtId="0" fontId="11" fillId="22" borderId="106" applyNumberFormat="0" applyAlignment="0" applyProtection="0"/>
    <xf numFmtId="180" fontId="51" fillId="0" borderId="109"/>
    <xf numFmtId="179" fontId="51" fillId="0" borderId="109"/>
    <xf numFmtId="171" fontId="51" fillId="0" borderId="109"/>
    <xf numFmtId="171" fontId="51" fillId="0" borderId="109"/>
    <xf numFmtId="174" fontId="51" fillId="0" borderId="109"/>
    <xf numFmtId="174" fontId="51" fillId="0" borderId="109"/>
    <xf numFmtId="171" fontId="51" fillId="0" borderId="109"/>
    <xf numFmtId="0" fontId="23" fillId="0" borderId="111" applyNumberFormat="0" applyFill="0" applyAlignment="0" applyProtection="0"/>
    <xf numFmtId="174" fontId="51" fillId="0" borderId="109"/>
    <xf numFmtId="0" fontId="18" fillId="9" borderId="106" applyNumberFormat="0" applyAlignment="0" applyProtection="0"/>
    <xf numFmtId="0" fontId="21" fillId="22" borderId="110" applyNumberFormat="0" applyAlignment="0" applyProtection="0"/>
    <xf numFmtId="0" fontId="8" fillId="25" borderId="99" applyNumberFormat="0" applyFont="0" applyAlignment="0" applyProtection="0"/>
    <xf numFmtId="0" fontId="54" fillId="46" borderId="108">
      <protection locked="0"/>
    </xf>
    <xf numFmtId="179" fontId="51" fillId="0" borderId="109"/>
    <xf numFmtId="0" fontId="11" fillId="22" borderId="106" applyNumberFormat="0" applyAlignment="0" applyProtection="0"/>
    <xf numFmtId="0" fontId="18" fillId="9" borderId="106" applyNumberFormat="0" applyAlignment="0" applyProtection="0"/>
    <xf numFmtId="174" fontId="51" fillId="0" borderId="109"/>
    <xf numFmtId="171" fontId="51" fillId="0" borderId="109"/>
    <xf numFmtId="179" fontId="51" fillId="0" borderId="109"/>
    <xf numFmtId="174" fontId="51" fillId="0" borderId="109"/>
    <xf numFmtId="171" fontId="51" fillId="0" borderId="109"/>
    <xf numFmtId="172" fontId="51" fillId="0" borderId="109"/>
    <xf numFmtId="171" fontId="51" fillId="0" borderId="109"/>
    <xf numFmtId="174" fontId="51" fillId="0" borderId="109"/>
    <xf numFmtId="179" fontId="51" fillId="0" borderId="109"/>
    <xf numFmtId="171" fontId="51" fillId="0" borderId="109"/>
    <xf numFmtId="179" fontId="51" fillId="0" borderId="109"/>
    <xf numFmtId="0" fontId="11" fillId="22" borderId="106" applyNumberFormat="0" applyAlignment="0" applyProtection="0"/>
    <xf numFmtId="181" fontId="51" fillId="0" borderId="109"/>
    <xf numFmtId="175" fontId="51" fillId="0" borderId="109"/>
    <xf numFmtId="179" fontId="51" fillId="0" borderId="109"/>
    <xf numFmtId="171" fontId="51" fillId="0" borderId="109"/>
    <xf numFmtId="0" fontId="11" fillId="22" borderId="106" applyNumberFormat="0" applyAlignment="0" applyProtection="0"/>
    <xf numFmtId="0" fontId="18" fillId="9" borderId="106" applyNumberFormat="0" applyAlignment="0" applyProtection="0"/>
    <xf numFmtId="0" fontId="23" fillId="0" borderId="111" applyNumberFormat="0" applyFill="0" applyAlignment="0" applyProtection="0"/>
    <xf numFmtId="179" fontId="51" fillId="0" borderId="109"/>
    <xf numFmtId="179" fontId="51" fillId="0" borderId="109"/>
    <xf numFmtId="174" fontId="51" fillId="0" borderId="109"/>
    <xf numFmtId="173" fontId="51" fillId="0" borderId="109"/>
    <xf numFmtId="0" fontId="8" fillId="25" borderId="99" applyNumberFormat="0" applyFont="0" applyAlignment="0" applyProtection="0"/>
    <xf numFmtId="174"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9" fontId="51" fillId="0" borderId="109"/>
    <xf numFmtId="174"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23" fillId="0" borderId="111" applyNumberFormat="0" applyFill="0" applyAlignment="0" applyProtection="0"/>
    <xf numFmtId="0" fontId="18" fillId="9" borderId="106" applyNumberFormat="0" applyAlignment="0" applyProtection="0"/>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0" fontId="21" fillId="22" borderId="110" applyNumberForma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9" fontId="51" fillId="0" borderId="109"/>
    <xf numFmtId="180" fontId="51" fillId="0" borderId="109"/>
    <xf numFmtId="171" fontId="51" fillId="0" borderId="109"/>
    <xf numFmtId="174" fontId="51" fillId="0" borderId="109"/>
    <xf numFmtId="174" fontId="51" fillId="0" borderId="109"/>
    <xf numFmtId="176" fontId="51" fillId="0" borderId="109"/>
    <xf numFmtId="171"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17" fillId="0" borderId="105" applyNumberFormat="0" applyFill="0" applyAlignment="0" applyProtection="0"/>
    <xf numFmtId="0" fontId="11" fillId="22" borderId="106" applyNumberFormat="0" applyAlignment="0" applyProtection="0"/>
    <xf numFmtId="0" fontId="18" fillId="9" borderId="106" applyNumberFormat="0" applyAlignment="0" applyProtection="0"/>
    <xf numFmtId="0" fontId="11" fillId="22"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0" fontId="23" fillId="0" borderId="111" applyNumberFormat="0" applyFill="0" applyAlignment="0" applyProtection="0"/>
    <xf numFmtId="0" fontId="21" fillId="22" borderId="110" applyNumberFormat="0" applyAlignment="0" applyProtection="0"/>
    <xf numFmtId="0" fontId="18" fillId="9" borderId="106" applyNumberFormat="0" applyAlignment="0" applyProtection="0"/>
    <xf numFmtId="0" fontId="8" fillId="25" borderId="99" applyNumberFormat="0" applyFont="0" applyAlignment="0" applyProtection="0"/>
    <xf numFmtId="175" fontId="51" fillId="0" borderId="109"/>
    <xf numFmtId="179" fontId="51" fillId="0" borderId="109"/>
    <xf numFmtId="171" fontId="51" fillId="0" borderId="109"/>
    <xf numFmtId="172" fontId="51" fillId="0" borderId="109"/>
    <xf numFmtId="173" fontId="51" fillId="0" borderId="109"/>
    <xf numFmtId="0" fontId="8" fillId="25" borderId="99" applyNumberFormat="0" applyFont="0" applyAlignment="0" applyProtection="0"/>
    <xf numFmtId="174" fontId="51" fillId="0" borderId="109"/>
    <xf numFmtId="175" fontId="51" fillId="0" borderId="109"/>
    <xf numFmtId="176" fontId="51" fillId="0" borderId="109"/>
    <xf numFmtId="175" fontId="51" fillId="0" borderId="109"/>
    <xf numFmtId="179" fontId="51" fillId="0" borderId="109"/>
    <xf numFmtId="180" fontId="51" fillId="0" borderId="109"/>
    <xf numFmtId="181" fontId="51" fillId="0" borderId="109"/>
    <xf numFmtId="174" fontId="51" fillId="0" borderId="109"/>
    <xf numFmtId="0" fontId="17" fillId="0" borderId="105" applyNumberFormat="0" applyFill="0" applyAlignment="0" applyProtection="0"/>
    <xf numFmtId="171" fontId="51" fillId="0" borderId="109"/>
    <xf numFmtId="0" fontId="54" fillId="46" borderId="108">
      <protection locked="0"/>
    </xf>
    <xf numFmtId="0" fontId="11" fillId="22" borderId="106" applyNumberFormat="0" applyAlignment="0" applyProtection="0"/>
    <xf numFmtId="0" fontId="8" fillId="25" borderId="99" applyNumberFormat="0" applyFont="0" applyAlignment="0" applyProtection="0"/>
    <xf numFmtId="0" fontId="11" fillId="22" borderId="106" applyNumberFormat="0" applyAlignment="0" applyProtection="0"/>
    <xf numFmtId="181" fontId="51" fillId="0" borderId="109"/>
    <xf numFmtId="0" fontId="54" fillId="46" borderId="108">
      <protection locked="0"/>
    </xf>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173" fontId="51" fillId="0" borderId="109"/>
    <xf numFmtId="0" fontId="18" fillId="9" borderId="106" applyNumberFormat="0" applyAlignment="0" applyProtection="0"/>
    <xf numFmtId="0" fontId="11" fillId="22" borderId="106" applyNumberFormat="0" applyAlignment="0" applyProtection="0"/>
    <xf numFmtId="0" fontId="17" fillId="0" borderId="105" applyNumberFormat="0" applyFill="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2" fontId="51" fillId="0" borderId="109"/>
    <xf numFmtId="173" fontId="51" fillId="0" borderId="109"/>
    <xf numFmtId="0" fontId="18" fillId="9" borderId="106" applyNumberFormat="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6" fontId="51" fillId="0" borderId="109"/>
    <xf numFmtId="171" fontId="51" fillId="0" borderId="109"/>
    <xf numFmtId="172" fontId="51" fillId="0" borderId="109"/>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174" fontId="51" fillId="0" borderId="109"/>
    <xf numFmtId="179"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171" fontId="51" fillId="0" borderId="109"/>
    <xf numFmtId="179" fontId="51" fillId="0" borderId="109"/>
    <xf numFmtId="174" fontId="51" fillId="0" borderId="109"/>
    <xf numFmtId="174" fontId="51" fillId="0" borderId="109"/>
    <xf numFmtId="179" fontId="51" fillId="0" borderId="109"/>
    <xf numFmtId="171"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0" fontId="54" fillId="46" borderId="108">
      <protection locked="0"/>
    </xf>
    <xf numFmtId="171" fontId="51" fillId="0" borderId="109"/>
    <xf numFmtId="181" fontId="51" fillId="0" borderId="109"/>
    <xf numFmtId="174" fontId="51" fillId="0" borderId="109"/>
    <xf numFmtId="176" fontId="51" fillId="0" borderId="109"/>
    <xf numFmtId="173" fontId="51" fillId="0" borderId="109"/>
    <xf numFmtId="172" fontId="51" fillId="0" borderId="109"/>
    <xf numFmtId="179"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179" fontId="51" fillId="0" borderId="109"/>
    <xf numFmtId="180"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1" fontId="51" fillId="0" borderId="109"/>
    <xf numFmtId="174" fontId="51" fillId="0" borderId="109"/>
    <xf numFmtId="179" fontId="51" fillId="0" borderId="109"/>
    <xf numFmtId="0" fontId="54" fillId="46" borderId="108">
      <protection locked="0"/>
    </xf>
    <xf numFmtId="0" fontId="54" fillId="46" borderId="108">
      <protection locked="0"/>
    </xf>
    <xf numFmtId="0" fontId="11" fillId="22" borderId="106" applyNumberFormat="0" applyAlignment="0" applyProtection="0"/>
    <xf numFmtId="174" fontId="51" fillId="0" borderId="109"/>
    <xf numFmtId="171" fontId="51" fillId="0" borderId="109"/>
    <xf numFmtId="174" fontId="51" fillId="0" borderId="109"/>
    <xf numFmtId="174" fontId="51" fillId="0" borderId="109"/>
    <xf numFmtId="0" fontId="21" fillId="22" borderId="110" applyNumberFormat="0" applyAlignment="0" applyProtection="0"/>
    <xf numFmtId="179" fontId="51" fillId="0" borderId="109"/>
    <xf numFmtId="174" fontId="51" fillId="0" borderId="109"/>
    <xf numFmtId="0" fontId="54" fillId="46" borderId="108">
      <protection locked="0"/>
    </xf>
    <xf numFmtId="0" fontId="21" fillId="22" borderId="110" applyNumberFormat="0" applyAlignment="0" applyProtection="0"/>
    <xf numFmtId="0" fontId="8" fillId="25" borderId="99" applyNumberFormat="0" applyFont="0" applyAlignment="0" applyProtection="0"/>
    <xf numFmtId="171" fontId="51" fillId="0" borderId="109"/>
    <xf numFmtId="0" fontId="8" fillId="25" borderId="99" applyNumberFormat="0" applyFont="0" applyAlignment="0" applyProtection="0"/>
    <xf numFmtId="173" fontId="51" fillId="0" borderId="109"/>
    <xf numFmtId="0" fontId="23" fillId="0" borderId="111" applyNumberFormat="0" applyFill="0" applyAlignment="0" applyProtection="0"/>
    <xf numFmtId="175" fontId="51" fillId="0" borderId="109"/>
    <xf numFmtId="174" fontId="51" fillId="0" borderId="109"/>
    <xf numFmtId="0" fontId="23" fillId="0" borderId="111" applyNumberFormat="0" applyFill="0" applyAlignment="0" applyProtection="0"/>
    <xf numFmtId="181" fontId="51" fillId="0" borderId="109"/>
    <xf numFmtId="174" fontId="51" fillId="0" borderId="109"/>
    <xf numFmtId="174" fontId="51" fillId="0" borderId="109"/>
    <xf numFmtId="0" fontId="18" fillId="9" borderId="106" applyNumberFormat="0" applyAlignment="0" applyProtection="0"/>
    <xf numFmtId="0" fontId="21" fillId="22" borderId="110" applyNumberFormat="0" applyAlignment="0" applyProtection="0"/>
    <xf numFmtId="171" fontId="51" fillId="0" borderId="109"/>
    <xf numFmtId="0" fontId="8" fillId="25" borderId="99" applyNumberFormat="0" applyFont="0" applyAlignment="0" applyProtection="0"/>
    <xf numFmtId="172" fontId="51" fillId="0" borderId="109"/>
    <xf numFmtId="176" fontId="51" fillId="0" borderId="109"/>
    <xf numFmtId="0" fontId="23" fillId="0" borderId="111" applyNumberFormat="0" applyFill="0" applyAlignment="0" applyProtection="0"/>
    <xf numFmtId="0" fontId="8" fillId="25" borderId="99" applyNumberFormat="0" applyFont="0" applyAlignment="0" applyProtection="0"/>
    <xf numFmtId="175" fontId="51" fillId="0" borderId="109"/>
    <xf numFmtId="171" fontId="51" fillId="0" borderId="109"/>
    <xf numFmtId="179" fontId="51" fillId="0" borderId="109"/>
    <xf numFmtId="0" fontId="18" fillId="9" borderId="106" applyNumberFormat="0" applyAlignment="0" applyProtection="0"/>
    <xf numFmtId="171" fontId="51" fillId="0" borderId="109"/>
    <xf numFmtId="0" fontId="21" fillId="22" borderId="110" applyNumberFormat="0" applyAlignment="0" applyProtection="0"/>
    <xf numFmtId="179" fontId="51" fillId="0" borderId="109"/>
    <xf numFmtId="171" fontId="51" fillId="0" borderId="109"/>
    <xf numFmtId="179" fontId="51" fillId="0" borderId="109"/>
    <xf numFmtId="174" fontId="51" fillId="0" borderId="109"/>
    <xf numFmtId="172" fontId="51" fillId="0" borderId="109"/>
    <xf numFmtId="171" fontId="51" fillId="0" borderId="109"/>
    <xf numFmtId="174" fontId="51" fillId="0" borderId="109"/>
    <xf numFmtId="173" fontId="51" fillId="0" borderId="109"/>
    <xf numFmtId="180" fontId="51" fillId="0" borderId="109"/>
    <xf numFmtId="179" fontId="51" fillId="0" borderId="109"/>
    <xf numFmtId="174" fontId="51" fillId="0" borderId="109"/>
    <xf numFmtId="171" fontId="51" fillId="0" borderId="109"/>
    <xf numFmtId="179" fontId="51" fillId="0" borderId="109"/>
    <xf numFmtId="174" fontId="51" fillId="0" borderId="109"/>
    <xf numFmtId="171" fontId="51" fillId="0" borderId="109"/>
    <xf numFmtId="179" fontId="51" fillId="0" borderId="109"/>
    <xf numFmtId="179" fontId="51" fillId="0" borderId="109"/>
    <xf numFmtId="180" fontId="51" fillId="0" borderId="109"/>
    <xf numFmtId="176" fontId="51" fillId="0" borderId="109"/>
    <xf numFmtId="171" fontId="51" fillId="0" borderId="109"/>
    <xf numFmtId="0" fontId="23" fillId="0" borderId="111" applyNumberFormat="0" applyFill="0" applyAlignment="0" applyProtection="0"/>
    <xf numFmtId="0" fontId="11" fillId="22" borderId="106" applyNumberFormat="0" applyAlignment="0" applyProtection="0"/>
    <xf numFmtId="171" fontId="51" fillId="0" borderId="109"/>
    <xf numFmtId="173" fontId="51" fillId="0" borderId="109"/>
    <xf numFmtId="171" fontId="51" fillId="0" borderId="109"/>
    <xf numFmtId="174" fontId="51" fillId="0" borderId="109"/>
    <xf numFmtId="179" fontId="51" fillId="0" borderId="109"/>
    <xf numFmtId="171" fontId="51" fillId="0" borderId="109"/>
    <xf numFmtId="0" fontId="18" fillId="9" borderId="106" applyNumberFormat="0" applyAlignment="0" applyProtection="0"/>
    <xf numFmtId="173" fontId="51" fillId="0" borderId="109"/>
    <xf numFmtId="0" fontId="11" fillId="22" borderId="106" applyNumberFormat="0" applyAlignment="0" applyProtection="0"/>
    <xf numFmtId="181" fontId="51" fillId="0" borderId="109"/>
    <xf numFmtId="171" fontId="51" fillId="0" borderId="109"/>
    <xf numFmtId="172" fontId="51" fillId="0" borderId="109"/>
    <xf numFmtId="174" fontId="51" fillId="0" borderId="109"/>
    <xf numFmtId="175" fontId="51" fillId="0" borderId="109"/>
    <xf numFmtId="174" fontId="51" fillId="0" borderId="109"/>
    <xf numFmtId="174" fontId="51" fillId="0" borderId="109"/>
    <xf numFmtId="0" fontId="11" fillId="22" borderId="106" applyNumberFormat="0" applyAlignment="0" applyProtection="0"/>
    <xf numFmtId="171" fontId="51" fillId="0" borderId="109"/>
    <xf numFmtId="174" fontId="51" fillId="0" borderId="109"/>
    <xf numFmtId="181" fontId="51" fillId="0" borderId="109"/>
    <xf numFmtId="171"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179" fontId="51" fillId="0" borderId="109"/>
    <xf numFmtId="0" fontId="8" fillId="25" borderId="99" applyNumberFormat="0" applyFont="0" applyAlignment="0" applyProtection="0"/>
    <xf numFmtId="171" fontId="51" fillId="0" borderId="109"/>
    <xf numFmtId="179" fontId="51" fillId="0" borderId="109"/>
    <xf numFmtId="179" fontId="51" fillId="0" borderId="109"/>
    <xf numFmtId="0" fontId="54" fillId="46" borderId="108">
      <protection locked="0"/>
    </xf>
    <xf numFmtId="0" fontId="8" fillId="25" borderId="99" applyNumberFormat="0" applyFont="0" applyAlignment="0" applyProtection="0"/>
    <xf numFmtId="179" fontId="51" fillId="0" borderId="109"/>
    <xf numFmtId="176" fontId="51" fillId="0" borderId="109"/>
    <xf numFmtId="171" fontId="51" fillId="0" borderId="109"/>
    <xf numFmtId="0" fontId="11" fillId="22" borderId="106" applyNumberFormat="0" applyAlignment="0" applyProtection="0"/>
    <xf numFmtId="0" fontId="17" fillId="0" borderId="105" applyNumberFormat="0" applyFill="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0" fontId="21" fillId="22" borderId="110" applyNumberFormat="0" applyAlignment="0" applyProtection="0"/>
    <xf numFmtId="174" fontId="51" fillId="0" borderId="109"/>
    <xf numFmtId="174" fontId="51" fillId="0" borderId="109"/>
    <xf numFmtId="174" fontId="51" fillId="0" borderId="109"/>
    <xf numFmtId="179" fontId="51" fillId="0" borderId="109"/>
    <xf numFmtId="179" fontId="51" fillId="0" borderId="109"/>
    <xf numFmtId="171" fontId="51" fillId="0" borderId="109"/>
    <xf numFmtId="174" fontId="51" fillId="0" borderId="109"/>
    <xf numFmtId="179" fontId="51" fillId="0" borderId="109"/>
    <xf numFmtId="171" fontId="51" fillId="0" borderId="109"/>
    <xf numFmtId="173" fontId="51" fillId="0" borderId="109"/>
    <xf numFmtId="179" fontId="51" fillId="0" borderId="109"/>
    <xf numFmtId="0" fontId="23" fillId="0" borderId="111" applyNumberFormat="0" applyFill="0" applyAlignment="0" applyProtection="0"/>
    <xf numFmtId="174" fontId="51" fillId="0" borderId="109"/>
    <xf numFmtId="174" fontId="51" fillId="0" borderId="109"/>
    <xf numFmtId="179" fontId="51" fillId="0" borderId="109"/>
    <xf numFmtId="171" fontId="51" fillId="0" borderId="109"/>
    <xf numFmtId="0" fontId="18" fillId="9" borderId="106" applyNumberFormat="0" applyAlignment="0" applyProtection="0"/>
    <xf numFmtId="176" fontId="51" fillId="0" borderId="109"/>
    <xf numFmtId="175" fontId="51" fillId="0" borderId="109"/>
    <xf numFmtId="180" fontId="51" fillId="0" borderId="109"/>
    <xf numFmtId="175" fontId="51" fillId="0" borderId="109"/>
    <xf numFmtId="180" fontId="51" fillId="0" borderId="109"/>
    <xf numFmtId="172" fontId="51" fillId="0" borderId="109"/>
    <xf numFmtId="0" fontId="54" fillId="46" borderId="108">
      <protection locked="0"/>
    </xf>
    <xf numFmtId="180" fontId="51" fillId="0" borderId="109"/>
    <xf numFmtId="181" fontId="51" fillId="0" borderId="109"/>
    <xf numFmtId="0" fontId="54" fillId="46" borderId="108">
      <protection locked="0"/>
    </xf>
    <xf numFmtId="174" fontId="51" fillId="0" borderId="109"/>
    <xf numFmtId="181" fontId="51" fillId="0" borderId="109"/>
    <xf numFmtId="0" fontId="17" fillId="0" borderId="105" applyNumberFormat="0" applyFill="0" applyAlignment="0" applyProtection="0"/>
    <xf numFmtId="176" fontId="51" fillId="0" borderId="109"/>
    <xf numFmtId="0" fontId="11" fillId="22" borderId="106" applyNumberFormat="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9" fontId="51" fillId="0" borderId="109"/>
    <xf numFmtId="171" fontId="51" fillId="0" borderId="109"/>
    <xf numFmtId="174" fontId="51" fillId="0" borderId="109"/>
    <xf numFmtId="179" fontId="51" fillId="0" borderId="109"/>
    <xf numFmtId="179" fontId="51" fillId="0" borderId="109"/>
    <xf numFmtId="179" fontId="51" fillId="0" borderId="109"/>
    <xf numFmtId="174" fontId="51" fillId="0" borderId="109"/>
    <xf numFmtId="179" fontId="51" fillId="0" borderId="109"/>
    <xf numFmtId="179" fontId="51" fillId="0" borderId="109"/>
    <xf numFmtId="174" fontId="51" fillId="0" borderId="109"/>
    <xf numFmtId="174" fontId="51" fillId="0" borderId="109"/>
    <xf numFmtId="0" fontId="21" fillId="22" borderId="110" applyNumberFormat="0" applyAlignment="0" applyProtection="0"/>
    <xf numFmtId="174" fontId="51" fillId="0" borderId="109"/>
    <xf numFmtId="0" fontId="23" fillId="0" borderId="111" applyNumberFormat="0" applyFill="0" applyAlignment="0" applyProtection="0"/>
    <xf numFmtId="171" fontId="51" fillId="0" borderId="109"/>
    <xf numFmtId="171" fontId="51" fillId="0" borderId="109"/>
    <xf numFmtId="174" fontId="51" fillId="0" borderId="109"/>
    <xf numFmtId="175" fontId="51" fillId="0" borderId="109"/>
    <xf numFmtId="0" fontId="18" fillId="9" borderId="106" applyNumberFormat="0" applyAlignment="0" applyProtection="0"/>
    <xf numFmtId="171" fontId="51" fillId="0" borderId="109"/>
    <xf numFmtId="0" fontId="21" fillId="22" borderId="110" applyNumberFormat="0" applyAlignment="0" applyProtection="0"/>
    <xf numFmtId="173" fontId="51" fillId="0" borderId="109"/>
    <xf numFmtId="171" fontId="51" fillId="0" borderId="109"/>
    <xf numFmtId="0" fontId="18" fillId="9" borderId="106" applyNumberFormat="0" applyAlignment="0" applyProtection="0"/>
    <xf numFmtId="176" fontId="51" fillId="0" borderId="109"/>
    <xf numFmtId="0" fontId="11" fillId="22" borderId="106" applyNumberFormat="0" applyAlignment="0" applyProtection="0"/>
    <xf numFmtId="171" fontId="51" fillId="0" borderId="109"/>
    <xf numFmtId="171" fontId="51" fillId="0" borderId="109"/>
    <xf numFmtId="179" fontId="51" fillId="0" borderId="109"/>
    <xf numFmtId="0" fontId="54" fillId="46" borderId="108">
      <protection locked="0"/>
    </xf>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5" fontId="51" fillId="0" borderId="109"/>
    <xf numFmtId="179" fontId="51" fillId="0" borderId="109"/>
    <xf numFmtId="171" fontId="51" fillId="0" borderId="109"/>
    <xf numFmtId="171" fontId="51" fillId="0" borderId="109"/>
    <xf numFmtId="0" fontId="23" fillId="0" borderId="111" applyNumberFormat="0" applyFill="0" applyAlignment="0" applyProtection="0"/>
    <xf numFmtId="179" fontId="51" fillId="0" borderId="109"/>
    <xf numFmtId="171" fontId="51" fillId="0" borderId="109"/>
    <xf numFmtId="171" fontId="51" fillId="0" borderId="109"/>
    <xf numFmtId="179" fontId="51" fillId="0" borderId="109"/>
    <xf numFmtId="174" fontId="51" fillId="0" borderId="109"/>
    <xf numFmtId="174" fontId="51" fillId="0" borderId="109"/>
    <xf numFmtId="179" fontId="51" fillId="0" borderId="109"/>
    <xf numFmtId="179" fontId="51" fillId="0" borderId="109"/>
    <xf numFmtId="179" fontId="51" fillId="0" borderId="109"/>
    <xf numFmtId="171" fontId="51" fillId="0" borderId="109"/>
    <xf numFmtId="173" fontId="51" fillId="0" borderId="109"/>
    <xf numFmtId="171" fontId="51" fillId="0" borderId="109"/>
    <xf numFmtId="179" fontId="51" fillId="0" borderId="109"/>
    <xf numFmtId="0" fontId="18" fillId="9" borderId="106" applyNumberFormat="0" applyAlignment="0" applyProtection="0"/>
    <xf numFmtId="179" fontId="51" fillId="0" borderId="109"/>
    <xf numFmtId="179" fontId="51" fillId="0" borderId="109"/>
    <xf numFmtId="0" fontId="23" fillId="0" borderId="111" applyNumberFormat="0" applyFill="0" applyAlignment="0" applyProtection="0"/>
    <xf numFmtId="171" fontId="51" fillId="0" borderId="109"/>
    <xf numFmtId="0" fontId="8" fillId="25" borderId="99" applyNumberFormat="0" applyFont="0" applyAlignment="0" applyProtection="0"/>
    <xf numFmtId="0" fontId="18" fillId="9" borderId="106" applyNumberFormat="0" applyAlignment="0" applyProtection="0"/>
    <xf numFmtId="171" fontId="51" fillId="0" borderId="109"/>
    <xf numFmtId="179" fontId="51" fillId="0" borderId="109"/>
    <xf numFmtId="0" fontId="8" fillId="25" borderId="99" applyNumberFormat="0" applyFont="0" applyAlignment="0" applyProtection="0"/>
    <xf numFmtId="0" fontId="11" fillId="22" borderId="106" applyNumberFormat="0" applyAlignment="0" applyProtection="0"/>
    <xf numFmtId="171" fontId="51" fillId="0" borderId="109"/>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1" fontId="51" fillId="0" borderId="109"/>
    <xf numFmtId="180" fontId="51" fillId="0" borderId="109"/>
    <xf numFmtId="174" fontId="51" fillId="0" borderId="109"/>
    <xf numFmtId="174" fontId="51" fillId="0" borderId="109"/>
    <xf numFmtId="173" fontId="51" fillId="0" borderId="109"/>
    <xf numFmtId="179" fontId="51" fillId="0" borderId="109"/>
    <xf numFmtId="172" fontId="51" fillId="0" borderId="109"/>
    <xf numFmtId="0" fontId="21" fillId="22" borderId="110" applyNumberFormat="0" applyAlignment="0" applyProtection="0"/>
    <xf numFmtId="171" fontId="51" fillId="0" borderId="109"/>
    <xf numFmtId="174" fontId="51" fillId="0" borderId="109"/>
    <xf numFmtId="179" fontId="51" fillId="0" borderId="109"/>
    <xf numFmtId="0" fontId="11" fillId="22" borderId="106" applyNumberFormat="0" applyAlignment="0" applyProtection="0"/>
    <xf numFmtId="174" fontId="51" fillId="0" borderId="109"/>
    <xf numFmtId="175" fontId="51" fillId="0" borderId="109"/>
    <xf numFmtId="174" fontId="51" fillId="0" borderId="109"/>
    <xf numFmtId="181" fontId="51" fillId="0" borderId="109"/>
    <xf numFmtId="0" fontId="17" fillId="0" borderId="105" applyNumberFormat="0" applyFill="0" applyAlignment="0" applyProtection="0"/>
    <xf numFmtId="176" fontId="51" fillId="0" borderId="109"/>
    <xf numFmtId="172" fontId="51" fillId="0" borderId="109"/>
    <xf numFmtId="179" fontId="51" fillId="0" borderId="109"/>
    <xf numFmtId="180" fontId="51" fillId="0" borderId="109"/>
    <xf numFmtId="181" fontId="51" fillId="0" borderId="109"/>
    <xf numFmtId="0" fontId="54" fillId="46" borderId="108">
      <protection locked="0"/>
    </xf>
    <xf numFmtId="0" fontId="17" fillId="0" borderId="105"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4" fontId="51" fillId="0" borderId="109"/>
    <xf numFmtId="174" fontId="51" fillId="0" borderId="109"/>
    <xf numFmtId="174" fontId="51" fillId="0" borderId="109"/>
    <xf numFmtId="171" fontId="51" fillId="0" borderId="109"/>
    <xf numFmtId="0" fontId="18" fillId="9" borderId="106" applyNumberFormat="0" applyAlignment="0" applyProtection="0"/>
    <xf numFmtId="174" fontId="51" fillId="0" borderId="109"/>
    <xf numFmtId="171" fontId="51" fillId="0" borderId="109"/>
    <xf numFmtId="179" fontId="51" fillId="0" borderId="109"/>
    <xf numFmtId="173" fontId="51" fillId="0" borderId="109"/>
    <xf numFmtId="173" fontId="51" fillId="0" borderId="109"/>
    <xf numFmtId="171" fontId="51" fillId="0" borderId="109"/>
    <xf numFmtId="173" fontId="51" fillId="0" borderId="109"/>
    <xf numFmtId="174" fontId="51" fillId="0" borderId="109"/>
    <xf numFmtId="176" fontId="51" fillId="0" borderId="109"/>
    <xf numFmtId="171" fontId="51" fillId="0" borderId="109"/>
    <xf numFmtId="0" fontId="11" fillId="22" borderId="106" applyNumberFormat="0" applyAlignment="0" applyProtection="0"/>
    <xf numFmtId="179" fontId="51" fillId="0" borderId="109"/>
    <xf numFmtId="179" fontId="51" fillId="0" borderId="109"/>
    <xf numFmtId="179" fontId="51" fillId="0" borderId="109"/>
    <xf numFmtId="171" fontId="51" fillId="0" borderId="109"/>
    <xf numFmtId="0" fontId="8" fillId="25" borderId="99" applyNumberFormat="0" applyFont="0" applyAlignment="0" applyProtection="0"/>
    <xf numFmtId="171" fontId="51" fillId="0" borderId="109"/>
    <xf numFmtId="180" fontId="51" fillId="0" borderId="109"/>
    <xf numFmtId="174" fontId="51" fillId="0" borderId="109"/>
    <xf numFmtId="175" fontId="51" fillId="0" borderId="109"/>
    <xf numFmtId="0" fontId="18" fillId="9" borderId="106" applyNumberFormat="0" applyAlignment="0" applyProtection="0"/>
    <xf numFmtId="171" fontId="51" fillId="0" borderId="109"/>
    <xf numFmtId="179" fontId="51" fillId="0" borderId="109"/>
    <xf numFmtId="174" fontId="51" fillId="0" borderId="109"/>
    <xf numFmtId="179" fontId="51" fillId="0" borderId="109"/>
    <xf numFmtId="171" fontId="51" fillId="0" borderId="109"/>
    <xf numFmtId="179" fontId="51" fillId="0" borderId="109"/>
    <xf numFmtId="174" fontId="51" fillId="0" borderId="109"/>
    <xf numFmtId="174" fontId="51" fillId="0" borderId="109"/>
    <xf numFmtId="171" fontId="51" fillId="0" borderId="109"/>
    <xf numFmtId="174" fontId="51" fillId="0" borderId="109"/>
    <xf numFmtId="175" fontId="51" fillId="0" borderId="109"/>
    <xf numFmtId="174" fontId="51" fillId="0" borderId="109"/>
    <xf numFmtId="179" fontId="51" fillId="0" borderId="109"/>
    <xf numFmtId="179" fontId="51" fillId="0" borderId="109"/>
    <xf numFmtId="171" fontId="51" fillId="0" borderId="109"/>
    <xf numFmtId="0" fontId="21" fillId="22" borderId="110" applyNumberFormat="0" applyAlignment="0" applyProtection="0"/>
    <xf numFmtId="172" fontId="51" fillId="0" borderId="109"/>
    <xf numFmtId="0" fontId="23" fillId="0" borderId="111" applyNumberFormat="0" applyFill="0" applyAlignment="0" applyProtection="0"/>
    <xf numFmtId="0" fontId="8" fillId="25" borderId="99" applyNumberFormat="0" applyFont="0" applyAlignment="0" applyProtection="0"/>
    <xf numFmtId="0" fontId="54" fillId="46" borderId="108">
      <protection locked="0"/>
    </xf>
    <xf numFmtId="175" fontId="51" fillId="0" borderId="109"/>
    <xf numFmtId="0" fontId="23" fillId="0" borderId="111" applyNumberFormat="0" applyFill="0" applyAlignment="0" applyProtection="0"/>
    <xf numFmtId="174" fontId="51" fillId="0" borderId="109"/>
    <xf numFmtId="0" fontId="21" fillId="22" borderId="110" applyNumberFormat="0" applyAlignment="0" applyProtection="0"/>
    <xf numFmtId="171" fontId="51" fillId="0" borderId="109"/>
    <xf numFmtId="181" fontId="51" fillId="0" borderId="109"/>
    <xf numFmtId="171" fontId="51" fillId="0" borderId="109"/>
    <xf numFmtId="179" fontId="51" fillId="0" borderId="109"/>
    <xf numFmtId="0" fontId="11" fillId="22" borderId="106" applyNumberFormat="0" applyAlignment="0" applyProtection="0"/>
    <xf numFmtId="174" fontId="51" fillId="0" borderId="109"/>
    <xf numFmtId="180" fontId="51" fillId="0" borderId="109"/>
    <xf numFmtId="174" fontId="51" fillId="0" borderId="109"/>
    <xf numFmtId="171" fontId="51" fillId="0" borderId="109"/>
    <xf numFmtId="174" fontId="51" fillId="0" borderId="109"/>
    <xf numFmtId="172" fontId="51" fillId="0" borderId="109"/>
    <xf numFmtId="179" fontId="51" fillId="0" borderId="109"/>
    <xf numFmtId="176" fontId="51" fillId="0" borderId="109"/>
    <xf numFmtId="174" fontId="51" fillId="0" borderId="109"/>
    <xf numFmtId="172" fontId="51" fillId="0" borderId="109"/>
    <xf numFmtId="171" fontId="51" fillId="0" borderId="109"/>
    <xf numFmtId="180" fontId="51" fillId="0" borderId="109"/>
    <xf numFmtId="181" fontId="51" fillId="0" borderId="109"/>
    <xf numFmtId="0" fontId="54" fillId="46" borderId="108">
      <protection locked="0"/>
    </xf>
    <xf numFmtId="179" fontId="51" fillId="0" borderId="109"/>
    <xf numFmtId="179" fontId="51" fillId="0" borderId="109"/>
    <xf numFmtId="179" fontId="51" fillId="0" borderId="109"/>
    <xf numFmtId="171" fontId="51" fillId="0" borderId="109"/>
    <xf numFmtId="179" fontId="51" fillId="0" borderId="109"/>
    <xf numFmtId="0" fontId="21" fillId="22" borderId="110" applyNumberFormat="0" applyAlignment="0" applyProtection="0"/>
    <xf numFmtId="0" fontId="23" fillId="0" borderId="111" applyNumberFormat="0" applyFill="0" applyAlignment="0" applyProtection="0"/>
    <xf numFmtId="0" fontId="8" fillId="25" borderId="99" applyNumberFormat="0" applyFont="0" applyAlignment="0" applyProtection="0"/>
    <xf numFmtId="181" fontId="51" fillId="0" borderId="109"/>
    <xf numFmtId="171" fontId="51" fillId="0" borderId="109"/>
    <xf numFmtId="174" fontId="51" fillId="0" borderId="109"/>
    <xf numFmtId="179" fontId="51" fillId="0" borderId="109"/>
    <xf numFmtId="171" fontId="51" fillId="0" borderId="109"/>
    <xf numFmtId="0" fontId="8" fillId="25" borderId="99" applyNumberFormat="0" applyFont="0" applyAlignment="0" applyProtection="0"/>
    <xf numFmtId="174" fontId="51" fillId="0" borderId="109"/>
    <xf numFmtId="176" fontId="51" fillId="0" borderId="109"/>
    <xf numFmtId="179" fontId="51" fillId="0" borderId="109"/>
    <xf numFmtId="171" fontId="51" fillId="0" borderId="109"/>
    <xf numFmtId="174"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4" fontId="51" fillId="0" borderId="109"/>
    <xf numFmtId="179" fontId="51" fillId="0" borderId="109"/>
    <xf numFmtId="171" fontId="51" fillId="0" borderId="109"/>
    <xf numFmtId="179" fontId="51" fillId="0" borderId="109"/>
    <xf numFmtId="179" fontId="51" fillId="0" borderId="109"/>
    <xf numFmtId="174" fontId="51" fillId="0" borderId="109"/>
    <xf numFmtId="174" fontId="51" fillId="0" borderId="109"/>
    <xf numFmtId="171" fontId="51" fillId="0" borderId="109"/>
    <xf numFmtId="171" fontId="51" fillId="0" borderId="109"/>
    <xf numFmtId="17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4" fontId="51" fillId="0" borderId="109"/>
    <xf numFmtId="181" fontId="51" fillId="0" borderId="109"/>
    <xf numFmtId="171" fontId="51" fillId="0" borderId="109"/>
    <xf numFmtId="0" fontId="11" fillId="22" borderId="106" applyNumberFormat="0" applyAlignment="0" applyProtection="0"/>
    <xf numFmtId="0" fontId="18" fillId="9" borderId="106" applyNumberFormat="0" applyAlignment="0" applyProtection="0"/>
    <xf numFmtId="181" fontId="51" fillId="0" borderId="109"/>
    <xf numFmtId="180" fontId="51" fillId="0" borderId="109"/>
    <xf numFmtId="179" fontId="51" fillId="0" borderId="109"/>
    <xf numFmtId="171" fontId="51" fillId="0" borderId="109"/>
    <xf numFmtId="175" fontId="51" fillId="0" borderId="109"/>
    <xf numFmtId="176" fontId="51" fillId="0" borderId="109"/>
    <xf numFmtId="175" fontId="51" fillId="0" borderId="109"/>
    <xf numFmtId="174" fontId="51" fillId="0" borderId="109"/>
    <xf numFmtId="176" fontId="51" fillId="0" borderId="109"/>
    <xf numFmtId="180" fontId="51" fillId="0" borderId="109"/>
    <xf numFmtId="173" fontId="51" fillId="0" borderId="109"/>
    <xf numFmtId="0" fontId="11" fillId="22" borderId="106" applyNumberFormat="0" applyAlignment="0" applyProtection="0"/>
    <xf numFmtId="172" fontId="51" fillId="0" borderId="109"/>
    <xf numFmtId="179" fontId="51" fillId="0" borderId="109"/>
    <xf numFmtId="176" fontId="51" fillId="0" borderId="109"/>
    <xf numFmtId="174" fontId="51" fillId="0" borderId="109"/>
    <xf numFmtId="171" fontId="51" fillId="0" borderId="109"/>
    <xf numFmtId="0" fontId="21" fillId="22" borderId="110" applyNumberFormat="0" applyAlignment="0" applyProtection="0"/>
    <xf numFmtId="0" fontId="23" fillId="0" borderId="111" applyNumberFormat="0" applyFill="0" applyAlignment="0" applyProtection="0"/>
    <xf numFmtId="180" fontId="51" fillId="0" borderId="109"/>
    <xf numFmtId="175" fontId="51" fillId="0" borderId="109"/>
    <xf numFmtId="173" fontId="51" fillId="0" borderId="109"/>
    <xf numFmtId="172" fontId="51" fillId="0" borderId="109"/>
    <xf numFmtId="171" fontId="51" fillId="0" borderId="109"/>
    <xf numFmtId="181" fontId="51" fillId="0" borderId="109"/>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11" fillId="22" borderId="106" applyNumberFormat="0" applyAlignment="0" applyProtection="0"/>
    <xf numFmtId="0" fontId="54" fillId="46" borderId="108">
      <protection locked="0"/>
    </xf>
    <xf numFmtId="0" fontId="11" fillId="22" borderId="106" applyNumberFormat="0" applyAlignment="0" applyProtection="0"/>
    <xf numFmtId="0" fontId="21" fillId="22" borderId="110" applyNumberFormat="0" applyAlignment="0" applyProtection="0"/>
    <xf numFmtId="0" fontId="54" fillId="46" borderId="108">
      <protection locked="0"/>
    </xf>
    <xf numFmtId="173" fontId="51" fillId="0" borderId="109"/>
    <xf numFmtId="172"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23" fillId="0" borderId="111" applyNumberFormat="0" applyFill="0" applyAlignment="0" applyProtection="0"/>
    <xf numFmtId="171" fontId="51" fillId="0" borderId="109"/>
    <xf numFmtId="172"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9" fontId="51" fillId="0" borderId="109"/>
    <xf numFmtId="0" fontId="8" fillId="25" borderId="99" applyNumberFormat="0" applyFont="0" applyAlignment="0" applyProtection="0"/>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4"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4"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74" fontId="51" fillId="0" borderId="109"/>
    <xf numFmtId="171" fontId="51" fillId="0" borderId="109"/>
    <xf numFmtId="179" fontId="51" fillId="0" borderId="109"/>
    <xf numFmtId="0" fontId="11" fillId="22" borderId="106" applyNumberFormat="0" applyAlignment="0" applyProtection="0"/>
    <xf numFmtId="0" fontId="54" fillId="46" borderId="108">
      <protection locked="0"/>
    </xf>
    <xf numFmtId="181" fontId="51" fillId="0" borderId="109"/>
    <xf numFmtId="171" fontId="51" fillId="0" borderId="109"/>
    <xf numFmtId="0" fontId="23" fillId="0" borderId="111" applyNumberFormat="0" applyFill="0" applyAlignment="0" applyProtection="0"/>
    <xf numFmtId="179" fontId="51" fillId="0" borderId="109"/>
    <xf numFmtId="0" fontId="54" fillId="46" borderId="108">
      <protection locked="0"/>
    </xf>
    <xf numFmtId="0" fontId="11" fillId="22" borderId="106" applyNumberFormat="0" applyAlignment="0" applyProtection="0"/>
    <xf numFmtId="171" fontId="51" fillId="0" borderId="109"/>
    <xf numFmtId="171" fontId="51" fillId="0" borderId="109"/>
    <xf numFmtId="0" fontId="18" fillId="9" borderId="106" applyNumberFormat="0" applyAlignment="0" applyProtection="0"/>
    <xf numFmtId="172" fontId="51" fillId="0" borderId="109"/>
    <xf numFmtId="171" fontId="51" fillId="0" borderId="109"/>
    <xf numFmtId="174" fontId="51" fillId="0" borderId="109"/>
    <xf numFmtId="171" fontId="51" fillId="0" borderId="109"/>
    <xf numFmtId="174" fontId="51" fillId="0" borderId="109"/>
    <xf numFmtId="175" fontId="51" fillId="0" borderId="109"/>
    <xf numFmtId="176" fontId="51" fillId="0" borderId="109"/>
    <xf numFmtId="0" fontId="8" fillId="25" borderId="99" applyNumberFormat="0" applyFont="0" applyAlignment="0" applyProtection="0"/>
    <xf numFmtId="174" fontId="51" fillId="0" borderId="109"/>
    <xf numFmtId="179" fontId="51" fillId="0" borderId="109"/>
    <xf numFmtId="171" fontId="51" fillId="0" borderId="109"/>
    <xf numFmtId="180" fontId="51" fillId="0" borderId="109"/>
    <xf numFmtId="181" fontId="51" fillId="0" borderId="109"/>
    <xf numFmtId="0" fontId="18" fillId="9" borderId="106" applyNumberFormat="0" applyAlignment="0" applyProtection="0"/>
    <xf numFmtId="179" fontId="51" fillId="0" borderId="109"/>
    <xf numFmtId="179" fontId="51" fillId="0" borderId="109"/>
    <xf numFmtId="174" fontId="51" fillId="0" borderId="109"/>
    <xf numFmtId="171" fontId="51" fillId="0" borderId="109"/>
    <xf numFmtId="175" fontId="51" fillId="0" borderId="109"/>
    <xf numFmtId="171" fontId="51" fillId="0" borderId="109"/>
    <xf numFmtId="171" fontId="51" fillId="0" borderId="109"/>
    <xf numFmtId="174" fontId="51" fillId="0" borderId="109"/>
    <xf numFmtId="174" fontId="51" fillId="0" borderId="109"/>
    <xf numFmtId="171" fontId="51" fillId="0" borderId="109"/>
    <xf numFmtId="0" fontId="18" fillId="9" borderId="106" applyNumberFormat="0" applyAlignment="0" applyProtection="0"/>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8" fillId="25" borderId="99" applyNumberFormat="0" applyFont="0" applyAlignment="0" applyProtection="0"/>
    <xf numFmtId="173" fontId="51" fillId="0" borderId="109"/>
    <xf numFmtId="174" fontId="51" fillId="0" borderId="109"/>
    <xf numFmtId="179" fontId="51" fillId="0" borderId="109"/>
    <xf numFmtId="0" fontId="11" fillId="22" borderId="106" applyNumberFormat="0" applyAlignment="0" applyProtection="0"/>
    <xf numFmtId="173" fontId="51" fillId="0" borderId="109"/>
    <xf numFmtId="172" fontId="51" fillId="0" borderId="109"/>
    <xf numFmtId="0" fontId="21" fillId="22" borderId="110" applyNumberFormat="0" applyAlignment="0" applyProtection="0"/>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173" fontId="51" fillId="0" borderId="109"/>
    <xf numFmtId="175" fontId="51" fillId="0" borderId="109"/>
    <xf numFmtId="176"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9" fontId="51" fillId="0" borderId="109"/>
    <xf numFmtId="180" fontId="51" fillId="0" borderId="109"/>
    <xf numFmtId="174" fontId="51" fillId="0" borderId="109"/>
    <xf numFmtId="179" fontId="51" fillId="0" borderId="109"/>
    <xf numFmtId="174" fontId="51" fillId="0" borderId="109"/>
    <xf numFmtId="176" fontId="51" fillId="0" borderId="109"/>
    <xf numFmtId="172" fontId="51" fillId="0" borderId="109"/>
    <xf numFmtId="180" fontId="51" fillId="0" borderId="109"/>
    <xf numFmtId="181"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9" fontId="51" fillId="0" borderId="109"/>
    <xf numFmtId="174" fontId="51" fillId="0" borderId="109"/>
    <xf numFmtId="179" fontId="51" fillId="0" borderId="109"/>
    <xf numFmtId="174" fontId="51" fillId="0" borderId="109"/>
    <xf numFmtId="171" fontId="51" fillId="0" borderId="109"/>
    <xf numFmtId="179" fontId="51" fillId="0" borderId="109"/>
    <xf numFmtId="174" fontId="51" fillId="0" borderId="109"/>
    <xf numFmtId="179" fontId="51" fillId="0" borderId="109"/>
    <xf numFmtId="171" fontId="51" fillId="0" borderId="109"/>
    <xf numFmtId="171" fontId="51" fillId="0" borderId="109"/>
    <xf numFmtId="179" fontId="51" fillId="0" borderId="109"/>
    <xf numFmtId="175" fontId="51" fillId="0" borderId="109"/>
    <xf numFmtId="174" fontId="51" fillId="0" borderId="109"/>
    <xf numFmtId="173" fontId="51" fillId="0" borderId="109"/>
    <xf numFmtId="172" fontId="51" fillId="0" borderId="109"/>
    <xf numFmtId="171" fontId="51" fillId="0" borderId="109"/>
    <xf numFmtId="0" fontId="23" fillId="0" borderId="111" applyNumberFormat="0" applyFill="0" applyAlignment="0" applyProtection="0"/>
    <xf numFmtId="0" fontId="21" fillId="22" borderId="110" applyNumberFormat="0" applyAlignment="0" applyProtection="0"/>
    <xf numFmtId="0" fontId="8" fillId="25" borderId="99" applyNumberFormat="0" applyFont="0" applyAlignment="0" applyProtection="0"/>
    <xf numFmtId="0" fontId="18" fillId="9" borderId="106" applyNumberFormat="0" applyAlignment="0" applyProtection="0"/>
    <xf numFmtId="176" fontId="51" fillId="0" borderId="109"/>
    <xf numFmtId="0" fontId="11" fillId="22" borderId="106" applyNumberFormat="0" applyAlignment="0" applyProtection="0"/>
    <xf numFmtId="180" fontId="51" fillId="0" borderId="109"/>
    <xf numFmtId="179" fontId="51" fillId="0" borderId="109"/>
    <xf numFmtId="171" fontId="51" fillId="0" borderId="109"/>
    <xf numFmtId="171" fontId="51" fillId="0" borderId="109"/>
    <xf numFmtId="174" fontId="51" fillId="0" borderId="109"/>
    <xf numFmtId="174" fontId="51" fillId="0" borderId="109"/>
    <xf numFmtId="171" fontId="51" fillId="0" borderId="109"/>
    <xf numFmtId="0" fontId="23" fillId="0" borderId="111" applyNumberFormat="0" applyFill="0" applyAlignment="0" applyProtection="0"/>
    <xf numFmtId="174" fontId="51" fillId="0" borderId="109"/>
    <xf numFmtId="0" fontId="18" fillId="9" borderId="106" applyNumberFormat="0" applyAlignment="0" applyProtection="0"/>
    <xf numFmtId="0" fontId="21" fillId="22" borderId="110" applyNumberFormat="0" applyAlignment="0" applyProtection="0"/>
    <xf numFmtId="0" fontId="8" fillId="25" borderId="99" applyNumberFormat="0" applyFont="0" applyAlignment="0" applyProtection="0"/>
    <xf numFmtId="0" fontId="54" fillId="46" borderId="108">
      <protection locked="0"/>
    </xf>
    <xf numFmtId="179" fontId="51" fillId="0" borderId="109"/>
    <xf numFmtId="0" fontId="11" fillId="22" borderId="106" applyNumberFormat="0" applyAlignment="0" applyProtection="0"/>
    <xf numFmtId="0" fontId="18" fillId="9" borderId="106" applyNumberFormat="0" applyAlignment="0" applyProtection="0"/>
    <xf numFmtId="174" fontId="51" fillId="0" borderId="109"/>
    <xf numFmtId="171" fontId="51" fillId="0" borderId="109"/>
    <xf numFmtId="179" fontId="51" fillId="0" borderId="109"/>
    <xf numFmtId="174" fontId="51" fillId="0" borderId="109"/>
    <xf numFmtId="171" fontId="51" fillId="0" borderId="109"/>
    <xf numFmtId="172" fontId="51" fillId="0" borderId="109"/>
    <xf numFmtId="171" fontId="51" fillId="0" borderId="109"/>
    <xf numFmtId="174" fontId="51" fillId="0" borderId="109"/>
    <xf numFmtId="179" fontId="51" fillId="0" borderId="109"/>
    <xf numFmtId="171" fontId="51" fillId="0" borderId="109"/>
    <xf numFmtId="179" fontId="51" fillId="0" borderId="109"/>
    <xf numFmtId="0" fontId="11" fillId="22" borderId="106" applyNumberFormat="0" applyAlignment="0" applyProtection="0"/>
    <xf numFmtId="181" fontId="51" fillId="0" borderId="109"/>
    <xf numFmtId="175" fontId="51" fillId="0" borderId="109"/>
    <xf numFmtId="179" fontId="51" fillId="0" borderId="109"/>
    <xf numFmtId="171" fontId="51" fillId="0" borderId="109"/>
    <xf numFmtId="0" fontId="11" fillId="22" borderId="106" applyNumberFormat="0" applyAlignment="0" applyProtection="0"/>
    <xf numFmtId="0" fontId="18" fillId="9" borderId="106" applyNumberFormat="0" applyAlignment="0" applyProtection="0"/>
    <xf numFmtId="0" fontId="23" fillId="0" borderId="111" applyNumberFormat="0" applyFill="0" applyAlignment="0" applyProtection="0"/>
    <xf numFmtId="179" fontId="51" fillId="0" borderId="109"/>
    <xf numFmtId="179" fontId="51" fillId="0" borderId="109"/>
    <xf numFmtId="174" fontId="51" fillId="0" borderId="109"/>
    <xf numFmtId="173" fontId="51" fillId="0" borderId="109"/>
    <xf numFmtId="0" fontId="8" fillId="25" borderId="99" applyNumberFormat="0" applyFont="0" applyAlignment="0" applyProtection="0"/>
    <xf numFmtId="174"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54" fillId="46" borderId="108">
      <protection locked="0"/>
    </xf>
    <xf numFmtId="17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1" fontId="51" fillId="0" borderId="109"/>
    <xf numFmtId="172" fontId="51" fillId="0" borderId="109"/>
    <xf numFmtId="173" fontId="51" fillId="0" borderId="109"/>
    <xf numFmtId="174" fontId="51" fillId="0" borderId="109"/>
    <xf numFmtId="175" fontId="51" fillId="0" borderId="109"/>
    <xf numFmtId="176" fontId="51" fillId="0" borderId="109"/>
    <xf numFmtId="179" fontId="51" fillId="0" borderId="109"/>
    <xf numFmtId="180" fontId="51" fillId="0" borderId="109"/>
    <xf numFmtId="181" fontId="51" fillId="0" borderId="109"/>
    <xf numFmtId="179" fontId="51" fillId="0" borderId="109"/>
    <xf numFmtId="174" fontId="51" fillId="0" borderId="109"/>
    <xf numFmtId="0" fontId="54" fillId="46" borderId="108">
      <protection locked="0"/>
    </xf>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0" fontId="11" fillId="22" borderId="106" applyNumberFormat="0" applyAlignment="0" applyProtection="0"/>
    <xf numFmtId="0" fontId="18" fillId="9" borderId="106" applyNumberFormat="0" applyAlignment="0" applyProtection="0"/>
    <xf numFmtId="0" fontId="8" fillId="25" borderId="99" applyNumberFormat="0" applyFont="0" applyAlignment="0" applyProtection="0"/>
    <xf numFmtId="0" fontId="21" fillId="22" borderId="110" applyNumberFormat="0" applyAlignment="0" applyProtection="0"/>
    <xf numFmtId="0" fontId="23" fillId="0" borderId="111" applyNumberFormat="0" applyFill="0" applyAlignment="0" applyProtection="0"/>
    <xf numFmtId="172" fontId="51" fillId="0" borderId="119"/>
    <xf numFmtId="173" fontId="51" fillId="0" borderId="119"/>
    <xf numFmtId="174" fontId="51" fillId="0" borderId="119"/>
    <xf numFmtId="175" fontId="51" fillId="0" borderId="119"/>
    <xf numFmtId="176" fontId="51" fillId="0" borderId="119"/>
    <xf numFmtId="179" fontId="51" fillId="0" borderId="119"/>
    <xf numFmtId="180" fontId="51" fillId="0" borderId="119"/>
    <xf numFmtId="181" fontId="51" fillId="0" borderId="119"/>
    <xf numFmtId="0" fontId="11" fillId="22" borderId="114" applyNumberFormat="0" applyAlignment="0" applyProtection="0"/>
    <xf numFmtId="0" fontId="18" fillId="9" borderId="114" applyNumberFormat="0" applyAlignment="0" applyProtection="0"/>
    <xf numFmtId="0" fontId="8" fillId="25" borderId="115" applyNumberFormat="0" applyFont="0" applyAlignment="0" applyProtection="0"/>
    <xf numFmtId="0" fontId="21" fillId="22" borderId="116" applyNumberFormat="0" applyAlignment="0" applyProtection="0"/>
    <xf numFmtId="0" fontId="23" fillId="0" borderId="118" applyNumberFormat="0" applyFill="0" applyAlignment="0" applyProtection="0"/>
    <xf numFmtId="171" fontId="51" fillId="0" borderId="119"/>
    <xf numFmtId="172" fontId="51" fillId="0" borderId="119"/>
    <xf numFmtId="173" fontId="51" fillId="0" borderId="119"/>
    <xf numFmtId="174" fontId="51" fillId="0" borderId="119"/>
    <xf numFmtId="175" fontId="51" fillId="0" borderId="119"/>
    <xf numFmtId="176" fontId="51" fillId="0" borderId="119"/>
    <xf numFmtId="179" fontId="51" fillId="0" borderId="119"/>
    <xf numFmtId="180" fontId="51" fillId="0" borderId="119"/>
    <xf numFmtId="181" fontId="51" fillId="0" borderId="119"/>
    <xf numFmtId="0" fontId="54" fillId="46" borderId="124">
      <protection locked="0"/>
    </xf>
    <xf numFmtId="0" fontId="21" fillId="22" borderId="122" applyNumberFormat="0" applyAlignment="0" applyProtection="0"/>
    <xf numFmtId="0" fontId="23" fillId="0" borderId="123" applyNumberFormat="0" applyFill="0" applyAlignment="0" applyProtection="0"/>
    <xf numFmtId="0" fontId="8" fillId="25" borderId="121" applyNumberFormat="0" applyFont="0" applyAlignment="0" applyProtection="0"/>
    <xf numFmtId="179" fontId="51" fillId="0" borderId="125"/>
    <xf numFmtId="179" fontId="51" fillId="0" borderId="125"/>
    <xf numFmtId="180" fontId="51" fillId="0" borderId="125"/>
    <xf numFmtId="171" fontId="51" fillId="0" borderId="125"/>
    <xf numFmtId="174" fontId="51" fillId="0" borderId="125"/>
    <xf numFmtId="174" fontId="51" fillId="0" borderId="125"/>
    <xf numFmtId="176" fontId="51" fillId="0" borderId="125"/>
    <xf numFmtId="171" fontId="51" fillId="0" borderId="125"/>
    <xf numFmtId="179" fontId="51" fillId="0" borderId="125"/>
    <xf numFmtId="180" fontId="51" fillId="0" borderId="125"/>
    <xf numFmtId="181" fontId="51" fillId="0" borderId="125"/>
    <xf numFmtId="0" fontId="11" fillId="22" borderId="120" applyNumberFormat="0" applyAlignment="0" applyProtection="0"/>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11" fillId="22"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21" fillId="22" borderId="122" applyNumberFormat="0" applyAlignment="0" applyProtection="0"/>
    <xf numFmtId="0" fontId="18" fillId="9" borderId="120" applyNumberFormat="0" applyAlignment="0" applyProtection="0"/>
    <xf numFmtId="0" fontId="8" fillId="25" borderId="121" applyNumberFormat="0" applyFont="0" applyAlignment="0" applyProtection="0"/>
    <xf numFmtId="175" fontId="51" fillId="0" borderId="125"/>
    <xf numFmtId="179" fontId="51" fillId="0" borderId="125"/>
    <xf numFmtId="171" fontId="51" fillId="0" borderId="125"/>
    <xf numFmtId="172" fontId="51" fillId="0" borderId="125"/>
    <xf numFmtId="173" fontId="51" fillId="0" borderId="125"/>
    <xf numFmtId="0" fontId="8" fillId="25" borderId="121" applyNumberFormat="0" applyFont="0" applyAlignment="0" applyProtection="0"/>
    <xf numFmtId="174" fontId="51" fillId="0" borderId="125"/>
    <xf numFmtId="175" fontId="51" fillId="0" borderId="125"/>
    <xf numFmtId="176" fontId="51" fillId="0" borderId="125"/>
    <xf numFmtId="175" fontId="51" fillId="0" borderId="125"/>
    <xf numFmtId="179" fontId="51" fillId="0" borderId="125"/>
    <xf numFmtId="180" fontId="51" fillId="0" borderId="125"/>
    <xf numFmtId="181" fontId="51" fillId="0" borderId="125"/>
    <xf numFmtId="174" fontId="51" fillId="0" borderId="125"/>
    <xf numFmtId="171" fontId="51" fillId="0" borderId="119"/>
    <xf numFmtId="171" fontId="51" fillId="0" borderId="125"/>
    <xf numFmtId="0" fontId="54" fillId="46" borderId="124">
      <protection locked="0"/>
    </xf>
    <xf numFmtId="0" fontId="11" fillId="22" borderId="120" applyNumberFormat="0" applyAlignment="0" applyProtection="0"/>
    <xf numFmtId="0" fontId="8" fillId="25" borderId="121" applyNumberFormat="0" applyFont="0" applyAlignment="0" applyProtection="0"/>
    <xf numFmtId="0" fontId="11" fillId="22" borderId="120" applyNumberFormat="0" applyAlignment="0" applyProtection="0"/>
    <xf numFmtId="181" fontId="51" fillId="0" borderId="125"/>
    <xf numFmtId="0" fontId="54" fillId="46" borderId="124">
      <protection locked="0"/>
    </xf>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174" fontId="51" fillId="0" borderId="125"/>
    <xf numFmtId="173" fontId="51" fillId="0" borderId="125"/>
    <xf numFmtId="0" fontId="18" fillId="9"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2" fontId="51" fillId="0" borderId="125"/>
    <xf numFmtId="173" fontId="51" fillId="0" borderId="125"/>
    <xf numFmtId="0" fontId="18" fillId="9" borderId="120" applyNumberFormat="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6" fontId="51" fillId="0" borderId="125"/>
    <xf numFmtId="171" fontId="51" fillId="0" borderId="125"/>
    <xf numFmtId="172" fontId="51" fillId="0" borderId="125"/>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171" fontId="51" fillId="0" borderId="125"/>
    <xf numFmtId="174" fontId="51" fillId="0" borderId="125"/>
    <xf numFmtId="179" fontId="51" fillId="0" borderId="125"/>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171" fontId="51" fillId="0" borderId="125"/>
    <xf numFmtId="179" fontId="51" fillId="0" borderId="125"/>
    <xf numFmtId="174" fontId="51" fillId="0" borderId="125"/>
    <xf numFmtId="174" fontId="51" fillId="0" borderId="125"/>
    <xf numFmtId="179" fontId="51" fillId="0" borderId="125"/>
    <xf numFmtId="171" fontId="51" fillId="0" borderId="125"/>
    <xf numFmtId="175" fontId="51" fillId="0" borderId="125"/>
    <xf numFmtId="174" fontId="51" fillId="0" borderId="125"/>
    <xf numFmtId="173" fontId="51" fillId="0" borderId="125"/>
    <xf numFmtId="172" fontId="51" fillId="0" borderId="125"/>
    <xf numFmtId="171" fontId="51" fillId="0" borderId="125"/>
    <xf numFmtId="0" fontId="23" fillId="0" borderId="123" applyNumberFormat="0" applyFill="0" applyAlignment="0" applyProtection="0"/>
    <xf numFmtId="0" fontId="21" fillId="22" borderId="122" applyNumberFormat="0" applyAlignment="0" applyProtection="0"/>
    <xf numFmtId="0" fontId="8" fillId="25" borderId="121" applyNumberFormat="0" applyFont="0" applyAlignment="0" applyProtection="0"/>
    <xf numFmtId="0" fontId="18" fillId="9" borderId="120" applyNumberFormat="0" applyAlignment="0" applyProtection="0"/>
    <xf numFmtId="0" fontId="11" fillId="22" borderId="120" applyNumberFormat="0" applyAlignment="0" applyProtection="0"/>
    <xf numFmtId="0" fontId="54" fillId="46" borderId="124">
      <protection locked="0"/>
    </xf>
    <xf numFmtId="171" fontId="51" fillId="0" borderId="125"/>
    <xf numFmtId="181" fontId="51" fillId="0" borderId="125"/>
    <xf numFmtId="174" fontId="51" fillId="0" borderId="125"/>
    <xf numFmtId="176" fontId="51" fillId="0" borderId="125"/>
    <xf numFmtId="173" fontId="51" fillId="0" borderId="125"/>
    <xf numFmtId="172" fontId="51" fillId="0" borderId="125"/>
    <xf numFmtId="179" fontId="51" fillId="0" borderId="125"/>
    <xf numFmtId="171" fontId="51" fillId="0" borderId="125"/>
    <xf numFmtId="0" fontId="23" fillId="0" borderId="123" applyNumberFormat="0" applyFill="0" applyAlignment="0" applyProtection="0"/>
    <xf numFmtId="0" fontId="21" fillId="22" borderId="122" applyNumberFormat="0" applyAlignment="0" applyProtection="0"/>
    <xf numFmtId="0" fontId="8" fillId="25" borderId="121" applyNumberFormat="0" applyFont="0" applyAlignment="0" applyProtection="0"/>
    <xf numFmtId="0" fontId="18" fillId="9" borderId="120" applyNumberFormat="0" applyAlignment="0" applyProtection="0"/>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179" fontId="51" fillId="0" borderId="125"/>
    <xf numFmtId="180"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171" fontId="51" fillId="0" borderId="125"/>
    <xf numFmtId="174" fontId="51" fillId="0" borderId="125"/>
    <xf numFmtId="179" fontId="51" fillId="0" borderId="125"/>
    <xf numFmtId="0" fontId="54" fillId="46" borderId="124">
      <protection locked="0"/>
    </xf>
    <xf numFmtId="0" fontId="54" fillId="46" borderId="124">
      <protection locked="0"/>
    </xf>
    <xf numFmtId="0" fontId="11" fillId="22" borderId="120" applyNumberFormat="0" applyAlignment="0" applyProtection="0"/>
    <xf numFmtId="174" fontId="51" fillId="0" borderId="125"/>
    <xf numFmtId="171" fontId="51" fillId="0" borderId="125"/>
    <xf numFmtId="174" fontId="51" fillId="0" borderId="125"/>
    <xf numFmtId="174" fontId="51" fillId="0" borderId="125"/>
    <xf numFmtId="0" fontId="21" fillId="22" borderId="122" applyNumberFormat="0" applyAlignment="0" applyProtection="0"/>
    <xf numFmtId="179" fontId="51" fillId="0" borderId="125"/>
    <xf numFmtId="174" fontId="51" fillId="0" borderId="125"/>
    <xf numFmtId="0" fontId="54" fillId="46" borderId="124">
      <protection locked="0"/>
    </xf>
    <xf numFmtId="0" fontId="21" fillId="22" borderId="122" applyNumberFormat="0" applyAlignment="0" applyProtection="0"/>
    <xf numFmtId="0" fontId="8" fillId="25" borderId="121" applyNumberFormat="0" applyFont="0" applyAlignment="0" applyProtection="0"/>
    <xf numFmtId="171" fontId="51" fillId="0" borderId="125"/>
    <xf numFmtId="0" fontId="8" fillId="25" borderId="121" applyNumberFormat="0" applyFont="0" applyAlignment="0" applyProtection="0"/>
    <xf numFmtId="173" fontId="51" fillId="0" borderId="125"/>
    <xf numFmtId="0" fontId="23" fillId="0" borderId="123" applyNumberFormat="0" applyFill="0" applyAlignment="0" applyProtection="0"/>
    <xf numFmtId="175" fontId="51" fillId="0" borderId="125"/>
    <xf numFmtId="174" fontId="51" fillId="0" borderId="125"/>
    <xf numFmtId="0" fontId="23" fillId="0" borderId="123" applyNumberFormat="0" applyFill="0" applyAlignment="0" applyProtection="0"/>
    <xf numFmtId="181" fontId="51" fillId="0" borderId="125"/>
    <xf numFmtId="174" fontId="51" fillId="0" borderId="125"/>
    <xf numFmtId="174" fontId="51" fillId="0" borderId="125"/>
    <xf numFmtId="0" fontId="18" fillId="9" borderId="120" applyNumberFormat="0" applyAlignment="0" applyProtection="0"/>
    <xf numFmtId="0" fontId="21" fillId="22" borderId="122" applyNumberFormat="0" applyAlignment="0" applyProtection="0"/>
    <xf numFmtId="171" fontId="51" fillId="0" borderId="125"/>
    <xf numFmtId="0" fontId="8" fillId="25" borderId="121" applyNumberFormat="0" applyFont="0" applyAlignment="0" applyProtection="0"/>
    <xf numFmtId="172" fontId="51" fillId="0" borderId="125"/>
    <xf numFmtId="176" fontId="51" fillId="0" borderId="125"/>
    <xf numFmtId="0" fontId="23" fillId="0" borderId="123" applyNumberFormat="0" applyFill="0" applyAlignment="0" applyProtection="0"/>
    <xf numFmtId="0" fontId="8" fillId="25" borderId="121" applyNumberFormat="0" applyFont="0" applyAlignment="0" applyProtection="0"/>
    <xf numFmtId="175" fontId="51" fillId="0" borderId="125"/>
    <xf numFmtId="171" fontId="51" fillId="0" borderId="125"/>
    <xf numFmtId="179" fontId="51" fillId="0" borderId="125"/>
    <xf numFmtId="0" fontId="18" fillId="9" borderId="120" applyNumberFormat="0" applyAlignment="0" applyProtection="0"/>
    <xf numFmtId="171" fontId="51" fillId="0" borderId="125"/>
    <xf numFmtId="0" fontId="21" fillId="22" borderId="122" applyNumberFormat="0" applyAlignment="0" applyProtection="0"/>
    <xf numFmtId="179" fontId="51" fillId="0" borderId="125"/>
    <xf numFmtId="171" fontId="51" fillId="0" borderId="125"/>
    <xf numFmtId="179" fontId="51" fillId="0" borderId="125"/>
    <xf numFmtId="174" fontId="51" fillId="0" borderId="125"/>
    <xf numFmtId="172" fontId="51" fillId="0" borderId="125"/>
    <xf numFmtId="171" fontId="51" fillId="0" borderId="125"/>
    <xf numFmtId="174" fontId="51" fillId="0" borderId="125"/>
    <xf numFmtId="173" fontId="51" fillId="0" borderId="125"/>
    <xf numFmtId="180" fontId="51" fillId="0" borderId="125"/>
    <xf numFmtId="179" fontId="51" fillId="0" borderId="125"/>
    <xf numFmtId="174" fontId="51" fillId="0" borderId="125"/>
    <xf numFmtId="171" fontId="51" fillId="0" borderId="125"/>
    <xf numFmtId="179" fontId="51" fillId="0" borderId="125"/>
    <xf numFmtId="174" fontId="51" fillId="0" borderId="125"/>
    <xf numFmtId="171" fontId="51" fillId="0" borderId="125"/>
    <xf numFmtId="179" fontId="51" fillId="0" borderId="125"/>
    <xf numFmtId="179" fontId="51" fillId="0" borderId="125"/>
    <xf numFmtId="180" fontId="51" fillId="0" borderId="125"/>
    <xf numFmtId="176" fontId="51" fillId="0" borderId="125"/>
    <xf numFmtId="171" fontId="51" fillId="0" borderId="125"/>
    <xf numFmtId="0" fontId="23" fillId="0" borderId="123" applyNumberFormat="0" applyFill="0" applyAlignment="0" applyProtection="0"/>
    <xf numFmtId="0" fontId="11" fillId="22" borderId="120" applyNumberFormat="0" applyAlignment="0" applyProtection="0"/>
    <xf numFmtId="171" fontId="51" fillId="0" borderId="125"/>
    <xf numFmtId="173" fontId="51" fillId="0" borderId="125"/>
    <xf numFmtId="171" fontId="51" fillId="0" borderId="125"/>
    <xf numFmtId="174" fontId="51" fillId="0" borderId="125"/>
    <xf numFmtId="179" fontId="51" fillId="0" borderId="125"/>
    <xf numFmtId="171" fontId="51" fillId="0" borderId="125"/>
    <xf numFmtId="0" fontId="18" fillId="9" borderId="120" applyNumberFormat="0" applyAlignment="0" applyProtection="0"/>
    <xf numFmtId="173" fontId="51" fillId="0" borderId="125"/>
    <xf numFmtId="0" fontId="11" fillId="22" borderId="120" applyNumberFormat="0" applyAlignment="0" applyProtection="0"/>
    <xf numFmtId="181" fontId="51" fillId="0" borderId="125"/>
    <xf numFmtId="171" fontId="51" fillId="0" borderId="125"/>
    <xf numFmtId="172" fontId="51" fillId="0" borderId="125"/>
    <xf numFmtId="174" fontId="51" fillId="0" borderId="125"/>
    <xf numFmtId="175" fontId="51" fillId="0" borderId="125"/>
    <xf numFmtId="174" fontId="51" fillId="0" borderId="125"/>
    <xf numFmtId="174" fontId="51" fillId="0" borderId="125"/>
    <xf numFmtId="0" fontId="11" fillId="22" borderId="120" applyNumberFormat="0" applyAlignment="0" applyProtection="0"/>
    <xf numFmtId="171" fontId="51" fillId="0" borderId="125"/>
    <xf numFmtId="174" fontId="51" fillId="0" borderId="125"/>
    <xf numFmtId="181" fontId="51" fillId="0" borderId="125"/>
    <xf numFmtId="171" fontId="51" fillId="0" borderId="125"/>
    <xf numFmtId="174" fontId="51" fillId="0" borderId="125"/>
    <xf numFmtId="176" fontId="51" fillId="0" borderId="125"/>
    <xf numFmtId="172" fontId="51" fillId="0" borderId="125"/>
    <xf numFmtId="180" fontId="51" fillId="0" borderId="125"/>
    <xf numFmtId="181" fontId="51" fillId="0" borderId="125"/>
    <xf numFmtId="0" fontId="54" fillId="46" borderId="124">
      <protection locked="0"/>
    </xf>
    <xf numFmtId="179" fontId="51" fillId="0" borderId="125"/>
    <xf numFmtId="0" fontId="8" fillId="25" borderId="121" applyNumberFormat="0" applyFont="0" applyAlignment="0" applyProtection="0"/>
    <xf numFmtId="171" fontId="51" fillId="0" borderId="125"/>
    <xf numFmtId="179" fontId="51" fillId="0" borderId="125"/>
    <xf numFmtId="179" fontId="51" fillId="0" borderId="125"/>
    <xf numFmtId="0" fontId="54" fillId="46" borderId="124">
      <protection locked="0"/>
    </xf>
    <xf numFmtId="0" fontId="8" fillId="25" borderId="121" applyNumberFormat="0" applyFont="0" applyAlignment="0" applyProtection="0"/>
    <xf numFmtId="179" fontId="51" fillId="0" borderId="125"/>
    <xf numFmtId="176" fontId="51" fillId="0" borderId="125"/>
    <xf numFmtId="171" fontId="51" fillId="0" borderId="125"/>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9" fontId="51" fillId="0" borderId="125"/>
    <xf numFmtId="0" fontId="21" fillId="22" borderId="122" applyNumberFormat="0" applyAlignment="0" applyProtection="0"/>
    <xf numFmtId="174" fontId="51" fillId="0" borderId="125"/>
    <xf numFmtId="174" fontId="51" fillId="0" borderId="125"/>
    <xf numFmtId="172" fontId="51" fillId="0" borderId="125"/>
    <xf numFmtId="174" fontId="51" fillId="0" borderId="125"/>
    <xf numFmtId="179" fontId="51" fillId="0" borderId="125"/>
    <xf numFmtId="179" fontId="51" fillId="0" borderId="125"/>
    <xf numFmtId="171" fontId="51" fillId="0" borderId="125"/>
    <xf numFmtId="174" fontId="51" fillId="0" borderId="125"/>
    <xf numFmtId="179" fontId="51" fillId="0" borderId="125"/>
    <xf numFmtId="171" fontId="51" fillId="0" borderId="125"/>
    <xf numFmtId="173" fontId="51" fillId="0" borderId="125"/>
    <xf numFmtId="179" fontId="51" fillId="0" borderId="125"/>
    <xf numFmtId="0" fontId="23" fillId="0" borderId="123" applyNumberFormat="0" applyFill="0" applyAlignment="0" applyProtection="0"/>
    <xf numFmtId="174" fontId="51" fillId="0" borderId="125"/>
    <xf numFmtId="174" fontId="51" fillId="0" borderId="125"/>
    <xf numFmtId="179" fontId="51" fillId="0" borderId="125"/>
    <xf numFmtId="171" fontId="51" fillId="0" borderId="125"/>
    <xf numFmtId="0" fontId="18" fillId="9" borderId="120" applyNumberFormat="0" applyAlignment="0" applyProtection="0"/>
    <xf numFmtId="176" fontId="51" fillId="0" borderId="125"/>
    <xf numFmtId="175" fontId="51" fillId="0" borderId="125"/>
    <xf numFmtId="180" fontId="51" fillId="0" borderId="125"/>
    <xf numFmtId="175" fontId="51" fillId="0" borderId="125"/>
    <xf numFmtId="180" fontId="51" fillId="0" borderId="125"/>
    <xf numFmtId="172" fontId="51" fillId="0" borderId="125"/>
    <xf numFmtId="0" fontId="54" fillId="46" borderId="124">
      <protection locked="0"/>
    </xf>
    <xf numFmtId="180" fontId="51" fillId="0" borderId="125"/>
    <xf numFmtId="181" fontId="51" fillId="0" borderId="125"/>
    <xf numFmtId="0" fontId="54" fillId="46" borderId="124">
      <protection locked="0"/>
    </xf>
    <xf numFmtId="174" fontId="51" fillId="0" borderId="125"/>
    <xf numFmtId="181" fontId="51" fillId="0" borderId="125"/>
    <xf numFmtId="176" fontId="51" fillId="0" borderId="125"/>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9" fontId="51" fillId="0" borderId="125"/>
    <xf numFmtId="179" fontId="51" fillId="0" borderId="125"/>
    <xf numFmtId="171" fontId="51" fillId="0" borderId="125"/>
    <xf numFmtId="174" fontId="51" fillId="0" borderId="125"/>
    <xf numFmtId="179" fontId="51" fillId="0" borderId="125"/>
    <xf numFmtId="179" fontId="51" fillId="0" borderId="125"/>
    <xf numFmtId="179" fontId="51" fillId="0" borderId="125"/>
    <xf numFmtId="174" fontId="51" fillId="0" borderId="125"/>
    <xf numFmtId="179" fontId="51" fillId="0" borderId="125"/>
    <xf numFmtId="179" fontId="51" fillId="0" borderId="125"/>
    <xf numFmtId="174" fontId="51" fillId="0" borderId="125"/>
    <xf numFmtId="174" fontId="51" fillId="0" borderId="125"/>
    <xf numFmtId="0" fontId="21" fillId="22" borderId="122" applyNumberFormat="0" applyAlignment="0" applyProtection="0"/>
    <xf numFmtId="174" fontId="51" fillId="0" borderId="125"/>
    <xf numFmtId="0" fontId="23" fillId="0" borderId="123" applyNumberFormat="0" applyFill="0" applyAlignment="0" applyProtection="0"/>
    <xf numFmtId="171" fontId="51" fillId="0" borderId="125"/>
    <xf numFmtId="171" fontId="51" fillId="0" borderId="125"/>
    <xf numFmtId="174" fontId="51" fillId="0" borderId="125"/>
    <xf numFmtId="175" fontId="51" fillId="0" borderId="125"/>
    <xf numFmtId="0" fontId="18" fillId="9" borderId="120" applyNumberFormat="0" applyAlignment="0" applyProtection="0"/>
    <xf numFmtId="171" fontId="51" fillId="0" borderId="125"/>
    <xf numFmtId="0" fontId="21" fillId="22" borderId="122" applyNumberFormat="0" applyAlignment="0" applyProtection="0"/>
    <xf numFmtId="173" fontId="51" fillId="0" borderId="125"/>
    <xf numFmtId="171" fontId="51" fillId="0" borderId="125"/>
    <xf numFmtId="0" fontId="18" fillId="9" borderId="120" applyNumberFormat="0" applyAlignment="0" applyProtection="0"/>
    <xf numFmtId="176" fontId="51" fillId="0" borderId="125"/>
    <xf numFmtId="0" fontId="11" fillId="22" borderId="120" applyNumberFormat="0" applyAlignment="0" applyProtection="0"/>
    <xf numFmtId="171" fontId="51" fillId="0" borderId="125"/>
    <xf numFmtId="171" fontId="51" fillId="0" borderId="125"/>
    <xf numFmtId="179" fontId="51" fillId="0" borderId="125"/>
    <xf numFmtId="0" fontId="54" fillId="46" borderId="124">
      <protection locked="0"/>
    </xf>
    <xf numFmtId="174" fontId="51" fillId="0" borderId="125"/>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0" fontId="54" fillId="46" borderId="124">
      <protection locked="0"/>
    </xf>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0" fontId="11" fillId="22" borderId="120" applyNumberFormat="0" applyAlignment="0" applyProtection="0"/>
    <xf numFmtId="175" fontId="51" fillId="0" borderId="125"/>
    <xf numFmtId="179" fontId="51" fillId="0" borderId="125"/>
    <xf numFmtId="171" fontId="51" fillId="0" borderId="125"/>
    <xf numFmtId="171" fontId="51" fillId="0" borderId="125"/>
    <xf numFmtId="0" fontId="23" fillId="0" borderId="123" applyNumberFormat="0" applyFill="0" applyAlignment="0" applyProtection="0"/>
    <xf numFmtId="179" fontId="51" fillId="0" borderId="125"/>
    <xf numFmtId="171" fontId="51" fillId="0" borderId="125"/>
    <xf numFmtId="171" fontId="51" fillId="0" borderId="125"/>
    <xf numFmtId="179" fontId="51" fillId="0" borderId="125"/>
    <xf numFmtId="174" fontId="51" fillId="0" borderId="125"/>
    <xf numFmtId="174" fontId="51" fillId="0" borderId="125"/>
    <xf numFmtId="179" fontId="51" fillId="0" borderId="125"/>
    <xf numFmtId="179" fontId="51" fillId="0" borderId="125"/>
    <xf numFmtId="179" fontId="51" fillId="0" borderId="125"/>
    <xf numFmtId="171" fontId="51" fillId="0" borderId="125"/>
    <xf numFmtId="173" fontId="51" fillId="0" borderId="125"/>
    <xf numFmtId="171" fontId="51" fillId="0" borderId="125"/>
    <xf numFmtId="179" fontId="51" fillId="0" borderId="125"/>
    <xf numFmtId="0" fontId="18" fillId="9" borderId="120" applyNumberFormat="0" applyAlignment="0" applyProtection="0"/>
    <xf numFmtId="179" fontId="51" fillId="0" borderId="125"/>
    <xf numFmtId="179" fontId="51" fillId="0" borderId="125"/>
    <xf numFmtId="0" fontId="23" fillId="0" borderId="123" applyNumberFormat="0" applyFill="0" applyAlignment="0" applyProtection="0"/>
    <xf numFmtId="171" fontId="51" fillId="0" borderId="125"/>
    <xf numFmtId="0" fontId="8" fillId="25" borderId="121" applyNumberFormat="0" applyFont="0" applyAlignment="0" applyProtection="0"/>
    <xf numFmtId="0" fontId="18" fillId="9" borderId="120" applyNumberFormat="0" applyAlignment="0" applyProtection="0"/>
    <xf numFmtId="171" fontId="51" fillId="0" borderId="125"/>
    <xf numFmtId="179" fontId="51" fillId="0" borderId="125"/>
    <xf numFmtId="0" fontId="8" fillId="25" borderId="121" applyNumberFormat="0" applyFont="0" applyAlignment="0" applyProtection="0"/>
    <xf numFmtId="0" fontId="11" fillId="22" borderId="120" applyNumberFormat="0" applyAlignment="0" applyProtection="0"/>
    <xf numFmtId="171" fontId="51" fillId="0" borderId="125"/>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9" fontId="51" fillId="0" borderId="125"/>
    <xf numFmtId="171" fontId="51" fillId="0" borderId="125"/>
    <xf numFmtId="180" fontId="51" fillId="0" borderId="125"/>
    <xf numFmtId="174" fontId="51" fillId="0" borderId="125"/>
    <xf numFmtId="174" fontId="51" fillId="0" borderId="125"/>
    <xf numFmtId="173" fontId="51" fillId="0" borderId="125"/>
    <xf numFmtId="179" fontId="51" fillId="0" borderId="125"/>
    <xf numFmtId="172" fontId="51" fillId="0" borderId="125"/>
    <xf numFmtId="0" fontId="21" fillId="22" borderId="122" applyNumberFormat="0" applyAlignment="0" applyProtection="0"/>
    <xf numFmtId="171" fontId="51" fillId="0" borderId="125"/>
    <xf numFmtId="174" fontId="51" fillId="0" borderId="125"/>
    <xf numFmtId="179" fontId="51" fillId="0" borderId="125"/>
    <xf numFmtId="0" fontId="11" fillId="22" borderId="120" applyNumberFormat="0" applyAlignment="0" applyProtection="0"/>
    <xf numFmtId="174" fontId="51" fillId="0" borderId="125"/>
    <xf numFmtId="175" fontId="51" fillId="0" borderId="125"/>
    <xf numFmtId="174" fontId="51" fillId="0" borderId="125"/>
    <xf numFmtId="181" fontId="51" fillId="0" borderId="125"/>
    <xf numFmtId="176" fontId="51" fillId="0" borderId="125"/>
    <xf numFmtId="172" fontId="51" fillId="0" borderId="125"/>
    <xf numFmtId="179" fontId="51" fillId="0" borderId="125"/>
    <xf numFmtId="180" fontId="51" fillId="0" borderId="125"/>
    <xf numFmtId="181" fontId="51" fillId="0" borderId="125"/>
    <xf numFmtId="0" fontId="54" fillId="46" borderId="124">
      <protection locked="0"/>
    </xf>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4" fontId="51" fillId="0" borderId="125"/>
    <xf numFmtId="174" fontId="51" fillId="0" borderId="125"/>
    <xf numFmtId="174" fontId="51" fillId="0" borderId="125"/>
    <xf numFmtId="171" fontId="51" fillId="0" borderId="125"/>
    <xf numFmtId="0" fontId="18" fillId="9" borderId="120" applyNumberFormat="0" applyAlignment="0" applyProtection="0"/>
    <xf numFmtId="174" fontId="51" fillId="0" borderId="125"/>
    <xf numFmtId="171" fontId="51" fillId="0" borderId="125"/>
    <xf numFmtId="179" fontId="51" fillId="0" borderId="125"/>
    <xf numFmtId="173" fontId="51" fillId="0" borderId="125"/>
    <xf numFmtId="173" fontId="51" fillId="0" borderId="125"/>
    <xf numFmtId="171" fontId="51" fillId="0" borderId="125"/>
    <xf numFmtId="173" fontId="51" fillId="0" borderId="125"/>
    <xf numFmtId="174" fontId="51" fillId="0" borderId="125"/>
    <xf numFmtId="176" fontId="51" fillId="0" borderId="125"/>
    <xf numFmtId="171" fontId="51" fillId="0" borderId="125"/>
    <xf numFmtId="0" fontId="11" fillId="22" borderId="120" applyNumberFormat="0" applyAlignment="0" applyProtection="0"/>
    <xf numFmtId="179" fontId="51" fillId="0" borderId="125"/>
    <xf numFmtId="179" fontId="51" fillId="0" borderId="125"/>
    <xf numFmtId="179" fontId="51" fillId="0" borderId="125"/>
    <xf numFmtId="171" fontId="51" fillId="0" borderId="125"/>
    <xf numFmtId="0" fontId="8" fillId="25" borderId="121" applyNumberFormat="0" applyFont="0" applyAlignment="0" applyProtection="0"/>
    <xf numFmtId="171" fontId="51" fillId="0" borderId="125"/>
    <xf numFmtId="180" fontId="51" fillId="0" borderId="125"/>
    <xf numFmtId="174" fontId="51" fillId="0" borderId="125"/>
    <xf numFmtId="175" fontId="51" fillId="0" borderId="125"/>
    <xf numFmtId="0" fontId="18" fillId="9" borderId="120" applyNumberFormat="0" applyAlignment="0" applyProtection="0"/>
    <xf numFmtId="171" fontId="51" fillId="0" borderId="125"/>
    <xf numFmtId="179" fontId="51" fillId="0" borderId="125"/>
    <xf numFmtId="174" fontId="51" fillId="0" borderId="125"/>
    <xf numFmtId="179" fontId="51" fillId="0" borderId="125"/>
    <xf numFmtId="171" fontId="51" fillId="0" borderId="125"/>
    <xf numFmtId="179" fontId="51" fillId="0" borderId="125"/>
    <xf numFmtId="174" fontId="51" fillId="0" borderId="125"/>
    <xf numFmtId="174" fontId="51" fillId="0" borderId="125"/>
    <xf numFmtId="171" fontId="51" fillId="0" borderId="125"/>
    <xf numFmtId="174" fontId="51" fillId="0" borderId="125"/>
    <xf numFmtId="175" fontId="51" fillId="0" borderId="125"/>
    <xf numFmtId="174" fontId="51" fillId="0" borderId="125"/>
    <xf numFmtId="179" fontId="51" fillId="0" borderId="125"/>
    <xf numFmtId="179" fontId="51" fillId="0" borderId="125"/>
    <xf numFmtId="171" fontId="51" fillId="0" borderId="125"/>
    <xf numFmtId="0" fontId="21" fillId="22" borderId="122" applyNumberFormat="0" applyAlignment="0" applyProtection="0"/>
    <xf numFmtId="172" fontId="51" fillId="0" borderId="125"/>
    <xf numFmtId="0" fontId="23" fillId="0" borderId="123" applyNumberFormat="0" applyFill="0" applyAlignment="0" applyProtection="0"/>
    <xf numFmtId="0" fontId="8" fillId="25" borderId="121" applyNumberFormat="0" applyFont="0" applyAlignment="0" applyProtection="0"/>
    <xf numFmtId="0" fontId="54" fillId="46" borderId="124">
      <protection locked="0"/>
    </xf>
    <xf numFmtId="175" fontId="51" fillId="0" borderId="125"/>
    <xf numFmtId="0" fontId="23" fillId="0" borderId="123" applyNumberFormat="0" applyFill="0" applyAlignment="0" applyProtection="0"/>
    <xf numFmtId="174" fontId="51" fillId="0" borderId="125"/>
    <xf numFmtId="0" fontId="21" fillId="22" borderId="122" applyNumberFormat="0" applyAlignment="0" applyProtection="0"/>
    <xf numFmtId="171" fontId="51" fillId="0" borderId="125"/>
    <xf numFmtId="181" fontId="51" fillId="0" borderId="125"/>
    <xf numFmtId="171" fontId="51" fillId="0" borderId="125"/>
    <xf numFmtId="179" fontId="51" fillId="0" borderId="125"/>
    <xf numFmtId="0" fontId="11" fillId="22" borderId="120" applyNumberFormat="0" applyAlignment="0" applyProtection="0"/>
    <xf numFmtId="174" fontId="51" fillId="0" borderId="125"/>
    <xf numFmtId="180" fontId="51" fillId="0" borderId="125"/>
    <xf numFmtId="174" fontId="51" fillId="0" borderId="125"/>
    <xf numFmtId="171" fontId="51" fillId="0" borderId="125"/>
    <xf numFmtId="174" fontId="51" fillId="0" borderId="125"/>
    <xf numFmtId="172" fontId="51" fillId="0" borderId="125"/>
    <xf numFmtId="179" fontId="51" fillId="0" borderId="125"/>
    <xf numFmtId="176" fontId="51" fillId="0" borderId="125"/>
    <xf numFmtId="174" fontId="51" fillId="0" borderId="125"/>
    <xf numFmtId="172" fontId="51" fillId="0" borderId="125"/>
    <xf numFmtId="171" fontId="51" fillId="0" borderId="125"/>
    <xf numFmtId="180" fontId="51" fillId="0" borderId="125"/>
    <xf numFmtId="181" fontId="51" fillId="0" borderId="125"/>
    <xf numFmtId="0" fontId="54" fillId="46" borderId="124">
      <protection locked="0"/>
    </xf>
    <xf numFmtId="179" fontId="51" fillId="0" borderId="125"/>
    <xf numFmtId="179" fontId="51" fillId="0" borderId="125"/>
    <xf numFmtId="179" fontId="51" fillId="0" borderId="125"/>
    <xf numFmtId="171" fontId="51" fillId="0" borderId="125"/>
    <xf numFmtId="179" fontId="51" fillId="0" borderId="125"/>
    <xf numFmtId="0" fontId="21" fillId="22" borderId="122" applyNumberFormat="0" applyAlignment="0" applyProtection="0"/>
    <xf numFmtId="0" fontId="23" fillId="0" borderId="123" applyNumberFormat="0" applyFill="0" applyAlignment="0" applyProtection="0"/>
    <xf numFmtId="0" fontId="8" fillId="25" borderId="121" applyNumberFormat="0" applyFont="0" applyAlignment="0" applyProtection="0"/>
    <xf numFmtId="181" fontId="51" fillId="0" borderId="125"/>
    <xf numFmtId="171" fontId="51" fillId="0" borderId="125"/>
    <xf numFmtId="174" fontId="51" fillId="0" borderId="125"/>
    <xf numFmtId="179" fontId="51" fillId="0" borderId="125"/>
    <xf numFmtId="171" fontId="51" fillId="0" borderId="125"/>
    <xf numFmtId="0" fontId="8" fillId="25" borderId="121" applyNumberFormat="0" applyFont="0" applyAlignment="0" applyProtection="0"/>
    <xf numFmtId="174" fontId="51" fillId="0" borderId="125"/>
    <xf numFmtId="176" fontId="51" fillId="0" borderId="125"/>
    <xf numFmtId="179" fontId="51" fillId="0" borderId="125"/>
    <xf numFmtId="171" fontId="51" fillId="0" borderId="125"/>
    <xf numFmtId="174" fontId="51" fillId="0" borderId="125"/>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174" fontId="51" fillId="0" borderId="125"/>
    <xf numFmtId="179" fontId="51" fillId="0" borderId="125"/>
    <xf numFmtId="171" fontId="51" fillId="0" borderId="125"/>
    <xf numFmtId="179" fontId="51" fillId="0" borderId="125"/>
    <xf numFmtId="179" fontId="51" fillId="0" borderId="125"/>
    <xf numFmtId="174" fontId="51" fillId="0" borderId="125"/>
    <xf numFmtId="174" fontId="51" fillId="0" borderId="125"/>
    <xf numFmtId="171" fontId="51" fillId="0" borderId="125"/>
    <xf numFmtId="171" fontId="51" fillId="0" borderId="125"/>
    <xf numFmtId="171" fontId="51" fillId="0" borderId="125"/>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9" fontId="51" fillId="0" borderId="125"/>
    <xf numFmtId="174" fontId="51" fillId="0" borderId="125"/>
    <xf numFmtId="174" fontId="51" fillId="0" borderId="125"/>
    <xf numFmtId="181" fontId="51" fillId="0" borderId="125"/>
    <xf numFmtId="171" fontId="51" fillId="0" borderId="125"/>
    <xf numFmtId="0" fontId="11" fillId="22" borderId="120" applyNumberFormat="0" applyAlignment="0" applyProtection="0"/>
    <xf numFmtId="0" fontId="18" fillId="9" borderId="120" applyNumberFormat="0" applyAlignment="0" applyProtection="0"/>
    <xf numFmtId="181" fontId="51" fillId="0" borderId="125"/>
    <xf numFmtId="180" fontId="51" fillId="0" borderId="125"/>
    <xf numFmtId="179" fontId="51" fillId="0" borderId="125"/>
    <xf numFmtId="171" fontId="51" fillId="0" borderId="125"/>
    <xf numFmtId="175" fontId="51" fillId="0" borderId="125"/>
    <xf numFmtId="176" fontId="51" fillId="0" borderId="125"/>
    <xf numFmtId="175" fontId="51" fillId="0" borderId="125"/>
    <xf numFmtId="174" fontId="51" fillId="0" borderId="125"/>
    <xf numFmtId="176" fontId="51" fillId="0" borderId="125"/>
    <xf numFmtId="180" fontId="51" fillId="0" borderId="125"/>
    <xf numFmtId="173" fontId="51" fillId="0" borderId="125"/>
    <xf numFmtId="0" fontId="11" fillId="22" borderId="120" applyNumberFormat="0" applyAlignment="0" applyProtection="0"/>
    <xf numFmtId="172" fontId="51" fillId="0" borderId="125"/>
    <xf numFmtId="179" fontId="51" fillId="0" borderId="125"/>
    <xf numFmtId="176" fontId="51" fillId="0" borderId="125"/>
    <xf numFmtId="174" fontId="51" fillId="0" borderId="125"/>
    <xf numFmtId="171" fontId="51" fillId="0" borderId="125"/>
    <xf numFmtId="0" fontId="21" fillId="22" borderId="122" applyNumberFormat="0" applyAlignment="0" applyProtection="0"/>
    <xf numFmtId="0" fontId="23" fillId="0" borderId="123" applyNumberFormat="0" applyFill="0" applyAlignment="0" applyProtection="0"/>
    <xf numFmtId="180" fontId="51" fillId="0" borderId="125"/>
    <xf numFmtId="175" fontId="51" fillId="0" borderId="125"/>
    <xf numFmtId="173" fontId="51" fillId="0" borderId="125"/>
    <xf numFmtId="172" fontId="51" fillId="0" borderId="125"/>
    <xf numFmtId="171" fontId="51" fillId="0" borderId="125"/>
    <xf numFmtId="181" fontId="51" fillId="0" borderId="125"/>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23" fillId="0" borderId="123" applyNumberFormat="0" applyFill="0" applyAlignment="0" applyProtection="0"/>
    <xf numFmtId="0" fontId="21" fillId="22" borderId="122" applyNumberFormat="0" applyAlignment="0" applyProtection="0"/>
    <xf numFmtId="0" fontId="8" fillId="25" borderId="121" applyNumberFormat="0" applyFont="0" applyAlignment="0" applyProtection="0"/>
    <xf numFmtId="0" fontId="18" fillId="9" borderId="120" applyNumberFormat="0" applyAlignment="0" applyProtection="0"/>
    <xf numFmtId="0" fontId="8" fillId="25" borderId="121" applyNumberFormat="0" applyFont="0" applyAlignment="0" applyProtection="0"/>
    <xf numFmtId="0" fontId="11" fillId="22" borderId="120" applyNumberFormat="0" applyAlignment="0" applyProtection="0"/>
    <xf numFmtId="0" fontId="54" fillId="46" borderId="124">
      <protection locked="0"/>
    </xf>
    <xf numFmtId="0" fontId="11" fillId="22" borderId="120" applyNumberFormat="0" applyAlignment="0" applyProtection="0"/>
    <xf numFmtId="0" fontId="21" fillId="22" borderId="122" applyNumberFormat="0" applyAlignment="0" applyProtection="0"/>
    <xf numFmtId="0" fontId="54" fillId="46" borderId="124">
      <protection locked="0"/>
    </xf>
    <xf numFmtId="173" fontId="51" fillId="0" borderId="125"/>
    <xf numFmtId="172" fontId="51" fillId="0" borderId="125"/>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0" fontId="23" fillId="0" borderId="123" applyNumberFormat="0" applyFill="0" applyAlignment="0" applyProtection="0"/>
    <xf numFmtId="171" fontId="51" fillId="0" borderId="125"/>
    <xf numFmtId="172" fontId="51" fillId="0" borderId="125"/>
    <xf numFmtId="0" fontId="54" fillId="46" borderId="124">
      <protection locked="0"/>
    </xf>
    <xf numFmtId="0" fontId="11" fillId="22" borderId="120"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179" fontId="51" fillId="0" borderId="125"/>
    <xf numFmtId="0" fontId="8" fillId="25" borderId="121" applyNumberFormat="0" applyFont="0" applyAlignment="0" applyProtection="0"/>
    <xf numFmtId="0" fontId="23" fillId="0" borderId="123" applyNumberFormat="0" applyFill="0" applyAlignment="0" applyProtection="0"/>
    <xf numFmtId="0" fontId="21" fillId="22" borderId="122" applyNumberFormat="0" applyAlignment="0" applyProtection="0"/>
    <xf numFmtId="0" fontId="8" fillId="25" borderId="121" applyNumberFormat="0" applyFont="0" applyAlignment="0" applyProtection="0"/>
    <xf numFmtId="0" fontId="18" fillId="9" borderId="120" applyNumberFormat="0" applyAlignment="0" applyProtection="0"/>
    <xf numFmtId="174" fontId="51" fillId="0" borderId="125"/>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9" fontId="51" fillId="0" borderId="125"/>
    <xf numFmtId="174"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0" fontId="54" fillId="46" borderId="124">
      <protection locked="0"/>
    </xf>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174" fontId="51" fillId="0" borderId="125"/>
    <xf numFmtId="0" fontId="23" fillId="0" borderId="123" applyNumberFormat="0" applyFill="0" applyAlignment="0" applyProtection="0"/>
    <xf numFmtId="0" fontId="21" fillId="22" borderId="122" applyNumberFormat="0" applyAlignment="0" applyProtection="0"/>
    <xf numFmtId="0" fontId="8" fillId="25" borderId="121" applyNumberFormat="0" applyFon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9" fontId="51" fillId="0" borderId="125"/>
    <xf numFmtId="174" fontId="51" fillId="0" borderId="125"/>
    <xf numFmtId="171" fontId="51" fillId="0" borderId="125"/>
    <xf numFmtId="179" fontId="51" fillId="0" borderId="125"/>
    <xf numFmtId="0" fontId="11" fillId="22" borderId="120" applyNumberFormat="0" applyAlignment="0" applyProtection="0"/>
    <xf numFmtId="0" fontId="54" fillId="46" borderId="124">
      <protection locked="0"/>
    </xf>
    <xf numFmtId="181" fontId="51" fillId="0" borderId="125"/>
    <xf numFmtId="171" fontId="51" fillId="0" borderId="125"/>
    <xf numFmtId="0" fontId="23" fillId="0" borderId="123" applyNumberFormat="0" applyFill="0" applyAlignment="0" applyProtection="0"/>
    <xf numFmtId="179" fontId="51" fillId="0" borderId="125"/>
    <xf numFmtId="0" fontId="54" fillId="46" borderId="124">
      <protection locked="0"/>
    </xf>
    <xf numFmtId="0" fontId="11" fillId="22" borderId="120" applyNumberFormat="0" applyAlignment="0" applyProtection="0"/>
    <xf numFmtId="171" fontId="51" fillId="0" borderId="125"/>
    <xf numFmtId="171" fontId="51" fillId="0" borderId="125"/>
    <xf numFmtId="0" fontId="18" fillId="9" borderId="120" applyNumberFormat="0" applyAlignment="0" applyProtection="0"/>
    <xf numFmtId="172" fontId="51" fillId="0" borderId="125"/>
    <xf numFmtId="171" fontId="51" fillId="0" borderId="125"/>
    <xf numFmtId="174" fontId="51" fillId="0" borderId="125"/>
    <xf numFmtId="171" fontId="51" fillId="0" borderId="125"/>
    <xf numFmtId="174" fontId="51" fillId="0" borderId="125"/>
    <xf numFmtId="175" fontId="51" fillId="0" borderId="125"/>
    <xf numFmtId="176" fontId="51" fillId="0" borderId="125"/>
    <xf numFmtId="0" fontId="8" fillId="25" borderId="121" applyNumberFormat="0" applyFont="0" applyAlignment="0" applyProtection="0"/>
    <xf numFmtId="174" fontId="51" fillId="0" borderId="125"/>
    <xf numFmtId="179" fontId="51" fillId="0" borderId="125"/>
    <xf numFmtId="171" fontId="51" fillId="0" borderId="125"/>
    <xf numFmtId="180" fontId="51" fillId="0" borderId="125"/>
    <xf numFmtId="181" fontId="51" fillId="0" borderId="125"/>
    <xf numFmtId="0" fontId="18" fillId="9" borderId="120" applyNumberFormat="0" applyAlignment="0" applyProtection="0"/>
    <xf numFmtId="179" fontId="51" fillId="0" borderId="125"/>
    <xf numFmtId="179" fontId="51" fillId="0" borderId="125"/>
    <xf numFmtId="174" fontId="51" fillId="0" borderId="125"/>
    <xf numFmtId="171" fontId="51" fillId="0" borderId="125"/>
    <xf numFmtId="175" fontId="51" fillId="0" borderId="125"/>
    <xf numFmtId="171" fontId="51" fillId="0" borderId="125"/>
    <xf numFmtId="171" fontId="51" fillId="0" borderId="125"/>
    <xf numFmtId="174" fontId="51" fillId="0" borderId="125"/>
    <xf numFmtId="174" fontId="51" fillId="0" borderId="125"/>
    <xf numFmtId="171" fontId="51" fillId="0" borderId="125"/>
    <xf numFmtId="0" fontId="18" fillId="9" borderId="120" applyNumberFormat="0" applyAlignment="0" applyProtection="0"/>
    <xf numFmtId="0" fontId="21" fillId="22" borderId="122" applyNumberFormat="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8" fillId="25" borderId="121" applyNumberFormat="0" applyFont="0" applyAlignment="0" applyProtection="0"/>
    <xf numFmtId="173" fontId="51" fillId="0" borderId="125"/>
    <xf numFmtId="174" fontId="51" fillId="0" borderId="125"/>
    <xf numFmtId="179" fontId="51" fillId="0" borderId="125"/>
    <xf numFmtId="0" fontId="11" fillId="22" borderId="120" applyNumberFormat="0" applyAlignment="0" applyProtection="0"/>
    <xf numFmtId="173" fontId="51" fillId="0" borderId="125"/>
    <xf numFmtId="172" fontId="51" fillId="0" borderId="125"/>
    <xf numFmtId="0" fontId="21" fillId="22" borderId="122" applyNumberFormat="0" applyAlignment="0" applyProtection="0"/>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0" fontId="11" fillId="22" borderId="120" applyNumberFormat="0" applyAlignment="0" applyProtection="0"/>
    <xf numFmtId="173" fontId="51" fillId="0" borderId="125"/>
    <xf numFmtId="175" fontId="51" fillId="0" borderId="125"/>
    <xf numFmtId="176" fontId="51" fillId="0" borderId="125"/>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9" fontId="51" fillId="0" borderId="125"/>
    <xf numFmtId="180" fontId="51" fillId="0" borderId="125"/>
    <xf numFmtId="174" fontId="51" fillId="0" borderId="125"/>
    <xf numFmtId="179" fontId="51" fillId="0" borderId="125"/>
    <xf numFmtId="174" fontId="51" fillId="0" borderId="125"/>
    <xf numFmtId="176" fontId="51" fillId="0" borderId="125"/>
    <xf numFmtId="172" fontId="51" fillId="0" borderId="125"/>
    <xf numFmtId="180" fontId="51" fillId="0" borderId="125"/>
    <xf numFmtId="181" fontId="51" fillId="0" borderId="125"/>
    <xf numFmtId="0" fontId="54" fillId="46" borderId="124">
      <protection locked="0"/>
    </xf>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9" fontId="51" fillId="0" borderId="125"/>
    <xf numFmtId="174" fontId="51" fillId="0" borderId="125"/>
    <xf numFmtId="179" fontId="51" fillId="0" borderId="125"/>
    <xf numFmtId="174" fontId="51" fillId="0" borderId="125"/>
    <xf numFmtId="171" fontId="51" fillId="0" borderId="125"/>
    <xf numFmtId="179" fontId="51" fillId="0" borderId="125"/>
    <xf numFmtId="174" fontId="51" fillId="0" borderId="125"/>
    <xf numFmtId="179" fontId="51" fillId="0" borderId="125"/>
    <xf numFmtId="171" fontId="51" fillId="0" borderId="125"/>
    <xf numFmtId="171" fontId="51" fillId="0" borderId="125"/>
    <xf numFmtId="179" fontId="51" fillId="0" borderId="125"/>
    <xf numFmtId="175" fontId="51" fillId="0" borderId="125"/>
    <xf numFmtId="174" fontId="51" fillId="0" borderId="125"/>
    <xf numFmtId="173" fontId="51" fillId="0" borderId="125"/>
    <xf numFmtId="172" fontId="51" fillId="0" borderId="125"/>
    <xf numFmtId="171" fontId="51" fillId="0" borderId="125"/>
    <xf numFmtId="0" fontId="23" fillId="0" borderId="123" applyNumberFormat="0" applyFill="0" applyAlignment="0" applyProtection="0"/>
    <xf numFmtId="0" fontId="21" fillId="22" borderId="122" applyNumberFormat="0" applyAlignment="0" applyProtection="0"/>
    <xf numFmtId="0" fontId="8" fillId="25" borderId="121" applyNumberFormat="0" applyFont="0" applyAlignment="0" applyProtection="0"/>
    <xf numFmtId="0" fontId="18" fillId="9" borderId="120" applyNumberFormat="0" applyAlignment="0" applyProtection="0"/>
    <xf numFmtId="176" fontId="51" fillId="0" borderId="125"/>
    <xf numFmtId="0" fontId="11" fillId="22" borderId="120" applyNumberFormat="0" applyAlignment="0" applyProtection="0"/>
    <xf numFmtId="180" fontId="51" fillId="0" borderId="125"/>
    <xf numFmtId="179" fontId="51" fillId="0" borderId="125"/>
    <xf numFmtId="171" fontId="51" fillId="0" borderId="125"/>
    <xf numFmtId="171" fontId="51" fillId="0" borderId="125"/>
    <xf numFmtId="174" fontId="51" fillId="0" borderId="125"/>
    <xf numFmtId="174" fontId="51" fillId="0" borderId="125"/>
    <xf numFmtId="171" fontId="51" fillId="0" borderId="125"/>
    <xf numFmtId="0" fontId="23" fillId="0" borderId="123" applyNumberFormat="0" applyFill="0" applyAlignment="0" applyProtection="0"/>
    <xf numFmtId="174" fontId="51" fillId="0" borderId="125"/>
    <xf numFmtId="0" fontId="18" fillId="9" borderId="120" applyNumberFormat="0" applyAlignment="0" applyProtection="0"/>
    <xf numFmtId="0" fontId="21" fillId="22" borderId="122" applyNumberFormat="0" applyAlignment="0" applyProtection="0"/>
    <xf numFmtId="0" fontId="8" fillId="25" borderId="121" applyNumberFormat="0" applyFont="0" applyAlignment="0" applyProtection="0"/>
    <xf numFmtId="0" fontId="54" fillId="46" borderId="124">
      <protection locked="0"/>
    </xf>
    <xf numFmtId="179" fontId="51" fillId="0" borderId="125"/>
    <xf numFmtId="0" fontId="11" fillId="22" borderId="120" applyNumberFormat="0" applyAlignment="0" applyProtection="0"/>
    <xf numFmtId="0" fontId="18" fillId="9" borderId="120" applyNumberFormat="0" applyAlignment="0" applyProtection="0"/>
    <xf numFmtId="174" fontId="51" fillId="0" borderId="125"/>
    <xf numFmtId="171" fontId="51" fillId="0" borderId="125"/>
    <xf numFmtId="179" fontId="51" fillId="0" borderId="125"/>
    <xf numFmtId="174" fontId="51" fillId="0" borderId="125"/>
    <xf numFmtId="171" fontId="51" fillId="0" borderId="125"/>
    <xf numFmtId="172" fontId="51" fillId="0" borderId="125"/>
    <xf numFmtId="171" fontId="51" fillId="0" borderId="125"/>
    <xf numFmtId="174" fontId="51" fillId="0" borderId="125"/>
    <xf numFmtId="179" fontId="51" fillId="0" borderId="125"/>
    <xf numFmtId="171" fontId="51" fillId="0" borderId="125"/>
    <xf numFmtId="179" fontId="51" fillId="0" borderId="125"/>
    <xf numFmtId="0" fontId="11" fillId="22" borderId="120" applyNumberFormat="0" applyAlignment="0" applyProtection="0"/>
    <xf numFmtId="181" fontId="51" fillId="0" borderId="125"/>
    <xf numFmtId="175" fontId="51" fillId="0" borderId="125"/>
    <xf numFmtId="179" fontId="51" fillId="0" borderId="125"/>
    <xf numFmtId="171" fontId="51" fillId="0" borderId="125"/>
    <xf numFmtId="0" fontId="11" fillId="22" borderId="120" applyNumberFormat="0" applyAlignment="0" applyProtection="0"/>
    <xf numFmtId="0" fontId="18" fillId="9" borderId="120" applyNumberFormat="0" applyAlignment="0" applyProtection="0"/>
    <xf numFmtId="0" fontId="23" fillId="0" borderId="123" applyNumberFormat="0" applyFill="0" applyAlignment="0" applyProtection="0"/>
    <xf numFmtId="179" fontId="51" fillId="0" borderId="125"/>
    <xf numFmtId="179" fontId="51" fillId="0" borderId="125"/>
    <xf numFmtId="174" fontId="51" fillId="0" borderId="125"/>
    <xf numFmtId="173" fontId="51" fillId="0" borderId="125"/>
    <xf numFmtId="0" fontId="8" fillId="25" borderId="121" applyNumberFormat="0" applyFont="0" applyAlignment="0" applyProtection="0"/>
    <xf numFmtId="174" fontId="51" fillId="0" borderId="125"/>
    <xf numFmtId="176" fontId="51" fillId="0" borderId="125"/>
    <xf numFmtId="179" fontId="51" fillId="0" borderId="125"/>
    <xf numFmtId="180" fontId="51" fillId="0" borderId="125"/>
    <xf numFmtId="181" fontId="51" fillId="0" borderId="125"/>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0" fontId="54" fillId="46" borderId="124">
      <protection locked="0"/>
    </xf>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171" fontId="51" fillId="0" borderId="125"/>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179" fontId="51" fillId="0" borderId="125"/>
    <xf numFmtId="174" fontId="51" fillId="0" borderId="125"/>
    <xf numFmtId="0" fontId="54" fillId="46" borderId="124">
      <protection locked="0"/>
    </xf>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2" fontId="51" fillId="0" borderId="119"/>
    <xf numFmtId="174" fontId="51" fillId="0" borderId="119"/>
    <xf numFmtId="173" fontId="51" fillId="0" borderId="119"/>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80" fontId="51" fillId="0" borderId="119"/>
    <xf numFmtId="171" fontId="51" fillId="0" borderId="119"/>
    <xf numFmtId="0" fontId="21" fillId="22" borderId="128" applyNumberFormat="0" applyAlignment="0" applyProtection="0"/>
    <xf numFmtId="0" fontId="11" fillId="22" borderId="126" applyNumberFormat="0" applyAlignment="0" applyProtection="0"/>
    <xf numFmtId="179" fontId="51" fillId="0" borderId="130"/>
    <xf numFmtId="0" fontId="23" fillId="0" borderId="129" applyNumberFormat="0" applyFill="0" applyAlignment="0" applyProtection="0"/>
    <xf numFmtId="173" fontId="51" fillId="0" borderId="130"/>
    <xf numFmtId="175" fontId="51" fillId="0" borderId="130"/>
    <xf numFmtId="0" fontId="21" fillId="22" borderId="128" applyNumberFormat="0" applyAlignment="0" applyProtection="0"/>
    <xf numFmtId="179" fontId="51" fillId="0" borderId="130"/>
    <xf numFmtId="174" fontId="51" fillId="0" borderId="130"/>
    <xf numFmtId="173" fontId="51" fillId="0" borderId="130"/>
    <xf numFmtId="0" fontId="23" fillId="0" borderId="129" applyNumberFormat="0" applyFill="0" applyAlignment="0" applyProtection="0"/>
    <xf numFmtId="0" fontId="8" fillId="25" borderId="127" applyNumberFormat="0" applyFont="0" applyAlignment="0" applyProtection="0"/>
    <xf numFmtId="0" fontId="11" fillId="22" borderId="126" applyNumberFormat="0" applyAlignment="0" applyProtection="0"/>
    <xf numFmtId="0" fontId="8" fillId="25" borderId="127" applyNumberFormat="0" applyFont="0" applyAlignment="0" applyProtection="0"/>
    <xf numFmtId="0" fontId="11" fillId="22" borderId="126" applyNumberFormat="0" applyAlignment="0" applyProtection="0"/>
    <xf numFmtId="175" fontId="51" fillId="0" borderId="130"/>
    <xf numFmtId="174" fontId="51" fillId="0" borderId="130"/>
    <xf numFmtId="0" fontId="23" fillId="0" borderId="129" applyNumberFormat="0" applyFill="0" applyAlignment="0" applyProtection="0"/>
    <xf numFmtId="0" fontId="23" fillId="0" borderId="129" applyNumberFormat="0" applyFill="0" applyAlignment="0" applyProtection="0"/>
    <xf numFmtId="0" fontId="54" fillId="46" borderId="124">
      <protection locked="0"/>
    </xf>
    <xf numFmtId="0" fontId="54" fillId="46" borderId="124">
      <protection locked="0"/>
    </xf>
    <xf numFmtId="0" fontId="21" fillId="22" borderId="128" applyNumberFormat="0" applyAlignment="0" applyProtection="0"/>
    <xf numFmtId="0" fontId="21" fillId="22" borderId="128" applyNumberFormat="0" applyAlignment="0" applyProtection="0"/>
    <xf numFmtId="0" fontId="8" fillId="25" borderId="127" applyNumberFormat="0" applyFont="0" applyAlignment="0" applyProtection="0"/>
    <xf numFmtId="0" fontId="8" fillId="25" borderId="127" applyNumberFormat="0" applyFont="0" applyAlignment="0" applyProtection="0"/>
    <xf numFmtId="0" fontId="18" fillId="9" borderId="126" applyNumberFormat="0" applyAlignment="0" applyProtection="0"/>
    <xf numFmtId="0" fontId="21" fillId="22" borderId="128" applyNumberFormat="0" applyAlignment="0" applyProtection="0"/>
    <xf numFmtId="0" fontId="23" fillId="0" borderId="129" applyNumberFormat="0" applyFill="0" applyAlignment="0" applyProtection="0"/>
    <xf numFmtId="0" fontId="21" fillId="22" borderId="128" applyNumberFormat="0" applyAlignment="0" applyProtection="0"/>
    <xf numFmtId="175" fontId="51" fillId="0" borderId="130"/>
    <xf numFmtId="0" fontId="23" fillId="0" borderId="129" applyNumberFormat="0" applyFill="0" applyAlignment="0" applyProtection="0"/>
    <xf numFmtId="172" fontId="51" fillId="0" borderId="119"/>
    <xf numFmtId="0" fontId="23" fillId="0" borderId="129" applyNumberFormat="0" applyFill="0" applyAlignment="0" applyProtection="0"/>
    <xf numFmtId="0" fontId="18" fillId="9" borderId="126" applyNumberFormat="0" applyAlignment="0" applyProtection="0"/>
    <xf numFmtId="171" fontId="51" fillId="0" borderId="130"/>
    <xf numFmtId="180" fontId="51" fillId="0" borderId="130"/>
    <xf numFmtId="171" fontId="51" fillId="0" borderId="130"/>
    <xf numFmtId="0" fontId="21" fillId="22" borderId="128" applyNumberFormat="0" applyAlignment="0" applyProtection="0"/>
    <xf numFmtId="0" fontId="23" fillId="0" borderId="129" applyNumberFormat="0" applyFill="0" applyAlignment="0" applyProtection="0"/>
    <xf numFmtId="0" fontId="54" fillId="46" borderId="124">
      <protection locked="0"/>
    </xf>
    <xf numFmtId="0" fontId="21" fillId="22" borderId="128" applyNumberFormat="0" applyAlignment="0" applyProtection="0"/>
    <xf numFmtId="174" fontId="51" fillId="0" borderId="130"/>
    <xf numFmtId="0" fontId="18" fillId="9" borderId="126" applyNumberFormat="0" applyAlignment="0" applyProtection="0"/>
    <xf numFmtId="0" fontId="23" fillId="0" borderId="129" applyNumberFormat="0" applyFill="0" applyAlignment="0" applyProtection="0"/>
    <xf numFmtId="179" fontId="51" fillId="0" borderId="130"/>
    <xf numFmtId="0" fontId="54" fillId="46" borderId="124">
      <protection locked="0"/>
    </xf>
    <xf numFmtId="0" fontId="23" fillId="0" borderId="129" applyNumberFormat="0" applyFill="0" applyAlignment="0" applyProtection="0"/>
    <xf numFmtId="176" fontId="51" fillId="0" borderId="130"/>
    <xf numFmtId="174" fontId="51" fillId="0" borderId="130"/>
    <xf numFmtId="179" fontId="51" fillId="0" borderId="130"/>
    <xf numFmtId="171" fontId="51" fillId="0" borderId="130"/>
    <xf numFmtId="173" fontId="51" fillId="0" borderId="130"/>
    <xf numFmtId="174" fontId="51" fillId="0" borderId="130"/>
    <xf numFmtId="179" fontId="51" fillId="0" borderId="130"/>
    <xf numFmtId="0" fontId="11" fillId="22" borderId="126" applyNumberFormat="0" applyAlignment="0" applyProtection="0"/>
    <xf numFmtId="0" fontId="11" fillId="22" borderId="126" applyNumberFormat="0" applyAlignment="0" applyProtection="0"/>
    <xf numFmtId="171" fontId="51" fillId="0" borderId="130"/>
    <xf numFmtId="0" fontId="18" fillId="9" borderId="126" applyNumberFormat="0" applyAlignment="0" applyProtection="0"/>
    <xf numFmtId="0" fontId="23" fillId="0" borderId="129" applyNumberFormat="0" applyFill="0" applyAlignment="0" applyProtection="0"/>
    <xf numFmtId="0" fontId="8" fillId="25" borderId="127" applyNumberFormat="0" applyFont="0" applyAlignment="0" applyProtection="0"/>
    <xf numFmtId="0" fontId="54" fillId="46" borderId="131">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171" fontId="51" fillId="0" borderId="130"/>
    <xf numFmtId="181" fontId="51" fillId="0" borderId="119"/>
    <xf numFmtId="174" fontId="51" fillId="0" borderId="119"/>
    <xf numFmtId="175" fontId="51" fillId="0" borderId="119"/>
    <xf numFmtId="173" fontId="51" fillId="0" borderId="119"/>
    <xf numFmtId="0" fontId="11" fillId="22" borderId="120" applyNumberFormat="0" applyAlignment="0" applyProtection="0"/>
    <xf numFmtId="0" fontId="11" fillId="22" borderId="120" applyNumberFormat="0" applyAlignment="0" applyProtection="0"/>
    <xf numFmtId="0" fontId="18" fillId="9"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8" fillId="25" borderId="121" applyNumberFormat="0" applyFont="0" applyAlignment="0" applyProtection="0"/>
    <xf numFmtId="0" fontId="21" fillId="22" borderId="122" applyNumberFormat="0" applyAlignment="0" applyProtection="0"/>
    <xf numFmtId="0" fontId="21" fillId="22" borderId="122" applyNumberFormat="0" applyAlignment="0" applyProtection="0"/>
    <xf numFmtId="0" fontId="21" fillId="22" borderId="122" applyNumberFormat="0" applyAlignment="0" applyProtection="0"/>
    <xf numFmtId="0" fontId="21" fillId="22" borderId="122" applyNumberFormat="0" applyAlignment="0" applyProtection="0"/>
    <xf numFmtId="0" fontId="23" fillId="0" borderId="123" applyNumberFormat="0" applyFill="0" applyAlignment="0" applyProtection="0"/>
    <xf numFmtId="0" fontId="23" fillId="0" borderId="123" applyNumberFormat="0" applyFill="0" applyAlignment="0" applyProtection="0"/>
    <xf numFmtId="0" fontId="23" fillId="0" borderId="123" applyNumberFormat="0" applyFill="0" applyAlignment="0" applyProtection="0"/>
    <xf numFmtId="0" fontId="23" fillId="0" borderId="123" applyNumberFormat="0" applyFill="0" applyAlignment="0" applyProtection="0"/>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11" fillId="22" borderId="120" applyNumberFormat="0" applyAlignment="0" applyProtection="0"/>
    <xf numFmtId="0" fontId="18" fillId="9" borderId="120" applyNumberFormat="0" applyAlignment="0" applyProtection="0"/>
    <xf numFmtId="0" fontId="8" fillId="25" borderId="121" applyNumberFormat="0" applyFont="0" applyAlignment="0" applyProtection="0"/>
    <xf numFmtId="0" fontId="21" fillId="22" borderId="122" applyNumberFormat="0" applyAlignment="0" applyProtection="0"/>
    <xf numFmtId="0" fontId="23" fillId="0" borderId="123" applyNumberFormat="0" applyFill="0" applyAlignment="0" applyProtection="0"/>
    <xf numFmtId="171" fontId="51" fillId="0" borderId="125"/>
    <xf numFmtId="172" fontId="51" fillId="0" borderId="125"/>
    <xf numFmtId="173" fontId="51" fillId="0" borderId="125"/>
    <xf numFmtId="174" fontId="51" fillId="0" borderId="125"/>
    <xf numFmtId="175" fontId="51" fillId="0" borderId="125"/>
    <xf numFmtId="176" fontId="51" fillId="0" borderId="125"/>
    <xf numFmtId="179" fontId="51" fillId="0" borderId="125"/>
    <xf numFmtId="180" fontId="51" fillId="0" borderId="125"/>
    <xf numFmtId="181" fontId="51" fillId="0" borderId="125"/>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79" fontId="51" fillId="0" borderId="130"/>
    <xf numFmtId="179" fontId="51" fillId="0" borderId="130"/>
    <xf numFmtId="180" fontId="51" fillId="0" borderId="130"/>
    <xf numFmtId="171" fontId="51" fillId="0" borderId="130"/>
    <xf numFmtId="174" fontId="51" fillId="0" borderId="130"/>
    <xf numFmtId="174" fontId="51" fillId="0" borderId="130"/>
    <xf numFmtId="176" fontId="51" fillId="0" borderId="130"/>
    <xf numFmtId="171"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1" fillId="22" borderId="128" applyNumberFormat="0" applyAlignment="0" applyProtection="0"/>
    <xf numFmtId="0" fontId="18" fillId="9" borderId="126" applyNumberFormat="0" applyAlignment="0" applyProtection="0"/>
    <xf numFmtId="0" fontId="8" fillId="25" borderId="127" applyNumberFormat="0" applyFont="0" applyAlignment="0" applyProtection="0"/>
    <xf numFmtId="175" fontId="51" fillId="0" borderId="130"/>
    <xf numFmtId="179" fontId="51" fillId="0" borderId="130"/>
    <xf numFmtId="171" fontId="51" fillId="0" borderId="130"/>
    <xf numFmtId="172" fontId="51" fillId="0" borderId="130"/>
    <xf numFmtId="173" fontId="51" fillId="0" borderId="130"/>
    <xf numFmtId="0" fontId="8" fillId="25" borderId="127" applyNumberFormat="0" applyFont="0" applyAlignment="0" applyProtection="0"/>
    <xf numFmtId="174" fontId="51" fillId="0" borderId="130"/>
    <xf numFmtId="175" fontId="51" fillId="0" borderId="130"/>
    <xf numFmtId="176" fontId="51" fillId="0" borderId="130"/>
    <xf numFmtId="175" fontId="51" fillId="0" borderId="130"/>
    <xf numFmtId="179" fontId="51" fillId="0" borderId="130"/>
    <xf numFmtId="180" fontId="51" fillId="0" borderId="130"/>
    <xf numFmtId="181" fontId="51" fillId="0" borderId="130"/>
    <xf numFmtId="174" fontId="51" fillId="0" borderId="130"/>
    <xf numFmtId="171" fontId="51" fillId="0" borderId="130"/>
    <xf numFmtId="0" fontId="54" fillId="46" borderId="124">
      <protection locked="0"/>
    </xf>
    <xf numFmtId="0" fontId="11" fillId="22" borderId="126" applyNumberFormat="0" applyAlignment="0" applyProtection="0"/>
    <xf numFmtId="0" fontId="8" fillId="25" borderId="127" applyNumberFormat="0" applyFont="0" applyAlignment="0" applyProtection="0"/>
    <xf numFmtId="0" fontId="11" fillId="22" borderId="126" applyNumberFormat="0" applyAlignment="0" applyProtection="0"/>
    <xf numFmtId="181" fontId="51" fillId="0" borderId="130"/>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173" fontId="51" fillId="0" borderId="13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2" fontId="51" fillId="0" borderId="130"/>
    <xf numFmtId="173" fontId="51" fillId="0" borderId="130"/>
    <xf numFmtId="0" fontId="18" fillId="9" borderId="126" applyNumberFormat="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6" fontId="51" fillId="0" borderId="130"/>
    <xf numFmtId="171" fontId="51" fillId="0" borderId="130"/>
    <xf numFmtId="172" fontId="51" fillId="0" borderId="13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174" fontId="51" fillId="0" borderId="130"/>
    <xf numFmtId="179"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171" fontId="51" fillId="0" borderId="130"/>
    <xf numFmtId="179" fontId="51" fillId="0" borderId="130"/>
    <xf numFmtId="174" fontId="51" fillId="0" borderId="130"/>
    <xf numFmtId="174" fontId="51" fillId="0" borderId="130"/>
    <xf numFmtId="179" fontId="51" fillId="0" borderId="130"/>
    <xf numFmtId="171"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54" fillId="46" borderId="124">
      <protection locked="0"/>
    </xf>
    <xf numFmtId="171" fontId="51" fillId="0" borderId="130"/>
    <xf numFmtId="181" fontId="51" fillId="0" borderId="130"/>
    <xf numFmtId="174" fontId="51" fillId="0" borderId="130"/>
    <xf numFmtId="176" fontId="51" fillId="0" borderId="130"/>
    <xf numFmtId="173" fontId="51" fillId="0" borderId="130"/>
    <xf numFmtId="172" fontId="51" fillId="0" borderId="130"/>
    <xf numFmtId="179"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179" fontId="51" fillId="0" borderId="130"/>
    <xf numFmtId="180"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1" fontId="51" fillId="0" borderId="130"/>
    <xf numFmtId="174" fontId="51" fillId="0" borderId="130"/>
    <xf numFmtId="179" fontId="51" fillId="0" borderId="130"/>
    <xf numFmtId="0" fontId="54" fillId="46" borderId="124">
      <protection locked="0"/>
    </xf>
    <xf numFmtId="0" fontId="54" fillId="46" borderId="124">
      <protection locked="0"/>
    </xf>
    <xf numFmtId="0" fontId="11" fillId="22" borderId="126" applyNumberFormat="0" applyAlignment="0" applyProtection="0"/>
    <xf numFmtId="174" fontId="51" fillId="0" borderId="130"/>
    <xf numFmtId="171" fontId="51" fillId="0" borderId="130"/>
    <xf numFmtId="174" fontId="51" fillId="0" borderId="130"/>
    <xf numFmtId="174" fontId="51" fillId="0" borderId="130"/>
    <xf numFmtId="0" fontId="21" fillId="22" borderId="128" applyNumberFormat="0" applyAlignment="0" applyProtection="0"/>
    <xf numFmtId="179" fontId="51" fillId="0" borderId="130"/>
    <xf numFmtId="174" fontId="51" fillId="0" borderId="130"/>
    <xf numFmtId="0" fontId="54" fillId="46" borderId="124">
      <protection locked="0"/>
    </xf>
    <xf numFmtId="0" fontId="21" fillId="22" borderId="128" applyNumberFormat="0" applyAlignment="0" applyProtection="0"/>
    <xf numFmtId="0" fontId="8" fillId="25" borderId="127" applyNumberFormat="0" applyFont="0" applyAlignment="0" applyProtection="0"/>
    <xf numFmtId="171" fontId="51" fillId="0" borderId="130"/>
    <xf numFmtId="0" fontId="8" fillId="25" borderId="127" applyNumberFormat="0" applyFont="0" applyAlignment="0" applyProtection="0"/>
    <xf numFmtId="173" fontId="51" fillId="0" borderId="130"/>
    <xf numFmtId="0" fontId="23" fillId="0" borderId="129" applyNumberFormat="0" applyFill="0" applyAlignment="0" applyProtection="0"/>
    <xf numFmtId="175" fontId="51" fillId="0" borderId="130"/>
    <xf numFmtId="174" fontId="51" fillId="0" borderId="130"/>
    <xf numFmtId="0" fontId="23" fillId="0" borderId="129" applyNumberFormat="0" applyFill="0" applyAlignment="0" applyProtection="0"/>
    <xf numFmtId="181" fontId="51" fillId="0" borderId="130"/>
    <xf numFmtId="174" fontId="51" fillId="0" borderId="130"/>
    <xf numFmtId="174" fontId="51" fillId="0" borderId="130"/>
    <xf numFmtId="0" fontId="18" fillId="9" borderId="126" applyNumberFormat="0" applyAlignment="0" applyProtection="0"/>
    <xf numFmtId="0" fontId="21" fillId="22" borderId="128" applyNumberFormat="0" applyAlignment="0" applyProtection="0"/>
    <xf numFmtId="171" fontId="51" fillId="0" borderId="130"/>
    <xf numFmtId="0" fontId="8" fillId="25" borderId="127" applyNumberFormat="0" applyFont="0" applyAlignment="0" applyProtection="0"/>
    <xf numFmtId="172" fontId="51" fillId="0" borderId="130"/>
    <xf numFmtId="176" fontId="51" fillId="0" borderId="130"/>
    <xf numFmtId="0" fontId="23" fillId="0" borderId="129" applyNumberFormat="0" applyFill="0" applyAlignment="0" applyProtection="0"/>
    <xf numFmtId="0" fontId="8" fillId="25" borderId="127" applyNumberFormat="0" applyFont="0" applyAlignment="0" applyProtection="0"/>
    <xf numFmtId="175" fontId="51" fillId="0" borderId="130"/>
    <xf numFmtId="171" fontId="51" fillId="0" borderId="130"/>
    <xf numFmtId="179" fontId="51" fillId="0" borderId="130"/>
    <xf numFmtId="0" fontId="18" fillId="9" borderId="126" applyNumberFormat="0" applyAlignment="0" applyProtection="0"/>
    <xf numFmtId="171" fontId="51" fillId="0" borderId="130"/>
    <xf numFmtId="0" fontId="21" fillId="22" borderId="128" applyNumberFormat="0" applyAlignment="0" applyProtection="0"/>
    <xf numFmtId="179" fontId="51" fillId="0" borderId="130"/>
    <xf numFmtId="171" fontId="51" fillId="0" borderId="130"/>
    <xf numFmtId="179" fontId="51" fillId="0" borderId="130"/>
    <xf numFmtId="174" fontId="51" fillId="0" borderId="130"/>
    <xf numFmtId="172" fontId="51" fillId="0" borderId="130"/>
    <xf numFmtId="171" fontId="51" fillId="0" borderId="130"/>
    <xf numFmtId="174" fontId="51" fillId="0" borderId="130"/>
    <xf numFmtId="173" fontId="51" fillId="0" borderId="130"/>
    <xf numFmtId="180" fontId="51" fillId="0" borderId="130"/>
    <xf numFmtId="179" fontId="51" fillId="0" borderId="130"/>
    <xf numFmtId="174" fontId="51" fillId="0" borderId="130"/>
    <xf numFmtId="171" fontId="51" fillId="0" borderId="130"/>
    <xf numFmtId="179" fontId="51" fillId="0" borderId="130"/>
    <xf numFmtId="174" fontId="51" fillId="0" borderId="130"/>
    <xf numFmtId="171" fontId="51" fillId="0" borderId="130"/>
    <xf numFmtId="179" fontId="51" fillId="0" borderId="130"/>
    <xf numFmtId="179" fontId="51" fillId="0" borderId="130"/>
    <xf numFmtId="180" fontId="51" fillId="0" borderId="130"/>
    <xf numFmtId="176" fontId="51" fillId="0" borderId="130"/>
    <xf numFmtId="171" fontId="51" fillId="0" borderId="130"/>
    <xf numFmtId="0" fontId="23" fillId="0" borderId="129" applyNumberFormat="0" applyFill="0" applyAlignment="0" applyProtection="0"/>
    <xf numFmtId="0" fontId="11" fillId="22" borderId="126" applyNumberFormat="0" applyAlignment="0" applyProtection="0"/>
    <xf numFmtId="171" fontId="51" fillId="0" borderId="130"/>
    <xf numFmtId="173" fontId="51" fillId="0" borderId="130"/>
    <xf numFmtId="171" fontId="51" fillId="0" borderId="130"/>
    <xf numFmtId="174" fontId="51" fillId="0" borderId="130"/>
    <xf numFmtId="179" fontId="51" fillId="0" borderId="130"/>
    <xf numFmtId="171" fontId="51" fillId="0" borderId="130"/>
    <xf numFmtId="0" fontId="18" fillId="9" borderId="126" applyNumberFormat="0" applyAlignment="0" applyProtection="0"/>
    <xf numFmtId="173" fontId="51" fillId="0" borderId="130"/>
    <xf numFmtId="0" fontId="11" fillId="22" borderId="126" applyNumberFormat="0" applyAlignment="0" applyProtection="0"/>
    <xf numFmtId="181" fontId="51" fillId="0" borderId="130"/>
    <xf numFmtId="171" fontId="51" fillId="0" borderId="130"/>
    <xf numFmtId="172" fontId="51" fillId="0" borderId="130"/>
    <xf numFmtId="174" fontId="51" fillId="0" borderId="130"/>
    <xf numFmtId="175" fontId="51" fillId="0" borderId="130"/>
    <xf numFmtId="174" fontId="51" fillId="0" borderId="130"/>
    <xf numFmtId="174" fontId="51" fillId="0" borderId="130"/>
    <xf numFmtId="0" fontId="11" fillId="22" borderId="126" applyNumberFormat="0" applyAlignment="0" applyProtection="0"/>
    <xf numFmtId="171" fontId="51" fillId="0" borderId="130"/>
    <xf numFmtId="174" fontId="51" fillId="0" borderId="130"/>
    <xf numFmtId="181" fontId="51" fillId="0" borderId="130"/>
    <xf numFmtId="171"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171" fontId="51" fillId="0" borderId="130"/>
    <xf numFmtId="179" fontId="51" fillId="0" borderId="130"/>
    <xf numFmtId="179" fontId="51" fillId="0" borderId="130"/>
    <xf numFmtId="0" fontId="54" fillId="46" borderId="124">
      <protection locked="0"/>
    </xf>
    <xf numFmtId="0" fontId="8" fillId="25" borderId="127" applyNumberFormat="0" applyFont="0" applyAlignment="0" applyProtection="0"/>
    <xf numFmtId="179" fontId="51" fillId="0" borderId="130"/>
    <xf numFmtId="176"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0" fontId="21" fillId="22" borderId="128" applyNumberFormat="0" applyAlignment="0" applyProtection="0"/>
    <xf numFmtId="174" fontId="51" fillId="0" borderId="130"/>
    <xf numFmtId="174" fontId="51" fillId="0" borderId="130"/>
    <xf numFmtId="172" fontId="51" fillId="0" borderId="130"/>
    <xf numFmtId="174" fontId="51" fillId="0" borderId="130"/>
    <xf numFmtId="179" fontId="51" fillId="0" borderId="130"/>
    <xf numFmtId="179" fontId="51" fillId="0" borderId="130"/>
    <xf numFmtId="171" fontId="51" fillId="0" borderId="130"/>
    <xf numFmtId="174" fontId="51" fillId="0" borderId="130"/>
    <xf numFmtId="179" fontId="51" fillId="0" borderId="130"/>
    <xf numFmtId="171" fontId="51" fillId="0" borderId="130"/>
    <xf numFmtId="173" fontId="51" fillId="0" borderId="130"/>
    <xf numFmtId="179" fontId="51" fillId="0" borderId="130"/>
    <xf numFmtId="0" fontId="23" fillId="0" borderId="129" applyNumberFormat="0" applyFill="0" applyAlignment="0" applyProtection="0"/>
    <xf numFmtId="174" fontId="51" fillId="0" borderId="130"/>
    <xf numFmtId="174" fontId="51" fillId="0" borderId="130"/>
    <xf numFmtId="179" fontId="51" fillId="0" borderId="130"/>
    <xf numFmtId="171" fontId="51" fillId="0" borderId="130"/>
    <xf numFmtId="0" fontId="18" fillId="9" borderId="126" applyNumberFormat="0" applyAlignment="0" applyProtection="0"/>
    <xf numFmtId="176" fontId="51" fillId="0" borderId="130"/>
    <xf numFmtId="175" fontId="51" fillId="0" borderId="130"/>
    <xf numFmtId="180" fontId="51" fillId="0" borderId="130"/>
    <xf numFmtId="175" fontId="51" fillId="0" borderId="130"/>
    <xf numFmtId="180" fontId="51" fillId="0" borderId="130"/>
    <xf numFmtId="172" fontId="51" fillId="0" borderId="130"/>
    <xf numFmtId="0" fontId="54" fillId="46" borderId="124">
      <protection locked="0"/>
    </xf>
    <xf numFmtId="180" fontId="51" fillId="0" borderId="130"/>
    <xf numFmtId="181" fontId="51" fillId="0" borderId="130"/>
    <xf numFmtId="0" fontId="54" fillId="46" borderId="124">
      <protection locked="0"/>
    </xf>
    <xf numFmtId="174" fontId="51" fillId="0" borderId="130"/>
    <xf numFmtId="181" fontId="51" fillId="0" borderId="130"/>
    <xf numFmtId="176" fontId="51" fillId="0" borderId="13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9" fontId="51" fillId="0" borderId="130"/>
    <xf numFmtId="171" fontId="51" fillId="0" borderId="130"/>
    <xf numFmtId="174" fontId="51" fillId="0" borderId="130"/>
    <xf numFmtId="179" fontId="51" fillId="0" borderId="130"/>
    <xf numFmtId="179" fontId="51" fillId="0" borderId="130"/>
    <xf numFmtId="179" fontId="51" fillId="0" borderId="130"/>
    <xf numFmtId="174" fontId="51" fillId="0" borderId="130"/>
    <xf numFmtId="179" fontId="51" fillId="0" borderId="130"/>
    <xf numFmtId="179" fontId="51" fillId="0" borderId="130"/>
    <xf numFmtId="174" fontId="51" fillId="0" borderId="130"/>
    <xf numFmtId="174" fontId="51" fillId="0" borderId="130"/>
    <xf numFmtId="0" fontId="21" fillId="22" borderId="128" applyNumberFormat="0" applyAlignment="0" applyProtection="0"/>
    <xf numFmtId="174" fontId="51" fillId="0" borderId="130"/>
    <xf numFmtId="0" fontId="23" fillId="0" borderId="129" applyNumberFormat="0" applyFill="0" applyAlignment="0" applyProtection="0"/>
    <xf numFmtId="171" fontId="51" fillId="0" borderId="130"/>
    <xf numFmtId="171" fontId="51" fillId="0" borderId="130"/>
    <xf numFmtId="174" fontId="51" fillId="0" borderId="130"/>
    <xf numFmtId="175" fontId="51" fillId="0" borderId="130"/>
    <xf numFmtId="0" fontId="18" fillId="9" borderId="126" applyNumberFormat="0" applyAlignment="0" applyProtection="0"/>
    <xf numFmtId="171" fontId="51" fillId="0" borderId="130"/>
    <xf numFmtId="0" fontId="21" fillId="22" borderId="128" applyNumberFormat="0" applyAlignment="0" applyProtection="0"/>
    <xf numFmtId="173" fontId="51" fillId="0" borderId="130"/>
    <xf numFmtId="171" fontId="51" fillId="0" borderId="130"/>
    <xf numFmtId="0" fontId="18" fillId="9" borderId="126" applyNumberFormat="0" applyAlignment="0" applyProtection="0"/>
    <xf numFmtId="176" fontId="51" fillId="0" borderId="130"/>
    <xf numFmtId="0" fontId="11" fillId="22" borderId="126" applyNumberFormat="0" applyAlignment="0" applyProtection="0"/>
    <xf numFmtId="171" fontId="51" fillId="0" borderId="130"/>
    <xf numFmtId="171" fontId="51" fillId="0" borderId="130"/>
    <xf numFmtId="179" fontId="51" fillId="0" borderId="130"/>
    <xf numFmtId="0" fontId="54" fillId="46" borderId="124">
      <protection locked="0"/>
    </xf>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5" fontId="51" fillId="0" borderId="130"/>
    <xf numFmtId="179" fontId="51" fillId="0" borderId="130"/>
    <xf numFmtId="171" fontId="51" fillId="0" borderId="130"/>
    <xf numFmtId="171" fontId="51" fillId="0" borderId="130"/>
    <xf numFmtId="0" fontId="23" fillId="0" borderId="129" applyNumberFormat="0" applyFill="0" applyAlignment="0" applyProtection="0"/>
    <xf numFmtId="179" fontId="51" fillId="0" borderId="130"/>
    <xf numFmtId="171" fontId="51" fillId="0" borderId="130"/>
    <xf numFmtId="171" fontId="51" fillId="0" borderId="130"/>
    <xf numFmtId="179" fontId="51" fillId="0" borderId="130"/>
    <xf numFmtId="174" fontId="51" fillId="0" borderId="130"/>
    <xf numFmtId="174" fontId="51" fillId="0" borderId="130"/>
    <xf numFmtId="179" fontId="51" fillId="0" borderId="130"/>
    <xf numFmtId="179" fontId="51" fillId="0" borderId="130"/>
    <xf numFmtId="179" fontId="51" fillId="0" borderId="130"/>
    <xf numFmtId="171" fontId="51" fillId="0" borderId="130"/>
    <xf numFmtId="173" fontId="51" fillId="0" borderId="130"/>
    <xf numFmtId="171" fontId="51" fillId="0" borderId="130"/>
    <xf numFmtId="179" fontId="51" fillId="0" borderId="130"/>
    <xf numFmtId="0" fontId="18" fillId="9" borderId="126" applyNumberFormat="0" applyAlignment="0" applyProtection="0"/>
    <xf numFmtId="179" fontId="51" fillId="0" borderId="130"/>
    <xf numFmtId="179" fontId="51" fillId="0" borderId="130"/>
    <xf numFmtId="0" fontId="23" fillId="0" borderId="129" applyNumberFormat="0" applyFill="0" applyAlignment="0" applyProtection="0"/>
    <xf numFmtId="171" fontId="51" fillId="0" borderId="130"/>
    <xf numFmtId="0" fontId="8" fillId="25" borderId="127" applyNumberFormat="0" applyFont="0" applyAlignment="0" applyProtection="0"/>
    <xf numFmtId="0" fontId="18" fillId="9" borderId="126" applyNumberFormat="0" applyAlignment="0" applyProtection="0"/>
    <xf numFmtId="171" fontId="51" fillId="0" borderId="130"/>
    <xf numFmtId="179" fontId="51" fillId="0" borderId="130"/>
    <xf numFmtId="0" fontId="8" fillId="25" borderId="127" applyNumberFormat="0" applyFont="0" applyAlignment="0" applyProtection="0"/>
    <xf numFmtId="0" fontId="11" fillId="22" borderId="126" applyNumberFormat="0" applyAlignment="0" applyProtection="0"/>
    <xf numFmtId="171" fontId="51" fillId="0" borderId="13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1" fontId="51" fillId="0" borderId="130"/>
    <xf numFmtId="180" fontId="51" fillId="0" borderId="130"/>
    <xf numFmtId="174" fontId="51" fillId="0" borderId="130"/>
    <xf numFmtId="174" fontId="51" fillId="0" borderId="130"/>
    <xf numFmtId="173" fontId="51" fillId="0" borderId="130"/>
    <xf numFmtId="179" fontId="51" fillId="0" borderId="130"/>
    <xf numFmtId="172" fontId="51" fillId="0" borderId="130"/>
    <xf numFmtId="0" fontId="21" fillId="22" borderId="128" applyNumberFormat="0" applyAlignment="0" applyProtection="0"/>
    <xf numFmtId="171" fontId="51" fillId="0" borderId="130"/>
    <xf numFmtId="174" fontId="51" fillId="0" borderId="130"/>
    <xf numFmtId="179" fontId="51" fillId="0" borderId="130"/>
    <xf numFmtId="0" fontId="11" fillId="22" borderId="126" applyNumberFormat="0" applyAlignment="0" applyProtection="0"/>
    <xf numFmtId="174" fontId="51" fillId="0" borderId="130"/>
    <xf numFmtId="175" fontId="51" fillId="0" borderId="130"/>
    <xf numFmtId="174" fontId="51" fillId="0" borderId="130"/>
    <xf numFmtId="181" fontId="51" fillId="0" borderId="130"/>
    <xf numFmtId="176" fontId="51" fillId="0" borderId="130"/>
    <xf numFmtId="172"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4" fontId="51" fillId="0" borderId="130"/>
    <xf numFmtId="174" fontId="51" fillId="0" borderId="130"/>
    <xf numFmtId="174" fontId="51" fillId="0" borderId="130"/>
    <xf numFmtId="171" fontId="51" fillId="0" borderId="130"/>
    <xf numFmtId="0" fontId="18" fillId="9" borderId="126" applyNumberFormat="0" applyAlignment="0" applyProtection="0"/>
    <xf numFmtId="174" fontId="51" fillId="0" borderId="130"/>
    <xf numFmtId="171" fontId="51" fillId="0" borderId="130"/>
    <xf numFmtId="179" fontId="51" fillId="0" borderId="130"/>
    <xf numFmtId="173" fontId="51" fillId="0" borderId="130"/>
    <xf numFmtId="173" fontId="51" fillId="0" borderId="130"/>
    <xf numFmtId="171" fontId="51" fillId="0" borderId="130"/>
    <xf numFmtId="173" fontId="51" fillId="0" borderId="130"/>
    <xf numFmtId="174" fontId="51" fillId="0" borderId="130"/>
    <xf numFmtId="176" fontId="51" fillId="0" borderId="130"/>
    <xf numFmtId="171" fontId="51" fillId="0" borderId="130"/>
    <xf numFmtId="0" fontId="11" fillId="22" borderId="126" applyNumberFormat="0" applyAlignment="0" applyProtection="0"/>
    <xf numFmtId="179" fontId="51" fillId="0" borderId="130"/>
    <xf numFmtId="179" fontId="51" fillId="0" borderId="130"/>
    <xf numFmtId="179" fontId="51" fillId="0" borderId="130"/>
    <xf numFmtId="171" fontId="51" fillId="0" borderId="130"/>
    <xf numFmtId="0" fontId="8" fillId="25" borderId="127" applyNumberFormat="0" applyFont="0" applyAlignment="0" applyProtection="0"/>
    <xf numFmtId="171" fontId="51" fillId="0" borderId="130"/>
    <xf numFmtId="180" fontId="51" fillId="0" borderId="130"/>
    <xf numFmtId="174" fontId="51" fillId="0" borderId="130"/>
    <xf numFmtId="175" fontId="51" fillId="0" borderId="130"/>
    <xf numFmtId="0" fontId="18" fillId="9" borderId="126" applyNumberFormat="0" applyAlignment="0" applyProtection="0"/>
    <xf numFmtId="171" fontId="51" fillId="0" borderId="130"/>
    <xf numFmtId="179" fontId="51" fillId="0" borderId="130"/>
    <xf numFmtId="174" fontId="51" fillId="0" borderId="130"/>
    <xf numFmtId="179" fontId="51" fillId="0" borderId="130"/>
    <xf numFmtId="171" fontId="51" fillId="0" borderId="130"/>
    <xf numFmtId="179" fontId="51" fillId="0" borderId="130"/>
    <xf numFmtId="174" fontId="51" fillId="0" borderId="130"/>
    <xf numFmtId="174" fontId="51" fillId="0" borderId="130"/>
    <xf numFmtId="171" fontId="51" fillId="0" borderId="130"/>
    <xf numFmtId="174" fontId="51" fillId="0" borderId="130"/>
    <xf numFmtId="175" fontId="51" fillId="0" borderId="130"/>
    <xf numFmtId="174" fontId="51" fillId="0" borderId="130"/>
    <xf numFmtId="179" fontId="51" fillId="0" borderId="130"/>
    <xf numFmtId="179" fontId="51" fillId="0" borderId="130"/>
    <xf numFmtId="171" fontId="51" fillId="0" borderId="130"/>
    <xf numFmtId="0" fontId="21" fillId="22" borderId="128" applyNumberFormat="0" applyAlignment="0" applyProtection="0"/>
    <xf numFmtId="172" fontId="51" fillId="0" borderId="130"/>
    <xf numFmtId="0" fontId="23" fillId="0" borderId="129" applyNumberFormat="0" applyFill="0" applyAlignment="0" applyProtection="0"/>
    <xf numFmtId="0" fontId="8" fillId="25" borderId="127" applyNumberFormat="0" applyFont="0" applyAlignment="0" applyProtection="0"/>
    <xf numFmtId="0" fontId="54" fillId="46" borderId="124">
      <protection locked="0"/>
    </xf>
    <xf numFmtId="175" fontId="51" fillId="0" borderId="130"/>
    <xf numFmtId="0" fontId="23" fillId="0" borderId="129" applyNumberFormat="0" applyFill="0" applyAlignment="0" applyProtection="0"/>
    <xf numFmtId="174" fontId="51" fillId="0" borderId="130"/>
    <xf numFmtId="0" fontId="21" fillId="22" borderId="128" applyNumberFormat="0" applyAlignment="0" applyProtection="0"/>
    <xf numFmtId="171" fontId="51" fillId="0" borderId="130"/>
    <xf numFmtId="181" fontId="51" fillId="0" borderId="130"/>
    <xf numFmtId="171" fontId="51" fillId="0" borderId="130"/>
    <xf numFmtId="179" fontId="51" fillId="0" borderId="130"/>
    <xf numFmtId="0" fontId="11" fillId="22" borderId="126" applyNumberFormat="0" applyAlignment="0" applyProtection="0"/>
    <xf numFmtId="174" fontId="51" fillId="0" borderId="130"/>
    <xf numFmtId="180" fontId="51" fillId="0" borderId="130"/>
    <xf numFmtId="174" fontId="51" fillId="0" borderId="130"/>
    <xf numFmtId="171" fontId="51" fillId="0" borderId="130"/>
    <xf numFmtId="174" fontId="51" fillId="0" borderId="130"/>
    <xf numFmtId="172" fontId="51" fillId="0" borderId="130"/>
    <xf numFmtId="179" fontId="51" fillId="0" borderId="130"/>
    <xf numFmtId="176" fontId="51" fillId="0" borderId="130"/>
    <xf numFmtId="174" fontId="51" fillId="0" borderId="130"/>
    <xf numFmtId="172" fontId="51" fillId="0" borderId="130"/>
    <xf numFmtId="171" fontId="51" fillId="0" borderId="130"/>
    <xf numFmtId="180" fontId="51" fillId="0" borderId="130"/>
    <xf numFmtId="181" fontId="51" fillId="0" borderId="130"/>
    <xf numFmtId="0" fontId="54" fillId="46" borderId="124">
      <protection locked="0"/>
    </xf>
    <xf numFmtId="179" fontId="51" fillId="0" borderId="130"/>
    <xf numFmtId="179" fontId="51" fillId="0" borderId="130"/>
    <xf numFmtId="179" fontId="51" fillId="0" borderId="130"/>
    <xf numFmtId="171" fontId="51" fillId="0" borderId="130"/>
    <xf numFmtId="179" fontId="51" fillId="0" borderId="130"/>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81" fontId="51" fillId="0" borderId="130"/>
    <xf numFmtId="171" fontId="51" fillId="0" borderId="130"/>
    <xf numFmtId="174" fontId="51" fillId="0" borderId="130"/>
    <xf numFmtId="179" fontId="51" fillId="0" borderId="130"/>
    <xf numFmtId="171" fontId="51" fillId="0" borderId="130"/>
    <xf numFmtId="0" fontId="8" fillId="25" borderId="127" applyNumberFormat="0" applyFont="0" applyAlignment="0" applyProtection="0"/>
    <xf numFmtId="174" fontId="51" fillId="0" borderId="130"/>
    <xf numFmtId="176" fontId="51" fillId="0" borderId="130"/>
    <xf numFmtId="179" fontId="51" fillId="0" borderId="130"/>
    <xf numFmtId="171" fontId="51" fillId="0" borderId="130"/>
    <xf numFmtId="174"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4" fontId="51" fillId="0" borderId="130"/>
    <xf numFmtId="179" fontId="51" fillId="0" borderId="130"/>
    <xf numFmtId="171" fontId="51" fillId="0" borderId="130"/>
    <xf numFmtId="179" fontId="51" fillId="0" borderId="130"/>
    <xf numFmtId="179" fontId="51" fillId="0" borderId="130"/>
    <xf numFmtId="174" fontId="51" fillId="0" borderId="130"/>
    <xf numFmtId="174" fontId="51" fillId="0" borderId="130"/>
    <xf numFmtId="171" fontId="51" fillId="0" borderId="130"/>
    <xf numFmtId="171"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4" fontId="51" fillId="0" borderId="130"/>
    <xf numFmtId="0" fontId="18" fillId="9" borderId="126" applyNumberFormat="0" applyAlignment="0" applyProtection="0"/>
    <xf numFmtId="181" fontId="51" fillId="0" borderId="130"/>
    <xf numFmtId="171" fontId="51" fillId="0" borderId="130"/>
    <xf numFmtId="0" fontId="11" fillId="22" borderId="126" applyNumberFormat="0" applyAlignment="0" applyProtection="0"/>
    <xf numFmtId="0" fontId="18" fillId="9" borderId="126" applyNumberFormat="0" applyAlignment="0" applyProtection="0"/>
    <xf numFmtId="181" fontId="51" fillId="0" borderId="130"/>
    <xf numFmtId="180" fontId="51" fillId="0" borderId="130"/>
    <xf numFmtId="179" fontId="51" fillId="0" borderId="130"/>
    <xf numFmtId="171" fontId="51" fillId="0" borderId="130"/>
    <xf numFmtId="175" fontId="51" fillId="0" borderId="130"/>
    <xf numFmtId="176" fontId="51" fillId="0" borderId="130"/>
    <xf numFmtId="175" fontId="51" fillId="0" borderId="130"/>
    <xf numFmtId="174" fontId="51" fillId="0" borderId="130"/>
    <xf numFmtId="176" fontId="51" fillId="0" borderId="130"/>
    <xf numFmtId="180" fontId="51" fillId="0" borderId="130"/>
    <xf numFmtId="173" fontId="51" fillId="0" borderId="130"/>
    <xf numFmtId="0" fontId="11" fillId="22" borderId="126" applyNumberFormat="0" applyAlignment="0" applyProtection="0"/>
    <xf numFmtId="172" fontId="51" fillId="0" borderId="130"/>
    <xf numFmtId="179" fontId="51" fillId="0" borderId="130"/>
    <xf numFmtId="176" fontId="51" fillId="0" borderId="130"/>
    <xf numFmtId="174" fontId="51" fillId="0" borderId="130"/>
    <xf numFmtId="171" fontId="51" fillId="0" borderId="130"/>
    <xf numFmtId="0" fontId="21" fillId="22" borderId="128" applyNumberFormat="0" applyAlignment="0" applyProtection="0"/>
    <xf numFmtId="0" fontId="23" fillId="0" borderId="129" applyNumberFormat="0" applyFill="0" applyAlignment="0" applyProtection="0"/>
    <xf numFmtId="180" fontId="51" fillId="0" borderId="130"/>
    <xf numFmtId="175" fontId="51" fillId="0" borderId="130"/>
    <xf numFmtId="173" fontId="51" fillId="0" borderId="130"/>
    <xf numFmtId="172" fontId="51" fillId="0" borderId="130"/>
    <xf numFmtId="171" fontId="51" fillId="0" borderId="130"/>
    <xf numFmtId="181"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11" fillId="22" borderId="126" applyNumberFormat="0" applyAlignment="0" applyProtection="0"/>
    <xf numFmtId="0" fontId="54" fillId="46" borderId="124">
      <protection locked="0"/>
    </xf>
    <xf numFmtId="0" fontId="11" fillId="22" borderId="126" applyNumberFormat="0" applyAlignment="0" applyProtection="0"/>
    <xf numFmtId="0" fontId="21" fillId="22" borderId="128" applyNumberFormat="0" applyAlignment="0" applyProtection="0"/>
    <xf numFmtId="0" fontId="54" fillId="46" borderId="124">
      <protection locked="0"/>
    </xf>
    <xf numFmtId="173" fontId="51" fillId="0" borderId="130"/>
    <xf numFmtId="172"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23" fillId="0" borderId="129" applyNumberFormat="0" applyFill="0" applyAlignment="0" applyProtection="0"/>
    <xf numFmtId="171" fontId="51" fillId="0" borderId="130"/>
    <xf numFmtId="172"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1" fontId="51" fillId="0" borderId="130"/>
    <xf numFmtId="179" fontId="51" fillId="0" borderId="130"/>
    <xf numFmtId="0" fontId="11" fillId="22" borderId="126" applyNumberFormat="0" applyAlignment="0" applyProtection="0"/>
    <xf numFmtId="0" fontId="54" fillId="46" borderId="124">
      <protection locked="0"/>
    </xf>
    <xf numFmtId="181" fontId="51" fillId="0" borderId="130"/>
    <xf numFmtId="171" fontId="51" fillId="0" borderId="130"/>
    <xf numFmtId="0" fontId="23" fillId="0" borderId="129" applyNumberFormat="0" applyFill="0" applyAlignment="0" applyProtection="0"/>
    <xf numFmtId="179" fontId="51" fillId="0" borderId="130"/>
    <xf numFmtId="0" fontId="54" fillId="46" borderId="124">
      <protection locked="0"/>
    </xf>
    <xf numFmtId="0" fontId="11" fillId="22" borderId="126" applyNumberFormat="0" applyAlignment="0" applyProtection="0"/>
    <xf numFmtId="171" fontId="51" fillId="0" borderId="130"/>
    <xf numFmtId="171" fontId="51" fillId="0" borderId="130"/>
    <xf numFmtId="0" fontId="18" fillId="9" borderId="126" applyNumberFormat="0" applyAlignment="0" applyProtection="0"/>
    <xf numFmtId="172" fontId="51" fillId="0" borderId="130"/>
    <xf numFmtId="171" fontId="51" fillId="0" borderId="130"/>
    <xf numFmtId="174" fontId="51" fillId="0" borderId="130"/>
    <xf numFmtId="171" fontId="51" fillId="0" borderId="130"/>
    <xf numFmtId="174" fontId="51" fillId="0" borderId="130"/>
    <xf numFmtId="175" fontId="51" fillId="0" borderId="130"/>
    <xf numFmtId="176" fontId="51" fillId="0" borderId="130"/>
    <xf numFmtId="0" fontId="8" fillId="25" borderId="127" applyNumberFormat="0" applyFont="0" applyAlignment="0" applyProtection="0"/>
    <xf numFmtId="174" fontId="51" fillId="0" borderId="130"/>
    <xf numFmtId="179" fontId="51" fillId="0" borderId="130"/>
    <xf numFmtId="171" fontId="51" fillId="0" borderId="130"/>
    <xf numFmtId="180" fontId="51" fillId="0" borderId="130"/>
    <xf numFmtId="181" fontId="51" fillId="0" borderId="130"/>
    <xf numFmtId="0" fontId="18" fillId="9" borderId="126" applyNumberFormat="0" applyAlignment="0" applyProtection="0"/>
    <xf numFmtId="179" fontId="51" fillId="0" borderId="130"/>
    <xf numFmtId="179" fontId="51" fillId="0" borderId="130"/>
    <xf numFmtId="174" fontId="51" fillId="0" borderId="130"/>
    <xf numFmtId="171" fontId="51" fillId="0" borderId="130"/>
    <xf numFmtId="175" fontId="51" fillId="0" borderId="130"/>
    <xf numFmtId="171" fontId="51" fillId="0" borderId="130"/>
    <xf numFmtId="171" fontId="51" fillId="0" borderId="130"/>
    <xf numFmtId="174" fontId="51" fillId="0" borderId="130"/>
    <xf numFmtId="174" fontId="51" fillId="0" borderId="130"/>
    <xf numFmtId="171" fontId="51" fillId="0" borderId="130"/>
    <xf numFmtId="0" fontId="18" fillId="9" borderId="126" applyNumberFormat="0" applyAlignment="0" applyProtection="0"/>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8" fillId="25" borderId="127" applyNumberFormat="0" applyFont="0" applyAlignment="0" applyProtection="0"/>
    <xf numFmtId="173" fontId="51" fillId="0" borderId="130"/>
    <xf numFmtId="174" fontId="51" fillId="0" borderId="130"/>
    <xf numFmtId="179" fontId="51" fillId="0" borderId="130"/>
    <xf numFmtId="0" fontId="11" fillId="22" borderId="126" applyNumberFormat="0" applyAlignment="0" applyProtection="0"/>
    <xf numFmtId="173" fontId="51" fillId="0" borderId="130"/>
    <xf numFmtId="172" fontId="51" fillId="0" borderId="130"/>
    <xf numFmtId="0" fontId="21" fillId="22" borderId="128" applyNumberFormat="0" applyAlignment="0" applyProtection="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3" fontId="51" fillId="0" borderId="130"/>
    <xf numFmtId="175" fontId="51" fillId="0" borderId="130"/>
    <xf numFmtId="176"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80" fontId="51" fillId="0" borderId="130"/>
    <xf numFmtId="174" fontId="51" fillId="0" borderId="130"/>
    <xf numFmtId="179"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174" fontId="51" fillId="0" borderId="130"/>
    <xf numFmtId="179" fontId="51" fillId="0" borderId="130"/>
    <xf numFmtId="174" fontId="51" fillId="0" borderId="130"/>
    <xf numFmtId="171" fontId="51" fillId="0" borderId="130"/>
    <xf numFmtId="179" fontId="51" fillId="0" borderId="130"/>
    <xf numFmtId="174" fontId="51" fillId="0" borderId="130"/>
    <xf numFmtId="179" fontId="51" fillId="0" borderId="130"/>
    <xf numFmtId="171" fontId="51" fillId="0" borderId="130"/>
    <xf numFmtId="171" fontId="51" fillId="0" borderId="130"/>
    <xf numFmtId="179"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6" fontId="51" fillId="0" borderId="130"/>
    <xf numFmtId="0" fontId="11" fillId="22" borderId="126" applyNumberFormat="0" applyAlignment="0" applyProtection="0"/>
    <xf numFmtId="180" fontId="51" fillId="0" borderId="130"/>
    <xf numFmtId="179" fontId="51" fillId="0" borderId="130"/>
    <xf numFmtId="171" fontId="51" fillId="0" borderId="130"/>
    <xf numFmtId="171" fontId="51" fillId="0" borderId="130"/>
    <xf numFmtId="174" fontId="51" fillId="0" borderId="130"/>
    <xf numFmtId="174" fontId="51" fillId="0" borderId="130"/>
    <xf numFmtId="171" fontId="51" fillId="0" borderId="130"/>
    <xf numFmtId="0" fontId="23" fillId="0" borderId="129" applyNumberFormat="0" applyFill="0" applyAlignment="0" applyProtection="0"/>
    <xf numFmtId="174" fontId="51" fillId="0" borderId="130"/>
    <xf numFmtId="0" fontId="18" fillId="9" borderId="126" applyNumberFormat="0" applyAlignment="0" applyProtection="0"/>
    <xf numFmtId="0" fontId="21" fillId="22" borderId="128" applyNumberFormat="0" applyAlignment="0" applyProtection="0"/>
    <xf numFmtId="0" fontId="8" fillId="25" borderId="127" applyNumberFormat="0" applyFont="0" applyAlignment="0" applyProtection="0"/>
    <xf numFmtId="0" fontId="54" fillId="46" borderId="124">
      <protection locked="0"/>
    </xf>
    <xf numFmtId="179" fontId="51" fillId="0" borderId="130"/>
    <xf numFmtId="0" fontId="11" fillId="22" borderId="126" applyNumberFormat="0" applyAlignment="0" applyProtection="0"/>
    <xf numFmtId="0" fontId="18" fillId="9" borderId="126" applyNumberFormat="0" applyAlignment="0" applyProtection="0"/>
    <xf numFmtId="174" fontId="51" fillId="0" borderId="130"/>
    <xf numFmtId="171" fontId="51" fillId="0" borderId="130"/>
    <xf numFmtId="179" fontId="51" fillId="0" borderId="130"/>
    <xf numFmtId="174" fontId="51" fillId="0" borderId="130"/>
    <xf numFmtId="171" fontId="51" fillId="0" borderId="130"/>
    <xf numFmtId="172" fontId="51" fillId="0" borderId="130"/>
    <xf numFmtId="171" fontId="51" fillId="0" borderId="130"/>
    <xf numFmtId="174" fontId="51" fillId="0" borderId="130"/>
    <xf numFmtId="179" fontId="51" fillId="0" borderId="130"/>
    <xf numFmtId="171" fontId="51" fillId="0" borderId="130"/>
    <xf numFmtId="179" fontId="51" fillId="0" borderId="130"/>
    <xf numFmtId="0" fontId="11" fillId="22" borderId="126" applyNumberFormat="0" applyAlignment="0" applyProtection="0"/>
    <xf numFmtId="181" fontId="51" fillId="0" borderId="130"/>
    <xf numFmtId="175" fontId="51" fillId="0" borderId="130"/>
    <xf numFmtId="179"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23" fillId="0" borderId="129" applyNumberFormat="0" applyFill="0" applyAlignment="0" applyProtection="0"/>
    <xf numFmtId="179" fontId="51" fillId="0" borderId="130"/>
    <xf numFmtId="179" fontId="51" fillId="0" borderId="130"/>
    <xf numFmtId="174" fontId="51" fillId="0" borderId="130"/>
    <xf numFmtId="173" fontId="51" fillId="0" borderId="130"/>
    <xf numFmtId="0" fontId="8" fillId="25" borderId="127" applyNumberFormat="0" applyFont="0" applyAlignment="0" applyProtection="0"/>
    <xf numFmtId="174"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9" fontId="51" fillId="0" borderId="130"/>
    <xf numFmtId="174"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21" fillId="22" borderId="128"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18" fillId="9" borderId="126" applyNumberFormat="0" applyAlignment="0" applyProtection="0"/>
    <xf numFmtId="0" fontId="11" fillId="22" borderId="126" applyNumberFormat="0" applyAlignment="0" applyProtection="0"/>
    <xf numFmtId="176" fontId="51" fillId="0" borderId="130"/>
    <xf numFmtId="0" fontId="8" fillId="25" borderId="127" applyNumberFormat="0" applyFon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8" fillId="25" borderId="127" applyNumberFormat="0" applyFont="0" applyAlignment="0" applyProtection="0"/>
    <xf numFmtId="0" fontId="21" fillId="22" borderId="128" applyNumberFormat="0" applyAlignment="0" applyProtection="0"/>
    <xf numFmtId="0" fontId="21" fillId="22" borderId="128" applyNumberFormat="0" applyAlignment="0" applyProtection="0"/>
    <xf numFmtId="0" fontId="21" fillId="22" borderId="128" applyNumberFormat="0" applyAlignment="0" applyProtection="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3" fillId="0" borderId="129" applyNumberFormat="0" applyFill="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79" fontId="51" fillId="0" borderId="130"/>
    <xf numFmtId="179" fontId="51" fillId="0" borderId="130"/>
    <xf numFmtId="180" fontId="51" fillId="0" borderId="130"/>
    <xf numFmtId="171" fontId="51" fillId="0" borderId="130"/>
    <xf numFmtId="174" fontId="51" fillId="0" borderId="130"/>
    <xf numFmtId="174" fontId="51" fillId="0" borderId="130"/>
    <xf numFmtId="176" fontId="51" fillId="0" borderId="130"/>
    <xf numFmtId="171"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1" fillId="22" borderId="128" applyNumberFormat="0" applyAlignment="0" applyProtection="0"/>
    <xf numFmtId="0" fontId="18" fillId="9" borderId="126" applyNumberFormat="0" applyAlignment="0" applyProtection="0"/>
    <xf numFmtId="0" fontId="8" fillId="25" borderId="127" applyNumberFormat="0" applyFont="0" applyAlignment="0" applyProtection="0"/>
    <xf numFmtId="175" fontId="51" fillId="0" borderId="130"/>
    <xf numFmtId="179" fontId="51" fillId="0" borderId="130"/>
    <xf numFmtId="171" fontId="51" fillId="0" borderId="130"/>
    <xf numFmtId="172" fontId="51" fillId="0" borderId="130"/>
    <xf numFmtId="173" fontId="51" fillId="0" borderId="130"/>
    <xf numFmtId="0" fontId="8" fillId="25" borderId="127" applyNumberFormat="0" applyFont="0" applyAlignment="0" applyProtection="0"/>
    <xf numFmtId="174" fontId="51" fillId="0" borderId="130"/>
    <xf numFmtId="175" fontId="51" fillId="0" borderId="130"/>
    <xf numFmtId="176" fontId="51" fillId="0" borderId="130"/>
    <xf numFmtId="175" fontId="51" fillId="0" borderId="130"/>
    <xf numFmtId="179" fontId="51" fillId="0" borderId="130"/>
    <xf numFmtId="180" fontId="51" fillId="0" borderId="130"/>
    <xf numFmtId="181" fontId="51" fillId="0" borderId="130"/>
    <xf numFmtId="174" fontId="51" fillId="0" borderId="130"/>
    <xf numFmtId="171" fontId="51" fillId="0" borderId="130"/>
    <xf numFmtId="0" fontId="54" fillId="46" borderId="124">
      <protection locked="0"/>
    </xf>
    <xf numFmtId="0" fontId="11" fillId="22" borderId="126" applyNumberFormat="0" applyAlignment="0" applyProtection="0"/>
    <xf numFmtId="0" fontId="8" fillId="25" borderId="127" applyNumberFormat="0" applyFont="0" applyAlignment="0" applyProtection="0"/>
    <xf numFmtId="0" fontId="11" fillId="22" borderId="126" applyNumberFormat="0" applyAlignment="0" applyProtection="0"/>
    <xf numFmtId="181" fontId="51" fillId="0" borderId="130"/>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173" fontId="51" fillId="0" borderId="13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2" fontId="51" fillId="0" borderId="130"/>
    <xf numFmtId="173" fontId="51" fillId="0" borderId="130"/>
    <xf numFmtId="0" fontId="18" fillId="9" borderId="126" applyNumberFormat="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6" fontId="51" fillId="0" borderId="130"/>
    <xf numFmtId="171" fontId="51" fillId="0" borderId="130"/>
    <xf numFmtId="172" fontId="51" fillId="0" borderId="13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174" fontId="51" fillId="0" borderId="130"/>
    <xf numFmtId="179"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171" fontId="51" fillId="0" borderId="130"/>
    <xf numFmtId="179" fontId="51" fillId="0" borderId="130"/>
    <xf numFmtId="174" fontId="51" fillId="0" borderId="130"/>
    <xf numFmtId="174" fontId="51" fillId="0" borderId="130"/>
    <xf numFmtId="179" fontId="51" fillId="0" borderId="130"/>
    <xf numFmtId="171"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54" fillId="46" borderId="124">
      <protection locked="0"/>
    </xf>
    <xf numFmtId="171" fontId="51" fillId="0" borderId="130"/>
    <xf numFmtId="181" fontId="51" fillId="0" borderId="130"/>
    <xf numFmtId="174" fontId="51" fillId="0" borderId="130"/>
    <xf numFmtId="176" fontId="51" fillId="0" borderId="130"/>
    <xf numFmtId="173" fontId="51" fillId="0" borderId="130"/>
    <xf numFmtId="172" fontId="51" fillId="0" borderId="130"/>
    <xf numFmtId="179"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179" fontId="51" fillId="0" borderId="130"/>
    <xf numFmtId="180"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174" fontId="51" fillId="0" borderId="130"/>
    <xf numFmtId="179" fontId="51" fillId="0" borderId="130"/>
    <xf numFmtId="0" fontId="54" fillId="46" borderId="124">
      <protection locked="0"/>
    </xf>
    <xf numFmtId="0" fontId="54" fillId="46" borderId="124">
      <protection locked="0"/>
    </xf>
    <xf numFmtId="0" fontId="11" fillId="22" borderId="126" applyNumberFormat="0" applyAlignment="0" applyProtection="0"/>
    <xf numFmtId="174" fontId="51" fillId="0" borderId="130"/>
    <xf numFmtId="171" fontId="51" fillId="0" borderId="130"/>
    <xf numFmtId="174" fontId="51" fillId="0" borderId="130"/>
    <xf numFmtId="174" fontId="51" fillId="0" borderId="130"/>
    <xf numFmtId="0" fontId="21" fillId="22" borderId="128" applyNumberFormat="0" applyAlignment="0" applyProtection="0"/>
    <xf numFmtId="179" fontId="51" fillId="0" borderId="130"/>
    <xf numFmtId="174" fontId="51" fillId="0" borderId="130"/>
    <xf numFmtId="0" fontId="54" fillId="46" borderId="124">
      <protection locked="0"/>
    </xf>
    <xf numFmtId="0" fontId="21" fillId="22" borderId="128" applyNumberFormat="0" applyAlignment="0" applyProtection="0"/>
    <xf numFmtId="0" fontId="8" fillId="25" borderId="127" applyNumberFormat="0" applyFont="0" applyAlignment="0" applyProtection="0"/>
    <xf numFmtId="171" fontId="51" fillId="0" borderId="130"/>
    <xf numFmtId="0" fontId="8" fillId="25" borderId="127" applyNumberFormat="0" applyFont="0" applyAlignment="0" applyProtection="0"/>
    <xf numFmtId="173" fontId="51" fillId="0" borderId="130"/>
    <xf numFmtId="0" fontId="23" fillId="0" borderId="129" applyNumberFormat="0" applyFill="0" applyAlignment="0" applyProtection="0"/>
    <xf numFmtId="175" fontId="51" fillId="0" borderId="130"/>
    <xf numFmtId="174" fontId="51" fillId="0" borderId="130"/>
    <xf numFmtId="0" fontId="23" fillId="0" borderId="129" applyNumberFormat="0" applyFill="0" applyAlignment="0" applyProtection="0"/>
    <xf numFmtId="181" fontId="51" fillId="0" borderId="130"/>
    <xf numFmtId="174" fontId="51" fillId="0" borderId="130"/>
    <xf numFmtId="174" fontId="51" fillId="0" borderId="130"/>
    <xf numFmtId="0" fontId="18" fillId="9" borderId="126" applyNumberFormat="0" applyAlignment="0" applyProtection="0"/>
    <xf numFmtId="0" fontId="21" fillId="22" borderId="128" applyNumberFormat="0" applyAlignment="0" applyProtection="0"/>
    <xf numFmtId="171" fontId="51" fillId="0" borderId="130"/>
    <xf numFmtId="0" fontId="8" fillId="25" borderId="127" applyNumberFormat="0" applyFont="0" applyAlignment="0" applyProtection="0"/>
    <xf numFmtId="172" fontId="51" fillId="0" borderId="130"/>
    <xf numFmtId="176" fontId="51" fillId="0" borderId="130"/>
    <xf numFmtId="0" fontId="23" fillId="0" borderId="129" applyNumberFormat="0" applyFill="0" applyAlignment="0" applyProtection="0"/>
    <xf numFmtId="0" fontId="8" fillId="25" borderId="127" applyNumberFormat="0" applyFont="0" applyAlignment="0" applyProtection="0"/>
    <xf numFmtId="175" fontId="51" fillId="0" borderId="130"/>
    <xf numFmtId="171" fontId="51" fillId="0" borderId="130"/>
    <xf numFmtId="179" fontId="51" fillId="0" borderId="130"/>
    <xf numFmtId="0" fontId="18" fillId="9" borderId="126" applyNumberFormat="0" applyAlignment="0" applyProtection="0"/>
    <xf numFmtId="171" fontId="51" fillId="0" borderId="130"/>
    <xf numFmtId="0" fontId="21" fillId="22" borderId="128" applyNumberFormat="0" applyAlignment="0" applyProtection="0"/>
    <xf numFmtId="179" fontId="51" fillId="0" borderId="130"/>
    <xf numFmtId="171" fontId="51" fillId="0" borderId="130"/>
    <xf numFmtId="179" fontId="51" fillId="0" borderId="130"/>
    <xf numFmtId="174" fontId="51" fillId="0" borderId="130"/>
    <xf numFmtId="172" fontId="51" fillId="0" borderId="130"/>
    <xf numFmtId="171" fontId="51" fillId="0" borderId="130"/>
    <xf numFmtId="174" fontId="51" fillId="0" borderId="130"/>
    <xf numFmtId="173" fontId="51" fillId="0" borderId="130"/>
    <xf numFmtId="180" fontId="51" fillId="0" borderId="130"/>
    <xf numFmtId="179" fontId="51" fillId="0" borderId="130"/>
    <xf numFmtId="174" fontId="51" fillId="0" borderId="130"/>
    <xf numFmtId="171" fontId="51" fillId="0" borderId="130"/>
    <xf numFmtId="179" fontId="51" fillId="0" borderId="130"/>
    <xf numFmtId="174" fontId="51" fillId="0" borderId="130"/>
    <xf numFmtId="171" fontId="51" fillId="0" borderId="130"/>
    <xf numFmtId="179" fontId="51" fillId="0" borderId="130"/>
    <xf numFmtId="179" fontId="51" fillId="0" borderId="130"/>
    <xf numFmtId="180" fontId="51" fillId="0" borderId="130"/>
    <xf numFmtId="176" fontId="51" fillId="0" borderId="130"/>
    <xf numFmtId="171" fontId="51" fillId="0" borderId="130"/>
    <xf numFmtId="0" fontId="23" fillId="0" borderId="129" applyNumberFormat="0" applyFill="0" applyAlignment="0" applyProtection="0"/>
    <xf numFmtId="0" fontId="11" fillId="22" borderId="126" applyNumberFormat="0" applyAlignment="0" applyProtection="0"/>
    <xf numFmtId="171" fontId="51" fillId="0" borderId="130"/>
    <xf numFmtId="173" fontId="51" fillId="0" borderId="130"/>
    <xf numFmtId="171" fontId="51" fillId="0" borderId="130"/>
    <xf numFmtId="174" fontId="51" fillId="0" borderId="130"/>
    <xf numFmtId="179" fontId="51" fillId="0" borderId="130"/>
    <xf numFmtId="171" fontId="51" fillId="0" borderId="130"/>
    <xf numFmtId="0" fontId="18" fillId="9" borderId="126" applyNumberFormat="0" applyAlignment="0" applyProtection="0"/>
    <xf numFmtId="173" fontId="51" fillId="0" borderId="130"/>
    <xf numFmtId="0" fontId="11" fillId="22" borderId="126" applyNumberFormat="0" applyAlignment="0" applyProtection="0"/>
    <xf numFmtId="181" fontId="51" fillId="0" borderId="130"/>
    <xf numFmtId="171" fontId="51" fillId="0" borderId="130"/>
    <xf numFmtId="172" fontId="51" fillId="0" borderId="130"/>
    <xf numFmtId="174" fontId="51" fillId="0" borderId="130"/>
    <xf numFmtId="175" fontId="51" fillId="0" borderId="130"/>
    <xf numFmtId="174" fontId="51" fillId="0" borderId="130"/>
    <xf numFmtId="174" fontId="51" fillId="0" borderId="130"/>
    <xf numFmtId="0" fontId="11" fillId="22" borderId="126" applyNumberFormat="0" applyAlignment="0" applyProtection="0"/>
    <xf numFmtId="171" fontId="51" fillId="0" borderId="130"/>
    <xf numFmtId="174" fontId="51" fillId="0" borderId="130"/>
    <xf numFmtId="181" fontId="51" fillId="0" borderId="130"/>
    <xf numFmtId="171"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171" fontId="51" fillId="0" borderId="130"/>
    <xf numFmtId="179" fontId="51" fillId="0" borderId="130"/>
    <xf numFmtId="179" fontId="51" fillId="0" borderId="130"/>
    <xf numFmtId="0" fontId="54" fillId="46" borderId="124">
      <protection locked="0"/>
    </xf>
    <xf numFmtId="0" fontId="8" fillId="25" borderId="127" applyNumberFormat="0" applyFont="0" applyAlignment="0" applyProtection="0"/>
    <xf numFmtId="179" fontId="51" fillId="0" borderId="130"/>
    <xf numFmtId="176"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0" fontId="21" fillId="22" borderId="128" applyNumberFormat="0" applyAlignment="0" applyProtection="0"/>
    <xf numFmtId="174" fontId="51" fillId="0" borderId="130"/>
    <xf numFmtId="174" fontId="51" fillId="0" borderId="130"/>
    <xf numFmtId="172" fontId="51" fillId="0" borderId="130"/>
    <xf numFmtId="174" fontId="51" fillId="0" borderId="130"/>
    <xf numFmtId="179" fontId="51" fillId="0" borderId="130"/>
    <xf numFmtId="179" fontId="51" fillId="0" borderId="130"/>
    <xf numFmtId="171" fontId="51" fillId="0" borderId="130"/>
    <xf numFmtId="174" fontId="51" fillId="0" borderId="130"/>
    <xf numFmtId="179" fontId="51" fillId="0" borderId="130"/>
    <xf numFmtId="171" fontId="51" fillId="0" borderId="130"/>
    <xf numFmtId="173" fontId="51" fillId="0" borderId="130"/>
    <xf numFmtId="179" fontId="51" fillId="0" borderId="130"/>
    <xf numFmtId="0" fontId="23" fillId="0" borderId="129" applyNumberFormat="0" applyFill="0" applyAlignment="0" applyProtection="0"/>
    <xf numFmtId="174" fontId="51" fillId="0" borderId="130"/>
    <xf numFmtId="174" fontId="51" fillId="0" borderId="130"/>
    <xf numFmtId="179" fontId="51" fillId="0" borderId="130"/>
    <xf numFmtId="171" fontId="51" fillId="0" borderId="130"/>
    <xf numFmtId="0" fontId="18" fillId="9" borderId="126" applyNumberFormat="0" applyAlignment="0" applyProtection="0"/>
    <xf numFmtId="176" fontId="51" fillId="0" borderId="130"/>
    <xf numFmtId="175" fontId="51" fillId="0" borderId="130"/>
    <xf numFmtId="180" fontId="51" fillId="0" borderId="130"/>
    <xf numFmtId="175" fontId="51" fillId="0" borderId="130"/>
    <xf numFmtId="180" fontId="51" fillId="0" borderId="130"/>
    <xf numFmtId="172" fontId="51" fillId="0" borderId="130"/>
    <xf numFmtId="0" fontId="54" fillId="46" borderId="124">
      <protection locked="0"/>
    </xf>
    <xf numFmtId="180" fontId="51" fillId="0" borderId="130"/>
    <xf numFmtId="181" fontId="51" fillId="0" borderId="130"/>
    <xf numFmtId="0" fontId="54" fillId="46" borderId="124">
      <protection locked="0"/>
    </xf>
    <xf numFmtId="174" fontId="51" fillId="0" borderId="130"/>
    <xf numFmtId="181" fontId="51" fillId="0" borderId="130"/>
    <xf numFmtId="176" fontId="51" fillId="0" borderId="13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9" fontId="51" fillId="0" borderId="130"/>
    <xf numFmtId="171" fontId="51" fillId="0" borderId="130"/>
    <xf numFmtId="174" fontId="51" fillId="0" borderId="130"/>
    <xf numFmtId="179" fontId="51" fillId="0" borderId="130"/>
    <xf numFmtId="179" fontId="51" fillId="0" borderId="130"/>
    <xf numFmtId="179" fontId="51" fillId="0" borderId="130"/>
    <xf numFmtId="174" fontId="51" fillId="0" borderId="130"/>
    <xf numFmtId="179" fontId="51" fillId="0" borderId="130"/>
    <xf numFmtId="179" fontId="51" fillId="0" borderId="130"/>
    <xf numFmtId="174" fontId="51" fillId="0" borderId="130"/>
    <xf numFmtId="174" fontId="51" fillId="0" borderId="130"/>
    <xf numFmtId="0" fontId="21" fillId="22" borderId="128" applyNumberFormat="0" applyAlignment="0" applyProtection="0"/>
    <xf numFmtId="174" fontId="51" fillId="0" borderId="130"/>
    <xf numFmtId="0" fontId="23" fillId="0" borderId="129" applyNumberFormat="0" applyFill="0" applyAlignment="0" applyProtection="0"/>
    <xf numFmtId="171" fontId="51" fillId="0" borderId="130"/>
    <xf numFmtId="171" fontId="51" fillId="0" borderId="130"/>
    <xf numFmtId="174" fontId="51" fillId="0" borderId="130"/>
    <xf numFmtId="175" fontId="51" fillId="0" borderId="130"/>
    <xf numFmtId="0" fontId="18" fillId="9" borderId="126" applyNumberFormat="0" applyAlignment="0" applyProtection="0"/>
    <xf numFmtId="171" fontId="51" fillId="0" borderId="130"/>
    <xf numFmtId="0" fontId="21" fillId="22" borderId="128" applyNumberFormat="0" applyAlignment="0" applyProtection="0"/>
    <xf numFmtId="173" fontId="51" fillId="0" borderId="130"/>
    <xf numFmtId="171" fontId="51" fillId="0" borderId="130"/>
    <xf numFmtId="0" fontId="18" fillId="9" borderId="126" applyNumberFormat="0" applyAlignment="0" applyProtection="0"/>
    <xf numFmtId="176" fontId="51" fillId="0" borderId="130"/>
    <xf numFmtId="0" fontId="11" fillId="22" borderId="126" applyNumberFormat="0" applyAlignment="0" applyProtection="0"/>
    <xf numFmtId="171" fontId="51" fillId="0" borderId="130"/>
    <xf numFmtId="171" fontId="51" fillId="0" borderId="130"/>
    <xf numFmtId="179" fontId="51" fillId="0" borderId="130"/>
    <xf numFmtId="0" fontId="54" fillId="46" borderId="124">
      <protection locked="0"/>
    </xf>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5" fontId="51" fillId="0" borderId="130"/>
    <xf numFmtId="179" fontId="51" fillId="0" borderId="130"/>
    <xf numFmtId="171" fontId="51" fillId="0" borderId="130"/>
    <xf numFmtId="171" fontId="51" fillId="0" borderId="130"/>
    <xf numFmtId="0" fontId="23" fillId="0" borderId="129" applyNumberFormat="0" applyFill="0" applyAlignment="0" applyProtection="0"/>
    <xf numFmtId="179" fontId="51" fillId="0" borderId="130"/>
    <xf numFmtId="171" fontId="51" fillId="0" borderId="130"/>
    <xf numFmtId="171" fontId="51" fillId="0" borderId="130"/>
    <xf numFmtId="179" fontId="51" fillId="0" borderId="130"/>
    <xf numFmtId="174" fontId="51" fillId="0" borderId="130"/>
    <xf numFmtId="174" fontId="51" fillId="0" borderId="130"/>
    <xf numFmtId="179" fontId="51" fillId="0" borderId="130"/>
    <xf numFmtId="179" fontId="51" fillId="0" borderId="130"/>
    <xf numFmtId="179" fontId="51" fillId="0" borderId="130"/>
    <xf numFmtId="171" fontId="51" fillId="0" borderId="130"/>
    <xf numFmtId="173" fontId="51" fillId="0" borderId="130"/>
    <xf numFmtId="171" fontId="51" fillId="0" borderId="130"/>
    <xf numFmtId="179" fontId="51" fillId="0" borderId="130"/>
    <xf numFmtId="0" fontId="18" fillId="9" borderId="126" applyNumberFormat="0" applyAlignment="0" applyProtection="0"/>
    <xf numFmtId="179" fontId="51" fillId="0" borderId="130"/>
    <xf numFmtId="179" fontId="51" fillId="0" borderId="130"/>
    <xf numFmtId="0" fontId="23" fillId="0" borderId="129" applyNumberFormat="0" applyFill="0" applyAlignment="0" applyProtection="0"/>
    <xf numFmtId="171" fontId="51" fillId="0" borderId="130"/>
    <xf numFmtId="0" fontId="8" fillId="25" borderId="127" applyNumberFormat="0" applyFont="0" applyAlignment="0" applyProtection="0"/>
    <xf numFmtId="0" fontId="18" fillId="9" borderId="126" applyNumberFormat="0" applyAlignment="0" applyProtection="0"/>
    <xf numFmtId="171" fontId="51" fillId="0" borderId="130"/>
    <xf numFmtId="179" fontId="51" fillId="0" borderId="130"/>
    <xf numFmtId="0" fontId="8" fillId="25" borderId="127" applyNumberFormat="0" applyFont="0" applyAlignment="0" applyProtection="0"/>
    <xf numFmtId="0" fontId="11" fillId="22" borderId="126" applyNumberFormat="0" applyAlignment="0" applyProtection="0"/>
    <xf numFmtId="171" fontId="51" fillId="0" borderId="13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1" fontId="51" fillId="0" borderId="130"/>
    <xf numFmtId="180" fontId="51" fillId="0" borderId="130"/>
    <xf numFmtId="174" fontId="51" fillId="0" borderId="130"/>
    <xf numFmtId="174" fontId="51" fillId="0" borderId="130"/>
    <xf numFmtId="173" fontId="51" fillId="0" borderId="130"/>
    <xf numFmtId="179" fontId="51" fillId="0" borderId="130"/>
    <xf numFmtId="172" fontId="51" fillId="0" borderId="130"/>
    <xf numFmtId="0" fontId="21" fillId="22" borderId="128" applyNumberFormat="0" applyAlignment="0" applyProtection="0"/>
    <xf numFmtId="171" fontId="51" fillId="0" borderId="130"/>
    <xf numFmtId="174" fontId="51" fillId="0" borderId="130"/>
    <xf numFmtId="179" fontId="51" fillId="0" borderId="130"/>
    <xf numFmtId="0" fontId="11" fillId="22" borderId="126" applyNumberFormat="0" applyAlignment="0" applyProtection="0"/>
    <xf numFmtId="174" fontId="51" fillId="0" borderId="130"/>
    <xf numFmtId="175" fontId="51" fillId="0" borderId="130"/>
    <xf numFmtId="174" fontId="51" fillId="0" borderId="130"/>
    <xf numFmtId="181" fontId="51" fillId="0" borderId="130"/>
    <xf numFmtId="176" fontId="51" fillId="0" borderId="130"/>
    <xf numFmtId="172"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4" fontId="51" fillId="0" borderId="130"/>
    <xf numFmtId="174" fontId="51" fillId="0" borderId="130"/>
    <xf numFmtId="174" fontId="51" fillId="0" borderId="130"/>
    <xf numFmtId="171" fontId="51" fillId="0" borderId="130"/>
    <xf numFmtId="0" fontId="18" fillId="9" borderId="126" applyNumberFormat="0" applyAlignment="0" applyProtection="0"/>
    <xf numFmtId="174" fontId="51" fillId="0" borderId="130"/>
    <xf numFmtId="171" fontId="51" fillId="0" borderId="130"/>
    <xf numFmtId="179" fontId="51" fillId="0" borderId="130"/>
    <xf numFmtId="173" fontId="51" fillId="0" borderId="130"/>
    <xf numFmtId="173" fontId="51" fillId="0" borderId="130"/>
    <xf numFmtId="171" fontId="51" fillId="0" borderId="130"/>
    <xf numFmtId="173" fontId="51" fillId="0" borderId="130"/>
    <xf numFmtId="174" fontId="51" fillId="0" borderId="130"/>
    <xf numFmtId="176" fontId="51" fillId="0" borderId="130"/>
    <xf numFmtId="171" fontId="51" fillId="0" borderId="130"/>
    <xf numFmtId="0" fontId="11" fillId="22" borderId="126" applyNumberFormat="0" applyAlignment="0" applyProtection="0"/>
    <xf numFmtId="179" fontId="51" fillId="0" borderId="130"/>
    <xf numFmtId="179" fontId="51" fillId="0" borderId="130"/>
    <xf numFmtId="179" fontId="51" fillId="0" borderId="130"/>
    <xf numFmtId="171" fontId="51" fillId="0" borderId="130"/>
    <xf numFmtId="0" fontId="8" fillId="25" borderId="127" applyNumberFormat="0" applyFont="0" applyAlignment="0" applyProtection="0"/>
    <xf numFmtId="171" fontId="51" fillId="0" borderId="130"/>
    <xf numFmtId="180" fontId="51" fillId="0" borderId="130"/>
    <xf numFmtId="174" fontId="51" fillId="0" borderId="130"/>
    <xf numFmtId="175" fontId="51" fillId="0" borderId="130"/>
    <xf numFmtId="0" fontId="18" fillId="9" borderId="126" applyNumberFormat="0" applyAlignment="0" applyProtection="0"/>
    <xf numFmtId="171" fontId="51" fillId="0" borderId="130"/>
    <xf numFmtId="179" fontId="51" fillId="0" borderId="130"/>
    <xf numFmtId="174" fontId="51" fillId="0" borderId="130"/>
    <xf numFmtId="179" fontId="51" fillId="0" borderId="130"/>
    <xf numFmtId="171" fontId="51" fillId="0" borderId="130"/>
    <xf numFmtId="179" fontId="51" fillId="0" borderId="130"/>
    <xf numFmtId="174" fontId="51" fillId="0" borderId="130"/>
    <xf numFmtId="174" fontId="51" fillId="0" borderId="130"/>
    <xf numFmtId="171" fontId="51" fillId="0" borderId="130"/>
    <xf numFmtId="174" fontId="51" fillId="0" borderId="130"/>
    <xf numFmtId="175" fontId="51" fillId="0" borderId="130"/>
    <xf numFmtId="174" fontId="51" fillId="0" borderId="130"/>
    <xf numFmtId="179" fontId="51" fillId="0" borderId="130"/>
    <xf numFmtId="179" fontId="51" fillId="0" borderId="130"/>
    <xf numFmtId="171" fontId="51" fillId="0" borderId="130"/>
    <xf numFmtId="0" fontId="21" fillId="22" borderId="128" applyNumberFormat="0" applyAlignment="0" applyProtection="0"/>
    <xf numFmtId="172" fontId="51" fillId="0" borderId="130"/>
    <xf numFmtId="0" fontId="23" fillId="0" borderId="129" applyNumberFormat="0" applyFill="0" applyAlignment="0" applyProtection="0"/>
    <xf numFmtId="0" fontId="8" fillId="25" borderId="127" applyNumberFormat="0" applyFont="0" applyAlignment="0" applyProtection="0"/>
    <xf numFmtId="174" fontId="51" fillId="0" borderId="130"/>
    <xf numFmtId="0" fontId="54" fillId="46" borderId="124">
      <protection locked="0"/>
    </xf>
    <xf numFmtId="175" fontId="51" fillId="0" borderId="130"/>
    <xf numFmtId="0" fontId="23" fillId="0" borderId="129" applyNumberFormat="0" applyFill="0" applyAlignment="0" applyProtection="0"/>
    <xf numFmtId="174" fontId="51" fillId="0" borderId="130"/>
    <xf numFmtId="0" fontId="21" fillId="22" borderId="128" applyNumberFormat="0" applyAlignment="0" applyProtection="0"/>
    <xf numFmtId="171" fontId="51" fillId="0" borderId="130"/>
    <xf numFmtId="181" fontId="51" fillId="0" borderId="130"/>
    <xf numFmtId="171" fontId="51" fillId="0" borderId="130"/>
    <xf numFmtId="179" fontId="51" fillId="0" borderId="130"/>
    <xf numFmtId="0" fontId="11" fillId="22" borderId="126" applyNumberFormat="0" applyAlignment="0" applyProtection="0"/>
    <xf numFmtId="174" fontId="51" fillId="0" borderId="130"/>
    <xf numFmtId="180" fontId="51" fillId="0" borderId="130"/>
    <xf numFmtId="174" fontId="51" fillId="0" borderId="130"/>
    <xf numFmtId="171" fontId="51" fillId="0" borderId="130"/>
    <xf numFmtId="174" fontId="51" fillId="0" borderId="130"/>
    <xf numFmtId="172" fontId="51" fillId="0" borderId="130"/>
    <xf numFmtId="179" fontId="51" fillId="0" borderId="130"/>
    <xf numFmtId="176" fontId="51" fillId="0" borderId="130"/>
    <xf numFmtId="174" fontId="51" fillId="0" borderId="130"/>
    <xf numFmtId="172" fontId="51" fillId="0" borderId="130"/>
    <xf numFmtId="171" fontId="51" fillId="0" borderId="130"/>
    <xf numFmtId="180" fontId="51" fillId="0" borderId="130"/>
    <xf numFmtId="181" fontId="51" fillId="0" borderId="130"/>
    <xf numFmtId="0" fontId="54" fillId="46" borderId="124">
      <protection locked="0"/>
    </xf>
    <xf numFmtId="179" fontId="51" fillId="0" borderId="130"/>
    <xf numFmtId="179" fontId="51" fillId="0" borderId="130"/>
    <xf numFmtId="179" fontId="51" fillId="0" borderId="130"/>
    <xf numFmtId="171" fontId="51" fillId="0" borderId="130"/>
    <xf numFmtId="179" fontId="51" fillId="0" borderId="130"/>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81" fontId="51" fillId="0" borderId="130"/>
    <xf numFmtId="171" fontId="51" fillId="0" borderId="130"/>
    <xf numFmtId="174" fontId="51" fillId="0" borderId="130"/>
    <xf numFmtId="179" fontId="51" fillId="0" borderId="130"/>
    <xf numFmtId="171" fontId="51" fillId="0" borderId="130"/>
    <xf numFmtId="0" fontId="8" fillId="25" borderId="127" applyNumberFormat="0" applyFont="0" applyAlignment="0" applyProtection="0"/>
    <xf numFmtId="174" fontId="51" fillId="0" borderId="130"/>
    <xf numFmtId="176" fontId="51" fillId="0" borderId="130"/>
    <xf numFmtId="179" fontId="51" fillId="0" borderId="130"/>
    <xf numFmtId="171" fontId="51" fillId="0" borderId="130"/>
    <xf numFmtId="174"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4" fontId="51" fillId="0" borderId="130"/>
    <xf numFmtId="179" fontId="51" fillId="0" borderId="130"/>
    <xf numFmtId="171" fontId="51" fillId="0" borderId="130"/>
    <xf numFmtId="179" fontId="51" fillId="0" borderId="130"/>
    <xf numFmtId="179" fontId="51" fillId="0" borderId="130"/>
    <xf numFmtId="174" fontId="51" fillId="0" borderId="130"/>
    <xf numFmtId="174" fontId="51" fillId="0" borderId="130"/>
    <xf numFmtId="171" fontId="51" fillId="0" borderId="130"/>
    <xf numFmtId="171" fontId="51" fillId="0" borderId="130"/>
    <xf numFmtId="17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4" fontId="51" fillId="0" borderId="130"/>
    <xf numFmtId="0" fontId="54" fillId="46" borderId="124">
      <protection locked="0"/>
    </xf>
    <xf numFmtId="181" fontId="51" fillId="0" borderId="130"/>
    <xf numFmtId="171" fontId="51" fillId="0" borderId="130"/>
    <xf numFmtId="0" fontId="11" fillId="22" borderId="126" applyNumberFormat="0" applyAlignment="0" applyProtection="0"/>
    <xf numFmtId="0" fontId="18" fillId="9" borderId="126" applyNumberFormat="0" applyAlignment="0" applyProtection="0"/>
    <xf numFmtId="181" fontId="51" fillId="0" borderId="130"/>
    <xf numFmtId="180" fontId="51" fillId="0" borderId="130"/>
    <xf numFmtId="179" fontId="51" fillId="0" borderId="130"/>
    <xf numFmtId="171" fontId="51" fillId="0" borderId="130"/>
    <xf numFmtId="175" fontId="51" fillId="0" borderId="130"/>
    <xf numFmtId="176" fontId="51" fillId="0" borderId="130"/>
    <xf numFmtId="175" fontId="51" fillId="0" borderId="130"/>
    <xf numFmtId="174" fontId="51" fillId="0" borderId="130"/>
    <xf numFmtId="176" fontId="51" fillId="0" borderId="130"/>
    <xf numFmtId="180" fontId="51" fillId="0" borderId="130"/>
    <xf numFmtId="173" fontId="51" fillId="0" borderId="130"/>
    <xf numFmtId="0" fontId="11" fillId="22" borderId="126" applyNumberFormat="0" applyAlignment="0" applyProtection="0"/>
    <xf numFmtId="172" fontId="51" fillId="0" borderId="130"/>
    <xf numFmtId="179" fontId="51" fillId="0" borderId="130"/>
    <xf numFmtId="176" fontId="51" fillId="0" borderId="130"/>
    <xf numFmtId="174" fontId="51" fillId="0" borderId="130"/>
    <xf numFmtId="171" fontId="51" fillId="0" borderId="130"/>
    <xf numFmtId="0" fontId="21" fillId="22" borderId="128" applyNumberFormat="0" applyAlignment="0" applyProtection="0"/>
    <xf numFmtId="0" fontId="23" fillId="0" borderId="129" applyNumberFormat="0" applyFill="0" applyAlignment="0" applyProtection="0"/>
    <xf numFmtId="180" fontId="51" fillId="0" borderId="130"/>
    <xf numFmtId="175" fontId="51" fillId="0" borderId="130"/>
    <xf numFmtId="173" fontId="51" fillId="0" borderId="130"/>
    <xf numFmtId="172" fontId="51" fillId="0" borderId="130"/>
    <xf numFmtId="171" fontId="51" fillId="0" borderId="130"/>
    <xf numFmtId="181"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11" fillId="22" borderId="126" applyNumberFormat="0" applyAlignment="0" applyProtection="0"/>
    <xf numFmtId="0" fontId="54" fillId="46" borderId="124">
      <protection locked="0"/>
    </xf>
    <xf numFmtId="0" fontId="11" fillId="22" borderId="126" applyNumberFormat="0" applyAlignment="0" applyProtection="0"/>
    <xf numFmtId="0" fontId="21" fillId="22" borderId="128" applyNumberFormat="0" applyAlignment="0" applyProtection="0"/>
    <xf numFmtId="0" fontId="54" fillId="46" borderId="124">
      <protection locked="0"/>
    </xf>
    <xf numFmtId="173" fontId="51" fillId="0" borderId="130"/>
    <xf numFmtId="172"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23" fillId="0" borderId="129" applyNumberFormat="0" applyFill="0" applyAlignment="0" applyProtection="0"/>
    <xf numFmtId="171" fontId="51" fillId="0" borderId="130"/>
    <xf numFmtId="172"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1" fontId="51" fillId="0" borderId="130"/>
    <xf numFmtId="179" fontId="51" fillId="0" borderId="130"/>
    <xf numFmtId="0" fontId="11" fillId="22" borderId="126" applyNumberFormat="0" applyAlignment="0" applyProtection="0"/>
    <xf numFmtId="0" fontId="54" fillId="46" borderId="124">
      <protection locked="0"/>
    </xf>
    <xf numFmtId="181" fontId="51" fillId="0" borderId="130"/>
    <xf numFmtId="171" fontId="51" fillId="0" borderId="130"/>
    <xf numFmtId="0" fontId="23" fillId="0" borderId="129" applyNumberFormat="0" applyFill="0" applyAlignment="0" applyProtection="0"/>
    <xf numFmtId="179" fontId="51" fillId="0" borderId="130"/>
    <xf numFmtId="0" fontId="54" fillId="46" borderId="124">
      <protection locked="0"/>
    </xf>
    <xf numFmtId="0" fontId="11" fillId="22" borderId="126" applyNumberFormat="0" applyAlignment="0" applyProtection="0"/>
    <xf numFmtId="171" fontId="51" fillId="0" borderId="130"/>
    <xf numFmtId="171" fontId="51" fillId="0" borderId="130"/>
    <xf numFmtId="0" fontId="18" fillId="9" borderId="126" applyNumberFormat="0" applyAlignment="0" applyProtection="0"/>
    <xf numFmtId="172" fontId="51" fillId="0" borderId="130"/>
    <xf numFmtId="171" fontId="51" fillId="0" borderId="130"/>
    <xf numFmtId="174" fontId="51" fillId="0" borderId="130"/>
    <xf numFmtId="171" fontId="51" fillId="0" borderId="130"/>
    <xf numFmtId="174" fontId="51" fillId="0" borderId="130"/>
    <xf numFmtId="175" fontId="51" fillId="0" borderId="130"/>
    <xf numFmtId="176" fontId="51" fillId="0" borderId="130"/>
    <xf numFmtId="0" fontId="8" fillId="25" borderId="127" applyNumberFormat="0" applyFont="0" applyAlignment="0" applyProtection="0"/>
    <xf numFmtId="174" fontId="51" fillId="0" borderId="130"/>
    <xf numFmtId="179" fontId="51" fillId="0" borderId="130"/>
    <xf numFmtId="171" fontId="51" fillId="0" borderId="130"/>
    <xf numFmtId="180" fontId="51" fillId="0" borderId="130"/>
    <xf numFmtId="181" fontId="51" fillId="0" borderId="130"/>
    <xf numFmtId="0" fontId="18" fillId="9" borderId="126" applyNumberFormat="0" applyAlignment="0" applyProtection="0"/>
    <xf numFmtId="179" fontId="51" fillId="0" borderId="130"/>
    <xf numFmtId="179" fontId="51" fillId="0" borderId="130"/>
    <xf numFmtId="174" fontId="51" fillId="0" borderId="130"/>
    <xf numFmtId="171" fontId="51" fillId="0" borderId="130"/>
    <xf numFmtId="175" fontId="51" fillId="0" borderId="130"/>
    <xf numFmtId="171" fontId="51" fillId="0" borderId="130"/>
    <xf numFmtId="171" fontId="51" fillId="0" borderId="130"/>
    <xf numFmtId="174" fontId="51" fillId="0" borderId="130"/>
    <xf numFmtId="174" fontId="51" fillId="0" borderId="130"/>
    <xf numFmtId="171" fontId="51" fillId="0" borderId="130"/>
    <xf numFmtId="0" fontId="18" fillId="9" borderId="126" applyNumberFormat="0" applyAlignment="0" applyProtection="0"/>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8" fillId="25" borderId="127" applyNumberFormat="0" applyFont="0" applyAlignment="0" applyProtection="0"/>
    <xf numFmtId="173" fontId="51" fillId="0" borderId="130"/>
    <xf numFmtId="174" fontId="51" fillId="0" borderId="130"/>
    <xf numFmtId="179" fontId="51" fillId="0" borderId="130"/>
    <xf numFmtId="0" fontId="11" fillId="22" borderId="126" applyNumberFormat="0" applyAlignment="0" applyProtection="0"/>
    <xf numFmtId="173" fontId="51" fillId="0" borderId="130"/>
    <xf numFmtId="172" fontId="51" fillId="0" borderId="130"/>
    <xf numFmtId="0" fontId="21" fillId="22" borderId="128" applyNumberFormat="0" applyAlignment="0" applyProtection="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3" fontId="51" fillId="0" borderId="130"/>
    <xf numFmtId="175" fontId="51" fillId="0" borderId="130"/>
    <xf numFmtId="176"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80" fontId="51" fillId="0" borderId="130"/>
    <xf numFmtId="174" fontId="51" fillId="0" borderId="130"/>
    <xf numFmtId="179"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174" fontId="51" fillId="0" borderId="130"/>
    <xf numFmtId="179" fontId="51" fillId="0" borderId="130"/>
    <xf numFmtId="174" fontId="51" fillId="0" borderId="130"/>
    <xf numFmtId="171" fontId="51" fillId="0" borderId="130"/>
    <xf numFmtId="179" fontId="51" fillId="0" borderId="130"/>
    <xf numFmtId="174" fontId="51" fillId="0" borderId="130"/>
    <xf numFmtId="179" fontId="51" fillId="0" borderId="130"/>
    <xf numFmtId="171" fontId="51" fillId="0" borderId="130"/>
    <xf numFmtId="171" fontId="51" fillId="0" borderId="130"/>
    <xf numFmtId="179"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6" fontId="51" fillId="0" borderId="130"/>
    <xf numFmtId="0" fontId="11" fillId="22" borderId="126" applyNumberFormat="0" applyAlignment="0" applyProtection="0"/>
    <xf numFmtId="180" fontId="51" fillId="0" borderId="130"/>
    <xf numFmtId="179" fontId="51" fillId="0" borderId="130"/>
    <xf numFmtId="171" fontId="51" fillId="0" borderId="130"/>
    <xf numFmtId="171" fontId="51" fillId="0" borderId="130"/>
    <xf numFmtId="174" fontId="51" fillId="0" borderId="130"/>
    <xf numFmtId="174" fontId="51" fillId="0" borderId="130"/>
    <xf numFmtId="171" fontId="51" fillId="0" borderId="130"/>
    <xf numFmtId="0" fontId="23" fillId="0" borderId="129" applyNumberFormat="0" applyFill="0" applyAlignment="0" applyProtection="0"/>
    <xf numFmtId="174" fontId="51" fillId="0" borderId="130"/>
    <xf numFmtId="0" fontId="18" fillId="9" borderId="126" applyNumberFormat="0" applyAlignment="0" applyProtection="0"/>
    <xf numFmtId="0" fontId="21" fillId="22" borderId="128" applyNumberFormat="0" applyAlignment="0" applyProtection="0"/>
    <xf numFmtId="0" fontId="8" fillId="25" borderId="127" applyNumberFormat="0" applyFont="0" applyAlignment="0" applyProtection="0"/>
    <xf numFmtId="0" fontId="54" fillId="46" borderId="124">
      <protection locked="0"/>
    </xf>
    <xf numFmtId="179" fontId="51" fillId="0" borderId="130"/>
    <xf numFmtId="0" fontId="11" fillId="22" borderId="126" applyNumberFormat="0" applyAlignment="0" applyProtection="0"/>
    <xf numFmtId="0" fontId="18" fillId="9" borderId="126" applyNumberFormat="0" applyAlignment="0" applyProtection="0"/>
    <xf numFmtId="174" fontId="51" fillId="0" borderId="130"/>
    <xf numFmtId="171" fontId="51" fillId="0" borderId="130"/>
    <xf numFmtId="179" fontId="51" fillId="0" borderId="130"/>
    <xf numFmtId="174" fontId="51" fillId="0" borderId="130"/>
    <xf numFmtId="171" fontId="51" fillId="0" borderId="130"/>
    <xf numFmtId="172" fontId="51" fillId="0" borderId="130"/>
    <xf numFmtId="171" fontId="51" fillId="0" borderId="130"/>
    <xf numFmtId="174" fontId="51" fillId="0" borderId="130"/>
    <xf numFmtId="179" fontId="51" fillId="0" borderId="130"/>
    <xf numFmtId="171" fontId="51" fillId="0" borderId="130"/>
    <xf numFmtId="179" fontId="51" fillId="0" borderId="130"/>
    <xf numFmtId="0" fontId="11" fillId="22" borderId="126" applyNumberFormat="0" applyAlignment="0" applyProtection="0"/>
    <xf numFmtId="181" fontId="51" fillId="0" borderId="130"/>
    <xf numFmtId="175" fontId="51" fillId="0" borderId="130"/>
    <xf numFmtId="179"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23" fillId="0" borderId="129" applyNumberFormat="0" applyFill="0" applyAlignment="0" applyProtection="0"/>
    <xf numFmtId="179" fontId="51" fillId="0" borderId="130"/>
    <xf numFmtId="179" fontId="51" fillId="0" borderId="130"/>
    <xf numFmtId="174" fontId="51" fillId="0" borderId="130"/>
    <xf numFmtId="173" fontId="51" fillId="0" borderId="130"/>
    <xf numFmtId="0" fontId="8" fillId="25" borderId="127" applyNumberFormat="0" applyFont="0" applyAlignment="0" applyProtection="0"/>
    <xf numFmtId="174"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9" fontId="51" fillId="0" borderId="130"/>
    <xf numFmtId="174"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21" fillId="22" borderId="128" applyNumberFormat="0" applyAlignment="0" applyProtection="0"/>
    <xf numFmtId="0" fontId="21" fillId="22" borderId="128" applyNumberFormat="0" applyAlignment="0" applyProtection="0"/>
    <xf numFmtId="0" fontId="21" fillId="22" borderId="128" applyNumberFormat="0" applyAlignment="0" applyProtection="0"/>
    <xf numFmtId="0" fontId="18" fillId="9" borderId="126" applyNumberFormat="0" applyAlignment="0" applyProtection="0"/>
    <xf numFmtId="0" fontId="18" fillId="9" borderId="126"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171" fontId="51" fillId="0" borderId="130"/>
    <xf numFmtId="172" fontId="51" fillId="0" borderId="130"/>
    <xf numFmtId="173" fontId="51" fillId="0" borderId="130"/>
    <xf numFmtId="174" fontId="51" fillId="0" borderId="130"/>
    <xf numFmtId="0" fontId="8" fillId="25" borderId="127" applyNumberFormat="0" applyFont="0" applyAlignment="0" applyProtection="0"/>
    <xf numFmtId="0" fontId="8" fillId="25" borderId="127" applyNumberFormat="0" applyFont="0" applyAlignment="0" applyProtection="0"/>
    <xf numFmtId="0" fontId="21" fillId="22" borderId="128" applyNumberFormat="0" applyAlignment="0" applyProtection="0"/>
    <xf numFmtId="0" fontId="21" fillId="22" borderId="128" applyNumberFormat="0" applyAlignment="0" applyProtection="0"/>
    <xf numFmtId="179" fontId="51" fillId="0" borderId="130"/>
    <xf numFmtId="0" fontId="54" fillId="46" borderId="124">
      <protection locked="0"/>
    </xf>
    <xf numFmtId="0" fontId="54" fillId="46" borderId="124">
      <protection locked="0"/>
    </xf>
    <xf numFmtId="0" fontId="11" fillId="22" borderId="126" applyNumberFormat="0" applyAlignment="0" applyProtection="0"/>
    <xf numFmtId="179" fontId="51" fillId="0" borderId="130"/>
    <xf numFmtId="0" fontId="23" fillId="0" borderId="129" applyNumberFormat="0" applyFill="0" applyAlignment="0" applyProtection="0"/>
    <xf numFmtId="0" fontId="23" fillId="0" borderId="129" applyNumberFormat="0" applyFill="0" applyAlignment="0" applyProtection="0"/>
    <xf numFmtId="171" fontId="51" fillId="0" borderId="130"/>
    <xf numFmtId="171" fontId="51" fillId="0" borderId="130"/>
    <xf numFmtId="0" fontId="18" fillId="9" borderId="126" applyNumberFormat="0" applyAlignment="0" applyProtection="0"/>
    <xf numFmtId="179" fontId="51" fillId="0" borderId="130"/>
    <xf numFmtId="0" fontId="54" fillId="46" borderId="124">
      <protection locked="0"/>
    </xf>
    <xf numFmtId="174" fontId="51" fillId="0" borderId="119"/>
    <xf numFmtId="175" fontId="51" fillId="0" borderId="130"/>
    <xf numFmtId="174" fontId="51" fillId="0" borderId="130"/>
    <xf numFmtId="174" fontId="51" fillId="0" borderId="130"/>
    <xf numFmtId="171" fontId="51" fillId="0" borderId="130"/>
    <xf numFmtId="171" fontId="51" fillId="0" borderId="130"/>
    <xf numFmtId="171" fontId="51" fillId="0" borderId="130"/>
    <xf numFmtId="0" fontId="11" fillId="22" borderId="126" applyNumberFormat="0" applyAlignment="0" applyProtection="0"/>
    <xf numFmtId="0" fontId="8" fillId="25" borderId="127" applyNumberFormat="0" applyFont="0" applyAlignment="0" applyProtection="0"/>
    <xf numFmtId="180" fontId="51" fillId="0" borderId="13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8" fillId="25" borderId="127" applyNumberFormat="0" applyFont="0" applyAlignment="0" applyProtection="0"/>
    <xf numFmtId="0" fontId="21" fillId="22" borderId="128" applyNumberFormat="0" applyAlignment="0" applyProtection="0"/>
    <xf numFmtId="0" fontId="21" fillId="22" borderId="128" applyNumberFormat="0" applyAlignment="0" applyProtection="0"/>
    <xf numFmtId="0" fontId="21" fillId="22" borderId="128" applyNumberFormat="0" applyAlignment="0" applyProtection="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3" fillId="0" borderId="129" applyNumberFormat="0" applyFill="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79" fontId="51" fillId="0" borderId="130"/>
    <xf numFmtId="179" fontId="51" fillId="0" borderId="130"/>
    <xf numFmtId="180" fontId="51" fillId="0" borderId="130"/>
    <xf numFmtId="171" fontId="51" fillId="0" borderId="130"/>
    <xf numFmtId="174" fontId="51" fillId="0" borderId="130"/>
    <xf numFmtId="174" fontId="51" fillId="0" borderId="130"/>
    <xf numFmtId="176" fontId="51" fillId="0" borderId="130"/>
    <xf numFmtId="171"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1" fillId="22" borderId="128" applyNumberFormat="0" applyAlignment="0" applyProtection="0"/>
    <xf numFmtId="0" fontId="18" fillId="9" borderId="126" applyNumberFormat="0" applyAlignment="0" applyProtection="0"/>
    <xf numFmtId="0" fontId="8" fillId="25" borderId="127" applyNumberFormat="0" applyFont="0" applyAlignment="0" applyProtection="0"/>
    <xf numFmtId="175" fontId="51" fillId="0" borderId="130"/>
    <xf numFmtId="179" fontId="51" fillId="0" borderId="130"/>
    <xf numFmtId="171" fontId="51" fillId="0" borderId="130"/>
    <xf numFmtId="172" fontId="51" fillId="0" borderId="130"/>
    <xf numFmtId="173" fontId="51" fillId="0" borderId="130"/>
    <xf numFmtId="0" fontId="8" fillId="25" borderId="127" applyNumberFormat="0" applyFont="0" applyAlignment="0" applyProtection="0"/>
    <xf numFmtId="174" fontId="51" fillId="0" borderId="130"/>
    <xf numFmtId="175" fontId="51" fillId="0" borderId="130"/>
    <xf numFmtId="176" fontId="51" fillId="0" borderId="130"/>
    <xf numFmtId="175" fontId="51" fillId="0" borderId="130"/>
    <xf numFmtId="179" fontId="51" fillId="0" borderId="130"/>
    <xf numFmtId="180" fontId="51" fillId="0" borderId="130"/>
    <xf numFmtId="181" fontId="51" fillId="0" borderId="130"/>
    <xf numFmtId="174" fontId="51" fillId="0" borderId="130"/>
    <xf numFmtId="171" fontId="51" fillId="0" borderId="130"/>
    <xf numFmtId="0" fontId="54" fillId="46" borderId="124">
      <protection locked="0"/>
    </xf>
    <xf numFmtId="0" fontId="11" fillId="22" borderId="126" applyNumberFormat="0" applyAlignment="0" applyProtection="0"/>
    <xf numFmtId="0" fontId="8" fillId="25" borderId="127" applyNumberFormat="0" applyFont="0" applyAlignment="0" applyProtection="0"/>
    <xf numFmtId="0" fontId="11" fillId="22" borderId="126" applyNumberFormat="0" applyAlignment="0" applyProtection="0"/>
    <xf numFmtId="181" fontId="51" fillId="0" borderId="130"/>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173" fontId="51" fillId="0" borderId="13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2" fontId="51" fillId="0" borderId="130"/>
    <xf numFmtId="173" fontId="51" fillId="0" borderId="130"/>
    <xf numFmtId="0" fontId="18" fillId="9" borderId="126" applyNumberFormat="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6" fontId="51" fillId="0" borderId="130"/>
    <xf numFmtId="171" fontId="51" fillId="0" borderId="130"/>
    <xf numFmtId="172" fontId="51" fillId="0" borderId="13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174" fontId="51" fillId="0" borderId="130"/>
    <xf numFmtId="179"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171" fontId="51" fillId="0" borderId="130"/>
    <xf numFmtId="179" fontId="51" fillId="0" borderId="130"/>
    <xf numFmtId="174" fontId="51" fillId="0" borderId="130"/>
    <xf numFmtId="174" fontId="51" fillId="0" borderId="130"/>
    <xf numFmtId="179" fontId="51" fillId="0" borderId="130"/>
    <xf numFmtId="171"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54" fillId="46" borderId="124">
      <protection locked="0"/>
    </xf>
    <xf numFmtId="171" fontId="51" fillId="0" borderId="130"/>
    <xf numFmtId="181" fontId="51" fillId="0" borderId="130"/>
    <xf numFmtId="174" fontId="51" fillId="0" borderId="130"/>
    <xf numFmtId="176" fontId="51" fillId="0" borderId="130"/>
    <xf numFmtId="173" fontId="51" fillId="0" borderId="130"/>
    <xf numFmtId="172" fontId="51" fillId="0" borderId="130"/>
    <xf numFmtId="179"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179" fontId="51" fillId="0" borderId="130"/>
    <xf numFmtId="180"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174" fontId="51" fillId="0" borderId="130"/>
    <xf numFmtId="179" fontId="51" fillId="0" borderId="130"/>
    <xf numFmtId="0" fontId="54" fillId="46" borderId="124">
      <protection locked="0"/>
    </xf>
    <xf numFmtId="0" fontId="54" fillId="46" borderId="124">
      <protection locked="0"/>
    </xf>
    <xf numFmtId="0" fontId="11" fillId="22" borderId="126" applyNumberFormat="0" applyAlignment="0" applyProtection="0"/>
    <xf numFmtId="174" fontId="51" fillId="0" borderId="130"/>
    <xf numFmtId="171" fontId="51" fillId="0" borderId="130"/>
    <xf numFmtId="174" fontId="51" fillId="0" borderId="130"/>
    <xf numFmtId="174" fontId="51" fillId="0" borderId="130"/>
    <xf numFmtId="0" fontId="21" fillId="22" borderId="128" applyNumberFormat="0" applyAlignment="0" applyProtection="0"/>
    <xf numFmtId="179" fontId="51" fillId="0" borderId="130"/>
    <xf numFmtId="174" fontId="51" fillId="0" borderId="130"/>
    <xf numFmtId="0" fontId="54" fillId="46" borderId="124">
      <protection locked="0"/>
    </xf>
    <xf numFmtId="0" fontId="21" fillId="22" borderId="128" applyNumberFormat="0" applyAlignment="0" applyProtection="0"/>
    <xf numFmtId="0" fontId="8" fillId="25" borderId="127" applyNumberFormat="0" applyFont="0" applyAlignment="0" applyProtection="0"/>
    <xf numFmtId="171" fontId="51" fillId="0" borderId="130"/>
    <xf numFmtId="0" fontId="8" fillId="25" borderId="127" applyNumberFormat="0" applyFont="0" applyAlignment="0" applyProtection="0"/>
    <xf numFmtId="173" fontId="51" fillId="0" borderId="130"/>
    <xf numFmtId="0" fontId="23" fillId="0" borderId="129" applyNumberFormat="0" applyFill="0" applyAlignment="0" applyProtection="0"/>
    <xf numFmtId="175" fontId="51" fillId="0" borderId="130"/>
    <xf numFmtId="174" fontId="51" fillId="0" borderId="130"/>
    <xf numFmtId="0" fontId="23" fillId="0" borderId="129" applyNumberFormat="0" applyFill="0" applyAlignment="0" applyProtection="0"/>
    <xf numFmtId="181" fontId="51" fillId="0" borderId="130"/>
    <xf numFmtId="174" fontId="51" fillId="0" borderId="130"/>
    <xf numFmtId="174" fontId="51" fillId="0" borderId="130"/>
    <xf numFmtId="0" fontId="18" fillId="9" borderId="126" applyNumberFormat="0" applyAlignment="0" applyProtection="0"/>
    <xf numFmtId="0" fontId="21" fillId="22" borderId="128" applyNumberFormat="0" applyAlignment="0" applyProtection="0"/>
    <xf numFmtId="171" fontId="51" fillId="0" borderId="130"/>
    <xf numFmtId="0" fontId="8" fillId="25" borderId="127" applyNumberFormat="0" applyFont="0" applyAlignment="0" applyProtection="0"/>
    <xf numFmtId="172" fontId="51" fillId="0" borderId="130"/>
    <xf numFmtId="176" fontId="51" fillId="0" borderId="130"/>
    <xf numFmtId="0" fontId="23" fillId="0" borderId="129" applyNumberFormat="0" applyFill="0" applyAlignment="0" applyProtection="0"/>
    <xf numFmtId="0" fontId="8" fillId="25" borderId="127" applyNumberFormat="0" applyFont="0" applyAlignment="0" applyProtection="0"/>
    <xf numFmtId="175" fontId="51" fillId="0" borderId="130"/>
    <xf numFmtId="171" fontId="51" fillId="0" borderId="130"/>
    <xf numFmtId="179" fontId="51" fillId="0" borderId="130"/>
    <xf numFmtId="0" fontId="18" fillId="9" borderId="126" applyNumberFormat="0" applyAlignment="0" applyProtection="0"/>
    <xf numFmtId="171" fontId="51" fillId="0" borderId="130"/>
    <xf numFmtId="0" fontId="21" fillId="22" borderId="128" applyNumberFormat="0" applyAlignment="0" applyProtection="0"/>
    <xf numFmtId="179" fontId="51" fillId="0" borderId="130"/>
    <xf numFmtId="171" fontId="51" fillId="0" borderId="130"/>
    <xf numFmtId="179" fontId="51" fillId="0" borderId="130"/>
    <xf numFmtId="174" fontId="51" fillId="0" borderId="130"/>
    <xf numFmtId="172" fontId="51" fillId="0" borderId="130"/>
    <xf numFmtId="171" fontId="51" fillId="0" borderId="130"/>
    <xf numFmtId="174" fontId="51" fillId="0" borderId="130"/>
    <xf numFmtId="173" fontId="51" fillId="0" borderId="130"/>
    <xf numFmtId="180" fontId="51" fillId="0" borderId="130"/>
    <xf numFmtId="179" fontId="51" fillId="0" borderId="130"/>
    <xf numFmtId="174" fontId="51" fillId="0" borderId="130"/>
    <xf numFmtId="171" fontId="51" fillId="0" borderId="130"/>
    <xf numFmtId="179" fontId="51" fillId="0" borderId="130"/>
    <xf numFmtId="174" fontId="51" fillId="0" borderId="130"/>
    <xf numFmtId="171" fontId="51" fillId="0" borderId="130"/>
    <xf numFmtId="179" fontId="51" fillId="0" borderId="130"/>
    <xf numFmtId="179" fontId="51" fillId="0" borderId="130"/>
    <xf numFmtId="180" fontId="51" fillId="0" borderId="130"/>
    <xf numFmtId="176" fontId="51" fillId="0" borderId="130"/>
    <xf numFmtId="171" fontId="51" fillId="0" borderId="130"/>
    <xf numFmtId="0" fontId="23" fillId="0" borderId="129" applyNumberFormat="0" applyFill="0" applyAlignment="0" applyProtection="0"/>
    <xf numFmtId="0" fontId="11" fillId="22" borderId="126" applyNumberFormat="0" applyAlignment="0" applyProtection="0"/>
    <xf numFmtId="171" fontId="51" fillId="0" borderId="130"/>
    <xf numFmtId="173" fontId="51" fillId="0" borderId="130"/>
    <xf numFmtId="171" fontId="51" fillId="0" borderId="130"/>
    <xf numFmtId="174" fontId="51" fillId="0" borderId="130"/>
    <xf numFmtId="179" fontId="51" fillId="0" borderId="130"/>
    <xf numFmtId="171" fontId="51" fillId="0" borderId="130"/>
    <xf numFmtId="0" fontId="18" fillId="9" borderId="126" applyNumberFormat="0" applyAlignment="0" applyProtection="0"/>
    <xf numFmtId="173" fontId="51" fillId="0" borderId="130"/>
    <xf numFmtId="0" fontId="11" fillId="22" borderId="126" applyNumberFormat="0" applyAlignment="0" applyProtection="0"/>
    <xf numFmtId="181" fontId="51" fillId="0" borderId="130"/>
    <xf numFmtId="171" fontId="51" fillId="0" borderId="130"/>
    <xf numFmtId="172" fontId="51" fillId="0" borderId="130"/>
    <xf numFmtId="174" fontId="51" fillId="0" borderId="130"/>
    <xf numFmtId="175" fontId="51" fillId="0" borderId="130"/>
    <xf numFmtId="174" fontId="51" fillId="0" borderId="130"/>
    <xf numFmtId="174" fontId="51" fillId="0" borderId="130"/>
    <xf numFmtId="0" fontId="11" fillId="22" borderId="126" applyNumberFormat="0" applyAlignment="0" applyProtection="0"/>
    <xf numFmtId="171" fontId="51" fillId="0" borderId="130"/>
    <xf numFmtId="174" fontId="51" fillId="0" borderId="130"/>
    <xf numFmtId="181" fontId="51" fillId="0" borderId="130"/>
    <xf numFmtId="171"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171" fontId="51" fillId="0" borderId="130"/>
    <xf numFmtId="179" fontId="51" fillId="0" borderId="130"/>
    <xf numFmtId="179" fontId="51" fillId="0" borderId="130"/>
    <xf numFmtId="0" fontId="54" fillId="46" borderId="124">
      <protection locked="0"/>
    </xf>
    <xf numFmtId="0" fontId="8" fillId="25" borderId="127" applyNumberFormat="0" applyFont="0" applyAlignment="0" applyProtection="0"/>
    <xf numFmtId="179" fontId="51" fillId="0" borderId="130"/>
    <xf numFmtId="176"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0" fontId="21" fillId="22" borderId="128" applyNumberFormat="0" applyAlignment="0" applyProtection="0"/>
    <xf numFmtId="174" fontId="51" fillId="0" borderId="130"/>
    <xf numFmtId="174" fontId="51" fillId="0" borderId="130"/>
    <xf numFmtId="172" fontId="51" fillId="0" borderId="130"/>
    <xf numFmtId="174" fontId="51" fillId="0" borderId="130"/>
    <xf numFmtId="179" fontId="51" fillId="0" borderId="130"/>
    <xf numFmtId="179" fontId="51" fillId="0" borderId="130"/>
    <xf numFmtId="171" fontId="51" fillId="0" borderId="130"/>
    <xf numFmtId="174" fontId="51" fillId="0" borderId="130"/>
    <xf numFmtId="179" fontId="51" fillId="0" borderId="130"/>
    <xf numFmtId="171" fontId="51" fillId="0" borderId="130"/>
    <xf numFmtId="173" fontId="51" fillId="0" borderId="130"/>
    <xf numFmtId="179" fontId="51" fillId="0" borderId="130"/>
    <xf numFmtId="0" fontId="23" fillId="0" borderId="129" applyNumberFormat="0" applyFill="0" applyAlignment="0" applyProtection="0"/>
    <xf numFmtId="174" fontId="51" fillId="0" borderId="130"/>
    <xf numFmtId="174" fontId="51" fillId="0" borderId="130"/>
    <xf numFmtId="179" fontId="51" fillId="0" borderId="130"/>
    <xf numFmtId="171" fontId="51" fillId="0" borderId="130"/>
    <xf numFmtId="0" fontId="18" fillId="9" borderId="126" applyNumberFormat="0" applyAlignment="0" applyProtection="0"/>
    <xf numFmtId="176" fontId="51" fillId="0" borderId="130"/>
    <xf numFmtId="175" fontId="51" fillId="0" borderId="130"/>
    <xf numFmtId="180" fontId="51" fillId="0" borderId="130"/>
    <xf numFmtId="175" fontId="51" fillId="0" borderId="130"/>
    <xf numFmtId="180" fontId="51" fillId="0" borderId="130"/>
    <xf numFmtId="172" fontId="51" fillId="0" borderId="130"/>
    <xf numFmtId="0" fontId="54" fillId="46" borderId="124">
      <protection locked="0"/>
    </xf>
    <xf numFmtId="180" fontId="51" fillId="0" borderId="130"/>
    <xf numFmtId="181" fontId="51" fillId="0" borderId="130"/>
    <xf numFmtId="0" fontId="54" fillId="46" borderId="124">
      <protection locked="0"/>
    </xf>
    <xf numFmtId="174" fontId="51" fillId="0" borderId="130"/>
    <xf numFmtId="181" fontId="51" fillId="0" borderId="130"/>
    <xf numFmtId="176" fontId="51" fillId="0" borderId="13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9" fontId="51" fillId="0" borderId="130"/>
    <xf numFmtId="171" fontId="51" fillId="0" borderId="130"/>
    <xf numFmtId="174" fontId="51" fillId="0" borderId="130"/>
    <xf numFmtId="179" fontId="51" fillId="0" borderId="130"/>
    <xf numFmtId="179" fontId="51" fillId="0" borderId="130"/>
    <xf numFmtId="179" fontId="51" fillId="0" borderId="130"/>
    <xf numFmtId="174" fontId="51" fillId="0" borderId="130"/>
    <xf numFmtId="179" fontId="51" fillId="0" borderId="130"/>
    <xf numFmtId="179" fontId="51" fillId="0" borderId="130"/>
    <xf numFmtId="174" fontId="51" fillId="0" borderId="130"/>
    <xf numFmtId="174" fontId="51" fillId="0" borderId="130"/>
    <xf numFmtId="0" fontId="21" fillId="22" borderId="128" applyNumberFormat="0" applyAlignment="0" applyProtection="0"/>
    <xf numFmtId="174" fontId="51" fillId="0" borderId="130"/>
    <xf numFmtId="0" fontId="23" fillId="0" borderId="129" applyNumberFormat="0" applyFill="0" applyAlignment="0" applyProtection="0"/>
    <xf numFmtId="171" fontId="51" fillId="0" borderId="130"/>
    <xf numFmtId="171" fontId="51" fillId="0" borderId="130"/>
    <xf numFmtId="174" fontId="51" fillId="0" borderId="130"/>
    <xf numFmtId="175" fontId="51" fillId="0" borderId="130"/>
    <xf numFmtId="0" fontId="18" fillId="9" borderId="126" applyNumberFormat="0" applyAlignment="0" applyProtection="0"/>
    <xf numFmtId="171" fontId="51" fillId="0" borderId="130"/>
    <xf numFmtId="0" fontId="21" fillId="22" borderId="128" applyNumberFormat="0" applyAlignment="0" applyProtection="0"/>
    <xf numFmtId="173" fontId="51" fillId="0" borderId="130"/>
    <xf numFmtId="171" fontId="51" fillId="0" borderId="130"/>
    <xf numFmtId="0" fontId="18" fillId="9" borderId="126" applyNumberFormat="0" applyAlignment="0" applyProtection="0"/>
    <xf numFmtId="176" fontId="51" fillId="0" borderId="130"/>
    <xf numFmtId="0" fontId="11" fillId="22" borderId="126" applyNumberFormat="0" applyAlignment="0" applyProtection="0"/>
    <xf numFmtId="171" fontId="51" fillId="0" borderId="130"/>
    <xf numFmtId="171" fontId="51" fillId="0" borderId="130"/>
    <xf numFmtId="179" fontId="51" fillId="0" borderId="130"/>
    <xf numFmtId="0" fontId="54" fillId="46" borderId="124">
      <protection locked="0"/>
    </xf>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5" fontId="51" fillId="0" borderId="130"/>
    <xf numFmtId="179" fontId="51" fillId="0" borderId="130"/>
    <xf numFmtId="171" fontId="51" fillId="0" borderId="130"/>
    <xf numFmtId="171" fontId="51" fillId="0" borderId="130"/>
    <xf numFmtId="0" fontId="23" fillId="0" borderId="129" applyNumberFormat="0" applyFill="0" applyAlignment="0" applyProtection="0"/>
    <xf numFmtId="179" fontId="51" fillId="0" borderId="130"/>
    <xf numFmtId="171" fontId="51" fillId="0" borderId="130"/>
    <xf numFmtId="171" fontId="51" fillId="0" borderId="130"/>
    <xf numFmtId="179" fontId="51" fillId="0" borderId="130"/>
    <xf numFmtId="174" fontId="51" fillId="0" borderId="130"/>
    <xf numFmtId="174" fontId="51" fillId="0" borderId="130"/>
    <xf numFmtId="179" fontId="51" fillId="0" borderId="130"/>
    <xf numFmtId="179" fontId="51" fillId="0" borderId="130"/>
    <xf numFmtId="179" fontId="51" fillId="0" borderId="130"/>
    <xf numFmtId="171" fontId="51" fillId="0" borderId="130"/>
    <xf numFmtId="173" fontId="51" fillId="0" borderId="130"/>
    <xf numFmtId="171" fontId="51" fillId="0" borderId="130"/>
    <xf numFmtId="179" fontId="51" fillId="0" borderId="130"/>
    <xf numFmtId="0" fontId="18" fillId="9" borderId="126" applyNumberFormat="0" applyAlignment="0" applyProtection="0"/>
    <xf numFmtId="179" fontId="51" fillId="0" borderId="130"/>
    <xf numFmtId="179" fontId="51" fillId="0" borderId="130"/>
    <xf numFmtId="0" fontId="23" fillId="0" borderId="129" applyNumberFormat="0" applyFill="0" applyAlignment="0" applyProtection="0"/>
    <xf numFmtId="171" fontId="51" fillId="0" borderId="130"/>
    <xf numFmtId="0" fontId="8" fillId="25" borderId="127" applyNumberFormat="0" applyFont="0" applyAlignment="0" applyProtection="0"/>
    <xf numFmtId="0" fontId="18" fillId="9" borderId="126" applyNumberFormat="0" applyAlignment="0" applyProtection="0"/>
    <xf numFmtId="171" fontId="51" fillId="0" borderId="130"/>
    <xf numFmtId="179" fontId="51" fillId="0" borderId="130"/>
    <xf numFmtId="0" fontId="8" fillId="25" borderId="127" applyNumberFormat="0" applyFont="0" applyAlignment="0" applyProtection="0"/>
    <xf numFmtId="0" fontId="11" fillId="22" borderId="126" applyNumberFormat="0" applyAlignment="0" applyProtection="0"/>
    <xf numFmtId="171" fontId="51" fillId="0" borderId="13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1" fontId="51" fillId="0" borderId="130"/>
    <xf numFmtId="180" fontId="51" fillId="0" borderId="130"/>
    <xf numFmtId="174" fontId="51" fillId="0" borderId="130"/>
    <xf numFmtId="174" fontId="51" fillId="0" borderId="130"/>
    <xf numFmtId="173" fontId="51" fillId="0" borderId="130"/>
    <xf numFmtId="179" fontId="51" fillId="0" borderId="130"/>
    <xf numFmtId="172" fontId="51" fillId="0" borderId="130"/>
    <xf numFmtId="0" fontId="21" fillId="22" borderId="128" applyNumberFormat="0" applyAlignment="0" applyProtection="0"/>
    <xf numFmtId="171" fontId="51" fillId="0" borderId="130"/>
    <xf numFmtId="174" fontId="51" fillId="0" borderId="130"/>
    <xf numFmtId="179" fontId="51" fillId="0" borderId="130"/>
    <xf numFmtId="0" fontId="11" fillId="22" borderId="126" applyNumberFormat="0" applyAlignment="0" applyProtection="0"/>
    <xf numFmtId="174" fontId="51" fillId="0" borderId="130"/>
    <xf numFmtId="175" fontId="51" fillId="0" borderId="130"/>
    <xf numFmtId="174" fontId="51" fillId="0" borderId="130"/>
    <xf numFmtId="181" fontId="51" fillId="0" borderId="130"/>
    <xf numFmtId="176" fontId="51" fillId="0" borderId="130"/>
    <xf numFmtId="172"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4" fontId="51" fillId="0" borderId="130"/>
    <xf numFmtId="174" fontId="51" fillId="0" borderId="130"/>
    <xf numFmtId="174" fontId="51" fillId="0" borderId="130"/>
    <xf numFmtId="171" fontId="51" fillId="0" borderId="130"/>
    <xf numFmtId="0" fontId="18" fillId="9" borderId="126" applyNumberFormat="0" applyAlignment="0" applyProtection="0"/>
    <xf numFmtId="174" fontId="51" fillId="0" borderId="130"/>
    <xf numFmtId="171" fontId="51" fillId="0" borderId="130"/>
    <xf numFmtId="179" fontId="51" fillId="0" borderId="130"/>
    <xf numFmtId="173" fontId="51" fillId="0" borderId="130"/>
    <xf numFmtId="173" fontId="51" fillId="0" borderId="130"/>
    <xf numFmtId="171" fontId="51" fillId="0" borderId="130"/>
    <xf numFmtId="173" fontId="51" fillId="0" borderId="130"/>
    <xf numFmtId="174" fontId="51" fillId="0" borderId="130"/>
    <xf numFmtId="176" fontId="51" fillId="0" borderId="130"/>
    <xf numFmtId="171" fontId="51" fillId="0" borderId="130"/>
    <xf numFmtId="0" fontId="11" fillId="22" borderId="126" applyNumberFormat="0" applyAlignment="0" applyProtection="0"/>
    <xf numFmtId="179" fontId="51" fillId="0" borderId="130"/>
    <xf numFmtId="179" fontId="51" fillId="0" borderId="130"/>
    <xf numFmtId="179" fontId="51" fillId="0" borderId="130"/>
    <xf numFmtId="171" fontId="51" fillId="0" borderId="130"/>
    <xf numFmtId="0" fontId="8" fillId="25" borderId="127" applyNumberFormat="0" applyFont="0" applyAlignment="0" applyProtection="0"/>
    <xf numFmtId="171" fontId="51" fillId="0" borderId="130"/>
    <xf numFmtId="180" fontId="51" fillId="0" borderId="130"/>
    <xf numFmtId="174" fontId="51" fillId="0" borderId="130"/>
    <xf numFmtId="175" fontId="51" fillId="0" borderId="130"/>
    <xf numFmtId="0" fontId="18" fillId="9" borderId="126" applyNumberFormat="0" applyAlignment="0" applyProtection="0"/>
    <xf numFmtId="171" fontId="51" fillId="0" borderId="130"/>
    <xf numFmtId="179" fontId="51" fillId="0" borderId="130"/>
    <xf numFmtId="174" fontId="51" fillId="0" borderId="130"/>
    <xf numFmtId="179" fontId="51" fillId="0" borderId="130"/>
    <xf numFmtId="171" fontId="51" fillId="0" borderId="130"/>
    <xf numFmtId="179" fontId="51" fillId="0" borderId="130"/>
    <xf numFmtId="174" fontId="51" fillId="0" borderId="130"/>
    <xf numFmtId="174" fontId="51" fillId="0" borderId="130"/>
    <xf numFmtId="171" fontId="51" fillId="0" borderId="130"/>
    <xf numFmtId="174" fontId="51" fillId="0" borderId="130"/>
    <xf numFmtId="175" fontId="51" fillId="0" borderId="130"/>
    <xf numFmtId="174" fontId="51" fillId="0" borderId="130"/>
    <xf numFmtId="179" fontId="51" fillId="0" borderId="130"/>
    <xf numFmtId="179" fontId="51" fillId="0" borderId="130"/>
    <xf numFmtId="171" fontId="51" fillId="0" borderId="130"/>
    <xf numFmtId="0" fontId="21" fillId="22" borderId="128" applyNumberFormat="0" applyAlignment="0" applyProtection="0"/>
    <xf numFmtId="172" fontId="51" fillId="0" borderId="130"/>
    <xf numFmtId="0" fontId="23" fillId="0" borderId="129" applyNumberFormat="0" applyFill="0" applyAlignment="0" applyProtection="0"/>
    <xf numFmtId="0" fontId="8" fillId="25" borderId="127" applyNumberFormat="0" applyFont="0" applyAlignment="0" applyProtection="0"/>
    <xf numFmtId="174" fontId="51" fillId="0" borderId="130"/>
    <xf numFmtId="0" fontId="54" fillId="46" borderId="124">
      <protection locked="0"/>
    </xf>
    <xf numFmtId="175" fontId="51" fillId="0" borderId="130"/>
    <xf numFmtId="0" fontId="23" fillId="0" borderId="129" applyNumberFormat="0" applyFill="0" applyAlignment="0" applyProtection="0"/>
    <xf numFmtId="174" fontId="51" fillId="0" borderId="130"/>
    <xf numFmtId="0" fontId="21" fillId="22" borderId="128" applyNumberFormat="0" applyAlignment="0" applyProtection="0"/>
    <xf numFmtId="171" fontId="51" fillId="0" borderId="130"/>
    <xf numFmtId="181" fontId="51" fillId="0" borderId="130"/>
    <xf numFmtId="171" fontId="51" fillId="0" borderId="130"/>
    <xf numFmtId="179" fontId="51" fillId="0" borderId="130"/>
    <xf numFmtId="0" fontId="11" fillId="22" borderId="126" applyNumberFormat="0" applyAlignment="0" applyProtection="0"/>
    <xf numFmtId="174" fontId="51" fillId="0" borderId="130"/>
    <xf numFmtId="180" fontId="51" fillId="0" borderId="130"/>
    <xf numFmtId="174" fontId="51" fillId="0" borderId="130"/>
    <xf numFmtId="171" fontId="51" fillId="0" borderId="130"/>
    <xf numFmtId="174" fontId="51" fillId="0" borderId="130"/>
    <xf numFmtId="172" fontId="51" fillId="0" borderId="130"/>
    <xf numFmtId="179" fontId="51" fillId="0" borderId="130"/>
    <xf numFmtId="176" fontId="51" fillId="0" borderId="130"/>
    <xf numFmtId="174" fontId="51" fillId="0" borderId="130"/>
    <xf numFmtId="172" fontId="51" fillId="0" borderId="130"/>
    <xf numFmtId="171" fontId="51" fillId="0" borderId="130"/>
    <xf numFmtId="180" fontId="51" fillId="0" borderId="130"/>
    <xf numFmtId="181" fontId="51" fillId="0" borderId="130"/>
    <xf numFmtId="0" fontId="54" fillId="46" borderId="124">
      <protection locked="0"/>
    </xf>
    <xf numFmtId="179" fontId="51" fillId="0" borderId="130"/>
    <xf numFmtId="179" fontId="51" fillId="0" borderId="130"/>
    <xf numFmtId="179" fontId="51" fillId="0" borderId="130"/>
    <xf numFmtId="171" fontId="51" fillId="0" borderId="130"/>
    <xf numFmtId="179" fontId="51" fillId="0" borderId="130"/>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81" fontId="51" fillId="0" borderId="130"/>
    <xf numFmtId="171" fontId="51" fillId="0" borderId="130"/>
    <xf numFmtId="174" fontId="51" fillId="0" borderId="130"/>
    <xf numFmtId="179" fontId="51" fillId="0" borderId="130"/>
    <xf numFmtId="171" fontId="51" fillId="0" borderId="130"/>
    <xf numFmtId="0" fontId="8" fillId="25" borderId="127" applyNumberFormat="0" applyFont="0" applyAlignment="0" applyProtection="0"/>
    <xf numFmtId="174" fontId="51" fillId="0" borderId="130"/>
    <xf numFmtId="176" fontId="51" fillId="0" borderId="130"/>
    <xf numFmtId="179" fontId="51" fillId="0" borderId="130"/>
    <xf numFmtId="171" fontId="51" fillId="0" borderId="130"/>
    <xf numFmtId="174"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4" fontId="51" fillId="0" borderId="130"/>
    <xf numFmtId="179" fontId="51" fillId="0" borderId="130"/>
    <xf numFmtId="171" fontId="51" fillId="0" borderId="130"/>
    <xf numFmtId="179" fontId="51" fillId="0" borderId="130"/>
    <xf numFmtId="179" fontId="51" fillId="0" borderId="130"/>
    <xf numFmtId="174" fontId="51" fillId="0" borderId="130"/>
    <xf numFmtId="174" fontId="51" fillId="0" borderId="130"/>
    <xf numFmtId="171" fontId="51" fillId="0" borderId="130"/>
    <xf numFmtId="171" fontId="51" fillId="0" borderId="130"/>
    <xf numFmtId="17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4" fontId="51" fillId="0" borderId="130"/>
    <xf numFmtId="0" fontId="54" fillId="46" borderId="124">
      <protection locked="0"/>
    </xf>
    <xf numFmtId="0" fontId="8" fillId="25" borderId="127" applyNumberFormat="0" applyFont="0" applyAlignment="0" applyProtection="0"/>
    <xf numFmtId="181" fontId="51" fillId="0" borderId="130"/>
    <xf numFmtId="171" fontId="51" fillId="0" borderId="130"/>
    <xf numFmtId="0" fontId="11" fillId="22" borderId="126" applyNumberFormat="0" applyAlignment="0" applyProtection="0"/>
    <xf numFmtId="0" fontId="18" fillId="9" borderId="126" applyNumberFormat="0" applyAlignment="0" applyProtection="0"/>
    <xf numFmtId="181" fontId="51" fillId="0" borderId="130"/>
    <xf numFmtId="180" fontId="51" fillId="0" borderId="130"/>
    <xf numFmtId="179" fontId="51" fillId="0" borderId="130"/>
    <xf numFmtId="171" fontId="51" fillId="0" borderId="130"/>
    <xf numFmtId="175" fontId="51" fillId="0" borderId="130"/>
    <xf numFmtId="176" fontId="51" fillId="0" borderId="130"/>
    <xf numFmtId="175" fontId="51" fillId="0" borderId="130"/>
    <xf numFmtId="174" fontId="51" fillId="0" borderId="130"/>
    <xf numFmtId="176" fontId="51" fillId="0" borderId="130"/>
    <xf numFmtId="180" fontId="51" fillId="0" borderId="130"/>
    <xf numFmtId="173" fontId="51" fillId="0" borderId="130"/>
    <xf numFmtId="0" fontId="11" fillId="22" borderId="126" applyNumberFormat="0" applyAlignment="0" applyProtection="0"/>
    <xf numFmtId="172" fontId="51" fillId="0" borderId="130"/>
    <xf numFmtId="179" fontId="51" fillId="0" borderId="130"/>
    <xf numFmtId="176" fontId="51" fillId="0" borderId="130"/>
    <xf numFmtId="174" fontId="51" fillId="0" borderId="130"/>
    <xf numFmtId="171" fontId="51" fillId="0" borderId="130"/>
    <xf numFmtId="0" fontId="21" fillId="22" borderId="128" applyNumberFormat="0" applyAlignment="0" applyProtection="0"/>
    <xf numFmtId="0" fontId="23" fillId="0" borderId="129" applyNumberFormat="0" applyFill="0" applyAlignment="0" applyProtection="0"/>
    <xf numFmtId="180" fontId="51" fillId="0" borderId="130"/>
    <xf numFmtId="175" fontId="51" fillId="0" borderId="130"/>
    <xf numFmtId="173" fontId="51" fillId="0" borderId="130"/>
    <xf numFmtId="172" fontId="51" fillId="0" borderId="130"/>
    <xf numFmtId="171" fontId="51" fillId="0" borderId="130"/>
    <xf numFmtId="181"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11" fillId="22" borderId="126" applyNumberFormat="0" applyAlignment="0" applyProtection="0"/>
    <xf numFmtId="0" fontId="54" fillId="46" borderId="124">
      <protection locked="0"/>
    </xf>
    <xf numFmtId="0" fontId="11" fillId="22" borderId="126" applyNumberFormat="0" applyAlignment="0" applyProtection="0"/>
    <xf numFmtId="0" fontId="21" fillId="22" borderId="128" applyNumberFormat="0" applyAlignment="0" applyProtection="0"/>
    <xf numFmtId="0" fontId="54" fillId="46" borderId="124">
      <protection locked="0"/>
    </xf>
    <xf numFmtId="173" fontId="51" fillId="0" borderId="130"/>
    <xf numFmtId="172"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23" fillId="0" borderId="129" applyNumberFormat="0" applyFill="0" applyAlignment="0" applyProtection="0"/>
    <xf numFmtId="171" fontId="51" fillId="0" borderId="130"/>
    <xf numFmtId="172"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1" fontId="51" fillId="0" borderId="130"/>
    <xf numFmtId="179" fontId="51" fillId="0" borderId="130"/>
    <xf numFmtId="0" fontId="11" fillId="22" borderId="126" applyNumberFormat="0" applyAlignment="0" applyProtection="0"/>
    <xf numFmtId="0" fontId="54" fillId="46" borderId="124">
      <protection locked="0"/>
    </xf>
    <xf numFmtId="181" fontId="51" fillId="0" borderId="130"/>
    <xf numFmtId="171" fontId="51" fillId="0" borderId="130"/>
    <xf numFmtId="0" fontId="23" fillId="0" borderId="129" applyNumberFormat="0" applyFill="0" applyAlignment="0" applyProtection="0"/>
    <xf numFmtId="179" fontId="51" fillId="0" borderId="130"/>
    <xf numFmtId="0" fontId="54" fillId="46" borderId="124">
      <protection locked="0"/>
    </xf>
    <xf numFmtId="0" fontId="11" fillId="22" borderId="126" applyNumberFormat="0" applyAlignment="0" applyProtection="0"/>
    <xf numFmtId="171" fontId="51" fillId="0" borderId="130"/>
    <xf numFmtId="171" fontId="51" fillId="0" borderId="130"/>
    <xf numFmtId="0" fontId="18" fillId="9" borderId="126" applyNumberFormat="0" applyAlignment="0" applyProtection="0"/>
    <xf numFmtId="172" fontId="51" fillId="0" borderId="130"/>
    <xf numFmtId="171" fontId="51" fillId="0" borderId="130"/>
    <xf numFmtId="174" fontId="51" fillId="0" borderId="130"/>
    <xf numFmtId="171" fontId="51" fillId="0" borderId="130"/>
    <xf numFmtId="174" fontId="51" fillId="0" borderId="130"/>
    <xf numFmtId="175" fontId="51" fillId="0" borderId="130"/>
    <xf numFmtId="176" fontId="51" fillId="0" borderId="130"/>
    <xf numFmtId="0" fontId="8" fillId="25" borderId="127" applyNumberFormat="0" applyFont="0" applyAlignment="0" applyProtection="0"/>
    <xf numFmtId="174" fontId="51" fillId="0" borderId="130"/>
    <xf numFmtId="179" fontId="51" fillId="0" borderId="130"/>
    <xf numFmtId="171" fontId="51" fillId="0" borderId="130"/>
    <xf numFmtId="180" fontId="51" fillId="0" borderId="130"/>
    <xf numFmtId="181" fontId="51" fillId="0" borderId="130"/>
    <xf numFmtId="0" fontId="18" fillId="9" borderId="126" applyNumberFormat="0" applyAlignment="0" applyProtection="0"/>
    <xf numFmtId="179" fontId="51" fillId="0" borderId="130"/>
    <xf numFmtId="179" fontId="51" fillId="0" borderId="130"/>
    <xf numFmtId="174" fontId="51" fillId="0" borderId="130"/>
    <xf numFmtId="171" fontId="51" fillId="0" borderId="130"/>
    <xf numFmtId="175" fontId="51" fillId="0" borderId="130"/>
    <xf numFmtId="171" fontId="51" fillId="0" borderId="130"/>
    <xf numFmtId="171" fontId="51" fillId="0" borderId="130"/>
    <xf numFmtId="174" fontId="51" fillId="0" borderId="130"/>
    <xf numFmtId="174" fontId="51" fillId="0" borderId="130"/>
    <xf numFmtId="171" fontId="51" fillId="0" borderId="130"/>
    <xf numFmtId="0" fontId="18" fillId="9" borderId="126" applyNumberFormat="0" applyAlignment="0" applyProtection="0"/>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8" fillId="25" borderId="127" applyNumberFormat="0" applyFont="0" applyAlignment="0" applyProtection="0"/>
    <xf numFmtId="173" fontId="51" fillId="0" borderId="130"/>
    <xf numFmtId="174" fontId="51" fillId="0" borderId="130"/>
    <xf numFmtId="179" fontId="51" fillId="0" borderId="130"/>
    <xf numFmtId="0" fontId="11" fillId="22" borderId="126" applyNumberFormat="0" applyAlignment="0" applyProtection="0"/>
    <xf numFmtId="173" fontId="51" fillId="0" borderId="130"/>
    <xf numFmtId="172" fontId="51" fillId="0" borderId="130"/>
    <xf numFmtId="0" fontId="21" fillId="22" borderId="128" applyNumberFormat="0" applyAlignment="0" applyProtection="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3" fontId="51" fillId="0" borderId="130"/>
    <xf numFmtId="175" fontId="51" fillId="0" borderId="130"/>
    <xf numFmtId="176"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80" fontId="51" fillId="0" borderId="130"/>
    <xf numFmtId="174" fontId="51" fillId="0" borderId="130"/>
    <xf numFmtId="179"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174" fontId="51" fillId="0" borderId="130"/>
    <xf numFmtId="179" fontId="51" fillId="0" borderId="130"/>
    <xf numFmtId="174" fontId="51" fillId="0" borderId="130"/>
    <xf numFmtId="171" fontId="51" fillId="0" borderId="130"/>
    <xf numFmtId="179" fontId="51" fillId="0" borderId="130"/>
    <xf numFmtId="174" fontId="51" fillId="0" borderId="130"/>
    <xf numFmtId="179" fontId="51" fillId="0" borderId="130"/>
    <xf numFmtId="171" fontId="51" fillId="0" borderId="130"/>
    <xf numFmtId="171" fontId="51" fillId="0" borderId="130"/>
    <xf numFmtId="179"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6" fontId="51" fillId="0" borderId="130"/>
    <xf numFmtId="0" fontId="11" fillId="22" borderId="126" applyNumberFormat="0" applyAlignment="0" applyProtection="0"/>
    <xf numFmtId="180" fontId="51" fillId="0" borderId="130"/>
    <xf numFmtId="179" fontId="51" fillId="0" borderId="130"/>
    <xf numFmtId="171" fontId="51" fillId="0" borderId="130"/>
    <xf numFmtId="171" fontId="51" fillId="0" borderId="130"/>
    <xf numFmtId="174" fontId="51" fillId="0" borderId="130"/>
    <xf numFmtId="174" fontId="51" fillId="0" borderId="130"/>
    <xf numFmtId="171" fontId="51" fillId="0" borderId="130"/>
    <xf numFmtId="0" fontId="23" fillId="0" borderId="129" applyNumberFormat="0" applyFill="0" applyAlignment="0" applyProtection="0"/>
    <xf numFmtId="174" fontId="51" fillId="0" borderId="130"/>
    <xf numFmtId="0" fontId="18" fillId="9" borderId="126" applyNumberFormat="0" applyAlignment="0" applyProtection="0"/>
    <xf numFmtId="0" fontId="21" fillId="22" borderId="128" applyNumberFormat="0" applyAlignment="0" applyProtection="0"/>
    <xf numFmtId="0" fontId="8" fillId="25" borderId="127" applyNumberFormat="0" applyFont="0" applyAlignment="0" applyProtection="0"/>
    <xf numFmtId="0" fontId="54" fillId="46" borderId="124">
      <protection locked="0"/>
    </xf>
    <xf numFmtId="179" fontId="51" fillId="0" borderId="130"/>
    <xf numFmtId="0" fontId="11" fillId="22" borderId="126" applyNumberFormat="0" applyAlignment="0" applyProtection="0"/>
    <xf numFmtId="0" fontId="18" fillId="9" borderId="126" applyNumberFormat="0" applyAlignment="0" applyProtection="0"/>
    <xf numFmtId="174" fontId="51" fillId="0" borderId="130"/>
    <xf numFmtId="171" fontId="51" fillId="0" borderId="130"/>
    <xf numFmtId="179" fontId="51" fillId="0" borderId="130"/>
    <xf numFmtId="174" fontId="51" fillId="0" borderId="130"/>
    <xf numFmtId="171" fontId="51" fillId="0" borderId="130"/>
    <xf numFmtId="172" fontId="51" fillId="0" borderId="130"/>
    <xf numFmtId="171" fontId="51" fillId="0" borderId="130"/>
    <xf numFmtId="174" fontId="51" fillId="0" borderId="130"/>
    <xf numFmtId="179" fontId="51" fillId="0" borderId="130"/>
    <xf numFmtId="171" fontId="51" fillId="0" borderId="130"/>
    <xf numFmtId="179" fontId="51" fillId="0" borderId="130"/>
    <xf numFmtId="0" fontId="11" fillId="22" borderId="126" applyNumberFormat="0" applyAlignment="0" applyProtection="0"/>
    <xf numFmtId="181" fontId="51" fillId="0" borderId="130"/>
    <xf numFmtId="175" fontId="51" fillId="0" borderId="130"/>
    <xf numFmtId="179"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23" fillId="0" borderId="129" applyNumberFormat="0" applyFill="0" applyAlignment="0" applyProtection="0"/>
    <xf numFmtId="179" fontId="51" fillId="0" borderId="130"/>
    <xf numFmtId="179" fontId="51" fillId="0" borderId="130"/>
    <xf numFmtId="174" fontId="51" fillId="0" borderId="130"/>
    <xf numFmtId="173" fontId="51" fillId="0" borderId="130"/>
    <xf numFmtId="0" fontId="8" fillId="25" borderId="127" applyNumberFormat="0" applyFont="0" applyAlignment="0" applyProtection="0"/>
    <xf numFmtId="174"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9" fontId="51" fillId="0" borderId="130"/>
    <xf numFmtId="174"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179" fontId="51" fillId="0" borderId="130"/>
    <xf numFmtId="172" fontId="51" fillId="0" borderId="130"/>
    <xf numFmtId="171" fontId="51" fillId="0" borderId="130"/>
    <xf numFmtId="0" fontId="21" fillId="22" borderId="128" applyNumberFormat="0" applyAlignment="0" applyProtection="0"/>
    <xf numFmtId="0" fontId="54" fillId="46" borderId="131">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4" fontId="51" fillId="0" borderId="130"/>
    <xf numFmtId="179" fontId="51" fillId="0" borderId="130"/>
    <xf numFmtId="0" fontId="11" fillId="22" borderId="126" applyNumberFormat="0" applyAlignment="0" applyProtection="0"/>
    <xf numFmtId="0" fontId="54" fillId="46" borderId="124">
      <protection locked="0"/>
    </xf>
    <xf numFmtId="0" fontId="18" fillId="9" borderId="126" applyNumberFormat="0" applyAlignment="0" applyProtection="0"/>
    <xf numFmtId="0" fontId="18" fillId="9" borderId="126" applyNumberFormat="0" applyAlignment="0" applyProtection="0"/>
    <xf numFmtId="0" fontId="54" fillId="46" borderId="131">
      <protection locked="0"/>
    </xf>
    <xf numFmtId="0" fontId="18" fillId="9" borderId="126" applyNumberFormat="0" applyAlignment="0" applyProtection="0"/>
    <xf numFmtId="0" fontId="8" fillId="25" borderId="127" applyNumberFormat="0" applyFont="0" applyAlignment="0" applyProtection="0"/>
    <xf numFmtId="0" fontId="8" fillId="25" borderId="127" applyNumberFormat="0" applyFont="0" applyAlignment="0" applyProtection="0"/>
    <xf numFmtId="0" fontId="21" fillId="22" borderId="128" applyNumberFormat="0" applyAlignment="0" applyProtection="0"/>
    <xf numFmtId="0" fontId="21" fillId="22" borderId="128" applyNumberFormat="0" applyAlignment="0" applyProtection="0"/>
    <xf numFmtId="0" fontId="21" fillId="22" borderId="128" applyNumberFormat="0" applyAlignment="0" applyProtection="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3" fillId="0" borderId="129" applyNumberFormat="0" applyFill="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31">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31">
      <protection locked="0"/>
    </xf>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79" fontId="51" fillId="0" borderId="130"/>
    <xf numFmtId="179" fontId="51" fillId="0" borderId="130"/>
    <xf numFmtId="180" fontId="51" fillId="0" borderId="130"/>
    <xf numFmtId="171" fontId="51" fillId="0" borderId="130"/>
    <xf numFmtId="174" fontId="51" fillId="0" borderId="130"/>
    <xf numFmtId="174" fontId="51" fillId="0" borderId="130"/>
    <xf numFmtId="176" fontId="51" fillId="0" borderId="130"/>
    <xf numFmtId="171"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1" fillId="22" borderId="128" applyNumberFormat="0" applyAlignment="0" applyProtection="0"/>
    <xf numFmtId="0" fontId="18" fillId="9" borderId="126" applyNumberFormat="0" applyAlignment="0" applyProtection="0"/>
    <xf numFmtId="0" fontId="8" fillId="25" borderId="127" applyNumberFormat="0" applyFont="0" applyAlignment="0" applyProtection="0"/>
    <xf numFmtId="175" fontId="51" fillId="0" borderId="130"/>
    <xf numFmtId="179" fontId="51" fillId="0" borderId="130"/>
    <xf numFmtId="171" fontId="51" fillId="0" borderId="130"/>
    <xf numFmtId="172" fontId="51" fillId="0" borderId="130"/>
    <xf numFmtId="173" fontId="51" fillId="0" borderId="130"/>
    <xf numFmtId="0" fontId="8" fillId="25" borderId="127" applyNumberFormat="0" applyFont="0" applyAlignment="0" applyProtection="0"/>
    <xf numFmtId="174" fontId="51" fillId="0" borderId="130"/>
    <xf numFmtId="175" fontId="51" fillId="0" borderId="130"/>
    <xf numFmtId="176" fontId="51" fillId="0" borderId="130"/>
    <xf numFmtId="175" fontId="51" fillId="0" borderId="130"/>
    <xf numFmtId="179" fontId="51" fillId="0" borderId="130"/>
    <xf numFmtId="180" fontId="51" fillId="0" borderId="130"/>
    <xf numFmtId="181" fontId="51" fillId="0" borderId="130"/>
    <xf numFmtId="174" fontId="51" fillId="0" borderId="130"/>
    <xf numFmtId="0" fontId="21" fillId="22" borderId="128" applyNumberFormat="0" applyAlignment="0" applyProtection="0"/>
    <xf numFmtId="171" fontId="51" fillId="0" borderId="130"/>
    <xf numFmtId="0" fontId="54" fillId="46" borderId="124">
      <protection locked="0"/>
    </xf>
    <xf numFmtId="0" fontId="11" fillId="22" borderId="126" applyNumberFormat="0" applyAlignment="0" applyProtection="0"/>
    <xf numFmtId="0" fontId="8" fillId="25" borderId="127" applyNumberFormat="0" applyFont="0" applyAlignment="0" applyProtection="0"/>
    <xf numFmtId="0" fontId="11" fillId="22" borderId="126" applyNumberFormat="0" applyAlignment="0" applyProtection="0"/>
    <xf numFmtId="181" fontId="51" fillId="0" borderId="130"/>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173" fontId="51" fillId="0" borderId="130"/>
    <xf numFmtId="0" fontId="18" fillId="9" borderId="126" applyNumberFormat="0" applyAlignment="0" applyProtection="0"/>
    <xf numFmtId="0" fontId="11" fillId="22" borderId="126" applyNumberFormat="0" applyAlignment="0" applyProtection="0"/>
    <xf numFmtId="0" fontId="23" fillId="0" borderId="129" applyNumberFormat="0" applyFill="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2" fontId="51" fillId="0" borderId="130"/>
    <xf numFmtId="173" fontId="51" fillId="0" borderId="130"/>
    <xf numFmtId="0" fontId="18" fillId="9" borderId="126" applyNumberFormat="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6" fontId="51" fillId="0" borderId="130"/>
    <xf numFmtId="171" fontId="51" fillId="0" borderId="130"/>
    <xf numFmtId="172" fontId="51" fillId="0" borderId="13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174" fontId="51" fillId="0" borderId="130"/>
    <xf numFmtId="179"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171" fontId="51" fillId="0" borderId="130"/>
    <xf numFmtId="179" fontId="51" fillId="0" borderId="130"/>
    <xf numFmtId="174" fontId="51" fillId="0" borderId="130"/>
    <xf numFmtId="174" fontId="51" fillId="0" borderId="130"/>
    <xf numFmtId="179" fontId="51" fillId="0" borderId="130"/>
    <xf numFmtId="171"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54" fillId="46" borderId="124">
      <protection locked="0"/>
    </xf>
    <xf numFmtId="171" fontId="51" fillId="0" borderId="130"/>
    <xf numFmtId="181" fontId="51" fillId="0" borderId="130"/>
    <xf numFmtId="174" fontId="51" fillId="0" borderId="130"/>
    <xf numFmtId="176" fontId="51" fillId="0" borderId="130"/>
    <xf numFmtId="173" fontId="51" fillId="0" borderId="130"/>
    <xf numFmtId="172" fontId="51" fillId="0" borderId="130"/>
    <xf numFmtId="179"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179" fontId="51" fillId="0" borderId="130"/>
    <xf numFmtId="180"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3" fontId="51" fillId="0" borderId="130"/>
    <xf numFmtId="171" fontId="51" fillId="0" borderId="130"/>
    <xf numFmtId="174" fontId="51" fillId="0" borderId="130"/>
    <xf numFmtId="179" fontId="51" fillId="0" borderId="130"/>
    <xf numFmtId="0" fontId="54" fillId="46" borderId="124">
      <protection locked="0"/>
    </xf>
    <xf numFmtId="0" fontId="54" fillId="46" borderId="124">
      <protection locked="0"/>
    </xf>
    <xf numFmtId="0" fontId="11" fillId="22" borderId="126" applyNumberFormat="0" applyAlignment="0" applyProtection="0"/>
    <xf numFmtId="174" fontId="51" fillId="0" borderId="130"/>
    <xf numFmtId="171" fontId="51" fillId="0" borderId="130"/>
    <xf numFmtId="174" fontId="51" fillId="0" borderId="130"/>
    <xf numFmtId="174" fontId="51" fillId="0" borderId="130"/>
    <xf numFmtId="0" fontId="21" fillId="22" borderId="128" applyNumberFormat="0" applyAlignment="0" applyProtection="0"/>
    <xf numFmtId="179" fontId="51" fillId="0" borderId="130"/>
    <xf numFmtId="174" fontId="51" fillId="0" borderId="130"/>
    <xf numFmtId="0" fontId="54" fillId="46" borderId="124">
      <protection locked="0"/>
    </xf>
    <xf numFmtId="0" fontId="21" fillId="22" borderId="128" applyNumberFormat="0" applyAlignment="0" applyProtection="0"/>
    <xf numFmtId="0" fontId="8" fillId="25" borderId="127" applyNumberFormat="0" applyFont="0" applyAlignment="0" applyProtection="0"/>
    <xf numFmtId="171" fontId="51" fillId="0" borderId="130"/>
    <xf numFmtId="0" fontId="8" fillId="25" borderId="127" applyNumberFormat="0" applyFont="0" applyAlignment="0" applyProtection="0"/>
    <xf numFmtId="173" fontId="51" fillId="0" borderId="130"/>
    <xf numFmtId="0" fontId="23" fillId="0" borderId="129" applyNumberFormat="0" applyFill="0" applyAlignment="0" applyProtection="0"/>
    <xf numFmtId="175" fontId="51" fillId="0" borderId="130"/>
    <xf numFmtId="174" fontId="51" fillId="0" borderId="130"/>
    <xf numFmtId="0" fontId="23" fillId="0" borderId="129" applyNumberFormat="0" applyFill="0" applyAlignment="0" applyProtection="0"/>
    <xf numFmtId="181" fontId="51" fillId="0" borderId="130"/>
    <xf numFmtId="174" fontId="51" fillId="0" borderId="130"/>
    <xf numFmtId="174" fontId="51" fillId="0" borderId="130"/>
    <xf numFmtId="0" fontId="18" fillId="9" borderId="126" applyNumberFormat="0" applyAlignment="0" applyProtection="0"/>
    <xf numFmtId="0" fontId="21" fillId="22" borderId="128" applyNumberFormat="0" applyAlignment="0" applyProtection="0"/>
    <xf numFmtId="171" fontId="51" fillId="0" borderId="130"/>
    <xf numFmtId="0" fontId="8" fillId="25" borderId="127" applyNumberFormat="0" applyFont="0" applyAlignment="0" applyProtection="0"/>
    <xf numFmtId="172" fontId="51" fillId="0" borderId="130"/>
    <xf numFmtId="176" fontId="51" fillId="0" borderId="130"/>
    <xf numFmtId="0" fontId="23" fillId="0" borderId="129" applyNumberFormat="0" applyFill="0" applyAlignment="0" applyProtection="0"/>
    <xf numFmtId="0" fontId="8" fillId="25" borderId="127" applyNumberFormat="0" applyFont="0" applyAlignment="0" applyProtection="0"/>
    <xf numFmtId="175" fontId="51" fillId="0" borderId="130"/>
    <xf numFmtId="171" fontId="51" fillId="0" borderId="130"/>
    <xf numFmtId="179" fontId="51" fillId="0" borderId="130"/>
    <xf numFmtId="0" fontId="18" fillId="9" borderId="126" applyNumberFormat="0" applyAlignment="0" applyProtection="0"/>
    <xf numFmtId="171" fontId="51" fillId="0" borderId="130"/>
    <xf numFmtId="0" fontId="21" fillId="22" borderId="128" applyNumberFormat="0" applyAlignment="0" applyProtection="0"/>
    <xf numFmtId="179" fontId="51" fillId="0" borderId="130"/>
    <xf numFmtId="171" fontId="51" fillId="0" borderId="130"/>
    <xf numFmtId="179" fontId="51" fillId="0" borderId="130"/>
    <xf numFmtId="174" fontId="51" fillId="0" borderId="130"/>
    <xf numFmtId="172" fontId="51" fillId="0" borderId="130"/>
    <xf numFmtId="171" fontId="51" fillId="0" borderId="130"/>
    <xf numFmtId="174" fontId="51" fillId="0" borderId="130"/>
    <xf numFmtId="173" fontId="51" fillId="0" borderId="130"/>
    <xf numFmtId="180" fontId="51" fillId="0" borderId="130"/>
    <xf numFmtId="179" fontId="51" fillId="0" borderId="130"/>
    <xf numFmtId="174" fontId="51" fillId="0" borderId="130"/>
    <xf numFmtId="171" fontId="51" fillId="0" borderId="130"/>
    <xf numFmtId="179" fontId="51" fillId="0" borderId="130"/>
    <xf numFmtId="174" fontId="51" fillId="0" borderId="130"/>
    <xf numFmtId="171" fontId="51" fillId="0" borderId="130"/>
    <xf numFmtId="179" fontId="51" fillId="0" borderId="130"/>
    <xf numFmtId="179" fontId="51" fillId="0" borderId="130"/>
    <xf numFmtId="180" fontId="51" fillId="0" borderId="130"/>
    <xf numFmtId="176" fontId="51" fillId="0" borderId="130"/>
    <xf numFmtId="171" fontId="51" fillId="0" borderId="130"/>
    <xf numFmtId="0" fontId="23" fillId="0" borderId="129" applyNumberFormat="0" applyFill="0" applyAlignment="0" applyProtection="0"/>
    <xf numFmtId="0" fontId="11" fillId="22" borderId="126" applyNumberFormat="0" applyAlignment="0" applyProtection="0"/>
    <xf numFmtId="171" fontId="51" fillId="0" borderId="130"/>
    <xf numFmtId="173" fontId="51" fillId="0" borderId="130"/>
    <xf numFmtId="171" fontId="51" fillId="0" borderId="130"/>
    <xf numFmtId="174" fontId="51" fillId="0" borderId="130"/>
    <xf numFmtId="179" fontId="51" fillId="0" borderId="130"/>
    <xf numFmtId="171" fontId="51" fillId="0" borderId="130"/>
    <xf numFmtId="0" fontId="18" fillId="9" borderId="126" applyNumberFormat="0" applyAlignment="0" applyProtection="0"/>
    <xf numFmtId="173" fontId="51" fillId="0" borderId="130"/>
    <xf numFmtId="0" fontId="11" fillId="22" borderId="126" applyNumberFormat="0" applyAlignment="0" applyProtection="0"/>
    <xf numFmtId="181" fontId="51" fillId="0" borderId="130"/>
    <xf numFmtId="171" fontId="51" fillId="0" borderId="130"/>
    <xf numFmtId="172" fontId="51" fillId="0" borderId="130"/>
    <xf numFmtId="174" fontId="51" fillId="0" borderId="130"/>
    <xf numFmtId="175" fontId="51" fillId="0" borderId="130"/>
    <xf numFmtId="174" fontId="51" fillId="0" borderId="130"/>
    <xf numFmtId="174" fontId="51" fillId="0" borderId="130"/>
    <xf numFmtId="0" fontId="11" fillId="22" borderId="126" applyNumberFormat="0" applyAlignment="0" applyProtection="0"/>
    <xf numFmtId="171" fontId="51" fillId="0" borderId="130"/>
    <xf numFmtId="174" fontId="51" fillId="0" borderId="130"/>
    <xf numFmtId="181" fontId="51" fillId="0" borderId="130"/>
    <xf numFmtId="171"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171" fontId="51" fillId="0" borderId="130"/>
    <xf numFmtId="179" fontId="51" fillId="0" borderId="130"/>
    <xf numFmtId="179" fontId="51" fillId="0" borderId="130"/>
    <xf numFmtId="0" fontId="54" fillId="46" borderId="124">
      <protection locked="0"/>
    </xf>
    <xf numFmtId="0" fontId="8" fillId="25" borderId="127" applyNumberFormat="0" applyFont="0" applyAlignment="0" applyProtection="0"/>
    <xf numFmtId="179" fontId="51" fillId="0" borderId="130"/>
    <xf numFmtId="176"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0" fontId="21" fillId="22" borderId="128" applyNumberFormat="0" applyAlignment="0" applyProtection="0"/>
    <xf numFmtId="174" fontId="51" fillId="0" borderId="130"/>
    <xf numFmtId="174" fontId="51" fillId="0" borderId="130"/>
    <xf numFmtId="172" fontId="51" fillId="0" borderId="130"/>
    <xf numFmtId="174" fontId="51" fillId="0" borderId="130"/>
    <xf numFmtId="179" fontId="51" fillId="0" borderId="130"/>
    <xf numFmtId="179" fontId="51" fillId="0" borderId="130"/>
    <xf numFmtId="171" fontId="51" fillId="0" borderId="130"/>
    <xf numFmtId="174" fontId="51" fillId="0" borderId="130"/>
    <xf numFmtId="179" fontId="51" fillId="0" borderId="130"/>
    <xf numFmtId="171" fontId="51" fillId="0" borderId="130"/>
    <xf numFmtId="173" fontId="51" fillId="0" borderId="130"/>
    <xf numFmtId="179" fontId="51" fillId="0" borderId="130"/>
    <xf numFmtId="0" fontId="23" fillId="0" borderId="129" applyNumberFormat="0" applyFill="0" applyAlignment="0" applyProtection="0"/>
    <xf numFmtId="174" fontId="51" fillId="0" borderId="130"/>
    <xf numFmtId="174" fontId="51" fillId="0" borderId="130"/>
    <xf numFmtId="179" fontId="51" fillId="0" borderId="130"/>
    <xf numFmtId="171" fontId="51" fillId="0" borderId="130"/>
    <xf numFmtId="0" fontId="18" fillId="9" borderId="126" applyNumberFormat="0" applyAlignment="0" applyProtection="0"/>
    <xf numFmtId="176" fontId="51" fillId="0" borderId="130"/>
    <xf numFmtId="175" fontId="51" fillId="0" borderId="130"/>
    <xf numFmtId="180" fontId="51" fillId="0" borderId="130"/>
    <xf numFmtId="175" fontId="51" fillId="0" borderId="130"/>
    <xf numFmtId="180" fontId="51" fillId="0" borderId="130"/>
    <xf numFmtId="172" fontId="51" fillId="0" borderId="130"/>
    <xf numFmtId="0" fontId="54" fillId="46" borderId="124">
      <protection locked="0"/>
    </xf>
    <xf numFmtId="180" fontId="51" fillId="0" borderId="130"/>
    <xf numFmtId="181" fontId="51" fillId="0" borderId="130"/>
    <xf numFmtId="0" fontId="54" fillId="46" borderId="124">
      <protection locked="0"/>
    </xf>
    <xf numFmtId="174" fontId="51" fillId="0" borderId="130"/>
    <xf numFmtId="181" fontId="51" fillId="0" borderId="130"/>
    <xf numFmtId="0" fontId="21" fillId="22" borderId="128" applyNumberFormat="0" applyAlignment="0" applyProtection="0"/>
    <xf numFmtId="176" fontId="51" fillId="0" borderId="13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9" fontId="51" fillId="0" borderId="130"/>
    <xf numFmtId="171" fontId="51" fillId="0" borderId="130"/>
    <xf numFmtId="174" fontId="51" fillId="0" borderId="130"/>
    <xf numFmtId="179" fontId="51" fillId="0" borderId="130"/>
    <xf numFmtId="179" fontId="51" fillId="0" borderId="130"/>
    <xf numFmtId="179" fontId="51" fillId="0" borderId="130"/>
    <xf numFmtId="174" fontId="51" fillId="0" borderId="130"/>
    <xf numFmtId="179" fontId="51" fillId="0" borderId="130"/>
    <xf numFmtId="179" fontId="51" fillId="0" borderId="130"/>
    <xf numFmtId="174" fontId="51" fillId="0" borderId="130"/>
    <xf numFmtId="174" fontId="51" fillId="0" borderId="130"/>
    <xf numFmtId="0" fontId="21" fillId="22" borderId="128" applyNumberFormat="0" applyAlignment="0" applyProtection="0"/>
    <xf numFmtId="174" fontId="51" fillId="0" borderId="130"/>
    <xf numFmtId="0" fontId="23" fillId="0" borderId="129" applyNumberFormat="0" applyFill="0" applyAlignment="0" applyProtection="0"/>
    <xf numFmtId="171" fontId="51" fillId="0" borderId="130"/>
    <xf numFmtId="171" fontId="51" fillId="0" borderId="130"/>
    <xf numFmtId="174" fontId="51" fillId="0" borderId="130"/>
    <xf numFmtId="175" fontId="51" fillId="0" borderId="130"/>
    <xf numFmtId="0" fontId="18" fillId="9" borderId="126" applyNumberFormat="0" applyAlignment="0" applyProtection="0"/>
    <xf numFmtId="171" fontId="51" fillId="0" borderId="130"/>
    <xf numFmtId="0" fontId="21" fillId="22" borderId="128" applyNumberFormat="0" applyAlignment="0" applyProtection="0"/>
    <xf numFmtId="173" fontId="51" fillId="0" borderId="130"/>
    <xf numFmtId="171" fontId="51" fillId="0" borderId="130"/>
    <xf numFmtId="0" fontId="18" fillId="9" borderId="126" applyNumberFormat="0" applyAlignment="0" applyProtection="0"/>
    <xf numFmtId="176" fontId="51" fillId="0" borderId="130"/>
    <xf numFmtId="0" fontId="11" fillId="22" borderId="126" applyNumberFormat="0" applyAlignment="0" applyProtection="0"/>
    <xf numFmtId="171" fontId="51" fillId="0" borderId="130"/>
    <xf numFmtId="171" fontId="51" fillId="0" borderId="130"/>
    <xf numFmtId="179" fontId="51" fillId="0" borderId="130"/>
    <xf numFmtId="0" fontId="54" fillId="46" borderId="124">
      <protection locked="0"/>
    </xf>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5" fontId="51" fillId="0" borderId="130"/>
    <xf numFmtId="179" fontId="51" fillId="0" borderId="130"/>
    <xf numFmtId="171" fontId="51" fillId="0" borderId="130"/>
    <xf numFmtId="171" fontId="51" fillId="0" borderId="130"/>
    <xf numFmtId="0" fontId="23" fillId="0" borderId="129" applyNumberFormat="0" applyFill="0" applyAlignment="0" applyProtection="0"/>
    <xf numFmtId="179" fontId="51" fillId="0" borderId="130"/>
    <xf numFmtId="171" fontId="51" fillId="0" borderId="130"/>
    <xf numFmtId="171" fontId="51" fillId="0" borderId="130"/>
    <xf numFmtId="179" fontId="51" fillId="0" borderId="130"/>
    <xf numFmtId="174" fontId="51" fillId="0" borderId="130"/>
    <xf numFmtId="174" fontId="51" fillId="0" borderId="130"/>
    <xf numFmtId="179" fontId="51" fillId="0" borderId="130"/>
    <xf numFmtId="179" fontId="51" fillId="0" borderId="130"/>
    <xf numFmtId="179" fontId="51" fillId="0" borderId="130"/>
    <xf numFmtId="171" fontId="51" fillId="0" borderId="130"/>
    <xf numFmtId="173" fontId="51" fillId="0" borderId="130"/>
    <xf numFmtId="171" fontId="51" fillId="0" borderId="130"/>
    <xf numFmtId="179" fontId="51" fillId="0" borderId="130"/>
    <xf numFmtId="0" fontId="18" fillId="9" borderId="126" applyNumberFormat="0" applyAlignment="0" applyProtection="0"/>
    <xf numFmtId="179" fontId="51" fillId="0" borderId="130"/>
    <xf numFmtId="179" fontId="51" fillId="0" borderId="130"/>
    <xf numFmtId="0" fontId="23" fillId="0" borderId="129" applyNumberFormat="0" applyFill="0" applyAlignment="0" applyProtection="0"/>
    <xf numFmtId="171" fontId="51" fillId="0" borderId="130"/>
    <xf numFmtId="0" fontId="8" fillId="25" borderId="127" applyNumberFormat="0" applyFont="0" applyAlignment="0" applyProtection="0"/>
    <xf numFmtId="0" fontId="18" fillId="9" borderId="126" applyNumberFormat="0" applyAlignment="0" applyProtection="0"/>
    <xf numFmtId="171" fontId="51" fillId="0" borderId="130"/>
    <xf numFmtId="179" fontId="51" fillId="0" borderId="130"/>
    <xf numFmtId="0" fontId="8" fillId="25" borderId="127" applyNumberFormat="0" applyFont="0" applyAlignment="0" applyProtection="0"/>
    <xf numFmtId="0" fontId="11" fillId="22" borderId="126" applyNumberFormat="0" applyAlignment="0" applyProtection="0"/>
    <xf numFmtId="171" fontId="51" fillId="0" borderId="13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1" fontId="51" fillId="0" borderId="130"/>
    <xf numFmtId="180" fontId="51" fillId="0" borderId="130"/>
    <xf numFmtId="174" fontId="51" fillId="0" borderId="130"/>
    <xf numFmtId="174" fontId="51" fillId="0" borderId="130"/>
    <xf numFmtId="173" fontId="51" fillId="0" borderId="130"/>
    <xf numFmtId="179" fontId="51" fillId="0" borderId="130"/>
    <xf numFmtId="172" fontId="51" fillId="0" borderId="130"/>
    <xf numFmtId="0" fontId="21" fillId="22" borderId="128" applyNumberFormat="0" applyAlignment="0" applyProtection="0"/>
    <xf numFmtId="171" fontId="51" fillId="0" borderId="130"/>
    <xf numFmtId="174" fontId="51" fillId="0" borderId="130"/>
    <xf numFmtId="179" fontId="51" fillId="0" borderId="130"/>
    <xf numFmtId="0" fontId="11" fillId="22" borderId="126" applyNumberFormat="0" applyAlignment="0" applyProtection="0"/>
    <xf numFmtId="174" fontId="51" fillId="0" borderId="130"/>
    <xf numFmtId="175" fontId="51" fillId="0" borderId="130"/>
    <xf numFmtId="174" fontId="51" fillId="0" borderId="130"/>
    <xf numFmtId="181" fontId="51" fillId="0" borderId="130"/>
    <xf numFmtId="0" fontId="23" fillId="0" borderId="129" applyNumberFormat="0" applyFill="0" applyAlignment="0" applyProtection="0"/>
    <xf numFmtId="176" fontId="51" fillId="0" borderId="130"/>
    <xf numFmtId="172" fontId="51" fillId="0" borderId="130"/>
    <xf numFmtId="179" fontId="51" fillId="0" borderId="130"/>
    <xf numFmtId="180" fontId="51" fillId="0" borderId="130"/>
    <xf numFmtId="181" fontId="51" fillId="0" borderId="130"/>
    <xf numFmtId="0" fontId="54" fillId="46" borderId="124">
      <protection locked="0"/>
    </xf>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4" fontId="51" fillId="0" borderId="130"/>
    <xf numFmtId="174" fontId="51" fillId="0" borderId="130"/>
    <xf numFmtId="174" fontId="51" fillId="0" borderId="130"/>
    <xf numFmtId="171" fontId="51" fillId="0" borderId="130"/>
    <xf numFmtId="0" fontId="18" fillId="9" borderId="126" applyNumberFormat="0" applyAlignment="0" applyProtection="0"/>
    <xf numFmtId="174" fontId="51" fillId="0" borderId="130"/>
    <xf numFmtId="171" fontId="51" fillId="0" borderId="130"/>
    <xf numFmtId="179" fontId="51" fillId="0" borderId="130"/>
    <xf numFmtId="173" fontId="51" fillId="0" borderId="130"/>
    <xf numFmtId="173" fontId="51" fillId="0" borderId="130"/>
    <xf numFmtId="171" fontId="51" fillId="0" borderId="130"/>
    <xf numFmtId="173" fontId="51" fillId="0" borderId="130"/>
    <xf numFmtId="174" fontId="51" fillId="0" borderId="130"/>
    <xf numFmtId="176" fontId="51" fillId="0" borderId="130"/>
    <xf numFmtId="171" fontId="51" fillId="0" borderId="130"/>
    <xf numFmtId="0" fontId="11" fillId="22" borderId="126" applyNumberFormat="0" applyAlignment="0" applyProtection="0"/>
    <xf numFmtId="179" fontId="51" fillId="0" borderId="130"/>
    <xf numFmtId="179" fontId="51" fillId="0" borderId="130"/>
    <xf numFmtId="179" fontId="51" fillId="0" borderId="130"/>
    <xf numFmtId="171" fontId="51" fillId="0" borderId="130"/>
    <xf numFmtId="0" fontId="8" fillId="25" borderId="127" applyNumberFormat="0" applyFont="0" applyAlignment="0" applyProtection="0"/>
    <xf numFmtId="171" fontId="51" fillId="0" borderId="130"/>
    <xf numFmtId="180" fontId="51" fillId="0" borderId="130"/>
    <xf numFmtId="174" fontId="51" fillId="0" borderId="130"/>
    <xf numFmtId="175" fontId="51" fillId="0" borderId="130"/>
    <xf numFmtId="0" fontId="18" fillId="9" borderId="126" applyNumberFormat="0" applyAlignment="0" applyProtection="0"/>
    <xf numFmtId="171" fontId="51" fillId="0" borderId="130"/>
    <xf numFmtId="179" fontId="51" fillId="0" borderId="130"/>
    <xf numFmtId="174" fontId="51" fillId="0" borderId="130"/>
    <xf numFmtId="179" fontId="51" fillId="0" borderId="130"/>
    <xf numFmtId="171" fontId="51" fillId="0" borderId="130"/>
    <xf numFmtId="179" fontId="51" fillId="0" borderId="130"/>
    <xf numFmtId="174" fontId="51" fillId="0" borderId="130"/>
    <xf numFmtId="174" fontId="51" fillId="0" borderId="130"/>
    <xf numFmtId="171" fontId="51" fillId="0" borderId="130"/>
    <xf numFmtId="174" fontId="51" fillId="0" borderId="130"/>
    <xf numFmtId="175" fontId="51" fillId="0" borderId="130"/>
    <xf numFmtId="174" fontId="51" fillId="0" borderId="130"/>
    <xf numFmtId="179" fontId="51" fillId="0" borderId="130"/>
    <xf numFmtId="179" fontId="51" fillId="0" borderId="130"/>
    <xf numFmtId="171" fontId="51" fillId="0" borderId="130"/>
    <xf numFmtId="0" fontId="21" fillId="22" borderId="128" applyNumberFormat="0" applyAlignment="0" applyProtection="0"/>
    <xf numFmtId="172" fontId="51" fillId="0" borderId="130"/>
    <xf numFmtId="0" fontId="23" fillId="0" borderId="129" applyNumberFormat="0" applyFill="0" applyAlignment="0" applyProtection="0"/>
    <xf numFmtId="0" fontId="8" fillId="25" borderId="127" applyNumberFormat="0" applyFont="0" applyAlignment="0" applyProtection="0"/>
    <xf numFmtId="172" fontId="51" fillId="0" borderId="130"/>
    <xf numFmtId="0" fontId="54" fillId="46" borderId="124">
      <protection locked="0"/>
    </xf>
    <xf numFmtId="175" fontId="51" fillId="0" borderId="130"/>
    <xf numFmtId="0" fontId="23" fillId="0" borderId="129" applyNumberFormat="0" applyFill="0" applyAlignment="0" applyProtection="0"/>
    <xf numFmtId="174" fontId="51" fillId="0" borderId="130"/>
    <xf numFmtId="0" fontId="21" fillId="22" borderId="128" applyNumberFormat="0" applyAlignment="0" applyProtection="0"/>
    <xf numFmtId="171" fontId="51" fillId="0" borderId="130"/>
    <xf numFmtId="181" fontId="51" fillId="0" borderId="130"/>
    <xf numFmtId="171" fontId="51" fillId="0" borderId="130"/>
    <xf numFmtId="179" fontId="51" fillId="0" borderId="130"/>
    <xf numFmtId="0" fontId="11" fillId="22" borderId="126" applyNumberFormat="0" applyAlignment="0" applyProtection="0"/>
    <xf numFmtId="174" fontId="51" fillId="0" borderId="130"/>
    <xf numFmtId="180" fontId="51" fillId="0" borderId="130"/>
    <xf numFmtId="174" fontId="51" fillId="0" borderId="130"/>
    <xf numFmtId="171" fontId="51" fillId="0" borderId="130"/>
    <xf numFmtId="174" fontId="51" fillId="0" borderId="130"/>
    <xf numFmtId="172" fontId="51" fillId="0" borderId="130"/>
    <xf numFmtId="179" fontId="51" fillId="0" borderId="130"/>
    <xf numFmtId="176" fontId="51" fillId="0" borderId="130"/>
    <xf numFmtId="174" fontId="51" fillId="0" borderId="130"/>
    <xf numFmtId="172" fontId="51" fillId="0" borderId="130"/>
    <xf numFmtId="171" fontId="51" fillId="0" borderId="130"/>
    <xf numFmtId="180" fontId="51" fillId="0" borderId="130"/>
    <xf numFmtId="181" fontId="51" fillId="0" borderId="130"/>
    <xf numFmtId="0" fontId="54" fillId="46" borderId="124">
      <protection locked="0"/>
    </xf>
    <xf numFmtId="179" fontId="51" fillId="0" borderId="130"/>
    <xf numFmtId="179" fontId="51" fillId="0" borderId="130"/>
    <xf numFmtId="179" fontId="51" fillId="0" borderId="130"/>
    <xf numFmtId="171" fontId="51" fillId="0" borderId="130"/>
    <xf numFmtId="179" fontId="51" fillId="0" borderId="130"/>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81" fontId="51" fillId="0" borderId="130"/>
    <xf numFmtId="171" fontId="51" fillId="0" borderId="130"/>
    <xf numFmtId="174" fontId="51" fillId="0" borderId="130"/>
    <xf numFmtId="179" fontId="51" fillId="0" borderId="130"/>
    <xf numFmtId="171" fontId="51" fillId="0" borderId="130"/>
    <xf numFmtId="0" fontId="8" fillId="25" borderId="127" applyNumberFormat="0" applyFont="0" applyAlignment="0" applyProtection="0"/>
    <xf numFmtId="174" fontId="51" fillId="0" borderId="130"/>
    <xf numFmtId="176" fontId="51" fillId="0" borderId="130"/>
    <xf numFmtId="179" fontId="51" fillId="0" borderId="130"/>
    <xf numFmtId="171" fontId="51" fillId="0" borderId="130"/>
    <xf numFmtId="174"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4" fontId="51" fillId="0" borderId="130"/>
    <xf numFmtId="179" fontId="51" fillId="0" borderId="130"/>
    <xf numFmtId="171" fontId="51" fillId="0" borderId="130"/>
    <xf numFmtId="179" fontId="51" fillId="0" borderId="130"/>
    <xf numFmtId="179" fontId="51" fillId="0" borderId="130"/>
    <xf numFmtId="174" fontId="51" fillId="0" borderId="130"/>
    <xf numFmtId="174" fontId="51" fillId="0" borderId="130"/>
    <xf numFmtId="171" fontId="51" fillId="0" borderId="130"/>
    <xf numFmtId="171" fontId="51" fillId="0" borderId="130"/>
    <xf numFmtId="171" fontId="51" fillId="0" borderId="130"/>
    <xf numFmtId="0" fontId="8" fillId="25" borderId="127" applyNumberFormat="0" applyFon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4" fontId="51" fillId="0" borderId="130"/>
    <xf numFmtId="0" fontId="23" fillId="0" borderId="129" applyNumberFormat="0" applyFill="0" applyAlignment="0" applyProtection="0"/>
    <xf numFmtId="0" fontId="18" fillId="9" borderId="126" applyNumberFormat="0" applyAlignment="0" applyProtection="0"/>
    <xf numFmtId="181" fontId="51" fillId="0" borderId="130"/>
    <xf numFmtId="171" fontId="51" fillId="0" borderId="130"/>
    <xf numFmtId="0" fontId="11" fillId="22" borderId="126" applyNumberFormat="0" applyAlignment="0" applyProtection="0"/>
    <xf numFmtId="0" fontId="18" fillId="9" borderId="126" applyNumberFormat="0" applyAlignment="0" applyProtection="0"/>
    <xf numFmtId="181" fontId="51" fillId="0" borderId="130"/>
    <xf numFmtId="180" fontId="51" fillId="0" borderId="130"/>
    <xf numFmtId="179" fontId="51" fillId="0" borderId="130"/>
    <xf numFmtId="171" fontId="51" fillId="0" borderId="130"/>
    <xf numFmtId="175" fontId="51" fillId="0" borderId="130"/>
    <xf numFmtId="176" fontId="51" fillId="0" borderId="130"/>
    <xf numFmtId="175" fontId="51" fillId="0" borderId="130"/>
    <xf numFmtId="174" fontId="51" fillId="0" borderId="130"/>
    <xf numFmtId="176" fontId="51" fillId="0" borderId="130"/>
    <xf numFmtId="180" fontId="51" fillId="0" borderId="130"/>
    <xf numFmtId="173" fontId="51" fillId="0" borderId="130"/>
    <xf numFmtId="0" fontId="11" fillId="22" borderId="126" applyNumberFormat="0" applyAlignment="0" applyProtection="0"/>
    <xf numFmtId="172" fontId="51" fillId="0" borderId="130"/>
    <xf numFmtId="179" fontId="51" fillId="0" borderId="130"/>
    <xf numFmtId="176" fontId="51" fillId="0" borderId="130"/>
    <xf numFmtId="174" fontId="51" fillId="0" borderId="130"/>
    <xf numFmtId="171" fontId="51" fillId="0" borderId="130"/>
    <xf numFmtId="0" fontId="21" fillId="22" borderId="128" applyNumberFormat="0" applyAlignment="0" applyProtection="0"/>
    <xf numFmtId="0" fontId="23" fillId="0" borderId="129" applyNumberFormat="0" applyFill="0" applyAlignment="0" applyProtection="0"/>
    <xf numFmtId="180" fontId="51" fillId="0" borderId="130"/>
    <xf numFmtId="175" fontId="51" fillId="0" borderId="130"/>
    <xf numFmtId="173" fontId="51" fillId="0" borderId="130"/>
    <xf numFmtId="172" fontId="51" fillId="0" borderId="130"/>
    <xf numFmtId="171" fontId="51" fillId="0" borderId="130"/>
    <xf numFmtId="181"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11" fillId="22" borderId="126" applyNumberFormat="0" applyAlignment="0" applyProtection="0"/>
    <xf numFmtId="0" fontId="21" fillId="22" borderId="128" applyNumberFormat="0" applyAlignment="0" applyProtection="0"/>
    <xf numFmtId="0" fontId="11" fillId="22" borderId="126" applyNumberFormat="0" applyAlignment="0" applyProtection="0"/>
    <xf numFmtId="0" fontId="21" fillId="22" borderId="128" applyNumberFormat="0" applyAlignment="0" applyProtection="0"/>
    <xf numFmtId="0" fontId="21" fillId="22" borderId="128" applyNumberFormat="0" applyAlignment="0" applyProtection="0"/>
    <xf numFmtId="173" fontId="51" fillId="0" borderId="130"/>
    <xf numFmtId="172"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23" fillId="0" borderId="129" applyNumberFormat="0" applyFill="0" applyAlignment="0" applyProtection="0"/>
    <xf numFmtId="0" fontId="23" fillId="0" borderId="129" applyNumberFormat="0" applyFill="0" applyAlignment="0" applyProtection="0"/>
    <xf numFmtId="171" fontId="51" fillId="0" borderId="130"/>
    <xf numFmtId="172" fontId="51" fillId="0" borderId="130"/>
    <xf numFmtId="0" fontId="21" fillId="22" borderId="128" applyNumberFormat="0" applyAlignment="0" applyProtection="0"/>
    <xf numFmtId="0" fontId="11" fillId="22"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23" fillId="0" borderId="129" applyNumberFormat="0" applyFill="0" applyAlignment="0" applyProtection="0"/>
    <xf numFmtId="179" fontId="51" fillId="0" borderId="130"/>
    <xf numFmtId="0" fontId="8" fillId="25" borderId="127" applyNumberFormat="0" applyFont="0" applyAlignment="0" applyProtection="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21" fillId="22" borderId="128"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8" fillId="9" borderId="126" applyNumberFormat="0" applyAlignment="0" applyProtection="0"/>
    <xf numFmtId="174"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1" fontId="51" fillId="0" borderId="130"/>
    <xf numFmtId="179" fontId="51" fillId="0" borderId="130"/>
    <xf numFmtId="0" fontId="11" fillId="22" borderId="126" applyNumberFormat="0" applyAlignment="0" applyProtection="0"/>
    <xf numFmtId="175" fontId="51" fillId="0" borderId="130"/>
    <xf numFmtId="181" fontId="51" fillId="0" borderId="130"/>
    <xf numFmtId="171" fontId="51" fillId="0" borderId="130"/>
    <xf numFmtId="0" fontId="23" fillId="0" borderId="129" applyNumberFormat="0" applyFill="0" applyAlignment="0" applyProtection="0"/>
    <xf numFmtId="179" fontId="51" fillId="0" borderId="130"/>
    <xf numFmtId="174" fontId="51" fillId="0" borderId="130"/>
    <xf numFmtId="0" fontId="11" fillId="22" borderId="126" applyNumberFormat="0" applyAlignment="0" applyProtection="0"/>
    <xf numFmtId="171" fontId="51" fillId="0" borderId="130"/>
    <xf numFmtId="171" fontId="51" fillId="0" borderId="130"/>
    <xf numFmtId="0" fontId="18" fillId="9" borderId="126" applyNumberFormat="0" applyAlignment="0" applyProtection="0"/>
    <xf numFmtId="172" fontId="51" fillId="0" borderId="130"/>
    <xf numFmtId="171" fontId="51" fillId="0" borderId="130"/>
    <xf numFmtId="174" fontId="51" fillId="0" borderId="130"/>
    <xf numFmtId="171" fontId="51" fillId="0" borderId="130"/>
    <xf numFmtId="174" fontId="51" fillId="0" borderId="130"/>
    <xf numFmtId="175" fontId="51" fillId="0" borderId="130"/>
    <xf numFmtId="176" fontId="51" fillId="0" borderId="130"/>
    <xf numFmtId="0" fontId="8" fillId="25" borderId="127" applyNumberFormat="0" applyFont="0" applyAlignment="0" applyProtection="0"/>
    <xf numFmtId="174" fontId="51" fillId="0" borderId="130"/>
    <xf numFmtId="179" fontId="51" fillId="0" borderId="130"/>
    <xf numFmtId="171" fontId="51" fillId="0" borderId="130"/>
    <xf numFmtId="180" fontId="51" fillId="0" borderId="130"/>
    <xf numFmtId="181" fontId="51" fillId="0" borderId="130"/>
    <xf numFmtId="0" fontId="18" fillId="9" borderId="126" applyNumberFormat="0" applyAlignment="0" applyProtection="0"/>
    <xf numFmtId="179" fontId="51" fillId="0" borderId="130"/>
    <xf numFmtId="179" fontId="51" fillId="0" borderId="130"/>
    <xf numFmtId="174" fontId="51" fillId="0" borderId="130"/>
    <xf numFmtId="171" fontId="51" fillId="0" borderId="130"/>
    <xf numFmtId="175" fontId="51" fillId="0" borderId="130"/>
    <xf numFmtId="171" fontId="51" fillId="0" borderId="130"/>
    <xf numFmtId="171" fontId="51" fillId="0" borderId="130"/>
    <xf numFmtId="174" fontId="51" fillId="0" borderId="130"/>
    <xf numFmtId="174" fontId="51" fillId="0" borderId="130"/>
    <xf numFmtId="171" fontId="51" fillId="0" borderId="130"/>
    <xf numFmtId="0" fontId="18" fillId="9" borderId="126" applyNumberFormat="0" applyAlignment="0" applyProtection="0"/>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8" fillId="25" borderId="127" applyNumberFormat="0" applyFont="0" applyAlignment="0" applyProtection="0"/>
    <xf numFmtId="173" fontId="51" fillId="0" borderId="130"/>
    <xf numFmtId="174" fontId="51" fillId="0" borderId="130"/>
    <xf numFmtId="179" fontId="51" fillId="0" borderId="130"/>
    <xf numFmtId="0" fontId="11" fillId="22" borderId="126" applyNumberFormat="0" applyAlignment="0" applyProtection="0"/>
    <xf numFmtId="173" fontId="51" fillId="0" borderId="130"/>
    <xf numFmtId="172" fontId="51" fillId="0" borderId="130"/>
    <xf numFmtId="0" fontId="21" fillId="22" borderId="128" applyNumberFormat="0" applyAlignment="0" applyProtection="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8" fillId="25" borderId="127" applyNumberFormat="0" applyFont="0" applyAlignment="0" applyProtection="0"/>
    <xf numFmtId="0" fontId="11" fillId="22" borderId="126" applyNumberFormat="0" applyAlignment="0" applyProtection="0"/>
    <xf numFmtId="173" fontId="51" fillId="0" borderId="130"/>
    <xf numFmtId="175" fontId="51" fillId="0" borderId="130"/>
    <xf numFmtId="176"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80" fontId="51" fillId="0" borderId="130"/>
    <xf numFmtId="174" fontId="51" fillId="0" borderId="130"/>
    <xf numFmtId="179" fontId="51" fillId="0" borderId="130"/>
    <xf numFmtId="174" fontId="51" fillId="0" borderId="130"/>
    <xf numFmtId="176" fontId="51" fillId="0" borderId="130"/>
    <xf numFmtId="172" fontId="51" fillId="0" borderId="130"/>
    <xf numFmtId="180" fontId="51" fillId="0" borderId="130"/>
    <xf numFmtId="181" fontId="51" fillId="0" borderId="130"/>
    <xf numFmtId="0" fontId="21" fillId="22" borderId="128"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174" fontId="51" fillId="0" borderId="130"/>
    <xf numFmtId="179" fontId="51" fillId="0" borderId="130"/>
    <xf numFmtId="174" fontId="51" fillId="0" borderId="130"/>
    <xf numFmtId="171" fontId="51" fillId="0" borderId="130"/>
    <xf numFmtId="179" fontId="51" fillId="0" borderId="130"/>
    <xf numFmtId="174" fontId="51" fillId="0" borderId="130"/>
    <xf numFmtId="179" fontId="51" fillId="0" borderId="130"/>
    <xf numFmtId="171" fontId="51" fillId="0" borderId="130"/>
    <xf numFmtId="171" fontId="51" fillId="0" borderId="130"/>
    <xf numFmtId="179"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6" fontId="51" fillId="0" borderId="130"/>
    <xf numFmtId="0" fontId="11" fillId="22" borderId="126" applyNumberFormat="0" applyAlignment="0" applyProtection="0"/>
    <xf numFmtId="180" fontId="51" fillId="0" borderId="130"/>
    <xf numFmtId="179" fontId="51" fillId="0" borderId="130"/>
    <xf numFmtId="171" fontId="51" fillId="0" borderId="130"/>
    <xf numFmtId="171" fontId="51" fillId="0" borderId="130"/>
    <xf numFmtId="174" fontId="51" fillId="0" borderId="130"/>
    <xf numFmtId="174" fontId="51" fillId="0" borderId="130"/>
    <xf numFmtId="171" fontId="51" fillId="0" borderId="130"/>
    <xf numFmtId="0" fontId="23" fillId="0" borderId="129" applyNumberFormat="0" applyFill="0" applyAlignment="0" applyProtection="0"/>
    <xf numFmtId="174" fontId="51" fillId="0" borderId="130"/>
    <xf numFmtId="0" fontId="18" fillId="9" borderId="126" applyNumberFormat="0" applyAlignment="0" applyProtection="0"/>
    <xf numFmtId="0" fontId="21" fillId="22" borderId="128" applyNumberFormat="0" applyAlignment="0" applyProtection="0"/>
    <xf numFmtId="0" fontId="8" fillId="25" borderId="127" applyNumberFormat="0" applyFont="0" applyAlignment="0" applyProtection="0"/>
    <xf numFmtId="176" fontId="51" fillId="0" borderId="130"/>
    <xf numFmtId="179" fontId="51" fillId="0" borderId="130"/>
    <xf numFmtId="0" fontId="11" fillId="22" borderId="126" applyNumberFormat="0" applyAlignment="0" applyProtection="0"/>
    <xf numFmtId="0" fontId="18" fillId="9" borderId="126" applyNumberFormat="0" applyAlignment="0" applyProtection="0"/>
    <xf numFmtId="174" fontId="51" fillId="0" borderId="130"/>
    <xf numFmtId="171" fontId="51" fillId="0" borderId="130"/>
    <xf numFmtId="179" fontId="51" fillId="0" borderId="130"/>
    <xf numFmtId="174" fontId="51" fillId="0" borderId="130"/>
    <xf numFmtId="171" fontId="51" fillId="0" borderId="130"/>
    <xf numFmtId="172" fontId="51" fillId="0" borderId="130"/>
    <xf numFmtId="171" fontId="51" fillId="0" borderId="130"/>
    <xf numFmtId="174" fontId="51" fillId="0" borderId="130"/>
    <xf numFmtId="179" fontId="51" fillId="0" borderId="130"/>
    <xf numFmtId="171" fontId="51" fillId="0" borderId="130"/>
    <xf numFmtId="179" fontId="51" fillId="0" borderId="130"/>
    <xf numFmtId="0" fontId="11" fillId="22" borderId="126" applyNumberFormat="0" applyAlignment="0" applyProtection="0"/>
    <xf numFmtId="181" fontId="51" fillId="0" borderId="130"/>
    <xf numFmtId="175" fontId="51" fillId="0" borderId="130"/>
    <xf numFmtId="179"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23" fillId="0" borderId="129" applyNumberFormat="0" applyFill="0" applyAlignment="0" applyProtection="0"/>
    <xf numFmtId="179" fontId="51" fillId="0" borderId="130"/>
    <xf numFmtId="179" fontId="51" fillId="0" borderId="130"/>
    <xf numFmtId="174" fontId="51" fillId="0" borderId="130"/>
    <xf numFmtId="173" fontId="51" fillId="0" borderId="130"/>
    <xf numFmtId="0" fontId="8" fillId="25" borderId="127" applyNumberFormat="0" applyFont="0" applyAlignment="0" applyProtection="0"/>
    <xf numFmtId="174"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23" fillId="0" borderId="129" applyNumberFormat="0" applyFill="0" applyAlignment="0" applyProtection="0"/>
    <xf numFmtId="179"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1"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9" fontId="51" fillId="0" borderId="130"/>
    <xf numFmtId="174" fontId="51" fillId="0" borderId="130"/>
    <xf numFmtId="172"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31">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31">
      <protection locked="0"/>
    </xf>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79" fontId="51" fillId="0" borderId="130"/>
    <xf numFmtId="179" fontId="51" fillId="0" borderId="130"/>
    <xf numFmtId="180" fontId="51" fillId="0" borderId="130"/>
    <xf numFmtId="171" fontId="51" fillId="0" borderId="130"/>
    <xf numFmtId="174" fontId="51" fillId="0" borderId="130"/>
    <xf numFmtId="174" fontId="51" fillId="0" borderId="130"/>
    <xf numFmtId="176" fontId="51" fillId="0" borderId="130"/>
    <xf numFmtId="171"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1" fillId="22" borderId="128" applyNumberFormat="0" applyAlignment="0" applyProtection="0"/>
    <xf numFmtId="0" fontId="18" fillId="9" borderId="126" applyNumberFormat="0" applyAlignment="0" applyProtection="0"/>
    <xf numFmtId="0" fontId="8" fillId="25" borderId="127" applyNumberFormat="0" applyFont="0" applyAlignment="0" applyProtection="0"/>
    <xf numFmtId="175" fontId="51" fillId="0" borderId="130"/>
    <xf numFmtId="179" fontId="51" fillId="0" borderId="130"/>
    <xf numFmtId="171" fontId="51" fillId="0" borderId="130"/>
    <xf numFmtId="172" fontId="51" fillId="0" borderId="130"/>
    <xf numFmtId="173" fontId="51" fillId="0" borderId="130"/>
    <xf numFmtId="0" fontId="8" fillId="25" borderId="127" applyNumberFormat="0" applyFont="0" applyAlignment="0" applyProtection="0"/>
    <xf numFmtId="174" fontId="51" fillId="0" borderId="130"/>
    <xf numFmtId="175" fontId="51" fillId="0" borderId="130"/>
    <xf numFmtId="176" fontId="51" fillId="0" borderId="130"/>
    <xf numFmtId="175" fontId="51" fillId="0" borderId="130"/>
    <xf numFmtId="179" fontId="51" fillId="0" borderId="130"/>
    <xf numFmtId="180" fontId="51" fillId="0" borderId="130"/>
    <xf numFmtId="181" fontId="51" fillId="0" borderId="130"/>
    <xf numFmtId="174" fontId="51" fillId="0" borderId="130"/>
    <xf numFmtId="174" fontId="51" fillId="0" borderId="130"/>
    <xf numFmtId="171" fontId="51" fillId="0" borderId="130"/>
    <xf numFmtId="0" fontId="54" fillId="46" borderId="124">
      <protection locked="0"/>
    </xf>
    <xf numFmtId="0" fontId="11" fillId="22" borderId="126" applyNumberFormat="0" applyAlignment="0" applyProtection="0"/>
    <xf numFmtId="0" fontId="8" fillId="25" borderId="127" applyNumberFormat="0" applyFont="0" applyAlignment="0" applyProtection="0"/>
    <xf numFmtId="0" fontId="11" fillId="22" borderId="126" applyNumberFormat="0" applyAlignment="0" applyProtection="0"/>
    <xf numFmtId="181" fontId="51" fillId="0" borderId="130"/>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173" fontId="51" fillId="0" borderId="130"/>
    <xf numFmtId="0" fontId="18" fillId="9" borderId="126" applyNumberFormat="0" applyAlignment="0" applyProtection="0"/>
    <xf numFmtId="0" fontId="11" fillId="22" borderId="126" applyNumberFormat="0" applyAlignment="0" applyProtection="0"/>
    <xf numFmtId="174" fontId="51" fillId="0" borderId="13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2" fontId="51" fillId="0" borderId="130"/>
    <xf numFmtId="173" fontId="51" fillId="0" borderId="130"/>
    <xf numFmtId="0" fontId="18" fillId="9" borderId="126" applyNumberFormat="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6" fontId="51" fillId="0" borderId="130"/>
    <xf numFmtId="171" fontId="51" fillId="0" borderId="130"/>
    <xf numFmtId="172" fontId="51" fillId="0" borderId="13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174" fontId="51" fillId="0" borderId="130"/>
    <xf numFmtId="179"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171" fontId="51" fillId="0" borderId="130"/>
    <xf numFmtId="179" fontId="51" fillId="0" borderId="130"/>
    <xf numFmtId="174" fontId="51" fillId="0" borderId="130"/>
    <xf numFmtId="174" fontId="51" fillId="0" borderId="130"/>
    <xf numFmtId="179" fontId="51" fillId="0" borderId="130"/>
    <xf numFmtId="171"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54" fillId="46" borderId="124">
      <protection locked="0"/>
    </xf>
    <xf numFmtId="171" fontId="51" fillId="0" borderId="130"/>
    <xf numFmtId="181" fontId="51" fillId="0" borderId="130"/>
    <xf numFmtId="174" fontId="51" fillId="0" borderId="130"/>
    <xf numFmtId="176" fontId="51" fillId="0" borderId="130"/>
    <xf numFmtId="173" fontId="51" fillId="0" borderId="130"/>
    <xf numFmtId="172" fontId="51" fillId="0" borderId="130"/>
    <xf numFmtId="179"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179" fontId="51" fillId="0" borderId="130"/>
    <xf numFmtId="180"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31">
      <protection locked="0"/>
    </xf>
    <xf numFmtId="171" fontId="51" fillId="0" borderId="130"/>
    <xf numFmtId="174" fontId="51" fillId="0" borderId="130"/>
    <xf numFmtId="179" fontId="51" fillId="0" borderId="130"/>
    <xf numFmtId="0" fontId="54" fillId="46" borderId="124">
      <protection locked="0"/>
    </xf>
    <xf numFmtId="0" fontId="54" fillId="46" borderId="124">
      <protection locked="0"/>
    </xf>
    <xf numFmtId="0" fontId="11" fillId="22" borderId="126" applyNumberFormat="0" applyAlignment="0" applyProtection="0"/>
    <xf numFmtId="174" fontId="51" fillId="0" borderId="130"/>
    <xf numFmtId="171" fontId="51" fillId="0" borderId="130"/>
    <xf numFmtId="174" fontId="51" fillId="0" borderId="130"/>
    <xf numFmtId="174" fontId="51" fillId="0" borderId="130"/>
    <xf numFmtId="0" fontId="21" fillId="22" borderId="128" applyNumberFormat="0" applyAlignment="0" applyProtection="0"/>
    <xf numFmtId="179" fontId="51" fillId="0" borderId="130"/>
    <xf numFmtId="174" fontId="51" fillId="0" borderId="130"/>
    <xf numFmtId="0" fontId="54" fillId="46" borderId="124">
      <protection locked="0"/>
    </xf>
    <xf numFmtId="0" fontId="21" fillId="22" borderId="128" applyNumberFormat="0" applyAlignment="0" applyProtection="0"/>
    <xf numFmtId="0" fontId="8" fillId="25" borderId="127" applyNumberFormat="0" applyFont="0" applyAlignment="0" applyProtection="0"/>
    <xf numFmtId="171" fontId="51" fillId="0" borderId="130"/>
    <xf numFmtId="0" fontId="8" fillId="25" borderId="127" applyNumberFormat="0" applyFont="0" applyAlignment="0" applyProtection="0"/>
    <xf numFmtId="173" fontId="51" fillId="0" borderId="130"/>
    <xf numFmtId="0" fontId="23" fillId="0" borderId="129" applyNumberFormat="0" applyFill="0" applyAlignment="0" applyProtection="0"/>
    <xf numFmtId="175" fontId="51" fillId="0" borderId="130"/>
    <xf numFmtId="174" fontId="51" fillId="0" borderId="130"/>
    <xf numFmtId="0" fontId="23" fillId="0" borderId="129" applyNumberFormat="0" applyFill="0" applyAlignment="0" applyProtection="0"/>
    <xf numFmtId="181" fontId="51" fillId="0" borderId="130"/>
    <xf numFmtId="174" fontId="51" fillId="0" borderId="130"/>
    <xf numFmtId="174" fontId="51" fillId="0" borderId="130"/>
    <xf numFmtId="0" fontId="18" fillId="9" borderId="126" applyNumberFormat="0" applyAlignment="0" applyProtection="0"/>
    <xf numFmtId="0" fontId="21" fillId="22" borderId="128" applyNumberFormat="0" applyAlignment="0" applyProtection="0"/>
    <xf numFmtId="171" fontId="51" fillId="0" borderId="130"/>
    <xf numFmtId="0" fontId="8" fillId="25" borderId="127" applyNumberFormat="0" applyFont="0" applyAlignment="0" applyProtection="0"/>
    <xf numFmtId="172" fontId="51" fillId="0" borderId="130"/>
    <xf numFmtId="176" fontId="51" fillId="0" borderId="130"/>
    <xf numFmtId="0" fontId="23" fillId="0" borderId="129" applyNumberFormat="0" applyFill="0" applyAlignment="0" applyProtection="0"/>
    <xf numFmtId="0" fontId="8" fillId="25" borderId="127" applyNumberFormat="0" applyFont="0" applyAlignment="0" applyProtection="0"/>
    <xf numFmtId="175" fontId="51" fillId="0" borderId="130"/>
    <xf numFmtId="171" fontId="51" fillId="0" borderId="130"/>
    <xf numFmtId="179" fontId="51" fillId="0" borderId="130"/>
    <xf numFmtId="0" fontId="18" fillId="9" borderId="126" applyNumberFormat="0" applyAlignment="0" applyProtection="0"/>
    <xf numFmtId="171" fontId="51" fillId="0" borderId="130"/>
    <xf numFmtId="0" fontId="21" fillId="22" borderId="128" applyNumberFormat="0" applyAlignment="0" applyProtection="0"/>
    <xf numFmtId="179" fontId="51" fillId="0" borderId="130"/>
    <xf numFmtId="171" fontId="51" fillId="0" borderId="130"/>
    <xf numFmtId="179" fontId="51" fillId="0" borderId="130"/>
    <xf numFmtId="174" fontId="51" fillId="0" borderId="130"/>
    <xf numFmtId="172" fontId="51" fillId="0" borderId="130"/>
    <xf numFmtId="171" fontId="51" fillId="0" borderId="130"/>
    <xf numFmtId="174" fontId="51" fillId="0" borderId="130"/>
    <xf numFmtId="173" fontId="51" fillId="0" borderId="130"/>
    <xf numFmtId="180" fontId="51" fillId="0" borderId="130"/>
    <xf numFmtId="179" fontId="51" fillId="0" borderId="130"/>
    <xf numFmtId="174" fontId="51" fillId="0" borderId="130"/>
    <xf numFmtId="171" fontId="51" fillId="0" borderId="130"/>
    <xf numFmtId="179" fontId="51" fillId="0" borderId="130"/>
    <xf numFmtId="174" fontId="51" fillId="0" borderId="130"/>
    <xf numFmtId="171" fontId="51" fillId="0" borderId="130"/>
    <xf numFmtId="179" fontId="51" fillId="0" borderId="130"/>
    <xf numFmtId="179" fontId="51" fillId="0" borderId="130"/>
    <xf numFmtId="180" fontId="51" fillId="0" borderId="130"/>
    <xf numFmtId="176" fontId="51" fillId="0" borderId="130"/>
    <xf numFmtId="171" fontId="51" fillId="0" borderId="130"/>
    <xf numFmtId="0" fontId="23" fillId="0" borderId="129" applyNumberFormat="0" applyFill="0" applyAlignment="0" applyProtection="0"/>
    <xf numFmtId="0" fontId="11" fillId="22" borderId="126" applyNumberFormat="0" applyAlignment="0" applyProtection="0"/>
    <xf numFmtId="171" fontId="51" fillId="0" borderId="130"/>
    <xf numFmtId="173" fontId="51" fillId="0" borderId="130"/>
    <xf numFmtId="171" fontId="51" fillId="0" borderId="130"/>
    <xf numFmtId="174" fontId="51" fillId="0" borderId="130"/>
    <xf numFmtId="179" fontId="51" fillId="0" borderId="130"/>
    <xf numFmtId="171" fontId="51" fillId="0" borderId="130"/>
    <xf numFmtId="0" fontId="18" fillId="9" borderId="126" applyNumberFormat="0" applyAlignment="0" applyProtection="0"/>
    <xf numFmtId="173" fontId="51" fillId="0" borderId="130"/>
    <xf numFmtId="0" fontId="11" fillId="22" borderId="126" applyNumberFormat="0" applyAlignment="0" applyProtection="0"/>
    <xf numFmtId="181" fontId="51" fillId="0" borderId="130"/>
    <xf numFmtId="171" fontId="51" fillId="0" borderId="130"/>
    <xf numFmtId="172" fontId="51" fillId="0" borderId="130"/>
    <xf numFmtId="174" fontId="51" fillId="0" borderId="130"/>
    <xf numFmtId="175" fontId="51" fillId="0" borderId="130"/>
    <xf numFmtId="174" fontId="51" fillId="0" borderId="130"/>
    <xf numFmtId="174" fontId="51" fillId="0" borderId="130"/>
    <xf numFmtId="0" fontId="11" fillId="22" borderId="126" applyNumberFormat="0" applyAlignment="0" applyProtection="0"/>
    <xf numFmtId="171" fontId="51" fillId="0" borderId="130"/>
    <xf numFmtId="174" fontId="51" fillId="0" borderId="130"/>
    <xf numFmtId="181" fontId="51" fillId="0" borderId="130"/>
    <xf numFmtId="171"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171" fontId="51" fillId="0" borderId="130"/>
    <xf numFmtId="179" fontId="51" fillId="0" borderId="130"/>
    <xf numFmtId="179" fontId="51" fillId="0" borderId="130"/>
    <xf numFmtId="0" fontId="54" fillId="46" borderId="124">
      <protection locked="0"/>
    </xf>
    <xf numFmtId="0" fontId="8" fillId="25" borderId="127" applyNumberFormat="0" applyFont="0" applyAlignment="0" applyProtection="0"/>
    <xf numFmtId="179" fontId="51" fillId="0" borderId="130"/>
    <xf numFmtId="176" fontId="51" fillId="0" borderId="130"/>
    <xf numFmtId="171" fontId="51" fillId="0" borderId="130"/>
    <xf numFmtId="0" fontId="11" fillId="22" borderId="126" applyNumberFormat="0" applyAlignment="0" applyProtection="0"/>
    <xf numFmtId="174" fontId="51" fillId="0" borderId="13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0" fontId="21" fillId="22" borderId="128" applyNumberFormat="0" applyAlignment="0" applyProtection="0"/>
    <xf numFmtId="174" fontId="51" fillId="0" borderId="130"/>
    <xf numFmtId="174" fontId="51" fillId="0" borderId="130"/>
    <xf numFmtId="172" fontId="51" fillId="0" borderId="130"/>
    <xf numFmtId="174" fontId="51" fillId="0" borderId="130"/>
    <xf numFmtId="179" fontId="51" fillId="0" borderId="130"/>
    <xf numFmtId="179" fontId="51" fillId="0" borderId="130"/>
    <xf numFmtId="171" fontId="51" fillId="0" borderId="130"/>
    <xf numFmtId="174" fontId="51" fillId="0" borderId="130"/>
    <xf numFmtId="179" fontId="51" fillId="0" borderId="130"/>
    <xf numFmtId="171" fontId="51" fillId="0" borderId="130"/>
    <xf numFmtId="173" fontId="51" fillId="0" borderId="130"/>
    <xf numFmtId="179" fontId="51" fillId="0" borderId="130"/>
    <xf numFmtId="0" fontId="23" fillId="0" borderId="129" applyNumberFormat="0" applyFill="0" applyAlignment="0" applyProtection="0"/>
    <xf numFmtId="174" fontId="51" fillId="0" borderId="130"/>
    <xf numFmtId="174" fontId="51" fillId="0" borderId="130"/>
    <xf numFmtId="179" fontId="51" fillId="0" borderId="130"/>
    <xf numFmtId="171" fontId="51" fillId="0" borderId="130"/>
    <xf numFmtId="0" fontId="18" fillId="9" borderId="126" applyNumberFormat="0" applyAlignment="0" applyProtection="0"/>
    <xf numFmtId="176" fontId="51" fillId="0" borderId="130"/>
    <xf numFmtId="175" fontId="51" fillId="0" borderId="130"/>
    <xf numFmtId="180" fontId="51" fillId="0" borderId="130"/>
    <xf numFmtId="175" fontId="51" fillId="0" borderId="130"/>
    <xf numFmtId="180" fontId="51" fillId="0" borderId="130"/>
    <xf numFmtId="172" fontId="51" fillId="0" borderId="130"/>
    <xf numFmtId="0" fontId="54" fillId="46" borderId="124">
      <protection locked="0"/>
    </xf>
    <xf numFmtId="180" fontId="51" fillId="0" borderId="130"/>
    <xf numFmtId="181" fontId="51" fillId="0" borderId="130"/>
    <xf numFmtId="0" fontId="54" fillId="46" borderId="124">
      <protection locked="0"/>
    </xf>
    <xf numFmtId="174" fontId="51" fillId="0" borderId="130"/>
    <xf numFmtId="181" fontId="51" fillId="0" borderId="130"/>
    <xf numFmtId="175" fontId="51" fillId="0" borderId="130"/>
    <xf numFmtId="176" fontId="51" fillId="0" borderId="13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9" fontId="51" fillId="0" borderId="130"/>
    <xf numFmtId="171" fontId="51" fillId="0" borderId="130"/>
    <xf numFmtId="174" fontId="51" fillId="0" borderId="130"/>
    <xf numFmtId="179" fontId="51" fillId="0" borderId="130"/>
    <xf numFmtId="179" fontId="51" fillId="0" borderId="130"/>
    <xf numFmtId="179" fontId="51" fillId="0" borderId="130"/>
    <xf numFmtId="174" fontId="51" fillId="0" borderId="130"/>
    <xf numFmtId="179" fontId="51" fillId="0" borderId="130"/>
    <xf numFmtId="179" fontId="51" fillId="0" borderId="130"/>
    <xf numFmtId="174" fontId="51" fillId="0" borderId="130"/>
    <xf numFmtId="174" fontId="51" fillId="0" borderId="130"/>
    <xf numFmtId="0" fontId="21" fillId="22" borderId="128" applyNumberFormat="0" applyAlignment="0" applyProtection="0"/>
    <xf numFmtId="174" fontId="51" fillId="0" borderId="130"/>
    <xf numFmtId="0" fontId="23" fillId="0" borderId="129" applyNumberFormat="0" applyFill="0" applyAlignment="0" applyProtection="0"/>
    <xf numFmtId="171" fontId="51" fillId="0" borderId="130"/>
    <xf numFmtId="171" fontId="51" fillId="0" borderId="130"/>
    <xf numFmtId="174" fontId="51" fillId="0" borderId="130"/>
    <xf numFmtId="175" fontId="51" fillId="0" borderId="130"/>
    <xf numFmtId="0" fontId="18" fillId="9" borderId="126" applyNumberFormat="0" applyAlignment="0" applyProtection="0"/>
    <xf numFmtId="171" fontId="51" fillId="0" borderId="130"/>
    <xf numFmtId="0" fontId="21" fillId="22" borderId="128" applyNumberFormat="0" applyAlignment="0" applyProtection="0"/>
    <xf numFmtId="173" fontId="51" fillId="0" borderId="130"/>
    <xf numFmtId="171" fontId="51" fillId="0" borderId="130"/>
    <xf numFmtId="0" fontId="18" fillId="9" borderId="126" applyNumberFormat="0" applyAlignment="0" applyProtection="0"/>
    <xf numFmtId="176" fontId="51" fillId="0" borderId="130"/>
    <xf numFmtId="0" fontId="11" fillId="22" borderId="126" applyNumberFormat="0" applyAlignment="0" applyProtection="0"/>
    <xf numFmtId="171" fontId="51" fillId="0" borderId="130"/>
    <xf numFmtId="171" fontId="51" fillId="0" borderId="130"/>
    <xf numFmtId="179" fontId="51" fillId="0" borderId="130"/>
    <xf numFmtId="0" fontId="54" fillId="46" borderId="124">
      <protection locked="0"/>
    </xf>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5" fontId="51" fillId="0" borderId="130"/>
    <xf numFmtId="179" fontId="51" fillId="0" borderId="130"/>
    <xf numFmtId="171" fontId="51" fillId="0" borderId="130"/>
    <xf numFmtId="171" fontId="51" fillId="0" borderId="130"/>
    <xf numFmtId="0" fontId="23" fillId="0" borderId="129" applyNumberFormat="0" applyFill="0" applyAlignment="0" applyProtection="0"/>
    <xf numFmtId="179" fontId="51" fillId="0" borderId="130"/>
    <xf numFmtId="171" fontId="51" fillId="0" borderId="130"/>
    <xf numFmtId="171" fontId="51" fillId="0" borderId="130"/>
    <xf numFmtId="179" fontId="51" fillId="0" borderId="130"/>
    <xf numFmtId="174" fontId="51" fillId="0" borderId="130"/>
    <xf numFmtId="174" fontId="51" fillId="0" borderId="130"/>
    <xf numFmtId="179" fontId="51" fillId="0" borderId="130"/>
    <xf numFmtId="179" fontId="51" fillId="0" borderId="130"/>
    <xf numFmtId="179" fontId="51" fillId="0" borderId="130"/>
    <xf numFmtId="171" fontId="51" fillId="0" borderId="130"/>
    <xf numFmtId="173" fontId="51" fillId="0" borderId="130"/>
    <xf numFmtId="171" fontId="51" fillId="0" borderId="130"/>
    <xf numFmtId="179" fontId="51" fillId="0" borderId="130"/>
    <xf numFmtId="0" fontId="18" fillId="9" borderId="126" applyNumberFormat="0" applyAlignment="0" applyProtection="0"/>
    <xf numFmtId="179" fontId="51" fillId="0" borderId="130"/>
    <xf numFmtId="179" fontId="51" fillId="0" borderId="130"/>
    <xf numFmtId="0" fontId="23" fillId="0" borderId="129" applyNumberFormat="0" applyFill="0" applyAlignment="0" applyProtection="0"/>
    <xf numFmtId="171" fontId="51" fillId="0" borderId="130"/>
    <xf numFmtId="0" fontId="8" fillId="25" borderId="127" applyNumberFormat="0" applyFont="0" applyAlignment="0" applyProtection="0"/>
    <xf numFmtId="0" fontId="18" fillId="9" borderId="126" applyNumberFormat="0" applyAlignment="0" applyProtection="0"/>
    <xf numFmtId="171" fontId="51" fillId="0" borderId="130"/>
    <xf numFmtId="179" fontId="51" fillId="0" borderId="130"/>
    <xf numFmtId="0" fontId="8" fillId="25" borderId="127" applyNumberFormat="0" applyFont="0" applyAlignment="0" applyProtection="0"/>
    <xf numFmtId="0" fontId="11" fillId="22" borderId="126" applyNumberFormat="0" applyAlignment="0" applyProtection="0"/>
    <xf numFmtId="171" fontId="51" fillId="0" borderId="13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1" fontId="51" fillId="0" borderId="130"/>
    <xf numFmtId="180" fontId="51" fillId="0" borderId="130"/>
    <xf numFmtId="174" fontId="51" fillId="0" borderId="130"/>
    <xf numFmtId="174" fontId="51" fillId="0" borderId="130"/>
    <xf numFmtId="173" fontId="51" fillId="0" borderId="130"/>
    <xf numFmtId="179" fontId="51" fillId="0" borderId="130"/>
    <xf numFmtId="172" fontId="51" fillId="0" borderId="130"/>
    <xf numFmtId="0" fontId="21" fillId="22" borderId="128" applyNumberFormat="0" applyAlignment="0" applyProtection="0"/>
    <xf numFmtId="171" fontId="51" fillId="0" borderId="130"/>
    <xf numFmtId="174" fontId="51" fillId="0" borderId="130"/>
    <xf numFmtId="179" fontId="51" fillId="0" borderId="130"/>
    <xf numFmtId="0" fontId="11" fillId="22" borderId="126" applyNumberFormat="0" applyAlignment="0" applyProtection="0"/>
    <xf numFmtId="174" fontId="51" fillId="0" borderId="130"/>
    <xf numFmtId="175" fontId="51" fillId="0" borderId="130"/>
    <xf numFmtId="174" fontId="51" fillId="0" borderId="130"/>
    <xf numFmtId="181" fontId="51" fillId="0" borderId="130"/>
    <xf numFmtId="171" fontId="51" fillId="0" borderId="130"/>
    <xf numFmtId="176" fontId="51" fillId="0" borderId="130"/>
    <xf numFmtId="172" fontId="51" fillId="0" borderId="130"/>
    <xf numFmtId="179" fontId="51" fillId="0" borderId="130"/>
    <xf numFmtId="180" fontId="51" fillId="0" borderId="130"/>
    <xf numFmtId="181" fontId="51" fillId="0" borderId="130"/>
    <xf numFmtId="0" fontId="54" fillId="46" borderId="124">
      <protection locked="0"/>
    </xf>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4" fontId="51" fillId="0" borderId="130"/>
    <xf numFmtId="174" fontId="51" fillId="0" borderId="130"/>
    <xf numFmtId="174" fontId="51" fillId="0" borderId="130"/>
    <xf numFmtId="171" fontId="51" fillId="0" borderId="130"/>
    <xf numFmtId="0" fontId="18" fillId="9" borderId="126" applyNumberFormat="0" applyAlignment="0" applyProtection="0"/>
    <xf numFmtId="174" fontId="51" fillId="0" borderId="130"/>
    <xf numFmtId="171" fontId="51" fillId="0" borderId="130"/>
    <xf numFmtId="179" fontId="51" fillId="0" borderId="130"/>
    <xf numFmtId="173" fontId="51" fillId="0" borderId="130"/>
    <xf numFmtId="173" fontId="51" fillId="0" borderId="130"/>
    <xf numFmtId="171" fontId="51" fillId="0" borderId="130"/>
    <xf numFmtId="173" fontId="51" fillId="0" borderId="130"/>
    <xf numFmtId="174" fontId="51" fillId="0" borderId="130"/>
    <xf numFmtId="176" fontId="51" fillId="0" borderId="130"/>
    <xf numFmtId="171" fontId="51" fillId="0" borderId="130"/>
    <xf numFmtId="0" fontId="11" fillId="22" borderId="126" applyNumberFormat="0" applyAlignment="0" applyProtection="0"/>
    <xf numFmtId="179" fontId="51" fillId="0" borderId="130"/>
    <xf numFmtId="179" fontId="51" fillId="0" borderId="130"/>
    <xf numFmtId="179" fontId="51" fillId="0" borderId="130"/>
    <xf numFmtId="171" fontId="51" fillId="0" borderId="130"/>
    <xf numFmtId="0" fontId="8" fillId="25" borderId="127" applyNumberFormat="0" applyFont="0" applyAlignment="0" applyProtection="0"/>
    <xf numFmtId="171" fontId="51" fillId="0" borderId="130"/>
    <xf numFmtId="180" fontId="51" fillId="0" borderId="130"/>
    <xf numFmtId="174" fontId="51" fillId="0" borderId="130"/>
    <xf numFmtId="175" fontId="51" fillId="0" borderId="130"/>
    <xf numFmtId="0" fontId="18" fillId="9" borderId="126" applyNumberFormat="0" applyAlignment="0" applyProtection="0"/>
    <xf numFmtId="171" fontId="51" fillId="0" borderId="130"/>
    <xf numFmtId="179" fontId="51" fillId="0" borderId="130"/>
    <xf numFmtId="174" fontId="51" fillId="0" borderId="130"/>
    <xf numFmtId="179" fontId="51" fillId="0" borderId="130"/>
    <xf numFmtId="171" fontId="51" fillId="0" borderId="130"/>
    <xf numFmtId="179" fontId="51" fillId="0" borderId="130"/>
    <xf numFmtId="174" fontId="51" fillId="0" borderId="130"/>
    <xf numFmtId="174" fontId="51" fillId="0" borderId="130"/>
    <xf numFmtId="171" fontId="51" fillId="0" borderId="130"/>
    <xf numFmtId="174" fontId="51" fillId="0" borderId="130"/>
    <xf numFmtId="175" fontId="51" fillId="0" borderId="130"/>
    <xf numFmtId="174" fontId="51" fillId="0" borderId="130"/>
    <xf numFmtId="179" fontId="51" fillId="0" borderId="130"/>
    <xf numFmtId="179" fontId="51" fillId="0" borderId="130"/>
    <xf numFmtId="171" fontId="51" fillId="0" borderId="130"/>
    <xf numFmtId="0" fontId="21" fillId="22" borderId="128" applyNumberFormat="0" applyAlignment="0" applyProtection="0"/>
    <xf numFmtId="172" fontId="51" fillId="0" borderId="130"/>
    <xf numFmtId="0" fontId="23" fillId="0" borderId="129" applyNumberFormat="0" applyFill="0" applyAlignment="0" applyProtection="0"/>
    <xf numFmtId="0" fontId="8" fillId="25" borderId="127" applyNumberFormat="0" applyFont="0" applyAlignment="0" applyProtection="0"/>
    <xf numFmtId="0" fontId="11" fillId="22" borderId="126" applyNumberFormat="0" applyAlignment="0" applyProtection="0"/>
    <xf numFmtId="0" fontId="54" fillId="46" borderId="124">
      <protection locked="0"/>
    </xf>
    <xf numFmtId="175" fontId="51" fillId="0" borderId="130"/>
    <xf numFmtId="0" fontId="23" fillId="0" borderId="129" applyNumberFormat="0" applyFill="0" applyAlignment="0" applyProtection="0"/>
    <xf numFmtId="174" fontId="51" fillId="0" borderId="130"/>
    <xf numFmtId="0" fontId="21" fillId="22" borderId="128" applyNumberFormat="0" applyAlignment="0" applyProtection="0"/>
    <xf numFmtId="171" fontId="51" fillId="0" borderId="130"/>
    <xf numFmtId="181" fontId="51" fillId="0" borderId="130"/>
    <xf numFmtId="171" fontId="51" fillId="0" borderId="130"/>
    <xf numFmtId="179" fontId="51" fillId="0" borderId="130"/>
    <xf numFmtId="0" fontId="11" fillId="22" borderId="126" applyNumberFormat="0" applyAlignment="0" applyProtection="0"/>
    <xf numFmtId="174" fontId="51" fillId="0" borderId="130"/>
    <xf numFmtId="180" fontId="51" fillId="0" borderId="130"/>
    <xf numFmtId="174" fontId="51" fillId="0" borderId="130"/>
    <xf numFmtId="171" fontId="51" fillId="0" borderId="130"/>
    <xf numFmtId="174" fontId="51" fillId="0" borderId="130"/>
    <xf numFmtId="172" fontId="51" fillId="0" borderId="130"/>
    <xf numFmtId="179" fontId="51" fillId="0" borderId="130"/>
    <xf numFmtId="176" fontId="51" fillId="0" borderId="130"/>
    <xf numFmtId="174" fontId="51" fillId="0" borderId="130"/>
    <xf numFmtId="172" fontId="51" fillId="0" borderId="130"/>
    <xf numFmtId="171" fontId="51" fillId="0" borderId="130"/>
    <xf numFmtId="180" fontId="51" fillId="0" borderId="130"/>
    <xf numFmtId="181" fontId="51" fillId="0" borderId="130"/>
    <xf numFmtId="0" fontId="54" fillId="46" borderId="124">
      <protection locked="0"/>
    </xf>
    <xf numFmtId="179" fontId="51" fillId="0" borderId="130"/>
    <xf numFmtId="179" fontId="51" fillId="0" borderId="130"/>
    <xf numFmtId="179" fontId="51" fillId="0" borderId="130"/>
    <xf numFmtId="171" fontId="51" fillId="0" borderId="130"/>
    <xf numFmtId="179" fontId="51" fillId="0" borderId="130"/>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81" fontId="51" fillId="0" borderId="130"/>
    <xf numFmtId="171" fontId="51" fillId="0" borderId="130"/>
    <xf numFmtId="174" fontId="51" fillId="0" borderId="130"/>
    <xf numFmtId="179" fontId="51" fillId="0" borderId="130"/>
    <xf numFmtId="171" fontId="51" fillId="0" borderId="130"/>
    <xf numFmtId="0" fontId="8" fillId="25" borderId="127" applyNumberFormat="0" applyFont="0" applyAlignment="0" applyProtection="0"/>
    <xf numFmtId="174" fontId="51" fillId="0" borderId="130"/>
    <xf numFmtId="176" fontId="51" fillId="0" borderId="130"/>
    <xf numFmtId="179" fontId="51" fillId="0" borderId="130"/>
    <xf numFmtId="171" fontId="51" fillId="0" borderId="130"/>
    <xf numFmtId="174"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4" fontId="51" fillId="0" borderId="130"/>
    <xf numFmtId="179" fontId="51" fillId="0" borderId="130"/>
    <xf numFmtId="171" fontId="51" fillId="0" borderId="130"/>
    <xf numFmtId="179" fontId="51" fillId="0" borderId="130"/>
    <xf numFmtId="179" fontId="51" fillId="0" borderId="130"/>
    <xf numFmtId="174" fontId="51" fillId="0" borderId="130"/>
    <xf numFmtId="174" fontId="51" fillId="0" borderId="130"/>
    <xf numFmtId="171" fontId="51" fillId="0" borderId="130"/>
    <xf numFmtId="171" fontId="51" fillId="0" borderId="130"/>
    <xf numFmtId="171" fontId="51" fillId="0" borderId="130"/>
    <xf numFmtId="0" fontId="54" fillId="46" borderId="131">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4" fontId="51" fillId="0" borderId="130"/>
    <xf numFmtId="0" fontId="54" fillId="46" borderId="131">
      <protection locked="0"/>
    </xf>
    <xf numFmtId="176" fontId="51" fillId="0" borderId="130"/>
    <xf numFmtId="181" fontId="51" fillId="0" borderId="130"/>
    <xf numFmtId="171" fontId="51" fillId="0" borderId="130"/>
    <xf numFmtId="0" fontId="11" fillId="22" borderId="126" applyNumberFormat="0" applyAlignment="0" applyProtection="0"/>
    <xf numFmtId="0" fontId="18" fillId="9" borderId="126" applyNumberFormat="0" applyAlignment="0" applyProtection="0"/>
    <xf numFmtId="181" fontId="51" fillId="0" borderId="130"/>
    <xf numFmtId="180" fontId="51" fillId="0" borderId="130"/>
    <xf numFmtId="179" fontId="51" fillId="0" borderId="130"/>
    <xf numFmtId="171" fontId="51" fillId="0" borderId="130"/>
    <xf numFmtId="175" fontId="51" fillId="0" borderId="130"/>
    <xf numFmtId="176" fontId="51" fillId="0" borderId="130"/>
    <xf numFmtId="175" fontId="51" fillId="0" borderId="130"/>
    <xf numFmtId="174" fontId="51" fillId="0" borderId="130"/>
    <xf numFmtId="176" fontId="51" fillId="0" borderId="130"/>
    <xf numFmtId="180" fontId="51" fillId="0" borderId="130"/>
    <xf numFmtId="173" fontId="51" fillId="0" borderId="130"/>
    <xf numFmtId="0" fontId="11" fillId="22" borderId="126" applyNumberFormat="0" applyAlignment="0" applyProtection="0"/>
    <xf numFmtId="172" fontId="51" fillId="0" borderId="130"/>
    <xf numFmtId="179" fontId="51" fillId="0" borderId="130"/>
    <xf numFmtId="176" fontId="51" fillId="0" borderId="130"/>
    <xf numFmtId="174" fontId="51" fillId="0" borderId="130"/>
    <xf numFmtId="171" fontId="51" fillId="0" borderId="130"/>
    <xf numFmtId="0" fontId="21" fillId="22" borderId="128" applyNumberFormat="0" applyAlignment="0" applyProtection="0"/>
    <xf numFmtId="0" fontId="23" fillId="0" borderId="129" applyNumberFormat="0" applyFill="0" applyAlignment="0" applyProtection="0"/>
    <xf numFmtId="180" fontId="51" fillId="0" borderId="130"/>
    <xf numFmtId="175" fontId="51" fillId="0" borderId="130"/>
    <xf numFmtId="173" fontId="51" fillId="0" borderId="130"/>
    <xf numFmtId="172" fontId="51" fillId="0" borderId="130"/>
    <xf numFmtId="171" fontId="51" fillId="0" borderId="130"/>
    <xf numFmtId="181"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11" fillId="22" borderId="126" applyNumberFormat="0" applyAlignment="0" applyProtection="0"/>
    <xf numFmtId="0" fontId="54" fillId="46" borderId="124">
      <protection locked="0"/>
    </xf>
    <xf numFmtId="0" fontId="11" fillId="22" borderId="126" applyNumberFormat="0" applyAlignment="0" applyProtection="0"/>
    <xf numFmtId="0" fontId="21" fillId="22" borderId="128" applyNumberFormat="0" applyAlignment="0" applyProtection="0"/>
    <xf numFmtId="0" fontId="54" fillId="46" borderId="124">
      <protection locked="0"/>
    </xf>
    <xf numFmtId="173" fontId="51" fillId="0" borderId="130"/>
    <xf numFmtId="172"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23" fillId="0" borderId="129" applyNumberFormat="0" applyFill="0" applyAlignment="0" applyProtection="0"/>
    <xf numFmtId="171" fontId="51" fillId="0" borderId="130"/>
    <xf numFmtId="172"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1" fontId="51" fillId="0" borderId="130"/>
    <xf numFmtId="179" fontId="51" fillId="0" borderId="130"/>
    <xf numFmtId="0" fontId="11" fillId="22" borderId="126" applyNumberFormat="0" applyAlignment="0" applyProtection="0"/>
    <xf numFmtId="0" fontId="54" fillId="46" borderId="124">
      <protection locked="0"/>
    </xf>
    <xf numFmtId="181" fontId="51" fillId="0" borderId="130"/>
    <xf numFmtId="171" fontId="51" fillId="0" borderId="130"/>
    <xf numFmtId="0" fontId="23" fillId="0" borderId="129" applyNumberFormat="0" applyFill="0" applyAlignment="0" applyProtection="0"/>
    <xf numFmtId="179" fontId="51" fillId="0" borderId="130"/>
    <xf numFmtId="0" fontId="54" fillId="46" borderId="124">
      <protection locked="0"/>
    </xf>
    <xf numFmtId="0" fontId="11" fillId="22" borderId="126" applyNumberFormat="0" applyAlignment="0" applyProtection="0"/>
    <xf numFmtId="171" fontId="51" fillId="0" borderId="130"/>
    <xf numFmtId="171" fontId="51" fillId="0" borderId="130"/>
    <xf numFmtId="0" fontId="18" fillId="9" borderId="126" applyNumberFormat="0" applyAlignment="0" applyProtection="0"/>
    <xf numFmtId="172" fontId="51" fillId="0" borderId="130"/>
    <xf numFmtId="171" fontId="51" fillId="0" borderId="130"/>
    <xf numFmtId="174" fontId="51" fillId="0" borderId="130"/>
    <xf numFmtId="171" fontId="51" fillId="0" borderId="130"/>
    <xf numFmtId="174" fontId="51" fillId="0" borderId="130"/>
    <xf numFmtId="175" fontId="51" fillId="0" borderId="130"/>
    <xf numFmtId="176" fontId="51" fillId="0" borderId="130"/>
    <xf numFmtId="0" fontId="8" fillId="25" borderId="127" applyNumberFormat="0" applyFont="0" applyAlignment="0" applyProtection="0"/>
    <xf numFmtId="174" fontId="51" fillId="0" borderId="130"/>
    <xf numFmtId="179" fontId="51" fillId="0" borderId="130"/>
    <xf numFmtId="171" fontId="51" fillId="0" borderId="130"/>
    <xf numFmtId="180" fontId="51" fillId="0" borderId="130"/>
    <xf numFmtId="181" fontId="51" fillId="0" borderId="130"/>
    <xf numFmtId="0" fontId="18" fillId="9" borderId="126" applyNumberFormat="0" applyAlignment="0" applyProtection="0"/>
    <xf numFmtId="179" fontId="51" fillId="0" borderId="130"/>
    <xf numFmtId="179" fontId="51" fillId="0" borderId="130"/>
    <xf numFmtId="174" fontId="51" fillId="0" borderId="130"/>
    <xf numFmtId="171" fontId="51" fillId="0" borderId="130"/>
    <xf numFmtId="175" fontId="51" fillId="0" borderId="130"/>
    <xf numFmtId="171" fontId="51" fillId="0" borderId="130"/>
    <xf numFmtId="171" fontId="51" fillId="0" borderId="130"/>
    <xf numFmtId="174" fontId="51" fillId="0" borderId="130"/>
    <xf numFmtId="174" fontId="51" fillId="0" borderId="130"/>
    <xf numFmtId="171" fontId="51" fillId="0" borderId="130"/>
    <xf numFmtId="0" fontId="18" fillId="9" borderId="126" applyNumberFormat="0" applyAlignment="0" applyProtection="0"/>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8" fillId="25" borderId="127" applyNumberFormat="0" applyFont="0" applyAlignment="0" applyProtection="0"/>
    <xf numFmtId="173" fontId="51" fillId="0" borderId="130"/>
    <xf numFmtId="174" fontId="51" fillId="0" borderId="130"/>
    <xf numFmtId="179" fontId="51" fillId="0" borderId="130"/>
    <xf numFmtId="0" fontId="11" fillId="22" borderId="126" applyNumberFormat="0" applyAlignment="0" applyProtection="0"/>
    <xf numFmtId="173" fontId="51" fillId="0" borderId="130"/>
    <xf numFmtId="172" fontId="51" fillId="0" borderId="130"/>
    <xf numFmtId="0" fontId="21" fillId="22" borderId="128" applyNumberFormat="0" applyAlignment="0" applyProtection="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3" fontId="51" fillId="0" borderId="130"/>
    <xf numFmtId="175" fontId="51" fillId="0" borderId="130"/>
    <xf numFmtId="176"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80" fontId="51" fillId="0" borderId="130"/>
    <xf numFmtId="174" fontId="51" fillId="0" borderId="130"/>
    <xf numFmtId="179"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174" fontId="51" fillId="0" borderId="130"/>
    <xf numFmtId="179" fontId="51" fillId="0" borderId="130"/>
    <xf numFmtId="174" fontId="51" fillId="0" borderId="130"/>
    <xf numFmtId="171" fontId="51" fillId="0" borderId="130"/>
    <xf numFmtId="179" fontId="51" fillId="0" borderId="130"/>
    <xf numFmtId="174" fontId="51" fillId="0" borderId="130"/>
    <xf numFmtId="179" fontId="51" fillId="0" borderId="130"/>
    <xf numFmtId="171" fontId="51" fillId="0" borderId="130"/>
    <xf numFmtId="171" fontId="51" fillId="0" borderId="130"/>
    <xf numFmtId="179"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6" fontId="51" fillId="0" borderId="130"/>
    <xf numFmtId="0" fontId="11" fillId="22" borderId="126" applyNumberFormat="0" applyAlignment="0" applyProtection="0"/>
    <xf numFmtId="180" fontId="51" fillId="0" borderId="130"/>
    <xf numFmtId="179" fontId="51" fillId="0" borderId="130"/>
    <xf numFmtId="171" fontId="51" fillId="0" borderId="130"/>
    <xf numFmtId="171" fontId="51" fillId="0" borderId="130"/>
    <xf numFmtId="174" fontId="51" fillId="0" borderId="130"/>
    <xf numFmtId="174" fontId="51" fillId="0" borderId="130"/>
    <xf numFmtId="171" fontId="51" fillId="0" borderId="130"/>
    <xf numFmtId="0" fontId="23" fillId="0" borderId="129" applyNumberFormat="0" applyFill="0" applyAlignment="0" applyProtection="0"/>
    <xf numFmtId="174" fontId="51" fillId="0" borderId="130"/>
    <xf numFmtId="0" fontId="18" fillId="9" borderId="126" applyNumberFormat="0" applyAlignment="0" applyProtection="0"/>
    <xf numFmtId="0" fontId="21" fillId="22" borderId="128" applyNumberFormat="0" applyAlignment="0" applyProtection="0"/>
    <xf numFmtId="0" fontId="8" fillId="25" borderId="127" applyNumberFormat="0" applyFont="0" applyAlignment="0" applyProtection="0"/>
    <xf numFmtId="0" fontId="54" fillId="46" borderId="124">
      <protection locked="0"/>
    </xf>
    <xf numFmtId="179" fontId="51" fillId="0" borderId="130"/>
    <xf numFmtId="0" fontId="11" fillId="22" borderId="126" applyNumberFormat="0" applyAlignment="0" applyProtection="0"/>
    <xf numFmtId="0" fontId="18" fillId="9" borderId="126" applyNumberFormat="0" applyAlignment="0" applyProtection="0"/>
    <xf numFmtId="174" fontId="51" fillId="0" borderId="130"/>
    <xf numFmtId="171" fontId="51" fillId="0" borderId="130"/>
    <xf numFmtId="179" fontId="51" fillId="0" borderId="130"/>
    <xf numFmtId="174" fontId="51" fillId="0" borderId="130"/>
    <xf numFmtId="171" fontId="51" fillId="0" borderId="130"/>
    <xf numFmtId="172" fontId="51" fillId="0" borderId="130"/>
    <xf numFmtId="171" fontId="51" fillId="0" borderId="130"/>
    <xf numFmtId="174" fontId="51" fillId="0" borderId="130"/>
    <xf numFmtId="179" fontId="51" fillId="0" borderId="130"/>
    <xf numFmtId="171" fontId="51" fillId="0" borderId="130"/>
    <xf numFmtId="179" fontId="51" fillId="0" borderId="130"/>
    <xf numFmtId="0" fontId="11" fillId="22" borderId="126" applyNumberFormat="0" applyAlignment="0" applyProtection="0"/>
    <xf numFmtId="181" fontId="51" fillId="0" borderId="130"/>
    <xf numFmtId="175" fontId="51" fillId="0" borderId="130"/>
    <xf numFmtId="179"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23" fillId="0" borderId="129" applyNumberFormat="0" applyFill="0" applyAlignment="0" applyProtection="0"/>
    <xf numFmtId="179" fontId="51" fillId="0" borderId="130"/>
    <xf numFmtId="179" fontId="51" fillId="0" borderId="130"/>
    <xf numFmtId="174" fontId="51" fillId="0" borderId="130"/>
    <xf numFmtId="173" fontId="51" fillId="0" borderId="130"/>
    <xf numFmtId="0" fontId="8" fillId="25" borderId="127" applyNumberFormat="0" applyFont="0" applyAlignment="0" applyProtection="0"/>
    <xf numFmtId="174"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9" fontId="51" fillId="0" borderId="130"/>
    <xf numFmtId="174"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174" fontId="51" fillId="0" borderId="130"/>
    <xf numFmtId="0" fontId="18" fillId="9" borderId="126" applyNumberFormat="0" applyAlignment="0" applyProtection="0"/>
    <xf numFmtId="0" fontId="8" fillId="25" borderId="127" applyNumberFormat="0" applyFont="0" applyAlignment="0" applyProtection="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54" fillId="46" borderId="124">
      <protection locked="0"/>
    </xf>
    <xf numFmtId="0" fontId="23" fillId="0" borderId="129" applyNumberFormat="0" applyFill="0" applyAlignment="0" applyProtection="0"/>
    <xf numFmtId="0" fontId="21" fillId="22" borderId="128" applyNumberFormat="0" applyAlignment="0" applyProtection="0"/>
    <xf numFmtId="0" fontId="18" fillId="9" borderId="126" applyNumberFormat="0" applyAlignment="0" applyProtection="0"/>
    <xf numFmtId="181"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79" fontId="51" fillId="0" borderId="130"/>
    <xf numFmtId="179" fontId="51" fillId="0" borderId="130"/>
    <xf numFmtId="180" fontId="51" fillId="0" borderId="130"/>
    <xf numFmtId="171" fontId="51" fillId="0" borderId="130"/>
    <xf numFmtId="174" fontId="51" fillId="0" borderId="130"/>
    <xf numFmtId="174" fontId="51" fillId="0" borderId="130"/>
    <xf numFmtId="176" fontId="51" fillId="0" borderId="130"/>
    <xf numFmtId="171"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1" fillId="22" borderId="128" applyNumberFormat="0" applyAlignment="0" applyProtection="0"/>
    <xf numFmtId="0" fontId="18" fillId="9" borderId="126" applyNumberFormat="0" applyAlignment="0" applyProtection="0"/>
    <xf numFmtId="0" fontId="8" fillId="25" borderId="127" applyNumberFormat="0" applyFont="0" applyAlignment="0" applyProtection="0"/>
    <xf numFmtId="175" fontId="51" fillId="0" borderId="130"/>
    <xf numFmtId="179" fontId="51" fillId="0" borderId="130"/>
    <xf numFmtId="171" fontId="51" fillId="0" borderId="130"/>
    <xf numFmtId="172" fontId="51" fillId="0" borderId="130"/>
    <xf numFmtId="173" fontId="51" fillId="0" borderId="130"/>
    <xf numFmtId="0" fontId="8" fillId="25" borderId="127" applyNumberFormat="0" applyFont="0" applyAlignment="0" applyProtection="0"/>
    <xf numFmtId="174" fontId="51" fillId="0" borderId="130"/>
    <xf numFmtId="175" fontId="51" fillId="0" borderId="130"/>
    <xf numFmtId="176" fontId="51" fillId="0" borderId="130"/>
    <xf numFmtId="175" fontId="51" fillId="0" borderId="130"/>
    <xf numFmtId="179" fontId="51" fillId="0" borderId="130"/>
    <xf numFmtId="180" fontId="51" fillId="0" borderId="130"/>
    <xf numFmtId="181" fontId="51" fillId="0" borderId="130"/>
    <xf numFmtId="174" fontId="51" fillId="0" borderId="130"/>
    <xf numFmtId="171" fontId="51" fillId="0" borderId="130"/>
    <xf numFmtId="0" fontId="54" fillId="46" borderId="124">
      <protection locked="0"/>
    </xf>
    <xf numFmtId="0" fontId="11" fillId="22" borderId="126" applyNumberFormat="0" applyAlignment="0" applyProtection="0"/>
    <xf numFmtId="0" fontId="8" fillId="25" borderId="127" applyNumberFormat="0" applyFont="0" applyAlignment="0" applyProtection="0"/>
    <xf numFmtId="0" fontId="11" fillId="22" borderId="126" applyNumberFormat="0" applyAlignment="0" applyProtection="0"/>
    <xf numFmtId="181" fontId="51" fillId="0" borderId="130"/>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173" fontId="51" fillId="0" borderId="13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2" fontId="51" fillId="0" borderId="130"/>
    <xf numFmtId="173" fontId="51" fillId="0" borderId="130"/>
    <xf numFmtId="0" fontId="18" fillId="9" borderId="126" applyNumberFormat="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6" fontId="51" fillId="0" borderId="130"/>
    <xf numFmtId="171" fontId="51" fillId="0" borderId="130"/>
    <xf numFmtId="172" fontId="51" fillId="0" borderId="13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174" fontId="51" fillId="0" borderId="130"/>
    <xf numFmtId="179"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171" fontId="51" fillId="0" borderId="130"/>
    <xf numFmtId="179" fontId="51" fillId="0" borderId="130"/>
    <xf numFmtId="174" fontId="51" fillId="0" borderId="130"/>
    <xf numFmtId="174" fontId="51" fillId="0" borderId="130"/>
    <xf numFmtId="179" fontId="51" fillId="0" borderId="130"/>
    <xf numFmtId="171"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54" fillId="46" borderId="124">
      <protection locked="0"/>
    </xf>
    <xf numFmtId="171" fontId="51" fillId="0" borderId="130"/>
    <xf numFmtId="181" fontId="51" fillId="0" borderId="130"/>
    <xf numFmtId="174" fontId="51" fillId="0" borderId="130"/>
    <xf numFmtId="176" fontId="51" fillId="0" borderId="130"/>
    <xf numFmtId="173" fontId="51" fillId="0" borderId="130"/>
    <xf numFmtId="172" fontId="51" fillId="0" borderId="130"/>
    <xf numFmtId="179"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179" fontId="51" fillId="0" borderId="130"/>
    <xf numFmtId="180"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174" fontId="51" fillId="0" borderId="130"/>
    <xf numFmtId="179" fontId="51" fillId="0" borderId="130"/>
    <xf numFmtId="0" fontId="54" fillId="46" borderId="124">
      <protection locked="0"/>
    </xf>
    <xf numFmtId="0" fontId="54" fillId="46" borderId="124">
      <protection locked="0"/>
    </xf>
    <xf numFmtId="0" fontId="11" fillId="22" borderId="126" applyNumberFormat="0" applyAlignment="0" applyProtection="0"/>
    <xf numFmtId="174" fontId="51" fillId="0" borderId="130"/>
    <xf numFmtId="171" fontId="51" fillId="0" borderId="130"/>
    <xf numFmtId="174" fontId="51" fillId="0" borderId="130"/>
    <xf numFmtId="174" fontId="51" fillId="0" borderId="130"/>
    <xf numFmtId="0" fontId="21" fillId="22" borderId="128" applyNumberFormat="0" applyAlignment="0" applyProtection="0"/>
    <xf numFmtId="179" fontId="51" fillId="0" borderId="130"/>
    <xf numFmtId="174" fontId="51" fillId="0" borderId="130"/>
    <xf numFmtId="0" fontId="54" fillId="46" borderId="124">
      <protection locked="0"/>
    </xf>
    <xf numFmtId="0" fontId="21" fillId="22" borderId="128" applyNumberFormat="0" applyAlignment="0" applyProtection="0"/>
    <xf numFmtId="0" fontId="8" fillId="25" borderId="127" applyNumberFormat="0" applyFont="0" applyAlignment="0" applyProtection="0"/>
    <xf numFmtId="171" fontId="51" fillId="0" borderId="130"/>
    <xf numFmtId="0" fontId="8" fillId="25" borderId="127" applyNumberFormat="0" applyFont="0" applyAlignment="0" applyProtection="0"/>
    <xf numFmtId="173" fontId="51" fillId="0" borderId="130"/>
    <xf numFmtId="0" fontId="23" fillId="0" borderId="129" applyNumberFormat="0" applyFill="0" applyAlignment="0" applyProtection="0"/>
    <xf numFmtId="175" fontId="51" fillId="0" borderId="130"/>
    <xf numFmtId="174" fontId="51" fillId="0" borderId="130"/>
    <xf numFmtId="0" fontId="23" fillId="0" borderId="129" applyNumberFormat="0" applyFill="0" applyAlignment="0" applyProtection="0"/>
    <xf numFmtId="181" fontId="51" fillId="0" borderId="130"/>
    <xf numFmtId="174" fontId="51" fillId="0" borderId="130"/>
    <xf numFmtId="174" fontId="51" fillId="0" borderId="130"/>
    <xf numFmtId="0" fontId="18" fillId="9" borderId="126" applyNumberFormat="0" applyAlignment="0" applyProtection="0"/>
    <xf numFmtId="0" fontId="21" fillId="22" borderId="128" applyNumberFormat="0" applyAlignment="0" applyProtection="0"/>
    <xf numFmtId="171" fontId="51" fillId="0" borderId="130"/>
    <xf numFmtId="0" fontId="8" fillId="25" borderId="127" applyNumberFormat="0" applyFont="0" applyAlignment="0" applyProtection="0"/>
    <xf numFmtId="172" fontId="51" fillId="0" borderId="130"/>
    <xf numFmtId="176" fontId="51" fillId="0" borderId="130"/>
    <xf numFmtId="0" fontId="23" fillId="0" borderId="129" applyNumberFormat="0" applyFill="0" applyAlignment="0" applyProtection="0"/>
    <xf numFmtId="0" fontId="8" fillId="25" borderId="127" applyNumberFormat="0" applyFont="0" applyAlignment="0" applyProtection="0"/>
    <xf numFmtId="175" fontId="51" fillId="0" borderId="130"/>
    <xf numFmtId="171" fontId="51" fillId="0" borderId="130"/>
    <xf numFmtId="179" fontId="51" fillId="0" borderId="130"/>
    <xf numFmtId="0" fontId="18" fillId="9" borderId="126" applyNumberFormat="0" applyAlignment="0" applyProtection="0"/>
    <xf numFmtId="171" fontId="51" fillId="0" borderId="130"/>
    <xf numFmtId="0" fontId="21" fillId="22" borderId="128" applyNumberFormat="0" applyAlignment="0" applyProtection="0"/>
    <xf numFmtId="179" fontId="51" fillId="0" borderId="130"/>
    <xf numFmtId="171" fontId="51" fillId="0" borderId="130"/>
    <xf numFmtId="179" fontId="51" fillId="0" borderId="130"/>
    <xf numFmtId="174" fontId="51" fillId="0" borderId="130"/>
    <xf numFmtId="172" fontId="51" fillId="0" borderId="130"/>
    <xf numFmtId="171" fontId="51" fillId="0" borderId="130"/>
    <xf numFmtId="174" fontId="51" fillId="0" borderId="130"/>
    <xf numFmtId="173" fontId="51" fillId="0" borderId="130"/>
    <xf numFmtId="180" fontId="51" fillId="0" borderId="130"/>
    <xf numFmtId="179" fontId="51" fillId="0" borderId="130"/>
    <xf numFmtId="174" fontId="51" fillId="0" borderId="130"/>
    <xf numFmtId="171" fontId="51" fillId="0" borderId="130"/>
    <xf numFmtId="179" fontId="51" fillId="0" borderId="130"/>
    <xf numFmtId="174" fontId="51" fillId="0" borderId="130"/>
    <xf numFmtId="171" fontId="51" fillId="0" borderId="130"/>
    <xf numFmtId="179" fontId="51" fillId="0" borderId="130"/>
    <xf numFmtId="179" fontId="51" fillId="0" borderId="130"/>
    <xf numFmtId="180" fontId="51" fillId="0" borderId="130"/>
    <xf numFmtId="176" fontId="51" fillId="0" borderId="130"/>
    <xf numFmtId="171" fontId="51" fillId="0" borderId="130"/>
    <xf numFmtId="0" fontId="23" fillId="0" borderId="129" applyNumberFormat="0" applyFill="0" applyAlignment="0" applyProtection="0"/>
    <xf numFmtId="0" fontId="11" fillId="22" borderId="126" applyNumberFormat="0" applyAlignment="0" applyProtection="0"/>
    <xf numFmtId="171" fontId="51" fillId="0" borderId="130"/>
    <xf numFmtId="173" fontId="51" fillId="0" borderId="130"/>
    <xf numFmtId="171" fontId="51" fillId="0" borderId="130"/>
    <xf numFmtId="174" fontId="51" fillId="0" borderId="130"/>
    <xf numFmtId="179" fontId="51" fillId="0" borderId="130"/>
    <xf numFmtId="171" fontId="51" fillId="0" borderId="130"/>
    <xf numFmtId="0" fontId="18" fillId="9" borderId="126" applyNumberFormat="0" applyAlignment="0" applyProtection="0"/>
    <xf numFmtId="173" fontId="51" fillId="0" borderId="130"/>
    <xf numFmtId="0" fontId="11" fillId="22" borderId="126" applyNumberFormat="0" applyAlignment="0" applyProtection="0"/>
    <xf numFmtId="181" fontId="51" fillId="0" borderId="130"/>
    <xf numFmtId="171" fontId="51" fillId="0" borderId="130"/>
    <xf numFmtId="172" fontId="51" fillId="0" borderId="130"/>
    <xf numFmtId="174" fontId="51" fillId="0" borderId="130"/>
    <xf numFmtId="175" fontId="51" fillId="0" borderId="130"/>
    <xf numFmtId="174" fontId="51" fillId="0" borderId="130"/>
    <xf numFmtId="174" fontId="51" fillId="0" borderId="130"/>
    <xf numFmtId="0" fontId="11" fillId="22" borderId="126" applyNumberFormat="0" applyAlignment="0" applyProtection="0"/>
    <xf numFmtId="171" fontId="51" fillId="0" borderId="130"/>
    <xf numFmtId="174" fontId="51" fillId="0" borderId="130"/>
    <xf numFmtId="181" fontId="51" fillId="0" borderId="130"/>
    <xf numFmtId="171"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171" fontId="51" fillId="0" borderId="130"/>
    <xf numFmtId="179" fontId="51" fillId="0" borderId="130"/>
    <xf numFmtId="179" fontId="51" fillId="0" borderId="130"/>
    <xf numFmtId="0" fontId="54" fillId="46" borderId="124">
      <protection locked="0"/>
    </xf>
    <xf numFmtId="0" fontId="8" fillId="25" borderId="127" applyNumberFormat="0" applyFont="0" applyAlignment="0" applyProtection="0"/>
    <xf numFmtId="179" fontId="51" fillId="0" borderId="130"/>
    <xf numFmtId="176"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0" fontId="21" fillId="22" borderId="128" applyNumberFormat="0" applyAlignment="0" applyProtection="0"/>
    <xf numFmtId="174" fontId="51" fillId="0" borderId="130"/>
    <xf numFmtId="174" fontId="51" fillId="0" borderId="130"/>
    <xf numFmtId="172" fontId="51" fillId="0" borderId="130"/>
    <xf numFmtId="174" fontId="51" fillId="0" borderId="130"/>
    <xf numFmtId="179" fontId="51" fillId="0" borderId="130"/>
    <xf numFmtId="179" fontId="51" fillId="0" borderId="130"/>
    <xf numFmtId="171" fontId="51" fillId="0" borderId="130"/>
    <xf numFmtId="174" fontId="51" fillId="0" borderId="130"/>
    <xf numFmtId="179" fontId="51" fillId="0" borderId="130"/>
    <xf numFmtId="171" fontId="51" fillId="0" borderId="130"/>
    <xf numFmtId="173" fontId="51" fillId="0" borderId="130"/>
    <xf numFmtId="179" fontId="51" fillId="0" borderId="130"/>
    <xf numFmtId="0" fontId="23" fillId="0" borderId="129" applyNumberFormat="0" applyFill="0" applyAlignment="0" applyProtection="0"/>
    <xf numFmtId="174" fontId="51" fillId="0" borderId="130"/>
    <xf numFmtId="174" fontId="51" fillId="0" borderId="130"/>
    <xf numFmtId="179" fontId="51" fillId="0" borderId="130"/>
    <xf numFmtId="171" fontId="51" fillId="0" borderId="130"/>
    <xf numFmtId="0" fontId="18" fillId="9" borderId="126" applyNumberFormat="0" applyAlignment="0" applyProtection="0"/>
    <xf numFmtId="176" fontId="51" fillId="0" borderId="130"/>
    <xf numFmtId="175" fontId="51" fillId="0" borderId="130"/>
    <xf numFmtId="180" fontId="51" fillId="0" borderId="130"/>
    <xf numFmtId="175" fontId="51" fillId="0" borderId="130"/>
    <xf numFmtId="180" fontId="51" fillId="0" borderId="130"/>
    <xf numFmtId="172" fontId="51" fillId="0" borderId="130"/>
    <xf numFmtId="0" fontId="54" fillId="46" borderId="124">
      <protection locked="0"/>
    </xf>
    <xf numFmtId="180" fontId="51" fillId="0" borderId="130"/>
    <xf numFmtId="181" fontId="51" fillId="0" borderId="130"/>
    <xf numFmtId="0" fontId="54" fillId="46" borderId="124">
      <protection locked="0"/>
    </xf>
    <xf numFmtId="174" fontId="51" fillId="0" borderId="130"/>
    <xf numFmtId="181" fontId="51" fillId="0" borderId="130"/>
    <xf numFmtId="176" fontId="51" fillId="0" borderId="13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9" fontId="51" fillId="0" borderId="130"/>
    <xf numFmtId="171" fontId="51" fillId="0" borderId="130"/>
    <xf numFmtId="174" fontId="51" fillId="0" borderId="130"/>
    <xf numFmtId="179" fontId="51" fillId="0" borderId="130"/>
    <xf numFmtId="179" fontId="51" fillId="0" borderId="130"/>
    <xf numFmtId="179" fontId="51" fillId="0" borderId="130"/>
    <xf numFmtId="174" fontId="51" fillId="0" borderId="130"/>
    <xf numFmtId="179" fontId="51" fillId="0" borderId="130"/>
    <xf numFmtId="179" fontId="51" fillId="0" borderId="130"/>
    <xf numFmtId="174" fontId="51" fillId="0" borderId="130"/>
    <xf numFmtId="174" fontId="51" fillId="0" borderId="130"/>
    <xf numFmtId="0" fontId="21" fillId="22" borderId="128" applyNumberFormat="0" applyAlignment="0" applyProtection="0"/>
    <xf numFmtId="174" fontId="51" fillId="0" borderId="130"/>
    <xf numFmtId="0" fontId="23" fillId="0" borderId="129" applyNumberFormat="0" applyFill="0" applyAlignment="0" applyProtection="0"/>
    <xf numFmtId="171" fontId="51" fillId="0" borderId="130"/>
    <xf numFmtId="171" fontId="51" fillId="0" borderId="130"/>
    <xf numFmtId="174" fontId="51" fillId="0" borderId="130"/>
    <xf numFmtId="175" fontId="51" fillId="0" borderId="130"/>
    <xf numFmtId="0" fontId="18" fillId="9" borderId="126" applyNumberFormat="0" applyAlignment="0" applyProtection="0"/>
    <xf numFmtId="171" fontId="51" fillId="0" borderId="130"/>
    <xf numFmtId="0" fontId="21" fillId="22" borderId="128" applyNumberFormat="0" applyAlignment="0" applyProtection="0"/>
    <xf numFmtId="173" fontId="51" fillId="0" borderId="130"/>
    <xf numFmtId="171" fontId="51" fillId="0" borderId="130"/>
    <xf numFmtId="0" fontId="18" fillId="9" borderId="126" applyNumberFormat="0" applyAlignment="0" applyProtection="0"/>
    <xf numFmtId="176" fontId="51" fillId="0" borderId="130"/>
    <xf numFmtId="0" fontId="11" fillId="22" borderId="126" applyNumberFormat="0" applyAlignment="0" applyProtection="0"/>
    <xf numFmtId="171" fontId="51" fillId="0" borderId="130"/>
    <xf numFmtId="171" fontId="51" fillId="0" borderId="130"/>
    <xf numFmtId="179" fontId="51" fillId="0" borderId="130"/>
    <xf numFmtId="0" fontId="54" fillId="46" borderId="124">
      <protection locked="0"/>
    </xf>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5" fontId="51" fillId="0" borderId="130"/>
    <xf numFmtId="179" fontId="51" fillId="0" borderId="130"/>
    <xf numFmtId="171" fontId="51" fillId="0" borderId="130"/>
    <xf numFmtId="171" fontId="51" fillId="0" borderId="130"/>
    <xf numFmtId="0" fontId="23" fillId="0" borderId="129" applyNumberFormat="0" applyFill="0" applyAlignment="0" applyProtection="0"/>
    <xf numFmtId="179" fontId="51" fillId="0" borderId="130"/>
    <xf numFmtId="171" fontId="51" fillId="0" borderId="130"/>
    <xf numFmtId="171" fontId="51" fillId="0" borderId="130"/>
    <xf numFmtId="179" fontId="51" fillId="0" borderId="130"/>
    <xf numFmtId="174" fontId="51" fillId="0" borderId="130"/>
    <xf numFmtId="174" fontId="51" fillId="0" borderId="130"/>
    <xf numFmtId="179" fontId="51" fillId="0" borderId="130"/>
    <xf numFmtId="179" fontId="51" fillId="0" borderId="130"/>
    <xf numFmtId="179" fontId="51" fillId="0" borderId="130"/>
    <xf numFmtId="171" fontId="51" fillId="0" borderId="130"/>
    <xf numFmtId="173" fontId="51" fillId="0" borderId="130"/>
    <xf numFmtId="171" fontId="51" fillId="0" borderId="130"/>
    <xf numFmtId="179" fontId="51" fillId="0" borderId="130"/>
    <xf numFmtId="0" fontId="18" fillId="9" borderId="126" applyNumberFormat="0" applyAlignment="0" applyProtection="0"/>
    <xf numFmtId="179" fontId="51" fillId="0" borderId="130"/>
    <xf numFmtId="179" fontId="51" fillId="0" borderId="130"/>
    <xf numFmtId="0" fontId="23" fillId="0" borderId="129" applyNumberFormat="0" applyFill="0" applyAlignment="0" applyProtection="0"/>
    <xf numFmtId="171" fontId="51" fillId="0" borderId="130"/>
    <xf numFmtId="0" fontId="8" fillId="25" borderId="127" applyNumberFormat="0" applyFont="0" applyAlignment="0" applyProtection="0"/>
    <xf numFmtId="0" fontId="18" fillId="9" borderId="126" applyNumberFormat="0" applyAlignment="0" applyProtection="0"/>
    <xf numFmtId="171" fontId="51" fillId="0" borderId="130"/>
    <xf numFmtId="179" fontId="51" fillId="0" borderId="130"/>
    <xf numFmtId="0" fontId="8" fillId="25" borderId="127" applyNumberFormat="0" applyFont="0" applyAlignment="0" applyProtection="0"/>
    <xf numFmtId="0" fontId="11" fillId="22" borderId="126" applyNumberFormat="0" applyAlignment="0" applyProtection="0"/>
    <xf numFmtId="171" fontId="51" fillId="0" borderId="13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1" fontId="51" fillId="0" borderId="130"/>
    <xf numFmtId="180" fontId="51" fillId="0" borderId="130"/>
    <xf numFmtId="174" fontId="51" fillId="0" borderId="130"/>
    <xf numFmtId="174" fontId="51" fillId="0" borderId="130"/>
    <xf numFmtId="173" fontId="51" fillId="0" borderId="130"/>
    <xf numFmtId="179" fontId="51" fillId="0" borderId="130"/>
    <xf numFmtId="172" fontId="51" fillId="0" borderId="130"/>
    <xf numFmtId="0" fontId="21" fillId="22" borderId="128" applyNumberFormat="0" applyAlignment="0" applyProtection="0"/>
    <xf numFmtId="171" fontId="51" fillId="0" borderId="130"/>
    <xf numFmtId="174" fontId="51" fillId="0" borderId="130"/>
    <xf numFmtId="179" fontId="51" fillId="0" borderId="130"/>
    <xf numFmtId="0" fontId="11" fillId="22" borderId="126" applyNumberFormat="0" applyAlignment="0" applyProtection="0"/>
    <xf numFmtId="174" fontId="51" fillId="0" borderId="130"/>
    <xf numFmtId="175" fontId="51" fillId="0" borderId="130"/>
    <xf numFmtId="174" fontId="51" fillId="0" borderId="130"/>
    <xf numFmtId="181" fontId="51" fillId="0" borderId="130"/>
    <xf numFmtId="176" fontId="51" fillId="0" borderId="130"/>
    <xf numFmtId="172"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4" fontId="51" fillId="0" borderId="130"/>
    <xf numFmtId="174" fontId="51" fillId="0" borderId="130"/>
    <xf numFmtId="174" fontId="51" fillId="0" borderId="130"/>
    <xf numFmtId="171" fontId="51" fillId="0" borderId="130"/>
    <xf numFmtId="0" fontId="18" fillId="9" borderId="126" applyNumberFormat="0" applyAlignment="0" applyProtection="0"/>
    <xf numFmtId="174" fontId="51" fillId="0" borderId="130"/>
    <xf numFmtId="171" fontId="51" fillId="0" borderId="130"/>
    <xf numFmtId="179" fontId="51" fillId="0" borderId="130"/>
    <xf numFmtId="173" fontId="51" fillId="0" borderId="130"/>
    <xf numFmtId="173" fontId="51" fillId="0" borderId="130"/>
    <xf numFmtId="171" fontId="51" fillId="0" borderId="130"/>
    <xf numFmtId="173" fontId="51" fillId="0" borderId="130"/>
    <xf numFmtId="174" fontId="51" fillId="0" borderId="130"/>
    <xf numFmtId="176" fontId="51" fillId="0" borderId="130"/>
    <xf numFmtId="171" fontId="51" fillId="0" borderId="130"/>
    <xf numFmtId="0" fontId="11" fillId="22" borderId="126" applyNumberFormat="0" applyAlignment="0" applyProtection="0"/>
    <xf numFmtId="179" fontId="51" fillId="0" borderId="130"/>
    <xf numFmtId="179" fontId="51" fillId="0" borderId="130"/>
    <xf numFmtId="179" fontId="51" fillId="0" borderId="130"/>
    <xf numFmtId="171" fontId="51" fillId="0" borderId="130"/>
    <xf numFmtId="0" fontId="8" fillId="25" borderId="127" applyNumberFormat="0" applyFont="0" applyAlignment="0" applyProtection="0"/>
    <xf numFmtId="171" fontId="51" fillId="0" borderId="130"/>
    <xf numFmtId="180" fontId="51" fillId="0" borderId="130"/>
    <xf numFmtId="174" fontId="51" fillId="0" borderId="130"/>
    <xf numFmtId="175" fontId="51" fillId="0" borderId="130"/>
    <xf numFmtId="0" fontId="18" fillId="9" borderId="126" applyNumberFormat="0" applyAlignment="0" applyProtection="0"/>
    <xf numFmtId="171" fontId="51" fillId="0" borderId="130"/>
    <xf numFmtId="179" fontId="51" fillId="0" borderId="130"/>
    <xf numFmtId="174" fontId="51" fillId="0" borderId="130"/>
    <xf numFmtId="179" fontId="51" fillId="0" borderId="130"/>
    <xf numFmtId="171" fontId="51" fillId="0" borderId="130"/>
    <xf numFmtId="179" fontId="51" fillId="0" borderId="130"/>
    <xf numFmtId="174" fontId="51" fillId="0" borderId="130"/>
    <xf numFmtId="174" fontId="51" fillId="0" borderId="130"/>
    <xf numFmtId="171" fontId="51" fillId="0" borderId="130"/>
    <xf numFmtId="174" fontId="51" fillId="0" borderId="130"/>
    <xf numFmtId="175" fontId="51" fillId="0" borderId="130"/>
    <xf numFmtId="174" fontId="51" fillId="0" borderId="130"/>
    <xf numFmtId="179" fontId="51" fillId="0" borderId="130"/>
    <xf numFmtId="179" fontId="51" fillId="0" borderId="130"/>
    <xf numFmtId="171" fontId="51" fillId="0" borderId="130"/>
    <xf numFmtId="0" fontId="21" fillId="22" borderId="128" applyNumberFormat="0" applyAlignment="0" applyProtection="0"/>
    <xf numFmtId="172" fontId="51" fillId="0" borderId="130"/>
    <xf numFmtId="0" fontId="23" fillId="0" borderId="129" applyNumberFormat="0" applyFill="0" applyAlignment="0" applyProtection="0"/>
    <xf numFmtId="0" fontId="8" fillId="25" borderId="127" applyNumberFormat="0" applyFont="0" applyAlignment="0" applyProtection="0"/>
    <xf numFmtId="0" fontId="54" fillId="46" borderId="124">
      <protection locked="0"/>
    </xf>
    <xf numFmtId="175" fontId="51" fillId="0" borderId="130"/>
    <xf numFmtId="0" fontId="23" fillId="0" borderId="129" applyNumberFormat="0" applyFill="0" applyAlignment="0" applyProtection="0"/>
    <xf numFmtId="174" fontId="51" fillId="0" borderId="130"/>
    <xf numFmtId="0" fontId="21" fillId="22" borderId="128" applyNumberFormat="0" applyAlignment="0" applyProtection="0"/>
    <xf numFmtId="171" fontId="51" fillId="0" borderId="130"/>
    <xf numFmtId="181" fontId="51" fillId="0" borderId="130"/>
    <xf numFmtId="171" fontId="51" fillId="0" borderId="130"/>
    <xf numFmtId="179" fontId="51" fillId="0" borderId="130"/>
    <xf numFmtId="0" fontId="11" fillId="22" borderId="126" applyNumberFormat="0" applyAlignment="0" applyProtection="0"/>
    <xf numFmtId="174" fontId="51" fillId="0" borderId="130"/>
    <xf numFmtId="180" fontId="51" fillId="0" borderId="130"/>
    <xf numFmtId="174" fontId="51" fillId="0" borderId="130"/>
    <xf numFmtId="171" fontId="51" fillId="0" borderId="130"/>
    <xf numFmtId="174" fontId="51" fillId="0" borderId="130"/>
    <xf numFmtId="172" fontId="51" fillId="0" borderId="130"/>
    <xf numFmtId="179" fontId="51" fillId="0" borderId="130"/>
    <xf numFmtId="176" fontId="51" fillId="0" borderId="130"/>
    <xf numFmtId="174" fontId="51" fillId="0" borderId="130"/>
    <xf numFmtId="172" fontId="51" fillId="0" borderId="130"/>
    <xf numFmtId="171" fontId="51" fillId="0" borderId="130"/>
    <xf numFmtId="180" fontId="51" fillId="0" borderId="130"/>
    <xf numFmtId="181" fontId="51" fillId="0" borderId="130"/>
    <xf numFmtId="0" fontId="54" fillId="46" borderId="124">
      <protection locked="0"/>
    </xf>
    <xf numFmtId="179" fontId="51" fillId="0" borderId="130"/>
    <xf numFmtId="179" fontId="51" fillId="0" borderId="130"/>
    <xf numFmtId="179" fontId="51" fillId="0" borderId="130"/>
    <xf numFmtId="171" fontId="51" fillId="0" borderId="130"/>
    <xf numFmtId="179" fontId="51" fillId="0" borderId="130"/>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81" fontId="51" fillId="0" borderId="130"/>
    <xf numFmtId="171" fontId="51" fillId="0" borderId="130"/>
    <xf numFmtId="174" fontId="51" fillId="0" borderId="130"/>
    <xf numFmtId="179" fontId="51" fillId="0" borderId="130"/>
    <xf numFmtId="171" fontId="51" fillId="0" borderId="130"/>
    <xf numFmtId="0" fontId="8" fillId="25" borderId="127" applyNumberFormat="0" applyFont="0" applyAlignment="0" applyProtection="0"/>
    <xf numFmtId="174" fontId="51" fillId="0" borderId="130"/>
    <xf numFmtId="176" fontId="51" fillId="0" borderId="130"/>
    <xf numFmtId="179" fontId="51" fillId="0" borderId="130"/>
    <xf numFmtId="171" fontId="51" fillId="0" borderId="130"/>
    <xf numFmtId="174"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4" fontId="51" fillId="0" borderId="130"/>
    <xf numFmtId="179" fontId="51" fillId="0" borderId="130"/>
    <xf numFmtId="171" fontId="51" fillId="0" borderId="130"/>
    <xf numFmtId="179" fontId="51" fillId="0" borderId="130"/>
    <xf numFmtId="179" fontId="51" fillId="0" borderId="130"/>
    <xf numFmtId="174" fontId="51" fillId="0" borderId="130"/>
    <xf numFmtId="174" fontId="51" fillId="0" borderId="130"/>
    <xf numFmtId="171" fontId="51" fillId="0" borderId="130"/>
    <xf numFmtId="171" fontId="51" fillId="0" borderId="130"/>
    <xf numFmtId="171" fontId="51" fillId="0" borderId="130"/>
    <xf numFmtId="0" fontId="54" fillId="46" borderId="124">
      <protection locked="0"/>
    </xf>
    <xf numFmtId="179" fontId="51" fillId="0" borderId="13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4" fontId="51" fillId="0" borderId="130"/>
    <xf numFmtId="0" fontId="54" fillId="46" borderId="124">
      <protection locked="0"/>
    </xf>
    <xf numFmtId="180" fontId="51" fillId="0" borderId="130"/>
    <xf numFmtId="0" fontId="8" fillId="25" borderId="127" applyNumberFormat="0" applyFont="0" applyAlignment="0" applyProtection="0"/>
    <xf numFmtId="0" fontId="18" fillId="9" borderId="126" applyNumberFormat="0" applyAlignment="0" applyProtection="0"/>
    <xf numFmtId="0" fontId="18" fillId="9" borderId="126" applyNumberFormat="0" applyAlignment="0" applyProtection="0"/>
    <xf numFmtId="181" fontId="51" fillId="0" borderId="130"/>
    <xf numFmtId="0" fontId="8" fillId="25" borderId="127" applyNumberFormat="0" applyFont="0" applyAlignment="0" applyProtection="0"/>
    <xf numFmtId="0" fontId="54" fillId="46" borderId="124">
      <protection locked="0"/>
    </xf>
    <xf numFmtId="0" fontId="54" fillId="46" borderId="124">
      <protection locked="0"/>
    </xf>
    <xf numFmtId="176" fontId="51" fillId="0" borderId="130"/>
    <xf numFmtId="175" fontId="51" fillId="0" borderId="130"/>
    <xf numFmtId="0" fontId="23" fillId="0" borderId="129" applyNumberFormat="0" applyFill="0" applyAlignment="0" applyProtection="0"/>
    <xf numFmtId="179" fontId="51" fillId="0" borderId="130"/>
    <xf numFmtId="0" fontId="23" fillId="0" borderId="129" applyNumberFormat="0" applyFill="0" applyAlignment="0" applyProtection="0"/>
    <xf numFmtId="0" fontId="11" fillId="22" borderId="126" applyNumberFormat="0" applyAlignment="0" applyProtection="0"/>
    <xf numFmtId="181" fontId="51" fillId="0" borderId="130"/>
    <xf numFmtId="0" fontId="11" fillId="22" borderId="126" applyNumberFormat="0" applyAlignment="0" applyProtection="0"/>
    <xf numFmtId="0" fontId="21" fillId="22" borderId="128" applyNumberFormat="0" applyAlignment="0" applyProtection="0"/>
    <xf numFmtId="174" fontId="51" fillId="0" borderId="130"/>
    <xf numFmtId="0" fontId="8" fillId="25" borderId="127" applyNumberFormat="0" applyFont="0" applyAlignment="0" applyProtection="0"/>
    <xf numFmtId="0" fontId="18" fillId="9" borderId="126" applyNumberFormat="0" applyAlignment="0" applyProtection="0"/>
    <xf numFmtId="179" fontId="51" fillId="0" borderId="130"/>
    <xf numFmtId="0" fontId="11" fillId="22" borderId="126" applyNumberFormat="0" applyAlignment="0" applyProtection="0"/>
    <xf numFmtId="0" fontId="18" fillId="9" borderId="126" applyNumberFormat="0" applyAlignment="0" applyProtection="0"/>
    <xf numFmtId="171" fontId="51" fillId="0" borderId="130"/>
    <xf numFmtId="0" fontId="54" fillId="46" borderId="124">
      <protection locked="0"/>
    </xf>
    <xf numFmtId="0" fontId="23" fillId="0" borderId="129" applyNumberFormat="0" applyFill="0" applyAlignment="0" applyProtection="0"/>
    <xf numFmtId="171" fontId="51" fillId="0" borderId="130"/>
    <xf numFmtId="179" fontId="51" fillId="0" borderId="130"/>
    <xf numFmtId="179" fontId="51" fillId="0" borderId="130"/>
    <xf numFmtId="171" fontId="51" fillId="0" borderId="130"/>
    <xf numFmtId="0" fontId="54" fillId="46" borderId="124">
      <protection locked="0"/>
    </xf>
    <xf numFmtId="180" fontId="51" fillId="0" borderId="130"/>
    <xf numFmtId="0" fontId="11" fillId="22" borderId="126" applyNumberFormat="0" applyAlignment="0" applyProtection="0"/>
    <xf numFmtId="171" fontId="51" fillId="0" borderId="130"/>
    <xf numFmtId="0" fontId="11" fillId="22" borderId="126" applyNumberFormat="0" applyAlignment="0" applyProtection="0"/>
    <xf numFmtId="171" fontId="51" fillId="0" borderId="130"/>
    <xf numFmtId="0" fontId="54" fillId="46" borderId="124">
      <protection locked="0"/>
    </xf>
    <xf numFmtId="0" fontId="8" fillId="25" borderId="127" applyNumberFormat="0" applyFont="0" applyAlignment="0" applyProtection="0"/>
    <xf numFmtId="174" fontId="51" fillId="0" borderId="130"/>
    <xf numFmtId="180" fontId="51" fillId="0" borderId="130"/>
    <xf numFmtId="174" fontId="51" fillId="0" borderId="130"/>
    <xf numFmtId="171" fontId="51" fillId="0" borderId="130"/>
    <xf numFmtId="0" fontId="8" fillId="25" borderId="127" applyNumberFormat="0" applyFont="0" applyAlignment="0" applyProtection="0"/>
    <xf numFmtId="174" fontId="51" fillId="0" borderId="130"/>
    <xf numFmtId="179" fontId="51" fillId="0" borderId="130"/>
    <xf numFmtId="175" fontId="51" fillId="0" borderId="130"/>
    <xf numFmtId="174" fontId="51" fillId="0" borderId="130"/>
    <xf numFmtId="179" fontId="51" fillId="0" borderId="130"/>
    <xf numFmtId="0" fontId="8" fillId="25" borderId="127" applyNumberFormat="0" applyFont="0" applyAlignment="0" applyProtection="0"/>
    <xf numFmtId="175" fontId="51" fillId="0" borderId="130"/>
    <xf numFmtId="171" fontId="51" fillId="0" borderId="130"/>
    <xf numFmtId="174" fontId="51" fillId="0" borderId="130"/>
    <xf numFmtId="179" fontId="51" fillId="0" borderId="130"/>
    <xf numFmtId="174" fontId="51" fillId="0" borderId="130"/>
    <xf numFmtId="176" fontId="51" fillId="0" borderId="130"/>
    <xf numFmtId="0" fontId="18" fillId="9" borderId="126" applyNumberFormat="0" applyAlignment="0" applyProtection="0"/>
    <xf numFmtId="0" fontId="21" fillId="22" borderId="128" applyNumberFormat="0" applyAlignment="0" applyProtection="0"/>
    <xf numFmtId="179" fontId="51" fillId="0" borderId="130"/>
    <xf numFmtId="180" fontId="51" fillId="0" borderId="130"/>
    <xf numFmtId="171" fontId="51" fillId="0" borderId="130"/>
    <xf numFmtId="171" fontId="51" fillId="0" borderId="130"/>
    <xf numFmtId="171" fontId="51" fillId="0" borderId="130"/>
    <xf numFmtId="174" fontId="51" fillId="0" borderId="130"/>
    <xf numFmtId="0" fontId="54" fillId="46" borderId="124">
      <protection locked="0"/>
    </xf>
    <xf numFmtId="173" fontId="51" fillId="0" borderId="130"/>
    <xf numFmtId="171" fontId="51" fillId="0" borderId="130"/>
    <xf numFmtId="0" fontId="8" fillId="25" borderId="127" applyNumberFormat="0" applyFont="0" applyAlignment="0" applyProtection="0"/>
    <xf numFmtId="0" fontId="11" fillId="22" borderId="126" applyNumberFormat="0" applyAlignment="0" applyProtection="0"/>
    <xf numFmtId="174" fontId="51" fillId="0" borderId="130"/>
    <xf numFmtId="0" fontId="11" fillId="22" borderId="126" applyNumberFormat="0" applyAlignment="0" applyProtection="0"/>
    <xf numFmtId="175" fontId="51" fillId="0" borderId="130"/>
    <xf numFmtId="174" fontId="51" fillId="0" borderId="130"/>
    <xf numFmtId="174" fontId="51" fillId="0" borderId="130"/>
    <xf numFmtId="0" fontId="21" fillId="22" borderId="128" applyNumberFormat="0" applyAlignment="0" applyProtection="0"/>
    <xf numFmtId="173" fontId="51" fillId="0" borderId="130"/>
    <xf numFmtId="181" fontId="51" fillId="0" borderId="130"/>
    <xf numFmtId="172" fontId="51" fillId="0" borderId="130"/>
    <xf numFmtId="0" fontId="11" fillId="22" borderId="126" applyNumberFormat="0" applyAlignment="0" applyProtection="0"/>
    <xf numFmtId="171" fontId="51" fillId="0" borderId="130"/>
    <xf numFmtId="0" fontId="11" fillId="22" borderId="126" applyNumberFormat="0" applyAlignment="0" applyProtection="0"/>
    <xf numFmtId="171" fontId="51" fillId="0" borderId="130"/>
    <xf numFmtId="179" fontId="51" fillId="0" borderId="130"/>
    <xf numFmtId="176" fontId="51" fillId="0" borderId="130"/>
    <xf numFmtId="0" fontId="11" fillId="22" borderId="126" applyNumberFormat="0" applyAlignment="0" applyProtection="0"/>
    <xf numFmtId="179" fontId="51" fillId="0" borderId="130"/>
    <xf numFmtId="0" fontId="18" fillId="9" borderId="126" applyNumberFormat="0" applyAlignment="0" applyProtection="0"/>
    <xf numFmtId="172" fontId="51" fillId="0" borderId="130"/>
    <xf numFmtId="180" fontId="51" fillId="0" borderId="130"/>
    <xf numFmtId="171" fontId="51" fillId="0" borderId="130"/>
    <xf numFmtId="0" fontId="21" fillId="22" borderId="128" applyNumberFormat="0" applyAlignment="0" applyProtection="0"/>
    <xf numFmtId="172" fontId="51" fillId="0" borderId="130"/>
    <xf numFmtId="0" fontId="18" fillId="9" borderId="126" applyNumberFormat="0" applyAlignment="0" applyProtection="0"/>
    <xf numFmtId="180" fontId="51" fillId="0" borderId="130"/>
    <xf numFmtId="174" fontId="51" fillId="0" borderId="130"/>
    <xf numFmtId="172" fontId="51" fillId="0" borderId="130"/>
    <xf numFmtId="0" fontId="8" fillId="25" borderId="127" applyNumberFormat="0" applyFont="0" applyAlignment="0" applyProtection="0"/>
    <xf numFmtId="0" fontId="11" fillId="22" borderId="126" applyNumberFormat="0" applyAlignment="0" applyProtection="0"/>
    <xf numFmtId="0" fontId="54" fillId="46" borderId="124">
      <protection locked="0"/>
    </xf>
    <xf numFmtId="0" fontId="8" fillId="25" borderId="127" applyNumberFormat="0" applyFont="0" applyAlignment="0" applyProtection="0"/>
    <xf numFmtId="175" fontId="51" fillId="0" borderId="130"/>
    <xf numFmtId="179" fontId="51" fillId="0" borderId="130"/>
    <xf numFmtId="174" fontId="51" fillId="0" borderId="130"/>
    <xf numFmtId="181" fontId="51" fillId="0" borderId="130"/>
    <xf numFmtId="0" fontId="11" fillId="22" borderId="126" applyNumberFormat="0" applyAlignment="0" applyProtection="0"/>
    <xf numFmtId="174" fontId="51" fillId="0" borderId="130"/>
    <xf numFmtId="0" fontId="18" fillId="9" borderId="126" applyNumberFormat="0" applyAlignment="0" applyProtection="0"/>
    <xf numFmtId="0" fontId="21" fillId="22" borderId="128" applyNumberFormat="0" applyAlignment="0" applyProtection="0"/>
    <xf numFmtId="181" fontId="51" fillId="0" borderId="130"/>
    <xf numFmtId="0" fontId="8" fillId="25" borderId="127" applyNumberFormat="0" applyFont="0" applyAlignment="0" applyProtection="0"/>
    <xf numFmtId="180" fontId="51" fillId="0" borderId="130"/>
    <xf numFmtId="176" fontId="51" fillId="0" borderId="130"/>
    <xf numFmtId="0" fontId="18" fillId="9" borderId="126" applyNumberFormat="0" applyAlignment="0" applyProtection="0"/>
    <xf numFmtId="179" fontId="51" fillId="0" borderId="130"/>
    <xf numFmtId="180" fontId="51" fillId="0" borderId="130"/>
    <xf numFmtId="179" fontId="51" fillId="0" borderId="130"/>
    <xf numFmtId="176" fontId="51" fillId="0" borderId="130"/>
    <xf numFmtId="172" fontId="51" fillId="0" borderId="130"/>
    <xf numFmtId="181" fontId="51" fillId="0" borderId="130"/>
    <xf numFmtId="179" fontId="51" fillId="0" borderId="130"/>
    <xf numFmtId="174" fontId="51" fillId="0" borderId="130"/>
    <xf numFmtId="0" fontId="21" fillId="22" borderId="128" applyNumberFormat="0" applyAlignment="0" applyProtection="0"/>
    <xf numFmtId="176" fontId="51" fillId="0" borderId="130"/>
    <xf numFmtId="171" fontId="51" fillId="0" borderId="130"/>
    <xf numFmtId="173" fontId="51" fillId="0" borderId="130"/>
    <xf numFmtId="0" fontId="54" fillId="46" borderId="124">
      <protection locked="0"/>
    </xf>
    <xf numFmtId="175" fontId="51" fillId="0" borderId="130"/>
    <xf numFmtId="180" fontId="51" fillId="0" borderId="130"/>
    <xf numFmtId="0" fontId="21" fillId="22" borderId="128" applyNumberFormat="0" applyAlignment="0" applyProtection="0"/>
    <xf numFmtId="0" fontId="21" fillId="22" borderId="128" applyNumberFormat="0" applyAlignment="0" applyProtection="0"/>
    <xf numFmtId="179" fontId="51" fillId="0" borderId="130"/>
    <xf numFmtId="171" fontId="51" fillId="0" borderId="130"/>
    <xf numFmtId="0" fontId="54" fillId="46" borderId="124">
      <protection locked="0"/>
    </xf>
    <xf numFmtId="174" fontId="51" fillId="0" borderId="130"/>
    <xf numFmtId="174" fontId="51" fillId="0" borderId="130"/>
    <xf numFmtId="0" fontId="23" fillId="0" borderId="129" applyNumberFormat="0" applyFill="0" applyAlignment="0" applyProtection="0"/>
    <xf numFmtId="176" fontId="51" fillId="0" borderId="130"/>
    <xf numFmtId="173" fontId="51" fillId="0" borderId="130"/>
    <xf numFmtId="179" fontId="51" fillId="0" borderId="130"/>
    <xf numFmtId="0" fontId="23" fillId="0" borderId="129" applyNumberFormat="0" applyFill="0" applyAlignment="0" applyProtection="0"/>
    <xf numFmtId="174" fontId="51" fillId="0" borderId="130"/>
    <xf numFmtId="0" fontId="8" fillId="25" borderId="127" applyNumberFormat="0" applyFont="0" applyAlignment="0" applyProtection="0"/>
    <xf numFmtId="172" fontId="51" fillId="0" borderId="130"/>
    <xf numFmtId="171" fontId="51" fillId="0" borderId="130"/>
    <xf numFmtId="174" fontId="51" fillId="0" borderId="130"/>
    <xf numFmtId="179" fontId="51" fillId="0" borderId="130"/>
    <xf numFmtId="179" fontId="51" fillId="0" borderId="130"/>
    <xf numFmtId="179" fontId="51" fillId="0" borderId="130"/>
    <xf numFmtId="181" fontId="51" fillId="0" borderId="130"/>
    <xf numFmtId="0" fontId="21" fillId="22" borderId="128" applyNumberFormat="0" applyAlignment="0" applyProtection="0"/>
    <xf numFmtId="175" fontId="51" fillId="0" borderId="130"/>
    <xf numFmtId="172" fontId="51" fillId="0" borderId="130"/>
    <xf numFmtId="0" fontId="21" fillId="22" borderId="128" applyNumberFormat="0" applyAlignment="0" applyProtection="0"/>
    <xf numFmtId="181" fontId="51" fillId="0" borderId="130"/>
    <xf numFmtId="174" fontId="51" fillId="0" borderId="130"/>
    <xf numFmtId="180" fontId="51" fillId="0" borderId="130"/>
    <xf numFmtId="0" fontId="23" fillId="0" borderId="129" applyNumberFormat="0" applyFill="0" applyAlignment="0" applyProtection="0"/>
    <xf numFmtId="179" fontId="51" fillId="0" borderId="130"/>
    <xf numFmtId="0" fontId="23" fillId="0" borderId="129" applyNumberFormat="0" applyFill="0" applyAlignment="0" applyProtection="0"/>
    <xf numFmtId="176" fontId="51" fillId="0" borderId="130"/>
    <xf numFmtId="0" fontId="21" fillId="22" borderId="128" applyNumberFormat="0" applyAlignment="0" applyProtection="0"/>
    <xf numFmtId="171" fontId="51" fillId="0" borderId="130"/>
    <xf numFmtId="175" fontId="51" fillId="0" borderId="130"/>
    <xf numFmtId="174" fontId="51" fillId="0" borderId="130"/>
    <xf numFmtId="0" fontId="54" fillId="46" borderId="124">
      <protection locked="0"/>
    </xf>
    <xf numFmtId="176" fontId="51" fillId="0" borderId="130"/>
    <xf numFmtId="174" fontId="51" fillId="0" borderId="130"/>
    <xf numFmtId="0" fontId="23" fillId="0" borderId="129" applyNumberFormat="0" applyFill="0" applyAlignment="0" applyProtection="0"/>
    <xf numFmtId="0" fontId="8" fillId="25" borderId="127" applyNumberFormat="0" applyFont="0" applyAlignment="0" applyProtection="0"/>
    <xf numFmtId="0" fontId="23" fillId="0" borderId="129" applyNumberFormat="0" applyFill="0" applyAlignment="0" applyProtection="0"/>
    <xf numFmtId="171" fontId="51" fillId="0" borderId="130"/>
    <xf numFmtId="0" fontId="8" fillId="25" borderId="127" applyNumberFormat="0" applyFont="0" applyAlignment="0" applyProtection="0"/>
    <xf numFmtId="181" fontId="51" fillId="0" borderId="130"/>
    <xf numFmtId="171" fontId="51" fillId="0" borderId="130"/>
    <xf numFmtId="171" fontId="51" fillId="0" borderId="130"/>
    <xf numFmtId="0" fontId="11" fillId="22" borderId="126" applyNumberFormat="0" applyAlignment="0" applyProtection="0"/>
    <xf numFmtId="173" fontId="51" fillId="0" borderId="130"/>
    <xf numFmtId="176" fontId="51" fillId="0" borderId="130"/>
    <xf numFmtId="179" fontId="51" fillId="0" borderId="130"/>
    <xf numFmtId="174" fontId="51" fillId="0" borderId="130"/>
    <xf numFmtId="174" fontId="51" fillId="0" borderId="130"/>
    <xf numFmtId="175" fontId="51" fillId="0" borderId="130"/>
    <xf numFmtId="173" fontId="51" fillId="0" borderId="130"/>
    <xf numFmtId="171" fontId="51" fillId="0" borderId="130"/>
    <xf numFmtId="174" fontId="51" fillId="0" borderId="130"/>
    <xf numFmtId="179" fontId="51" fillId="0" borderId="130"/>
    <xf numFmtId="174" fontId="51" fillId="0" borderId="130"/>
    <xf numFmtId="0" fontId="54" fillId="46" borderId="124">
      <protection locked="0"/>
    </xf>
    <xf numFmtId="0" fontId="8" fillId="25" borderId="127" applyNumberFormat="0" applyFon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171" fontId="51" fillId="0" borderId="130"/>
    <xf numFmtId="0" fontId="23" fillId="0" borderId="129" applyNumberFormat="0" applyFill="0" applyAlignment="0" applyProtection="0"/>
    <xf numFmtId="171" fontId="51" fillId="0" borderId="130"/>
    <xf numFmtId="0" fontId="21" fillId="22" borderId="128" applyNumberFormat="0" applyAlignment="0" applyProtection="0"/>
    <xf numFmtId="0" fontId="11" fillId="22" borderId="126" applyNumberFormat="0" applyAlignment="0" applyProtection="0"/>
    <xf numFmtId="180" fontId="51" fillId="0" borderId="130"/>
    <xf numFmtId="0" fontId="11" fillId="22" borderId="126" applyNumberFormat="0" applyAlignment="0" applyProtection="0"/>
    <xf numFmtId="173" fontId="51" fillId="0" borderId="130"/>
    <xf numFmtId="174" fontId="51" fillId="0" borderId="130"/>
    <xf numFmtId="0" fontId="23" fillId="0" borderId="129" applyNumberFormat="0" applyFill="0" applyAlignment="0" applyProtection="0"/>
    <xf numFmtId="0" fontId="11" fillId="22" borderId="126" applyNumberFormat="0" applyAlignment="0" applyProtection="0"/>
    <xf numFmtId="171" fontId="51" fillId="0" borderId="130"/>
    <xf numFmtId="181" fontId="51" fillId="0" borderId="130"/>
    <xf numFmtId="0" fontId="8" fillId="25" borderId="127" applyNumberFormat="0" applyFont="0" applyAlignment="0" applyProtection="0"/>
    <xf numFmtId="0" fontId="8" fillId="25" borderId="127" applyNumberFormat="0" applyFont="0" applyAlignment="0" applyProtection="0"/>
    <xf numFmtId="172" fontId="51" fillId="0" borderId="130"/>
    <xf numFmtId="0" fontId="23" fillId="0" borderId="129" applyNumberFormat="0" applyFill="0" applyAlignment="0" applyProtection="0"/>
    <xf numFmtId="181" fontId="51" fillId="0" borderId="130"/>
    <xf numFmtId="171" fontId="51" fillId="0" borderId="130"/>
    <xf numFmtId="0" fontId="21" fillId="22" borderId="128" applyNumberFormat="0" applyAlignment="0" applyProtection="0"/>
    <xf numFmtId="173" fontId="51" fillId="0" borderId="130"/>
    <xf numFmtId="0" fontId="21" fillId="22" borderId="128" applyNumberFormat="0" applyAlignment="0" applyProtection="0"/>
    <xf numFmtId="0" fontId="8" fillId="25" borderId="127" applyNumberFormat="0" applyFont="0" applyAlignment="0" applyProtection="0"/>
    <xf numFmtId="0" fontId="21" fillId="22" borderId="128" applyNumberFormat="0" applyAlignment="0" applyProtection="0"/>
    <xf numFmtId="0" fontId="18" fillId="9" borderId="126" applyNumberFormat="0" applyAlignment="0" applyProtection="0"/>
    <xf numFmtId="0" fontId="18" fillId="9" borderId="126" applyNumberFormat="0" applyAlignment="0" applyProtection="0"/>
    <xf numFmtId="179" fontId="51" fillId="0" borderId="130"/>
    <xf numFmtId="172" fontId="51" fillId="0" borderId="130"/>
    <xf numFmtId="174" fontId="51" fillId="0" borderId="130"/>
    <xf numFmtId="0" fontId="18" fillId="9" borderId="126" applyNumberFormat="0" applyAlignment="0" applyProtection="0"/>
    <xf numFmtId="173" fontId="51" fillId="0" borderId="130"/>
    <xf numFmtId="0" fontId="21" fillId="22" borderId="128" applyNumberFormat="0" applyAlignment="0" applyProtection="0"/>
    <xf numFmtId="0" fontId="54" fillId="46" borderId="131">
      <protection locked="0"/>
    </xf>
    <xf numFmtId="0" fontId="11" fillId="22" borderId="126" applyNumberFormat="0" applyAlignment="0" applyProtection="0"/>
    <xf numFmtId="179" fontId="51" fillId="0" borderId="130"/>
    <xf numFmtId="0" fontId="23" fillId="0" borderId="129" applyNumberFormat="0" applyFill="0" applyAlignment="0" applyProtection="0"/>
    <xf numFmtId="174" fontId="51" fillId="0" borderId="130"/>
    <xf numFmtId="175" fontId="51" fillId="0" borderId="130"/>
    <xf numFmtId="0" fontId="11" fillId="22" borderId="126" applyNumberFormat="0" applyAlignment="0" applyProtection="0"/>
    <xf numFmtId="172" fontId="51" fillId="0" borderId="130"/>
    <xf numFmtId="0" fontId="8" fillId="25" borderId="127" applyNumberFormat="0" applyFont="0" applyAlignment="0" applyProtection="0"/>
    <xf numFmtId="0" fontId="8" fillId="25" borderId="127" applyNumberFormat="0" applyFont="0" applyAlignment="0" applyProtection="0"/>
    <xf numFmtId="171" fontId="51" fillId="0" borderId="130"/>
    <xf numFmtId="0" fontId="23" fillId="0" borderId="129" applyNumberFormat="0" applyFill="0" applyAlignment="0" applyProtection="0"/>
    <xf numFmtId="179" fontId="51" fillId="0" borderId="130"/>
    <xf numFmtId="181" fontId="51" fillId="0" borderId="130"/>
    <xf numFmtId="171" fontId="51" fillId="0" borderId="130"/>
    <xf numFmtId="0" fontId="23" fillId="0" borderId="129" applyNumberFormat="0" applyFill="0" applyAlignment="0" applyProtection="0"/>
    <xf numFmtId="0" fontId="23" fillId="0" borderId="129" applyNumberFormat="0" applyFill="0" applyAlignment="0" applyProtection="0"/>
    <xf numFmtId="171" fontId="51" fillId="0" borderId="130"/>
    <xf numFmtId="0" fontId="18" fillId="9" borderId="126" applyNumberFormat="0" applyAlignment="0" applyProtection="0"/>
    <xf numFmtId="179" fontId="51" fillId="0" borderId="130"/>
    <xf numFmtId="0" fontId="18" fillId="9" borderId="126" applyNumberFormat="0" applyAlignment="0" applyProtection="0"/>
    <xf numFmtId="0" fontId="21" fillId="22" borderId="128" applyNumberFormat="0" applyAlignment="0" applyProtection="0"/>
    <xf numFmtId="0" fontId="54" fillId="46" borderId="124">
      <protection locked="0"/>
    </xf>
    <xf numFmtId="176" fontId="51" fillId="0" borderId="130"/>
    <xf numFmtId="0" fontId="21" fillId="22" borderId="128" applyNumberFormat="0" applyAlignment="0" applyProtection="0"/>
    <xf numFmtId="173" fontId="51" fillId="0" borderId="130"/>
    <xf numFmtId="180" fontId="51" fillId="0" borderId="130"/>
    <xf numFmtId="172" fontId="51" fillId="0" borderId="130"/>
    <xf numFmtId="173" fontId="51" fillId="0" borderId="13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1" fillId="22" borderId="128" applyNumberFormat="0" applyAlignment="0" applyProtection="0"/>
    <xf numFmtId="179" fontId="51" fillId="0" borderId="130"/>
    <xf numFmtId="0" fontId="8" fillId="25" borderId="127" applyNumberFormat="0" applyFont="0" applyAlignment="0" applyProtection="0"/>
    <xf numFmtId="171" fontId="51" fillId="0" borderId="130"/>
    <xf numFmtId="179" fontId="51" fillId="0" borderId="130"/>
    <xf numFmtId="174" fontId="51" fillId="0" borderId="130"/>
    <xf numFmtId="0" fontId="8" fillId="25" borderId="127" applyNumberFormat="0" applyFont="0" applyAlignment="0" applyProtection="0"/>
    <xf numFmtId="0" fontId="54" fillId="46" borderId="124">
      <protection locked="0"/>
    </xf>
    <xf numFmtId="172" fontId="51" fillId="0" borderId="130"/>
    <xf numFmtId="0" fontId="11" fillId="22" borderId="126" applyNumberFormat="0" applyAlignment="0" applyProtection="0"/>
    <xf numFmtId="0" fontId="23" fillId="0" borderId="129" applyNumberFormat="0" applyFill="0" applyAlignment="0" applyProtection="0"/>
    <xf numFmtId="0" fontId="8" fillId="25" borderId="127" applyNumberFormat="0" applyFont="0" applyAlignment="0" applyProtection="0"/>
    <xf numFmtId="0" fontId="18" fillId="9" borderId="126" applyNumberFormat="0" applyAlignment="0" applyProtection="0"/>
    <xf numFmtId="179" fontId="51" fillId="0" borderId="130"/>
    <xf numFmtId="176" fontId="51" fillId="0" borderId="130"/>
    <xf numFmtId="179" fontId="51" fillId="0" borderId="130"/>
    <xf numFmtId="171" fontId="51" fillId="0" borderId="130"/>
    <xf numFmtId="181" fontId="51" fillId="0" borderId="130"/>
    <xf numFmtId="171" fontId="51" fillId="0" borderId="130"/>
    <xf numFmtId="0" fontId="18" fillId="9" borderId="126" applyNumberFormat="0" applyAlignment="0" applyProtection="0"/>
    <xf numFmtId="0" fontId="18" fillId="9" borderId="126" applyNumberFormat="0" applyAlignment="0" applyProtection="0"/>
    <xf numFmtId="174" fontId="51" fillId="0" borderId="130"/>
    <xf numFmtId="0" fontId="8" fillId="25" borderId="127" applyNumberFormat="0" applyFont="0" applyAlignment="0" applyProtection="0"/>
    <xf numFmtId="181" fontId="51" fillId="0" borderId="130"/>
    <xf numFmtId="174" fontId="51" fillId="0" borderId="130"/>
    <xf numFmtId="0" fontId="21" fillId="22" borderId="128" applyNumberFormat="0" applyAlignment="0" applyProtection="0"/>
    <xf numFmtId="0" fontId="18" fillId="9" borderId="126" applyNumberFormat="0" applyAlignment="0" applyProtection="0"/>
    <xf numFmtId="179" fontId="51" fillId="0" borderId="130"/>
    <xf numFmtId="179" fontId="51" fillId="0" borderId="130"/>
    <xf numFmtId="0" fontId="18" fillId="9" borderId="126" applyNumberFormat="0" applyAlignment="0" applyProtection="0"/>
    <xf numFmtId="180" fontId="51" fillId="0" borderId="130"/>
    <xf numFmtId="0" fontId="8" fillId="25" borderId="127" applyNumberFormat="0" applyFont="0" applyAlignment="0" applyProtection="0"/>
    <xf numFmtId="0" fontId="54" fillId="46" borderId="124">
      <protection locked="0"/>
    </xf>
    <xf numFmtId="0" fontId="11" fillId="22" borderId="126" applyNumberFormat="0" applyAlignment="0" applyProtection="0"/>
    <xf numFmtId="174" fontId="51" fillId="0" borderId="130"/>
    <xf numFmtId="175" fontId="51" fillId="0" borderId="130"/>
    <xf numFmtId="171" fontId="51" fillId="0" borderId="130"/>
    <xf numFmtId="0" fontId="8" fillId="25" borderId="127" applyNumberFormat="0" applyFont="0" applyAlignment="0" applyProtection="0"/>
    <xf numFmtId="0" fontId="11" fillId="22" borderId="126" applyNumberFormat="0" applyAlignment="0" applyProtection="0"/>
    <xf numFmtId="176" fontId="51" fillId="0" borderId="130"/>
    <xf numFmtId="173"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5" fontId="51" fillId="0" borderId="130"/>
    <xf numFmtId="179" fontId="51" fillId="0" borderId="130"/>
    <xf numFmtId="171" fontId="51" fillId="0" borderId="130"/>
    <xf numFmtId="171" fontId="51" fillId="0" borderId="130"/>
    <xf numFmtId="0" fontId="23" fillId="0" borderId="129" applyNumberFormat="0" applyFill="0" applyAlignment="0" applyProtection="0"/>
    <xf numFmtId="179" fontId="51" fillId="0" borderId="130"/>
    <xf numFmtId="171" fontId="51" fillId="0" borderId="130"/>
    <xf numFmtId="171" fontId="51" fillId="0" borderId="130"/>
    <xf numFmtId="179" fontId="51" fillId="0" borderId="130"/>
    <xf numFmtId="174" fontId="51" fillId="0" borderId="130"/>
    <xf numFmtId="174" fontId="51" fillId="0" borderId="130"/>
    <xf numFmtId="179" fontId="51" fillId="0" borderId="130"/>
    <xf numFmtId="179" fontId="51" fillId="0" borderId="130"/>
    <xf numFmtId="179" fontId="51" fillId="0" borderId="130"/>
    <xf numFmtId="171" fontId="51" fillId="0" borderId="130"/>
    <xf numFmtId="173" fontId="51" fillId="0" borderId="130"/>
    <xf numFmtId="171" fontId="51" fillId="0" borderId="130"/>
    <xf numFmtId="179" fontId="51" fillId="0" borderId="130"/>
    <xf numFmtId="0" fontId="18" fillId="9" borderId="126" applyNumberFormat="0" applyAlignment="0" applyProtection="0"/>
    <xf numFmtId="179" fontId="51" fillId="0" borderId="130"/>
    <xf numFmtId="179" fontId="51" fillId="0" borderId="130"/>
    <xf numFmtId="0" fontId="23" fillId="0" borderId="129" applyNumberFormat="0" applyFill="0" applyAlignment="0" applyProtection="0"/>
    <xf numFmtId="171" fontId="51" fillId="0" borderId="130"/>
    <xf numFmtId="0" fontId="8" fillId="25" borderId="127" applyNumberFormat="0" applyFont="0" applyAlignment="0" applyProtection="0"/>
    <xf numFmtId="0" fontId="18" fillId="9" borderId="126" applyNumberFormat="0" applyAlignment="0" applyProtection="0"/>
    <xf numFmtId="171" fontId="51" fillId="0" borderId="130"/>
    <xf numFmtId="179" fontId="51" fillId="0" borderId="130"/>
    <xf numFmtId="0" fontId="8" fillId="25" borderId="127" applyNumberFormat="0" applyFont="0" applyAlignment="0" applyProtection="0"/>
    <xf numFmtId="0" fontId="11" fillId="22" borderId="126" applyNumberFormat="0" applyAlignment="0" applyProtection="0"/>
    <xf numFmtId="171" fontId="51" fillId="0" borderId="13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1" fontId="51" fillId="0" borderId="130"/>
    <xf numFmtId="180" fontId="51" fillId="0" borderId="130"/>
    <xf numFmtId="174" fontId="51" fillId="0" borderId="130"/>
    <xf numFmtId="174" fontId="51" fillId="0" borderId="130"/>
    <xf numFmtId="173" fontId="51" fillId="0" borderId="130"/>
    <xf numFmtId="179" fontId="51" fillId="0" borderId="130"/>
    <xf numFmtId="172" fontId="51" fillId="0" borderId="130"/>
    <xf numFmtId="0" fontId="21" fillId="22" borderId="128" applyNumberFormat="0" applyAlignment="0" applyProtection="0"/>
    <xf numFmtId="171" fontId="51" fillId="0" borderId="130"/>
    <xf numFmtId="174" fontId="51" fillId="0" borderId="130"/>
    <xf numFmtId="179" fontId="51" fillId="0" borderId="130"/>
    <xf numFmtId="0" fontId="11" fillId="22" borderId="126" applyNumberFormat="0" applyAlignment="0" applyProtection="0"/>
    <xf numFmtId="174" fontId="51" fillId="0" borderId="130"/>
    <xf numFmtId="175" fontId="51" fillId="0" borderId="130"/>
    <xf numFmtId="174" fontId="51" fillId="0" borderId="130"/>
    <xf numFmtId="181" fontId="51" fillId="0" borderId="130"/>
    <xf numFmtId="176" fontId="51" fillId="0" borderId="130"/>
    <xf numFmtId="172"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4" fontId="51" fillId="0" borderId="130"/>
    <xf numFmtId="174" fontId="51" fillId="0" borderId="130"/>
    <xf numFmtId="174" fontId="51" fillId="0" borderId="130"/>
    <xf numFmtId="171" fontId="51" fillId="0" borderId="130"/>
    <xf numFmtId="0" fontId="18" fillId="9" borderId="126" applyNumberFormat="0" applyAlignment="0" applyProtection="0"/>
    <xf numFmtId="174" fontId="51" fillId="0" borderId="130"/>
    <xf numFmtId="171" fontId="51" fillId="0" borderId="130"/>
    <xf numFmtId="179" fontId="51" fillId="0" borderId="130"/>
    <xf numFmtId="173" fontId="51" fillId="0" borderId="130"/>
    <xf numFmtId="173" fontId="51" fillId="0" borderId="130"/>
    <xf numFmtId="171" fontId="51" fillId="0" borderId="130"/>
    <xf numFmtId="173" fontId="51" fillId="0" borderId="130"/>
    <xf numFmtId="174" fontId="51" fillId="0" borderId="130"/>
    <xf numFmtId="176" fontId="51" fillId="0" borderId="130"/>
    <xf numFmtId="171" fontId="51" fillId="0" borderId="130"/>
    <xf numFmtId="0" fontId="11" fillId="22" borderId="126" applyNumberFormat="0" applyAlignment="0" applyProtection="0"/>
    <xf numFmtId="179" fontId="51" fillId="0" borderId="130"/>
    <xf numFmtId="179" fontId="51" fillId="0" borderId="130"/>
    <xf numFmtId="179" fontId="51" fillId="0" borderId="130"/>
    <xf numFmtId="171" fontId="51" fillId="0" borderId="130"/>
    <xf numFmtId="0" fontId="8" fillId="25" borderId="127" applyNumberFormat="0" applyFont="0" applyAlignment="0" applyProtection="0"/>
    <xf numFmtId="171" fontId="51" fillId="0" borderId="130"/>
    <xf numFmtId="180" fontId="51" fillId="0" borderId="130"/>
    <xf numFmtId="174" fontId="51" fillId="0" borderId="130"/>
    <xf numFmtId="175" fontId="51" fillId="0" borderId="130"/>
    <xf numFmtId="0" fontId="18" fillId="9" borderId="126" applyNumberFormat="0" applyAlignment="0" applyProtection="0"/>
    <xf numFmtId="171" fontId="51" fillId="0" borderId="130"/>
    <xf numFmtId="179" fontId="51" fillId="0" borderId="130"/>
    <xf numFmtId="174" fontId="51" fillId="0" borderId="130"/>
    <xf numFmtId="179" fontId="51" fillId="0" borderId="130"/>
    <xf numFmtId="171" fontId="51" fillId="0" borderId="130"/>
    <xf numFmtId="179" fontId="51" fillId="0" borderId="130"/>
    <xf numFmtId="174" fontId="51" fillId="0" borderId="130"/>
    <xf numFmtId="174" fontId="51" fillId="0" borderId="130"/>
    <xf numFmtId="171" fontId="51" fillId="0" borderId="130"/>
    <xf numFmtId="174" fontId="51" fillId="0" borderId="130"/>
    <xf numFmtId="175" fontId="51" fillId="0" borderId="130"/>
    <xf numFmtId="174" fontId="51" fillId="0" borderId="130"/>
    <xf numFmtId="179" fontId="51" fillId="0" borderId="130"/>
    <xf numFmtId="179" fontId="51" fillId="0" borderId="130"/>
    <xf numFmtId="171" fontId="51" fillId="0" borderId="130"/>
    <xf numFmtId="0" fontId="21" fillId="22" borderId="128" applyNumberFormat="0" applyAlignment="0" applyProtection="0"/>
    <xf numFmtId="172" fontId="51" fillId="0" borderId="130"/>
    <xf numFmtId="0" fontId="23" fillId="0" borderId="129" applyNumberFormat="0" applyFill="0" applyAlignment="0" applyProtection="0"/>
    <xf numFmtId="0" fontId="8" fillId="25" borderId="127" applyNumberFormat="0" applyFont="0" applyAlignment="0" applyProtection="0"/>
    <xf numFmtId="0" fontId="54" fillId="46" borderId="124">
      <protection locked="0"/>
    </xf>
    <xf numFmtId="175" fontId="51" fillId="0" borderId="130"/>
    <xf numFmtId="0" fontId="23" fillId="0" borderId="129" applyNumberFormat="0" applyFill="0" applyAlignment="0" applyProtection="0"/>
    <xf numFmtId="174" fontId="51" fillId="0" borderId="130"/>
    <xf numFmtId="0" fontId="21" fillId="22" borderId="128" applyNumberFormat="0" applyAlignment="0" applyProtection="0"/>
    <xf numFmtId="171" fontId="51" fillId="0" borderId="130"/>
    <xf numFmtId="181" fontId="51" fillId="0" borderId="130"/>
    <xf numFmtId="171" fontId="51" fillId="0" borderId="130"/>
    <xf numFmtId="179" fontId="51" fillId="0" borderId="130"/>
    <xf numFmtId="0" fontId="11" fillId="22" borderId="126" applyNumberFormat="0" applyAlignment="0" applyProtection="0"/>
    <xf numFmtId="174" fontId="51" fillId="0" borderId="130"/>
    <xf numFmtId="180" fontId="51" fillId="0" borderId="130"/>
    <xf numFmtId="174" fontId="51" fillId="0" borderId="130"/>
    <xf numFmtId="171" fontId="51" fillId="0" borderId="130"/>
    <xf numFmtId="174" fontId="51" fillId="0" borderId="130"/>
    <xf numFmtId="172" fontId="51" fillId="0" borderId="130"/>
    <xf numFmtId="179" fontId="51" fillId="0" borderId="130"/>
    <xf numFmtId="176" fontId="51" fillId="0" borderId="130"/>
    <xf numFmtId="174" fontId="51" fillId="0" borderId="130"/>
    <xf numFmtId="172" fontId="51" fillId="0" borderId="130"/>
    <xf numFmtId="171" fontId="51" fillId="0" borderId="130"/>
    <xf numFmtId="180" fontId="51" fillId="0" borderId="130"/>
    <xf numFmtId="181" fontId="51" fillId="0" borderId="130"/>
    <xf numFmtId="0" fontId="54" fillId="46" borderId="124">
      <protection locked="0"/>
    </xf>
    <xf numFmtId="179" fontId="51" fillId="0" borderId="130"/>
    <xf numFmtId="179" fontId="51" fillId="0" borderId="130"/>
    <xf numFmtId="179" fontId="51" fillId="0" borderId="130"/>
    <xf numFmtId="171" fontId="51" fillId="0" borderId="130"/>
    <xf numFmtId="179" fontId="51" fillId="0" borderId="130"/>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81" fontId="51" fillId="0" borderId="130"/>
    <xf numFmtId="171" fontId="51" fillId="0" borderId="130"/>
    <xf numFmtId="174" fontId="51" fillId="0" borderId="130"/>
    <xf numFmtId="179" fontId="51" fillId="0" borderId="130"/>
    <xf numFmtId="171" fontId="51" fillId="0" borderId="130"/>
    <xf numFmtId="0" fontId="8" fillId="25" borderId="127" applyNumberFormat="0" applyFont="0" applyAlignment="0" applyProtection="0"/>
    <xf numFmtId="174" fontId="51" fillId="0" borderId="130"/>
    <xf numFmtId="176" fontId="51" fillId="0" borderId="130"/>
    <xf numFmtId="179" fontId="51" fillId="0" borderId="130"/>
    <xf numFmtId="171" fontId="51" fillId="0" borderId="130"/>
    <xf numFmtId="174"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4" fontId="51" fillId="0" borderId="130"/>
    <xf numFmtId="179" fontId="51" fillId="0" borderId="130"/>
    <xf numFmtId="171" fontId="51" fillId="0" borderId="130"/>
    <xf numFmtId="179" fontId="51" fillId="0" borderId="130"/>
    <xf numFmtId="179" fontId="51" fillId="0" borderId="130"/>
    <xf numFmtId="174" fontId="51" fillId="0" borderId="130"/>
    <xf numFmtId="174" fontId="51" fillId="0" borderId="130"/>
    <xf numFmtId="171" fontId="51" fillId="0" borderId="130"/>
    <xf numFmtId="171"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4" fontId="51" fillId="0" borderId="130"/>
    <xf numFmtId="181" fontId="51" fillId="0" borderId="130"/>
    <xf numFmtId="171" fontId="51" fillId="0" borderId="130"/>
    <xf numFmtId="0" fontId="11" fillId="22" borderId="126" applyNumberFormat="0" applyAlignment="0" applyProtection="0"/>
    <xf numFmtId="0" fontId="18" fillId="9" borderId="126" applyNumberFormat="0" applyAlignment="0" applyProtection="0"/>
    <xf numFmtId="181" fontId="51" fillId="0" borderId="130"/>
    <xf numFmtId="180" fontId="51" fillId="0" borderId="130"/>
    <xf numFmtId="179" fontId="51" fillId="0" borderId="130"/>
    <xf numFmtId="171" fontId="51" fillId="0" borderId="130"/>
    <xf numFmtId="175" fontId="51" fillId="0" borderId="130"/>
    <xf numFmtId="176" fontId="51" fillId="0" borderId="130"/>
    <xf numFmtId="175" fontId="51" fillId="0" borderId="130"/>
    <xf numFmtId="174" fontId="51" fillId="0" borderId="130"/>
    <xf numFmtId="176" fontId="51" fillId="0" borderId="130"/>
    <xf numFmtId="180" fontId="51" fillId="0" borderId="130"/>
    <xf numFmtId="173" fontId="51" fillId="0" borderId="130"/>
    <xf numFmtId="0" fontId="11" fillId="22" borderId="126" applyNumberFormat="0" applyAlignment="0" applyProtection="0"/>
    <xf numFmtId="172" fontId="51" fillId="0" borderId="130"/>
    <xf numFmtId="179" fontId="51" fillId="0" borderId="130"/>
    <xf numFmtId="176" fontId="51" fillId="0" borderId="130"/>
    <xf numFmtId="174" fontId="51" fillId="0" borderId="130"/>
    <xf numFmtId="171" fontId="51" fillId="0" borderId="130"/>
    <xf numFmtId="0" fontId="21" fillId="22" borderId="128" applyNumberFormat="0" applyAlignment="0" applyProtection="0"/>
    <xf numFmtId="0" fontId="23" fillId="0" borderId="129" applyNumberFormat="0" applyFill="0" applyAlignment="0" applyProtection="0"/>
    <xf numFmtId="180" fontId="51" fillId="0" borderId="130"/>
    <xf numFmtId="175" fontId="51" fillId="0" borderId="130"/>
    <xf numFmtId="173" fontId="51" fillId="0" borderId="130"/>
    <xf numFmtId="172" fontId="51" fillId="0" borderId="130"/>
    <xf numFmtId="171" fontId="51" fillId="0" borderId="130"/>
    <xf numFmtId="181"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11" fillId="22" borderId="126" applyNumberFormat="0" applyAlignment="0" applyProtection="0"/>
    <xf numFmtId="0" fontId="54" fillId="46" borderId="124">
      <protection locked="0"/>
    </xf>
    <xf numFmtId="0" fontId="11" fillId="22" borderId="126" applyNumberFormat="0" applyAlignment="0" applyProtection="0"/>
    <xf numFmtId="0" fontId="21" fillId="22" borderId="128" applyNumberFormat="0" applyAlignment="0" applyProtection="0"/>
    <xf numFmtId="0" fontId="54" fillId="46" borderId="124">
      <protection locked="0"/>
    </xf>
    <xf numFmtId="173" fontId="51" fillId="0" borderId="130"/>
    <xf numFmtId="172"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23" fillId="0" borderId="129" applyNumberFormat="0" applyFill="0" applyAlignment="0" applyProtection="0"/>
    <xf numFmtId="171" fontId="51" fillId="0" borderId="130"/>
    <xf numFmtId="172"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1" fontId="51" fillId="0" borderId="130"/>
    <xf numFmtId="179" fontId="51" fillId="0" borderId="130"/>
    <xf numFmtId="0" fontId="11" fillId="22" borderId="126" applyNumberFormat="0" applyAlignment="0" applyProtection="0"/>
    <xf numFmtId="0" fontId="54" fillId="46" borderId="124">
      <protection locked="0"/>
    </xf>
    <xf numFmtId="181" fontId="51" fillId="0" borderId="130"/>
    <xf numFmtId="171" fontId="51" fillId="0" borderId="130"/>
    <xf numFmtId="0" fontId="23" fillId="0" borderId="129" applyNumberFormat="0" applyFill="0" applyAlignment="0" applyProtection="0"/>
    <xf numFmtId="179" fontId="51" fillId="0" borderId="130"/>
    <xf numFmtId="0" fontId="54" fillId="46" borderId="124">
      <protection locked="0"/>
    </xf>
    <xf numFmtId="0" fontId="11" fillId="22" borderId="126" applyNumberFormat="0" applyAlignment="0" applyProtection="0"/>
    <xf numFmtId="171" fontId="51" fillId="0" borderId="130"/>
    <xf numFmtId="171" fontId="51" fillId="0" borderId="130"/>
    <xf numFmtId="0" fontId="18" fillId="9" borderId="126" applyNumberFormat="0" applyAlignment="0" applyProtection="0"/>
    <xf numFmtId="172" fontId="51" fillId="0" borderId="130"/>
    <xf numFmtId="171" fontId="51" fillId="0" borderId="130"/>
    <xf numFmtId="174" fontId="51" fillId="0" borderId="130"/>
    <xf numFmtId="171" fontId="51" fillId="0" borderId="130"/>
    <xf numFmtId="174" fontId="51" fillId="0" borderId="130"/>
    <xf numFmtId="175" fontId="51" fillId="0" borderId="130"/>
    <xf numFmtId="176" fontId="51" fillId="0" borderId="130"/>
    <xf numFmtId="0" fontId="8" fillId="25" borderId="127" applyNumberFormat="0" applyFont="0" applyAlignment="0" applyProtection="0"/>
    <xf numFmtId="174" fontId="51" fillId="0" borderId="130"/>
    <xf numFmtId="179" fontId="51" fillId="0" borderId="130"/>
    <xf numFmtId="171" fontId="51" fillId="0" borderId="130"/>
    <xf numFmtId="180" fontId="51" fillId="0" borderId="130"/>
    <xf numFmtId="181" fontId="51" fillId="0" borderId="130"/>
    <xf numFmtId="0" fontId="18" fillId="9" borderId="126" applyNumberFormat="0" applyAlignment="0" applyProtection="0"/>
    <xf numFmtId="179" fontId="51" fillId="0" borderId="130"/>
    <xf numFmtId="179" fontId="51" fillId="0" borderId="130"/>
    <xf numFmtId="174" fontId="51" fillId="0" borderId="130"/>
    <xf numFmtId="171" fontId="51" fillId="0" borderId="130"/>
    <xf numFmtId="175" fontId="51" fillId="0" borderId="130"/>
    <xf numFmtId="171" fontId="51" fillId="0" borderId="130"/>
    <xf numFmtId="171" fontId="51" fillId="0" borderId="130"/>
    <xf numFmtId="174" fontId="51" fillId="0" borderId="130"/>
    <xf numFmtId="174" fontId="51" fillId="0" borderId="130"/>
    <xf numFmtId="171" fontId="51" fillId="0" borderId="130"/>
    <xf numFmtId="0" fontId="18" fillId="9" borderId="126" applyNumberFormat="0" applyAlignment="0" applyProtection="0"/>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8" fillId="25" borderId="127" applyNumberFormat="0" applyFont="0" applyAlignment="0" applyProtection="0"/>
    <xf numFmtId="173" fontId="51" fillId="0" borderId="130"/>
    <xf numFmtId="174" fontId="51" fillId="0" borderId="130"/>
    <xf numFmtId="179" fontId="51" fillId="0" borderId="130"/>
    <xf numFmtId="0" fontId="11" fillId="22" borderId="126" applyNumberFormat="0" applyAlignment="0" applyProtection="0"/>
    <xf numFmtId="173" fontId="51" fillId="0" borderId="130"/>
    <xf numFmtId="172" fontId="51" fillId="0" borderId="130"/>
    <xf numFmtId="0" fontId="21" fillId="22" borderId="128" applyNumberFormat="0" applyAlignment="0" applyProtection="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3" fontId="51" fillId="0" borderId="130"/>
    <xf numFmtId="175" fontId="51" fillId="0" borderId="130"/>
    <xf numFmtId="176"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80" fontId="51" fillId="0" borderId="130"/>
    <xf numFmtId="174" fontId="51" fillId="0" borderId="130"/>
    <xf numFmtId="179"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174" fontId="51" fillId="0" borderId="130"/>
    <xf numFmtId="179" fontId="51" fillId="0" borderId="130"/>
    <xf numFmtId="174" fontId="51" fillId="0" borderId="130"/>
    <xf numFmtId="171" fontId="51" fillId="0" borderId="130"/>
    <xf numFmtId="179" fontId="51" fillId="0" borderId="130"/>
    <xf numFmtId="174" fontId="51" fillId="0" borderId="130"/>
    <xf numFmtId="179" fontId="51" fillId="0" borderId="130"/>
    <xf numFmtId="171" fontId="51" fillId="0" borderId="130"/>
    <xf numFmtId="171" fontId="51" fillId="0" borderId="130"/>
    <xf numFmtId="179"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6" fontId="51" fillId="0" borderId="130"/>
    <xf numFmtId="0" fontId="11" fillId="22" borderId="126" applyNumberFormat="0" applyAlignment="0" applyProtection="0"/>
    <xf numFmtId="180" fontId="51" fillId="0" borderId="130"/>
    <xf numFmtId="179" fontId="51" fillId="0" borderId="130"/>
    <xf numFmtId="171" fontId="51" fillId="0" borderId="130"/>
    <xf numFmtId="171" fontId="51" fillId="0" borderId="130"/>
    <xf numFmtId="174" fontId="51" fillId="0" borderId="130"/>
    <xf numFmtId="174" fontId="51" fillId="0" borderId="130"/>
    <xf numFmtId="171" fontId="51" fillId="0" borderId="130"/>
    <xf numFmtId="0" fontId="23" fillId="0" borderId="129" applyNumberFormat="0" applyFill="0" applyAlignment="0" applyProtection="0"/>
    <xf numFmtId="174" fontId="51" fillId="0" borderId="130"/>
    <xf numFmtId="0" fontId="18" fillId="9" borderId="126" applyNumberFormat="0" applyAlignment="0" applyProtection="0"/>
    <xf numFmtId="0" fontId="21" fillId="22" borderId="128" applyNumberFormat="0" applyAlignment="0" applyProtection="0"/>
    <xf numFmtId="0" fontId="8" fillId="25" borderId="127" applyNumberFormat="0" applyFont="0" applyAlignment="0" applyProtection="0"/>
    <xf numFmtId="0" fontId="54" fillId="46" borderId="124">
      <protection locked="0"/>
    </xf>
    <xf numFmtId="179" fontId="51" fillId="0" borderId="130"/>
    <xf numFmtId="0" fontId="11" fillId="22" borderId="126" applyNumberFormat="0" applyAlignment="0" applyProtection="0"/>
    <xf numFmtId="0" fontId="18" fillId="9" borderId="126" applyNumberFormat="0" applyAlignment="0" applyProtection="0"/>
    <xf numFmtId="174" fontId="51" fillId="0" borderId="130"/>
    <xf numFmtId="171" fontId="51" fillId="0" borderId="130"/>
    <xf numFmtId="179" fontId="51" fillId="0" borderId="130"/>
    <xf numFmtId="174" fontId="51" fillId="0" borderId="130"/>
    <xf numFmtId="171" fontId="51" fillId="0" borderId="130"/>
    <xf numFmtId="172" fontId="51" fillId="0" borderId="130"/>
    <xf numFmtId="171" fontId="51" fillId="0" borderId="130"/>
    <xf numFmtId="174" fontId="51" fillId="0" borderId="130"/>
    <xf numFmtId="179" fontId="51" fillId="0" borderId="130"/>
    <xf numFmtId="171" fontId="51" fillId="0" borderId="130"/>
    <xf numFmtId="179" fontId="51" fillId="0" borderId="130"/>
    <xf numFmtId="0" fontId="11" fillId="22" borderId="126" applyNumberFormat="0" applyAlignment="0" applyProtection="0"/>
    <xf numFmtId="181" fontId="51" fillId="0" borderId="130"/>
    <xf numFmtId="175" fontId="51" fillId="0" borderId="130"/>
    <xf numFmtId="179"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23" fillId="0" borderId="129" applyNumberFormat="0" applyFill="0" applyAlignment="0" applyProtection="0"/>
    <xf numFmtId="179" fontId="51" fillId="0" borderId="130"/>
    <xf numFmtId="179" fontId="51" fillId="0" borderId="130"/>
    <xf numFmtId="174" fontId="51" fillId="0" borderId="130"/>
    <xf numFmtId="173" fontId="51" fillId="0" borderId="130"/>
    <xf numFmtId="0" fontId="8" fillId="25" borderId="127" applyNumberFormat="0" applyFont="0" applyAlignment="0" applyProtection="0"/>
    <xf numFmtId="174"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9" fontId="51" fillId="0" borderId="130"/>
    <xf numFmtId="174"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23" fillId="0" borderId="129" applyNumberFormat="0" applyFill="0" applyAlignment="0" applyProtection="0"/>
    <xf numFmtId="0" fontId="18" fillId="9" borderId="126" applyNumberFormat="0" applyAlignment="0" applyProtection="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21" fillId="22" borderId="128" applyNumberForma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9" fontId="51" fillId="0" borderId="130"/>
    <xf numFmtId="180" fontId="51" fillId="0" borderId="130"/>
    <xf numFmtId="171" fontId="51" fillId="0" borderId="130"/>
    <xf numFmtId="174" fontId="51" fillId="0" borderId="130"/>
    <xf numFmtId="174" fontId="51" fillId="0" borderId="130"/>
    <xf numFmtId="176" fontId="51" fillId="0" borderId="130"/>
    <xf numFmtId="171"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11" fillId="22"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1" fillId="22" borderId="128" applyNumberFormat="0" applyAlignment="0" applyProtection="0"/>
    <xf numFmtId="0" fontId="18" fillId="9" borderId="126" applyNumberFormat="0" applyAlignment="0" applyProtection="0"/>
    <xf numFmtId="0" fontId="8" fillId="25" borderId="127" applyNumberFormat="0" applyFont="0" applyAlignment="0" applyProtection="0"/>
    <xf numFmtId="175" fontId="51" fillId="0" borderId="130"/>
    <xf numFmtId="179" fontId="51" fillId="0" borderId="130"/>
    <xf numFmtId="171" fontId="51" fillId="0" borderId="130"/>
    <xf numFmtId="172" fontId="51" fillId="0" borderId="130"/>
    <xf numFmtId="173" fontId="51" fillId="0" borderId="130"/>
    <xf numFmtId="0" fontId="8" fillId="25" borderId="127" applyNumberFormat="0" applyFont="0" applyAlignment="0" applyProtection="0"/>
    <xf numFmtId="174" fontId="51" fillId="0" borderId="130"/>
    <xf numFmtId="175" fontId="51" fillId="0" borderId="130"/>
    <xf numFmtId="176" fontId="51" fillId="0" borderId="130"/>
    <xf numFmtId="175" fontId="51" fillId="0" borderId="130"/>
    <xf numFmtId="179" fontId="51" fillId="0" borderId="130"/>
    <xf numFmtId="180" fontId="51" fillId="0" borderId="130"/>
    <xf numFmtId="181" fontId="51" fillId="0" borderId="130"/>
    <xf numFmtId="174" fontId="51" fillId="0" borderId="130"/>
    <xf numFmtId="171" fontId="51" fillId="0" borderId="130"/>
    <xf numFmtId="0" fontId="54" fillId="46" borderId="124">
      <protection locked="0"/>
    </xf>
    <xf numFmtId="0" fontId="11" fillId="22" borderId="126" applyNumberFormat="0" applyAlignment="0" applyProtection="0"/>
    <xf numFmtId="0" fontId="8" fillId="25" borderId="127" applyNumberFormat="0" applyFont="0" applyAlignment="0" applyProtection="0"/>
    <xf numFmtId="0" fontId="11" fillId="22" borderId="126" applyNumberFormat="0" applyAlignment="0" applyProtection="0"/>
    <xf numFmtId="181" fontId="51" fillId="0" borderId="130"/>
    <xf numFmtId="0" fontId="54" fillId="46" borderId="124">
      <protection locked="0"/>
    </xf>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173" fontId="51" fillId="0" borderId="13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2" fontId="51" fillId="0" borderId="130"/>
    <xf numFmtId="173" fontId="51" fillId="0" borderId="130"/>
    <xf numFmtId="0" fontId="18" fillId="9" borderId="126" applyNumberFormat="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6" fontId="51" fillId="0" borderId="130"/>
    <xf numFmtId="171" fontId="51" fillId="0" borderId="130"/>
    <xf numFmtId="172" fontId="51" fillId="0" borderId="13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174" fontId="51" fillId="0" borderId="130"/>
    <xf numFmtId="179"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171" fontId="51" fillId="0" borderId="130"/>
    <xf numFmtId="179" fontId="51" fillId="0" borderId="130"/>
    <xf numFmtId="174" fontId="51" fillId="0" borderId="130"/>
    <xf numFmtId="174" fontId="51" fillId="0" borderId="130"/>
    <xf numFmtId="179" fontId="51" fillId="0" borderId="130"/>
    <xf numFmtId="171"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54" fillId="46" borderId="124">
      <protection locked="0"/>
    </xf>
    <xf numFmtId="171" fontId="51" fillId="0" borderId="130"/>
    <xf numFmtId="181" fontId="51" fillId="0" borderId="130"/>
    <xf numFmtId="174" fontId="51" fillId="0" borderId="130"/>
    <xf numFmtId="176" fontId="51" fillId="0" borderId="130"/>
    <xf numFmtId="173" fontId="51" fillId="0" borderId="130"/>
    <xf numFmtId="172" fontId="51" fillId="0" borderId="130"/>
    <xf numFmtId="179"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179" fontId="51" fillId="0" borderId="130"/>
    <xf numFmtId="180"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1" fontId="51" fillId="0" borderId="130"/>
    <xf numFmtId="174" fontId="51" fillId="0" borderId="130"/>
    <xf numFmtId="179" fontId="51" fillId="0" borderId="130"/>
    <xf numFmtId="0" fontId="54" fillId="46" borderId="124">
      <protection locked="0"/>
    </xf>
    <xf numFmtId="0" fontId="54" fillId="46" borderId="124">
      <protection locked="0"/>
    </xf>
    <xf numFmtId="0" fontId="11" fillId="22" borderId="126" applyNumberFormat="0" applyAlignment="0" applyProtection="0"/>
    <xf numFmtId="174" fontId="51" fillId="0" borderId="130"/>
    <xf numFmtId="171" fontId="51" fillId="0" borderId="130"/>
    <xf numFmtId="174" fontId="51" fillId="0" borderId="130"/>
    <xf numFmtId="174" fontId="51" fillId="0" borderId="130"/>
    <xf numFmtId="0" fontId="21" fillId="22" borderId="128" applyNumberFormat="0" applyAlignment="0" applyProtection="0"/>
    <xf numFmtId="179" fontId="51" fillId="0" borderId="130"/>
    <xf numFmtId="174" fontId="51" fillId="0" borderId="130"/>
    <xf numFmtId="0" fontId="54" fillId="46" borderId="124">
      <protection locked="0"/>
    </xf>
    <xf numFmtId="0" fontId="21" fillId="22" borderId="128" applyNumberFormat="0" applyAlignment="0" applyProtection="0"/>
    <xf numFmtId="0" fontId="8" fillId="25" borderId="127" applyNumberFormat="0" applyFont="0" applyAlignment="0" applyProtection="0"/>
    <xf numFmtId="171" fontId="51" fillId="0" borderId="130"/>
    <xf numFmtId="0" fontId="8" fillId="25" borderId="127" applyNumberFormat="0" applyFont="0" applyAlignment="0" applyProtection="0"/>
    <xf numFmtId="173" fontId="51" fillId="0" borderId="130"/>
    <xf numFmtId="0" fontId="23" fillId="0" borderId="129" applyNumberFormat="0" applyFill="0" applyAlignment="0" applyProtection="0"/>
    <xf numFmtId="175" fontId="51" fillId="0" borderId="130"/>
    <xf numFmtId="174" fontId="51" fillId="0" borderId="130"/>
    <xf numFmtId="0" fontId="23" fillId="0" borderId="129" applyNumberFormat="0" applyFill="0" applyAlignment="0" applyProtection="0"/>
    <xf numFmtId="181" fontId="51" fillId="0" borderId="130"/>
    <xf numFmtId="174" fontId="51" fillId="0" borderId="130"/>
    <xf numFmtId="174" fontId="51" fillId="0" borderId="130"/>
    <xf numFmtId="0" fontId="18" fillId="9" borderId="126" applyNumberFormat="0" applyAlignment="0" applyProtection="0"/>
    <xf numFmtId="0" fontId="21" fillId="22" borderId="128" applyNumberFormat="0" applyAlignment="0" applyProtection="0"/>
    <xf numFmtId="171" fontId="51" fillId="0" borderId="130"/>
    <xf numFmtId="0" fontId="8" fillId="25" borderId="127" applyNumberFormat="0" applyFont="0" applyAlignment="0" applyProtection="0"/>
    <xf numFmtId="172" fontId="51" fillId="0" borderId="130"/>
    <xf numFmtId="176" fontId="51" fillId="0" borderId="130"/>
    <xf numFmtId="0" fontId="23" fillId="0" borderId="129" applyNumberFormat="0" applyFill="0" applyAlignment="0" applyProtection="0"/>
    <xf numFmtId="0" fontId="8" fillId="25" borderId="127" applyNumberFormat="0" applyFont="0" applyAlignment="0" applyProtection="0"/>
    <xf numFmtId="175" fontId="51" fillId="0" borderId="130"/>
    <xf numFmtId="171" fontId="51" fillId="0" borderId="130"/>
    <xf numFmtId="179" fontId="51" fillId="0" borderId="130"/>
    <xf numFmtId="0" fontId="18" fillId="9" borderId="126" applyNumberFormat="0" applyAlignment="0" applyProtection="0"/>
    <xf numFmtId="171" fontId="51" fillId="0" borderId="130"/>
    <xf numFmtId="0" fontId="21" fillId="22" borderId="128" applyNumberFormat="0" applyAlignment="0" applyProtection="0"/>
    <xf numFmtId="179" fontId="51" fillId="0" borderId="130"/>
    <xf numFmtId="171" fontId="51" fillId="0" borderId="130"/>
    <xf numFmtId="179" fontId="51" fillId="0" borderId="130"/>
    <xf numFmtId="174" fontId="51" fillId="0" borderId="130"/>
    <xf numFmtId="172" fontId="51" fillId="0" borderId="130"/>
    <xf numFmtId="171" fontId="51" fillId="0" borderId="130"/>
    <xf numFmtId="174" fontId="51" fillId="0" borderId="130"/>
    <xf numFmtId="173" fontId="51" fillId="0" borderId="130"/>
    <xf numFmtId="180" fontId="51" fillId="0" borderId="130"/>
    <xf numFmtId="179" fontId="51" fillId="0" borderId="130"/>
    <xf numFmtId="174" fontId="51" fillId="0" borderId="130"/>
    <xf numFmtId="171" fontId="51" fillId="0" borderId="130"/>
    <xf numFmtId="179" fontId="51" fillId="0" borderId="130"/>
    <xf numFmtId="174" fontId="51" fillId="0" borderId="130"/>
    <xf numFmtId="171" fontId="51" fillId="0" borderId="130"/>
    <xf numFmtId="179" fontId="51" fillId="0" borderId="130"/>
    <xf numFmtId="179" fontId="51" fillId="0" borderId="130"/>
    <xf numFmtId="180" fontId="51" fillId="0" borderId="130"/>
    <xf numFmtId="176" fontId="51" fillId="0" borderId="130"/>
    <xf numFmtId="171" fontId="51" fillId="0" borderId="130"/>
    <xf numFmtId="0" fontId="23" fillId="0" borderId="129" applyNumberFormat="0" applyFill="0" applyAlignment="0" applyProtection="0"/>
    <xf numFmtId="0" fontId="11" fillId="22" borderId="126" applyNumberFormat="0" applyAlignment="0" applyProtection="0"/>
    <xf numFmtId="171" fontId="51" fillId="0" borderId="130"/>
    <xf numFmtId="173" fontId="51" fillId="0" borderId="130"/>
    <xf numFmtId="171" fontId="51" fillId="0" borderId="130"/>
    <xf numFmtId="174" fontId="51" fillId="0" borderId="130"/>
    <xf numFmtId="179" fontId="51" fillId="0" borderId="130"/>
    <xf numFmtId="171" fontId="51" fillId="0" borderId="130"/>
    <xf numFmtId="0" fontId="18" fillId="9" borderId="126" applyNumberFormat="0" applyAlignment="0" applyProtection="0"/>
    <xf numFmtId="173" fontId="51" fillId="0" borderId="130"/>
    <xf numFmtId="0" fontId="11" fillId="22" borderId="126" applyNumberFormat="0" applyAlignment="0" applyProtection="0"/>
    <xf numFmtId="181" fontId="51" fillId="0" borderId="130"/>
    <xf numFmtId="171" fontId="51" fillId="0" borderId="130"/>
    <xf numFmtId="172" fontId="51" fillId="0" borderId="130"/>
    <xf numFmtId="174" fontId="51" fillId="0" borderId="130"/>
    <xf numFmtId="175" fontId="51" fillId="0" borderId="130"/>
    <xf numFmtId="174" fontId="51" fillId="0" borderId="130"/>
    <xf numFmtId="174" fontId="51" fillId="0" borderId="130"/>
    <xf numFmtId="0" fontId="11" fillId="22" borderId="126" applyNumberFormat="0" applyAlignment="0" applyProtection="0"/>
    <xf numFmtId="171" fontId="51" fillId="0" borderId="130"/>
    <xf numFmtId="174" fontId="51" fillId="0" borderId="130"/>
    <xf numFmtId="181" fontId="51" fillId="0" borderId="130"/>
    <xf numFmtId="171"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171" fontId="51" fillId="0" borderId="130"/>
    <xf numFmtId="179" fontId="51" fillId="0" borderId="130"/>
    <xf numFmtId="179" fontId="51" fillId="0" borderId="130"/>
    <xf numFmtId="0" fontId="54" fillId="46" borderId="124">
      <protection locked="0"/>
    </xf>
    <xf numFmtId="0" fontId="8" fillId="25" borderId="127" applyNumberFormat="0" applyFont="0" applyAlignment="0" applyProtection="0"/>
    <xf numFmtId="179" fontId="51" fillId="0" borderId="130"/>
    <xf numFmtId="176" fontId="51" fillId="0" borderId="130"/>
    <xf numFmtId="171" fontId="51" fillId="0" borderId="130"/>
    <xf numFmtId="0" fontId="11" fillId="22" borderId="126" applyNumberFormat="0" applyAlignment="0" applyProtection="0"/>
    <xf numFmtId="179" fontId="51" fillId="0" borderId="119"/>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0" fontId="21" fillId="22" borderId="128" applyNumberFormat="0" applyAlignment="0" applyProtection="0"/>
    <xf numFmtId="174" fontId="51" fillId="0" borderId="130"/>
    <xf numFmtId="174" fontId="51" fillId="0" borderId="130"/>
    <xf numFmtId="172" fontId="51" fillId="0" borderId="130"/>
    <xf numFmtId="174" fontId="51" fillId="0" borderId="130"/>
    <xf numFmtId="179" fontId="51" fillId="0" borderId="130"/>
    <xf numFmtId="179" fontId="51" fillId="0" borderId="130"/>
    <xf numFmtId="171" fontId="51" fillId="0" borderId="130"/>
    <xf numFmtId="174" fontId="51" fillId="0" borderId="130"/>
    <xf numFmtId="179" fontId="51" fillId="0" borderId="130"/>
    <xf numFmtId="171" fontId="51" fillId="0" borderId="130"/>
    <xf numFmtId="173" fontId="51" fillId="0" borderId="130"/>
    <xf numFmtId="179" fontId="51" fillId="0" borderId="130"/>
    <xf numFmtId="0" fontId="23" fillId="0" borderId="129" applyNumberFormat="0" applyFill="0" applyAlignment="0" applyProtection="0"/>
    <xf numFmtId="174" fontId="51" fillId="0" borderId="130"/>
    <xf numFmtId="174" fontId="51" fillId="0" borderId="130"/>
    <xf numFmtId="179" fontId="51" fillId="0" borderId="130"/>
    <xf numFmtId="171" fontId="51" fillId="0" borderId="130"/>
    <xf numFmtId="0" fontId="18" fillId="9" borderId="126" applyNumberFormat="0" applyAlignment="0" applyProtection="0"/>
    <xf numFmtId="176" fontId="51" fillId="0" borderId="130"/>
    <xf numFmtId="175" fontId="51" fillId="0" borderId="130"/>
    <xf numFmtId="180" fontId="51" fillId="0" borderId="130"/>
    <xf numFmtId="175" fontId="51" fillId="0" borderId="130"/>
    <xf numFmtId="180" fontId="51" fillId="0" borderId="130"/>
    <xf numFmtId="172" fontId="51" fillId="0" borderId="130"/>
    <xf numFmtId="0" fontId="54" fillId="46" borderId="124">
      <protection locked="0"/>
    </xf>
    <xf numFmtId="180" fontId="51" fillId="0" borderId="130"/>
    <xf numFmtId="181" fontId="51" fillId="0" borderId="130"/>
    <xf numFmtId="0" fontId="54" fillId="46" borderId="124">
      <protection locked="0"/>
    </xf>
    <xf numFmtId="174" fontId="51" fillId="0" borderId="130"/>
    <xf numFmtId="181" fontId="51" fillId="0" borderId="130"/>
    <xf numFmtId="176" fontId="51" fillId="0" borderId="13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9" fontId="51" fillId="0" borderId="130"/>
    <xf numFmtId="171" fontId="51" fillId="0" borderId="130"/>
    <xf numFmtId="174" fontId="51" fillId="0" borderId="130"/>
    <xf numFmtId="179" fontId="51" fillId="0" borderId="130"/>
    <xf numFmtId="179" fontId="51" fillId="0" borderId="130"/>
    <xf numFmtId="179" fontId="51" fillId="0" borderId="130"/>
    <xf numFmtId="174" fontId="51" fillId="0" borderId="130"/>
    <xf numFmtId="179" fontId="51" fillId="0" borderId="130"/>
    <xf numFmtId="179" fontId="51" fillId="0" borderId="130"/>
    <xf numFmtId="174" fontId="51" fillId="0" borderId="130"/>
    <xf numFmtId="174" fontId="51" fillId="0" borderId="130"/>
    <xf numFmtId="0" fontId="21" fillId="22" borderId="128" applyNumberFormat="0" applyAlignment="0" applyProtection="0"/>
    <xf numFmtId="174" fontId="51" fillId="0" borderId="130"/>
    <xf numFmtId="0" fontId="23" fillId="0" borderId="129" applyNumberFormat="0" applyFill="0" applyAlignment="0" applyProtection="0"/>
    <xf numFmtId="171" fontId="51" fillId="0" borderId="130"/>
    <xf numFmtId="171" fontId="51" fillId="0" borderId="130"/>
    <xf numFmtId="174" fontId="51" fillId="0" borderId="130"/>
    <xf numFmtId="175" fontId="51" fillId="0" borderId="130"/>
    <xf numFmtId="0" fontId="18" fillId="9" borderId="126" applyNumberFormat="0" applyAlignment="0" applyProtection="0"/>
    <xf numFmtId="171" fontId="51" fillId="0" borderId="130"/>
    <xf numFmtId="0" fontId="21" fillId="22" borderId="128" applyNumberFormat="0" applyAlignment="0" applyProtection="0"/>
    <xf numFmtId="173" fontId="51" fillId="0" borderId="130"/>
    <xf numFmtId="171" fontId="51" fillId="0" borderId="130"/>
    <xf numFmtId="0" fontId="18" fillId="9" borderId="126" applyNumberFormat="0" applyAlignment="0" applyProtection="0"/>
    <xf numFmtId="176" fontId="51" fillId="0" borderId="130"/>
    <xf numFmtId="0" fontId="11" fillId="22" borderId="126" applyNumberFormat="0" applyAlignment="0" applyProtection="0"/>
    <xf numFmtId="171" fontId="51" fillId="0" borderId="130"/>
    <xf numFmtId="171" fontId="51" fillId="0" borderId="130"/>
    <xf numFmtId="179" fontId="51" fillId="0" borderId="130"/>
    <xf numFmtId="0" fontId="54" fillId="46" borderId="124">
      <protection locked="0"/>
    </xf>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5" fontId="51" fillId="0" borderId="130"/>
    <xf numFmtId="179" fontId="51" fillId="0" borderId="130"/>
    <xf numFmtId="171" fontId="51" fillId="0" borderId="130"/>
    <xf numFmtId="171" fontId="51" fillId="0" borderId="130"/>
    <xf numFmtId="0" fontId="23" fillId="0" borderId="129" applyNumberFormat="0" applyFill="0" applyAlignment="0" applyProtection="0"/>
    <xf numFmtId="179" fontId="51" fillId="0" borderId="130"/>
    <xf numFmtId="171" fontId="51" fillId="0" borderId="130"/>
    <xf numFmtId="171" fontId="51" fillId="0" borderId="130"/>
    <xf numFmtId="179" fontId="51" fillId="0" borderId="130"/>
    <xf numFmtId="174" fontId="51" fillId="0" borderId="130"/>
    <xf numFmtId="174" fontId="51" fillId="0" borderId="130"/>
    <xf numFmtId="179" fontId="51" fillId="0" borderId="130"/>
    <xf numFmtId="179" fontId="51" fillId="0" borderId="130"/>
    <xf numFmtId="179" fontId="51" fillId="0" borderId="130"/>
    <xf numFmtId="171" fontId="51" fillId="0" borderId="130"/>
    <xf numFmtId="173" fontId="51" fillId="0" borderId="130"/>
    <xf numFmtId="171" fontId="51" fillId="0" borderId="130"/>
    <xf numFmtId="179" fontId="51" fillId="0" borderId="130"/>
    <xf numFmtId="0" fontId="18" fillId="9" borderId="126" applyNumberFormat="0" applyAlignment="0" applyProtection="0"/>
    <xf numFmtId="179" fontId="51" fillId="0" borderId="130"/>
    <xf numFmtId="179" fontId="51" fillId="0" borderId="130"/>
    <xf numFmtId="0" fontId="23" fillId="0" borderId="129" applyNumberFormat="0" applyFill="0" applyAlignment="0" applyProtection="0"/>
    <xf numFmtId="171" fontId="51" fillId="0" borderId="130"/>
    <xf numFmtId="0" fontId="8" fillId="25" borderId="127" applyNumberFormat="0" applyFont="0" applyAlignment="0" applyProtection="0"/>
    <xf numFmtId="0" fontId="18" fillId="9" borderId="126" applyNumberFormat="0" applyAlignment="0" applyProtection="0"/>
    <xf numFmtId="171" fontId="51" fillId="0" borderId="130"/>
    <xf numFmtId="179" fontId="51" fillId="0" borderId="130"/>
    <xf numFmtId="0" fontId="8" fillId="25" borderId="127" applyNumberFormat="0" applyFont="0" applyAlignment="0" applyProtection="0"/>
    <xf numFmtId="0" fontId="11" fillId="22" borderId="126" applyNumberFormat="0" applyAlignment="0" applyProtection="0"/>
    <xf numFmtId="171" fontId="51" fillId="0" borderId="13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1" fontId="51" fillId="0" borderId="130"/>
    <xf numFmtId="180" fontId="51" fillId="0" borderId="130"/>
    <xf numFmtId="174" fontId="51" fillId="0" borderId="130"/>
    <xf numFmtId="174" fontId="51" fillId="0" borderId="130"/>
    <xf numFmtId="173" fontId="51" fillId="0" borderId="130"/>
    <xf numFmtId="179" fontId="51" fillId="0" borderId="130"/>
    <xf numFmtId="172" fontId="51" fillId="0" borderId="130"/>
    <xf numFmtId="0" fontId="21" fillId="22" borderId="128" applyNumberFormat="0" applyAlignment="0" applyProtection="0"/>
    <xf numFmtId="171" fontId="51" fillId="0" borderId="130"/>
    <xf numFmtId="174" fontId="51" fillId="0" borderId="130"/>
    <xf numFmtId="179" fontId="51" fillId="0" borderId="130"/>
    <xf numFmtId="0" fontId="11" fillId="22" borderId="126" applyNumberFormat="0" applyAlignment="0" applyProtection="0"/>
    <xf numFmtId="174" fontId="51" fillId="0" borderId="130"/>
    <xf numFmtId="175" fontId="51" fillId="0" borderId="130"/>
    <xf numFmtId="174" fontId="51" fillId="0" borderId="130"/>
    <xf numFmtId="181" fontId="51" fillId="0" borderId="130"/>
    <xf numFmtId="176" fontId="51" fillId="0" borderId="130"/>
    <xf numFmtId="172"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4" fontId="51" fillId="0" borderId="130"/>
    <xf numFmtId="174" fontId="51" fillId="0" borderId="130"/>
    <xf numFmtId="174" fontId="51" fillId="0" borderId="130"/>
    <xf numFmtId="171" fontId="51" fillId="0" borderId="130"/>
    <xf numFmtId="0" fontId="18" fillId="9" borderId="126" applyNumberFormat="0" applyAlignment="0" applyProtection="0"/>
    <xf numFmtId="174" fontId="51" fillId="0" borderId="130"/>
    <xf numFmtId="171" fontId="51" fillId="0" borderId="130"/>
    <xf numFmtId="179" fontId="51" fillId="0" borderId="130"/>
    <xf numFmtId="173" fontId="51" fillId="0" borderId="130"/>
    <xf numFmtId="173" fontId="51" fillId="0" borderId="130"/>
    <xf numFmtId="171" fontId="51" fillId="0" borderId="130"/>
    <xf numFmtId="173" fontId="51" fillId="0" borderId="130"/>
    <xf numFmtId="174" fontId="51" fillId="0" borderId="130"/>
    <xf numFmtId="176" fontId="51" fillId="0" borderId="130"/>
    <xf numFmtId="171" fontId="51" fillId="0" borderId="130"/>
    <xf numFmtId="0" fontId="11" fillId="22" borderId="126" applyNumberFormat="0" applyAlignment="0" applyProtection="0"/>
    <xf numFmtId="179" fontId="51" fillId="0" borderId="130"/>
    <xf numFmtId="179" fontId="51" fillId="0" borderId="130"/>
    <xf numFmtId="179" fontId="51" fillId="0" borderId="130"/>
    <xf numFmtId="171" fontId="51" fillId="0" borderId="130"/>
    <xf numFmtId="0" fontId="8" fillId="25" borderId="127" applyNumberFormat="0" applyFont="0" applyAlignment="0" applyProtection="0"/>
    <xf numFmtId="171" fontId="51" fillId="0" borderId="130"/>
    <xf numFmtId="180" fontId="51" fillId="0" borderId="130"/>
    <xf numFmtId="174" fontId="51" fillId="0" borderId="130"/>
    <xf numFmtId="175" fontId="51" fillId="0" borderId="130"/>
    <xf numFmtId="0" fontId="18" fillId="9" borderId="126" applyNumberFormat="0" applyAlignment="0" applyProtection="0"/>
    <xf numFmtId="171" fontId="51" fillId="0" borderId="130"/>
    <xf numFmtId="179" fontId="51" fillId="0" borderId="130"/>
    <xf numFmtId="174" fontId="51" fillId="0" borderId="130"/>
    <xf numFmtId="179" fontId="51" fillId="0" borderId="130"/>
    <xf numFmtId="171" fontId="51" fillId="0" borderId="130"/>
    <xf numFmtId="179" fontId="51" fillId="0" borderId="130"/>
    <xf numFmtId="174" fontId="51" fillId="0" borderId="130"/>
    <xf numFmtId="174" fontId="51" fillId="0" borderId="130"/>
    <xf numFmtId="171" fontId="51" fillId="0" borderId="130"/>
    <xf numFmtId="174" fontId="51" fillId="0" borderId="130"/>
    <xf numFmtId="175" fontId="51" fillId="0" borderId="130"/>
    <xf numFmtId="174" fontId="51" fillId="0" borderId="130"/>
    <xf numFmtId="179" fontId="51" fillId="0" borderId="130"/>
    <xf numFmtId="179" fontId="51" fillId="0" borderId="130"/>
    <xf numFmtId="171" fontId="51" fillId="0" borderId="130"/>
    <xf numFmtId="0" fontId="21" fillId="22" borderId="128" applyNumberFormat="0" applyAlignment="0" applyProtection="0"/>
    <xf numFmtId="172" fontId="51" fillId="0" borderId="130"/>
    <xf numFmtId="0" fontId="23" fillId="0" borderId="129" applyNumberFormat="0" applyFill="0" applyAlignment="0" applyProtection="0"/>
    <xf numFmtId="0" fontId="8" fillId="25" borderId="127" applyNumberFormat="0" applyFont="0" applyAlignment="0" applyProtection="0"/>
    <xf numFmtId="0" fontId="54" fillId="46" borderId="124">
      <protection locked="0"/>
    </xf>
    <xf numFmtId="175" fontId="51" fillId="0" borderId="130"/>
    <xf numFmtId="0" fontId="23" fillId="0" borderId="129" applyNumberFormat="0" applyFill="0" applyAlignment="0" applyProtection="0"/>
    <xf numFmtId="174" fontId="51" fillId="0" borderId="130"/>
    <xf numFmtId="0" fontId="21" fillId="22" borderId="128" applyNumberFormat="0" applyAlignment="0" applyProtection="0"/>
    <xf numFmtId="171" fontId="51" fillId="0" borderId="130"/>
    <xf numFmtId="181" fontId="51" fillId="0" borderId="130"/>
    <xf numFmtId="171" fontId="51" fillId="0" borderId="130"/>
    <xf numFmtId="179" fontId="51" fillId="0" borderId="130"/>
    <xf numFmtId="0" fontId="11" fillId="22" borderId="126" applyNumberFormat="0" applyAlignment="0" applyProtection="0"/>
    <xf numFmtId="174" fontId="51" fillId="0" borderId="130"/>
    <xf numFmtId="180" fontId="51" fillId="0" borderId="130"/>
    <xf numFmtId="174" fontId="51" fillId="0" borderId="130"/>
    <xf numFmtId="171" fontId="51" fillId="0" borderId="130"/>
    <xf numFmtId="174" fontId="51" fillId="0" borderId="130"/>
    <xf numFmtId="172" fontId="51" fillId="0" borderId="130"/>
    <xf numFmtId="179" fontId="51" fillId="0" borderId="130"/>
    <xf numFmtId="176" fontId="51" fillId="0" borderId="130"/>
    <xf numFmtId="174" fontId="51" fillId="0" borderId="130"/>
    <xf numFmtId="172" fontId="51" fillId="0" borderId="130"/>
    <xf numFmtId="171" fontId="51" fillId="0" borderId="130"/>
    <xf numFmtId="180" fontId="51" fillId="0" borderId="130"/>
    <xf numFmtId="181" fontId="51" fillId="0" borderId="130"/>
    <xf numFmtId="0" fontId="54" fillId="46" borderId="124">
      <protection locked="0"/>
    </xf>
    <xf numFmtId="179" fontId="51" fillId="0" borderId="130"/>
    <xf numFmtId="179" fontId="51" fillId="0" borderId="130"/>
    <xf numFmtId="179" fontId="51" fillId="0" borderId="130"/>
    <xf numFmtId="171" fontId="51" fillId="0" borderId="130"/>
    <xf numFmtId="179" fontId="51" fillId="0" borderId="130"/>
    <xf numFmtId="0" fontId="21" fillId="22" borderId="128" applyNumberFormat="0" applyAlignment="0" applyProtection="0"/>
    <xf numFmtId="0" fontId="23" fillId="0" borderId="129" applyNumberFormat="0" applyFill="0" applyAlignment="0" applyProtection="0"/>
    <xf numFmtId="0" fontId="8" fillId="25" borderId="127" applyNumberFormat="0" applyFont="0" applyAlignment="0" applyProtection="0"/>
    <xf numFmtId="181" fontId="51" fillId="0" borderId="130"/>
    <xf numFmtId="171" fontId="51" fillId="0" borderId="130"/>
    <xf numFmtId="174" fontId="51" fillId="0" borderId="130"/>
    <xf numFmtId="179" fontId="51" fillId="0" borderId="130"/>
    <xf numFmtId="171" fontId="51" fillId="0" borderId="130"/>
    <xf numFmtId="0" fontId="8" fillId="25" borderId="127" applyNumberFormat="0" applyFont="0" applyAlignment="0" applyProtection="0"/>
    <xf numFmtId="174" fontId="51" fillId="0" borderId="130"/>
    <xf numFmtId="176" fontId="51" fillId="0" borderId="130"/>
    <xf numFmtId="179" fontId="51" fillId="0" borderId="130"/>
    <xf numFmtId="171" fontId="51" fillId="0" borderId="130"/>
    <xf numFmtId="174"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4" fontId="51" fillId="0" borderId="130"/>
    <xf numFmtId="179" fontId="51" fillId="0" borderId="130"/>
    <xf numFmtId="171" fontId="51" fillId="0" borderId="130"/>
    <xf numFmtId="179" fontId="51" fillId="0" borderId="130"/>
    <xf numFmtId="179" fontId="51" fillId="0" borderId="130"/>
    <xf numFmtId="174" fontId="51" fillId="0" borderId="130"/>
    <xf numFmtId="174" fontId="51" fillId="0" borderId="130"/>
    <xf numFmtId="171" fontId="51" fillId="0" borderId="130"/>
    <xf numFmtId="171"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4" fontId="51" fillId="0" borderId="130"/>
    <xf numFmtId="181" fontId="51" fillId="0" borderId="130"/>
    <xf numFmtId="171" fontId="51" fillId="0" borderId="130"/>
    <xf numFmtId="0" fontId="11" fillId="22" borderId="126" applyNumberFormat="0" applyAlignment="0" applyProtection="0"/>
    <xf numFmtId="0" fontId="18" fillId="9" borderId="126" applyNumberFormat="0" applyAlignment="0" applyProtection="0"/>
    <xf numFmtId="181" fontId="51" fillId="0" borderId="130"/>
    <xf numFmtId="180" fontId="51" fillId="0" borderId="130"/>
    <xf numFmtId="179" fontId="51" fillId="0" borderId="130"/>
    <xf numFmtId="171" fontId="51" fillId="0" borderId="130"/>
    <xf numFmtId="175" fontId="51" fillId="0" borderId="130"/>
    <xf numFmtId="176" fontId="51" fillId="0" borderId="130"/>
    <xf numFmtId="175" fontId="51" fillId="0" borderId="130"/>
    <xf numFmtId="174" fontId="51" fillId="0" borderId="130"/>
    <xf numFmtId="176" fontId="51" fillId="0" borderId="130"/>
    <xf numFmtId="180" fontId="51" fillId="0" borderId="130"/>
    <xf numFmtId="173" fontId="51" fillId="0" borderId="130"/>
    <xf numFmtId="0" fontId="11" fillId="22" borderId="126" applyNumberFormat="0" applyAlignment="0" applyProtection="0"/>
    <xf numFmtId="172" fontId="51" fillId="0" borderId="130"/>
    <xf numFmtId="179" fontId="51" fillId="0" borderId="130"/>
    <xf numFmtId="176" fontId="51" fillId="0" borderId="130"/>
    <xf numFmtId="174" fontId="51" fillId="0" borderId="130"/>
    <xf numFmtId="171" fontId="51" fillId="0" borderId="130"/>
    <xf numFmtId="0" fontId="21" fillId="22" borderId="128" applyNumberFormat="0" applyAlignment="0" applyProtection="0"/>
    <xf numFmtId="0" fontId="23" fillId="0" borderId="129" applyNumberFormat="0" applyFill="0" applyAlignment="0" applyProtection="0"/>
    <xf numFmtId="180" fontId="51" fillId="0" borderId="130"/>
    <xf numFmtId="175" fontId="51" fillId="0" borderId="130"/>
    <xf numFmtId="173" fontId="51" fillId="0" borderId="130"/>
    <xf numFmtId="172" fontId="51" fillId="0" borderId="130"/>
    <xf numFmtId="171" fontId="51" fillId="0" borderId="130"/>
    <xf numFmtId="181" fontId="51" fillId="0" borderId="13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11" fillId="22" borderId="126" applyNumberFormat="0" applyAlignment="0" applyProtection="0"/>
    <xf numFmtId="0" fontId="54" fillId="46" borderId="124">
      <protection locked="0"/>
    </xf>
    <xf numFmtId="0" fontId="11" fillId="22" borderId="126" applyNumberFormat="0" applyAlignment="0" applyProtection="0"/>
    <xf numFmtId="0" fontId="21" fillId="22" borderId="128" applyNumberFormat="0" applyAlignment="0" applyProtection="0"/>
    <xf numFmtId="0" fontId="54" fillId="46" borderId="124">
      <protection locked="0"/>
    </xf>
    <xf numFmtId="173" fontId="51" fillId="0" borderId="130"/>
    <xf numFmtId="172"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23" fillId="0" borderId="129" applyNumberFormat="0" applyFill="0" applyAlignment="0" applyProtection="0"/>
    <xf numFmtId="171" fontId="51" fillId="0" borderId="130"/>
    <xf numFmtId="172"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9" fontId="51" fillId="0" borderId="130"/>
    <xf numFmtId="0" fontId="8" fillId="25" borderId="127" applyNumberFormat="0" applyFont="0" applyAlignment="0" applyProtection="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4"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4"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74" fontId="51" fillId="0" borderId="130"/>
    <xf numFmtId="171" fontId="51" fillId="0" borderId="130"/>
    <xf numFmtId="179" fontId="51" fillId="0" borderId="130"/>
    <xf numFmtId="0" fontId="11" fillId="22" borderId="126" applyNumberFormat="0" applyAlignment="0" applyProtection="0"/>
    <xf numFmtId="0" fontId="54" fillId="46" borderId="124">
      <protection locked="0"/>
    </xf>
    <xf numFmtId="181" fontId="51" fillId="0" borderId="130"/>
    <xf numFmtId="171" fontId="51" fillId="0" borderId="130"/>
    <xf numFmtId="0" fontId="23" fillId="0" borderId="129" applyNumberFormat="0" applyFill="0" applyAlignment="0" applyProtection="0"/>
    <xf numFmtId="179" fontId="51" fillId="0" borderId="130"/>
    <xf numFmtId="0" fontId="54" fillId="46" borderId="124">
      <protection locked="0"/>
    </xf>
    <xf numFmtId="0" fontId="11" fillId="22" borderId="126" applyNumberFormat="0" applyAlignment="0" applyProtection="0"/>
    <xf numFmtId="171" fontId="51" fillId="0" borderId="130"/>
    <xf numFmtId="171" fontId="51" fillId="0" borderId="130"/>
    <xf numFmtId="0" fontId="18" fillId="9" borderId="126" applyNumberFormat="0" applyAlignment="0" applyProtection="0"/>
    <xf numFmtId="172" fontId="51" fillId="0" borderId="130"/>
    <xf numFmtId="171" fontId="51" fillId="0" borderId="130"/>
    <xf numFmtId="174" fontId="51" fillId="0" borderId="130"/>
    <xf numFmtId="171" fontId="51" fillId="0" borderId="130"/>
    <xf numFmtId="174" fontId="51" fillId="0" borderId="130"/>
    <xf numFmtId="175" fontId="51" fillId="0" borderId="130"/>
    <xf numFmtId="176" fontId="51" fillId="0" borderId="130"/>
    <xf numFmtId="0" fontId="8" fillId="25" borderId="127" applyNumberFormat="0" applyFont="0" applyAlignment="0" applyProtection="0"/>
    <xf numFmtId="174" fontId="51" fillId="0" borderId="130"/>
    <xf numFmtId="179" fontId="51" fillId="0" borderId="130"/>
    <xf numFmtId="171" fontId="51" fillId="0" borderId="130"/>
    <xf numFmtId="180" fontId="51" fillId="0" borderId="130"/>
    <xf numFmtId="181" fontId="51" fillId="0" borderId="130"/>
    <xf numFmtId="0" fontId="18" fillId="9" borderId="126" applyNumberFormat="0" applyAlignment="0" applyProtection="0"/>
    <xf numFmtId="179" fontId="51" fillId="0" borderId="130"/>
    <xf numFmtId="179" fontId="51" fillId="0" borderId="130"/>
    <xf numFmtId="174" fontId="51" fillId="0" borderId="130"/>
    <xf numFmtId="171" fontId="51" fillId="0" borderId="130"/>
    <xf numFmtId="175" fontId="51" fillId="0" borderId="130"/>
    <xf numFmtId="171" fontId="51" fillId="0" borderId="130"/>
    <xf numFmtId="171" fontId="51" fillId="0" borderId="130"/>
    <xf numFmtId="174" fontId="51" fillId="0" borderId="130"/>
    <xf numFmtId="174" fontId="51" fillId="0" borderId="130"/>
    <xf numFmtId="171" fontId="51" fillId="0" borderId="130"/>
    <xf numFmtId="0" fontId="18" fillId="9" borderId="126" applyNumberFormat="0" applyAlignment="0" applyProtection="0"/>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8" fillId="25" borderId="127" applyNumberFormat="0" applyFont="0" applyAlignment="0" applyProtection="0"/>
    <xf numFmtId="173" fontId="51" fillId="0" borderId="130"/>
    <xf numFmtId="174" fontId="51" fillId="0" borderId="130"/>
    <xf numFmtId="179" fontId="51" fillId="0" borderId="130"/>
    <xf numFmtId="0" fontId="11" fillId="22" borderId="126" applyNumberFormat="0" applyAlignment="0" applyProtection="0"/>
    <xf numFmtId="173" fontId="51" fillId="0" borderId="130"/>
    <xf numFmtId="172" fontId="51" fillId="0" borderId="130"/>
    <xf numFmtId="0" fontId="21" fillId="22" borderId="128" applyNumberFormat="0" applyAlignment="0" applyProtection="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173" fontId="51" fillId="0" borderId="130"/>
    <xf numFmtId="175" fontId="51" fillId="0" borderId="130"/>
    <xf numFmtId="176"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9" fontId="51" fillId="0" borderId="130"/>
    <xf numFmtId="180" fontId="51" fillId="0" borderId="130"/>
    <xf numFmtId="174" fontId="51" fillId="0" borderId="130"/>
    <xf numFmtId="179" fontId="51" fillId="0" borderId="130"/>
    <xf numFmtId="174" fontId="51" fillId="0" borderId="130"/>
    <xf numFmtId="176" fontId="51" fillId="0" borderId="130"/>
    <xf numFmtId="172" fontId="51" fillId="0" borderId="130"/>
    <xf numFmtId="180" fontId="51" fillId="0" borderId="130"/>
    <xf numFmtId="181"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9" fontId="51" fillId="0" borderId="130"/>
    <xf numFmtId="174" fontId="51" fillId="0" borderId="130"/>
    <xf numFmtId="179" fontId="51" fillId="0" borderId="130"/>
    <xf numFmtId="174" fontId="51" fillId="0" borderId="130"/>
    <xf numFmtId="171" fontId="51" fillId="0" borderId="130"/>
    <xf numFmtId="179" fontId="51" fillId="0" borderId="130"/>
    <xf numFmtId="174" fontId="51" fillId="0" borderId="130"/>
    <xf numFmtId="179" fontId="51" fillId="0" borderId="130"/>
    <xf numFmtId="171" fontId="51" fillId="0" borderId="130"/>
    <xf numFmtId="171" fontId="51" fillId="0" borderId="130"/>
    <xf numFmtId="179" fontId="51" fillId="0" borderId="130"/>
    <xf numFmtId="175" fontId="51" fillId="0" borderId="130"/>
    <xf numFmtId="174" fontId="51" fillId="0" borderId="130"/>
    <xf numFmtId="173" fontId="51" fillId="0" borderId="130"/>
    <xf numFmtId="172" fontId="51" fillId="0" borderId="130"/>
    <xf numFmtId="171" fontId="51" fillId="0" borderId="130"/>
    <xf numFmtId="0" fontId="23" fillId="0" borderId="129" applyNumberFormat="0" applyFill="0" applyAlignment="0" applyProtection="0"/>
    <xf numFmtId="0" fontId="21" fillId="22" borderId="128" applyNumberFormat="0" applyAlignment="0" applyProtection="0"/>
    <xf numFmtId="0" fontId="8" fillId="25" borderId="127" applyNumberFormat="0" applyFont="0" applyAlignment="0" applyProtection="0"/>
    <xf numFmtId="0" fontId="18" fillId="9" borderId="126" applyNumberFormat="0" applyAlignment="0" applyProtection="0"/>
    <xf numFmtId="176" fontId="51" fillId="0" borderId="130"/>
    <xf numFmtId="0" fontId="11" fillId="22" borderId="126" applyNumberFormat="0" applyAlignment="0" applyProtection="0"/>
    <xf numFmtId="180" fontId="51" fillId="0" borderId="130"/>
    <xf numFmtId="179" fontId="51" fillId="0" borderId="130"/>
    <xf numFmtId="171" fontId="51" fillId="0" borderId="130"/>
    <xf numFmtId="171" fontId="51" fillId="0" borderId="130"/>
    <xf numFmtId="174" fontId="51" fillId="0" borderId="130"/>
    <xf numFmtId="174" fontId="51" fillId="0" borderId="130"/>
    <xf numFmtId="171" fontId="51" fillId="0" borderId="130"/>
    <xf numFmtId="0" fontId="23" fillId="0" borderId="129" applyNumberFormat="0" applyFill="0" applyAlignment="0" applyProtection="0"/>
    <xf numFmtId="174" fontId="51" fillId="0" borderId="130"/>
    <xf numFmtId="0" fontId="18" fillId="9" borderId="126" applyNumberFormat="0" applyAlignment="0" applyProtection="0"/>
    <xf numFmtId="0" fontId="21" fillId="22" borderId="128" applyNumberFormat="0" applyAlignment="0" applyProtection="0"/>
    <xf numFmtId="0" fontId="8" fillId="25" borderId="127" applyNumberFormat="0" applyFont="0" applyAlignment="0" applyProtection="0"/>
    <xf numFmtId="0" fontId="54" fillId="46" borderId="124">
      <protection locked="0"/>
    </xf>
    <xf numFmtId="179" fontId="51" fillId="0" borderId="130"/>
    <xf numFmtId="0" fontId="11" fillId="22" borderId="126" applyNumberFormat="0" applyAlignment="0" applyProtection="0"/>
    <xf numFmtId="0" fontId="18" fillId="9" borderId="126" applyNumberFormat="0" applyAlignment="0" applyProtection="0"/>
    <xf numFmtId="174" fontId="51" fillId="0" borderId="130"/>
    <xf numFmtId="171" fontId="51" fillId="0" borderId="130"/>
    <xf numFmtId="179" fontId="51" fillId="0" borderId="130"/>
    <xf numFmtId="174" fontId="51" fillId="0" borderId="130"/>
    <xf numFmtId="171" fontId="51" fillId="0" borderId="130"/>
    <xf numFmtId="172" fontId="51" fillId="0" borderId="130"/>
    <xf numFmtId="171" fontId="51" fillId="0" borderId="130"/>
    <xf numFmtId="174" fontId="51" fillId="0" borderId="130"/>
    <xf numFmtId="179" fontId="51" fillId="0" borderId="130"/>
    <xf numFmtId="171" fontId="51" fillId="0" borderId="130"/>
    <xf numFmtId="179" fontId="51" fillId="0" borderId="130"/>
    <xf numFmtId="0" fontId="11" fillId="22" borderId="126" applyNumberFormat="0" applyAlignment="0" applyProtection="0"/>
    <xf numFmtId="181" fontId="51" fillId="0" borderId="130"/>
    <xf numFmtId="175" fontId="51" fillId="0" borderId="130"/>
    <xf numFmtId="179" fontId="51" fillId="0" borderId="130"/>
    <xf numFmtId="171" fontId="51" fillId="0" borderId="130"/>
    <xf numFmtId="0" fontId="11" fillId="22" borderId="126" applyNumberFormat="0" applyAlignment="0" applyProtection="0"/>
    <xf numFmtId="0" fontId="18" fillId="9" borderId="126" applyNumberFormat="0" applyAlignment="0" applyProtection="0"/>
    <xf numFmtId="0" fontId="23" fillId="0" borderId="129" applyNumberFormat="0" applyFill="0" applyAlignment="0" applyProtection="0"/>
    <xf numFmtId="179" fontId="51" fillId="0" borderId="130"/>
    <xf numFmtId="179" fontId="51" fillId="0" borderId="130"/>
    <xf numFmtId="174" fontId="51" fillId="0" borderId="130"/>
    <xf numFmtId="173" fontId="51" fillId="0" borderId="130"/>
    <xf numFmtId="0" fontId="8" fillId="25" borderId="127" applyNumberFormat="0" applyFont="0" applyAlignment="0" applyProtection="0"/>
    <xf numFmtId="174"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54" fillId="46" borderId="124">
      <protection locked="0"/>
    </xf>
    <xf numFmtId="17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171" fontId="51" fillId="0" borderId="130"/>
    <xf numFmtId="172" fontId="51" fillId="0" borderId="130"/>
    <xf numFmtId="173" fontId="51" fillId="0" borderId="130"/>
    <xf numFmtId="174" fontId="51" fillId="0" borderId="130"/>
    <xf numFmtId="175" fontId="51" fillId="0" borderId="130"/>
    <xf numFmtId="176" fontId="51" fillId="0" borderId="130"/>
    <xf numFmtId="179" fontId="51" fillId="0" borderId="130"/>
    <xf numFmtId="180" fontId="51" fillId="0" borderId="130"/>
    <xf numFmtId="181" fontId="51" fillId="0" borderId="130"/>
    <xf numFmtId="179" fontId="51" fillId="0" borderId="130"/>
    <xf numFmtId="174" fontId="51" fillId="0" borderId="130"/>
    <xf numFmtId="0" fontId="54" fillId="46" borderId="124">
      <protection locked="0"/>
    </xf>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28" applyNumberFormat="0" applyAlignment="0" applyProtection="0"/>
    <xf numFmtId="0" fontId="23" fillId="0" borderId="129" applyNumberFormat="0" applyFill="0" applyAlignment="0" applyProtection="0"/>
    <xf numFmtId="0" fontId="21" fillId="22" borderId="134" applyNumberFormat="0" applyAlignment="0" applyProtection="0"/>
    <xf numFmtId="0" fontId="11" fillId="22" borderId="132" applyNumberFormat="0" applyAlignment="0" applyProtection="0"/>
    <xf numFmtId="179" fontId="51" fillId="0" borderId="136"/>
    <xf numFmtId="0" fontId="23" fillId="0" borderId="135" applyNumberFormat="0" applyFill="0" applyAlignment="0" applyProtection="0"/>
    <xf numFmtId="173" fontId="51" fillId="0" borderId="136"/>
    <xf numFmtId="175" fontId="51" fillId="0" borderId="136"/>
    <xf numFmtId="0" fontId="21" fillId="22" borderId="134" applyNumberFormat="0" applyAlignment="0" applyProtection="0"/>
    <xf numFmtId="179" fontId="51" fillId="0" borderId="136"/>
    <xf numFmtId="174" fontId="51" fillId="0" borderId="136"/>
    <xf numFmtId="173" fontId="51" fillId="0" borderId="136"/>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175" fontId="51" fillId="0" borderId="136"/>
    <xf numFmtId="174" fontId="51" fillId="0" borderId="136"/>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0" fontId="21" fillId="22" borderId="134"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21" fillId="22" borderId="134" applyNumberFormat="0" applyAlignment="0" applyProtection="0"/>
    <xf numFmtId="175" fontId="51" fillId="0" borderId="136"/>
    <xf numFmtId="0" fontId="23" fillId="0" borderId="135" applyNumberFormat="0" applyFill="0" applyAlignment="0" applyProtection="0"/>
    <xf numFmtId="0" fontId="23" fillId="0" borderId="135" applyNumberFormat="0" applyFill="0" applyAlignment="0" applyProtection="0"/>
    <xf numFmtId="0" fontId="18" fillId="9" borderId="132" applyNumberFormat="0" applyAlignment="0" applyProtection="0"/>
    <xf numFmtId="171" fontId="51" fillId="0" borderId="136"/>
    <xf numFmtId="180" fontId="51" fillId="0" borderId="136"/>
    <xf numFmtId="171" fontId="51" fillId="0" borderId="136"/>
    <xf numFmtId="0" fontId="21" fillId="22" borderId="134" applyNumberFormat="0" applyAlignment="0" applyProtection="0"/>
    <xf numFmtId="0" fontId="23" fillId="0" borderId="135" applyNumberFormat="0" applyFill="0" applyAlignment="0" applyProtection="0"/>
    <xf numFmtId="0" fontId="21" fillId="22" borderId="134" applyNumberFormat="0" applyAlignment="0" applyProtection="0"/>
    <xf numFmtId="174" fontId="51" fillId="0" borderId="136"/>
    <xf numFmtId="0" fontId="18" fillId="9" borderId="132" applyNumberFormat="0" applyAlignment="0" applyProtection="0"/>
    <xf numFmtId="0" fontId="23" fillId="0" borderId="135" applyNumberFormat="0" applyFill="0" applyAlignment="0" applyProtection="0"/>
    <xf numFmtId="179" fontId="51" fillId="0" borderId="136"/>
    <xf numFmtId="0" fontId="23" fillId="0" borderId="135" applyNumberFormat="0" applyFill="0" applyAlignment="0" applyProtection="0"/>
    <xf numFmtId="176" fontId="51" fillId="0" borderId="136"/>
    <xf numFmtId="174" fontId="51" fillId="0" borderId="136"/>
    <xf numFmtId="179" fontId="51" fillId="0" borderId="136"/>
    <xf numFmtId="171" fontId="51" fillId="0" borderId="136"/>
    <xf numFmtId="173" fontId="51" fillId="0" borderId="136"/>
    <xf numFmtId="174" fontId="51" fillId="0" borderId="136"/>
    <xf numFmtId="179" fontId="51" fillId="0" borderId="136"/>
    <xf numFmtId="0" fontId="11" fillId="22" borderId="132" applyNumberFormat="0" applyAlignment="0" applyProtection="0"/>
    <xf numFmtId="0" fontId="11" fillId="22" borderId="132" applyNumberFormat="0" applyAlignment="0" applyProtection="0"/>
    <xf numFmtId="171" fontId="51" fillId="0" borderId="136"/>
    <xf numFmtId="0" fontId="18" fillId="9" borderId="132"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54" fillId="46" borderId="137">
      <protection locked="0"/>
    </xf>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171"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79" fontId="51" fillId="0" borderId="136"/>
    <xf numFmtId="179" fontId="51" fillId="0" borderId="136"/>
    <xf numFmtId="180" fontId="51" fillId="0" borderId="136"/>
    <xf numFmtId="171" fontId="51" fillId="0" borderId="136"/>
    <xf numFmtId="174" fontId="51" fillId="0" borderId="136"/>
    <xf numFmtId="174" fontId="51" fillId="0" borderId="136"/>
    <xf numFmtId="176" fontId="51" fillId="0" borderId="136"/>
    <xf numFmtId="171"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8" fillId="25" borderId="133" applyNumberFormat="0" applyFont="0" applyAlignment="0" applyProtection="0"/>
    <xf numFmtId="175" fontId="51" fillId="0" borderId="136"/>
    <xf numFmtId="179" fontId="51" fillId="0" borderId="136"/>
    <xf numFmtId="171" fontId="51" fillId="0" borderId="136"/>
    <xf numFmtId="172" fontId="51" fillId="0" borderId="136"/>
    <xf numFmtId="173" fontId="51" fillId="0" borderId="136"/>
    <xf numFmtId="0" fontId="8" fillId="25" borderId="133" applyNumberFormat="0" applyFont="0" applyAlignment="0" applyProtection="0"/>
    <xf numFmtId="174" fontId="51" fillId="0" borderId="136"/>
    <xf numFmtId="175" fontId="51" fillId="0" borderId="136"/>
    <xf numFmtId="176" fontId="51" fillId="0" borderId="136"/>
    <xf numFmtId="175" fontId="51" fillId="0" borderId="136"/>
    <xf numFmtId="179" fontId="51" fillId="0" borderId="136"/>
    <xf numFmtId="180" fontId="51" fillId="0" borderId="136"/>
    <xf numFmtId="181" fontId="51" fillId="0" borderId="136"/>
    <xf numFmtId="174" fontId="51" fillId="0" borderId="136"/>
    <xf numFmtId="171" fontId="51" fillId="0" borderId="136"/>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181" fontId="51" fillId="0" borderId="136"/>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3" fontId="51" fillId="0" borderId="136"/>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2" fontId="51" fillId="0" borderId="136"/>
    <xf numFmtId="173" fontId="51" fillId="0" borderId="136"/>
    <xf numFmtId="0" fontId="18" fillId="9" borderId="132" applyNumberFormat="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6" fontId="51" fillId="0" borderId="136"/>
    <xf numFmtId="171" fontId="51" fillId="0" borderId="136"/>
    <xf numFmtId="172" fontId="51" fillId="0" borderId="136"/>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4" fontId="51" fillId="0" borderId="136"/>
    <xf numFmtId="179"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171" fontId="51" fillId="0" borderId="136"/>
    <xf numFmtId="179" fontId="51" fillId="0" borderId="136"/>
    <xf numFmtId="174" fontId="51" fillId="0" borderId="136"/>
    <xf numFmtId="174" fontId="51" fillId="0" borderId="136"/>
    <xf numFmtId="179" fontId="51" fillId="0" borderId="136"/>
    <xf numFmtId="171"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171" fontId="51" fillId="0" borderId="136"/>
    <xf numFmtId="181" fontId="51" fillId="0" borderId="136"/>
    <xf numFmtId="174" fontId="51" fillId="0" borderId="136"/>
    <xf numFmtId="176" fontId="51" fillId="0" borderId="136"/>
    <xf numFmtId="173" fontId="51" fillId="0" borderId="136"/>
    <xf numFmtId="172" fontId="51" fillId="0" borderId="136"/>
    <xf numFmtId="179"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179" fontId="51" fillId="0" borderId="136"/>
    <xf numFmtId="180"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1" fontId="51" fillId="0" borderId="136"/>
    <xf numFmtId="174" fontId="51" fillId="0" borderId="136"/>
    <xf numFmtId="174" fontId="51" fillId="0" borderId="136"/>
    <xf numFmtId="0" fontId="21" fillId="22" borderId="134" applyNumberFormat="0" applyAlignment="0" applyProtection="0"/>
    <xf numFmtId="179" fontId="51" fillId="0" borderId="136"/>
    <xf numFmtId="174" fontId="51" fillId="0" borderId="136"/>
    <xf numFmtId="0" fontId="21" fillId="22" borderId="134" applyNumberFormat="0" applyAlignment="0" applyProtection="0"/>
    <xf numFmtId="0" fontId="8" fillId="25" borderId="133" applyNumberFormat="0" applyFont="0" applyAlignment="0" applyProtection="0"/>
    <xf numFmtId="171" fontId="51" fillId="0" borderId="136"/>
    <xf numFmtId="0" fontId="8" fillId="25" borderId="133" applyNumberFormat="0" applyFont="0" applyAlignment="0" applyProtection="0"/>
    <xf numFmtId="173" fontId="51" fillId="0" borderId="136"/>
    <xf numFmtId="0" fontId="23" fillId="0" borderId="135" applyNumberFormat="0" applyFill="0" applyAlignment="0" applyProtection="0"/>
    <xf numFmtId="175" fontId="51" fillId="0" borderId="136"/>
    <xf numFmtId="174" fontId="51" fillId="0" borderId="136"/>
    <xf numFmtId="0" fontId="23" fillId="0" borderId="135" applyNumberFormat="0" applyFill="0" applyAlignment="0" applyProtection="0"/>
    <xf numFmtId="181" fontId="51" fillId="0" borderId="136"/>
    <xf numFmtId="174" fontId="51" fillId="0" borderId="136"/>
    <xf numFmtId="174" fontId="51" fillId="0" borderId="136"/>
    <xf numFmtId="0" fontId="18" fillId="9" borderId="132" applyNumberFormat="0" applyAlignment="0" applyProtection="0"/>
    <xf numFmtId="0" fontId="21" fillId="22" borderId="134" applyNumberFormat="0" applyAlignment="0" applyProtection="0"/>
    <xf numFmtId="171" fontId="51" fillId="0" borderId="136"/>
    <xf numFmtId="0" fontId="8" fillId="25" borderId="133" applyNumberFormat="0" applyFont="0" applyAlignment="0" applyProtection="0"/>
    <xf numFmtId="172" fontId="51" fillId="0" borderId="136"/>
    <xf numFmtId="176" fontId="51" fillId="0" borderId="136"/>
    <xf numFmtId="0" fontId="23" fillId="0" borderId="135" applyNumberFormat="0" applyFill="0" applyAlignment="0" applyProtection="0"/>
    <xf numFmtId="0" fontId="8" fillId="25" borderId="133" applyNumberFormat="0" applyFont="0" applyAlignment="0" applyProtection="0"/>
    <xf numFmtId="175" fontId="51" fillId="0" borderId="136"/>
    <xf numFmtId="171" fontId="51" fillId="0" borderId="136"/>
    <xf numFmtId="179" fontId="51" fillId="0" borderId="136"/>
    <xf numFmtId="0" fontId="18" fillId="9" borderId="132" applyNumberFormat="0" applyAlignment="0" applyProtection="0"/>
    <xf numFmtId="171" fontId="51" fillId="0" borderId="136"/>
    <xf numFmtId="0" fontId="21" fillId="22" borderId="134" applyNumberFormat="0" applyAlignment="0" applyProtection="0"/>
    <xf numFmtId="179" fontId="51" fillId="0" borderId="136"/>
    <xf numFmtId="171" fontId="51" fillId="0" borderId="136"/>
    <xf numFmtId="179" fontId="51" fillId="0" borderId="136"/>
    <xf numFmtId="174" fontId="51" fillId="0" borderId="136"/>
    <xf numFmtId="172" fontId="51" fillId="0" borderId="136"/>
    <xf numFmtId="171" fontId="51" fillId="0" borderId="136"/>
    <xf numFmtId="174" fontId="51" fillId="0" borderId="136"/>
    <xf numFmtId="173" fontId="51" fillId="0" borderId="136"/>
    <xf numFmtId="180" fontId="51" fillId="0" borderId="136"/>
    <xf numFmtId="179" fontId="51" fillId="0" borderId="136"/>
    <xf numFmtId="174" fontId="51" fillId="0" borderId="136"/>
    <xf numFmtId="171" fontId="51" fillId="0" borderId="136"/>
    <xf numFmtId="179" fontId="51" fillId="0" borderId="136"/>
    <xf numFmtId="174" fontId="51" fillId="0" borderId="136"/>
    <xf numFmtId="171" fontId="51" fillId="0" borderId="136"/>
    <xf numFmtId="179" fontId="51" fillId="0" borderId="136"/>
    <xf numFmtId="179" fontId="51" fillId="0" borderId="136"/>
    <xf numFmtId="180" fontId="51" fillId="0" borderId="136"/>
    <xf numFmtId="176" fontId="51" fillId="0" borderId="136"/>
    <xf numFmtId="171" fontId="51" fillId="0" borderId="136"/>
    <xf numFmtId="0" fontId="23" fillId="0" borderId="135" applyNumberFormat="0" applyFill="0" applyAlignment="0" applyProtection="0"/>
    <xf numFmtId="0" fontId="11" fillId="22" borderId="132" applyNumberFormat="0" applyAlignment="0" applyProtection="0"/>
    <xf numFmtId="171" fontId="51" fillId="0" borderId="136"/>
    <xf numFmtId="173" fontId="51" fillId="0" borderId="136"/>
    <xf numFmtId="171" fontId="51" fillId="0" borderId="136"/>
    <xf numFmtId="174" fontId="51" fillId="0" borderId="136"/>
    <xf numFmtId="179" fontId="51" fillId="0" borderId="136"/>
    <xf numFmtId="171" fontId="51" fillId="0" borderId="136"/>
    <xf numFmtId="0" fontId="18" fillId="9" borderId="132" applyNumberFormat="0" applyAlignment="0" applyProtection="0"/>
    <xf numFmtId="173" fontId="51" fillId="0" borderId="136"/>
    <xf numFmtId="0" fontId="11" fillId="22" borderId="132" applyNumberFormat="0" applyAlignment="0" applyProtection="0"/>
    <xf numFmtId="181" fontId="51" fillId="0" borderId="136"/>
    <xf numFmtId="171" fontId="51" fillId="0" borderId="136"/>
    <xf numFmtId="172" fontId="51" fillId="0" borderId="136"/>
    <xf numFmtId="174" fontId="51" fillId="0" borderId="136"/>
    <xf numFmtId="175" fontId="51" fillId="0" borderId="136"/>
    <xf numFmtId="174" fontId="51" fillId="0" borderId="136"/>
    <xf numFmtId="174" fontId="51" fillId="0" borderId="136"/>
    <xf numFmtId="0" fontId="11" fillId="22" borderId="132" applyNumberFormat="0" applyAlignment="0" applyProtection="0"/>
    <xf numFmtId="171" fontId="51" fillId="0" borderId="136"/>
    <xf numFmtId="174" fontId="51" fillId="0" borderId="136"/>
    <xf numFmtId="181" fontId="51" fillId="0" borderId="136"/>
    <xf numFmtId="171" fontId="51" fillId="0" borderId="136"/>
    <xf numFmtId="174" fontId="51" fillId="0" borderId="136"/>
    <xf numFmtId="176" fontId="51" fillId="0" borderId="136"/>
    <xf numFmtId="172" fontId="51" fillId="0" borderId="136"/>
    <xf numFmtId="180" fontId="51" fillId="0" borderId="136"/>
    <xf numFmtId="181" fontId="51" fillId="0" borderId="136"/>
    <xf numFmtId="179" fontId="51" fillId="0" borderId="136"/>
    <xf numFmtId="0" fontId="8" fillId="25" borderId="133" applyNumberFormat="0" applyFont="0" applyAlignment="0" applyProtection="0"/>
    <xf numFmtId="171" fontId="51" fillId="0" borderId="136"/>
    <xf numFmtId="179" fontId="51" fillId="0" borderId="136"/>
    <xf numFmtId="179" fontId="51" fillId="0" borderId="136"/>
    <xf numFmtId="0" fontId="8" fillId="25" borderId="133" applyNumberFormat="0" applyFont="0" applyAlignment="0" applyProtection="0"/>
    <xf numFmtId="179" fontId="51" fillId="0" borderId="136"/>
    <xf numFmtId="176"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0" fontId="21" fillId="22" borderId="134" applyNumberFormat="0" applyAlignment="0" applyProtection="0"/>
    <xf numFmtId="174" fontId="51" fillId="0" borderId="136"/>
    <xf numFmtId="174" fontId="51" fillId="0" borderId="136"/>
    <xf numFmtId="172" fontId="51" fillId="0" borderId="136"/>
    <xf numFmtId="174" fontId="51" fillId="0" borderId="136"/>
    <xf numFmtId="179" fontId="51" fillId="0" borderId="136"/>
    <xf numFmtId="179" fontId="51" fillId="0" borderId="136"/>
    <xf numFmtId="171" fontId="51" fillId="0" borderId="136"/>
    <xf numFmtId="174" fontId="51" fillId="0" borderId="136"/>
    <xf numFmtId="179" fontId="51" fillId="0" borderId="136"/>
    <xf numFmtId="171" fontId="51" fillId="0" borderId="136"/>
    <xf numFmtId="173" fontId="51" fillId="0" borderId="136"/>
    <xf numFmtId="179" fontId="51" fillId="0" borderId="136"/>
    <xf numFmtId="0" fontId="23" fillId="0" borderId="135" applyNumberFormat="0" applyFill="0" applyAlignment="0" applyProtection="0"/>
    <xf numFmtId="174" fontId="51" fillId="0" borderId="136"/>
    <xf numFmtId="174" fontId="51" fillId="0" borderId="136"/>
    <xf numFmtId="179" fontId="51" fillId="0" borderId="136"/>
    <xf numFmtId="171" fontId="51" fillId="0" borderId="136"/>
    <xf numFmtId="0" fontId="18" fillId="9" borderId="132" applyNumberFormat="0" applyAlignment="0" applyProtection="0"/>
    <xf numFmtId="176" fontId="51" fillId="0" borderId="136"/>
    <xf numFmtId="175" fontId="51" fillId="0" borderId="136"/>
    <xf numFmtId="180" fontId="51" fillId="0" borderId="136"/>
    <xf numFmtId="175" fontId="51" fillId="0" borderId="136"/>
    <xf numFmtId="180" fontId="51" fillId="0" borderId="136"/>
    <xf numFmtId="172" fontId="51" fillId="0" borderId="136"/>
    <xf numFmtId="180" fontId="51" fillId="0" borderId="136"/>
    <xf numFmtId="181" fontId="51" fillId="0" borderId="136"/>
    <xf numFmtId="174" fontId="51" fillId="0" borderId="136"/>
    <xf numFmtId="181" fontId="51" fillId="0" borderId="136"/>
    <xf numFmtId="176" fontId="51" fillId="0" borderId="136"/>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9" fontId="51" fillId="0" borderId="136"/>
    <xf numFmtId="171" fontId="51" fillId="0" borderId="136"/>
    <xf numFmtId="174" fontId="51" fillId="0" borderId="136"/>
    <xf numFmtId="179" fontId="51" fillId="0" borderId="136"/>
    <xf numFmtId="179" fontId="51" fillId="0" borderId="136"/>
    <xf numFmtId="179" fontId="51" fillId="0" borderId="136"/>
    <xf numFmtId="174" fontId="51" fillId="0" borderId="136"/>
    <xf numFmtId="179" fontId="51" fillId="0" borderId="136"/>
    <xf numFmtId="179" fontId="51" fillId="0" borderId="136"/>
    <xf numFmtId="174" fontId="51" fillId="0" borderId="136"/>
    <xf numFmtId="174" fontId="51" fillId="0" borderId="136"/>
    <xf numFmtId="0" fontId="21" fillId="22" borderId="134" applyNumberFormat="0" applyAlignment="0" applyProtection="0"/>
    <xf numFmtId="174" fontId="51" fillId="0" borderId="136"/>
    <xf numFmtId="0" fontId="23" fillId="0" borderId="135" applyNumberFormat="0" applyFill="0" applyAlignment="0" applyProtection="0"/>
    <xf numFmtId="171" fontId="51" fillId="0" borderId="136"/>
    <xf numFmtId="171" fontId="51" fillId="0" borderId="136"/>
    <xf numFmtId="174" fontId="51" fillId="0" borderId="136"/>
    <xf numFmtId="175" fontId="51" fillId="0" borderId="136"/>
    <xf numFmtId="0" fontId="18" fillId="9" borderId="132" applyNumberFormat="0" applyAlignment="0" applyProtection="0"/>
    <xf numFmtId="171" fontId="51" fillId="0" borderId="136"/>
    <xf numFmtId="0" fontId="21" fillId="22" borderId="134" applyNumberFormat="0" applyAlignment="0" applyProtection="0"/>
    <xf numFmtId="173" fontId="51" fillId="0" borderId="136"/>
    <xf numFmtId="171" fontId="51" fillId="0" borderId="136"/>
    <xf numFmtId="0" fontId="18" fillId="9" borderId="132" applyNumberFormat="0" applyAlignment="0" applyProtection="0"/>
    <xf numFmtId="176" fontId="51" fillId="0" borderId="136"/>
    <xf numFmtId="0" fontId="11" fillId="22" borderId="132" applyNumberFormat="0" applyAlignment="0" applyProtection="0"/>
    <xf numFmtId="171" fontId="51" fillId="0" borderId="136"/>
    <xf numFmtId="17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5" fontId="51" fillId="0" borderId="136"/>
    <xf numFmtId="179" fontId="51" fillId="0" borderId="136"/>
    <xf numFmtId="171" fontId="51" fillId="0" borderId="136"/>
    <xf numFmtId="171" fontId="51" fillId="0" borderId="136"/>
    <xf numFmtId="0" fontId="23" fillId="0" borderId="135" applyNumberFormat="0" applyFill="0" applyAlignment="0" applyProtection="0"/>
    <xf numFmtId="179" fontId="51" fillId="0" borderId="136"/>
    <xf numFmtId="171" fontId="51" fillId="0" borderId="136"/>
    <xf numFmtId="171" fontId="51" fillId="0" borderId="136"/>
    <xf numFmtId="179" fontId="51" fillId="0" borderId="136"/>
    <xf numFmtId="174" fontId="51" fillId="0" borderId="136"/>
    <xf numFmtId="174" fontId="51" fillId="0" borderId="136"/>
    <xf numFmtId="179" fontId="51" fillId="0" borderId="136"/>
    <xf numFmtId="179" fontId="51" fillId="0" borderId="136"/>
    <xf numFmtId="179" fontId="51" fillId="0" borderId="136"/>
    <xf numFmtId="171" fontId="51" fillId="0" borderId="136"/>
    <xf numFmtId="173" fontId="51" fillId="0" borderId="136"/>
    <xf numFmtId="171" fontId="51" fillId="0" borderId="136"/>
    <xf numFmtId="179" fontId="51" fillId="0" borderId="136"/>
    <xf numFmtId="0" fontId="18" fillId="9" borderId="132" applyNumberFormat="0" applyAlignment="0" applyProtection="0"/>
    <xf numFmtId="179" fontId="51" fillId="0" borderId="136"/>
    <xf numFmtId="179" fontId="51" fillId="0" borderId="136"/>
    <xf numFmtId="0" fontId="23" fillId="0" borderId="135" applyNumberFormat="0" applyFill="0" applyAlignment="0" applyProtection="0"/>
    <xf numFmtId="171" fontId="51" fillId="0" borderId="136"/>
    <xf numFmtId="0" fontId="8" fillId="25" borderId="133" applyNumberFormat="0" applyFont="0" applyAlignment="0" applyProtection="0"/>
    <xf numFmtId="0" fontId="18" fillId="9" borderId="132" applyNumberFormat="0" applyAlignment="0" applyProtection="0"/>
    <xf numFmtId="171" fontId="51" fillId="0" borderId="136"/>
    <xf numFmtId="179" fontId="51" fillId="0" borderId="136"/>
    <xf numFmtId="0" fontId="8" fillId="25" borderId="133" applyNumberFormat="0" applyFont="0" applyAlignment="0" applyProtection="0"/>
    <xf numFmtId="0" fontId="11" fillId="22" borderId="132" applyNumberFormat="0" applyAlignment="0" applyProtection="0"/>
    <xf numFmtId="171" fontId="51" fillId="0" borderId="136"/>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1" fontId="51" fillId="0" borderId="136"/>
    <xf numFmtId="180" fontId="51" fillId="0" borderId="136"/>
    <xf numFmtId="174" fontId="51" fillId="0" borderId="136"/>
    <xf numFmtId="174" fontId="51" fillId="0" borderId="136"/>
    <xf numFmtId="173" fontId="51" fillId="0" borderId="136"/>
    <xf numFmtId="179" fontId="51" fillId="0" borderId="136"/>
    <xf numFmtId="172" fontId="51" fillId="0" borderId="136"/>
    <xf numFmtId="0" fontId="21" fillId="22" borderId="134" applyNumberFormat="0" applyAlignment="0" applyProtection="0"/>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5" fontId="51" fillId="0" borderId="136"/>
    <xf numFmtId="174" fontId="51" fillId="0" borderId="136"/>
    <xf numFmtId="181" fontId="51" fillId="0" borderId="136"/>
    <xf numFmtId="176" fontId="51" fillId="0" borderId="136"/>
    <xf numFmtId="172"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4" fontId="51" fillId="0" borderId="136"/>
    <xf numFmtId="174" fontId="51" fillId="0" borderId="136"/>
    <xf numFmtId="174" fontId="51" fillId="0" borderId="136"/>
    <xf numFmtId="171" fontId="51" fillId="0" borderId="136"/>
    <xf numFmtId="0" fontId="18" fillId="9" borderId="132" applyNumberFormat="0" applyAlignment="0" applyProtection="0"/>
    <xf numFmtId="174" fontId="51" fillId="0" borderId="136"/>
    <xf numFmtId="171" fontId="51" fillId="0" borderId="136"/>
    <xf numFmtId="179" fontId="51" fillId="0" borderId="136"/>
    <xf numFmtId="173" fontId="51" fillId="0" borderId="136"/>
    <xf numFmtId="173" fontId="51" fillId="0" borderId="136"/>
    <xf numFmtId="171" fontId="51" fillId="0" borderId="136"/>
    <xf numFmtId="173" fontId="51" fillId="0" borderId="136"/>
    <xf numFmtId="174" fontId="51" fillId="0" borderId="136"/>
    <xf numFmtId="176" fontId="51" fillId="0" borderId="136"/>
    <xf numFmtId="171" fontId="51" fillId="0" borderId="136"/>
    <xf numFmtId="0" fontId="11" fillId="22" borderId="132" applyNumberFormat="0" applyAlignment="0" applyProtection="0"/>
    <xf numFmtId="179" fontId="51" fillId="0" borderId="136"/>
    <xf numFmtId="179" fontId="51" fillId="0" borderId="136"/>
    <xf numFmtId="179" fontId="51" fillId="0" borderId="136"/>
    <xf numFmtId="171" fontId="51" fillId="0" borderId="136"/>
    <xf numFmtId="0" fontId="8" fillId="25" borderId="133" applyNumberFormat="0" applyFont="0" applyAlignment="0" applyProtection="0"/>
    <xf numFmtId="171" fontId="51" fillId="0" borderId="136"/>
    <xf numFmtId="180" fontId="51" fillId="0" borderId="136"/>
    <xf numFmtId="174" fontId="51" fillId="0" borderId="136"/>
    <xf numFmtId="175" fontId="51" fillId="0" borderId="136"/>
    <xf numFmtId="0" fontId="18" fillId="9" borderId="132" applyNumberFormat="0" applyAlignment="0" applyProtection="0"/>
    <xf numFmtId="171" fontId="51" fillId="0" borderId="136"/>
    <xf numFmtId="179" fontId="51" fillId="0" borderId="136"/>
    <xf numFmtId="174" fontId="51" fillId="0" borderId="136"/>
    <xf numFmtId="179" fontId="51" fillId="0" borderId="136"/>
    <xf numFmtId="171" fontId="51" fillId="0" borderId="136"/>
    <xf numFmtId="179" fontId="51" fillId="0" borderId="136"/>
    <xf numFmtId="174" fontId="51" fillId="0" borderId="136"/>
    <xf numFmtId="174" fontId="51" fillId="0" borderId="136"/>
    <xf numFmtId="171" fontId="51" fillId="0" borderId="136"/>
    <xf numFmtId="174" fontId="51" fillId="0" borderId="136"/>
    <xf numFmtId="175" fontId="51" fillId="0" borderId="136"/>
    <xf numFmtId="174" fontId="51" fillId="0" borderId="136"/>
    <xf numFmtId="179" fontId="51" fillId="0" borderId="136"/>
    <xf numFmtId="179" fontId="51" fillId="0" borderId="136"/>
    <xf numFmtId="171" fontId="51" fillId="0" borderId="136"/>
    <xf numFmtId="0" fontId="21" fillId="22" borderId="134" applyNumberFormat="0" applyAlignment="0" applyProtection="0"/>
    <xf numFmtId="172" fontId="51" fillId="0" borderId="136"/>
    <xf numFmtId="0" fontId="23" fillId="0" borderId="135" applyNumberFormat="0" applyFill="0" applyAlignment="0" applyProtection="0"/>
    <xf numFmtId="0" fontId="8" fillId="25" borderId="133" applyNumberFormat="0" applyFont="0" applyAlignment="0" applyProtection="0"/>
    <xf numFmtId="175" fontId="51" fillId="0" borderId="136"/>
    <xf numFmtId="0" fontId="23" fillId="0" borderId="135" applyNumberFormat="0" applyFill="0" applyAlignment="0" applyProtection="0"/>
    <xf numFmtId="174" fontId="51" fillId="0" borderId="136"/>
    <xf numFmtId="0" fontId="21" fillId="22" borderId="134" applyNumberFormat="0" applyAlignment="0" applyProtection="0"/>
    <xf numFmtId="171" fontId="51" fillId="0" borderId="136"/>
    <xf numFmtId="181" fontId="51" fillId="0" borderId="136"/>
    <xf numFmtId="171" fontId="51" fillId="0" borderId="136"/>
    <xf numFmtId="179" fontId="51" fillId="0" borderId="136"/>
    <xf numFmtId="0" fontId="11" fillId="22" borderId="132" applyNumberFormat="0" applyAlignment="0" applyProtection="0"/>
    <xf numFmtId="174" fontId="51" fillId="0" borderId="136"/>
    <xf numFmtId="180" fontId="51" fillId="0" borderId="136"/>
    <xf numFmtId="174" fontId="51" fillId="0" borderId="136"/>
    <xf numFmtId="171" fontId="51" fillId="0" borderId="136"/>
    <xf numFmtId="174" fontId="51" fillId="0" borderId="136"/>
    <xf numFmtId="172" fontId="51" fillId="0" borderId="136"/>
    <xf numFmtId="179" fontId="51" fillId="0" borderId="136"/>
    <xf numFmtId="176" fontId="51" fillId="0" borderId="136"/>
    <xf numFmtId="174" fontId="51" fillId="0" borderId="136"/>
    <xf numFmtId="172" fontId="51" fillId="0" borderId="136"/>
    <xf numFmtId="171" fontId="51" fillId="0" borderId="136"/>
    <xf numFmtId="180" fontId="51" fillId="0" borderId="136"/>
    <xf numFmtId="181" fontId="51" fillId="0" borderId="136"/>
    <xf numFmtId="179" fontId="51" fillId="0" borderId="136"/>
    <xf numFmtId="179" fontId="51" fillId="0" borderId="136"/>
    <xf numFmtId="179" fontId="51" fillId="0" borderId="136"/>
    <xf numFmtId="171" fontId="51" fillId="0" borderId="136"/>
    <xf numFmtId="179"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81" fontId="51" fillId="0" borderId="136"/>
    <xf numFmtId="171" fontId="51" fillId="0" borderId="136"/>
    <xf numFmtId="174" fontId="51" fillId="0" borderId="136"/>
    <xf numFmtId="179" fontId="51" fillId="0" borderId="136"/>
    <xf numFmtId="171" fontId="51" fillId="0" borderId="136"/>
    <xf numFmtId="0" fontId="8" fillId="25" borderId="133" applyNumberFormat="0" applyFont="0" applyAlignment="0" applyProtection="0"/>
    <xf numFmtId="174" fontId="51" fillId="0" borderId="136"/>
    <xf numFmtId="176" fontId="51" fillId="0" borderId="136"/>
    <xf numFmtId="179" fontId="51" fillId="0" borderId="136"/>
    <xf numFmtId="171" fontId="51" fillId="0" borderId="136"/>
    <xf numFmtId="174"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9" fontId="51" fillId="0" borderId="136"/>
    <xf numFmtId="171" fontId="51" fillId="0" borderId="136"/>
    <xf numFmtId="179" fontId="51" fillId="0" borderId="136"/>
    <xf numFmtId="179" fontId="51" fillId="0" borderId="136"/>
    <xf numFmtId="174" fontId="51" fillId="0" borderId="136"/>
    <xf numFmtId="174" fontId="51" fillId="0" borderId="136"/>
    <xf numFmtId="171" fontId="51" fillId="0" borderId="136"/>
    <xf numFmtId="171"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4" fontId="51" fillId="0" borderId="136"/>
    <xf numFmtId="0" fontId="18" fillId="9" borderId="132" applyNumberFormat="0" applyAlignment="0" applyProtection="0"/>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181" fontId="51" fillId="0" borderId="136"/>
    <xf numFmtId="180" fontId="51" fillId="0" borderId="136"/>
    <xf numFmtId="179" fontId="51" fillId="0" borderId="136"/>
    <xf numFmtId="171" fontId="51" fillId="0" borderId="136"/>
    <xf numFmtId="175" fontId="51" fillId="0" borderId="136"/>
    <xf numFmtId="176" fontId="51" fillId="0" borderId="136"/>
    <xf numFmtId="175" fontId="51" fillId="0" borderId="136"/>
    <xf numFmtId="174" fontId="51" fillId="0" borderId="136"/>
    <xf numFmtId="176" fontId="51" fillId="0" borderId="136"/>
    <xf numFmtId="180" fontId="51" fillId="0" borderId="136"/>
    <xf numFmtId="173" fontId="51" fillId="0" borderId="136"/>
    <xf numFmtId="0" fontId="11" fillId="22" borderId="132" applyNumberFormat="0" applyAlignment="0" applyProtection="0"/>
    <xf numFmtId="172" fontId="51" fillId="0" borderId="136"/>
    <xf numFmtId="179" fontId="51" fillId="0" borderId="136"/>
    <xf numFmtId="176" fontId="51" fillId="0" borderId="136"/>
    <xf numFmtId="174" fontId="51" fillId="0" borderId="136"/>
    <xf numFmtId="171" fontId="51" fillId="0" borderId="136"/>
    <xf numFmtId="0" fontId="21" fillId="22" borderId="134" applyNumberFormat="0" applyAlignment="0" applyProtection="0"/>
    <xf numFmtId="0" fontId="23" fillId="0" borderId="135" applyNumberFormat="0" applyFill="0" applyAlignment="0" applyProtection="0"/>
    <xf numFmtId="180" fontId="51" fillId="0" borderId="136"/>
    <xf numFmtId="175" fontId="51" fillId="0" borderId="136"/>
    <xf numFmtId="173" fontId="51" fillId="0" borderId="136"/>
    <xf numFmtId="172" fontId="51" fillId="0" borderId="136"/>
    <xf numFmtId="171" fontId="51" fillId="0" borderId="136"/>
    <xf numFmtId="181"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173"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171"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1" fontId="51" fillId="0" borderId="136"/>
    <xf numFmtId="179" fontId="51" fillId="0" borderId="136"/>
    <xf numFmtId="0" fontId="11" fillId="22" borderId="132" applyNumberFormat="0" applyAlignment="0" applyProtection="0"/>
    <xf numFmtId="181" fontId="51" fillId="0" borderId="136"/>
    <xf numFmtId="171" fontId="51" fillId="0" borderId="136"/>
    <xf numFmtId="0" fontId="23" fillId="0" borderId="135" applyNumberFormat="0" applyFill="0" applyAlignment="0" applyProtection="0"/>
    <xf numFmtId="179" fontId="51" fillId="0" borderId="136"/>
    <xf numFmtId="0" fontId="11" fillId="22" borderId="132" applyNumberFormat="0" applyAlignment="0" applyProtection="0"/>
    <xf numFmtId="171" fontId="51" fillId="0" borderId="136"/>
    <xf numFmtId="171" fontId="51" fillId="0" borderId="136"/>
    <xf numFmtId="0" fontId="18" fillId="9" borderId="132" applyNumberFormat="0" applyAlignment="0" applyProtection="0"/>
    <xf numFmtId="172" fontId="51" fillId="0" borderId="136"/>
    <xf numFmtId="171" fontId="51" fillId="0" borderId="136"/>
    <xf numFmtId="174" fontId="51" fillId="0" borderId="136"/>
    <xf numFmtId="171" fontId="51" fillId="0" borderId="136"/>
    <xf numFmtId="174" fontId="51" fillId="0" borderId="136"/>
    <xf numFmtId="175" fontId="51" fillId="0" borderId="136"/>
    <xf numFmtId="176" fontId="51" fillId="0" borderId="136"/>
    <xf numFmtId="0" fontId="8" fillId="25" borderId="133" applyNumberFormat="0" applyFont="0" applyAlignment="0" applyProtection="0"/>
    <xf numFmtId="174" fontId="51" fillId="0" borderId="136"/>
    <xf numFmtId="179" fontId="51" fillId="0" borderId="136"/>
    <xf numFmtId="171" fontId="51" fillId="0" borderId="136"/>
    <xf numFmtId="180" fontId="51" fillId="0" borderId="136"/>
    <xf numFmtId="181" fontId="51" fillId="0" borderId="136"/>
    <xf numFmtId="0" fontId="18" fillId="9" borderId="132" applyNumberFormat="0" applyAlignment="0" applyProtection="0"/>
    <xf numFmtId="179" fontId="51" fillId="0" borderId="136"/>
    <xf numFmtId="179" fontId="51" fillId="0" borderId="136"/>
    <xf numFmtId="174" fontId="51" fillId="0" borderId="136"/>
    <xf numFmtId="171" fontId="51" fillId="0" borderId="136"/>
    <xf numFmtId="175" fontId="51" fillId="0" borderId="136"/>
    <xf numFmtId="171" fontId="51" fillId="0" borderId="136"/>
    <xf numFmtId="171" fontId="51" fillId="0" borderId="136"/>
    <xf numFmtId="174" fontId="51" fillId="0" borderId="136"/>
    <xf numFmtId="174" fontId="51" fillId="0" borderId="136"/>
    <xf numFmtId="171" fontId="51" fillId="0" borderId="136"/>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8" fillId="25" borderId="133" applyNumberFormat="0" applyFont="0" applyAlignment="0" applyProtection="0"/>
    <xf numFmtId="173" fontId="51" fillId="0" borderId="136"/>
    <xf numFmtId="174" fontId="51" fillId="0" borderId="136"/>
    <xf numFmtId="179" fontId="51" fillId="0" borderId="136"/>
    <xf numFmtId="0" fontId="11" fillId="22" borderId="132" applyNumberFormat="0" applyAlignment="0" applyProtection="0"/>
    <xf numFmtId="173" fontId="51" fillId="0" borderId="136"/>
    <xf numFmtId="172" fontId="51" fillId="0" borderId="136"/>
    <xf numFmtId="0" fontId="21" fillId="22" borderId="134" applyNumberFormat="0" applyAlignment="0" applyProtection="0"/>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3" fontId="51" fillId="0" borderId="136"/>
    <xf numFmtId="175" fontId="51" fillId="0" borderId="136"/>
    <xf numFmtId="176"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80" fontId="51" fillId="0" borderId="136"/>
    <xf numFmtId="174" fontId="51" fillId="0" borderId="136"/>
    <xf numFmtId="179" fontId="51" fillId="0" borderId="136"/>
    <xf numFmtId="174" fontId="51" fillId="0" borderId="136"/>
    <xf numFmtId="176" fontId="51" fillId="0" borderId="136"/>
    <xf numFmtId="172"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174" fontId="51" fillId="0" borderId="136"/>
    <xf numFmtId="179" fontId="51" fillId="0" borderId="136"/>
    <xf numFmtId="174" fontId="51" fillId="0" borderId="136"/>
    <xf numFmtId="171" fontId="51" fillId="0" borderId="136"/>
    <xf numFmtId="179" fontId="51" fillId="0" borderId="136"/>
    <xf numFmtId="174" fontId="51" fillId="0" borderId="136"/>
    <xf numFmtId="179" fontId="51" fillId="0" borderId="136"/>
    <xf numFmtId="171" fontId="51" fillId="0" borderId="136"/>
    <xf numFmtId="171" fontId="51" fillId="0" borderId="136"/>
    <xf numFmtId="179"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6" fontId="51" fillId="0" borderId="136"/>
    <xf numFmtId="0" fontId="11" fillId="22" borderId="132" applyNumberFormat="0" applyAlignment="0" applyProtection="0"/>
    <xf numFmtId="180" fontId="51" fillId="0" borderId="136"/>
    <xf numFmtId="179" fontId="51" fillId="0" borderId="136"/>
    <xf numFmtId="171" fontId="51" fillId="0" borderId="136"/>
    <xf numFmtId="171" fontId="51" fillId="0" borderId="136"/>
    <xf numFmtId="174" fontId="51" fillId="0" borderId="136"/>
    <xf numFmtId="174" fontId="51" fillId="0" borderId="136"/>
    <xf numFmtId="171" fontId="51" fillId="0" borderId="136"/>
    <xf numFmtId="0" fontId="23" fillId="0" borderId="135" applyNumberFormat="0" applyFill="0" applyAlignment="0" applyProtection="0"/>
    <xf numFmtId="174" fontId="51" fillId="0" borderId="136"/>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179" fontId="51" fillId="0" borderId="136"/>
    <xf numFmtId="0" fontId="11" fillId="22" borderId="132" applyNumberFormat="0" applyAlignment="0" applyProtection="0"/>
    <xf numFmtId="0" fontId="18" fillId="9" borderId="132" applyNumberFormat="0" applyAlignment="0" applyProtection="0"/>
    <xf numFmtId="174" fontId="51" fillId="0" borderId="136"/>
    <xf numFmtId="171" fontId="51" fillId="0" borderId="136"/>
    <xf numFmtId="179" fontId="51" fillId="0" borderId="136"/>
    <xf numFmtId="174" fontId="51" fillId="0" borderId="136"/>
    <xf numFmtId="171" fontId="51" fillId="0" borderId="136"/>
    <xf numFmtId="172" fontId="51" fillId="0" borderId="136"/>
    <xf numFmtId="171" fontId="51" fillId="0" borderId="136"/>
    <xf numFmtId="174" fontId="51" fillId="0" borderId="136"/>
    <xf numFmtId="179" fontId="51" fillId="0" borderId="136"/>
    <xf numFmtId="171" fontId="51" fillId="0" borderId="136"/>
    <xf numFmtId="179" fontId="51" fillId="0" borderId="136"/>
    <xf numFmtId="0" fontId="11" fillId="22" borderId="132" applyNumberFormat="0" applyAlignment="0" applyProtection="0"/>
    <xf numFmtId="181" fontId="51" fillId="0" borderId="136"/>
    <xf numFmtId="175" fontId="51" fillId="0" borderId="136"/>
    <xf numFmtId="179"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179" fontId="51" fillId="0" borderId="136"/>
    <xf numFmtId="179" fontId="51" fillId="0" borderId="136"/>
    <xf numFmtId="174" fontId="51" fillId="0" borderId="136"/>
    <xf numFmtId="173" fontId="51" fillId="0" borderId="136"/>
    <xf numFmtId="0" fontId="8" fillId="25" borderId="133" applyNumberFormat="0" applyFont="0" applyAlignment="0" applyProtection="0"/>
    <xf numFmtId="174"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176" fontId="51" fillId="0" borderId="136"/>
    <xf numFmtId="0" fontId="8" fillId="25" borderId="133" applyNumberFormat="0" applyFont="0" applyAlignment="0" applyProtection="0"/>
    <xf numFmtId="0" fontId="11" fillId="22"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79" fontId="51" fillId="0" borderId="136"/>
    <xf numFmtId="179" fontId="51" fillId="0" borderId="136"/>
    <xf numFmtId="180" fontId="51" fillId="0" borderId="136"/>
    <xf numFmtId="171" fontId="51" fillId="0" borderId="136"/>
    <xf numFmtId="174" fontId="51" fillId="0" borderId="136"/>
    <xf numFmtId="174" fontId="51" fillId="0" borderId="136"/>
    <xf numFmtId="176" fontId="51" fillId="0" borderId="136"/>
    <xf numFmtId="171"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8" fillId="25" borderId="133" applyNumberFormat="0" applyFont="0" applyAlignment="0" applyProtection="0"/>
    <xf numFmtId="175" fontId="51" fillId="0" borderId="136"/>
    <xf numFmtId="179" fontId="51" fillId="0" borderId="136"/>
    <xf numFmtId="171" fontId="51" fillId="0" borderId="136"/>
    <xf numFmtId="172" fontId="51" fillId="0" borderId="136"/>
    <xf numFmtId="173" fontId="51" fillId="0" borderId="136"/>
    <xf numFmtId="0" fontId="8" fillId="25" borderId="133" applyNumberFormat="0" applyFont="0" applyAlignment="0" applyProtection="0"/>
    <xf numFmtId="174" fontId="51" fillId="0" borderId="136"/>
    <xf numFmtId="175" fontId="51" fillId="0" borderId="136"/>
    <xf numFmtId="176" fontId="51" fillId="0" borderId="136"/>
    <xf numFmtId="175" fontId="51" fillId="0" borderId="136"/>
    <xf numFmtId="179" fontId="51" fillId="0" borderId="136"/>
    <xf numFmtId="180" fontId="51" fillId="0" borderId="136"/>
    <xf numFmtId="181" fontId="51" fillId="0" borderId="136"/>
    <xf numFmtId="174" fontId="51" fillId="0" borderId="136"/>
    <xf numFmtId="171" fontId="51" fillId="0" borderId="136"/>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181" fontId="51" fillId="0" borderId="136"/>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3" fontId="51" fillId="0" borderId="136"/>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2" fontId="51" fillId="0" borderId="136"/>
    <xf numFmtId="173" fontId="51" fillId="0" borderId="136"/>
    <xf numFmtId="0" fontId="18" fillId="9" borderId="132" applyNumberFormat="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6" fontId="51" fillId="0" borderId="136"/>
    <xf numFmtId="171" fontId="51" fillId="0" borderId="136"/>
    <xf numFmtId="172" fontId="51" fillId="0" borderId="136"/>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4" fontId="51" fillId="0" borderId="136"/>
    <xf numFmtId="179"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171" fontId="51" fillId="0" borderId="136"/>
    <xf numFmtId="179" fontId="51" fillId="0" borderId="136"/>
    <xf numFmtId="174" fontId="51" fillId="0" borderId="136"/>
    <xf numFmtId="174" fontId="51" fillId="0" borderId="136"/>
    <xf numFmtId="179" fontId="51" fillId="0" borderId="136"/>
    <xf numFmtId="171"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171" fontId="51" fillId="0" borderId="136"/>
    <xf numFmtId="181" fontId="51" fillId="0" borderId="136"/>
    <xf numFmtId="174" fontId="51" fillId="0" borderId="136"/>
    <xf numFmtId="176" fontId="51" fillId="0" borderId="136"/>
    <xf numFmtId="173" fontId="51" fillId="0" borderId="136"/>
    <xf numFmtId="172" fontId="51" fillId="0" borderId="136"/>
    <xf numFmtId="179"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179" fontId="51" fillId="0" borderId="136"/>
    <xf numFmtId="180"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1" fontId="51" fillId="0" borderId="136"/>
    <xf numFmtId="174" fontId="51" fillId="0" borderId="136"/>
    <xf numFmtId="174" fontId="51" fillId="0" borderId="136"/>
    <xf numFmtId="0" fontId="21" fillId="22" borderId="134" applyNumberFormat="0" applyAlignment="0" applyProtection="0"/>
    <xf numFmtId="179" fontId="51" fillId="0" borderId="136"/>
    <xf numFmtId="174" fontId="51" fillId="0" borderId="136"/>
    <xf numFmtId="0" fontId="21" fillId="22" borderId="134" applyNumberFormat="0" applyAlignment="0" applyProtection="0"/>
    <xf numFmtId="0" fontId="8" fillId="25" borderId="133" applyNumberFormat="0" applyFont="0" applyAlignment="0" applyProtection="0"/>
    <xf numFmtId="171" fontId="51" fillId="0" borderId="136"/>
    <xf numFmtId="0" fontId="8" fillId="25" borderId="133" applyNumberFormat="0" applyFont="0" applyAlignment="0" applyProtection="0"/>
    <xf numFmtId="173" fontId="51" fillId="0" borderId="136"/>
    <xf numFmtId="0" fontId="23" fillId="0" borderId="135" applyNumberFormat="0" applyFill="0" applyAlignment="0" applyProtection="0"/>
    <xf numFmtId="175" fontId="51" fillId="0" borderId="136"/>
    <xf numFmtId="174" fontId="51" fillId="0" borderId="136"/>
    <xf numFmtId="0" fontId="23" fillId="0" borderId="135" applyNumberFormat="0" applyFill="0" applyAlignment="0" applyProtection="0"/>
    <xf numFmtId="181" fontId="51" fillId="0" borderId="136"/>
    <xf numFmtId="174" fontId="51" fillId="0" borderId="136"/>
    <xf numFmtId="174" fontId="51" fillId="0" borderId="136"/>
    <xf numFmtId="0" fontId="18" fillId="9" borderId="132" applyNumberFormat="0" applyAlignment="0" applyProtection="0"/>
    <xf numFmtId="0" fontId="21" fillId="22" borderId="134" applyNumberFormat="0" applyAlignment="0" applyProtection="0"/>
    <xf numFmtId="171" fontId="51" fillId="0" borderId="136"/>
    <xf numFmtId="0" fontId="8" fillId="25" borderId="133" applyNumberFormat="0" applyFont="0" applyAlignment="0" applyProtection="0"/>
    <xf numFmtId="172" fontId="51" fillId="0" borderId="136"/>
    <xf numFmtId="176" fontId="51" fillId="0" borderId="136"/>
    <xf numFmtId="0" fontId="23" fillId="0" borderId="135" applyNumberFormat="0" applyFill="0" applyAlignment="0" applyProtection="0"/>
    <xf numFmtId="0" fontId="8" fillId="25" borderId="133" applyNumberFormat="0" applyFont="0" applyAlignment="0" applyProtection="0"/>
    <xf numFmtId="175" fontId="51" fillId="0" borderId="136"/>
    <xf numFmtId="171" fontId="51" fillId="0" borderId="136"/>
    <xf numFmtId="179" fontId="51" fillId="0" borderId="136"/>
    <xf numFmtId="0" fontId="18" fillId="9" borderId="132" applyNumberFormat="0" applyAlignment="0" applyProtection="0"/>
    <xf numFmtId="171" fontId="51" fillId="0" borderId="136"/>
    <xf numFmtId="0" fontId="21" fillId="22" borderId="134" applyNumberFormat="0" applyAlignment="0" applyProtection="0"/>
    <xf numFmtId="179" fontId="51" fillId="0" borderId="136"/>
    <xf numFmtId="171" fontId="51" fillId="0" borderId="136"/>
    <xf numFmtId="179" fontId="51" fillId="0" borderId="136"/>
    <xf numFmtId="174" fontId="51" fillId="0" borderId="136"/>
    <xf numFmtId="172" fontId="51" fillId="0" borderId="136"/>
    <xf numFmtId="171" fontId="51" fillId="0" borderId="136"/>
    <xf numFmtId="174" fontId="51" fillId="0" borderId="136"/>
    <xf numFmtId="173" fontId="51" fillId="0" borderId="136"/>
    <xf numFmtId="180" fontId="51" fillId="0" borderId="136"/>
    <xf numFmtId="179" fontId="51" fillId="0" borderId="136"/>
    <xf numFmtId="174" fontId="51" fillId="0" borderId="136"/>
    <xf numFmtId="171" fontId="51" fillId="0" borderId="136"/>
    <xf numFmtId="179" fontId="51" fillId="0" borderId="136"/>
    <xf numFmtId="174" fontId="51" fillId="0" borderId="136"/>
    <xf numFmtId="171" fontId="51" fillId="0" borderId="136"/>
    <xf numFmtId="179" fontId="51" fillId="0" borderId="136"/>
    <xf numFmtId="179" fontId="51" fillId="0" borderId="136"/>
    <xf numFmtId="180" fontId="51" fillId="0" borderId="136"/>
    <xf numFmtId="176" fontId="51" fillId="0" borderId="136"/>
    <xf numFmtId="171" fontId="51" fillId="0" borderId="136"/>
    <xf numFmtId="0" fontId="23" fillId="0" borderId="135" applyNumberFormat="0" applyFill="0" applyAlignment="0" applyProtection="0"/>
    <xf numFmtId="0" fontId="11" fillId="22" borderId="132" applyNumberFormat="0" applyAlignment="0" applyProtection="0"/>
    <xf numFmtId="171" fontId="51" fillId="0" borderId="136"/>
    <xf numFmtId="173" fontId="51" fillId="0" borderId="136"/>
    <xf numFmtId="171" fontId="51" fillId="0" borderId="136"/>
    <xf numFmtId="174" fontId="51" fillId="0" borderId="136"/>
    <xf numFmtId="179" fontId="51" fillId="0" borderId="136"/>
    <xf numFmtId="171" fontId="51" fillId="0" borderId="136"/>
    <xf numFmtId="0" fontId="18" fillId="9" borderId="132" applyNumberFormat="0" applyAlignment="0" applyProtection="0"/>
    <xf numFmtId="173" fontId="51" fillId="0" borderId="136"/>
    <xf numFmtId="0" fontId="11" fillId="22" borderId="132" applyNumberFormat="0" applyAlignment="0" applyProtection="0"/>
    <xf numFmtId="181" fontId="51" fillId="0" borderId="136"/>
    <xf numFmtId="171" fontId="51" fillId="0" borderId="136"/>
    <xf numFmtId="172" fontId="51" fillId="0" borderId="136"/>
    <xf numFmtId="174" fontId="51" fillId="0" borderId="136"/>
    <xf numFmtId="175" fontId="51" fillId="0" borderId="136"/>
    <xf numFmtId="174" fontId="51" fillId="0" borderId="136"/>
    <xf numFmtId="174" fontId="51" fillId="0" borderId="136"/>
    <xf numFmtId="0" fontId="11" fillId="22" borderId="132" applyNumberFormat="0" applyAlignment="0" applyProtection="0"/>
    <xf numFmtId="171" fontId="51" fillId="0" borderId="136"/>
    <xf numFmtId="174" fontId="51" fillId="0" borderId="136"/>
    <xf numFmtId="181" fontId="51" fillId="0" borderId="136"/>
    <xf numFmtId="171" fontId="51" fillId="0" borderId="136"/>
    <xf numFmtId="174" fontId="51" fillId="0" borderId="136"/>
    <xf numFmtId="176" fontId="51" fillId="0" borderId="136"/>
    <xf numFmtId="172" fontId="51" fillId="0" borderId="136"/>
    <xf numFmtId="180" fontId="51" fillId="0" borderId="136"/>
    <xf numFmtId="181" fontId="51" fillId="0" borderId="136"/>
    <xf numFmtId="179" fontId="51" fillId="0" borderId="136"/>
    <xf numFmtId="0" fontId="8" fillId="25" borderId="133" applyNumberFormat="0" applyFont="0" applyAlignment="0" applyProtection="0"/>
    <xf numFmtId="171" fontId="51" fillId="0" borderId="136"/>
    <xf numFmtId="179" fontId="51" fillId="0" borderId="136"/>
    <xf numFmtId="179" fontId="51" fillId="0" borderId="136"/>
    <xf numFmtId="0" fontId="8" fillId="25" borderId="133" applyNumberFormat="0" applyFont="0" applyAlignment="0" applyProtection="0"/>
    <xf numFmtId="179" fontId="51" fillId="0" borderId="136"/>
    <xf numFmtId="176"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0" fontId="21" fillId="22" borderId="134" applyNumberFormat="0" applyAlignment="0" applyProtection="0"/>
    <xf numFmtId="174" fontId="51" fillId="0" borderId="136"/>
    <xf numFmtId="174" fontId="51" fillId="0" borderId="136"/>
    <xf numFmtId="172" fontId="51" fillId="0" borderId="136"/>
    <xf numFmtId="174" fontId="51" fillId="0" borderId="136"/>
    <xf numFmtId="179" fontId="51" fillId="0" borderId="136"/>
    <xf numFmtId="179" fontId="51" fillId="0" borderId="136"/>
    <xf numFmtId="171" fontId="51" fillId="0" borderId="136"/>
    <xf numFmtId="174" fontId="51" fillId="0" borderId="136"/>
    <xf numFmtId="179" fontId="51" fillId="0" borderId="136"/>
    <xf numFmtId="171" fontId="51" fillId="0" borderId="136"/>
    <xf numFmtId="173" fontId="51" fillId="0" borderId="136"/>
    <xf numFmtId="179" fontId="51" fillId="0" borderId="136"/>
    <xf numFmtId="0" fontId="23" fillId="0" borderId="135" applyNumberFormat="0" applyFill="0" applyAlignment="0" applyProtection="0"/>
    <xf numFmtId="174" fontId="51" fillId="0" borderId="136"/>
    <xf numFmtId="174" fontId="51" fillId="0" borderId="136"/>
    <xf numFmtId="179" fontId="51" fillId="0" borderId="136"/>
    <xf numFmtId="171" fontId="51" fillId="0" borderId="136"/>
    <xf numFmtId="0" fontId="18" fillId="9" borderId="132" applyNumberFormat="0" applyAlignment="0" applyProtection="0"/>
    <xf numFmtId="176" fontId="51" fillId="0" borderId="136"/>
    <xf numFmtId="175" fontId="51" fillId="0" borderId="136"/>
    <xf numFmtId="180" fontId="51" fillId="0" borderId="136"/>
    <xf numFmtId="175" fontId="51" fillId="0" borderId="136"/>
    <xf numFmtId="180" fontId="51" fillId="0" borderId="136"/>
    <xf numFmtId="172" fontId="51" fillId="0" borderId="136"/>
    <xf numFmtId="180" fontId="51" fillId="0" borderId="136"/>
    <xf numFmtId="181" fontId="51" fillId="0" borderId="136"/>
    <xf numFmtId="174" fontId="51" fillId="0" borderId="136"/>
    <xf numFmtId="181" fontId="51" fillId="0" borderId="136"/>
    <xf numFmtId="176" fontId="51" fillId="0" borderId="136"/>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9" fontId="51" fillId="0" borderId="136"/>
    <xf numFmtId="171" fontId="51" fillId="0" borderId="136"/>
    <xf numFmtId="174" fontId="51" fillId="0" borderId="136"/>
    <xf numFmtId="179" fontId="51" fillId="0" borderId="136"/>
    <xf numFmtId="179" fontId="51" fillId="0" borderId="136"/>
    <xf numFmtId="179" fontId="51" fillId="0" borderId="136"/>
    <xf numFmtId="174" fontId="51" fillId="0" borderId="136"/>
    <xf numFmtId="179" fontId="51" fillId="0" borderId="136"/>
    <xf numFmtId="179" fontId="51" fillId="0" borderId="136"/>
    <xf numFmtId="174" fontId="51" fillId="0" borderId="136"/>
    <xf numFmtId="174" fontId="51" fillId="0" borderId="136"/>
    <xf numFmtId="0" fontId="21" fillId="22" borderId="134" applyNumberFormat="0" applyAlignment="0" applyProtection="0"/>
    <xf numFmtId="174" fontId="51" fillId="0" borderId="136"/>
    <xf numFmtId="0" fontId="23" fillId="0" borderId="135" applyNumberFormat="0" applyFill="0" applyAlignment="0" applyProtection="0"/>
    <xf numFmtId="171" fontId="51" fillId="0" borderId="136"/>
    <xf numFmtId="171" fontId="51" fillId="0" borderId="136"/>
    <xf numFmtId="174" fontId="51" fillId="0" borderId="136"/>
    <xf numFmtId="175" fontId="51" fillId="0" borderId="136"/>
    <xf numFmtId="0" fontId="18" fillId="9" borderId="132" applyNumberFormat="0" applyAlignment="0" applyProtection="0"/>
    <xf numFmtId="171" fontId="51" fillId="0" borderId="136"/>
    <xf numFmtId="0" fontId="21" fillId="22" borderId="134" applyNumberFormat="0" applyAlignment="0" applyProtection="0"/>
    <xf numFmtId="173" fontId="51" fillId="0" borderId="136"/>
    <xf numFmtId="171" fontId="51" fillId="0" borderId="136"/>
    <xf numFmtId="0" fontId="18" fillId="9" borderId="132" applyNumberFormat="0" applyAlignment="0" applyProtection="0"/>
    <xf numFmtId="176" fontId="51" fillId="0" borderId="136"/>
    <xf numFmtId="0" fontId="11" fillId="22" borderId="132" applyNumberFormat="0" applyAlignment="0" applyProtection="0"/>
    <xf numFmtId="171" fontId="51" fillId="0" borderId="136"/>
    <xf numFmtId="17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5" fontId="51" fillId="0" borderId="136"/>
    <xf numFmtId="179" fontId="51" fillId="0" borderId="136"/>
    <xf numFmtId="171" fontId="51" fillId="0" borderId="136"/>
    <xf numFmtId="171" fontId="51" fillId="0" borderId="136"/>
    <xf numFmtId="0" fontId="23" fillId="0" borderId="135" applyNumberFormat="0" applyFill="0" applyAlignment="0" applyProtection="0"/>
    <xf numFmtId="179" fontId="51" fillId="0" borderId="136"/>
    <xf numFmtId="171" fontId="51" fillId="0" borderId="136"/>
    <xf numFmtId="171" fontId="51" fillId="0" borderId="136"/>
    <xf numFmtId="179" fontId="51" fillId="0" borderId="136"/>
    <xf numFmtId="174" fontId="51" fillId="0" borderId="136"/>
    <xf numFmtId="174" fontId="51" fillId="0" borderId="136"/>
    <xf numFmtId="179" fontId="51" fillId="0" borderId="136"/>
    <xf numFmtId="179" fontId="51" fillId="0" borderId="136"/>
    <xf numFmtId="179" fontId="51" fillId="0" borderId="136"/>
    <xf numFmtId="171" fontId="51" fillId="0" borderId="136"/>
    <xf numFmtId="173" fontId="51" fillId="0" borderId="136"/>
    <xf numFmtId="171" fontId="51" fillId="0" borderId="136"/>
    <xf numFmtId="179" fontId="51" fillId="0" borderId="136"/>
    <xf numFmtId="0" fontId="18" fillId="9" borderId="132" applyNumberFormat="0" applyAlignment="0" applyProtection="0"/>
    <xf numFmtId="179" fontId="51" fillId="0" borderId="136"/>
    <xf numFmtId="179" fontId="51" fillId="0" borderId="136"/>
    <xf numFmtId="0" fontId="23" fillId="0" borderId="135" applyNumberFormat="0" applyFill="0" applyAlignment="0" applyProtection="0"/>
    <xf numFmtId="171" fontId="51" fillId="0" borderId="136"/>
    <xf numFmtId="0" fontId="8" fillId="25" borderId="133" applyNumberFormat="0" applyFont="0" applyAlignment="0" applyProtection="0"/>
    <xf numFmtId="0" fontId="18" fillId="9" borderId="132" applyNumberFormat="0" applyAlignment="0" applyProtection="0"/>
    <xf numFmtId="171" fontId="51" fillId="0" borderId="136"/>
    <xf numFmtId="179" fontId="51" fillId="0" borderId="136"/>
    <xf numFmtId="0" fontId="8" fillId="25" borderId="133" applyNumberFormat="0" applyFont="0" applyAlignment="0" applyProtection="0"/>
    <xf numFmtId="0" fontId="11" fillId="22" borderId="132" applyNumberFormat="0" applyAlignment="0" applyProtection="0"/>
    <xf numFmtId="171" fontId="51" fillId="0" borderId="136"/>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1" fontId="51" fillId="0" borderId="136"/>
    <xf numFmtId="180" fontId="51" fillId="0" borderId="136"/>
    <xf numFmtId="174" fontId="51" fillId="0" borderId="136"/>
    <xf numFmtId="174" fontId="51" fillId="0" borderId="136"/>
    <xf numFmtId="173" fontId="51" fillId="0" borderId="136"/>
    <xf numFmtId="179" fontId="51" fillId="0" borderId="136"/>
    <xf numFmtId="172" fontId="51" fillId="0" borderId="136"/>
    <xf numFmtId="0" fontId="21" fillId="22" borderId="134" applyNumberFormat="0" applyAlignment="0" applyProtection="0"/>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5" fontId="51" fillId="0" borderId="136"/>
    <xf numFmtId="174" fontId="51" fillId="0" borderId="136"/>
    <xf numFmtId="181" fontId="51" fillId="0" borderId="136"/>
    <xf numFmtId="176" fontId="51" fillId="0" borderId="136"/>
    <xf numFmtId="172"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4" fontId="51" fillId="0" borderId="136"/>
    <xf numFmtId="174" fontId="51" fillId="0" borderId="136"/>
    <xf numFmtId="174" fontId="51" fillId="0" borderId="136"/>
    <xf numFmtId="171" fontId="51" fillId="0" borderId="136"/>
    <xf numFmtId="0" fontId="18" fillId="9" borderId="132" applyNumberFormat="0" applyAlignment="0" applyProtection="0"/>
    <xf numFmtId="174" fontId="51" fillId="0" borderId="136"/>
    <xf numFmtId="171" fontId="51" fillId="0" borderId="136"/>
    <xf numFmtId="179" fontId="51" fillId="0" borderId="136"/>
    <xf numFmtId="173" fontId="51" fillId="0" borderId="136"/>
    <xf numFmtId="173" fontId="51" fillId="0" borderId="136"/>
    <xf numFmtId="171" fontId="51" fillId="0" borderId="136"/>
    <xf numFmtId="173" fontId="51" fillId="0" borderId="136"/>
    <xf numFmtId="174" fontId="51" fillId="0" borderId="136"/>
    <xf numFmtId="176" fontId="51" fillId="0" borderId="136"/>
    <xf numFmtId="171" fontId="51" fillId="0" borderId="136"/>
    <xf numFmtId="0" fontId="11" fillId="22" borderId="132" applyNumberFormat="0" applyAlignment="0" applyProtection="0"/>
    <xf numFmtId="179" fontId="51" fillId="0" borderId="136"/>
    <xf numFmtId="179" fontId="51" fillId="0" borderId="136"/>
    <xf numFmtId="179" fontId="51" fillId="0" borderId="136"/>
    <xf numFmtId="171" fontId="51" fillId="0" borderId="136"/>
    <xf numFmtId="0" fontId="8" fillId="25" borderId="133" applyNumberFormat="0" applyFont="0" applyAlignment="0" applyProtection="0"/>
    <xf numFmtId="171" fontId="51" fillId="0" borderId="136"/>
    <xf numFmtId="180" fontId="51" fillId="0" borderId="136"/>
    <xf numFmtId="174" fontId="51" fillId="0" borderId="136"/>
    <xf numFmtId="175" fontId="51" fillId="0" borderId="136"/>
    <xf numFmtId="0" fontId="18" fillId="9" borderId="132" applyNumberFormat="0" applyAlignment="0" applyProtection="0"/>
    <xf numFmtId="171" fontId="51" fillId="0" borderId="136"/>
    <xf numFmtId="179" fontId="51" fillId="0" borderId="136"/>
    <xf numFmtId="174" fontId="51" fillId="0" borderId="136"/>
    <xf numFmtId="179" fontId="51" fillId="0" borderId="136"/>
    <xf numFmtId="171" fontId="51" fillId="0" borderId="136"/>
    <xf numFmtId="179" fontId="51" fillId="0" borderId="136"/>
    <xf numFmtId="174" fontId="51" fillId="0" borderId="136"/>
    <xf numFmtId="174" fontId="51" fillId="0" borderId="136"/>
    <xf numFmtId="171" fontId="51" fillId="0" borderId="136"/>
    <xf numFmtId="174" fontId="51" fillId="0" borderId="136"/>
    <xf numFmtId="175" fontId="51" fillId="0" borderId="136"/>
    <xf numFmtId="174" fontId="51" fillId="0" borderId="136"/>
    <xf numFmtId="179" fontId="51" fillId="0" borderId="136"/>
    <xf numFmtId="179" fontId="51" fillId="0" borderId="136"/>
    <xf numFmtId="171" fontId="51" fillId="0" borderId="136"/>
    <xf numFmtId="0" fontId="21" fillId="22" borderId="134" applyNumberFormat="0" applyAlignment="0" applyProtection="0"/>
    <xf numFmtId="172" fontId="51" fillId="0" borderId="136"/>
    <xf numFmtId="0" fontId="23" fillId="0" borderId="135" applyNumberFormat="0" applyFill="0" applyAlignment="0" applyProtection="0"/>
    <xf numFmtId="0" fontId="8" fillId="25" borderId="133" applyNumberFormat="0" applyFont="0" applyAlignment="0" applyProtection="0"/>
    <xf numFmtId="174" fontId="51" fillId="0" borderId="136"/>
    <xf numFmtId="175" fontId="51" fillId="0" borderId="136"/>
    <xf numFmtId="0" fontId="23" fillId="0" borderId="135" applyNumberFormat="0" applyFill="0" applyAlignment="0" applyProtection="0"/>
    <xf numFmtId="174" fontId="51" fillId="0" borderId="136"/>
    <xf numFmtId="0" fontId="21" fillId="22" borderId="134" applyNumberFormat="0" applyAlignment="0" applyProtection="0"/>
    <xf numFmtId="171" fontId="51" fillId="0" borderId="136"/>
    <xf numFmtId="181" fontId="51" fillId="0" borderId="136"/>
    <xf numFmtId="171" fontId="51" fillId="0" borderId="136"/>
    <xf numFmtId="179" fontId="51" fillId="0" borderId="136"/>
    <xf numFmtId="0" fontId="11" fillId="22" borderId="132" applyNumberFormat="0" applyAlignment="0" applyProtection="0"/>
    <xf numFmtId="174" fontId="51" fillId="0" borderId="136"/>
    <xf numFmtId="180" fontId="51" fillId="0" borderId="136"/>
    <xf numFmtId="174" fontId="51" fillId="0" borderId="136"/>
    <xf numFmtId="171" fontId="51" fillId="0" borderId="136"/>
    <xf numFmtId="174" fontId="51" fillId="0" borderId="136"/>
    <xf numFmtId="172" fontId="51" fillId="0" borderId="136"/>
    <xf numFmtId="179" fontId="51" fillId="0" borderId="136"/>
    <xf numFmtId="176" fontId="51" fillId="0" borderId="136"/>
    <xf numFmtId="174" fontId="51" fillId="0" borderId="136"/>
    <xf numFmtId="172" fontId="51" fillId="0" borderId="136"/>
    <xf numFmtId="171" fontId="51" fillId="0" borderId="136"/>
    <xf numFmtId="180" fontId="51" fillId="0" borderId="136"/>
    <xf numFmtId="181" fontId="51" fillId="0" borderId="136"/>
    <xf numFmtId="179" fontId="51" fillId="0" borderId="136"/>
    <xf numFmtId="179" fontId="51" fillId="0" borderId="136"/>
    <xf numFmtId="179" fontId="51" fillId="0" borderId="136"/>
    <xf numFmtId="171" fontId="51" fillId="0" borderId="136"/>
    <xf numFmtId="179"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81" fontId="51" fillId="0" borderId="136"/>
    <xf numFmtId="171" fontId="51" fillId="0" borderId="136"/>
    <xf numFmtId="174" fontId="51" fillId="0" borderId="136"/>
    <xf numFmtId="179" fontId="51" fillId="0" borderId="136"/>
    <xf numFmtId="171" fontId="51" fillId="0" borderId="136"/>
    <xf numFmtId="0" fontId="8" fillId="25" borderId="133" applyNumberFormat="0" applyFont="0" applyAlignment="0" applyProtection="0"/>
    <xf numFmtId="174" fontId="51" fillId="0" borderId="136"/>
    <xf numFmtId="176" fontId="51" fillId="0" borderId="136"/>
    <xf numFmtId="179" fontId="51" fillId="0" borderId="136"/>
    <xf numFmtId="171" fontId="51" fillId="0" borderId="136"/>
    <xf numFmtId="174"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9" fontId="51" fillId="0" borderId="136"/>
    <xf numFmtId="171" fontId="51" fillId="0" borderId="136"/>
    <xf numFmtId="179" fontId="51" fillId="0" borderId="136"/>
    <xf numFmtId="179" fontId="51" fillId="0" borderId="136"/>
    <xf numFmtId="174" fontId="51" fillId="0" borderId="136"/>
    <xf numFmtId="174" fontId="51" fillId="0" borderId="136"/>
    <xf numFmtId="171" fontId="51" fillId="0" borderId="136"/>
    <xf numFmtId="171"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4" fontId="51" fillId="0" borderId="136"/>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181" fontId="51" fillId="0" borderId="136"/>
    <xf numFmtId="180" fontId="51" fillId="0" borderId="136"/>
    <xf numFmtId="179" fontId="51" fillId="0" borderId="136"/>
    <xf numFmtId="171" fontId="51" fillId="0" borderId="136"/>
    <xf numFmtId="175" fontId="51" fillId="0" borderId="136"/>
    <xf numFmtId="176" fontId="51" fillId="0" borderId="136"/>
    <xf numFmtId="175" fontId="51" fillId="0" borderId="136"/>
    <xf numFmtId="174" fontId="51" fillId="0" borderId="136"/>
    <xf numFmtId="176" fontId="51" fillId="0" borderId="136"/>
    <xf numFmtId="180" fontId="51" fillId="0" borderId="136"/>
    <xf numFmtId="173" fontId="51" fillId="0" borderId="136"/>
    <xf numFmtId="0" fontId="11" fillId="22" borderId="132" applyNumberFormat="0" applyAlignment="0" applyProtection="0"/>
    <xf numFmtId="172" fontId="51" fillId="0" borderId="136"/>
    <xf numFmtId="179" fontId="51" fillId="0" borderId="136"/>
    <xf numFmtId="176" fontId="51" fillId="0" borderId="136"/>
    <xf numFmtId="174" fontId="51" fillId="0" borderId="136"/>
    <xf numFmtId="171" fontId="51" fillId="0" borderId="136"/>
    <xf numFmtId="0" fontId="21" fillId="22" borderId="134" applyNumberFormat="0" applyAlignment="0" applyProtection="0"/>
    <xf numFmtId="0" fontId="23" fillId="0" borderId="135" applyNumberFormat="0" applyFill="0" applyAlignment="0" applyProtection="0"/>
    <xf numFmtId="180" fontId="51" fillId="0" borderId="136"/>
    <xf numFmtId="175" fontId="51" fillId="0" borderId="136"/>
    <xf numFmtId="173" fontId="51" fillId="0" borderId="136"/>
    <xf numFmtId="172" fontId="51" fillId="0" borderId="136"/>
    <xf numFmtId="171" fontId="51" fillId="0" borderId="136"/>
    <xf numFmtId="181"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173"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171"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1" fontId="51" fillId="0" borderId="136"/>
    <xf numFmtId="179" fontId="51" fillId="0" borderId="136"/>
    <xf numFmtId="0" fontId="11" fillId="22" borderId="132" applyNumberFormat="0" applyAlignment="0" applyProtection="0"/>
    <xf numFmtId="181" fontId="51" fillId="0" borderId="136"/>
    <xf numFmtId="171" fontId="51" fillId="0" borderId="136"/>
    <xf numFmtId="0" fontId="23" fillId="0" borderId="135" applyNumberFormat="0" applyFill="0" applyAlignment="0" applyProtection="0"/>
    <xf numFmtId="179" fontId="51" fillId="0" borderId="136"/>
    <xf numFmtId="0" fontId="11" fillId="22" borderId="132" applyNumberFormat="0" applyAlignment="0" applyProtection="0"/>
    <xf numFmtId="171" fontId="51" fillId="0" borderId="136"/>
    <xf numFmtId="171" fontId="51" fillId="0" borderId="136"/>
    <xf numFmtId="0" fontId="18" fillId="9" borderId="132" applyNumberFormat="0" applyAlignment="0" applyProtection="0"/>
    <xf numFmtId="172" fontId="51" fillId="0" borderId="136"/>
    <xf numFmtId="171" fontId="51" fillId="0" borderId="136"/>
    <xf numFmtId="174" fontId="51" fillId="0" borderId="136"/>
    <xf numFmtId="171" fontId="51" fillId="0" borderId="136"/>
    <xf numFmtId="174" fontId="51" fillId="0" borderId="136"/>
    <xf numFmtId="175" fontId="51" fillId="0" borderId="136"/>
    <xf numFmtId="176" fontId="51" fillId="0" borderId="136"/>
    <xf numFmtId="0" fontId="8" fillId="25" borderId="133" applyNumberFormat="0" applyFont="0" applyAlignment="0" applyProtection="0"/>
    <xf numFmtId="174" fontId="51" fillId="0" borderId="136"/>
    <xf numFmtId="179" fontId="51" fillId="0" borderId="136"/>
    <xf numFmtId="171" fontId="51" fillId="0" borderId="136"/>
    <xf numFmtId="180" fontId="51" fillId="0" borderId="136"/>
    <xf numFmtId="181" fontId="51" fillId="0" borderId="136"/>
    <xf numFmtId="0" fontId="18" fillId="9" borderId="132" applyNumberFormat="0" applyAlignment="0" applyProtection="0"/>
    <xf numFmtId="179" fontId="51" fillId="0" borderId="136"/>
    <xf numFmtId="179" fontId="51" fillId="0" borderId="136"/>
    <xf numFmtId="174" fontId="51" fillId="0" borderId="136"/>
    <xf numFmtId="171" fontId="51" fillId="0" borderId="136"/>
    <xf numFmtId="175" fontId="51" fillId="0" borderId="136"/>
    <xf numFmtId="171" fontId="51" fillId="0" borderId="136"/>
    <xf numFmtId="171" fontId="51" fillId="0" borderId="136"/>
    <xf numFmtId="174" fontId="51" fillId="0" borderId="136"/>
    <xf numFmtId="174" fontId="51" fillId="0" borderId="136"/>
    <xf numFmtId="171" fontId="51" fillId="0" borderId="136"/>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8" fillId="25" borderId="133" applyNumberFormat="0" applyFont="0" applyAlignment="0" applyProtection="0"/>
    <xf numFmtId="173" fontId="51" fillId="0" borderId="136"/>
    <xf numFmtId="174" fontId="51" fillId="0" borderId="136"/>
    <xf numFmtId="179" fontId="51" fillId="0" borderId="136"/>
    <xf numFmtId="0" fontId="11" fillId="22" borderId="132" applyNumberFormat="0" applyAlignment="0" applyProtection="0"/>
    <xf numFmtId="173" fontId="51" fillId="0" borderId="136"/>
    <xf numFmtId="172" fontId="51" fillId="0" borderId="136"/>
    <xf numFmtId="0" fontId="21" fillId="22" borderId="134" applyNumberFormat="0" applyAlignment="0" applyProtection="0"/>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3" fontId="51" fillId="0" borderId="136"/>
    <xf numFmtId="175" fontId="51" fillId="0" borderId="136"/>
    <xf numFmtId="176"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80" fontId="51" fillId="0" borderId="136"/>
    <xf numFmtId="174" fontId="51" fillId="0" borderId="136"/>
    <xf numFmtId="179" fontId="51" fillId="0" borderId="136"/>
    <xf numFmtId="174" fontId="51" fillId="0" borderId="136"/>
    <xf numFmtId="176" fontId="51" fillId="0" borderId="136"/>
    <xf numFmtId="172"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174" fontId="51" fillId="0" borderId="136"/>
    <xf numFmtId="179" fontId="51" fillId="0" borderId="136"/>
    <xf numFmtId="174" fontId="51" fillId="0" borderId="136"/>
    <xf numFmtId="171" fontId="51" fillId="0" borderId="136"/>
    <xf numFmtId="179" fontId="51" fillId="0" borderId="136"/>
    <xf numFmtId="174" fontId="51" fillId="0" borderId="136"/>
    <xf numFmtId="179" fontId="51" fillId="0" borderId="136"/>
    <xf numFmtId="171" fontId="51" fillId="0" borderId="136"/>
    <xf numFmtId="171" fontId="51" fillId="0" borderId="136"/>
    <xf numFmtId="179"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6" fontId="51" fillId="0" borderId="136"/>
    <xf numFmtId="0" fontId="11" fillId="22" borderId="132" applyNumberFormat="0" applyAlignment="0" applyProtection="0"/>
    <xf numFmtId="180" fontId="51" fillId="0" borderId="136"/>
    <xf numFmtId="179" fontId="51" fillId="0" borderId="136"/>
    <xf numFmtId="171" fontId="51" fillId="0" borderId="136"/>
    <xf numFmtId="171" fontId="51" fillId="0" borderId="136"/>
    <xf numFmtId="174" fontId="51" fillId="0" borderId="136"/>
    <xf numFmtId="174" fontId="51" fillId="0" borderId="136"/>
    <xf numFmtId="171" fontId="51" fillId="0" borderId="136"/>
    <xf numFmtId="0" fontId="23" fillId="0" borderId="135" applyNumberFormat="0" applyFill="0" applyAlignment="0" applyProtection="0"/>
    <xf numFmtId="174" fontId="51" fillId="0" borderId="136"/>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179" fontId="51" fillId="0" borderId="136"/>
    <xf numFmtId="0" fontId="11" fillId="22" borderId="132" applyNumberFormat="0" applyAlignment="0" applyProtection="0"/>
    <xf numFmtId="0" fontId="18" fillId="9" borderId="132" applyNumberFormat="0" applyAlignment="0" applyProtection="0"/>
    <xf numFmtId="174" fontId="51" fillId="0" borderId="136"/>
    <xf numFmtId="171" fontId="51" fillId="0" borderId="136"/>
    <xf numFmtId="179" fontId="51" fillId="0" borderId="136"/>
    <xf numFmtId="174" fontId="51" fillId="0" borderId="136"/>
    <xf numFmtId="171" fontId="51" fillId="0" borderId="136"/>
    <xf numFmtId="172" fontId="51" fillId="0" borderId="136"/>
    <xf numFmtId="171" fontId="51" fillId="0" borderId="136"/>
    <xf numFmtId="174" fontId="51" fillId="0" borderId="136"/>
    <xf numFmtId="179" fontId="51" fillId="0" borderId="136"/>
    <xf numFmtId="171" fontId="51" fillId="0" borderId="136"/>
    <xf numFmtId="179" fontId="51" fillId="0" borderId="136"/>
    <xf numFmtId="0" fontId="11" fillId="22" borderId="132" applyNumberFormat="0" applyAlignment="0" applyProtection="0"/>
    <xf numFmtId="181" fontId="51" fillId="0" borderId="136"/>
    <xf numFmtId="175" fontId="51" fillId="0" borderId="136"/>
    <xf numFmtId="179"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179" fontId="51" fillId="0" borderId="136"/>
    <xf numFmtId="179" fontId="51" fillId="0" borderId="136"/>
    <xf numFmtId="174" fontId="51" fillId="0" borderId="136"/>
    <xf numFmtId="173" fontId="51" fillId="0" borderId="136"/>
    <xf numFmtId="0" fontId="8" fillId="25" borderId="133" applyNumberFormat="0" applyFont="0" applyAlignment="0" applyProtection="0"/>
    <xf numFmtId="174"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1" fillId="22" borderId="134" applyNumberFormat="0" applyAlignment="0" applyProtection="0"/>
    <xf numFmtId="0" fontId="21" fillId="22" borderId="134" applyNumberFormat="0" applyAlignment="0" applyProtection="0"/>
    <xf numFmtId="0" fontId="21" fillId="22" borderId="134" applyNumberFormat="0" applyAlignment="0" applyProtection="0"/>
    <xf numFmtId="0" fontId="18" fillId="9"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171" fontId="51" fillId="0" borderId="136"/>
    <xf numFmtId="172" fontId="51" fillId="0" borderId="136"/>
    <xf numFmtId="173" fontId="51" fillId="0" borderId="136"/>
    <xf numFmtId="174" fontId="51" fillId="0" borderId="136"/>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179" fontId="51" fillId="0" borderId="136"/>
    <xf numFmtId="0" fontId="11" fillId="22" borderId="132" applyNumberFormat="0" applyAlignment="0" applyProtection="0"/>
    <xf numFmtId="179" fontId="51" fillId="0" borderId="136"/>
    <xf numFmtId="0" fontId="23" fillId="0" borderId="135" applyNumberFormat="0" applyFill="0" applyAlignment="0" applyProtection="0"/>
    <xf numFmtId="0" fontId="23" fillId="0" borderId="135" applyNumberFormat="0" applyFill="0" applyAlignment="0" applyProtection="0"/>
    <xf numFmtId="171" fontId="51" fillId="0" borderId="136"/>
    <xf numFmtId="171" fontId="51" fillId="0" borderId="136"/>
    <xf numFmtId="0" fontId="18" fillId="9" borderId="132" applyNumberFormat="0" applyAlignment="0" applyProtection="0"/>
    <xf numFmtId="179" fontId="51" fillId="0" borderId="136"/>
    <xf numFmtId="175" fontId="51" fillId="0" borderId="136"/>
    <xf numFmtId="174" fontId="51" fillId="0" borderId="136"/>
    <xf numFmtId="174" fontId="51" fillId="0" borderId="136"/>
    <xf numFmtId="171" fontId="51" fillId="0" borderId="136"/>
    <xf numFmtId="171" fontId="51" fillId="0" borderId="136"/>
    <xf numFmtId="171" fontId="51" fillId="0" borderId="136"/>
    <xf numFmtId="0" fontId="11" fillId="22" borderId="132" applyNumberFormat="0" applyAlignment="0" applyProtection="0"/>
    <xf numFmtId="0" fontId="8" fillId="25" borderId="133" applyNumberFormat="0" applyFont="0" applyAlignment="0" applyProtection="0"/>
    <xf numFmtId="180" fontId="51" fillId="0" borderId="136"/>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79" fontId="51" fillId="0" borderId="136"/>
    <xf numFmtId="179" fontId="51" fillId="0" borderId="136"/>
    <xf numFmtId="180" fontId="51" fillId="0" borderId="136"/>
    <xf numFmtId="171" fontId="51" fillId="0" borderId="136"/>
    <xf numFmtId="174" fontId="51" fillId="0" borderId="136"/>
    <xf numFmtId="174" fontId="51" fillId="0" borderId="136"/>
    <xf numFmtId="176" fontId="51" fillId="0" borderId="136"/>
    <xf numFmtId="171"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8" fillId="25" borderId="133" applyNumberFormat="0" applyFont="0" applyAlignment="0" applyProtection="0"/>
    <xf numFmtId="175" fontId="51" fillId="0" borderId="136"/>
    <xf numFmtId="179" fontId="51" fillId="0" borderId="136"/>
    <xf numFmtId="171" fontId="51" fillId="0" borderId="136"/>
    <xf numFmtId="172" fontId="51" fillId="0" borderId="136"/>
    <xf numFmtId="173" fontId="51" fillId="0" borderId="136"/>
    <xf numFmtId="0" fontId="8" fillId="25" borderId="133" applyNumberFormat="0" applyFont="0" applyAlignment="0" applyProtection="0"/>
    <xf numFmtId="174" fontId="51" fillId="0" borderId="136"/>
    <xf numFmtId="175" fontId="51" fillId="0" borderId="136"/>
    <xf numFmtId="176" fontId="51" fillId="0" borderId="136"/>
    <xf numFmtId="175" fontId="51" fillId="0" borderId="136"/>
    <xf numFmtId="179" fontId="51" fillId="0" borderId="136"/>
    <xf numFmtId="180" fontId="51" fillId="0" borderId="136"/>
    <xf numFmtId="181" fontId="51" fillId="0" borderId="136"/>
    <xf numFmtId="174" fontId="51" fillId="0" borderId="136"/>
    <xf numFmtId="171" fontId="51" fillId="0" borderId="136"/>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181" fontId="51" fillId="0" borderId="136"/>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3" fontId="51" fillId="0" borderId="136"/>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2" fontId="51" fillId="0" borderId="136"/>
    <xf numFmtId="173" fontId="51" fillId="0" borderId="136"/>
    <xf numFmtId="0" fontId="18" fillId="9" borderId="132" applyNumberFormat="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6" fontId="51" fillId="0" borderId="136"/>
    <xf numFmtId="171" fontId="51" fillId="0" borderId="136"/>
    <xf numFmtId="172" fontId="51" fillId="0" borderId="136"/>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4" fontId="51" fillId="0" borderId="136"/>
    <xf numFmtId="179"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171" fontId="51" fillId="0" borderId="136"/>
    <xf numFmtId="179" fontId="51" fillId="0" borderId="136"/>
    <xf numFmtId="174" fontId="51" fillId="0" borderId="136"/>
    <xf numFmtId="174" fontId="51" fillId="0" borderId="136"/>
    <xf numFmtId="179" fontId="51" fillId="0" borderId="136"/>
    <xf numFmtId="171"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171" fontId="51" fillId="0" borderId="136"/>
    <xf numFmtId="181" fontId="51" fillId="0" borderId="136"/>
    <xf numFmtId="174" fontId="51" fillId="0" borderId="136"/>
    <xf numFmtId="176" fontId="51" fillId="0" borderId="136"/>
    <xf numFmtId="173" fontId="51" fillId="0" borderId="136"/>
    <xf numFmtId="172" fontId="51" fillId="0" borderId="136"/>
    <xf numFmtId="179"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179" fontId="51" fillId="0" borderId="136"/>
    <xf numFmtId="180"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1" fontId="51" fillId="0" borderId="136"/>
    <xf numFmtId="174" fontId="51" fillId="0" borderId="136"/>
    <xf numFmtId="174" fontId="51" fillId="0" borderId="136"/>
    <xf numFmtId="0" fontId="21" fillId="22" borderId="134" applyNumberFormat="0" applyAlignment="0" applyProtection="0"/>
    <xf numFmtId="179" fontId="51" fillId="0" borderId="136"/>
    <xf numFmtId="174" fontId="51" fillId="0" borderId="136"/>
    <xf numFmtId="0" fontId="21" fillId="22" borderId="134" applyNumberFormat="0" applyAlignment="0" applyProtection="0"/>
    <xf numFmtId="0" fontId="8" fillId="25" borderId="133" applyNumberFormat="0" applyFont="0" applyAlignment="0" applyProtection="0"/>
    <xf numFmtId="171" fontId="51" fillId="0" borderId="136"/>
    <xf numFmtId="0" fontId="8" fillId="25" borderId="133" applyNumberFormat="0" applyFont="0" applyAlignment="0" applyProtection="0"/>
    <xf numFmtId="173" fontId="51" fillId="0" borderId="136"/>
    <xf numFmtId="0" fontId="23" fillId="0" borderId="135" applyNumberFormat="0" applyFill="0" applyAlignment="0" applyProtection="0"/>
    <xf numFmtId="175" fontId="51" fillId="0" borderId="136"/>
    <xf numFmtId="174" fontId="51" fillId="0" borderId="136"/>
    <xf numFmtId="0" fontId="23" fillId="0" borderId="135" applyNumberFormat="0" applyFill="0" applyAlignment="0" applyProtection="0"/>
    <xf numFmtId="181" fontId="51" fillId="0" borderId="136"/>
    <xf numFmtId="174" fontId="51" fillId="0" borderId="136"/>
    <xf numFmtId="174" fontId="51" fillId="0" borderId="136"/>
    <xf numFmtId="0" fontId="18" fillId="9" borderId="132" applyNumberFormat="0" applyAlignment="0" applyProtection="0"/>
    <xf numFmtId="0" fontId="21" fillId="22" borderId="134" applyNumberFormat="0" applyAlignment="0" applyProtection="0"/>
    <xf numFmtId="171" fontId="51" fillId="0" borderId="136"/>
    <xf numFmtId="0" fontId="8" fillId="25" borderId="133" applyNumberFormat="0" applyFont="0" applyAlignment="0" applyProtection="0"/>
    <xf numFmtId="172" fontId="51" fillId="0" borderId="136"/>
    <xf numFmtId="176" fontId="51" fillId="0" borderId="136"/>
    <xf numFmtId="0" fontId="23" fillId="0" borderId="135" applyNumberFormat="0" applyFill="0" applyAlignment="0" applyProtection="0"/>
    <xf numFmtId="0" fontId="8" fillId="25" borderId="133" applyNumberFormat="0" applyFont="0" applyAlignment="0" applyProtection="0"/>
    <xf numFmtId="175" fontId="51" fillId="0" borderId="136"/>
    <xf numFmtId="171" fontId="51" fillId="0" borderId="136"/>
    <xf numFmtId="179" fontId="51" fillId="0" borderId="136"/>
    <xf numFmtId="0" fontId="18" fillId="9" borderId="132" applyNumberFormat="0" applyAlignment="0" applyProtection="0"/>
    <xf numFmtId="171" fontId="51" fillId="0" borderId="136"/>
    <xf numFmtId="0" fontId="21" fillId="22" borderId="134" applyNumberFormat="0" applyAlignment="0" applyProtection="0"/>
    <xf numFmtId="179" fontId="51" fillId="0" borderId="136"/>
    <xf numFmtId="171" fontId="51" fillId="0" borderId="136"/>
    <xf numFmtId="179" fontId="51" fillId="0" borderId="136"/>
    <xf numFmtId="174" fontId="51" fillId="0" borderId="136"/>
    <xf numFmtId="172" fontId="51" fillId="0" borderId="136"/>
    <xf numFmtId="171" fontId="51" fillId="0" borderId="136"/>
    <xf numFmtId="174" fontId="51" fillId="0" borderId="136"/>
    <xf numFmtId="173" fontId="51" fillId="0" borderId="136"/>
    <xf numFmtId="180" fontId="51" fillId="0" borderId="136"/>
    <xf numFmtId="179" fontId="51" fillId="0" borderId="136"/>
    <xf numFmtId="174" fontId="51" fillId="0" borderId="136"/>
    <xf numFmtId="171" fontId="51" fillId="0" borderId="136"/>
    <xf numFmtId="179" fontId="51" fillId="0" borderId="136"/>
    <xf numFmtId="174" fontId="51" fillId="0" borderId="136"/>
    <xf numFmtId="171" fontId="51" fillId="0" borderId="136"/>
    <xf numFmtId="179" fontId="51" fillId="0" borderId="136"/>
    <xf numFmtId="179" fontId="51" fillId="0" borderId="136"/>
    <xf numFmtId="180" fontId="51" fillId="0" borderId="136"/>
    <xf numFmtId="176" fontId="51" fillId="0" borderId="136"/>
    <xf numFmtId="171" fontId="51" fillId="0" borderId="136"/>
    <xf numFmtId="0" fontId="23" fillId="0" borderId="135" applyNumberFormat="0" applyFill="0" applyAlignment="0" applyProtection="0"/>
    <xf numFmtId="0" fontId="11" fillId="22" borderId="132" applyNumberFormat="0" applyAlignment="0" applyProtection="0"/>
    <xf numFmtId="171" fontId="51" fillId="0" borderId="136"/>
    <xf numFmtId="173" fontId="51" fillId="0" borderId="136"/>
    <xf numFmtId="171" fontId="51" fillId="0" borderId="136"/>
    <xf numFmtId="174" fontId="51" fillId="0" borderId="136"/>
    <xf numFmtId="179" fontId="51" fillId="0" borderId="136"/>
    <xf numFmtId="171" fontId="51" fillId="0" borderId="136"/>
    <xf numFmtId="0" fontId="18" fillId="9" borderId="132" applyNumberFormat="0" applyAlignment="0" applyProtection="0"/>
    <xf numFmtId="173" fontId="51" fillId="0" borderId="136"/>
    <xf numFmtId="0" fontId="11" fillId="22" borderId="132" applyNumberFormat="0" applyAlignment="0" applyProtection="0"/>
    <xf numFmtId="181" fontId="51" fillId="0" borderId="136"/>
    <xf numFmtId="171" fontId="51" fillId="0" borderId="136"/>
    <xf numFmtId="172" fontId="51" fillId="0" borderId="136"/>
    <xf numFmtId="174" fontId="51" fillId="0" borderId="136"/>
    <xf numFmtId="175" fontId="51" fillId="0" borderId="136"/>
    <xf numFmtId="174" fontId="51" fillId="0" borderId="136"/>
    <xf numFmtId="174" fontId="51" fillId="0" borderId="136"/>
    <xf numFmtId="0" fontId="11" fillId="22" borderId="132" applyNumberFormat="0" applyAlignment="0" applyProtection="0"/>
    <xf numFmtId="171" fontId="51" fillId="0" borderId="136"/>
    <xf numFmtId="174" fontId="51" fillId="0" borderId="136"/>
    <xf numFmtId="181" fontId="51" fillId="0" borderId="136"/>
    <xf numFmtId="171" fontId="51" fillId="0" borderId="136"/>
    <xf numFmtId="174" fontId="51" fillId="0" borderId="136"/>
    <xf numFmtId="176" fontId="51" fillId="0" borderId="136"/>
    <xf numFmtId="172" fontId="51" fillId="0" borderId="136"/>
    <xf numFmtId="180" fontId="51" fillId="0" borderId="136"/>
    <xf numFmtId="181" fontId="51" fillId="0" borderId="136"/>
    <xf numFmtId="179" fontId="51" fillId="0" borderId="136"/>
    <xf numFmtId="0" fontId="8" fillId="25" borderId="133" applyNumberFormat="0" applyFont="0" applyAlignment="0" applyProtection="0"/>
    <xf numFmtId="171" fontId="51" fillId="0" borderId="136"/>
    <xf numFmtId="179" fontId="51" fillId="0" borderId="136"/>
    <xf numFmtId="179" fontId="51" fillId="0" borderId="136"/>
    <xf numFmtId="0" fontId="8" fillId="25" borderId="133" applyNumberFormat="0" applyFont="0" applyAlignment="0" applyProtection="0"/>
    <xf numFmtId="179" fontId="51" fillId="0" borderId="136"/>
    <xf numFmtId="176"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0" fontId="21" fillId="22" borderId="134" applyNumberFormat="0" applyAlignment="0" applyProtection="0"/>
    <xf numFmtId="174" fontId="51" fillId="0" borderId="136"/>
    <xf numFmtId="174" fontId="51" fillId="0" borderId="136"/>
    <xf numFmtId="172" fontId="51" fillId="0" borderId="136"/>
    <xf numFmtId="174" fontId="51" fillId="0" borderId="136"/>
    <xf numFmtId="179" fontId="51" fillId="0" borderId="136"/>
    <xf numFmtId="179" fontId="51" fillId="0" borderId="136"/>
    <xf numFmtId="171" fontId="51" fillId="0" borderId="136"/>
    <xf numFmtId="174" fontId="51" fillId="0" borderId="136"/>
    <xf numFmtId="179" fontId="51" fillId="0" borderId="136"/>
    <xf numFmtId="171" fontId="51" fillId="0" borderId="136"/>
    <xf numFmtId="173" fontId="51" fillId="0" borderId="136"/>
    <xf numFmtId="179" fontId="51" fillId="0" borderId="136"/>
    <xf numFmtId="0" fontId="23" fillId="0" borderId="135" applyNumberFormat="0" applyFill="0" applyAlignment="0" applyProtection="0"/>
    <xf numFmtId="174" fontId="51" fillId="0" borderId="136"/>
    <xf numFmtId="174" fontId="51" fillId="0" borderId="136"/>
    <xf numFmtId="179" fontId="51" fillId="0" borderId="136"/>
    <xf numFmtId="171" fontId="51" fillId="0" borderId="136"/>
    <xf numFmtId="0" fontId="18" fillId="9" borderId="132" applyNumberFormat="0" applyAlignment="0" applyProtection="0"/>
    <xf numFmtId="176" fontId="51" fillId="0" borderId="136"/>
    <xf numFmtId="175" fontId="51" fillId="0" borderId="136"/>
    <xf numFmtId="180" fontId="51" fillId="0" borderId="136"/>
    <xf numFmtId="175" fontId="51" fillId="0" borderId="136"/>
    <xf numFmtId="180" fontId="51" fillId="0" borderId="136"/>
    <xf numFmtId="172" fontId="51" fillId="0" borderId="136"/>
    <xf numFmtId="180" fontId="51" fillId="0" borderId="136"/>
    <xf numFmtId="181" fontId="51" fillId="0" borderId="136"/>
    <xf numFmtId="174" fontId="51" fillId="0" borderId="136"/>
    <xf numFmtId="181" fontId="51" fillId="0" borderId="136"/>
    <xf numFmtId="176" fontId="51" fillId="0" borderId="136"/>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9" fontId="51" fillId="0" borderId="136"/>
    <xf numFmtId="171" fontId="51" fillId="0" borderId="136"/>
    <xf numFmtId="174" fontId="51" fillId="0" borderId="136"/>
    <xf numFmtId="179" fontId="51" fillId="0" borderId="136"/>
    <xf numFmtId="179" fontId="51" fillId="0" borderId="136"/>
    <xf numFmtId="179" fontId="51" fillId="0" borderId="136"/>
    <xf numFmtId="174" fontId="51" fillId="0" borderId="136"/>
    <xf numFmtId="179" fontId="51" fillId="0" borderId="136"/>
    <xf numFmtId="179" fontId="51" fillId="0" borderId="136"/>
    <xf numFmtId="174" fontId="51" fillId="0" borderId="136"/>
    <xf numFmtId="174" fontId="51" fillId="0" borderId="136"/>
    <xf numFmtId="0" fontId="21" fillId="22" borderId="134" applyNumberFormat="0" applyAlignment="0" applyProtection="0"/>
    <xf numFmtId="174" fontId="51" fillId="0" borderId="136"/>
    <xf numFmtId="0" fontId="23" fillId="0" borderId="135" applyNumberFormat="0" applyFill="0" applyAlignment="0" applyProtection="0"/>
    <xf numFmtId="171" fontId="51" fillId="0" borderId="136"/>
    <xf numFmtId="171" fontId="51" fillId="0" borderId="136"/>
    <xf numFmtId="174" fontId="51" fillId="0" borderId="136"/>
    <xf numFmtId="175" fontId="51" fillId="0" borderId="136"/>
    <xf numFmtId="0" fontId="18" fillId="9" borderId="132" applyNumberFormat="0" applyAlignment="0" applyProtection="0"/>
    <xf numFmtId="171" fontId="51" fillId="0" borderId="136"/>
    <xf numFmtId="0" fontId="21" fillId="22" borderId="134" applyNumberFormat="0" applyAlignment="0" applyProtection="0"/>
    <xf numFmtId="173" fontId="51" fillId="0" borderId="136"/>
    <xf numFmtId="171" fontId="51" fillId="0" borderId="136"/>
    <xf numFmtId="0" fontId="18" fillId="9" borderId="132" applyNumberFormat="0" applyAlignment="0" applyProtection="0"/>
    <xf numFmtId="176" fontId="51" fillId="0" borderId="136"/>
    <xf numFmtId="0" fontId="11" fillId="22" borderId="132" applyNumberFormat="0" applyAlignment="0" applyProtection="0"/>
    <xf numFmtId="171" fontId="51" fillId="0" borderId="136"/>
    <xf numFmtId="17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5" fontId="51" fillId="0" borderId="136"/>
    <xf numFmtId="179" fontId="51" fillId="0" borderId="136"/>
    <xf numFmtId="171" fontId="51" fillId="0" borderId="136"/>
    <xf numFmtId="171" fontId="51" fillId="0" borderId="136"/>
    <xf numFmtId="0" fontId="23" fillId="0" borderId="135" applyNumberFormat="0" applyFill="0" applyAlignment="0" applyProtection="0"/>
    <xf numFmtId="179" fontId="51" fillId="0" borderId="136"/>
    <xf numFmtId="171" fontId="51" fillId="0" borderId="136"/>
    <xf numFmtId="171" fontId="51" fillId="0" borderId="136"/>
    <xf numFmtId="179" fontId="51" fillId="0" borderId="136"/>
    <xf numFmtId="174" fontId="51" fillId="0" borderId="136"/>
    <xf numFmtId="174" fontId="51" fillId="0" borderId="136"/>
    <xf numFmtId="179" fontId="51" fillId="0" borderId="136"/>
    <xf numFmtId="179" fontId="51" fillId="0" borderId="136"/>
    <xf numFmtId="179" fontId="51" fillId="0" borderId="136"/>
    <xf numFmtId="171" fontId="51" fillId="0" borderId="136"/>
    <xf numFmtId="173" fontId="51" fillId="0" borderId="136"/>
    <xf numFmtId="171" fontId="51" fillId="0" borderId="136"/>
    <xf numFmtId="179" fontId="51" fillId="0" borderId="136"/>
    <xf numFmtId="0" fontId="18" fillId="9" borderId="132" applyNumberFormat="0" applyAlignment="0" applyProtection="0"/>
    <xf numFmtId="179" fontId="51" fillId="0" borderId="136"/>
    <xf numFmtId="179" fontId="51" fillId="0" borderId="136"/>
    <xf numFmtId="0" fontId="23" fillId="0" borderId="135" applyNumberFormat="0" applyFill="0" applyAlignment="0" applyProtection="0"/>
    <xf numFmtId="171" fontId="51" fillId="0" borderId="136"/>
    <xf numFmtId="0" fontId="8" fillId="25" borderId="133" applyNumberFormat="0" applyFont="0" applyAlignment="0" applyProtection="0"/>
    <xf numFmtId="0" fontId="18" fillId="9" borderId="132" applyNumberFormat="0" applyAlignment="0" applyProtection="0"/>
    <xf numFmtId="171" fontId="51" fillId="0" borderId="136"/>
    <xf numFmtId="179" fontId="51" fillId="0" borderId="136"/>
    <xf numFmtId="0" fontId="8" fillId="25" borderId="133" applyNumberFormat="0" applyFont="0" applyAlignment="0" applyProtection="0"/>
    <xf numFmtId="0" fontId="11" fillId="22" borderId="132" applyNumberFormat="0" applyAlignment="0" applyProtection="0"/>
    <xf numFmtId="171" fontId="51" fillId="0" borderId="136"/>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1" fontId="51" fillId="0" borderId="136"/>
    <xf numFmtId="180" fontId="51" fillId="0" borderId="136"/>
    <xf numFmtId="174" fontId="51" fillId="0" borderId="136"/>
    <xf numFmtId="174" fontId="51" fillId="0" borderId="136"/>
    <xf numFmtId="173" fontId="51" fillId="0" borderId="136"/>
    <xf numFmtId="179" fontId="51" fillId="0" borderId="136"/>
    <xf numFmtId="172" fontId="51" fillId="0" borderId="136"/>
    <xf numFmtId="0" fontId="21" fillId="22" borderId="134" applyNumberFormat="0" applyAlignment="0" applyProtection="0"/>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5" fontId="51" fillId="0" borderId="136"/>
    <xf numFmtId="174" fontId="51" fillId="0" borderId="136"/>
    <xf numFmtId="181" fontId="51" fillId="0" borderId="136"/>
    <xf numFmtId="176" fontId="51" fillId="0" borderId="136"/>
    <xf numFmtId="172"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4" fontId="51" fillId="0" borderId="136"/>
    <xf numFmtId="174" fontId="51" fillId="0" borderId="136"/>
    <xf numFmtId="174" fontId="51" fillId="0" borderId="136"/>
    <xf numFmtId="171" fontId="51" fillId="0" borderId="136"/>
    <xf numFmtId="0" fontId="18" fillId="9" borderId="132" applyNumberFormat="0" applyAlignment="0" applyProtection="0"/>
    <xf numFmtId="174" fontId="51" fillId="0" borderId="136"/>
    <xf numFmtId="171" fontId="51" fillId="0" borderId="136"/>
    <xf numFmtId="179" fontId="51" fillId="0" borderId="136"/>
    <xf numFmtId="173" fontId="51" fillId="0" borderId="136"/>
    <xf numFmtId="173" fontId="51" fillId="0" borderId="136"/>
    <xf numFmtId="171" fontId="51" fillId="0" borderId="136"/>
    <xf numFmtId="173" fontId="51" fillId="0" borderId="136"/>
    <xf numFmtId="174" fontId="51" fillId="0" borderId="136"/>
    <xf numFmtId="176" fontId="51" fillId="0" borderId="136"/>
    <xf numFmtId="171" fontId="51" fillId="0" borderId="136"/>
    <xf numFmtId="0" fontId="11" fillId="22" borderId="132" applyNumberFormat="0" applyAlignment="0" applyProtection="0"/>
    <xf numFmtId="179" fontId="51" fillId="0" borderId="136"/>
    <xf numFmtId="179" fontId="51" fillId="0" borderId="136"/>
    <xf numFmtId="179" fontId="51" fillId="0" borderId="136"/>
    <xf numFmtId="171" fontId="51" fillId="0" borderId="136"/>
    <xf numFmtId="0" fontId="8" fillId="25" borderId="133" applyNumberFormat="0" applyFont="0" applyAlignment="0" applyProtection="0"/>
    <xf numFmtId="171" fontId="51" fillId="0" borderId="136"/>
    <xf numFmtId="180" fontId="51" fillId="0" borderId="136"/>
    <xf numFmtId="174" fontId="51" fillId="0" borderId="136"/>
    <xf numFmtId="175" fontId="51" fillId="0" borderId="136"/>
    <xf numFmtId="0" fontId="18" fillId="9" borderId="132" applyNumberFormat="0" applyAlignment="0" applyProtection="0"/>
    <xf numFmtId="171" fontId="51" fillId="0" borderId="136"/>
    <xf numFmtId="179" fontId="51" fillId="0" borderId="136"/>
    <xf numFmtId="174" fontId="51" fillId="0" borderId="136"/>
    <xf numFmtId="179" fontId="51" fillId="0" borderId="136"/>
    <xf numFmtId="171" fontId="51" fillId="0" borderId="136"/>
    <xf numFmtId="179" fontId="51" fillId="0" borderId="136"/>
    <xf numFmtId="174" fontId="51" fillId="0" borderId="136"/>
    <xf numFmtId="174" fontId="51" fillId="0" borderId="136"/>
    <xf numFmtId="171" fontId="51" fillId="0" borderId="136"/>
    <xf numFmtId="174" fontId="51" fillId="0" borderId="136"/>
    <xf numFmtId="175" fontId="51" fillId="0" borderId="136"/>
    <xf numFmtId="174" fontId="51" fillId="0" borderId="136"/>
    <xf numFmtId="179" fontId="51" fillId="0" borderId="136"/>
    <xf numFmtId="179" fontId="51" fillId="0" borderId="136"/>
    <xf numFmtId="171" fontId="51" fillId="0" borderId="136"/>
    <xf numFmtId="0" fontId="21" fillId="22" borderId="134" applyNumberFormat="0" applyAlignment="0" applyProtection="0"/>
    <xf numFmtId="172" fontId="51" fillId="0" borderId="136"/>
    <xf numFmtId="0" fontId="23" fillId="0" borderId="135" applyNumberFormat="0" applyFill="0" applyAlignment="0" applyProtection="0"/>
    <xf numFmtId="0" fontId="8" fillId="25" borderId="133" applyNumberFormat="0" applyFont="0" applyAlignment="0" applyProtection="0"/>
    <xf numFmtId="174" fontId="51" fillId="0" borderId="136"/>
    <xf numFmtId="175" fontId="51" fillId="0" borderId="136"/>
    <xf numFmtId="0" fontId="23" fillId="0" borderId="135" applyNumberFormat="0" applyFill="0" applyAlignment="0" applyProtection="0"/>
    <xf numFmtId="174" fontId="51" fillId="0" borderId="136"/>
    <xf numFmtId="0" fontId="21" fillId="22" borderId="134" applyNumberFormat="0" applyAlignment="0" applyProtection="0"/>
    <xf numFmtId="171" fontId="51" fillId="0" borderId="136"/>
    <xf numFmtId="181" fontId="51" fillId="0" borderId="136"/>
    <xf numFmtId="171" fontId="51" fillId="0" borderId="136"/>
    <xf numFmtId="179" fontId="51" fillId="0" borderId="136"/>
    <xf numFmtId="0" fontId="11" fillId="22" borderId="132" applyNumberFormat="0" applyAlignment="0" applyProtection="0"/>
    <xf numFmtId="174" fontId="51" fillId="0" borderId="136"/>
    <xf numFmtId="180" fontId="51" fillId="0" borderId="136"/>
    <xf numFmtId="174" fontId="51" fillId="0" borderId="136"/>
    <xf numFmtId="171" fontId="51" fillId="0" borderId="136"/>
    <xf numFmtId="174" fontId="51" fillId="0" borderId="136"/>
    <xf numFmtId="172" fontId="51" fillId="0" borderId="136"/>
    <xf numFmtId="179" fontId="51" fillId="0" borderId="136"/>
    <xf numFmtId="176" fontId="51" fillId="0" borderId="136"/>
    <xf numFmtId="174" fontId="51" fillId="0" borderId="136"/>
    <xf numFmtId="172" fontId="51" fillId="0" borderId="136"/>
    <xf numFmtId="171" fontId="51" fillId="0" borderId="136"/>
    <xf numFmtId="180" fontId="51" fillId="0" borderId="136"/>
    <xf numFmtId="181" fontId="51" fillId="0" borderId="136"/>
    <xf numFmtId="179" fontId="51" fillId="0" borderId="136"/>
    <xf numFmtId="179" fontId="51" fillId="0" borderId="136"/>
    <xf numFmtId="179" fontId="51" fillId="0" borderId="136"/>
    <xf numFmtId="171" fontId="51" fillId="0" borderId="136"/>
    <xf numFmtId="179"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81" fontId="51" fillId="0" borderId="136"/>
    <xf numFmtId="171" fontId="51" fillId="0" borderId="136"/>
    <xf numFmtId="174" fontId="51" fillId="0" borderId="136"/>
    <xf numFmtId="179" fontId="51" fillId="0" borderId="136"/>
    <xf numFmtId="171" fontId="51" fillId="0" borderId="136"/>
    <xf numFmtId="0" fontId="8" fillId="25" borderId="133" applyNumberFormat="0" applyFont="0" applyAlignment="0" applyProtection="0"/>
    <xf numFmtId="174" fontId="51" fillId="0" borderId="136"/>
    <xf numFmtId="176" fontId="51" fillId="0" borderId="136"/>
    <xf numFmtId="179" fontId="51" fillId="0" borderId="136"/>
    <xf numFmtId="171" fontId="51" fillId="0" borderId="136"/>
    <xf numFmtId="174"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9" fontId="51" fillId="0" borderId="136"/>
    <xf numFmtId="171" fontId="51" fillId="0" borderId="136"/>
    <xf numFmtId="179" fontId="51" fillId="0" borderId="136"/>
    <xf numFmtId="179" fontId="51" fillId="0" borderId="136"/>
    <xf numFmtId="174" fontId="51" fillId="0" borderId="136"/>
    <xf numFmtId="174" fontId="51" fillId="0" borderId="136"/>
    <xf numFmtId="171" fontId="51" fillId="0" borderId="136"/>
    <xf numFmtId="171"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4" fontId="51" fillId="0" borderId="136"/>
    <xf numFmtId="0" fontId="8" fillId="25" borderId="133" applyNumberFormat="0" applyFont="0" applyAlignment="0" applyProtection="0"/>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181" fontId="51" fillId="0" borderId="136"/>
    <xf numFmtId="180" fontId="51" fillId="0" borderId="136"/>
    <xf numFmtId="179" fontId="51" fillId="0" borderId="136"/>
    <xf numFmtId="171" fontId="51" fillId="0" borderId="136"/>
    <xf numFmtId="175" fontId="51" fillId="0" borderId="136"/>
    <xf numFmtId="176" fontId="51" fillId="0" borderId="136"/>
    <xf numFmtId="175" fontId="51" fillId="0" borderId="136"/>
    <xf numFmtId="174" fontId="51" fillId="0" borderId="136"/>
    <xf numFmtId="176" fontId="51" fillId="0" borderId="136"/>
    <xf numFmtId="180" fontId="51" fillId="0" borderId="136"/>
    <xf numFmtId="173" fontId="51" fillId="0" borderId="136"/>
    <xf numFmtId="0" fontId="11" fillId="22" borderId="132" applyNumberFormat="0" applyAlignment="0" applyProtection="0"/>
    <xf numFmtId="172" fontId="51" fillId="0" borderId="136"/>
    <xf numFmtId="179" fontId="51" fillId="0" borderId="136"/>
    <xf numFmtId="176" fontId="51" fillId="0" borderId="136"/>
    <xf numFmtId="174" fontId="51" fillId="0" borderId="136"/>
    <xf numFmtId="171" fontId="51" fillId="0" borderId="136"/>
    <xf numFmtId="0" fontId="21" fillId="22" borderId="134" applyNumberFormat="0" applyAlignment="0" applyProtection="0"/>
    <xf numFmtId="0" fontId="23" fillId="0" borderId="135" applyNumberFormat="0" applyFill="0" applyAlignment="0" applyProtection="0"/>
    <xf numFmtId="180" fontId="51" fillId="0" borderId="136"/>
    <xf numFmtId="175" fontId="51" fillId="0" borderId="136"/>
    <xf numFmtId="173" fontId="51" fillId="0" borderId="136"/>
    <xf numFmtId="172" fontId="51" fillId="0" borderId="136"/>
    <xf numFmtId="171" fontId="51" fillId="0" borderId="136"/>
    <xf numFmtId="181"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173"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171"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1" fontId="51" fillId="0" borderId="136"/>
    <xf numFmtId="179" fontId="51" fillId="0" borderId="136"/>
    <xf numFmtId="0" fontId="11" fillId="22" borderId="132" applyNumberFormat="0" applyAlignment="0" applyProtection="0"/>
    <xf numFmtId="181" fontId="51" fillId="0" borderId="136"/>
    <xf numFmtId="171" fontId="51" fillId="0" borderId="136"/>
    <xf numFmtId="0" fontId="23" fillId="0" borderId="135" applyNumberFormat="0" applyFill="0" applyAlignment="0" applyProtection="0"/>
    <xf numFmtId="179" fontId="51" fillId="0" borderId="136"/>
    <xf numFmtId="0" fontId="11" fillId="22" borderId="132" applyNumberFormat="0" applyAlignment="0" applyProtection="0"/>
    <xf numFmtId="171" fontId="51" fillId="0" borderId="136"/>
    <xf numFmtId="171" fontId="51" fillId="0" borderId="136"/>
    <xf numFmtId="0" fontId="18" fillId="9" borderId="132" applyNumberFormat="0" applyAlignment="0" applyProtection="0"/>
    <xf numFmtId="172" fontId="51" fillId="0" borderId="136"/>
    <xf numFmtId="171" fontId="51" fillId="0" borderId="136"/>
    <xf numFmtId="174" fontId="51" fillId="0" borderId="136"/>
    <xf numFmtId="171" fontId="51" fillId="0" borderId="136"/>
    <xf numFmtId="174" fontId="51" fillId="0" borderId="136"/>
    <xf numFmtId="175" fontId="51" fillId="0" borderId="136"/>
    <xf numFmtId="176" fontId="51" fillId="0" borderId="136"/>
    <xf numFmtId="0" fontId="8" fillId="25" borderId="133" applyNumberFormat="0" applyFont="0" applyAlignment="0" applyProtection="0"/>
    <xf numFmtId="174" fontId="51" fillId="0" borderId="136"/>
    <xf numFmtId="179" fontId="51" fillId="0" borderId="136"/>
    <xf numFmtId="171" fontId="51" fillId="0" borderId="136"/>
    <xf numFmtId="180" fontId="51" fillId="0" borderId="136"/>
    <xf numFmtId="181" fontId="51" fillId="0" borderId="136"/>
    <xf numFmtId="0" fontId="18" fillId="9" borderId="132" applyNumberFormat="0" applyAlignment="0" applyProtection="0"/>
    <xf numFmtId="179" fontId="51" fillId="0" borderId="136"/>
    <xf numFmtId="179" fontId="51" fillId="0" borderId="136"/>
    <xf numFmtId="174" fontId="51" fillId="0" borderId="136"/>
    <xf numFmtId="171" fontId="51" fillId="0" borderId="136"/>
    <xf numFmtId="175" fontId="51" fillId="0" borderId="136"/>
    <xf numFmtId="171" fontId="51" fillId="0" borderId="136"/>
    <xf numFmtId="171" fontId="51" fillId="0" borderId="136"/>
    <xf numFmtId="174" fontId="51" fillId="0" borderId="136"/>
    <xf numFmtId="174" fontId="51" fillId="0" borderId="136"/>
    <xf numFmtId="171" fontId="51" fillId="0" borderId="136"/>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8" fillId="25" borderId="133" applyNumberFormat="0" applyFont="0" applyAlignment="0" applyProtection="0"/>
    <xf numFmtId="173" fontId="51" fillId="0" borderId="136"/>
    <xf numFmtId="174" fontId="51" fillId="0" borderId="136"/>
    <xf numFmtId="179" fontId="51" fillId="0" borderId="136"/>
    <xf numFmtId="0" fontId="11" fillId="22" borderId="132" applyNumberFormat="0" applyAlignment="0" applyProtection="0"/>
    <xf numFmtId="173" fontId="51" fillId="0" borderId="136"/>
    <xf numFmtId="172" fontId="51" fillId="0" borderId="136"/>
    <xf numFmtId="0" fontId="21" fillId="22" borderId="134" applyNumberFormat="0" applyAlignment="0" applyProtection="0"/>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3" fontId="51" fillId="0" borderId="136"/>
    <xf numFmtId="175" fontId="51" fillId="0" borderId="136"/>
    <xf numFmtId="176"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80" fontId="51" fillId="0" borderId="136"/>
    <xf numFmtId="174" fontId="51" fillId="0" borderId="136"/>
    <xf numFmtId="179" fontId="51" fillId="0" borderId="136"/>
    <xf numFmtId="174" fontId="51" fillId="0" borderId="136"/>
    <xf numFmtId="176" fontId="51" fillId="0" borderId="136"/>
    <xf numFmtId="172"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174" fontId="51" fillId="0" borderId="136"/>
    <xf numFmtId="179" fontId="51" fillId="0" borderId="136"/>
    <xf numFmtId="174" fontId="51" fillId="0" borderId="136"/>
    <xf numFmtId="171" fontId="51" fillId="0" borderId="136"/>
    <xf numFmtId="179" fontId="51" fillId="0" borderId="136"/>
    <xf numFmtId="174" fontId="51" fillId="0" borderId="136"/>
    <xf numFmtId="179" fontId="51" fillId="0" borderId="136"/>
    <xf numFmtId="171" fontId="51" fillId="0" borderId="136"/>
    <xf numFmtId="171" fontId="51" fillId="0" borderId="136"/>
    <xf numFmtId="179"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6" fontId="51" fillId="0" borderId="136"/>
    <xf numFmtId="0" fontId="11" fillId="22" borderId="132" applyNumberFormat="0" applyAlignment="0" applyProtection="0"/>
    <xf numFmtId="180" fontId="51" fillId="0" borderId="136"/>
    <xf numFmtId="179" fontId="51" fillId="0" borderId="136"/>
    <xf numFmtId="171" fontId="51" fillId="0" borderId="136"/>
    <xf numFmtId="171" fontId="51" fillId="0" borderId="136"/>
    <xf numFmtId="174" fontId="51" fillId="0" borderId="136"/>
    <xf numFmtId="174" fontId="51" fillId="0" borderId="136"/>
    <xf numFmtId="171" fontId="51" fillId="0" borderId="136"/>
    <xf numFmtId="0" fontId="23" fillId="0" borderId="135" applyNumberFormat="0" applyFill="0" applyAlignment="0" applyProtection="0"/>
    <xf numFmtId="174" fontId="51" fillId="0" borderId="136"/>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179" fontId="51" fillId="0" borderId="136"/>
    <xf numFmtId="0" fontId="11" fillId="22" borderId="132" applyNumberFormat="0" applyAlignment="0" applyProtection="0"/>
    <xf numFmtId="0" fontId="18" fillId="9" borderId="132" applyNumberFormat="0" applyAlignment="0" applyProtection="0"/>
    <xf numFmtId="174" fontId="51" fillId="0" borderId="136"/>
    <xf numFmtId="171" fontId="51" fillId="0" borderId="136"/>
    <xf numFmtId="179" fontId="51" fillId="0" borderId="136"/>
    <xf numFmtId="174" fontId="51" fillId="0" borderId="136"/>
    <xf numFmtId="171" fontId="51" fillId="0" borderId="136"/>
    <xf numFmtId="172" fontId="51" fillId="0" borderId="136"/>
    <xf numFmtId="171" fontId="51" fillId="0" borderId="136"/>
    <xf numFmtId="174" fontId="51" fillId="0" borderId="136"/>
    <xf numFmtId="179" fontId="51" fillId="0" borderId="136"/>
    <xf numFmtId="171" fontId="51" fillId="0" borderId="136"/>
    <xf numFmtId="179" fontId="51" fillId="0" borderId="136"/>
    <xf numFmtId="0" fontId="11" fillId="22" borderId="132" applyNumberFormat="0" applyAlignment="0" applyProtection="0"/>
    <xf numFmtId="181" fontId="51" fillId="0" borderId="136"/>
    <xf numFmtId="175" fontId="51" fillId="0" borderId="136"/>
    <xf numFmtId="179"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179" fontId="51" fillId="0" borderId="136"/>
    <xf numFmtId="179" fontId="51" fillId="0" borderId="136"/>
    <xf numFmtId="174" fontId="51" fillId="0" borderId="136"/>
    <xf numFmtId="173" fontId="51" fillId="0" borderId="136"/>
    <xf numFmtId="0" fontId="8" fillId="25" borderId="133" applyNumberFormat="0" applyFont="0" applyAlignment="0" applyProtection="0"/>
    <xf numFmtId="174"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179" fontId="51" fillId="0" borderId="136"/>
    <xf numFmtId="172" fontId="51" fillId="0" borderId="136"/>
    <xf numFmtId="171" fontId="51" fillId="0" borderId="136"/>
    <xf numFmtId="0" fontId="21" fillId="22" borderId="134" applyNumberFormat="0" applyAlignment="0" applyProtection="0"/>
    <xf numFmtId="0" fontId="54" fillId="46" borderId="137">
      <protection locked="0"/>
    </xf>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4" fontId="51" fillId="0" borderId="136"/>
    <xf numFmtId="179" fontId="51" fillId="0" borderId="136"/>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54" fillId="46" borderId="137">
      <protection locked="0"/>
    </xf>
    <xf numFmtId="0" fontId="18" fillId="9" borderId="132" applyNumberFormat="0" applyAlignment="0" applyProtection="0"/>
    <xf numFmtId="0" fontId="8" fillId="25" borderId="133" applyNumberFormat="0" applyFont="0" applyAlignment="0" applyProtection="0"/>
    <xf numFmtId="0" fontId="8" fillId="25" borderId="133" applyNumberFormat="0" applyFont="0" applyAlignment="0" applyProtection="0"/>
    <xf numFmtId="0" fontId="21" fillId="22" borderId="134" applyNumberFormat="0" applyAlignment="0" applyProtection="0"/>
    <xf numFmtId="0" fontId="21" fillId="22" borderId="134" applyNumberFormat="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54" fillId="46" borderId="137">
      <protection locked="0"/>
    </xf>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54" fillId="46" borderId="137">
      <protection locked="0"/>
    </xf>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79" fontId="51" fillId="0" borderId="136"/>
    <xf numFmtId="179" fontId="51" fillId="0" borderId="136"/>
    <xf numFmtId="180" fontId="51" fillId="0" borderId="136"/>
    <xf numFmtId="171" fontId="51" fillId="0" borderId="136"/>
    <xf numFmtId="174" fontId="51" fillId="0" borderId="136"/>
    <xf numFmtId="174" fontId="51" fillId="0" borderId="136"/>
    <xf numFmtId="176" fontId="51" fillId="0" borderId="136"/>
    <xf numFmtId="171"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8" fillId="25" borderId="133" applyNumberFormat="0" applyFont="0" applyAlignment="0" applyProtection="0"/>
    <xf numFmtId="175" fontId="51" fillId="0" borderId="136"/>
    <xf numFmtId="179" fontId="51" fillId="0" borderId="136"/>
    <xf numFmtId="171" fontId="51" fillId="0" borderId="136"/>
    <xf numFmtId="172" fontId="51" fillId="0" borderId="136"/>
    <xf numFmtId="173" fontId="51" fillId="0" borderId="136"/>
    <xf numFmtId="0" fontId="8" fillId="25" borderId="133" applyNumberFormat="0" applyFont="0" applyAlignment="0" applyProtection="0"/>
    <xf numFmtId="174" fontId="51" fillId="0" borderId="136"/>
    <xf numFmtId="175" fontId="51" fillId="0" borderId="136"/>
    <xf numFmtId="176" fontId="51" fillId="0" borderId="136"/>
    <xf numFmtId="175" fontId="51" fillId="0" borderId="136"/>
    <xf numFmtId="179" fontId="51" fillId="0" borderId="136"/>
    <xf numFmtId="180" fontId="51" fillId="0" borderId="136"/>
    <xf numFmtId="181" fontId="51" fillId="0" borderId="136"/>
    <xf numFmtId="174" fontId="51" fillId="0" borderId="136"/>
    <xf numFmtId="0" fontId="21" fillId="22" borderId="134" applyNumberFormat="0" applyAlignment="0" applyProtection="0"/>
    <xf numFmtId="171" fontId="51" fillId="0" borderId="136"/>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181" fontId="51" fillId="0" borderId="136"/>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3" fontId="51" fillId="0" borderId="136"/>
    <xf numFmtId="0" fontId="18" fillId="9" borderId="132" applyNumberFormat="0" applyAlignment="0" applyProtection="0"/>
    <xf numFmtId="0" fontId="11" fillId="22" borderId="132" applyNumberFormat="0" applyAlignment="0" applyProtection="0"/>
    <xf numFmtId="0" fontId="23" fillId="0" borderId="135" applyNumberFormat="0" applyFill="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2" fontId="51" fillId="0" borderId="136"/>
    <xf numFmtId="173" fontId="51" fillId="0" borderId="136"/>
    <xf numFmtId="0" fontId="18" fillId="9" borderId="132" applyNumberFormat="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6" fontId="51" fillId="0" borderId="136"/>
    <xf numFmtId="171" fontId="51" fillId="0" borderId="136"/>
    <xf numFmtId="172" fontId="51" fillId="0" borderId="136"/>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4" fontId="51" fillId="0" borderId="136"/>
    <xf numFmtId="179"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171" fontId="51" fillId="0" borderId="136"/>
    <xf numFmtId="179" fontId="51" fillId="0" borderId="136"/>
    <xf numFmtId="174" fontId="51" fillId="0" borderId="136"/>
    <xf numFmtId="174" fontId="51" fillId="0" borderId="136"/>
    <xf numFmtId="179" fontId="51" fillId="0" borderId="136"/>
    <xf numFmtId="171"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171" fontId="51" fillId="0" borderId="136"/>
    <xf numFmtId="181" fontId="51" fillId="0" borderId="136"/>
    <xf numFmtId="174" fontId="51" fillId="0" borderId="136"/>
    <xf numFmtId="176" fontId="51" fillId="0" borderId="136"/>
    <xf numFmtId="173" fontId="51" fillId="0" borderId="136"/>
    <xf numFmtId="172" fontId="51" fillId="0" borderId="136"/>
    <xf numFmtId="179"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179" fontId="51" fillId="0" borderId="136"/>
    <xf numFmtId="180"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3" fontId="51" fillId="0" borderId="136"/>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1" fontId="51" fillId="0" borderId="136"/>
    <xf numFmtId="174" fontId="51" fillId="0" borderId="136"/>
    <xf numFmtId="174" fontId="51" fillId="0" borderId="136"/>
    <xf numFmtId="0" fontId="21" fillId="22" borderId="134" applyNumberFormat="0" applyAlignment="0" applyProtection="0"/>
    <xf numFmtId="179" fontId="51" fillId="0" borderId="136"/>
    <xf numFmtId="174" fontId="51" fillId="0" borderId="136"/>
    <xf numFmtId="0" fontId="21" fillId="22" borderId="134" applyNumberFormat="0" applyAlignment="0" applyProtection="0"/>
    <xf numFmtId="0" fontId="8" fillId="25" borderId="133" applyNumberFormat="0" applyFont="0" applyAlignment="0" applyProtection="0"/>
    <xf numFmtId="171" fontId="51" fillId="0" borderId="136"/>
    <xf numFmtId="0" fontId="8" fillId="25" borderId="133" applyNumberFormat="0" applyFont="0" applyAlignment="0" applyProtection="0"/>
    <xf numFmtId="173" fontId="51" fillId="0" borderId="136"/>
    <xf numFmtId="0" fontId="23" fillId="0" borderId="135" applyNumberFormat="0" applyFill="0" applyAlignment="0" applyProtection="0"/>
    <xf numFmtId="175" fontId="51" fillId="0" borderId="136"/>
    <xf numFmtId="174" fontId="51" fillId="0" borderId="136"/>
    <xf numFmtId="0" fontId="23" fillId="0" borderId="135" applyNumberFormat="0" applyFill="0" applyAlignment="0" applyProtection="0"/>
    <xf numFmtId="181" fontId="51" fillId="0" borderId="136"/>
    <xf numFmtId="174" fontId="51" fillId="0" borderId="136"/>
    <xf numFmtId="174" fontId="51" fillId="0" borderId="136"/>
    <xf numFmtId="0" fontId="18" fillId="9" borderId="132" applyNumberFormat="0" applyAlignment="0" applyProtection="0"/>
    <xf numFmtId="0" fontId="21" fillId="22" borderId="134" applyNumberFormat="0" applyAlignment="0" applyProtection="0"/>
    <xf numFmtId="171" fontId="51" fillId="0" borderId="136"/>
    <xf numFmtId="0" fontId="8" fillId="25" borderId="133" applyNumberFormat="0" applyFont="0" applyAlignment="0" applyProtection="0"/>
    <xf numFmtId="172" fontId="51" fillId="0" borderId="136"/>
    <xf numFmtId="176" fontId="51" fillId="0" borderId="136"/>
    <xf numFmtId="0" fontId="23" fillId="0" borderId="135" applyNumberFormat="0" applyFill="0" applyAlignment="0" applyProtection="0"/>
    <xf numFmtId="0" fontId="8" fillId="25" borderId="133" applyNumberFormat="0" applyFont="0" applyAlignment="0" applyProtection="0"/>
    <xf numFmtId="175" fontId="51" fillId="0" borderId="136"/>
    <xf numFmtId="171" fontId="51" fillId="0" borderId="136"/>
    <xf numFmtId="179" fontId="51" fillId="0" borderId="136"/>
    <xf numFmtId="0" fontId="18" fillId="9" borderId="132" applyNumberFormat="0" applyAlignment="0" applyProtection="0"/>
    <xf numFmtId="171" fontId="51" fillId="0" borderId="136"/>
    <xf numFmtId="0" fontId="21" fillId="22" borderId="134" applyNumberFormat="0" applyAlignment="0" applyProtection="0"/>
    <xf numFmtId="179" fontId="51" fillId="0" borderId="136"/>
    <xf numFmtId="171" fontId="51" fillId="0" borderId="136"/>
    <xf numFmtId="179" fontId="51" fillId="0" borderId="136"/>
    <xf numFmtId="174" fontId="51" fillId="0" borderId="136"/>
    <xf numFmtId="172" fontId="51" fillId="0" borderId="136"/>
    <xf numFmtId="171" fontId="51" fillId="0" borderId="136"/>
    <xf numFmtId="174" fontId="51" fillId="0" borderId="136"/>
    <xf numFmtId="173" fontId="51" fillId="0" borderId="136"/>
    <xf numFmtId="180" fontId="51" fillId="0" borderId="136"/>
    <xf numFmtId="179" fontId="51" fillId="0" borderId="136"/>
    <xf numFmtId="174" fontId="51" fillId="0" borderId="136"/>
    <xf numFmtId="171" fontId="51" fillId="0" borderId="136"/>
    <xf numFmtId="179" fontId="51" fillId="0" borderId="136"/>
    <xf numFmtId="174" fontId="51" fillId="0" borderId="136"/>
    <xf numFmtId="171" fontId="51" fillId="0" borderId="136"/>
    <xf numFmtId="179" fontId="51" fillId="0" borderId="136"/>
    <xf numFmtId="179" fontId="51" fillId="0" borderId="136"/>
    <xf numFmtId="180" fontId="51" fillId="0" borderId="136"/>
    <xf numFmtId="176" fontId="51" fillId="0" borderId="136"/>
    <xf numFmtId="171" fontId="51" fillId="0" borderId="136"/>
    <xf numFmtId="0" fontId="23" fillId="0" borderId="135" applyNumberFormat="0" applyFill="0" applyAlignment="0" applyProtection="0"/>
    <xf numFmtId="0" fontId="11" fillId="22" borderId="132" applyNumberFormat="0" applyAlignment="0" applyProtection="0"/>
    <xf numFmtId="171" fontId="51" fillId="0" borderId="136"/>
    <xf numFmtId="173" fontId="51" fillId="0" borderId="136"/>
    <xf numFmtId="171" fontId="51" fillId="0" borderId="136"/>
    <xf numFmtId="174" fontId="51" fillId="0" borderId="136"/>
    <xf numFmtId="179" fontId="51" fillId="0" borderId="136"/>
    <xf numFmtId="171" fontId="51" fillId="0" borderId="136"/>
    <xf numFmtId="0" fontId="18" fillId="9" borderId="132" applyNumberFormat="0" applyAlignment="0" applyProtection="0"/>
    <xf numFmtId="173" fontId="51" fillId="0" borderId="136"/>
    <xf numFmtId="0" fontId="11" fillId="22" borderId="132" applyNumberFormat="0" applyAlignment="0" applyProtection="0"/>
    <xf numFmtId="181" fontId="51" fillId="0" borderId="136"/>
    <xf numFmtId="171" fontId="51" fillId="0" borderId="136"/>
    <xf numFmtId="172" fontId="51" fillId="0" borderId="136"/>
    <xf numFmtId="174" fontId="51" fillId="0" borderId="136"/>
    <xf numFmtId="175" fontId="51" fillId="0" borderId="136"/>
    <xf numFmtId="174" fontId="51" fillId="0" borderId="136"/>
    <xf numFmtId="174" fontId="51" fillId="0" borderId="136"/>
    <xf numFmtId="0" fontId="11" fillId="22" borderId="132" applyNumberFormat="0" applyAlignment="0" applyProtection="0"/>
    <xf numFmtId="171" fontId="51" fillId="0" borderId="136"/>
    <xf numFmtId="174" fontId="51" fillId="0" borderId="136"/>
    <xf numFmtId="181" fontId="51" fillId="0" borderId="136"/>
    <xf numFmtId="171" fontId="51" fillId="0" borderId="136"/>
    <xf numFmtId="174" fontId="51" fillId="0" borderId="136"/>
    <xf numFmtId="176" fontId="51" fillId="0" borderId="136"/>
    <xf numFmtId="172" fontId="51" fillId="0" borderId="136"/>
    <xf numFmtId="180" fontId="51" fillId="0" borderId="136"/>
    <xf numFmtId="181" fontId="51" fillId="0" borderId="136"/>
    <xf numFmtId="179" fontId="51" fillId="0" borderId="136"/>
    <xf numFmtId="0" fontId="8" fillId="25" borderId="133" applyNumberFormat="0" applyFont="0" applyAlignment="0" applyProtection="0"/>
    <xf numFmtId="171" fontId="51" fillId="0" borderId="136"/>
    <xf numFmtId="179" fontId="51" fillId="0" borderId="136"/>
    <xf numFmtId="179" fontId="51" fillId="0" borderId="136"/>
    <xf numFmtId="0" fontId="8" fillId="25" borderId="133" applyNumberFormat="0" applyFont="0" applyAlignment="0" applyProtection="0"/>
    <xf numFmtId="179" fontId="51" fillId="0" borderId="136"/>
    <xf numFmtId="176"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0" fontId="21" fillId="22" borderId="134" applyNumberFormat="0" applyAlignment="0" applyProtection="0"/>
    <xf numFmtId="174" fontId="51" fillId="0" borderId="136"/>
    <xf numFmtId="174" fontId="51" fillId="0" borderId="136"/>
    <xf numFmtId="172" fontId="51" fillId="0" borderId="136"/>
    <xf numFmtId="174" fontId="51" fillId="0" borderId="136"/>
    <xf numFmtId="179" fontId="51" fillId="0" borderId="136"/>
    <xf numFmtId="179" fontId="51" fillId="0" borderId="136"/>
    <xf numFmtId="171" fontId="51" fillId="0" borderId="136"/>
    <xf numFmtId="174" fontId="51" fillId="0" borderId="136"/>
    <xf numFmtId="179" fontId="51" fillId="0" borderId="136"/>
    <xf numFmtId="171" fontId="51" fillId="0" borderId="136"/>
    <xf numFmtId="173" fontId="51" fillId="0" borderId="136"/>
    <xf numFmtId="179" fontId="51" fillId="0" borderId="136"/>
    <xf numFmtId="0" fontId="23" fillId="0" borderId="135" applyNumberFormat="0" applyFill="0" applyAlignment="0" applyProtection="0"/>
    <xf numFmtId="174" fontId="51" fillId="0" borderId="136"/>
    <xf numFmtId="174" fontId="51" fillId="0" borderId="136"/>
    <xf numFmtId="179" fontId="51" fillId="0" borderId="136"/>
    <xf numFmtId="171" fontId="51" fillId="0" borderId="136"/>
    <xf numFmtId="0" fontId="18" fillId="9" borderId="132" applyNumberFormat="0" applyAlignment="0" applyProtection="0"/>
    <xf numFmtId="176" fontId="51" fillId="0" borderId="136"/>
    <xf numFmtId="175" fontId="51" fillId="0" borderId="136"/>
    <xf numFmtId="180" fontId="51" fillId="0" borderId="136"/>
    <xf numFmtId="175" fontId="51" fillId="0" borderId="136"/>
    <xf numFmtId="180" fontId="51" fillId="0" borderId="136"/>
    <xf numFmtId="172" fontId="51" fillId="0" borderId="136"/>
    <xf numFmtId="180" fontId="51" fillId="0" borderId="136"/>
    <xf numFmtId="181" fontId="51" fillId="0" borderId="136"/>
    <xf numFmtId="174" fontId="51" fillId="0" borderId="136"/>
    <xf numFmtId="181" fontId="51" fillId="0" borderId="136"/>
    <xf numFmtId="0" fontId="21" fillId="22" borderId="134" applyNumberFormat="0" applyAlignment="0" applyProtection="0"/>
    <xf numFmtId="176" fontId="51" fillId="0" borderId="136"/>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9" fontId="51" fillId="0" borderId="136"/>
    <xf numFmtId="171" fontId="51" fillId="0" borderId="136"/>
    <xf numFmtId="174" fontId="51" fillId="0" borderId="136"/>
    <xf numFmtId="179" fontId="51" fillId="0" borderId="136"/>
    <xf numFmtId="179" fontId="51" fillId="0" borderId="136"/>
    <xf numFmtId="179" fontId="51" fillId="0" borderId="136"/>
    <xf numFmtId="174" fontId="51" fillId="0" borderId="136"/>
    <xf numFmtId="179" fontId="51" fillId="0" borderId="136"/>
    <xf numFmtId="179" fontId="51" fillId="0" borderId="136"/>
    <xf numFmtId="174" fontId="51" fillId="0" borderId="136"/>
    <xf numFmtId="174" fontId="51" fillId="0" borderId="136"/>
    <xf numFmtId="0" fontId="21" fillId="22" borderId="134" applyNumberFormat="0" applyAlignment="0" applyProtection="0"/>
    <xf numFmtId="174" fontId="51" fillId="0" borderId="136"/>
    <xf numFmtId="0" fontId="23" fillId="0" borderId="135" applyNumberFormat="0" applyFill="0" applyAlignment="0" applyProtection="0"/>
    <xf numFmtId="171" fontId="51" fillId="0" borderId="136"/>
    <xf numFmtId="171" fontId="51" fillId="0" borderId="136"/>
    <xf numFmtId="174" fontId="51" fillId="0" borderId="136"/>
    <xf numFmtId="175" fontId="51" fillId="0" borderId="136"/>
    <xf numFmtId="0" fontId="18" fillId="9" borderId="132" applyNumberFormat="0" applyAlignment="0" applyProtection="0"/>
    <xf numFmtId="171" fontId="51" fillId="0" borderId="136"/>
    <xf numFmtId="0" fontId="21" fillId="22" borderId="134" applyNumberFormat="0" applyAlignment="0" applyProtection="0"/>
    <xf numFmtId="173" fontId="51" fillId="0" borderId="136"/>
    <xf numFmtId="171" fontId="51" fillId="0" borderId="136"/>
    <xf numFmtId="0" fontId="18" fillId="9" borderId="132" applyNumberFormat="0" applyAlignment="0" applyProtection="0"/>
    <xf numFmtId="176" fontId="51" fillId="0" borderId="136"/>
    <xf numFmtId="0" fontId="11" fillId="22" borderId="132" applyNumberFormat="0" applyAlignment="0" applyProtection="0"/>
    <xf numFmtId="171" fontId="51" fillId="0" borderId="136"/>
    <xf numFmtId="17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5" fontId="51" fillId="0" borderId="136"/>
    <xf numFmtId="179" fontId="51" fillId="0" borderId="136"/>
    <xf numFmtId="171" fontId="51" fillId="0" borderId="136"/>
    <xf numFmtId="171" fontId="51" fillId="0" borderId="136"/>
    <xf numFmtId="0" fontId="23" fillId="0" borderId="135" applyNumberFormat="0" applyFill="0" applyAlignment="0" applyProtection="0"/>
    <xf numFmtId="179" fontId="51" fillId="0" borderId="136"/>
    <xf numFmtId="171" fontId="51" fillId="0" borderId="136"/>
    <xf numFmtId="171" fontId="51" fillId="0" borderId="136"/>
    <xf numFmtId="179" fontId="51" fillId="0" borderId="136"/>
    <xf numFmtId="174" fontId="51" fillId="0" borderId="136"/>
    <xf numFmtId="174" fontId="51" fillId="0" borderId="136"/>
    <xf numFmtId="179" fontId="51" fillId="0" borderId="136"/>
    <xf numFmtId="179" fontId="51" fillId="0" borderId="136"/>
    <xf numFmtId="179" fontId="51" fillId="0" borderId="136"/>
    <xf numFmtId="171" fontId="51" fillId="0" borderId="136"/>
    <xf numFmtId="173" fontId="51" fillId="0" borderId="136"/>
    <xf numFmtId="171" fontId="51" fillId="0" borderId="136"/>
    <xf numFmtId="179" fontId="51" fillId="0" borderId="136"/>
    <xf numFmtId="0" fontId="18" fillId="9" borderId="132" applyNumberFormat="0" applyAlignment="0" applyProtection="0"/>
    <xf numFmtId="179" fontId="51" fillId="0" borderId="136"/>
    <xf numFmtId="179" fontId="51" fillId="0" borderId="136"/>
    <xf numFmtId="0" fontId="23" fillId="0" borderId="135" applyNumberFormat="0" applyFill="0" applyAlignment="0" applyProtection="0"/>
    <xf numFmtId="171" fontId="51" fillId="0" borderId="136"/>
    <xf numFmtId="0" fontId="8" fillId="25" borderId="133" applyNumberFormat="0" applyFont="0" applyAlignment="0" applyProtection="0"/>
    <xf numFmtId="0" fontId="18" fillId="9" borderId="132" applyNumberFormat="0" applyAlignment="0" applyProtection="0"/>
    <xf numFmtId="171" fontId="51" fillId="0" borderId="136"/>
    <xf numFmtId="179" fontId="51" fillId="0" borderId="136"/>
    <xf numFmtId="0" fontId="8" fillId="25" borderId="133" applyNumberFormat="0" applyFont="0" applyAlignment="0" applyProtection="0"/>
    <xf numFmtId="0" fontId="11" fillId="22" borderId="132" applyNumberFormat="0" applyAlignment="0" applyProtection="0"/>
    <xf numFmtId="171" fontId="51" fillId="0" borderId="136"/>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1" fontId="51" fillId="0" borderId="136"/>
    <xf numFmtId="180" fontId="51" fillId="0" borderId="136"/>
    <xf numFmtId="174" fontId="51" fillId="0" borderId="136"/>
    <xf numFmtId="174" fontId="51" fillId="0" borderId="136"/>
    <xf numFmtId="173" fontId="51" fillId="0" borderId="136"/>
    <xf numFmtId="179" fontId="51" fillId="0" borderId="136"/>
    <xf numFmtId="172" fontId="51" fillId="0" borderId="136"/>
    <xf numFmtId="0" fontId="21" fillId="22" borderId="134" applyNumberFormat="0" applyAlignment="0" applyProtection="0"/>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5" fontId="51" fillId="0" borderId="136"/>
    <xf numFmtId="174" fontId="51" fillId="0" borderId="136"/>
    <xf numFmtId="181" fontId="51" fillId="0" borderId="136"/>
    <xf numFmtId="0" fontId="23" fillId="0" borderId="135" applyNumberFormat="0" applyFill="0" applyAlignment="0" applyProtection="0"/>
    <xf numFmtId="176" fontId="51" fillId="0" borderId="136"/>
    <xf numFmtId="172" fontId="51" fillId="0" borderId="136"/>
    <xf numFmtId="179" fontId="51" fillId="0" borderId="136"/>
    <xf numFmtId="180" fontId="51" fillId="0" borderId="136"/>
    <xf numFmtId="181" fontId="51" fillId="0" borderId="136"/>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4" fontId="51" fillId="0" borderId="136"/>
    <xf numFmtId="174" fontId="51" fillId="0" borderId="136"/>
    <xf numFmtId="174" fontId="51" fillId="0" borderId="136"/>
    <xf numFmtId="171" fontId="51" fillId="0" borderId="136"/>
    <xf numFmtId="0" fontId="18" fillId="9" borderId="132" applyNumberFormat="0" applyAlignment="0" applyProtection="0"/>
    <xf numFmtId="174" fontId="51" fillId="0" borderId="136"/>
    <xf numFmtId="171" fontId="51" fillId="0" borderId="136"/>
    <xf numFmtId="179" fontId="51" fillId="0" borderId="136"/>
    <xf numFmtId="173" fontId="51" fillId="0" borderId="136"/>
    <xf numFmtId="173" fontId="51" fillId="0" borderId="136"/>
    <xf numFmtId="171" fontId="51" fillId="0" borderId="136"/>
    <xf numFmtId="173" fontId="51" fillId="0" borderId="136"/>
    <xf numFmtId="174" fontId="51" fillId="0" borderId="136"/>
    <xf numFmtId="176" fontId="51" fillId="0" borderId="136"/>
    <xf numFmtId="171" fontId="51" fillId="0" borderId="136"/>
    <xf numFmtId="0" fontId="11" fillId="22" borderId="132" applyNumberFormat="0" applyAlignment="0" applyProtection="0"/>
    <xf numFmtId="179" fontId="51" fillId="0" borderId="136"/>
    <xf numFmtId="179" fontId="51" fillId="0" borderId="136"/>
    <xf numFmtId="179" fontId="51" fillId="0" borderId="136"/>
    <xf numFmtId="171" fontId="51" fillId="0" borderId="136"/>
    <xf numFmtId="0" fontId="8" fillId="25" borderId="133" applyNumberFormat="0" applyFont="0" applyAlignment="0" applyProtection="0"/>
    <xf numFmtId="171" fontId="51" fillId="0" borderId="136"/>
    <xf numFmtId="180" fontId="51" fillId="0" borderId="136"/>
    <xf numFmtId="174" fontId="51" fillId="0" borderId="136"/>
    <xf numFmtId="175" fontId="51" fillId="0" borderId="136"/>
    <xf numFmtId="0" fontId="18" fillId="9" borderId="132" applyNumberFormat="0" applyAlignment="0" applyProtection="0"/>
    <xf numFmtId="171" fontId="51" fillId="0" borderId="136"/>
    <xf numFmtId="179" fontId="51" fillId="0" borderId="136"/>
    <xf numFmtId="174" fontId="51" fillId="0" borderId="136"/>
    <xf numFmtId="179" fontId="51" fillId="0" borderId="136"/>
    <xf numFmtId="171" fontId="51" fillId="0" borderId="136"/>
    <xf numFmtId="179" fontId="51" fillId="0" borderId="136"/>
    <xf numFmtId="174" fontId="51" fillId="0" borderId="136"/>
    <xf numFmtId="174" fontId="51" fillId="0" borderId="136"/>
    <xf numFmtId="171" fontId="51" fillId="0" borderId="136"/>
    <xf numFmtId="174" fontId="51" fillId="0" borderId="136"/>
    <xf numFmtId="175" fontId="51" fillId="0" borderId="136"/>
    <xf numFmtId="174" fontId="51" fillId="0" borderId="136"/>
    <xf numFmtId="179" fontId="51" fillId="0" borderId="136"/>
    <xf numFmtId="179" fontId="51" fillId="0" borderId="136"/>
    <xf numFmtId="171" fontId="51" fillId="0" borderId="136"/>
    <xf numFmtId="0" fontId="21" fillId="22" borderId="134" applyNumberFormat="0" applyAlignment="0" applyProtection="0"/>
    <xf numFmtId="172" fontId="51" fillId="0" borderId="136"/>
    <xf numFmtId="0" fontId="23" fillId="0" borderId="135" applyNumberFormat="0" applyFill="0" applyAlignment="0" applyProtection="0"/>
    <xf numFmtId="0" fontId="8" fillId="25" borderId="133" applyNumberFormat="0" applyFont="0" applyAlignment="0" applyProtection="0"/>
    <xf numFmtId="172" fontId="51" fillId="0" borderId="136"/>
    <xf numFmtId="175" fontId="51" fillId="0" borderId="136"/>
    <xf numFmtId="0" fontId="23" fillId="0" borderId="135" applyNumberFormat="0" applyFill="0" applyAlignment="0" applyProtection="0"/>
    <xf numFmtId="174" fontId="51" fillId="0" borderId="136"/>
    <xf numFmtId="0" fontId="21" fillId="22" borderId="134" applyNumberFormat="0" applyAlignment="0" applyProtection="0"/>
    <xf numFmtId="171" fontId="51" fillId="0" borderId="136"/>
    <xf numFmtId="181" fontId="51" fillId="0" borderId="136"/>
    <xf numFmtId="171" fontId="51" fillId="0" borderId="136"/>
    <xf numFmtId="179" fontId="51" fillId="0" borderId="136"/>
    <xf numFmtId="0" fontId="11" fillId="22" borderId="132" applyNumberFormat="0" applyAlignment="0" applyProtection="0"/>
    <xf numFmtId="174" fontId="51" fillId="0" borderId="136"/>
    <xf numFmtId="180" fontId="51" fillId="0" borderId="136"/>
    <xf numFmtId="174" fontId="51" fillId="0" borderId="136"/>
    <xf numFmtId="171" fontId="51" fillId="0" borderId="136"/>
    <xf numFmtId="174" fontId="51" fillId="0" borderId="136"/>
    <xf numFmtId="172" fontId="51" fillId="0" borderId="136"/>
    <xf numFmtId="179" fontId="51" fillId="0" borderId="136"/>
    <xf numFmtId="176" fontId="51" fillId="0" borderId="136"/>
    <xf numFmtId="174" fontId="51" fillId="0" borderId="136"/>
    <xf numFmtId="172" fontId="51" fillId="0" borderId="136"/>
    <xf numFmtId="171" fontId="51" fillId="0" borderId="136"/>
    <xf numFmtId="180" fontId="51" fillId="0" borderId="136"/>
    <xf numFmtId="181" fontId="51" fillId="0" borderId="136"/>
    <xf numFmtId="179" fontId="51" fillId="0" borderId="136"/>
    <xf numFmtId="179" fontId="51" fillId="0" borderId="136"/>
    <xf numFmtId="179" fontId="51" fillId="0" borderId="136"/>
    <xf numFmtId="171" fontId="51" fillId="0" borderId="136"/>
    <xf numFmtId="179"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81" fontId="51" fillId="0" borderId="136"/>
    <xf numFmtId="171" fontId="51" fillId="0" borderId="136"/>
    <xf numFmtId="174" fontId="51" fillId="0" borderId="136"/>
    <xf numFmtId="179" fontId="51" fillId="0" borderId="136"/>
    <xf numFmtId="171" fontId="51" fillId="0" borderId="136"/>
    <xf numFmtId="0" fontId="8" fillId="25" borderId="133" applyNumberFormat="0" applyFont="0" applyAlignment="0" applyProtection="0"/>
    <xf numFmtId="174" fontId="51" fillId="0" borderId="136"/>
    <xf numFmtId="176" fontId="51" fillId="0" borderId="136"/>
    <xf numFmtId="179" fontId="51" fillId="0" borderId="136"/>
    <xf numFmtId="171" fontId="51" fillId="0" borderId="136"/>
    <xf numFmtId="174"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9" fontId="51" fillId="0" borderId="136"/>
    <xf numFmtId="171" fontId="51" fillId="0" borderId="136"/>
    <xf numFmtId="179" fontId="51" fillId="0" borderId="136"/>
    <xf numFmtId="179" fontId="51" fillId="0" borderId="136"/>
    <xf numFmtId="174" fontId="51" fillId="0" borderId="136"/>
    <xf numFmtId="174" fontId="51" fillId="0" borderId="136"/>
    <xf numFmtId="171" fontId="51" fillId="0" borderId="136"/>
    <xf numFmtId="171" fontId="51" fillId="0" borderId="136"/>
    <xf numFmtId="171" fontId="51" fillId="0" borderId="136"/>
    <xf numFmtId="0" fontId="8" fillId="25" borderId="133" applyNumberFormat="0" applyFon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4" fontId="51" fillId="0" borderId="136"/>
    <xf numFmtId="0" fontId="23" fillId="0" borderId="135" applyNumberFormat="0" applyFill="0" applyAlignment="0" applyProtection="0"/>
    <xf numFmtId="0" fontId="18" fillId="9" borderId="132" applyNumberFormat="0" applyAlignment="0" applyProtection="0"/>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181" fontId="51" fillId="0" borderId="136"/>
    <xf numFmtId="180" fontId="51" fillId="0" borderId="136"/>
    <xf numFmtId="179" fontId="51" fillId="0" borderId="136"/>
    <xf numFmtId="171" fontId="51" fillId="0" borderId="136"/>
    <xf numFmtId="175" fontId="51" fillId="0" borderId="136"/>
    <xf numFmtId="176" fontId="51" fillId="0" borderId="136"/>
    <xf numFmtId="175" fontId="51" fillId="0" borderId="136"/>
    <xf numFmtId="174" fontId="51" fillId="0" borderId="136"/>
    <xf numFmtId="176" fontId="51" fillId="0" borderId="136"/>
    <xf numFmtId="180" fontId="51" fillId="0" borderId="136"/>
    <xf numFmtId="173" fontId="51" fillId="0" borderId="136"/>
    <xf numFmtId="0" fontId="11" fillId="22" borderId="132" applyNumberFormat="0" applyAlignment="0" applyProtection="0"/>
    <xf numFmtId="172" fontId="51" fillId="0" borderId="136"/>
    <xf numFmtId="179" fontId="51" fillId="0" borderId="136"/>
    <xf numFmtId="176" fontId="51" fillId="0" borderId="136"/>
    <xf numFmtId="174" fontId="51" fillId="0" borderId="136"/>
    <xf numFmtId="171" fontId="51" fillId="0" borderId="136"/>
    <xf numFmtId="0" fontId="21" fillId="22" borderId="134" applyNumberFormat="0" applyAlignment="0" applyProtection="0"/>
    <xf numFmtId="0" fontId="23" fillId="0" borderId="135" applyNumberFormat="0" applyFill="0" applyAlignment="0" applyProtection="0"/>
    <xf numFmtId="180" fontId="51" fillId="0" borderId="136"/>
    <xf numFmtId="175" fontId="51" fillId="0" borderId="136"/>
    <xf numFmtId="173" fontId="51" fillId="0" borderId="136"/>
    <xf numFmtId="172" fontId="51" fillId="0" borderId="136"/>
    <xf numFmtId="171" fontId="51" fillId="0" borderId="136"/>
    <xf numFmtId="181"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21" fillId="22" borderId="134" applyNumberFormat="0" applyAlignment="0" applyProtection="0"/>
    <xf numFmtId="0" fontId="11" fillId="22" borderId="132" applyNumberFormat="0" applyAlignment="0" applyProtection="0"/>
    <xf numFmtId="0" fontId="21" fillId="22" borderId="134" applyNumberFormat="0" applyAlignment="0" applyProtection="0"/>
    <xf numFmtId="0" fontId="21" fillId="22" borderId="134" applyNumberFormat="0" applyAlignment="0" applyProtection="0"/>
    <xf numFmtId="173"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0" fontId="23" fillId="0" borderId="135" applyNumberFormat="0" applyFill="0" applyAlignment="0" applyProtection="0"/>
    <xf numFmtId="171" fontId="51" fillId="0" borderId="136"/>
    <xf numFmtId="172" fontId="51" fillId="0" borderId="136"/>
    <xf numFmtId="0" fontId="21" fillId="22" borderId="134" applyNumberFormat="0" applyAlignment="0" applyProtection="0"/>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179" fontId="51" fillId="0" borderId="136"/>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21" fillId="22" borderId="134"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8" fillId="9" borderId="132" applyNumberFormat="0" applyAlignment="0" applyProtection="0"/>
    <xf numFmtId="174"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1" fontId="51" fillId="0" borderId="136"/>
    <xf numFmtId="179" fontId="51" fillId="0" borderId="136"/>
    <xf numFmtId="0" fontId="11" fillId="22" borderId="132" applyNumberFormat="0" applyAlignment="0" applyProtection="0"/>
    <xf numFmtId="175" fontId="51" fillId="0" borderId="136"/>
    <xf numFmtId="181" fontId="51" fillId="0" borderId="136"/>
    <xf numFmtId="171" fontId="51" fillId="0" borderId="136"/>
    <xf numFmtId="0" fontId="23" fillId="0" borderId="135" applyNumberFormat="0" applyFill="0" applyAlignment="0" applyProtection="0"/>
    <xf numFmtId="179" fontId="51" fillId="0" borderId="136"/>
    <xf numFmtId="174" fontId="51" fillId="0" borderId="136"/>
    <xf numFmtId="0" fontId="11" fillId="22" borderId="132" applyNumberFormat="0" applyAlignment="0" applyProtection="0"/>
    <xf numFmtId="171" fontId="51" fillId="0" borderId="136"/>
    <xf numFmtId="171" fontId="51" fillId="0" borderId="136"/>
    <xf numFmtId="0" fontId="18" fillId="9" borderId="132" applyNumberFormat="0" applyAlignment="0" applyProtection="0"/>
    <xf numFmtId="172" fontId="51" fillId="0" borderId="136"/>
    <xf numFmtId="171" fontId="51" fillId="0" borderId="136"/>
    <xf numFmtId="174" fontId="51" fillId="0" borderId="136"/>
    <xf numFmtId="171" fontId="51" fillId="0" borderId="136"/>
    <xf numFmtId="174" fontId="51" fillId="0" borderId="136"/>
    <xf numFmtId="175" fontId="51" fillId="0" borderId="136"/>
    <xf numFmtId="176" fontId="51" fillId="0" borderId="136"/>
    <xf numFmtId="0" fontId="8" fillId="25" borderId="133" applyNumberFormat="0" applyFont="0" applyAlignment="0" applyProtection="0"/>
    <xf numFmtId="174" fontId="51" fillId="0" borderId="136"/>
    <xf numFmtId="179" fontId="51" fillId="0" borderId="136"/>
    <xf numFmtId="171" fontId="51" fillId="0" borderId="136"/>
    <xf numFmtId="180" fontId="51" fillId="0" borderId="136"/>
    <xf numFmtId="181" fontId="51" fillId="0" borderId="136"/>
    <xf numFmtId="0" fontId="18" fillId="9" borderId="132" applyNumberFormat="0" applyAlignment="0" applyProtection="0"/>
    <xf numFmtId="179" fontId="51" fillId="0" borderId="136"/>
    <xf numFmtId="179" fontId="51" fillId="0" borderId="136"/>
    <xf numFmtId="174" fontId="51" fillId="0" borderId="136"/>
    <xf numFmtId="171" fontId="51" fillId="0" borderId="136"/>
    <xf numFmtId="175" fontId="51" fillId="0" borderId="136"/>
    <xf numFmtId="171" fontId="51" fillId="0" borderId="136"/>
    <xf numFmtId="171" fontId="51" fillId="0" borderId="136"/>
    <xf numFmtId="174" fontId="51" fillId="0" borderId="136"/>
    <xf numFmtId="174" fontId="51" fillId="0" borderId="136"/>
    <xf numFmtId="171" fontId="51" fillId="0" borderId="136"/>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8" fillId="25" borderId="133" applyNumberFormat="0" applyFont="0" applyAlignment="0" applyProtection="0"/>
    <xf numFmtId="173" fontId="51" fillId="0" borderId="136"/>
    <xf numFmtId="174" fontId="51" fillId="0" borderId="136"/>
    <xf numFmtId="179" fontId="51" fillId="0" borderId="136"/>
    <xf numFmtId="0" fontId="11" fillId="22" borderId="132" applyNumberFormat="0" applyAlignment="0" applyProtection="0"/>
    <xf numFmtId="173" fontId="51" fillId="0" borderId="136"/>
    <xf numFmtId="172" fontId="51" fillId="0" borderId="136"/>
    <xf numFmtId="0" fontId="21" fillId="22" borderId="134" applyNumberFormat="0" applyAlignment="0" applyProtection="0"/>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8" fillId="25" borderId="133" applyNumberFormat="0" applyFont="0" applyAlignment="0" applyProtection="0"/>
    <xf numFmtId="0" fontId="11" fillId="22" borderId="132" applyNumberFormat="0" applyAlignment="0" applyProtection="0"/>
    <xf numFmtId="173" fontId="51" fillId="0" borderId="136"/>
    <xf numFmtId="175" fontId="51" fillId="0" borderId="136"/>
    <xf numFmtId="176"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80" fontId="51" fillId="0" borderId="136"/>
    <xf numFmtId="174" fontId="51" fillId="0" borderId="136"/>
    <xf numFmtId="179" fontId="51" fillId="0" borderId="136"/>
    <xf numFmtId="174" fontId="51" fillId="0" borderId="136"/>
    <xf numFmtId="176" fontId="51" fillId="0" borderId="136"/>
    <xf numFmtId="172" fontId="51" fillId="0" borderId="136"/>
    <xf numFmtId="180" fontId="51" fillId="0" borderId="136"/>
    <xf numFmtId="181" fontId="51" fillId="0" borderId="136"/>
    <xf numFmtId="0" fontId="21" fillId="22" borderId="134"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174" fontId="51" fillId="0" borderId="136"/>
    <xf numFmtId="179" fontId="51" fillId="0" borderId="136"/>
    <xf numFmtId="174" fontId="51" fillId="0" borderId="136"/>
    <xf numFmtId="171" fontId="51" fillId="0" borderId="136"/>
    <xf numFmtId="179" fontId="51" fillId="0" borderId="136"/>
    <xf numFmtId="174" fontId="51" fillId="0" borderId="136"/>
    <xf numFmtId="179" fontId="51" fillId="0" borderId="136"/>
    <xf numFmtId="171" fontId="51" fillId="0" borderId="136"/>
    <xf numFmtId="171" fontId="51" fillId="0" borderId="136"/>
    <xf numFmtId="179"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6" fontId="51" fillId="0" borderId="136"/>
    <xf numFmtId="0" fontId="11" fillId="22" borderId="132" applyNumberFormat="0" applyAlignment="0" applyProtection="0"/>
    <xf numFmtId="180" fontId="51" fillId="0" borderId="136"/>
    <xf numFmtId="179" fontId="51" fillId="0" borderId="136"/>
    <xf numFmtId="171" fontId="51" fillId="0" borderId="136"/>
    <xf numFmtId="171" fontId="51" fillId="0" borderId="136"/>
    <xf numFmtId="174" fontId="51" fillId="0" borderId="136"/>
    <xf numFmtId="174" fontId="51" fillId="0" borderId="136"/>
    <xf numFmtId="171" fontId="51" fillId="0" borderId="136"/>
    <xf numFmtId="0" fontId="23" fillId="0" borderId="135" applyNumberFormat="0" applyFill="0" applyAlignment="0" applyProtection="0"/>
    <xf numFmtId="174" fontId="51" fillId="0" borderId="136"/>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176" fontId="51" fillId="0" borderId="136"/>
    <xf numFmtId="179" fontId="51" fillId="0" borderId="136"/>
    <xf numFmtId="0" fontId="11" fillId="22" borderId="132" applyNumberFormat="0" applyAlignment="0" applyProtection="0"/>
    <xf numFmtId="0" fontId="18" fillId="9" borderId="132" applyNumberFormat="0" applyAlignment="0" applyProtection="0"/>
    <xf numFmtId="174" fontId="51" fillId="0" borderId="136"/>
    <xf numFmtId="171" fontId="51" fillId="0" borderId="136"/>
    <xf numFmtId="179" fontId="51" fillId="0" borderId="136"/>
    <xf numFmtId="174" fontId="51" fillId="0" borderId="136"/>
    <xf numFmtId="171" fontId="51" fillId="0" borderId="136"/>
    <xf numFmtId="172" fontId="51" fillId="0" borderId="136"/>
    <xf numFmtId="171" fontId="51" fillId="0" borderId="136"/>
    <xf numFmtId="174" fontId="51" fillId="0" borderId="136"/>
    <xf numFmtId="179" fontId="51" fillId="0" borderId="136"/>
    <xf numFmtId="171" fontId="51" fillId="0" borderId="136"/>
    <xf numFmtId="179" fontId="51" fillId="0" borderId="136"/>
    <xf numFmtId="0" fontId="11" fillId="22" borderId="132" applyNumberFormat="0" applyAlignment="0" applyProtection="0"/>
    <xf numFmtId="181" fontId="51" fillId="0" borderId="136"/>
    <xf numFmtId="175" fontId="51" fillId="0" borderId="136"/>
    <xf numFmtId="179"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179" fontId="51" fillId="0" borderId="136"/>
    <xf numFmtId="179" fontId="51" fillId="0" borderId="136"/>
    <xf numFmtId="174" fontId="51" fillId="0" borderId="136"/>
    <xf numFmtId="173" fontId="51" fillId="0" borderId="136"/>
    <xf numFmtId="0" fontId="8" fillId="25" borderId="133" applyNumberFormat="0" applyFont="0" applyAlignment="0" applyProtection="0"/>
    <xf numFmtId="174"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179"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174"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54" fillId="46" borderId="137">
      <protection locked="0"/>
    </xf>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54" fillId="46" borderId="137">
      <protection locked="0"/>
    </xf>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79" fontId="51" fillId="0" borderId="136"/>
    <xf numFmtId="179" fontId="51" fillId="0" borderId="136"/>
    <xf numFmtId="180" fontId="51" fillId="0" borderId="136"/>
    <xf numFmtId="171" fontId="51" fillId="0" borderId="136"/>
    <xf numFmtId="174" fontId="51" fillId="0" borderId="136"/>
    <xf numFmtId="174" fontId="51" fillId="0" borderId="136"/>
    <xf numFmtId="176" fontId="51" fillId="0" borderId="136"/>
    <xf numFmtId="171"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8" fillId="25" borderId="133" applyNumberFormat="0" applyFont="0" applyAlignment="0" applyProtection="0"/>
    <xf numFmtId="175" fontId="51" fillId="0" borderId="136"/>
    <xf numFmtId="179" fontId="51" fillId="0" borderId="136"/>
    <xf numFmtId="171" fontId="51" fillId="0" borderId="136"/>
    <xf numFmtId="172" fontId="51" fillId="0" borderId="136"/>
    <xf numFmtId="173" fontId="51" fillId="0" borderId="136"/>
    <xf numFmtId="0" fontId="8" fillId="25" borderId="133" applyNumberFormat="0" applyFont="0" applyAlignment="0" applyProtection="0"/>
    <xf numFmtId="174" fontId="51" fillId="0" borderId="136"/>
    <xf numFmtId="175" fontId="51" fillId="0" borderId="136"/>
    <xf numFmtId="176" fontId="51" fillId="0" borderId="136"/>
    <xf numFmtId="175" fontId="51" fillId="0" borderId="136"/>
    <xf numFmtId="179" fontId="51" fillId="0" borderId="136"/>
    <xf numFmtId="180" fontId="51" fillId="0" borderId="136"/>
    <xf numFmtId="181" fontId="51" fillId="0" borderId="136"/>
    <xf numFmtId="174" fontId="51" fillId="0" borderId="136"/>
    <xf numFmtId="174" fontId="51" fillId="0" borderId="136"/>
    <xf numFmtId="171" fontId="51" fillId="0" borderId="136"/>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181" fontId="51" fillId="0" borderId="136"/>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3" fontId="51" fillId="0" borderId="136"/>
    <xf numFmtId="0" fontId="18" fillId="9" borderId="132" applyNumberFormat="0" applyAlignment="0" applyProtection="0"/>
    <xf numFmtId="0" fontId="11" fillId="22" borderId="132" applyNumberFormat="0" applyAlignment="0" applyProtection="0"/>
    <xf numFmtId="174" fontId="51" fillId="0" borderId="136"/>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2" fontId="51" fillId="0" borderId="136"/>
    <xf numFmtId="173" fontId="51" fillId="0" borderId="136"/>
    <xf numFmtId="0" fontId="18" fillId="9" borderId="132" applyNumberFormat="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6" fontId="51" fillId="0" borderId="136"/>
    <xf numFmtId="171" fontId="51" fillId="0" borderId="136"/>
    <xf numFmtId="172" fontId="51" fillId="0" borderId="136"/>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4" fontId="51" fillId="0" borderId="136"/>
    <xf numFmtId="179"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171" fontId="51" fillId="0" borderId="136"/>
    <xf numFmtId="179" fontId="51" fillId="0" borderId="136"/>
    <xf numFmtId="174" fontId="51" fillId="0" borderId="136"/>
    <xf numFmtId="174" fontId="51" fillId="0" borderId="136"/>
    <xf numFmtId="179" fontId="51" fillId="0" borderId="136"/>
    <xf numFmtId="171"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171" fontId="51" fillId="0" borderId="136"/>
    <xf numFmtId="181" fontId="51" fillId="0" borderId="136"/>
    <xf numFmtId="174" fontId="51" fillId="0" borderId="136"/>
    <xf numFmtId="176" fontId="51" fillId="0" borderId="136"/>
    <xf numFmtId="173" fontId="51" fillId="0" borderId="136"/>
    <xf numFmtId="172" fontId="51" fillId="0" borderId="136"/>
    <xf numFmtId="179"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179" fontId="51" fillId="0" borderId="136"/>
    <xf numFmtId="180"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54" fillId="46" borderId="137">
      <protection locked="0"/>
    </xf>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1" fontId="51" fillId="0" borderId="136"/>
    <xf numFmtId="174" fontId="51" fillId="0" borderId="136"/>
    <xf numFmtId="174" fontId="51" fillId="0" borderId="136"/>
    <xf numFmtId="0" fontId="21" fillId="22" borderId="134" applyNumberFormat="0" applyAlignment="0" applyProtection="0"/>
    <xf numFmtId="179" fontId="51" fillId="0" borderId="136"/>
    <xf numFmtId="174" fontId="51" fillId="0" borderId="136"/>
    <xf numFmtId="0" fontId="21" fillId="22" borderId="134" applyNumberFormat="0" applyAlignment="0" applyProtection="0"/>
    <xf numFmtId="0" fontId="8" fillId="25" borderId="133" applyNumberFormat="0" applyFont="0" applyAlignment="0" applyProtection="0"/>
    <xf numFmtId="171" fontId="51" fillId="0" borderId="136"/>
    <xf numFmtId="0" fontId="8" fillId="25" borderId="133" applyNumberFormat="0" applyFont="0" applyAlignment="0" applyProtection="0"/>
    <xf numFmtId="173" fontId="51" fillId="0" borderId="136"/>
    <xf numFmtId="0" fontId="23" fillId="0" borderId="135" applyNumberFormat="0" applyFill="0" applyAlignment="0" applyProtection="0"/>
    <xf numFmtId="175" fontId="51" fillId="0" borderId="136"/>
    <xf numFmtId="174" fontId="51" fillId="0" borderId="136"/>
    <xf numFmtId="0" fontId="23" fillId="0" borderId="135" applyNumberFormat="0" applyFill="0" applyAlignment="0" applyProtection="0"/>
    <xf numFmtId="181" fontId="51" fillId="0" borderId="136"/>
    <xf numFmtId="174" fontId="51" fillId="0" borderId="136"/>
    <xf numFmtId="174" fontId="51" fillId="0" borderId="136"/>
    <xf numFmtId="0" fontId="18" fillId="9" borderId="132" applyNumberFormat="0" applyAlignment="0" applyProtection="0"/>
    <xf numFmtId="0" fontId="21" fillId="22" borderId="134" applyNumberFormat="0" applyAlignment="0" applyProtection="0"/>
    <xf numFmtId="171" fontId="51" fillId="0" borderId="136"/>
    <xf numFmtId="0" fontId="8" fillId="25" borderId="133" applyNumberFormat="0" applyFont="0" applyAlignment="0" applyProtection="0"/>
    <xf numFmtId="172" fontId="51" fillId="0" borderId="136"/>
    <xf numFmtId="176" fontId="51" fillId="0" borderId="136"/>
    <xf numFmtId="0" fontId="23" fillId="0" borderId="135" applyNumberFormat="0" applyFill="0" applyAlignment="0" applyProtection="0"/>
    <xf numFmtId="0" fontId="8" fillId="25" borderId="133" applyNumberFormat="0" applyFont="0" applyAlignment="0" applyProtection="0"/>
    <xf numFmtId="175" fontId="51" fillId="0" borderId="136"/>
    <xf numFmtId="171" fontId="51" fillId="0" borderId="136"/>
    <xf numFmtId="179" fontId="51" fillId="0" borderId="136"/>
    <xf numFmtId="0" fontId="18" fillId="9" borderId="132" applyNumberFormat="0" applyAlignment="0" applyProtection="0"/>
    <xf numFmtId="171" fontId="51" fillId="0" borderId="136"/>
    <xf numFmtId="0" fontId="21" fillId="22" borderId="134" applyNumberFormat="0" applyAlignment="0" applyProtection="0"/>
    <xf numFmtId="179" fontId="51" fillId="0" borderId="136"/>
    <xf numFmtId="171" fontId="51" fillId="0" borderId="136"/>
    <xf numFmtId="179" fontId="51" fillId="0" borderId="136"/>
    <xf numFmtId="174" fontId="51" fillId="0" borderId="136"/>
    <xf numFmtId="172" fontId="51" fillId="0" borderId="136"/>
    <xf numFmtId="171" fontId="51" fillId="0" borderId="136"/>
    <xf numFmtId="174" fontId="51" fillId="0" borderId="136"/>
    <xf numFmtId="173" fontId="51" fillId="0" borderId="136"/>
    <xf numFmtId="180" fontId="51" fillId="0" borderId="136"/>
    <xf numFmtId="179" fontId="51" fillId="0" borderId="136"/>
    <xf numFmtId="174" fontId="51" fillId="0" borderId="136"/>
    <xf numFmtId="171" fontId="51" fillId="0" borderId="136"/>
    <xf numFmtId="179" fontId="51" fillId="0" borderId="136"/>
    <xf numFmtId="174" fontId="51" fillId="0" borderId="136"/>
    <xf numFmtId="171" fontId="51" fillId="0" borderId="136"/>
    <xf numFmtId="179" fontId="51" fillId="0" borderId="136"/>
    <xf numFmtId="179" fontId="51" fillId="0" borderId="136"/>
    <xf numFmtId="180" fontId="51" fillId="0" borderId="136"/>
    <xf numFmtId="176" fontId="51" fillId="0" borderId="136"/>
    <xf numFmtId="171" fontId="51" fillId="0" borderId="136"/>
    <xf numFmtId="0" fontId="23" fillId="0" borderId="135" applyNumberFormat="0" applyFill="0" applyAlignment="0" applyProtection="0"/>
    <xf numFmtId="0" fontId="11" fillId="22" borderId="132" applyNumberFormat="0" applyAlignment="0" applyProtection="0"/>
    <xf numFmtId="171" fontId="51" fillId="0" borderId="136"/>
    <xf numFmtId="173" fontId="51" fillId="0" borderId="136"/>
    <xf numFmtId="171" fontId="51" fillId="0" borderId="136"/>
    <xf numFmtId="174" fontId="51" fillId="0" borderId="136"/>
    <xf numFmtId="179" fontId="51" fillId="0" borderId="136"/>
    <xf numFmtId="171" fontId="51" fillId="0" borderId="136"/>
    <xf numFmtId="0" fontId="18" fillId="9" borderId="132" applyNumberFormat="0" applyAlignment="0" applyProtection="0"/>
    <xf numFmtId="173" fontId="51" fillId="0" borderId="136"/>
    <xf numFmtId="0" fontId="11" fillId="22" borderId="132" applyNumberFormat="0" applyAlignment="0" applyProtection="0"/>
    <xf numFmtId="181" fontId="51" fillId="0" borderId="136"/>
    <xf numFmtId="171" fontId="51" fillId="0" borderId="136"/>
    <xf numFmtId="172" fontId="51" fillId="0" borderId="136"/>
    <xf numFmtId="174" fontId="51" fillId="0" borderId="136"/>
    <xf numFmtId="175" fontId="51" fillId="0" borderId="136"/>
    <xf numFmtId="174" fontId="51" fillId="0" borderId="136"/>
    <xf numFmtId="174" fontId="51" fillId="0" borderId="136"/>
    <xf numFmtId="0" fontId="11" fillId="22" borderId="132" applyNumberFormat="0" applyAlignment="0" applyProtection="0"/>
    <xf numFmtId="171" fontId="51" fillId="0" borderId="136"/>
    <xf numFmtId="174" fontId="51" fillId="0" borderId="136"/>
    <xf numFmtId="181" fontId="51" fillId="0" borderId="136"/>
    <xf numFmtId="171" fontId="51" fillId="0" borderId="136"/>
    <xf numFmtId="174" fontId="51" fillId="0" borderId="136"/>
    <xf numFmtId="176" fontId="51" fillId="0" borderId="136"/>
    <xf numFmtId="172" fontId="51" fillId="0" borderId="136"/>
    <xf numFmtId="180" fontId="51" fillId="0" borderId="136"/>
    <xf numFmtId="181" fontId="51" fillId="0" borderId="136"/>
    <xf numFmtId="179" fontId="51" fillId="0" borderId="136"/>
    <xf numFmtId="0" fontId="8" fillId="25" borderId="133" applyNumberFormat="0" applyFont="0" applyAlignment="0" applyProtection="0"/>
    <xf numFmtId="171" fontId="51" fillId="0" borderId="136"/>
    <xf numFmtId="179" fontId="51" fillId="0" borderId="136"/>
    <xf numFmtId="179" fontId="51" fillId="0" borderId="136"/>
    <xf numFmtId="0" fontId="8" fillId="25" borderId="133" applyNumberFormat="0" applyFont="0" applyAlignment="0" applyProtection="0"/>
    <xf numFmtId="179" fontId="51" fillId="0" borderId="136"/>
    <xf numFmtId="176" fontId="51" fillId="0" borderId="136"/>
    <xf numFmtId="171" fontId="51" fillId="0" borderId="136"/>
    <xf numFmtId="0" fontId="11" fillId="22" borderId="132" applyNumberFormat="0" applyAlignment="0" applyProtection="0"/>
    <xf numFmtId="174" fontId="51" fillId="0" borderId="136"/>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0" fontId="21" fillId="22" borderId="134" applyNumberFormat="0" applyAlignment="0" applyProtection="0"/>
    <xf numFmtId="174" fontId="51" fillId="0" borderId="136"/>
    <xf numFmtId="174" fontId="51" fillId="0" borderId="136"/>
    <xf numFmtId="172" fontId="51" fillId="0" borderId="136"/>
    <xf numFmtId="174" fontId="51" fillId="0" borderId="136"/>
    <xf numFmtId="179" fontId="51" fillId="0" borderId="136"/>
    <xf numFmtId="179" fontId="51" fillId="0" borderId="136"/>
    <xf numFmtId="171" fontId="51" fillId="0" borderId="136"/>
    <xf numFmtId="174" fontId="51" fillId="0" borderId="136"/>
    <xf numFmtId="179" fontId="51" fillId="0" borderId="136"/>
    <xf numFmtId="171" fontId="51" fillId="0" borderId="136"/>
    <xf numFmtId="173" fontId="51" fillId="0" borderId="136"/>
    <xf numFmtId="179" fontId="51" fillId="0" borderId="136"/>
    <xf numFmtId="0" fontId="23" fillId="0" borderId="135" applyNumberFormat="0" applyFill="0" applyAlignment="0" applyProtection="0"/>
    <xf numFmtId="174" fontId="51" fillId="0" borderId="136"/>
    <xf numFmtId="174" fontId="51" fillId="0" borderId="136"/>
    <xf numFmtId="179" fontId="51" fillId="0" borderId="136"/>
    <xf numFmtId="171" fontId="51" fillId="0" borderId="136"/>
    <xf numFmtId="0" fontId="18" fillId="9" borderId="132" applyNumberFormat="0" applyAlignment="0" applyProtection="0"/>
    <xf numFmtId="176" fontId="51" fillId="0" borderId="136"/>
    <xf numFmtId="175" fontId="51" fillId="0" borderId="136"/>
    <xf numFmtId="180" fontId="51" fillId="0" borderId="136"/>
    <xf numFmtId="175" fontId="51" fillId="0" borderId="136"/>
    <xf numFmtId="180" fontId="51" fillId="0" borderId="136"/>
    <xf numFmtId="172" fontId="51" fillId="0" borderId="136"/>
    <xf numFmtId="180" fontId="51" fillId="0" borderId="136"/>
    <xf numFmtId="181" fontId="51" fillId="0" borderId="136"/>
    <xf numFmtId="174" fontId="51" fillId="0" borderId="136"/>
    <xf numFmtId="181" fontId="51" fillId="0" borderId="136"/>
    <xf numFmtId="175" fontId="51" fillId="0" borderId="136"/>
    <xf numFmtId="176" fontId="51" fillId="0" borderId="136"/>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9" fontId="51" fillId="0" borderId="136"/>
    <xf numFmtId="171" fontId="51" fillId="0" borderId="136"/>
    <xf numFmtId="174" fontId="51" fillId="0" borderId="136"/>
    <xf numFmtId="179" fontId="51" fillId="0" borderId="136"/>
    <xf numFmtId="179" fontId="51" fillId="0" borderId="136"/>
    <xf numFmtId="179" fontId="51" fillId="0" borderId="136"/>
    <xf numFmtId="174" fontId="51" fillId="0" borderId="136"/>
    <xf numFmtId="179" fontId="51" fillId="0" borderId="136"/>
    <xf numFmtId="179" fontId="51" fillId="0" borderId="136"/>
    <xf numFmtId="174" fontId="51" fillId="0" borderId="136"/>
    <xf numFmtId="174" fontId="51" fillId="0" borderId="136"/>
    <xf numFmtId="0" fontId="21" fillId="22" borderId="134" applyNumberFormat="0" applyAlignment="0" applyProtection="0"/>
    <xf numFmtId="174" fontId="51" fillId="0" borderId="136"/>
    <xf numFmtId="0" fontId="23" fillId="0" borderId="135" applyNumberFormat="0" applyFill="0" applyAlignment="0" applyProtection="0"/>
    <xf numFmtId="171" fontId="51" fillId="0" borderId="136"/>
    <xf numFmtId="171" fontId="51" fillId="0" borderId="136"/>
    <xf numFmtId="174" fontId="51" fillId="0" borderId="136"/>
    <xf numFmtId="175" fontId="51" fillId="0" borderId="136"/>
    <xf numFmtId="0" fontId="18" fillId="9" borderId="132" applyNumberFormat="0" applyAlignment="0" applyProtection="0"/>
    <xf numFmtId="171" fontId="51" fillId="0" borderId="136"/>
    <xf numFmtId="0" fontId="21" fillId="22" borderId="134" applyNumberFormat="0" applyAlignment="0" applyProtection="0"/>
    <xf numFmtId="173" fontId="51" fillId="0" borderId="136"/>
    <xf numFmtId="171" fontId="51" fillId="0" borderId="136"/>
    <xf numFmtId="0" fontId="18" fillId="9" borderId="132" applyNumberFormat="0" applyAlignment="0" applyProtection="0"/>
    <xf numFmtId="176" fontId="51" fillId="0" borderId="136"/>
    <xf numFmtId="0" fontId="11" fillId="22" borderId="132" applyNumberFormat="0" applyAlignment="0" applyProtection="0"/>
    <xf numFmtId="171" fontId="51" fillId="0" borderId="136"/>
    <xf numFmtId="17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5" fontId="51" fillId="0" borderId="136"/>
    <xf numFmtId="179" fontId="51" fillId="0" borderId="136"/>
    <xf numFmtId="171" fontId="51" fillId="0" borderId="136"/>
    <xf numFmtId="171" fontId="51" fillId="0" borderId="136"/>
    <xf numFmtId="0" fontId="23" fillId="0" borderId="135" applyNumberFormat="0" applyFill="0" applyAlignment="0" applyProtection="0"/>
    <xf numFmtId="179" fontId="51" fillId="0" borderId="136"/>
    <xf numFmtId="171" fontId="51" fillId="0" borderId="136"/>
    <xf numFmtId="171" fontId="51" fillId="0" borderId="136"/>
    <xf numFmtId="179" fontId="51" fillId="0" borderId="136"/>
    <xf numFmtId="174" fontId="51" fillId="0" borderId="136"/>
    <xf numFmtId="174" fontId="51" fillId="0" borderId="136"/>
    <xf numFmtId="179" fontId="51" fillId="0" borderId="136"/>
    <xf numFmtId="179" fontId="51" fillId="0" borderId="136"/>
    <xf numFmtId="179" fontId="51" fillId="0" borderId="136"/>
    <xf numFmtId="171" fontId="51" fillId="0" borderId="136"/>
    <xf numFmtId="173" fontId="51" fillId="0" borderId="136"/>
    <xf numFmtId="171" fontId="51" fillId="0" borderId="136"/>
    <xf numFmtId="179" fontId="51" fillId="0" borderId="136"/>
    <xf numFmtId="0" fontId="18" fillId="9" borderId="132" applyNumberFormat="0" applyAlignment="0" applyProtection="0"/>
    <xf numFmtId="179" fontId="51" fillId="0" borderId="136"/>
    <xf numFmtId="179" fontId="51" fillId="0" borderId="136"/>
    <xf numFmtId="0" fontId="23" fillId="0" borderId="135" applyNumberFormat="0" applyFill="0" applyAlignment="0" applyProtection="0"/>
    <xf numFmtId="171" fontId="51" fillId="0" borderId="136"/>
    <xf numFmtId="0" fontId="8" fillId="25" borderId="133" applyNumberFormat="0" applyFont="0" applyAlignment="0" applyProtection="0"/>
    <xf numFmtId="0" fontId="18" fillId="9" borderId="132" applyNumberFormat="0" applyAlignment="0" applyProtection="0"/>
    <xf numFmtId="171" fontId="51" fillId="0" borderId="136"/>
    <xf numFmtId="179" fontId="51" fillId="0" borderId="136"/>
    <xf numFmtId="0" fontId="8" fillId="25" borderId="133" applyNumberFormat="0" applyFont="0" applyAlignment="0" applyProtection="0"/>
    <xf numFmtId="0" fontId="11" fillId="22" borderId="132" applyNumberFormat="0" applyAlignment="0" applyProtection="0"/>
    <xf numFmtId="171" fontId="51" fillId="0" borderId="136"/>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1" fontId="51" fillId="0" borderId="136"/>
    <xf numFmtId="180" fontId="51" fillId="0" borderId="136"/>
    <xf numFmtId="174" fontId="51" fillId="0" borderId="136"/>
    <xf numFmtId="174" fontId="51" fillId="0" borderId="136"/>
    <xf numFmtId="173" fontId="51" fillId="0" borderId="136"/>
    <xf numFmtId="179" fontId="51" fillId="0" borderId="136"/>
    <xf numFmtId="172" fontId="51" fillId="0" borderId="136"/>
    <xf numFmtId="0" fontId="21" fillId="22" borderId="134" applyNumberFormat="0" applyAlignment="0" applyProtection="0"/>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5" fontId="51" fillId="0" borderId="136"/>
    <xf numFmtId="174" fontId="51" fillId="0" borderId="136"/>
    <xf numFmtId="181" fontId="51" fillId="0" borderId="136"/>
    <xf numFmtId="171" fontId="51" fillId="0" borderId="136"/>
    <xf numFmtId="176" fontId="51" fillId="0" borderId="136"/>
    <xf numFmtId="172" fontId="51" fillId="0" borderId="136"/>
    <xf numFmtId="179" fontId="51" fillId="0" borderId="136"/>
    <xf numFmtId="180" fontId="51" fillId="0" borderId="136"/>
    <xf numFmtId="181" fontId="51" fillId="0" borderId="136"/>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4" fontId="51" fillId="0" borderId="136"/>
    <xf numFmtId="174" fontId="51" fillId="0" borderId="136"/>
    <xf numFmtId="174" fontId="51" fillId="0" borderId="136"/>
    <xf numFmtId="171" fontId="51" fillId="0" borderId="136"/>
    <xf numFmtId="0" fontId="18" fillId="9" borderId="132" applyNumberFormat="0" applyAlignment="0" applyProtection="0"/>
    <xf numFmtId="174" fontId="51" fillId="0" borderId="136"/>
    <xf numFmtId="171" fontId="51" fillId="0" borderId="136"/>
    <xf numFmtId="179" fontId="51" fillId="0" borderId="136"/>
    <xf numFmtId="173" fontId="51" fillId="0" borderId="136"/>
    <xf numFmtId="173" fontId="51" fillId="0" borderId="136"/>
    <xf numFmtId="171" fontId="51" fillId="0" borderId="136"/>
    <xf numFmtId="173" fontId="51" fillId="0" borderId="136"/>
    <xf numFmtId="174" fontId="51" fillId="0" borderId="136"/>
    <xf numFmtId="176" fontId="51" fillId="0" borderId="136"/>
    <xf numFmtId="171" fontId="51" fillId="0" borderId="136"/>
    <xf numFmtId="0" fontId="11" fillId="22" borderId="132" applyNumberFormat="0" applyAlignment="0" applyProtection="0"/>
    <xf numFmtId="179" fontId="51" fillId="0" borderId="136"/>
    <xf numFmtId="179" fontId="51" fillId="0" borderId="136"/>
    <xf numFmtId="179" fontId="51" fillId="0" borderId="136"/>
    <xf numFmtId="171" fontId="51" fillId="0" borderId="136"/>
    <xf numFmtId="0" fontId="8" fillId="25" borderId="133" applyNumberFormat="0" applyFont="0" applyAlignment="0" applyProtection="0"/>
    <xf numFmtId="171" fontId="51" fillId="0" borderId="136"/>
    <xf numFmtId="180" fontId="51" fillId="0" borderId="136"/>
    <xf numFmtId="174" fontId="51" fillId="0" borderId="136"/>
    <xf numFmtId="175" fontId="51" fillId="0" borderId="136"/>
    <xf numFmtId="0" fontId="18" fillId="9" borderId="132" applyNumberFormat="0" applyAlignment="0" applyProtection="0"/>
    <xf numFmtId="171" fontId="51" fillId="0" borderId="136"/>
    <xf numFmtId="179" fontId="51" fillId="0" borderId="136"/>
    <xf numFmtId="174" fontId="51" fillId="0" borderId="136"/>
    <xf numFmtId="179" fontId="51" fillId="0" borderId="136"/>
    <xf numFmtId="171" fontId="51" fillId="0" borderId="136"/>
    <xf numFmtId="179" fontId="51" fillId="0" borderId="136"/>
    <xf numFmtId="174" fontId="51" fillId="0" borderId="136"/>
    <xf numFmtId="174" fontId="51" fillId="0" borderId="136"/>
    <xf numFmtId="171" fontId="51" fillId="0" borderId="136"/>
    <xf numFmtId="174" fontId="51" fillId="0" borderId="136"/>
    <xf numFmtId="175" fontId="51" fillId="0" borderId="136"/>
    <xf numFmtId="174" fontId="51" fillId="0" borderId="136"/>
    <xf numFmtId="179" fontId="51" fillId="0" borderId="136"/>
    <xf numFmtId="179" fontId="51" fillId="0" borderId="136"/>
    <xf numFmtId="171" fontId="51" fillId="0" borderId="136"/>
    <xf numFmtId="0" fontId="21" fillId="22" borderId="134" applyNumberFormat="0" applyAlignment="0" applyProtection="0"/>
    <xf numFmtId="172" fontId="51" fillId="0" borderId="136"/>
    <xf numFmtId="0" fontId="23" fillId="0" borderId="135" applyNumberFormat="0" applyFill="0" applyAlignment="0" applyProtection="0"/>
    <xf numFmtId="0" fontId="8" fillId="25" borderId="133" applyNumberFormat="0" applyFont="0" applyAlignment="0" applyProtection="0"/>
    <xf numFmtId="0" fontId="11" fillId="22" borderId="132" applyNumberFormat="0" applyAlignment="0" applyProtection="0"/>
    <xf numFmtId="175" fontId="51" fillId="0" borderId="136"/>
    <xf numFmtId="0" fontId="23" fillId="0" borderId="135" applyNumberFormat="0" applyFill="0" applyAlignment="0" applyProtection="0"/>
    <xf numFmtId="174" fontId="51" fillId="0" borderId="136"/>
    <xf numFmtId="0" fontId="21" fillId="22" borderId="134" applyNumberFormat="0" applyAlignment="0" applyProtection="0"/>
    <xf numFmtId="171" fontId="51" fillId="0" borderId="136"/>
    <xf numFmtId="181" fontId="51" fillId="0" borderId="136"/>
    <xf numFmtId="171" fontId="51" fillId="0" borderId="136"/>
    <xf numFmtId="179" fontId="51" fillId="0" borderId="136"/>
    <xf numFmtId="0" fontId="11" fillId="22" borderId="132" applyNumberFormat="0" applyAlignment="0" applyProtection="0"/>
    <xf numFmtId="174" fontId="51" fillId="0" borderId="136"/>
    <xf numFmtId="180" fontId="51" fillId="0" borderId="136"/>
    <xf numFmtId="174" fontId="51" fillId="0" borderId="136"/>
    <xf numFmtId="171" fontId="51" fillId="0" borderId="136"/>
    <xf numFmtId="174" fontId="51" fillId="0" borderId="136"/>
    <xf numFmtId="172" fontId="51" fillId="0" borderId="136"/>
    <xf numFmtId="179" fontId="51" fillId="0" borderId="136"/>
    <xf numFmtId="176" fontId="51" fillId="0" borderId="136"/>
    <xf numFmtId="174" fontId="51" fillId="0" borderId="136"/>
    <xf numFmtId="172" fontId="51" fillId="0" borderId="136"/>
    <xf numFmtId="171" fontId="51" fillId="0" borderId="136"/>
    <xf numFmtId="180" fontId="51" fillId="0" borderId="136"/>
    <xf numFmtId="181" fontId="51" fillId="0" borderId="136"/>
    <xf numFmtId="179" fontId="51" fillId="0" borderId="136"/>
    <xf numFmtId="179" fontId="51" fillId="0" borderId="136"/>
    <xf numFmtId="179" fontId="51" fillId="0" borderId="136"/>
    <xf numFmtId="171" fontId="51" fillId="0" borderId="136"/>
    <xf numFmtId="179"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81" fontId="51" fillId="0" borderId="136"/>
    <xf numFmtId="171" fontId="51" fillId="0" borderId="136"/>
    <xf numFmtId="174" fontId="51" fillId="0" borderId="136"/>
    <xf numFmtId="179" fontId="51" fillId="0" borderId="136"/>
    <xf numFmtId="171" fontId="51" fillId="0" borderId="136"/>
    <xf numFmtId="0" fontId="8" fillId="25" borderId="133" applyNumberFormat="0" applyFont="0" applyAlignment="0" applyProtection="0"/>
    <xf numFmtId="174" fontId="51" fillId="0" borderId="136"/>
    <xf numFmtId="176" fontId="51" fillId="0" borderId="136"/>
    <xf numFmtId="179" fontId="51" fillId="0" borderId="136"/>
    <xf numFmtId="171" fontId="51" fillId="0" borderId="136"/>
    <xf numFmtId="174"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9" fontId="51" fillId="0" borderId="136"/>
    <xf numFmtId="171" fontId="51" fillId="0" borderId="136"/>
    <xf numFmtId="179" fontId="51" fillId="0" borderId="136"/>
    <xf numFmtId="179" fontId="51" fillId="0" borderId="136"/>
    <xf numFmtId="174" fontId="51" fillId="0" borderId="136"/>
    <xf numFmtId="174" fontId="51" fillId="0" borderId="136"/>
    <xf numFmtId="171" fontId="51" fillId="0" borderId="136"/>
    <xf numFmtId="171" fontId="51" fillId="0" borderId="136"/>
    <xf numFmtId="171" fontId="51" fillId="0" borderId="136"/>
    <xf numFmtId="0" fontId="54" fillId="46" borderId="137">
      <protection locked="0"/>
    </xf>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4" fontId="51" fillId="0" borderId="136"/>
    <xf numFmtId="0" fontId="54" fillId="46" borderId="137">
      <protection locked="0"/>
    </xf>
    <xf numFmtId="176" fontId="51" fillId="0" borderId="136"/>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181" fontId="51" fillId="0" borderId="136"/>
    <xf numFmtId="180" fontId="51" fillId="0" borderId="136"/>
    <xf numFmtId="179" fontId="51" fillId="0" borderId="136"/>
    <xf numFmtId="171" fontId="51" fillId="0" borderId="136"/>
    <xf numFmtId="175" fontId="51" fillId="0" borderId="136"/>
    <xf numFmtId="176" fontId="51" fillId="0" borderId="136"/>
    <xf numFmtId="175" fontId="51" fillId="0" borderId="136"/>
    <xf numFmtId="174" fontId="51" fillId="0" borderId="136"/>
    <xf numFmtId="176" fontId="51" fillId="0" borderId="136"/>
    <xf numFmtId="180" fontId="51" fillId="0" borderId="136"/>
    <xf numFmtId="173" fontId="51" fillId="0" borderId="136"/>
    <xf numFmtId="0" fontId="11" fillId="22" borderId="132" applyNumberFormat="0" applyAlignment="0" applyProtection="0"/>
    <xf numFmtId="172" fontId="51" fillId="0" borderId="136"/>
    <xf numFmtId="179" fontId="51" fillId="0" borderId="136"/>
    <xf numFmtId="176" fontId="51" fillId="0" borderId="136"/>
    <xf numFmtId="174" fontId="51" fillId="0" borderId="136"/>
    <xf numFmtId="171" fontId="51" fillId="0" borderId="136"/>
    <xf numFmtId="0" fontId="21" fillId="22" borderId="134" applyNumberFormat="0" applyAlignment="0" applyProtection="0"/>
    <xf numFmtId="0" fontId="23" fillId="0" borderId="135" applyNumberFormat="0" applyFill="0" applyAlignment="0" applyProtection="0"/>
    <xf numFmtId="180" fontId="51" fillId="0" borderId="136"/>
    <xf numFmtId="175" fontId="51" fillId="0" borderId="136"/>
    <xf numFmtId="173" fontId="51" fillId="0" borderId="136"/>
    <xf numFmtId="172" fontId="51" fillId="0" borderId="136"/>
    <xf numFmtId="171" fontId="51" fillId="0" borderId="136"/>
    <xf numFmtId="181"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173"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171"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1" fontId="51" fillId="0" borderId="136"/>
    <xf numFmtId="179" fontId="51" fillId="0" borderId="136"/>
    <xf numFmtId="0" fontId="11" fillId="22" borderId="132" applyNumberFormat="0" applyAlignment="0" applyProtection="0"/>
    <xf numFmtId="181" fontId="51" fillId="0" borderId="136"/>
    <xf numFmtId="171" fontId="51" fillId="0" borderId="136"/>
    <xf numFmtId="0" fontId="23" fillId="0" borderId="135" applyNumberFormat="0" applyFill="0" applyAlignment="0" applyProtection="0"/>
    <xf numFmtId="179" fontId="51" fillId="0" borderId="136"/>
    <xf numFmtId="0" fontId="11" fillId="22" borderId="132" applyNumberFormat="0" applyAlignment="0" applyProtection="0"/>
    <xf numFmtId="171" fontId="51" fillId="0" borderId="136"/>
    <xf numFmtId="171" fontId="51" fillId="0" borderId="136"/>
    <xf numFmtId="0" fontId="18" fillId="9" borderId="132" applyNumberFormat="0" applyAlignment="0" applyProtection="0"/>
    <xf numFmtId="172" fontId="51" fillId="0" borderId="136"/>
    <xf numFmtId="171" fontId="51" fillId="0" borderId="136"/>
    <xf numFmtId="174" fontId="51" fillId="0" borderId="136"/>
    <xf numFmtId="171" fontId="51" fillId="0" borderId="136"/>
    <xf numFmtId="174" fontId="51" fillId="0" borderId="136"/>
    <xf numFmtId="175" fontId="51" fillId="0" borderId="136"/>
    <xf numFmtId="176" fontId="51" fillId="0" borderId="136"/>
    <xf numFmtId="0" fontId="8" fillId="25" borderId="133" applyNumberFormat="0" applyFont="0" applyAlignment="0" applyProtection="0"/>
    <xf numFmtId="174" fontId="51" fillId="0" borderId="136"/>
    <xf numFmtId="179" fontId="51" fillId="0" borderId="136"/>
    <xf numFmtId="171" fontId="51" fillId="0" borderId="136"/>
    <xf numFmtId="180" fontId="51" fillId="0" borderId="136"/>
    <xf numFmtId="181" fontId="51" fillId="0" borderId="136"/>
    <xf numFmtId="0" fontId="18" fillId="9" borderId="132" applyNumberFormat="0" applyAlignment="0" applyProtection="0"/>
    <xf numFmtId="179" fontId="51" fillId="0" borderId="136"/>
    <xf numFmtId="179" fontId="51" fillId="0" borderId="136"/>
    <xf numFmtId="174" fontId="51" fillId="0" borderId="136"/>
    <xf numFmtId="171" fontId="51" fillId="0" borderId="136"/>
    <xf numFmtId="175" fontId="51" fillId="0" borderId="136"/>
    <xf numFmtId="171" fontId="51" fillId="0" borderId="136"/>
    <xf numFmtId="171" fontId="51" fillId="0" borderId="136"/>
    <xf numFmtId="174" fontId="51" fillId="0" borderId="136"/>
    <xf numFmtId="174" fontId="51" fillId="0" borderId="136"/>
    <xf numFmtId="171" fontId="51" fillId="0" borderId="136"/>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8" fillId="25" borderId="133" applyNumberFormat="0" applyFont="0" applyAlignment="0" applyProtection="0"/>
    <xf numFmtId="173" fontId="51" fillId="0" borderId="136"/>
    <xf numFmtId="174" fontId="51" fillId="0" borderId="136"/>
    <xf numFmtId="179" fontId="51" fillId="0" borderId="136"/>
    <xf numFmtId="0" fontId="11" fillId="22" borderId="132" applyNumberFormat="0" applyAlignment="0" applyProtection="0"/>
    <xf numFmtId="173" fontId="51" fillId="0" borderId="136"/>
    <xf numFmtId="172" fontId="51" fillId="0" borderId="136"/>
    <xf numFmtId="0" fontId="21" fillId="22" borderId="134" applyNumberFormat="0" applyAlignment="0" applyProtection="0"/>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3" fontId="51" fillId="0" borderId="136"/>
    <xf numFmtId="175" fontId="51" fillId="0" borderId="136"/>
    <xf numFmtId="176"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80" fontId="51" fillId="0" borderId="136"/>
    <xf numFmtId="174" fontId="51" fillId="0" borderId="136"/>
    <xf numFmtId="179" fontId="51" fillId="0" borderId="136"/>
    <xf numFmtId="174" fontId="51" fillId="0" borderId="136"/>
    <xf numFmtId="176" fontId="51" fillId="0" borderId="136"/>
    <xf numFmtId="172"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174" fontId="51" fillId="0" borderId="136"/>
    <xf numFmtId="179" fontId="51" fillId="0" borderId="136"/>
    <xf numFmtId="174" fontId="51" fillId="0" borderId="136"/>
    <xf numFmtId="171" fontId="51" fillId="0" borderId="136"/>
    <xf numFmtId="179" fontId="51" fillId="0" borderId="136"/>
    <xf numFmtId="174" fontId="51" fillId="0" borderId="136"/>
    <xf numFmtId="179" fontId="51" fillId="0" borderId="136"/>
    <xf numFmtId="171" fontId="51" fillId="0" borderId="136"/>
    <xf numFmtId="171" fontId="51" fillId="0" borderId="136"/>
    <xf numFmtId="179"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6" fontId="51" fillId="0" borderId="136"/>
    <xf numFmtId="0" fontId="11" fillId="22" borderId="132" applyNumberFormat="0" applyAlignment="0" applyProtection="0"/>
    <xf numFmtId="180" fontId="51" fillId="0" borderId="136"/>
    <xf numFmtId="179" fontId="51" fillId="0" borderId="136"/>
    <xf numFmtId="171" fontId="51" fillId="0" borderId="136"/>
    <xf numFmtId="171" fontId="51" fillId="0" borderId="136"/>
    <xf numFmtId="174" fontId="51" fillId="0" borderId="136"/>
    <xf numFmtId="174" fontId="51" fillId="0" borderId="136"/>
    <xf numFmtId="171" fontId="51" fillId="0" borderId="136"/>
    <xf numFmtId="0" fontId="23" fillId="0" borderId="135" applyNumberFormat="0" applyFill="0" applyAlignment="0" applyProtection="0"/>
    <xf numFmtId="174" fontId="51" fillId="0" borderId="136"/>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179" fontId="51" fillId="0" borderId="136"/>
    <xf numFmtId="0" fontId="11" fillId="22" borderId="132" applyNumberFormat="0" applyAlignment="0" applyProtection="0"/>
    <xf numFmtId="0" fontId="18" fillId="9" borderId="132" applyNumberFormat="0" applyAlignment="0" applyProtection="0"/>
    <xf numFmtId="174" fontId="51" fillId="0" borderId="136"/>
    <xf numFmtId="171" fontId="51" fillId="0" borderId="136"/>
    <xf numFmtId="179" fontId="51" fillId="0" borderId="136"/>
    <xf numFmtId="174" fontId="51" fillId="0" borderId="136"/>
    <xf numFmtId="171" fontId="51" fillId="0" borderId="136"/>
    <xf numFmtId="172" fontId="51" fillId="0" borderId="136"/>
    <xf numFmtId="171" fontId="51" fillId="0" borderId="136"/>
    <xf numFmtId="174" fontId="51" fillId="0" borderId="136"/>
    <xf numFmtId="179" fontId="51" fillId="0" borderId="136"/>
    <xf numFmtId="171" fontId="51" fillId="0" borderId="136"/>
    <xf numFmtId="179" fontId="51" fillId="0" borderId="136"/>
    <xf numFmtId="0" fontId="11" fillId="22" borderId="132" applyNumberFormat="0" applyAlignment="0" applyProtection="0"/>
    <xf numFmtId="181" fontId="51" fillId="0" borderId="136"/>
    <xf numFmtId="175" fontId="51" fillId="0" borderId="136"/>
    <xf numFmtId="179"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179" fontId="51" fillId="0" borderId="136"/>
    <xf numFmtId="179" fontId="51" fillId="0" borderId="136"/>
    <xf numFmtId="174" fontId="51" fillId="0" borderId="136"/>
    <xf numFmtId="173" fontId="51" fillId="0" borderId="136"/>
    <xf numFmtId="0" fontId="8" fillId="25" borderId="133" applyNumberFormat="0" applyFont="0" applyAlignment="0" applyProtection="0"/>
    <xf numFmtId="174"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174" fontId="51" fillId="0" borderId="136"/>
    <xf numFmtId="0" fontId="18" fillId="9"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181"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79" fontId="51" fillId="0" borderId="136"/>
    <xf numFmtId="179" fontId="51" fillId="0" borderId="136"/>
    <xf numFmtId="180" fontId="51" fillId="0" borderId="136"/>
    <xf numFmtId="171" fontId="51" fillId="0" borderId="136"/>
    <xf numFmtId="174" fontId="51" fillId="0" borderId="136"/>
    <xf numFmtId="174" fontId="51" fillId="0" borderId="136"/>
    <xf numFmtId="176" fontId="51" fillId="0" borderId="136"/>
    <xf numFmtId="171"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8" fillId="25" borderId="133" applyNumberFormat="0" applyFont="0" applyAlignment="0" applyProtection="0"/>
    <xf numFmtId="175" fontId="51" fillId="0" borderId="136"/>
    <xf numFmtId="179" fontId="51" fillId="0" borderId="136"/>
    <xf numFmtId="171" fontId="51" fillId="0" borderId="136"/>
    <xf numFmtId="172" fontId="51" fillId="0" borderId="136"/>
    <xf numFmtId="173" fontId="51" fillId="0" borderId="136"/>
    <xf numFmtId="0" fontId="8" fillId="25" borderId="133" applyNumberFormat="0" applyFont="0" applyAlignment="0" applyProtection="0"/>
    <xf numFmtId="174" fontId="51" fillId="0" borderId="136"/>
    <xf numFmtId="175" fontId="51" fillId="0" borderId="136"/>
    <xf numFmtId="176" fontId="51" fillId="0" borderId="136"/>
    <xf numFmtId="175" fontId="51" fillId="0" borderId="136"/>
    <xf numFmtId="179" fontId="51" fillId="0" borderId="136"/>
    <xf numFmtId="180" fontId="51" fillId="0" borderId="136"/>
    <xf numFmtId="181" fontId="51" fillId="0" borderId="136"/>
    <xf numFmtId="174" fontId="51" fillId="0" borderId="136"/>
    <xf numFmtId="171" fontId="51" fillId="0" borderId="136"/>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181" fontId="51" fillId="0" borderId="136"/>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3" fontId="51" fillId="0" borderId="136"/>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2" fontId="51" fillId="0" borderId="136"/>
    <xf numFmtId="173" fontId="51" fillId="0" borderId="136"/>
    <xf numFmtId="0" fontId="18" fillId="9" borderId="132" applyNumberFormat="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6" fontId="51" fillId="0" borderId="136"/>
    <xf numFmtId="171" fontId="51" fillId="0" borderId="136"/>
    <xf numFmtId="172" fontId="51" fillId="0" borderId="136"/>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4" fontId="51" fillId="0" borderId="136"/>
    <xf numFmtId="179"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171" fontId="51" fillId="0" borderId="136"/>
    <xf numFmtId="179" fontId="51" fillId="0" borderId="136"/>
    <xf numFmtId="174" fontId="51" fillId="0" borderId="136"/>
    <xf numFmtId="174" fontId="51" fillId="0" borderId="136"/>
    <xf numFmtId="179" fontId="51" fillId="0" borderId="136"/>
    <xf numFmtId="171"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171" fontId="51" fillId="0" borderId="136"/>
    <xf numFmtId="181" fontId="51" fillId="0" borderId="136"/>
    <xf numFmtId="174" fontId="51" fillId="0" borderId="136"/>
    <xf numFmtId="176" fontId="51" fillId="0" borderId="136"/>
    <xf numFmtId="173" fontId="51" fillId="0" borderId="136"/>
    <xf numFmtId="172" fontId="51" fillId="0" borderId="136"/>
    <xf numFmtId="179"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179" fontId="51" fillId="0" borderId="136"/>
    <xf numFmtId="180"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1" fontId="51" fillId="0" borderId="136"/>
    <xf numFmtId="174" fontId="51" fillId="0" borderId="136"/>
    <xf numFmtId="174" fontId="51" fillId="0" borderId="136"/>
    <xf numFmtId="0" fontId="21" fillId="22" borderId="134" applyNumberFormat="0" applyAlignment="0" applyProtection="0"/>
    <xf numFmtId="179" fontId="51" fillId="0" borderId="136"/>
    <xf numFmtId="174" fontId="51" fillId="0" borderId="136"/>
    <xf numFmtId="0" fontId="21" fillId="22" borderId="134" applyNumberFormat="0" applyAlignment="0" applyProtection="0"/>
    <xf numFmtId="0" fontId="8" fillId="25" borderId="133" applyNumberFormat="0" applyFont="0" applyAlignment="0" applyProtection="0"/>
    <xf numFmtId="171" fontId="51" fillId="0" borderId="136"/>
    <xf numFmtId="0" fontId="8" fillId="25" borderId="133" applyNumberFormat="0" applyFont="0" applyAlignment="0" applyProtection="0"/>
    <xf numFmtId="173" fontId="51" fillId="0" borderId="136"/>
    <xf numFmtId="0" fontId="23" fillId="0" borderId="135" applyNumberFormat="0" applyFill="0" applyAlignment="0" applyProtection="0"/>
    <xf numFmtId="175" fontId="51" fillId="0" borderId="136"/>
    <xf numFmtId="174" fontId="51" fillId="0" borderId="136"/>
    <xf numFmtId="0" fontId="23" fillId="0" borderId="135" applyNumberFormat="0" applyFill="0" applyAlignment="0" applyProtection="0"/>
    <xf numFmtId="181" fontId="51" fillId="0" borderId="136"/>
    <xf numFmtId="174" fontId="51" fillId="0" borderId="136"/>
    <xf numFmtId="174" fontId="51" fillId="0" borderId="136"/>
    <xf numFmtId="0" fontId="18" fillId="9" borderId="132" applyNumberFormat="0" applyAlignment="0" applyProtection="0"/>
    <xf numFmtId="0" fontId="21" fillId="22" borderId="134" applyNumberFormat="0" applyAlignment="0" applyProtection="0"/>
    <xf numFmtId="171" fontId="51" fillId="0" borderId="136"/>
    <xf numFmtId="0" fontId="8" fillId="25" borderId="133" applyNumberFormat="0" applyFont="0" applyAlignment="0" applyProtection="0"/>
    <xf numFmtId="172" fontId="51" fillId="0" borderId="136"/>
    <xf numFmtId="176" fontId="51" fillId="0" borderId="136"/>
    <xf numFmtId="0" fontId="23" fillId="0" borderId="135" applyNumberFormat="0" applyFill="0" applyAlignment="0" applyProtection="0"/>
    <xf numFmtId="0" fontId="8" fillId="25" borderId="133" applyNumberFormat="0" applyFont="0" applyAlignment="0" applyProtection="0"/>
    <xf numFmtId="175" fontId="51" fillId="0" borderId="136"/>
    <xf numFmtId="171" fontId="51" fillId="0" borderId="136"/>
    <xf numFmtId="179" fontId="51" fillId="0" borderId="136"/>
    <xf numFmtId="0" fontId="18" fillId="9" borderId="132" applyNumberFormat="0" applyAlignment="0" applyProtection="0"/>
    <xf numFmtId="171" fontId="51" fillId="0" borderId="136"/>
    <xf numFmtId="0" fontId="21" fillId="22" borderId="134" applyNumberFormat="0" applyAlignment="0" applyProtection="0"/>
    <xf numFmtId="179" fontId="51" fillId="0" borderId="136"/>
    <xf numFmtId="171" fontId="51" fillId="0" borderId="136"/>
    <xf numFmtId="179" fontId="51" fillId="0" borderId="136"/>
    <xf numFmtId="174" fontId="51" fillId="0" borderId="136"/>
    <xf numFmtId="171" fontId="51" fillId="0" borderId="136"/>
    <xf numFmtId="174" fontId="51" fillId="0" borderId="136"/>
    <xf numFmtId="173" fontId="51" fillId="0" borderId="136"/>
    <xf numFmtId="180" fontId="51" fillId="0" borderId="136"/>
    <xf numFmtId="179" fontId="51" fillId="0" borderId="136"/>
    <xf numFmtId="174" fontId="51" fillId="0" borderId="136"/>
    <xf numFmtId="171" fontId="51" fillId="0" borderId="136"/>
    <xf numFmtId="179" fontId="51" fillId="0" borderId="136"/>
    <xf numFmtId="174" fontId="51" fillId="0" borderId="136"/>
    <xf numFmtId="171" fontId="51" fillId="0" borderId="136"/>
    <xf numFmtId="179" fontId="51" fillId="0" borderId="136"/>
    <xf numFmtId="179" fontId="51" fillId="0" borderId="136"/>
    <xf numFmtId="180" fontId="51" fillId="0" borderId="136"/>
    <xf numFmtId="176" fontId="51" fillId="0" borderId="136"/>
    <xf numFmtId="171" fontId="51" fillId="0" borderId="136"/>
    <xf numFmtId="0" fontId="23" fillId="0" borderId="135" applyNumberFormat="0" applyFill="0" applyAlignment="0" applyProtection="0"/>
    <xf numFmtId="0" fontId="11" fillId="22" borderId="132" applyNumberFormat="0" applyAlignment="0" applyProtection="0"/>
    <xf numFmtId="171" fontId="51" fillId="0" borderId="136"/>
    <xf numFmtId="173" fontId="51" fillId="0" borderId="136"/>
    <xf numFmtId="171" fontId="51" fillId="0" borderId="136"/>
    <xf numFmtId="174" fontId="51" fillId="0" borderId="136"/>
    <xf numFmtId="179" fontId="51" fillId="0" borderId="136"/>
    <xf numFmtId="171" fontId="51" fillId="0" borderId="136"/>
    <xf numFmtId="0" fontId="18" fillId="9" borderId="132" applyNumberFormat="0" applyAlignment="0" applyProtection="0"/>
    <xf numFmtId="173" fontId="51" fillId="0" borderId="136"/>
    <xf numFmtId="0" fontId="11" fillId="22" borderId="132" applyNumberFormat="0" applyAlignment="0" applyProtection="0"/>
    <xf numFmtId="181" fontId="51" fillId="0" borderId="136"/>
    <xf numFmtId="171" fontId="51" fillId="0" borderId="136"/>
    <xf numFmtId="172" fontId="51" fillId="0" borderId="136"/>
    <xf numFmtId="174" fontId="51" fillId="0" borderId="136"/>
    <xf numFmtId="175" fontId="51" fillId="0" borderId="136"/>
    <xf numFmtId="174" fontId="51" fillId="0" borderId="136"/>
    <xf numFmtId="174" fontId="51" fillId="0" borderId="136"/>
    <xf numFmtId="0" fontId="11" fillId="22" borderId="132" applyNumberFormat="0" applyAlignment="0" applyProtection="0"/>
    <xf numFmtId="171" fontId="51" fillId="0" borderId="136"/>
    <xf numFmtId="174" fontId="51" fillId="0" borderId="136"/>
    <xf numFmtId="181" fontId="51" fillId="0" borderId="136"/>
    <xf numFmtId="171" fontId="51" fillId="0" borderId="136"/>
    <xf numFmtId="174" fontId="51" fillId="0" borderId="136"/>
    <xf numFmtId="176" fontId="51" fillId="0" borderId="136"/>
    <xf numFmtId="172" fontId="51" fillId="0" borderId="136"/>
    <xf numFmtId="180" fontId="51" fillId="0" borderId="136"/>
    <xf numFmtId="181" fontId="51" fillId="0" borderId="136"/>
    <xf numFmtId="179" fontId="51" fillId="0" borderId="136"/>
    <xf numFmtId="0" fontId="8" fillId="25" borderId="133" applyNumberFormat="0" applyFont="0" applyAlignment="0" applyProtection="0"/>
    <xf numFmtId="171" fontId="51" fillId="0" borderId="136"/>
    <xf numFmtId="179" fontId="51" fillId="0" borderId="136"/>
    <xf numFmtId="179" fontId="51" fillId="0" borderId="136"/>
    <xf numFmtId="0" fontId="8" fillId="25" borderId="133" applyNumberFormat="0" applyFont="0" applyAlignment="0" applyProtection="0"/>
    <xf numFmtId="179" fontId="51" fillId="0" borderId="136"/>
    <xf numFmtId="176"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0" fontId="21" fillId="22" borderId="134" applyNumberFormat="0" applyAlignment="0" applyProtection="0"/>
    <xf numFmtId="174" fontId="51" fillId="0" borderId="136"/>
    <xf numFmtId="174" fontId="51" fillId="0" borderId="136"/>
    <xf numFmtId="174" fontId="51" fillId="0" borderId="136"/>
    <xf numFmtId="179" fontId="51" fillId="0" borderId="136"/>
    <xf numFmtId="179" fontId="51" fillId="0" borderId="136"/>
    <xf numFmtId="171" fontId="51" fillId="0" borderId="136"/>
    <xf numFmtId="174" fontId="51" fillId="0" borderId="136"/>
    <xf numFmtId="179" fontId="51" fillId="0" borderId="136"/>
    <xf numFmtId="171" fontId="51" fillId="0" borderId="136"/>
    <xf numFmtId="173" fontId="51" fillId="0" borderId="136"/>
    <xf numFmtId="179" fontId="51" fillId="0" borderId="136"/>
    <xf numFmtId="0" fontId="23" fillId="0" borderId="135" applyNumberFormat="0" applyFill="0" applyAlignment="0" applyProtection="0"/>
    <xf numFmtId="174" fontId="51" fillId="0" borderId="136"/>
    <xf numFmtId="174" fontId="51" fillId="0" borderId="136"/>
    <xf numFmtId="179" fontId="51" fillId="0" borderId="136"/>
    <xf numFmtId="171" fontId="51" fillId="0" borderId="136"/>
    <xf numFmtId="0" fontId="18" fillId="9" borderId="132" applyNumberFormat="0" applyAlignment="0" applyProtection="0"/>
    <xf numFmtId="176" fontId="51" fillId="0" borderId="136"/>
    <xf numFmtId="175" fontId="51" fillId="0" borderId="136"/>
    <xf numFmtId="180" fontId="51" fillId="0" borderId="136"/>
    <xf numFmtId="175" fontId="51" fillId="0" borderId="136"/>
    <xf numFmtId="180" fontId="51" fillId="0" borderId="136"/>
    <xf numFmtId="172" fontId="51" fillId="0" borderId="136"/>
    <xf numFmtId="180" fontId="51" fillId="0" borderId="136"/>
    <xf numFmtId="181" fontId="51" fillId="0" borderId="136"/>
    <xf numFmtId="174" fontId="51" fillId="0" borderId="136"/>
    <xf numFmtId="181" fontId="51" fillId="0" borderId="136"/>
    <xf numFmtId="176" fontId="51" fillId="0" borderId="136"/>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9" fontId="51" fillId="0" borderId="136"/>
    <xf numFmtId="171" fontId="51" fillId="0" borderId="136"/>
    <xf numFmtId="174" fontId="51" fillId="0" borderId="136"/>
    <xf numFmtId="179" fontId="51" fillId="0" borderId="136"/>
    <xf numFmtId="179" fontId="51" fillId="0" borderId="136"/>
    <xf numFmtId="179" fontId="51" fillId="0" borderId="136"/>
    <xf numFmtId="174" fontId="51" fillId="0" borderId="136"/>
    <xf numFmtId="179" fontId="51" fillId="0" borderId="136"/>
    <xf numFmtId="179" fontId="51" fillId="0" borderId="136"/>
    <xf numFmtId="174" fontId="51" fillId="0" borderId="136"/>
    <xf numFmtId="174" fontId="51" fillId="0" borderId="136"/>
    <xf numFmtId="0" fontId="21" fillId="22" borderId="134" applyNumberFormat="0" applyAlignment="0" applyProtection="0"/>
    <xf numFmtId="174" fontId="51" fillId="0" borderId="136"/>
    <xf numFmtId="0" fontId="23" fillId="0" borderId="135" applyNumberFormat="0" applyFill="0" applyAlignment="0" applyProtection="0"/>
    <xf numFmtId="171" fontId="51" fillId="0" borderId="136"/>
    <xf numFmtId="171" fontId="51" fillId="0" borderId="136"/>
    <xf numFmtId="174" fontId="51" fillId="0" borderId="136"/>
    <xf numFmtId="175" fontId="51" fillId="0" borderId="136"/>
    <xf numFmtId="0" fontId="18" fillId="9" borderId="132" applyNumberFormat="0" applyAlignment="0" applyProtection="0"/>
    <xf numFmtId="171" fontId="51" fillId="0" borderId="136"/>
    <xf numFmtId="0" fontId="21" fillId="22" borderId="134" applyNumberFormat="0" applyAlignment="0" applyProtection="0"/>
    <xf numFmtId="173" fontId="51" fillId="0" borderId="136"/>
    <xf numFmtId="171" fontId="51" fillId="0" borderId="136"/>
    <xf numFmtId="0" fontId="18" fillId="9" borderId="132" applyNumberFormat="0" applyAlignment="0" applyProtection="0"/>
    <xf numFmtId="176" fontId="51" fillId="0" borderId="136"/>
    <xf numFmtId="0" fontId="11" fillId="22" borderId="132" applyNumberFormat="0" applyAlignment="0" applyProtection="0"/>
    <xf numFmtId="171" fontId="51" fillId="0" borderId="136"/>
    <xf numFmtId="17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5" fontId="51" fillId="0" borderId="136"/>
    <xf numFmtId="179" fontId="51" fillId="0" borderId="136"/>
    <xf numFmtId="171" fontId="51" fillId="0" borderId="136"/>
    <xf numFmtId="171" fontId="51" fillId="0" borderId="136"/>
    <xf numFmtId="0" fontId="23" fillId="0" borderId="135" applyNumberFormat="0" applyFill="0" applyAlignment="0" applyProtection="0"/>
    <xf numFmtId="179" fontId="51" fillId="0" borderId="136"/>
    <xf numFmtId="171" fontId="51" fillId="0" borderId="136"/>
    <xf numFmtId="171" fontId="51" fillId="0" borderId="136"/>
    <xf numFmtId="179" fontId="51" fillId="0" borderId="136"/>
    <xf numFmtId="174" fontId="51" fillId="0" borderId="136"/>
    <xf numFmtId="174" fontId="51" fillId="0" borderId="136"/>
    <xf numFmtId="179" fontId="51" fillId="0" borderId="136"/>
    <xf numFmtId="179" fontId="51" fillId="0" borderId="136"/>
    <xf numFmtId="179" fontId="51" fillId="0" borderId="136"/>
    <xf numFmtId="171" fontId="51" fillId="0" borderId="136"/>
    <xf numFmtId="173" fontId="51" fillId="0" borderId="136"/>
    <xf numFmtId="171" fontId="51" fillId="0" borderId="136"/>
    <xf numFmtId="179" fontId="51" fillId="0" borderId="136"/>
    <xf numFmtId="0" fontId="18" fillId="9" borderId="132" applyNumberFormat="0" applyAlignment="0" applyProtection="0"/>
    <xf numFmtId="179" fontId="51" fillId="0" borderId="136"/>
    <xf numFmtId="179" fontId="51" fillId="0" borderId="136"/>
    <xf numFmtId="0" fontId="23" fillId="0" borderId="135" applyNumberFormat="0" applyFill="0" applyAlignment="0" applyProtection="0"/>
    <xf numFmtId="171" fontId="51" fillId="0" borderId="136"/>
    <xf numFmtId="0" fontId="8" fillId="25" borderId="133" applyNumberFormat="0" applyFont="0" applyAlignment="0" applyProtection="0"/>
    <xf numFmtId="0" fontId="18" fillId="9" borderId="132" applyNumberFormat="0" applyAlignment="0" applyProtection="0"/>
    <xf numFmtId="171" fontId="51" fillId="0" borderId="136"/>
    <xf numFmtId="179" fontId="51" fillId="0" borderId="136"/>
    <xf numFmtId="0" fontId="8" fillId="25" borderId="133" applyNumberFormat="0" applyFont="0" applyAlignment="0" applyProtection="0"/>
    <xf numFmtId="0" fontId="11" fillId="22" borderId="132" applyNumberFormat="0" applyAlignment="0" applyProtection="0"/>
    <xf numFmtId="171" fontId="51" fillId="0" borderId="136"/>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1" fontId="51" fillId="0" borderId="136"/>
    <xf numFmtId="180" fontId="51" fillId="0" borderId="136"/>
    <xf numFmtId="174" fontId="51" fillId="0" borderId="136"/>
    <xf numFmtId="174" fontId="51" fillId="0" borderId="136"/>
    <xf numFmtId="173" fontId="51" fillId="0" borderId="136"/>
    <xf numFmtId="179" fontId="51" fillId="0" borderId="136"/>
    <xf numFmtId="172" fontId="51" fillId="0" borderId="136"/>
    <xf numFmtId="0" fontId="21" fillId="22" borderId="134" applyNumberFormat="0" applyAlignment="0" applyProtection="0"/>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5" fontId="51" fillId="0" borderId="136"/>
    <xf numFmtId="174" fontId="51" fillId="0" borderId="136"/>
    <xf numFmtId="181" fontId="51" fillId="0" borderId="136"/>
    <xf numFmtId="176" fontId="51" fillId="0" borderId="136"/>
    <xf numFmtId="172"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4" fontId="51" fillId="0" borderId="136"/>
    <xf numFmtId="174" fontId="51" fillId="0" borderId="136"/>
    <xf numFmtId="174" fontId="51" fillId="0" borderId="136"/>
    <xf numFmtId="171" fontId="51" fillId="0" borderId="136"/>
    <xf numFmtId="0" fontId="18" fillId="9" borderId="132" applyNumberFormat="0" applyAlignment="0" applyProtection="0"/>
    <xf numFmtId="174" fontId="51" fillId="0" borderId="136"/>
    <xf numFmtId="171" fontId="51" fillId="0" borderId="136"/>
    <xf numFmtId="179" fontId="51" fillId="0" borderId="136"/>
    <xf numFmtId="173" fontId="51" fillId="0" borderId="136"/>
    <xf numFmtId="173" fontId="51" fillId="0" borderId="136"/>
    <xf numFmtId="171" fontId="51" fillId="0" borderId="136"/>
    <xf numFmtId="173" fontId="51" fillId="0" borderId="136"/>
    <xf numFmtId="174" fontId="51" fillId="0" borderId="136"/>
    <xf numFmtId="176" fontId="51" fillId="0" borderId="136"/>
    <xf numFmtId="171" fontId="51" fillId="0" borderId="136"/>
    <xf numFmtId="0" fontId="11" fillId="22" borderId="132" applyNumberFormat="0" applyAlignment="0" applyProtection="0"/>
    <xf numFmtId="179" fontId="51" fillId="0" borderId="136"/>
    <xf numFmtId="179" fontId="51" fillId="0" borderId="136"/>
    <xf numFmtId="179" fontId="51" fillId="0" borderId="136"/>
    <xf numFmtId="171" fontId="51" fillId="0" borderId="136"/>
    <xf numFmtId="0" fontId="8" fillId="25" borderId="133" applyNumberFormat="0" applyFont="0" applyAlignment="0" applyProtection="0"/>
    <xf numFmtId="171" fontId="51" fillId="0" borderId="136"/>
    <xf numFmtId="180" fontId="51" fillId="0" borderId="136"/>
    <xf numFmtId="174" fontId="51" fillId="0" borderId="136"/>
    <xf numFmtId="175" fontId="51" fillId="0" borderId="136"/>
    <xf numFmtId="0" fontId="18" fillId="9" borderId="132" applyNumberFormat="0" applyAlignment="0" applyProtection="0"/>
    <xf numFmtId="171" fontId="51" fillId="0" borderId="136"/>
    <xf numFmtId="179" fontId="51" fillId="0" borderId="136"/>
    <xf numFmtId="174" fontId="51" fillId="0" borderId="136"/>
    <xf numFmtId="179" fontId="51" fillId="0" borderId="136"/>
    <xf numFmtId="171" fontId="51" fillId="0" borderId="136"/>
    <xf numFmtId="179" fontId="51" fillId="0" borderId="136"/>
    <xf numFmtId="174" fontId="51" fillId="0" borderId="136"/>
    <xf numFmtId="174" fontId="51" fillId="0" borderId="136"/>
    <xf numFmtId="171" fontId="51" fillId="0" borderId="136"/>
    <xf numFmtId="174" fontId="51" fillId="0" borderId="136"/>
    <xf numFmtId="175" fontId="51" fillId="0" borderId="136"/>
    <xf numFmtId="174" fontId="51" fillId="0" borderId="136"/>
    <xf numFmtId="179" fontId="51" fillId="0" borderId="136"/>
    <xf numFmtId="179" fontId="51" fillId="0" borderId="136"/>
    <xf numFmtId="171" fontId="51" fillId="0" borderId="136"/>
    <xf numFmtId="0" fontId="21" fillId="22" borderId="134" applyNumberFormat="0" applyAlignment="0" applyProtection="0"/>
    <xf numFmtId="172" fontId="51" fillId="0" borderId="136"/>
    <xf numFmtId="0" fontId="23" fillId="0" borderId="135" applyNumberFormat="0" applyFill="0" applyAlignment="0" applyProtection="0"/>
    <xf numFmtId="0" fontId="8" fillId="25" borderId="133" applyNumberFormat="0" applyFont="0" applyAlignment="0" applyProtection="0"/>
    <xf numFmtId="175" fontId="51" fillId="0" borderId="136"/>
    <xf numFmtId="0" fontId="23" fillId="0" borderId="135" applyNumberFormat="0" applyFill="0" applyAlignment="0" applyProtection="0"/>
    <xf numFmtId="174" fontId="51" fillId="0" borderId="136"/>
    <xf numFmtId="0" fontId="21" fillId="22" borderId="134" applyNumberFormat="0" applyAlignment="0" applyProtection="0"/>
    <xf numFmtId="171" fontId="51" fillId="0" borderId="136"/>
    <xf numFmtId="181" fontId="51" fillId="0" borderId="136"/>
    <xf numFmtId="171" fontId="51" fillId="0" borderId="136"/>
    <xf numFmtId="179" fontId="51" fillId="0" borderId="136"/>
    <xf numFmtId="0" fontId="11" fillId="22" borderId="132" applyNumberFormat="0" applyAlignment="0" applyProtection="0"/>
    <xf numFmtId="174" fontId="51" fillId="0" borderId="136"/>
    <xf numFmtId="180" fontId="51" fillId="0" borderId="136"/>
    <xf numFmtId="174" fontId="51" fillId="0" borderId="136"/>
    <xf numFmtId="171" fontId="51" fillId="0" borderId="136"/>
    <xf numFmtId="174" fontId="51" fillId="0" borderId="136"/>
    <xf numFmtId="172" fontId="51" fillId="0" borderId="136"/>
    <xf numFmtId="179" fontId="51" fillId="0" borderId="136"/>
    <xf numFmtId="176" fontId="51" fillId="0" borderId="136"/>
    <xf numFmtId="174" fontId="51" fillId="0" borderId="136"/>
    <xf numFmtId="172" fontId="51" fillId="0" borderId="136"/>
    <xf numFmtId="171" fontId="51" fillId="0" borderId="136"/>
    <xf numFmtId="180" fontId="51" fillId="0" borderId="136"/>
    <xf numFmtId="181" fontId="51" fillId="0" borderId="136"/>
    <xf numFmtId="179" fontId="51" fillId="0" borderId="136"/>
    <xf numFmtId="179" fontId="51" fillId="0" borderId="136"/>
    <xf numFmtId="179" fontId="51" fillId="0" borderId="136"/>
    <xf numFmtId="171" fontId="51" fillId="0" borderId="136"/>
    <xf numFmtId="179"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81" fontId="51" fillId="0" borderId="136"/>
    <xf numFmtId="171" fontId="51" fillId="0" borderId="136"/>
    <xf numFmtId="174" fontId="51" fillId="0" borderId="136"/>
    <xf numFmtId="179" fontId="51" fillId="0" borderId="136"/>
    <xf numFmtId="171" fontId="51" fillId="0" borderId="136"/>
    <xf numFmtId="0" fontId="8" fillId="25" borderId="133" applyNumberFormat="0" applyFont="0" applyAlignment="0" applyProtection="0"/>
    <xf numFmtId="174" fontId="51" fillId="0" borderId="136"/>
    <xf numFmtId="176" fontId="51" fillId="0" borderId="136"/>
    <xf numFmtId="179" fontId="51" fillId="0" borderId="136"/>
    <xf numFmtId="171" fontId="51" fillId="0" borderId="136"/>
    <xf numFmtId="174"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9" fontId="51" fillId="0" borderId="136"/>
    <xf numFmtId="171" fontId="51" fillId="0" borderId="136"/>
    <xf numFmtId="179" fontId="51" fillId="0" borderId="136"/>
    <xf numFmtId="179" fontId="51" fillId="0" borderId="136"/>
    <xf numFmtId="174" fontId="51" fillId="0" borderId="136"/>
    <xf numFmtId="174" fontId="51" fillId="0" borderId="136"/>
    <xf numFmtId="171" fontId="51" fillId="0" borderId="136"/>
    <xf numFmtId="171" fontId="51" fillId="0" borderId="136"/>
    <xf numFmtId="171" fontId="51" fillId="0" borderId="136"/>
    <xf numFmtId="179" fontId="51" fillId="0" borderId="136"/>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4" fontId="51" fillId="0" borderId="136"/>
    <xf numFmtId="180" fontId="51" fillId="0" borderId="136"/>
    <xf numFmtId="0" fontId="8" fillId="25" borderId="133" applyNumberFormat="0" applyFont="0" applyAlignment="0" applyProtection="0"/>
    <xf numFmtId="0" fontId="18" fillId="9" borderId="132" applyNumberFormat="0" applyAlignment="0" applyProtection="0"/>
    <xf numFmtId="0" fontId="18" fillId="9" borderId="132" applyNumberFormat="0" applyAlignment="0" applyProtection="0"/>
    <xf numFmtId="181" fontId="51" fillId="0" borderId="136"/>
    <xf numFmtId="0" fontId="8" fillId="25" borderId="133" applyNumberFormat="0" applyFont="0" applyAlignment="0" applyProtection="0"/>
    <xf numFmtId="176" fontId="51" fillId="0" borderId="136"/>
    <xf numFmtId="175" fontId="51" fillId="0" borderId="136"/>
    <xf numFmtId="0" fontId="23" fillId="0" borderId="135" applyNumberFormat="0" applyFill="0" applyAlignment="0" applyProtection="0"/>
    <xf numFmtId="179" fontId="51" fillId="0" borderId="136"/>
    <xf numFmtId="0" fontId="23" fillId="0" borderId="135" applyNumberFormat="0" applyFill="0" applyAlignment="0" applyProtection="0"/>
    <xf numFmtId="0" fontId="11" fillId="22" borderId="132" applyNumberFormat="0" applyAlignment="0" applyProtection="0"/>
    <xf numFmtId="181" fontId="51" fillId="0" borderId="136"/>
    <xf numFmtId="0" fontId="11" fillId="22" borderId="132" applyNumberFormat="0" applyAlignment="0" applyProtection="0"/>
    <xf numFmtId="0" fontId="21" fillId="22" borderId="134" applyNumberFormat="0" applyAlignment="0" applyProtection="0"/>
    <xf numFmtId="174" fontId="51" fillId="0" borderId="136"/>
    <xf numFmtId="0" fontId="8" fillId="25" borderId="133" applyNumberFormat="0" applyFont="0" applyAlignment="0" applyProtection="0"/>
    <xf numFmtId="0" fontId="18" fillId="9" borderId="132" applyNumberFormat="0" applyAlignment="0" applyProtection="0"/>
    <xf numFmtId="179" fontId="51" fillId="0" borderId="136"/>
    <xf numFmtId="0" fontId="11" fillId="22" borderId="132" applyNumberFormat="0" applyAlignment="0" applyProtection="0"/>
    <xf numFmtId="0" fontId="18" fillId="9" borderId="132" applyNumberFormat="0" applyAlignment="0" applyProtection="0"/>
    <xf numFmtId="171" fontId="51" fillId="0" borderId="136"/>
    <xf numFmtId="0" fontId="23" fillId="0" borderId="135" applyNumberFormat="0" applyFill="0" applyAlignment="0" applyProtection="0"/>
    <xf numFmtId="171" fontId="51" fillId="0" borderId="136"/>
    <xf numFmtId="179" fontId="51" fillId="0" borderId="136"/>
    <xf numFmtId="179" fontId="51" fillId="0" borderId="136"/>
    <xf numFmtId="171" fontId="51" fillId="0" borderId="136"/>
    <xf numFmtId="180" fontId="51" fillId="0" borderId="136"/>
    <xf numFmtId="0" fontId="11" fillId="22" borderId="132" applyNumberFormat="0" applyAlignment="0" applyProtection="0"/>
    <xf numFmtId="171" fontId="51" fillId="0" borderId="136"/>
    <xf numFmtId="0" fontId="11" fillId="22" borderId="132" applyNumberFormat="0" applyAlignment="0" applyProtection="0"/>
    <xf numFmtId="171" fontId="51" fillId="0" borderId="136"/>
    <xf numFmtId="0" fontId="8" fillId="25" borderId="133" applyNumberFormat="0" applyFont="0" applyAlignment="0" applyProtection="0"/>
    <xf numFmtId="174" fontId="51" fillId="0" borderId="136"/>
    <xf numFmtId="180" fontId="51" fillId="0" borderId="136"/>
    <xf numFmtId="174" fontId="51" fillId="0" borderId="136"/>
    <xf numFmtId="171" fontId="51" fillId="0" borderId="136"/>
    <xf numFmtId="0" fontId="8" fillId="25" borderId="133" applyNumberFormat="0" applyFont="0" applyAlignment="0" applyProtection="0"/>
    <xf numFmtId="174" fontId="51" fillId="0" borderId="136"/>
    <xf numFmtId="179" fontId="51" fillId="0" borderId="136"/>
    <xf numFmtId="175" fontId="51" fillId="0" borderId="136"/>
    <xf numFmtId="174" fontId="51" fillId="0" borderId="136"/>
    <xf numFmtId="179" fontId="51" fillId="0" borderId="136"/>
    <xf numFmtId="0" fontId="8" fillId="25" borderId="133" applyNumberFormat="0" applyFont="0" applyAlignment="0" applyProtection="0"/>
    <xf numFmtId="175" fontId="51" fillId="0" borderId="136"/>
    <xf numFmtId="171" fontId="51" fillId="0" borderId="136"/>
    <xf numFmtId="174" fontId="51" fillId="0" borderId="136"/>
    <xf numFmtId="179" fontId="51" fillId="0" borderId="136"/>
    <xf numFmtId="174" fontId="51" fillId="0" borderId="136"/>
    <xf numFmtId="176" fontId="51" fillId="0" borderId="136"/>
    <xf numFmtId="0" fontId="18" fillId="9" borderId="132" applyNumberFormat="0" applyAlignment="0" applyProtection="0"/>
    <xf numFmtId="0" fontId="21" fillId="22" borderId="134" applyNumberFormat="0" applyAlignment="0" applyProtection="0"/>
    <xf numFmtId="179" fontId="51" fillId="0" borderId="136"/>
    <xf numFmtId="180" fontId="51" fillId="0" borderId="136"/>
    <xf numFmtId="171" fontId="51" fillId="0" borderId="136"/>
    <xf numFmtId="171" fontId="51" fillId="0" borderId="136"/>
    <xf numFmtId="171" fontId="51" fillId="0" borderId="136"/>
    <xf numFmtId="174" fontId="51" fillId="0" borderId="136"/>
    <xf numFmtId="173" fontId="51" fillId="0" borderId="136"/>
    <xf numFmtId="171" fontId="51" fillId="0" borderId="136"/>
    <xf numFmtId="0" fontId="8" fillId="25" borderId="133" applyNumberFormat="0" applyFont="0" applyAlignment="0" applyProtection="0"/>
    <xf numFmtId="0" fontId="11" fillId="22" borderId="132" applyNumberFormat="0" applyAlignment="0" applyProtection="0"/>
    <xf numFmtId="174" fontId="51" fillId="0" borderId="136"/>
    <xf numFmtId="0" fontId="11" fillId="22" borderId="132" applyNumberFormat="0" applyAlignment="0" applyProtection="0"/>
    <xf numFmtId="175" fontId="51" fillId="0" borderId="136"/>
    <xf numFmtId="174" fontId="51" fillId="0" borderId="136"/>
    <xf numFmtId="174" fontId="51" fillId="0" borderId="136"/>
    <xf numFmtId="0" fontId="21" fillId="22" borderId="134" applyNumberFormat="0" applyAlignment="0" applyProtection="0"/>
    <xf numFmtId="173" fontId="51" fillId="0" borderId="136"/>
    <xf numFmtId="181" fontId="51" fillId="0" borderId="136"/>
    <xf numFmtId="172" fontId="51" fillId="0" borderId="136"/>
    <xf numFmtId="0" fontId="11" fillId="22" borderId="132" applyNumberFormat="0" applyAlignment="0" applyProtection="0"/>
    <xf numFmtId="171" fontId="51" fillId="0" borderId="136"/>
    <xf numFmtId="0" fontId="11" fillId="22" borderId="132" applyNumberFormat="0" applyAlignment="0" applyProtection="0"/>
    <xf numFmtId="171" fontId="51" fillId="0" borderId="136"/>
    <xf numFmtId="179" fontId="51" fillId="0" borderId="136"/>
    <xf numFmtId="176" fontId="51" fillId="0" borderId="136"/>
    <xf numFmtId="0" fontId="11" fillId="22" borderId="132" applyNumberFormat="0" applyAlignment="0" applyProtection="0"/>
    <xf numFmtId="179" fontId="51" fillId="0" borderId="136"/>
    <xf numFmtId="0" fontId="18" fillId="9" borderId="132" applyNumberFormat="0" applyAlignment="0" applyProtection="0"/>
    <xf numFmtId="172" fontId="51" fillId="0" borderId="136"/>
    <xf numFmtId="180" fontId="51" fillId="0" borderId="136"/>
    <xf numFmtId="171" fontId="51" fillId="0" borderId="136"/>
    <xf numFmtId="0" fontId="21" fillId="22" borderId="134" applyNumberFormat="0" applyAlignment="0" applyProtection="0"/>
    <xf numFmtId="172" fontId="51" fillId="0" borderId="136"/>
    <xf numFmtId="0" fontId="18" fillId="9" borderId="132" applyNumberFormat="0" applyAlignment="0" applyProtection="0"/>
    <xf numFmtId="180" fontId="51" fillId="0" borderId="136"/>
    <xf numFmtId="174" fontId="51" fillId="0" borderId="136"/>
    <xf numFmtId="172" fontId="51" fillId="0" borderId="136"/>
    <xf numFmtId="0" fontId="8" fillId="25" borderId="133" applyNumberFormat="0" applyFont="0" applyAlignment="0" applyProtection="0"/>
    <xf numFmtId="0" fontId="11" fillId="22" borderId="132" applyNumberFormat="0" applyAlignment="0" applyProtection="0"/>
    <xf numFmtId="0" fontId="8" fillId="25" borderId="133" applyNumberFormat="0" applyFont="0" applyAlignment="0" applyProtection="0"/>
    <xf numFmtId="175" fontId="51" fillId="0" borderId="136"/>
    <xf numFmtId="179" fontId="51" fillId="0" borderId="136"/>
    <xf numFmtId="174" fontId="51" fillId="0" borderId="136"/>
    <xf numFmtId="181" fontId="51" fillId="0" borderId="136"/>
    <xf numFmtId="0" fontId="11" fillId="22" borderId="132" applyNumberFormat="0" applyAlignment="0" applyProtection="0"/>
    <xf numFmtId="174" fontId="51" fillId="0" borderId="136"/>
    <xf numFmtId="0" fontId="18" fillId="9" borderId="132" applyNumberFormat="0" applyAlignment="0" applyProtection="0"/>
    <xf numFmtId="0" fontId="21" fillId="22" borderId="134" applyNumberFormat="0" applyAlignment="0" applyProtection="0"/>
    <xf numFmtId="181" fontId="51" fillId="0" borderId="136"/>
    <xf numFmtId="0" fontId="8" fillId="25" borderId="133" applyNumberFormat="0" applyFont="0" applyAlignment="0" applyProtection="0"/>
    <xf numFmtId="180" fontId="51" fillId="0" borderId="136"/>
    <xf numFmtId="176" fontId="51" fillId="0" borderId="136"/>
    <xf numFmtId="0" fontId="18" fillId="9" borderId="132" applyNumberFormat="0" applyAlignment="0" applyProtection="0"/>
    <xf numFmtId="179" fontId="51" fillId="0" borderId="136"/>
    <xf numFmtId="180" fontId="51" fillId="0" borderId="136"/>
    <xf numFmtId="179" fontId="51" fillId="0" borderId="136"/>
    <xf numFmtId="176" fontId="51" fillId="0" borderId="136"/>
    <xf numFmtId="172" fontId="51" fillId="0" borderId="136"/>
    <xf numFmtId="181" fontId="51" fillId="0" borderId="136"/>
    <xf numFmtId="179" fontId="51" fillId="0" borderId="136"/>
    <xf numFmtId="174" fontId="51" fillId="0" borderId="136"/>
    <xf numFmtId="0" fontId="21" fillId="22" borderId="134" applyNumberFormat="0" applyAlignment="0" applyProtection="0"/>
    <xf numFmtId="176" fontId="51" fillId="0" borderId="136"/>
    <xf numFmtId="171" fontId="51" fillId="0" borderId="136"/>
    <xf numFmtId="173" fontId="51" fillId="0" borderId="136"/>
    <xf numFmtId="175" fontId="51" fillId="0" borderId="136"/>
    <xf numFmtId="180" fontId="51" fillId="0" borderId="136"/>
    <xf numFmtId="0" fontId="21" fillId="22" borderId="134" applyNumberFormat="0" applyAlignment="0" applyProtection="0"/>
    <xf numFmtId="0" fontId="21" fillId="22" borderId="134" applyNumberFormat="0" applyAlignment="0" applyProtection="0"/>
    <xf numFmtId="179" fontId="51" fillId="0" borderId="136"/>
    <xf numFmtId="171" fontId="51" fillId="0" borderId="136"/>
    <xf numFmtId="174" fontId="51" fillId="0" borderId="136"/>
    <xf numFmtId="174" fontId="51" fillId="0" borderId="136"/>
    <xf numFmtId="0" fontId="23" fillId="0" borderId="135" applyNumberFormat="0" applyFill="0" applyAlignment="0" applyProtection="0"/>
    <xf numFmtId="176" fontId="51" fillId="0" borderId="136"/>
    <xf numFmtId="173" fontId="51" fillId="0" borderId="136"/>
    <xf numFmtId="179" fontId="51" fillId="0" borderId="136"/>
    <xf numFmtId="0" fontId="23" fillId="0" borderId="135" applyNumberFormat="0" applyFill="0" applyAlignment="0" applyProtection="0"/>
    <xf numFmtId="174" fontId="51" fillId="0" borderId="136"/>
    <xf numFmtId="0" fontId="8" fillId="25" borderId="133" applyNumberFormat="0" applyFont="0" applyAlignment="0" applyProtection="0"/>
    <xf numFmtId="172" fontId="51" fillId="0" borderId="136"/>
    <xf numFmtId="171" fontId="51" fillId="0" borderId="136"/>
    <xf numFmtId="174" fontId="51" fillId="0" borderId="136"/>
    <xf numFmtId="179" fontId="51" fillId="0" borderId="136"/>
    <xf numFmtId="179" fontId="51" fillId="0" borderId="136"/>
    <xf numFmtId="179" fontId="51" fillId="0" borderId="136"/>
    <xf numFmtId="181" fontId="51" fillId="0" borderId="136"/>
    <xf numFmtId="0" fontId="21" fillId="22" borderId="134" applyNumberFormat="0" applyAlignment="0" applyProtection="0"/>
    <xf numFmtId="175" fontId="51" fillId="0" borderId="136"/>
    <xf numFmtId="172" fontId="51" fillId="0" borderId="136"/>
    <xf numFmtId="0" fontId="21" fillId="22" borderId="134" applyNumberFormat="0" applyAlignment="0" applyProtection="0"/>
    <xf numFmtId="181" fontId="51" fillId="0" borderId="136"/>
    <xf numFmtId="174" fontId="51" fillId="0" borderId="136"/>
    <xf numFmtId="180" fontId="51" fillId="0" borderId="136"/>
    <xf numFmtId="0" fontId="23" fillId="0" borderId="135" applyNumberFormat="0" applyFill="0" applyAlignment="0" applyProtection="0"/>
    <xf numFmtId="179" fontId="51" fillId="0" borderId="136"/>
    <xf numFmtId="0" fontId="23" fillId="0" borderId="135" applyNumberFormat="0" applyFill="0" applyAlignment="0" applyProtection="0"/>
    <xf numFmtId="176" fontId="51" fillId="0" borderId="136"/>
    <xf numFmtId="0" fontId="21" fillId="22" borderId="134" applyNumberFormat="0" applyAlignment="0" applyProtection="0"/>
    <xf numFmtId="171" fontId="51" fillId="0" borderId="136"/>
    <xf numFmtId="175" fontId="51" fillId="0" borderId="136"/>
    <xf numFmtId="174" fontId="51" fillId="0" borderId="136"/>
    <xf numFmtId="176" fontId="51" fillId="0" borderId="136"/>
    <xf numFmtId="174" fontId="51" fillId="0" borderId="136"/>
    <xf numFmtId="0" fontId="23" fillId="0" borderId="135" applyNumberFormat="0" applyFill="0" applyAlignment="0" applyProtection="0"/>
    <xf numFmtId="0" fontId="8" fillId="25" borderId="133" applyNumberFormat="0" applyFont="0" applyAlignment="0" applyProtection="0"/>
    <xf numFmtId="0" fontId="23" fillId="0" borderId="135" applyNumberFormat="0" applyFill="0" applyAlignment="0" applyProtection="0"/>
    <xf numFmtId="171" fontId="51" fillId="0" borderId="136"/>
    <xf numFmtId="0" fontId="8" fillId="25" borderId="133" applyNumberFormat="0" applyFont="0" applyAlignment="0" applyProtection="0"/>
    <xf numFmtId="181" fontId="51" fillId="0" borderId="136"/>
    <xf numFmtId="171" fontId="51" fillId="0" borderId="136"/>
    <xf numFmtId="171" fontId="51" fillId="0" borderId="136"/>
    <xf numFmtId="0" fontId="11" fillId="22" borderId="132" applyNumberFormat="0" applyAlignment="0" applyProtection="0"/>
    <xf numFmtId="173" fontId="51" fillId="0" borderId="136"/>
    <xf numFmtId="176" fontId="51" fillId="0" borderId="136"/>
    <xf numFmtId="179" fontId="51" fillId="0" borderId="136"/>
    <xf numFmtId="174" fontId="51" fillId="0" borderId="136"/>
    <xf numFmtId="174" fontId="51" fillId="0" borderId="136"/>
    <xf numFmtId="175" fontId="51" fillId="0" borderId="136"/>
    <xf numFmtId="173" fontId="51" fillId="0" borderId="136"/>
    <xf numFmtId="171" fontId="51" fillId="0" borderId="136"/>
    <xf numFmtId="174" fontId="51" fillId="0" borderId="136"/>
    <xf numFmtId="179" fontId="51" fillId="0" borderId="136"/>
    <xf numFmtId="174" fontId="51" fillId="0" borderId="136"/>
    <xf numFmtId="0" fontId="8" fillId="25" borderId="133" applyNumberFormat="0" applyFon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171" fontId="51" fillId="0" borderId="136"/>
    <xf numFmtId="0" fontId="23" fillId="0" borderId="135" applyNumberFormat="0" applyFill="0" applyAlignment="0" applyProtection="0"/>
    <xf numFmtId="171" fontId="51" fillId="0" borderId="136"/>
    <xf numFmtId="0" fontId="21" fillId="22" borderId="134" applyNumberFormat="0" applyAlignment="0" applyProtection="0"/>
    <xf numFmtId="0" fontId="11" fillId="22" borderId="132" applyNumberFormat="0" applyAlignment="0" applyProtection="0"/>
    <xf numFmtId="180" fontId="51" fillId="0" borderId="136"/>
    <xf numFmtId="0" fontId="11" fillId="22" borderId="132" applyNumberFormat="0" applyAlignment="0" applyProtection="0"/>
    <xf numFmtId="173" fontId="51" fillId="0" borderId="136"/>
    <xf numFmtId="174" fontId="51" fillId="0" borderId="136"/>
    <xf numFmtId="0" fontId="23" fillId="0" borderId="135" applyNumberFormat="0" applyFill="0" applyAlignment="0" applyProtection="0"/>
    <xf numFmtId="0" fontId="11" fillId="22" borderId="132" applyNumberFormat="0" applyAlignment="0" applyProtection="0"/>
    <xf numFmtId="171" fontId="51" fillId="0" borderId="136"/>
    <xf numFmtId="181" fontId="51" fillId="0" borderId="136"/>
    <xf numFmtId="0" fontId="8" fillId="25" borderId="133" applyNumberFormat="0" applyFont="0" applyAlignment="0" applyProtection="0"/>
    <xf numFmtId="0" fontId="8" fillId="25" borderId="133" applyNumberFormat="0" applyFont="0" applyAlignment="0" applyProtection="0"/>
    <xf numFmtId="172" fontId="51" fillId="0" borderId="136"/>
    <xf numFmtId="0" fontId="23" fillId="0" borderId="135" applyNumberFormat="0" applyFill="0" applyAlignment="0" applyProtection="0"/>
    <xf numFmtId="181" fontId="51" fillId="0" borderId="136"/>
    <xf numFmtId="171" fontId="51" fillId="0" borderId="136"/>
    <xf numFmtId="0" fontId="21" fillId="22" borderId="134" applyNumberFormat="0" applyAlignment="0" applyProtection="0"/>
    <xf numFmtId="173" fontId="51" fillId="0" borderId="136"/>
    <xf numFmtId="0" fontId="21" fillId="22" borderId="134" applyNumberFormat="0" applyAlignment="0" applyProtection="0"/>
    <xf numFmtId="0" fontId="8" fillId="25" borderId="133" applyNumberFormat="0" applyFont="0" applyAlignment="0" applyProtection="0"/>
    <xf numFmtId="0" fontId="21" fillId="22" borderId="134" applyNumberFormat="0" applyAlignment="0" applyProtection="0"/>
    <xf numFmtId="0" fontId="18" fillId="9" borderId="132" applyNumberFormat="0" applyAlignment="0" applyProtection="0"/>
    <xf numFmtId="0" fontId="18" fillId="9" borderId="132" applyNumberFormat="0" applyAlignment="0" applyProtection="0"/>
    <xf numFmtId="179" fontId="51" fillId="0" borderId="136"/>
    <xf numFmtId="172" fontId="51" fillId="0" borderId="136"/>
    <xf numFmtId="174" fontId="51" fillId="0" borderId="136"/>
    <xf numFmtId="0" fontId="18" fillId="9" borderId="132" applyNumberFormat="0" applyAlignment="0" applyProtection="0"/>
    <xf numFmtId="173" fontId="51" fillId="0" borderId="136"/>
    <xf numFmtId="0" fontId="21" fillId="22" borderId="134" applyNumberFormat="0" applyAlignment="0" applyProtection="0"/>
    <xf numFmtId="0" fontId="54" fillId="46" borderId="137">
      <protection locked="0"/>
    </xf>
    <xf numFmtId="0" fontId="11" fillId="22" borderId="132" applyNumberFormat="0" applyAlignment="0" applyProtection="0"/>
    <xf numFmtId="179" fontId="51" fillId="0" borderId="136"/>
    <xf numFmtId="0" fontId="23" fillId="0" borderId="135" applyNumberFormat="0" applyFill="0" applyAlignment="0" applyProtection="0"/>
    <xf numFmtId="174" fontId="51" fillId="0" borderId="136"/>
    <xf numFmtId="175" fontId="51" fillId="0" borderId="136"/>
    <xf numFmtId="0" fontId="11" fillId="22" borderId="132" applyNumberFormat="0" applyAlignment="0" applyProtection="0"/>
    <xf numFmtId="172" fontId="51" fillId="0" borderId="136"/>
    <xf numFmtId="0" fontId="8" fillId="25" borderId="133" applyNumberFormat="0" applyFont="0" applyAlignment="0" applyProtection="0"/>
    <xf numFmtId="0" fontId="8" fillId="25" borderId="133" applyNumberFormat="0" applyFont="0" applyAlignment="0" applyProtection="0"/>
    <xf numFmtId="171" fontId="51" fillId="0" borderId="136"/>
    <xf numFmtId="0" fontId="23" fillId="0" borderId="135" applyNumberFormat="0" applyFill="0" applyAlignment="0" applyProtection="0"/>
    <xf numFmtId="179" fontId="51" fillId="0" borderId="136"/>
    <xf numFmtId="181" fontId="51" fillId="0" borderId="136"/>
    <xf numFmtId="171" fontId="51" fillId="0" borderId="136"/>
    <xf numFmtId="0" fontId="23" fillId="0" borderId="135" applyNumberFormat="0" applyFill="0" applyAlignment="0" applyProtection="0"/>
    <xf numFmtId="0" fontId="23" fillId="0" borderId="135" applyNumberFormat="0" applyFill="0" applyAlignment="0" applyProtection="0"/>
    <xf numFmtId="171" fontId="51" fillId="0" borderId="136"/>
    <xf numFmtId="0" fontId="18" fillId="9" borderId="132" applyNumberFormat="0" applyAlignment="0" applyProtection="0"/>
    <xf numFmtId="179" fontId="51" fillId="0" borderId="136"/>
    <xf numFmtId="0" fontId="18" fillId="9" borderId="132" applyNumberFormat="0" applyAlignment="0" applyProtection="0"/>
    <xf numFmtId="0" fontId="21" fillId="22" borderId="134" applyNumberFormat="0" applyAlignment="0" applyProtection="0"/>
    <xf numFmtId="176" fontId="51" fillId="0" borderId="136"/>
    <xf numFmtId="0" fontId="21" fillId="22" borderId="134" applyNumberFormat="0" applyAlignment="0" applyProtection="0"/>
    <xf numFmtId="173" fontId="51" fillId="0" borderId="136"/>
    <xf numFmtId="180" fontId="51" fillId="0" borderId="136"/>
    <xf numFmtId="172" fontId="51" fillId="0" borderId="136"/>
    <xf numFmtId="173" fontId="51" fillId="0" borderId="136"/>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179" fontId="51" fillId="0" borderId="136"/>
    <xf numFmtId="0" fontId="8" fillId="25" borderId="133" applyNumberFormat="0" applyFont="0" applyAlignment="0" applyProtection="0"/>
    <xf numFmtId="171" fontId="51" fillId="0" borderId="136"/>
    <xf numFmtId="179" fontId="51" fillId="0" borderId="136"/>
    <xf numFmtId="174" fontId="51" fillId="0" borderId="136"/>
    <xf numFmtId="0" fontId="8" fillId="25" borderId="133" applyNumberFormat="0" applyFont="0" applyAlignment="0" applyProtection="0"/>
    <xf numFmtId="172" fontId="51" fillId="0" borderId="136"/>
    <xf numFmtId="0" fontId="11" fillId="22" borderId="132" applyNumberFormat="0" applyAlignment="0" applyProtection="0"/>
    <xf numFmtId="0" fontId="23" fillId="0" borderId="135" applyNumberFormat="0" applyFill="0" applyAlignment="0" applyProtection="0"/>
    <xf numFmtId="0" fontId="8" fillId="25" borderId="133" applyNumberFormat="0" applyFont="0" applyAlignment="0" applyProtection="0"/>
    <xf numFmtId="0" fontId="18" fillId="9" borderId="132" applyNumberFormat="0" applyAlignment="0" applyProtection="0"/>
    <xf numFmtId="179" fontId="51" fillId="0" borderId="136"/>
    <xf numFmtId="176" fontId="51" fillId="0" borderId="136"/>
    <xf numFmtId="179" fontId="51" fillId="0" borderId="136"/>
    <xf numFmtId="171" fontId="51" fillId="0" borderId="136"/>
    <xf numFmtId="181" fontId="51" fillId="0" borderId="136"/>
    <xf numFmtId="171" fontId="51" fillId="0" borderId="136"/>
    <xf numFmtId="0" fontId="18" fillId="9" borderId="132" applyNumberFormat="0" applyAlignment="0" applyProtection="0"/>
    <xf numFmtId="0" fontId="18" fillId="9" borderId="132" applyNumberFormat="0" applyAlignment="0" applyProtection="0"/>
    <xf numFmtId="174" fontId="51" fillId="0" borderId="136"/>
    <xf numFmtId="0" fontId="8" fillId="25" borderId="133" applyNumberFormat="0" applyFont="0" applyAlignment="0" applyProtection="0"/>
    <xf numFmtId="181" fontId="51" fillId="0" borderId="136"/>
    <xf numFmtId="174" fontId="51" fillId="0" borderId="136"/>
    <xf numFmtId="0" fontId="21" fillId="22" borderId="134" applyNumberFormat="0" applyAlignment="0" applyProtection="0"/>
    <xf numFmtId="0" fontId="18" fillId="9" borderId="132" applyNumberFormat="0" applyAlignment="0" applyProtection="0"/>
    <xf numFmtId="179" fontId="51" fillId="0" borderId="136"/>
    <xf numFmtId="179" fontId="51" fillId="0" borderId="136"/>
    <xf numFmtId="0" fontId="18" fillId="9" borderId="132" applyNumberFormat="0" applyAlignment="0" applyProtection="0"/>
    <xf numFmtId="180" fontId="51" fillId="0" borderId="136"/>
    <xf numFmtId="0" fontId="8" fillId="25" borderId="133" applyNumberFormat="0" applyFont="0" applyAlignment="0" applyProtection="0"/>
    <xf numFmtId="0" fontId="11" fillId="22" borderId="132" applyNumberFormat="0" applyAlignment="0" applyProtection="0"/>
    <xf numFmtId="174" fontId="51" fillId="0" borderId="136"/>
    <xf numFmtId="175" fontId="51" fillId="0" borderId="136"/>
    <xf numFmtId="171" fontId="51" fillId="0" borderId="136"/>
    <xf numFmtId="0" fontId="8" fillId="25" borderId="133" applyNumberFormat="0" applyFont="0" applyAlignment="0" applyProtection="0"/>
    <xf numFmtId="0" fontId="11" fillId="22" borderId="132" applyNumberFormat="0" applyAlignment="0" applyProtection="0"/>
    <xf numFmtId="176" fontId="51" fillId="0" borderId="136"/>
    <xf numFmtId="173"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5" fontId="51" fillId="0" borderId="136"/>
    <xf numFmtId="179" fontId="51" fillId="0" borderId="136"/>
    <xf numFmtId="171" fontId="51" fillId="0" borderId="136"/>
    <xf numFmtId="171" fontId="51" fillId="0" borderId="136"/>
    <xf numFmtId="0" fontId="23" fillId="0" borderId="135" applyNumberFormat="0" applyFill="0" applyAlignment="0" applyProtection="0"/>
    <xf numFmtId="179" fontId="51" fillId="0" borderId="136"/>
    <xf numFmtId="171" fontId="51" fillId="0" borderId="136"/>
    <xf numFmtId="171" fontId="51" fillId="0" borderId="136"/>
    <xf numFmtId="179" fontId="51" fillId="0" borderId="136"/>
    <xf numFmtId="174" fontId="51" fillId="0" borderId="136"/>
    <xf numFmtId="174" fontId="51" fillId="0" borderId="136"/>
    <xf numFmtId="179" fontId="51" fillId="0" borderId="136"/>
    <xf numFmtId="179" fontId="51" fillId="0" borderId="136"/>
    <xf numFmtId="179" fontId="51" fillId="0" borderId="136"/>
    <xf numFmtId="171" fontId="51" fillId="0" borderId="136"/>
    <xf numFmtId="173" fontId="51" fillId="0" borderId="136"/>
    <xf numFmtId="171" fontId="51" fillId="0" borderId="136"/>
    <xf numFmtId="179" fontId="51" fillId="0" borderId="136"/>
    <xf numFmtId="0" fontId="18" fillId="9" borderId="132" applyNumberFormat="0" applyAlignment="0" applyProtection="0"/>
    <xf numFmtId="179" fontId="51" fillId="0" borderId="136"/>
    <xf numFmtId="179" fontId="51" fillId="0" borderId="136"/>
    <xf numFmtId="0" fontId="23" fillId="0" borderId="135" applyNumberFormat="0" applyFill="0" applyAlignment="0" applyProtection="0"/>
    <xf numFmtId="171" fontId="51" fillId="0" borderId="136"/>
    <xf numFmtId="0" fontId="8" fillId="25" borderId="133" applyNumberFormat="0" applyFont="0" applyAlignment="0" applyProtection="0"/>
    <xf numFmtId="0" fontId="18" fillId="9" borderId="132" applyNumberFormat="0" applyAlignment="0" applyProtection="0"/>
    <xf numFmtId="171" fontId="51" fillId="0" borderId="136"/>
    <xf numFmtId="179" fontId="51" fillId="0" borderId="136"/>
    <xf numFmtId="0" fontId="8" fillId="25" borderId="133" applyNumberFormat="0" applyFont="0" applyAlignment="0" applyProtection="0"/>
    <xf numFmtId="0" fontId="11" fillId="22" borderId="132" applyNumberFormat="0" applyAlignment="0" applyProtection="0"/>
    <xf numFmtId="171" fontId="51" fillId="0" borderId="136"/>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1" fontId="51" fillId="0" borderId="136"/>
    <xf numFmtId="180" fontId="51" fillId="0" borderId="136"/>
    <xf numFmtId="174" fontId="51" fillId="0" borderId="136"/>
    <xf numFmtId="174" fontId="51" fillId="0" borderId="136"/>
    <xf numFmtId="173" fontId="51" fillId="0" borderId="136"/>
    <xf numFmtId="179" fontId="51" fillId="0" borderId="136"/>
    <xf numFmtId="172" fontId="51" fillId="0" borderId="136"/>
    <xf numFmtId="0" fontId="21" fillId="22" borderId="134" applyNumberFormat="0" applyAlignment="0" applyProtection="0"/>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5" fontId="51" fillId="0" borderId="136"/>
    <xf numFmtId="174" fontId="51" fillId="0" borderId="136"/>
    <xf numFmtId="181" fontId="51" fillId="0" borderId="136"/>
    <xf numFmtId="176" fontId="51" fillId="0" borderId="136"/>
    <xf numFmtId="172"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4" fontId="51" fillId="0" borderId="136"/>
    <xf numFmtId="174" fontId="51" fillId="0" borderId="136"/>
    <xf numFmtId="174" fontId="51" fillId="0" borderId="136"/>
    <xf numFmtId="171" fontId="51" fillId="0" borderId="136"/>
    <xf numFmtId="0" fontId="18" fillId="9" borderId="132" applyNumberFormat="0" applyAlignment="0" applyProtection="0"/>
    <xf numFmtId="174" fontId="51" fillId="0" borderId="136"/>
    <xf numFmtId="171" fontId="51" fillId="0" borderId="136"/>
    <xf numFmtId="179" fontId="51" fillId="0" borderId="136"/>
    <xf numFmtId="173" fontId="51" fillId="0" borderId="136"/>
    <xf numFmtId="173" fontId="51" fillId="0" borderId="136"/>
    <xf numFmtId="171" fontId="51" fillId="0" borderId="136"/>
    <xf numFmtId="173" fontId="51" fillId="0" borderId="136"/>
    <xf numFmtId="174" fontId="51" fillId="0" borderId="136"/>
    <xf numFmtId="176" fontId="51" fillId="0" borderId="136"/>
    <xf numFmtId="171" fontId="51" fillId="0" borderId="136"/>
    <xf numFmtId="0" fontId="11" fillId="22" borderId="132" applyNumberFormat="0" applyAlignment="0" applyProtection="0"/>
    <xf numFmtId="179" fontId="51" fillId="0" borderId="136"/>
    <xf numFmtId="179" fontId="51" fillId="0" borderId="136"/>
    <xf numFmtId="179" fontId="51" fillId="0" borderId="136"/>
    <xf numFmtId="171" fontId="51" fillId="0" borderId="136"/>
    <xf numFmtId="0" fontId="8" fillId="25" borderId="133" applyNumberFormat="0" applyFont="0" applyAlignment="0" applyProtection="0"/>
    <xf numFmtId="171" fontId="51" fillId="0" borderId="136"/>
    <xf numFmtId="180" fontId="51" fillId="0" borderId="136"/>
    <xf numFmtId="174" fontId="51" fillId="0" borderId="136"/>
    <xf numFmtId="175" fontId="51" fillId="0" borderId="136"/>
    <xf numFmtId="0" fontId="18" fillId="9" borderId="132" applyNumberFormat="0" applyAlignment="0" applyProtection="0"/>
    <xf numFmtId="171" fontId="51" fillId="0" borderId="136"/>
    <xf numFmtId="179" fontId="51" fillId="0" borderId="136"/>
    <xf numFmtId="174" fontId="51" fillId="0" borderId="136"/>
    <xf numFmtId="179" fontId="51" fillId="0" borderId="136"/>
    <xf numFmtId="171" fontId="51" fillId="0" borderId="136"/>
    <xf numFmtId="179" fontId="51" fillId="0" borderId="136"/>
    <xf numFmtId="174" fontId="51" fillId="0" borderId="136"/>
    <xf numFmtId="174" fontId="51" fillId="0" borderId="136"/>
    <xf numFmtId="171" fontId="51" fillId="0" borderId="136"/>
    <xf numFmtId="174" fontId="51" fillId="0" borderId="136"/>
    <xf numFmtId="175" fontId="51" fillId="0" borderId="136"/>
    <xf numFmtId="174" fontId="51" fillId="0" borderId="136"/>
    <xf numFmtId="179" fontId="51" fillId="0" borderId="136"/>
    <xf numFmtId="179" fontId="51" fillId="0" borderId="136"/>
    <xf numFmtId="171" fontId="51" fillId="0" borderId="136"/>
    <xf numFmtId="0" fontId="21" fillId="22" borderId="134" applyNumberFormat="0" applyAlignment="0" applyProtection="0"/>
    <xf numFmtId="172" fontId="51" fillId="0" borderId="136"/>
    <xf numFmtId="0" fontId="23" fillId="0" borderId="135" applyNumberFormat="0" applyFill="0" applyAlignment="0" applyProtection="0"/>
    <xf numFmtId="0" fontId="8" fillId="25" borderId="133" applyNumberFormat="0" applyFont="0" applyAlignment="0" applyProtection="0"/>
    <xf numFmtId="175" fontId="51" fillId="0" borderId="136"/>
    <xf numFmtId="0" fontId="23" fillId="0" borderId="135" applyNumberFormat="0" applyFill="0" applyAlignment="0" applyProtection="0"/>
    <xf numFmtId="174" fontId="51" fillId="0" borderId="136"/>
    <xf numFmtId="0" fontId="21" fillId="22" borderId="134" applyNumberFormat="0" applyAlignment="0" applyProtection="0"/>
    <xf numFmtId="171" fontId="51" fillId="0" borderId="136"/>
    <xf numFmtId="181" fontId="51" fillId="0" borderId="136"/>
    <xf numFmtId="171" fontId="51" fillId="0" borderId="136"/>
    <xf numFmtId="179" fontId="51" fillId="0" borderId="136"/>
    <xf numFmtId="0" fontId="11" fillId="22" borderId="132" applyNumberFormat="0" applyAlignment="0" applyProtection="0"/>
    <xf numFmtId="174" fontId="51" fillId="0" borderId="136"/>
    <xf numFmtId="180" fontId="51" fillId="0" borderId="136"/>
    <xf numFmtId="174" fontId="51" fillId="0" borderId="136"/>
    <xf numFmtId="171" fontId="51" fillId="0" borderId="136"/>
    <xf numFmtId="174" fontId="51" fillId="0" borderId="136"/>
    <xf numFmtId="172" fontId="51" fillId="0" borderId="136"/>
    <xf numFmtId="179" fontId="51" fillId="0" borderId="136"/>
    <xf numFmtId="176" fontId="51" fillId="0" borderId="136"/>
    <xf numFmtId="174" fontId="51" fillId="0" borderId="136"/>
    <xf numFmtId="172" fontId="51" fillId="0" borderId="136"/>
    <xf numFmtId="171" fontId="51" fillId="0" borderId="136"/>
    <xf numFmtId="180" fontId="51" fillId="0" borderId="136"/>
    <xf numFmtId="181" fontId="51" fillId="0" borderId="136"/>
    <xf numFmtId="179" fontId="51" fillId="0" borderId="136"/>
    <xf numFmtId="179" fontId="51" fillId="0" borderId="136"/>
    <xf numFmtId="179" fontId="51" fillId="0" borderId="136"/>
    <xf numFmtId="171" fontId="51" fillId="0" borderId="136"/>
    <xf numFmtId="179"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81" fontId="51" fillId="0" borderId="136"/>
    <xf numFmtId="171" fontId="51" fillId="0" borderId="136"/>
    <xf numFmtId="174" fontId="51" fillId="0" borderId="136"/>
    <xf numFmtId="179" fontId="51" fillId="0" borderId="136"/>
    <xf numFmtId="171" fontId="51" fillId="0" borderId="136"/>
    <xf numFmtId="0" fontId="8" fillId="25" borderId="133" applyNumberFormat="0" applyFont="0" applyAlignment="0" applyProtection="0"/>
    <xf numFmtId="174" fontId="51" fillId="0" borderId="136"/>
    <xf numFmtId="176" fontId="51" fillId="0" borderId="136"/>
    <xf numFmtId="179" fontId="51" fillId="0" borderId="136"/>
    <xf numFmtId="171" fontId="51" fillId="0" borderId="136"/>
    <xf numFmtId="174"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9" fontId="51" fillId="0" borderId="136"/>
    <xf numFmtId="171" fontId="51" fillId="0" borderId="136"/>
    <xf numFmtId="179" fontId="51" fillId="0" borderId="136"/>
    <xf numFmtId="179" fontId="51" fillId="0" borderId="136"/>
    <xf numFmtId="174" fontId="51" fillId="0" borderId="136"/>
    <xf numFmtId="174" fontId="51" fillId="0" borderId="136"/>
    <xf numFmtId="171" fontId="51" fillId="0" borderId="136"/>
    <xf numFmtId="171"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4" fontId="51" fillId="0" borderId="136"/>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181" fontId="51" fillId="0" borderId="136"/>
    <xf numFmtId="180" fontId="51" fillId="0" borderId="136"/>
    <xf numFmtId="179" fontId="51" fillId="0" borderId="136"/>
    <xf numFmtId="171" fontId="51" fillId="0" borderId="136"/>
    <xf numFmtId="175" fontId="51" fillId="0" borderId="136"/>
    <xf numFmtId="176" fontId="51" fillId="0" borderId="136"/>
    <xf numFmtId="175" fontId="51" fillId="0" borderId="136"/>
    <xf numFmtId="174" fontId="51" fillId="0" borderId="136"/>
    <xf numFmtId="176" fontId="51" fillId="0" borderId="136"/>
    <xf numFmtId="180" fontId="51" fillId="0" borderId="136"/>
    <xf numFmtId="173" fontId="51" fillId="0" borderId="136"/>
    <xf numFmtId="0" fontId="11" fillId="22" borderId="132" applyNumberFormat="0" applyAlignment="0" applyProtection="0"/>
    <xf numFmtId="172" fontId="51" fillId="0" borderId="136"/>
    <xf numFmtId="179" fontId="51" fillId="0" borderId="136"/>
    <xf numFmtId="176" fontId="51" fillId="0" borderId="136"/>
    <xf numFmtId="174" fontId="51" fillId="0" borderId="136"/>
    <xf numFmtId="171" fontId="51" fillId="0" borderId="136"/>
    <xf numFmtId="0" fontId="21" fillId="22" borderId="134" applyNumberFormat="0" applyAlignment="0" applyProtection="0"/>
    <xf numFmtId="0" fontId="23" fillId="0" borderId="135" applyNumberFormat="0" applyFill="0" applyAlignment="0" applyProtection="0"/>
    <xf numFmtId="180" fontId="51" fillId="0" borderId="136"/>
    <xf numFmtId="175" fontId="51" fillId="0" borderId="136"/>
    <xf numFmtId="173" fontId="51" fillId="0" borderId="136"/>
    <xf numFmtId="172" fontId="51" fillId="0" borderId="136"/>
    <xf numFmtId="171" fontId="51" fillId="0" borderId="136"/>
    <xf numFmtId="181"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173"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171"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1" fontId="51" fillId="0" borderId="136"/>
    <xf numFmtId="179" fontId="51" fillId="0" borderId="136"/>
    <xf numFmtId="0" fontId="11" fillId="22" borderId="132" applyNumberFormat="0" applyAlignment="0" applyProtection="0"/>
    <xf numFmtId="181" fontId="51" fillId="0" borderId="136"/>
    <xf numFmtId="171" fontId="51" fillId="0" borderId="136"/>
    <xf numFmtId="0" fontId="23" fillId="0" borderId="135" applyNumberFormat="0" applyFill="0" applyAlignment="0" applyProtection="0"/>
    <xf numFmtId="179" fontId="51" fillId="0" borderId="136"/>
    <xf numFmtId="0" fontId="11" fillId="22" borderId="132" applyNumberFormat="0" applyAlignment="0" applyProtection="0"/>
    <xf numFmtId="171" fontId="51" fillId="0" borderId="136"/>
    <xf numFmtId="171" fontId="51" fillId="0" borderId="136"/>
    <xf numFmtId="0" fontId="18" fillId="9" borderId="132" applyNumberFormat="0" applyAlignment="0" applyProtection="0"/>
    <xf numFmtId="172" fontId="51" fillId="0" borderId="136"/>
    <xf numFmtId="171" fontId="51" fillId="0" borderId="136"/>
    <xf numFmtId="174" fontId="51" fillId="0" borderId="136"/>
    <xf numFmtId="171" fontId="51" fillId="0" borderId="136"/>
    <xf numFmtId="174" fontId="51" fillId="0" borderId="136"/>
    <xf numFmtId="175" fontId="51" fillId="0" borderId="136"/>
    <xf numFmtId="176" fontId="51" fillId="0" borderId="136"/>
    <xf numFmtId="0" fontId="8" fillId="25" borderId="133" applyNumberFormat="0" applyFont="0" applyAlignment="0" applyProtection="0"/>
    <xf numFmtId="174" fontId="51" fillId="0" borderId="136"/>
    <xf numFmtId="179" fontId="51" fillId="0" borderId="136"/>
    <xf numFmtId="171" fontId="51" fillId="0" borderId="136"/>
    <xf numFmtId="180" fontId="51" fillId="0" borderId="136"/>
    <xf numFmtId="181" fontId="51" fillId="0" borderId="136"/>
    <xf numFmtId="0" fontId="18" fillId="9" borderId="132" applyNumberFormat="0" applyAlignment="0" applyProtection="0"/>
    <xf numFmtId="179" fontId="51" fillId="0" borderId="136"/>
    <xf numFmtId="179" fontId="51" fillId="0" borderId="136"/>
    <xf numFmtId="174" fontId="51" fillId="0" borderId="136"/>
    <xf numFmtId="171" fontId="51" fillId="0" borderId="136"/>
    <xf numFmtId="175" fontId="51" fillId="0" borderId="136"/>
    <xf numFmtId="171" fontId="51" fillId="0" borderId="136"/>
    <xf numFmtId="171" fontId="51" fillId="0" borderId="136"/>
    <xf numFmtId="174" fontId="51" fillId="0" borderId="136"/>
    <xf numFmtId="174" fontId="51" fillId="0" borderId="136"/>
    <xf numFmtId="171" fontId="51" fillId="0" borderId="136"/>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8" fillId="25" borderId="133" applyNumberFormat="0" applyFont="0" applyAlignment="0" applyProtection="0"/>
    <xf numFmtId="173" fontId="51" fillId="0" borderId="136"/>
    <xf numFmtId="174" fontId="51" fillId="0" borderId="136"/>
    <xf numFmtId="179" fontId="51" fillId="0" borderId="136"/>
    <xf numFmtId="0" fontId="11" fillId="22" borderId="132" applyNumberFormat="0" applyAlignment="0" applyProtection="0"/>
    <xf numFmtId="173" fontId="51" fillId="0" borderId="136"/>
    <xf numFmtId="172" fontId="51" fillId="0" borderId="136"/>
    <xf numFmtId="0" fontId="21" fillId="22" borderId="134" applyNumberFormat="0" applyAlignment="0" applyProtection="0"/>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3" fontId="51" fillId="0" borderId="136"/>
    <xf numFmtId="175" fontId="51" fillId="0" borderId="136"/>
    <xf numFmtId="176"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80" fontId="51" fillId="0" borderId="136"/>
    <xf numFmtId="174" fontId="51" fillId="0" borderId="136"/>
    <xf numFmtId="179" fontId="51" fillId="0" borderId="136"/>
    <xf numFmtId="174" fontId="51" fillId="0" borderId="136"/>
    <xf numFmtId="176" fontId="51" fillId="0" borderId="136"/>
    <xf numFmtId="172"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174" fontId="51" fillId="0" borderId="136"/>
    <xf numFmtId="179" fontId="51" fillId="0" borderId="136"/>
    <xf numFmtId="174" fontId="51" fillId="0" borderId="136"/>
    <xf numFmtId="171" fontId="51" fillId="0" borderId="136"/>
    <xf numFmtId="179" fontId="51" fillId="0" borderId="136"/>
    <xf numFmtId="174" fontId="51" fillId="0" borderId="136"/>
    <xf numFmtId="179" fontId="51" fillId="0" borderId="136"/>
    <xf numFmtId="171" fontId="51" fillId="0" borderId="136"/>
    <xf numFmtId="171" fontId="51" fillId="0" borderId="136"/>
    <xf numFmtId="179"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6" fontId="51" fillId="0" borderId="136"/>
    <xf numFmtId="0" fontId="11" fillId="22" borderId="132" applyNumberFormat="0" applyAlignment="0" applyProtection="0"/>
    <xf numFmtId="180" fontId="51" fillId="0" borderId="136"/>
    <xf numFmtId="179" fontId="51" fillId="0" borderId="136"/>
    <xf numFmtId="171" fontId="51" fillId="0" borderId="136"/>
    <xf numFmtId="171" fontId="51" fillId="0" borderId="136"/>
    <xf numFmtId="174" fontId="51" fillId="0" borderId="136"/>
    <xf numFmtId="174" fontId="51" fillId="0" borderId="136"/>
    <xf numFmtId="171" fontId="51" fillId="0" borderId="136"/>
    <xf numFmtId="0" fontId="23" fillId="0" borderId="135" applyNumberFormat="0" applyFill="0" applyAlignment="0" applyProtection="0"/>
    <xf numFmtId="174" fontId="51" fillId="0" borderId="136"/>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179" fontId="51" fillId="0" borderId="136"/>
    <xf numFmtId="0" fontId="11" fillId="22" borderId="132" applyNumberFormat="0" applyAlignment="0" applyProtection="0"/>
    <xf numFmtId="0" fontId="18" fillId="9" borderId="132" applyNumberFormat="0" applyAlignment="0" applyProtection="0"/>
    <xf numFmtId="174" fontId="51" fillId="0" borderId="136"/>
    <xf numFmtId="171" fontId="51" fillId="0" borderId="136"/>
    <xf numFmtId="179" fontId="51" fillId="0" borderId="136"/>
    <xf numFmtId="174" fontId="51" fillId="0" borderId="136"/>
    <xf numFmtId="171" fontId="51" fillId="0" borderId="136"/>
    <xf numFmtId="171" fontId="51" fillId="0" borderId="136"/>
    <xf numFmtId="174" fontId="51" fillId="0" borderId="136"/>
    <xf numFmtId="179" fontId="51" fillId="0" borderId="136"/>
    <xf numFmtId="171" fontId="51" fillId="0" borderId="136"/>
    <xf numFmtId="179" fontId="51" fillId="0" borderId="136"/>
    <xf numFmtId="0" fontId="11" fillId="22" borderId="132" applyNumberFormat="0" applyAlignment="0" applyProtection="0"/>
    <xf numFmtId="181" fontId="51" fillId="0" borderId="136"/>
    <xf numFmtId="175" fontId="51" fillId="0" borderId="136"/>
    <xf numFmtId="179"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179" fontId="51" fillId="0" borderId="136"/>
    <xf numFmtId="179" fontId="51" fillId="0" borderId="136"/>
    <xf numFmtId="174" fontId="51" fillId="0" borderId="136"/>
    <xf numFmtId="173" fontId="51" fillId="0" borderId="136"/>
    <xf numFmtId="0" fontId="8" fillId="25" borderId="133" applyNumberFormat="0" applyFont="0" applyAlignment="0" applyProtection="0"/>
    <xf numFmtId="174"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23" fillId="0" borderId="135" applyNumberFormat="0" applyFill="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1" fillId="22" borderId="134" applyNumberForma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9" fontId="51" fillId="0" borderId="136"/>
    <xf numFmtId="180" fontId="51" fillId="0" borderId="136"/>
    <xf numFmtId="171" fontId="51" fillId="0" borderId="136"/>
    <xf numFmtId="174" fontId="51" fillId="0" borderId="136"/>
    <xf numFmtId="174" fontId="51" fillId="0" borderId="136"/>
    <xf numFmtId="176" fontId="51" fillId="0" borderId="136"/>
    <xf numFmtId="171"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11" fillId="22"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1" fillId="22" borderId="134" applyNumberFormat="0" applyAlignment="0" applyProtection="0"/>
    <xf numFmtId="0" fontId="18" fillId="9" borderId="132" applyNumberFormat="0" applyAlignment="0" applyProtection="0"/>
    <xf numFmtId="0" fontId="8" fillId="25" borderId="133" applyNumberFormat="0" applyFont="0" applyAlignment="0" applyProtection="0"/>
    <xf numFmtId="175" fontId="51" fillId="0" borderId="136"/>
    <xf numFmtId="179" fontId="51" fillId="0" borderId="136"/>
    <xf numFmtId="171" fontId="51" fillId="0" borderId="136"/>
    <xf numFmtId="172" fontId="51" fillId="0" borderId="136"/>
    <xf numFmtId="173" fontId="51" fillId="0" borderId="136"/>
    <xf numFmtId="0" fontId="8" fillId="25" borderId="133" applyNumberFormat="0" applyFont="0" applyAlignment="0" applyProtection="0"/>
    <xf numFmtId="174" fontId="51" fillId="0" borderId="136"/>
    <xf numFmtId="175" fontId="51" fillId="0" borderId="136"/>
    <xf numFmtId="176" fontId="51" fillId="0" borderId="136"/>
    <xf numFmtId="175" fontId="51" fillId="0" borderId="136"/>
    <xf numFmtId="179" fontId="51" fillId="0" borderId="136"/>
    <xf numFmtId="180" fontId="51" fillId="0" borderId="136"/>
    <xf numFmtId="181" fontId="51" fillId="0" borderId="136"/>
    <xf numFmtId="174" fontId="51" fillId="0" borderId="136"/>
    <xf numFmtId="171" fontId="51" fillId="0" borderId="136"/>
    <xf numFmtId="0" fontId="11" fillId="22" borderId="132" applyNumberFormat="0" applyAlignment="0" applyProtection="0"/>
    <xf numFmtId="0" fontId="8" fillId="25" borderId="133" applyNumberFormat="0" applyFont="0" applyAlignment="0" applyProtection="0"/>
    <xf numFmtId="0" fontId="11" fillId="22" borderId="132" applyNumberFormat="0" applyAlignment="0" applyProtection="0"/>
    <xf numFmtId="181" fontId="51" fillId="0" borderId="136"/>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3" fontId="51" fillId="0" borderId="136"/>
    <xf numFmtId="0" fontId="18" fillId="9"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2" fontId="51" fillId="0" borderId="136"/>
    <xf numFmtId="173" fontId="51" fillId="0" borderId="136"/>
    <xf numFmtId="0" fontId="18" fillId="9" borderId="132" applyNumberFormat="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6" fontId="51" fillId="0" borderId="136"/>
    <xf numFmtId="171" fontId="51" fillId="0" borderId="136"/>
    <xf numFmtId="172" fontId="51" fillId="0" borderId="136"/>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4" fontId="51" fillId="0" borderId="136"/>
    <xf numFmtId="179"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171" fontId="51" fillId="0" borderId="136"/>
    <xf numFmtId="179" fontId="51" fillId="0" borderId="136"/>
    <xf numFmtId="174" fontId="51" fillId="0" borderId="136"/>
    <xf numFmtId="174" fontId="51" fillId="0" borderId="136"/>
    <xf numFmtId="179" fontId="51" fillId="0" borderId="136"/>
    <xf numFmtId="171"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171" fontId="51" fillId="0" borderId="136"/>
    <xf numFmtId="181" fontId="51" fillId="0" borderId="136"/>
    <xf numFmtId="174" fontId="51" fillId="0" borderId="136"/>
    <xf numFmtId="176" fontId="51" fillId="0" borderId="136"/>
    <xf numFmtId="173" fontId="51" fillId="0" borderId="136"/>
    <xf numFmtId="172" fontId="51" fillId="0" borderId="136"/>
    <xf numFmtId="179"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179" fontId="51" fillId="0" borderId="136"/>
    <xf numFmtId="180"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1" fontId="51" fillId="0" borderId="136"/>
    <xf numFmtId="174" fontId="51" fillId="0" borderId="136"/>
    <xf numFmtId="174" fontId="51" fillId="0" borderId="136"/>
    <xf numFmtId="0" fontId="21" fillId="22" borderId="134" applyNumberFormat="0" applyAlignment="0" applyProtection="0"/>
    <xf numFmtId="179" fontId="51" fillId="0" borderId="136"/>
    <xf numFmtId="174" fontId="51" fillId="0" borderId="136"/>
    <xf numFmtId="0" fontId="21" fillId="22" borderId="134" applyNumberFormat="0" applyAlignment="0" applyProtection="0"/>
    <xf numFmtId="0" fontId="8" fillId="25" borderId="133" applyNumberFormat="0" applyFont="0" applyAlignment="0" applyProtection="0"/>
    <xf numFmtId="171" fontId="51" fillId="0" borderId="136"/>
    <xf numFmtId="0" fontId="8" fillId="25" borderId="133" applyNumberFormat="0" applyFont="0" applyAlignment="0" applyProtection="0"/>
    <xf numFmtId="173" fontId="51" fillId="0" borderId="136"/>
    <xf numFmtId="0" fontId="23" fillId="0" borderId="135" applyNumberFormat="0" applyFill="0" applyAlignment="0" applyProtection="0"/>
    <xf numFmtId="175" fontId="51" fillId="0" borderId="136"/>
    <xf numFmtId="174" fontId="51" fillId="0" borderId="136"/>
    <xf numFmtId="0" fontId="23" fillId="0" borderId="135" applyNumberFormat="0" applyFill="0" applyAlignment="0" applyProtection="0"/>
    <xf numFmtId="181" fontId="51" fillId="0" borderId="136"/>
    <xf numFmtId="174" fontId="51" fillId="0" borderId="136"/>
    <xf numFmtId="174" fontId="51" fillId="0" borderId="136"/>
    <xf numFmtId="0" fontId="18" fillId="9" borderId="132" applyNumberFormat="0" applyAlignment="0" applyProtection="0"/>
    <xf numFmtId="0" fontId="21" fillId="22" borderId="134" applyNumberFormat="0" applyAlignment="0" applyProtection="0"/>
    <xf numFmtId="171" fontId="51" fillId="0" borderId="136"/>
    <xf numFmtId="0" fontId="8" fillId="25" borderId="133" applyNumberFormat="0" applyFont="0" applyAlignment="0" applyProtection="0"/>
    <xf numFmtId="172" fontId="51" fillId="0" borderId="136"/>
    <xf numFmtId="176" fontId="51" fillId="0" borderId="136"/>
    <xf numFmtId="0" fontId="23" fillId="0" borderId="135" applyNumberFormat="0" applyFill="0" applyAlignment="0" applyProtection="0"/>
    <xf numFmtId="0" fontId="8" fillId="25" borderId="133" applyNumberFormat="0" applyFont="0" applyAlignment="0" applyProtection="0"/>
    <xf numFmtId="175" fontId="51" fillId="0" borderId="136"/>
    <xf numFmtId="171" fontId="51" fillId="0" borderId="136"/>
    <xf numFmtId="179" fontId="51" fillId="0" borderId="136"/>
    <xf numFmtId="0" fontId="18" fillId="9" borderId="132" applyNumberFormat="0" applyAlignment="0" applyProtection="0"/>
    <xf numFmtId="171" fontId="51" fillId="0" borderId="136"/>
    <xf numFmtId="0" fontId="21" fillId="22" borderId="134" applyNumberFormat="0" applyAlignment="0" applyProtection="0"/>
    <xf numFmtId="179" fontId="51" fillId="0" borderId="136"/>
    <xf numFmtId="171" fontId="51" fillId="0" borderId="136"/>
    <xf numFmtId="179" fontId="51" fillId="0" borderId="136"/>
    <xf numFmtId="174" fontId="51" fillId="0" borderId="136"/>
    <xf numFmtId="172" fontId="51" fillId="0" borderId="136"/>
    <xf numFmtId="171" fontId="51" fillId="0" borderId="136"/>
    <xf numFmtId="174" fontId="51" fillId="0" borderId="136"/>
    <xf numFmtId="173" fontId="51" fillId="0" borderId="136"/>
    <xf numFmtId="180" fontId="51" fillId="0" borderId="136"/>
    <xf numFmtId="179" fontId="51" fillId="0" borderId="136"/>
    <xf numFmtId="174" fontId="51" fillId="0" borderId="136"/>
    <xf numFmtId="171" fontId="51" fillId="0" borderId="136"/>
    <xf numFmtId="179" fontId="51" fillId="0" borderId="136"/>
    <xf numFmtId="174" fontId="51" fillId="0" borderId="136"/>
    <xf numFmtId="171" fontId="51" fillId="0" borderId="136"/>
    <xf numFmtId="179" fontId="51" fillId="0" borderId="136"/>
    <xf numFmtId="179" fontId="51" fillId="0" borderId="136"/>
    <xf numFmtId="180" fontId="51" fillId="0" borderId="136"/>
    <xf numFmtId="176" fontId="51" fillId="0" borderId="136"/>
    <xf numFmtId="171" fontId="51" fillId="0" borderId="136"/>
    <xf numFmtId="0" fontId="23" fillId="0" borderId="135" applyNumberFormat="0" applyFill="0" applyAlignment="0" applyProtection="0"/>
    <xf numFmtId="0" fontId="11" fillId="22" borderId="132" applyNumberFormat="0" applyAlignment="0" applyProtection="0"/>
    <xf numFmtId="171" fontId="51" fillId="0" borderId="136"/>
    <xf numFmtId="173" fontId="51" fillId="0" borderId="136"/>
    <xf numFmtId="171" fontId="51" fillId="0" borderId="136"/>
    <xf numFmtId="174" fontId="51" fillId="0" borderId="136"/>
    <xf numFmtId="179" fontId="51" fillId="0" borderId="136"/>
    <xf numFmtId="171" fontId="51" fillId="0" borderId="136"/>
    <xf numFmtId="0" fontId="18" fillId="9" borderId="132" applyNumberFormat="0" applyAlignment="0" applyProtection="0"/>
    <xf numFmtId="173" fontId="51" fillId="0" borderId="136"/>
    <xf numFmtId="0" fontId="11" fillId="22" borderId="132" applyNumberFormat="0" applyAlignment="0" applyProtection="0"/>
    <xf numFmtId="181" fontId="51" fillId="0" borderId="136"/>
    <xf numFmtId="171" fontId="51" fillId="0" borderId="136"/>
    <xf numFmtId="172" fontId="51" fillId="0" borderId="136"/>
    <xf numFmtId="174" fontId="51" fillId="0" borderId="136"/>
    <xf numFmtId="175" fontId="51" fillId="0" borderId="136"/>
    <xf numFmtId="174" fontId="51" fillId="0" borderId="136"/>
    <xf numFmtId="174" fontId="51" fillId="0" borderId="136"/>
    <xf numFmtId="0" fontId="11" fillId="22" borderId="132" applyNumberFormat="0" applyAlignment="0" applyProtection="0"/>
    <xf numFmtId="171" fontId="51" fillId="0" borderId="136"/>
    <xf numFmtId="174" fontId="51" fillId="0" borderId="136"/>
    <xf numFmtId="181" fontId="51" fillId="0" borderId="136"/>
    <xf numFmtId="171" fontId="51" fillId="0" borderId="136"/>
    <xf numFmtId="174" fontId="51" fillId="0" borderId="136"/>
    <xf numFmtId="176" fontId="51" fillId="0" borderId="136"/>
    <xf numFmtId="172" fontId="51" fillId="0" borderId="136"/>
    <xf numFmtId="180" fontId="51" fillId="0" borderId="136"/>
    <xf numFmtId="181" fontId="51" fillId="0" borderId="136"/>
    <xf numFmtId="179" fontId="51" fillId="0" borderId="136"/>
    <xf numFmtId="0" fontId="8" fillId="25" borderId="133" applyNumberFormat="0" applyFont="0" applyAlignment="0" applyProtection="0"/>
    <xf numFmtId="171" fontId="51" fillId="0" borderId="136"/>
    <xf numFmtId="179" fontId="51" fillId="0" borderId="136"/>
    <xf numFmtId="179" fontId="51" fillId="0" borderId="136"/>
    <xf numFmtId="0" fontId="8" fillId="25" borderId="133" applyNumberFormat="0" applyFont="0" applyAlignment="0" applyProtection="0"/>
    <xf numFmtId="179" fontId="51" fillId="0" borderId="136"/>
    <xf numFmtId="176"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0" fontId="21" fillId="22" borderId="134" applyNumberFormat="0" applyAlignment="0" applyProtection="0"/>
    <xf numFmtId="174" fontId="51" fillId="0" borderId="136"/>
    <xf numFmtId="174" fontId="51" fillId="0" borderId="136"/>
    <xf numFmtId="172" fontId="51" fillId="0" borderId="136"/>
    <xf numFmtId="174" fontId="51" fillId="0" borderId="136"/>
    <xf numFmtId="179" fontId="51" fillId="0" borderId="136"/>
    <xf numFmtId="179" fontId="51" fillId="0" borderId="136"/>
    <xf numFmtId="171" fontId="51" fillId="0" borderId="136"/>
    <xf numFmtId="174" fontId="51" fillId="0" borderId="136"/>
    <xf numFmtId="179" fontId="51" fillId="0" borderId="136"/>
    <xf numFmtId="171" fontId="51" fillId="0" borderId="136"/>
    <xf numFmtId="173" fontId="51" fillId="0" borderId="136"/>
    <xf numFmtId="179" fontId="51" fillId="0" borderId="136"/>
    <xf numFmtId="0" fontId="23" fillId="0" borderId="135" applyNumberFormat="0" applyFill="0" applyAlignment="0" applyProtection="0"/>
    <xf numFmtId="174" fontId="51" fillId="0" borderId="136"/>
    <xf numFmtId="174" fontId="51" fillId="0" borderId="136"/>
    <xf numFmtId="179" fontId="51" fillId="0" borderId="136"/>
    <xf numFmtId="171" fontId="51" fillId="0" borderId="136"/>
    <xf numFmtId="0" fontId="18" fillId="9" borderId="132" applyNumberFormat="0" applyAlignment="0" applyProtection="0"/>
    <xf numFmtId="176" fontId="51" fillId="0" borderId="136"/>
    <xf numFmtId="175" fontId="51" fillId="0" borderId="136"/>
    <xf numFmtId="180" fontId="51" fillId="0" borderId="136"/>
    <xf numFmtId="175" fontId="51" fillId="0" borderId="136"/>
    <xf numFmtId="180" fontId="51" fillId="0" borderId="136"/>
    <xf numFmtId="172" fontId="51" fillId="0" borderId="136"/>
    <xf numFmtId="180" fontId="51" fillId="0" borderId="136"/>
    <xf numFmtId="181" fontId="51" fillId="0" borderId="136"/>
    <xf numFmtId="174" fontId="51" fillId="0" borderId="136"/>
    <xf numFmtId="181" fontId="51" fillId="0" borderId="136"/>
    <xf numFmtId="176" fontId="51" fillId="0" borderId="136"/>
    <xf numFmtId="0" fontId="11" fillId="22" borderId="132" applyNumberFormat="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9" fontId="51" fillId="0" borderId="136"/>
    <xf numFmtId="171" fontId="51" fillId="0" borderId="136"/>
    <xf numFmtId="174" fontId="51" fillId="0" borderId="136"/>
    <xf numFmtId="179" fontId="51" fillId="0" borderId="136"/>
    <xf numFmtId="179" fontId="51" fillId="0" borderId="136"/>
    <xf numFmtId="179" fontId="51" fillId="0" borderId="136"/>
    <xf numFmtId="174" fontId="51" fillId="0" borderId="136"/>
    <xf numFmtId="179" fontId="51" fillId="0" borderId="136"/>
    <xf numFmtId="179" fontId="51" fillId="0" borderId="136"/>
    <xf numFmtId="174" fontId="51" fillId="0" borderId="136"/>
    <xf numFmtId="174" fontId="51" fillId="0" borderId="136"/>
    <xf numFmtId="0" fontId="21" fillId="22" borderId="134" applyNumberFormat="0" applyAlignment="0" applyProtection="0"/>
    <xf numFmtId="174" fontId="51" fillId="0" borderId="136"/>
    <xf numFmtId="0" fontId="23" fillId="0" borderId="135" applyNumberFormat="0" applyFill="0" applyAlignment="0" applyProtection="0"/>
    <xf numFmtId="171" fontId="51" fillId="0" borderId="136"/>
    <xf numFmtId="171" fontId="51" fillId="0" borderId="136"/>
    <xf numFmtId="174" fontId="51" fillId="0" borderId="136"/>
    <xf numFmtId="175" fontId="51" fillId="0" borderId="136"/>
    <xf numFmtId="0" fontId="18" fillId="9" borderId="132" applyNumberFormat="0" applyAlignment="0" applyProtection="0"/>
    <xf numFmtId="171" fontId="51" fillId="0" borderId="136"/>
    <xf numFmtId="0" fontId="21" fillId="22" borderId="134" applyNumberFormat="0" applyAlignment="0" applyProtection="0"/>
    <xf numFmtId="173" fontId="51" fillId="0" borderId="136"/>
    <xf numFmtId="171" fontId="51" fillId="0" borderId="136"/>
    <xf numFmtId="0" fontId="18" fillId="9" borderId="132" applyNumberFormat="0" applyAlignment="0" applyProtection="0"/>
    <xf numFmtId="176" fontId="51" fillId="0" borderId="136"/>
    <xf numFmtId="0" fontId="11" fillId="22" borderId="132" applyNumberFormat="0" applyAlignment="0" applyProtection="0"/>
    <xf numFmtId="171" fontId="51" fillId="0" borderId="136"/>
    <xf numFmtId="17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5" fontId="51" fillId="0" borderId="136"/>
    <xf numFmtId="179" fontId="51" fillId="0" borderId="136"/>
    <xf numFmtId="171" fontId="51" fillId="0" borderId="136"/>
    <xf numFmtId="171" fontId="51" fillId="0" borderId="136"/>
    <xf numFmtId="0" fontId="23" fillId="0" borderId="135" applyNumberFormat="0" applyFill="0" applyAlignment="0" applyProtection="0"/>
    <xf numFmtId="179" fontId="51" fillId="0" borderId="136"/>
    <xf numFmtId="171" fontId="51" fillId="0" borderId="136"/>
    <xf numFmtId="171" fontId="51" fillId="0" borderId="136"/>
    <xf numFmtId="179" fontId="51" fillId="0" borderId="136"/>
    <xf numFmtId="174" fontId="51" fillId="0" borderId="136"/>
    <xf numFmtId="174" fontId="51" fillId="0" borderId="136"/>
    <xf numFmtId="179" fontId="51" fillId="0" borderId="136"/>
    <xf numFmtId="179" fontId="51" fillId="0" borderId="136"/>
    <xf numFmtId="179" fontId="51" fillId="0" borderId="136"/>
    <xf numFmtId="171" fontId="51" fillId="0" borderId="136"/>
    <xf numFmtId="173" fontId="51" fillId="0" borderId="136"/>
    <xf numFmtId="171" fontId="51" fillId="0" borderId="136"/>
    <xf numFmtId="179" fontId="51" fillId="0" borderId="136"/>
    <xf numFmtId="0" fontId="18" fillId="9" borderId="132" applyNumberFormat="0" applyAlignment="0" applyProtection="0"/>
    <xf numFmtId="179" fontId="51" fillId="0" borderId="136"/>
    <xf numFmtId="179" fontId="51" fillId="0" borderId="136"/>
    <xf numFmtId="0" fontId="23" fillId="0" borderId="135" applyNumberFormat="0" applyFill="0" applyAlignment="0" applyProtection="0"/>
    <xf numFmtId="171" fontId="51" fillId="0" borderId="136"/>
    <xf numFmtId="0" fontId="8" fillId="25" borderId="133" applyNumberFormat="0" applyFont="0" applyAlignment="0" applyProtection="0"/>
    <xf numFmtId="0" fontId="18" fillId="9" borderId="132" applyNumberFormat="0" applyAlignment="0" applyProtection="0"/>
    <xf numFmtId="171" fontId="51" fillId="0" borderId="136"/>
    <xf numFmtId="179" fontId="51" fillId="0" borderId="136"/>
    <xf numFmtId="0" fontId="8" fillId="25" borderId="133" applyNumberFormat="0" applyFont="0" applyAlignment="0" applyProtection="0"/>
    <xf numFmtId="0" fontId="11" fillId="22" borderId="132" applyNumberFormat="0" applyAlignment="0" applyProtection="0"/>
    <xf numFmtId="171" fontId="51" fillId="0" borderId="136"/>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1" fontId="51" fillId="0" borderId="136"/>
    <xf numFmtId="180" fontId="51" fillId="0" borderId="136"/>
    <xf numFmtId="174" fontId="51" fillId="0" borderId="136"/>
    <xf numFmtId="174" fontId="51" fillId="0" borderId="136"/>
    <xf numFmtId="173" fontId="51" fillId="0" borderId="136"/>
    <xf numFmtId="179" fontId="51" fillId="0" borderId="136"/>
    <xf numFmtId="172" fontId="51" fillId="0" borderId="136"/>
    <xf numFmtId="0" fontId="21" fillId="22" borderId="134" applyNumberFormat="0" applyAlignment="0" applyProtection="0"/>
    <xf numFmtId="171" fontId="51" fillId="0" borderId="136"/>
    <xf numFmtId="174" fontId="51" fillId="0" borderId="136"/>
    <xf numFmtId="179" fontId="51" fillId="0" borderId="136"/>
    <xf numFmtId="0" fontId="11" fillId="22" borderId="132" applyNumberFormat="0" applyAlignment="0" applyProtection="0"/>
    <xf numFmtId="174" fontId="51" fillId="0" borderId="136"/>
    <xf numFmtId="175" fontId="51" fillId="0" borderId="136"/>
    <xf numFmtId="174" fontId="51" fillId="0" borderId="136"/>
    <xf numFmtId="181" fontId="51" fillId="0" borderId="136"/>
    <xf numFmtId="176" fontId="51" fillId="0" borderId="136"/>
    <xf numFmtId="172"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4" fontId="51" fillId="0" borderId="136"/>
    <xf numFmtId="174" fontId="51" fillId="0" borderId="136"/>
    <xf numFmtId="174" fontId="51" fillId="0" borderId="136"/>
    <xf numFmtId="171" fontId="51" fillId="0" borderId="136"/>
    <xf numFmtId="0" fontId="18" fillId="9" borderId="132" applyNumberFormat="0" applyAlignment="0" applyProtection="0"/>
    <xf numFmtId="174" fontId="51" fillId="0" borderId="136"/>
    <xf numFmtId="171" fontId="51" fillId="0" borderId="136"/>
    <xf numFmtId="179" fontId="51" fillId="0" borderId="136"/>
    <xf numFmtId="173" fontId="51" fillId="0" borderId="136"/>
    <xf numFmtId="173" fontId="51" fillId="0" borderId="136"/>
    <xf numFmtId="171" fontId="51" fillId="0" borderId="136"/>
    <xf numFmtId="173" fontId="51" fillId="0" borderId="136"/>
    <xf numFmtId="174" fontId="51" fillId="0" borderId="136"/>
    <xf numFmtId="176" fontId="51" fillId="0" borderId="136"/>
    <xf numFmtId="171" fontId="51" fillId="0" borderId="136"/>
    <xf numFmtId="0" fontId="11" fillId="22" borderId="132" applyNumberFormat="0" applyAlignment="0" applyProtection="0"/>
    <xf numFmtId="179" fontId="51" fillId="0" borderId="136"/>
    <xf numFmtId="179" fontId="51" fillId="0" borderId="136"/>
    <xf numFmtId="179" fontId="51" fillId="0" borderId="136"/>
    <xf numFmtId="171" fontId="51" fillId="0" borderId="136"/>
    <xf numFmtId="0" fontId="8" fillId="25" borderId="133" applyNumberFormat="0" applyFont="0" applyAlignment="0" applyProtection="0"/>
    <xf numFmtId="171" fontId="51" fillId="0" borderId="136"/>
    <xf numFmtId="180" fontId="51" fillId="0" borderId="136"/>
    <xf numFmtId="174" fontId="51" fillId="0" borderId="136"/>
    <xf numFmtId="175" fontId="51" fillId="0" borderId="136"/>
    <xf numFmtId="0" fontId="18" fillId="9" borderId="132" applyNumberFormat="0" applyAlignment="0" applyProtection="0"/>
    <xf numFmtId="171" fontId="51" fillId="0" borderId="136"/>
    <xf numFmtId="179" fontId="51" fillId="0" borderId="136"/>
    <xf numFmtId="174" fontId="51" fillId="0" borderId="136"/>
    <xf numFmtId="179" fontId="51" fillId="0" borderId="136"/>
    <xf numFmtId="171" fontId="51" fillId="0" borderId="136"/>
    <xf numFmtId="179" fontId="51" fillId="0" borderId="136"/>
    <xf numFmtId="174" fontId="51" fillId="0" borderId="136"/>
    <xf numFmtId="174" fontId="51" fillId="0" borderId="136"/>
    <xf numFmtId="171" fontId="51" fillId="0" borderId="136"/>
    <xf numFmtId="174" fontId="51" fillId="0" borderId="136"/>
    <xf numFmtId="175" fontId="51" fillId="0" borderId="136"/>
    <xf numFmtId="174" fontId="51" fillId="0" borderId="136"/>
    <xf numFmtId="179" fontId="51" fillId="0" borderId="136"/>
    <xf numFmtId="179" fontId="51" fillId="0" borderId="136"/>
    <xf numFmtId="171" fontId="51" fillId="0" borderId="136"/>
    <xf numFmtId="0" fontId="21" fillId="22" borderId="134" applyNumberFormat="0" applyAlignment="0" applyProtection="0"/>
    <xf numFmtId="172" fontId="51" fillId="0" borderId="136"/>
    <xf numFmtId="0" fontId="23" fillId="0" borderId="135" applyNumberFormat="0" applyFill="0" applyAlignment="0" applyProtection="0"/>
    <xf numFmtId="0" fontId="8" fillId="25" borderId="133" applyNumberFormat="0" applyFont="0" applyAlignment="0" applyProtection="0"/>
    <xf numFmtId="175" fontId="51" fillId="0" borderId="136"/>
    <xf numFmtId="0" fontId="23" fillId="0" borderId="135" applyNumberFormat="0" applyFill="0" applyAlignment="0" applyProtection="0"/>
    <xf numFmtId="174" fontId="51" fillId="0" borderId="136"/>
    <xf numFmtId="0" fontId="21" fillId="22" borderId="134" applyNumberFormat="0" applyAlignment="0" applyProtection="0"/>
    <xf numFmtId="171" fontId="51" fillId="0" borderId="136"/>
    <xf numFmtId="181" fontId="51" fillId="0" borderId="136"/>
    <xf numFmtId="171" fontId="51" fillId="0" borderId="136"/>
    <xf numFmtId="179" fontId="51" fillId="0" borderId="136"/>
    <xf numFmtId="0" fontId="11" fillId="22" borderId="132" applyNumberFormat="0" applyAlignment="0" applyProtection="0"/>
    <xf numFmtId="174" fontId="51" fillId="0" borderId="136"/>
    <xf numFmtId="180" fontId="51" fillId="0" borderId="136"/>
    <xf numFmtId="174" fontId="51" fillId="0" borderId="136"/>
    <xf numFmtId="171" fontId="51" fillId="0" borderId="136"/>
    <xf numFmtId="174" fontId="51" fillId="0" borderId="136"/>
    <xf numFmtId="172" fontId="51" fillId="0" borderId="136"/>
    <xf numFmtId="179" fontId="51" fillId="0" borderId="136"/>
    <xf numFmtId="176" fontId="51" fillId="0" borderId="136"/>
    <xf numFmtId="174" fontId="51" fillId="0" borderId="136"/>
    <xf numFmtId="172" fontId="51" fillId="0" borderId="136"/>
    <xf numFmtId="171" fontId="51" fillId="0" borderId="136"/>
    <xf numFmtId="180" fontId="51" fillId="0" borderId="136"/>
    <xf numFmtId="181" fontId="51" fillId="0" borderId="136"/>
    <xf numFmtId="179" fontId="51" fillId="0" borderId="136"/>
    <xf numFmtId="179" fontId="51" fillId="0" borderId="136"/>
    <xf numFmtId="179" fontId="51" fillId="0" borderId="136"/>
    <xf numFmtId="171" fontId="51" fillId="0" borderId="136"/>
    <xf numFmtId="179" fontId="51" fillId="0" borderId="136"/>
    <xf numFmtId="0" fontId="21" fillId="22" borderId="134" applyNumberFormat="0" applyAlignment="0" applyProtection="0"/>
    <xf numFmtId="0" fontId="23" fillId="0" borderId="135" applyNumberFormat="0" applyFill="0" applyAlignment="0" applyProtection="0"/>
    <xf numFmtId="0" fontId="8" fillId="25" borderId="133" applyNumberFormat="0" applyFont="0" applyAlignment="0" applyProtection="0"/>
    <xf numFmtId="181" fontId="51" fillId="0" borderId="136"/>
    <xf numFmtId="171" fontId="51" fillId="0" borderId="136"/>
    <xf numFmtId="174" fontId="51" fillId="0" borderId="136"/>
    <xf numFmtId="179" fontId="51" fillId="0" borderId="136"/>
    <xf numFmtId="171" fontId="51" fillId="0" borderId="136"/>
    <xf numFmtId="0" fontId="8" fillId="25" borderId="133" applyNumberFormat="0" applyFont="0" applyAlignment="0" applyProtection="0"/>
    <xf numFmtId="174" fontId="51" fillId="0" borderId="136"/>
    <xf numFmtId="176" fontId="51" fillId="0" borderId="136"/>
    <xf numFmtId="179" fontId="51" fillId="0" borderId="136"/>
    <xf numFmtId="171" fontId="51" fillId="0" borderId="136"/>
    <xf numFmtId="174"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179" fontId="51" fillId="0" borderId="136"/>
    <xf numFmtId="171" fontId="51" fillId="0" borderId="136"/>
    <xf numFmtId="179" fontId="51" fillId="0" borderId="136"/>
    <xf numFmtId="179" fontId="51" fillId="0" borderId="136"/>
    <xf numFmtId="174" fontId="51" fillId="0" borderId="136"/>
    <xf numFmtId="174" fontId="51" fillId="0" borderId="136"/>
    <xf numFmtId="171" fontId="51" fillId="0" borderId="136"/>
    <xf numFmtId="171"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4" fontId="51" fillId="0" borderId="136"/>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181" fontId="51" fillId="0" borderId="136"/>
    <xf numFmtId="180" fontId="51" fillId="0" borderId="136"/>
    <xf numFmtId="179" fontId="51" fillId="0" borderId="136"/>
    <xf numFmtId="171" fontId="51" fillId="0" borderId="136"/>
    <xf numFmtId="175" fontId="51" fillId="0" borderId="136"/>
    <xf numFmtId="176" fontId="51" fillId="0" borderId="136"/>
    <xf numFmtId="175" fontId="51" fillId="0" borderId="136"/>
    <xf numFmtId="174" fontId="51" fillId="0" borderId="136"/>
    <xf numFmtId="176" fontId="51" fillId="0" borderId="136"/>
    <xf numFmtId="180" fontId="51" fillId="0" borderId="136"/>
    <xf numFmtId="173" fontId="51" fillId="0" borderId="136"/>
    <xf numFmtId="0" fontId="11" fillId="22" borderId="132" applyNumberFormat="0" applyAlignment="0" applyProtection="0"/>
    <xf numFmtId="172" fontId="51" fillId="0" borderId="136"/>
    <xf numFmtId="179" fontId="51" fillId="0" borderId="136"/>
    <xf numFmtId="176" fontId="51" fillId="0" borderId="136"/>
    <xf numFmtId="174" fontId="51" fillId="0" borderId="136"/>
    <xf numFmtId="171" fontId="51" fillId="0" borderId="136"/>
    <xf numFmtId="0" fontId="21" fillId="22" borderId="134" applyNumberFormat="0" applyAlignment="0" applyProtection="0"/>
    <xf numFmtId="0" fontId="23" fillId="0" borderId="135" applyNumberFormat="0" applyFill="0" applyAlignment="0" applyProtection="0"/>
    <xf numFmtId="180" fontId="51" fillId="0" borderId="136"/>
    <xf numFmtId="175" fontId="51" fillId="0" borderId="136"/>
    <xf numFmtId="173" fontId="51" fillId="0" borderId="136"/>
    <xf numFmtId="172" fontId="51" fillId="0" borderId="136"/>
    <xf numFmtId="171" fontId="51" fillId="0" borderId="136"/>
    <xf numFmtId="181" fontId="51" fillId="0" borderId="136"/>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11" fillId="22" borderId="132" applyNumberFormat="0" applyAlignment="0" applyProtection="0"/>
    <xf numFmtId="0" fontId="11" fillId="22" borderId="132" applyNumberFormat="0" applyAlignment="0" applyProtection="0"/>
    <xf numFmtId="0" fontId="21" fillId="22" borderId="134" applyNumberFormat="0" applyAlignment="0" applyProtection="0"/>
    <xf numFmtId="173"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23" fillId="0" borderId="135" applyNumberFormat="0" applyFill="0" applyAlignment="0" applyProtection="0"/>
    <xf numFmtId="171" fontId="51" fillId="0" borderId="136"/>
    <xf numFmtId="172" fontId="51" fillId="0" borderId="136"/>
    <xf numFmtId="0" fontId="11" fillId="22" borderId="132" applyNumberFormat="0" applyAlignment="0" applyProtection="0"/>
    <xf numFmtId="0" fontId="18" fillId="9"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0" fontId="8" fillId="25" borderId="133" applyNumberFormat="0" applyFont="0" applyAlignment="0" applyProtection="0"/>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4"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74" fontId="51" fillId="0" borderId="136"/>
    <xf numFmtId="171" fontId="51" fillId="0" borderId="136"/>
    <xf numFmtId="179" fontId="51" fillId="0" borderId="136"/>
    <xf numFmtId="0" fontId="11" fillId="22" borderId="132" applyNumberFormat="0" applyAlignment="0" applyProtection="0"/>
    <xf numFmtId="181" fontId="51" fillId="0" borderId="136"/>
    <xf numFmtId="171" fontId="51" fillId="0" borderId="136"/>
    <xf numFmtId="0" fontId="23" fillId="0" borderId="135" applyNumberFormat="0" applyFill="0" applyAlignment="0" applyProtection="0"/>
    <xf numFmtId="179" fontId="51" fillId="0" borderId="136"/>
    <xf numFmtId="0" fontId="11" fillId="22" borderId="132" applyNumberFormat="0" applyAlignment="0" applyProtection="0"/>
    <xf numFmtId="171" fontId="51" fillId="0" borderId="136"/>
    <xf numFmtId="171" fontId="51" fillId="0" borderId="136"/>
    <xf numFmtId="0" fontId="18" fillId="9" borderId="132" applyNumberFormat="0" applyAlignment="0" applyProtection="0"/>
    <xf numFmtId="172" fontId="51" fillId="0" borderId="136"/>
    <xf numFmtId="171" fontId="51" fillId="0" borderId="136"/>
    <xf numFmtId="174" fontId="51" fillId="0" borderId="136"/>
    <xf numFmtId="171" fontId="51" fillId="0" borderId="136"/>
    <xf numFmtId="174" fontId="51" fillId="0" borderId="136"/>
    <xf numFmtId="175" fontId="51" fillId="0" borderId="136"/>
    <xf numFmtId="176" fontId="51" fillId="0" borderId="136"/>
    <xf numFmtId="0" fontId="8" fillId="25" borderId="133" applyNumberFormat="0" applyFont="0" applyAlignment="0" applyProtection="0"/>
    <xf numFmtId="174" fontId="51" fillId="0" borderId="136"/>
    <xf numFmtId="179" fontId="51" fillId="0" borderId="136"/>
    <xf numFmtId="171" fontId="51" fillId="0" borderId="136"/>
    <xf numFmtId="180" fontId="51" fillId="0" borderId="136"/>
    <xf numFmtId="181" fontId="51" fillId="0" borderId="136"/>
    <xf numFmtId="0" fontId="18" fillId="9" borderId="132" applyNumberFormat="0" applyAlignment="0" applyProtection="0"/>
    <xf numFmtId="179" fontId="51" fillId="0" borderId="136"/>
    <xf numFmtId="179" fontId="51" fillId="0" borderId="136"/>
    <xf numFmtId="174" fontId="51" fillId="0" borderId="136"/>
    <xf numFmtId="171" fontId="51" fillId="0" borderId="136"/>
    <xf numFmtId="175" fontId="51" fillId="0" borderId="136"/>
    <xf numFmtId="171" fontId="51" fillId="0" borderId="136"/>
    <xf numFmtId="171" fontId="51" fillId="0" borderId="136"/>
    <xf numFmtId="174" fontId="51" fillId="0" borderId="136"/>
    <xf numFmtId="174" fontId="51" fillId="0" borderId="136"/>
    <xf numFmtId="171" fontId="51" fillId="0" borderId="136"/>
    <xf numFmtId="0" fontId="18" fillId="9" borderId="132" applyNumberForma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8" fillId="25" borderId="133" applyNumberFormat="0" applyFont="0" applyAlignment="0" applyProtection="0"/>
    <xf numFmtId="173" fontId="51" fillId="0" borderId="136"/>
    <xf numFmtId="174" fontId="51" fillId="0" borderId="136"/>
    <xf numFmtId="179" fontId="51" fillId="0" borderId="136"/>
    <xf numFmtId="0" fontId="11" fillId="22" borderId="132" applyNumberFormat="0" applyAlignment="0" applyProtection="0"/>
    <xf numFmtId="173" fontId="51" fillId="0" borderId="136"/>
    <xf numFmtId="172" fontId="51" fillId="0" borderId="136"/>
    <xf numFmtId="0" fontId="21" fillId="22" borderId="134" applyNumberFormat="0" applyAlignment="0" applyProtection="0"/>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173" fontId="51" fillId="0" borderId="136"/>
    <xf numFmtId="175" fontId="51" fillId="0" borderId="136"/>
    <xf numFmtId="176"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9" fontId="51" fillId="0" borderId="136"/>
    <xf numFmtId="180" fontId="51" fillId="0" borderId="136"/>
    <xf numFmtId="174" fontId="51" fillId="0" borderId="136"/>
    <xf numFmtId="179" fontId="51" fillId="0" borderId="136"/>
    <xf numFmtId="174" fontId="51" fillId="0" borderId="136"/>
    <xf numFmtId="176" fontId="51" fillId="0" borderId="136"/>
    <xf numFmtId="172"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9" fontId="51" fillId="0" borderId="136"/>
    <xf numFmtId="174" fontId="51" fillId="0" borderId="136"/>
    <xf numFmtId="179" fontId="51" fillId="0" borderId="136"/>
    <xf numFmtId="174" fontId="51" fillId="0" borderId="136"/>
    <xf numFmtId="171" fontId="51" fillId="0" borderId="136"/>
    <xf numFmtId="179" fontId="51" fillId="0" borderId="136"/>
    <xf numFmtId="174" fontId="51" fillId="0" borderId="136"/>
    <xf numFmtId="179" fontId="51" fillId="0" borderId="136"/>
    <xf numFmtId="171" fontId="51" fillId="0" borderId="136"/>
    <xf numFmtId="171" fontId="51" fillId="0" borderId="136"/>
    <xf numFmtId="179" fontId="51" fillId="0" borderId="136"/>
    <xf numFmtId="175" fontId="51" fillId="0" borderId="136"/>
    <xf numFmtId="174" fontId="51" fillId="0" borderId="136"/>
    <xf numFmtId="173" fontId="51" fillId="0" borderId="136"/>
    <xf numFmtId="172" fontId="51" fillId="0" borderId="136"/>
    <xf numFmtId="171" fontId="51" fillId="0" borderId="136"/>
    <xf numFmtId="0" fontId="23" fillId="0" borderId="135" applyNumberFormat="0" applyFill="0" applyAlignment="0" applyProtection="0"/>
    <xf numFmtId="0" fontId="21" fillId="22" borderId="134" applyNumberFormat="0" applyAlignment="0" applyProtection="0"/>
    <xf numFmtId="0" fontId="8" fillId="25" borderId="133" applyNumberFormat="0" applyFont="0" applyAlignment="0" applyProtection="0"/>
    <xf numFmtId="0" fontId="18" fillId="9" borderId="132" applyNumberFormat="0" applyAlignment="0" applyProtection="0"/>
    <xf numFmtId="176" fontId="51" fillId="0" borderId="136"/>
    <xf numFmtId="0" fontId="11" fillId="22" borderId="132" applyNumberFormat="0" applyAlignment="0" applyProtection="0"/>
    <xf numFmtId="180" fontId="51" fillId="0" borderId="136"/>
    <xf numFmtId="179" fontId="51" fillId="0" borderId="136"/>
    <xf numFmtId="171" fontId="51" fillId="0" borderId="136"/>
    <xf numFmtId="171" fontId="51" fillId="0" borderId="136"/>
    <xf numFmtId="174" fontId="51" fillId="0" borderId="136"/>
    <xf numFmtId="174" fontId="51" fillId="0" borderId="136"/>
    <xf numFmtId="171" fontId="51" fillId="0" borderId="136"/>
    <xf numFmtId="0" fontId="23" fillId="0" borderId="135" applyNumberFormat="0" applyFill="0" applyAlignment="0" applyProtection="0"/>
    <xf numFmtId="174" fontId="51" fillId="0" borderId="136"/>
    <xf numFmtId="0" fontId="18" fillId="9" borderId="132" applyNumberFormat="0" applyAlignment="0" applyProtection="0"/>
    <xf numFmtId="0" fontId="21" fillId="22" borderId="134" applyNumberFormat="0" applyAlignment="0" applyProtection="0"/>
    <xf numFmtId="0" fontId="8" fillId="25" borderId="133" applyNumberFormat="0" applyFont="0" applyAlignment="0" applyProtection="0"/>
    <xf numFmtId="179" fontId="51" fillId="0" borderId="136"/>
    <xf numFmtId="0" fontId="11" fillId="22" borderId="132" applyNumberFormat="0" applyAlignment="0" applyProtection="0"/>
    <xf numFmtId="0" fontId="18" fillId="9" borderId="132" applyNumberFormat="0" applyAlignment="0" applyProtection="0"/>
    <xf numFmtId="174" fontId="51" fillId="0" borderId="136"/>
    <xf numFmtId="171" fontId="51" fillId="0" borderId="136"/>
    <xf numFmtId="179" fontId="51" fillId="0" borderId="136"/>
    <xf numFmtId="174" fontId="51" fillId="0" borderId="136"/>
    <xf numFmtId="171" fontId="51" fillId="0" borderId="136"/>
    <xf numFmtId="172" fontId="51" fillId="0" borderId="136"/>
    <xf numFmtId="171" fontId="51" fillId="0" borderId="136"/>
    <xf numFmtId="174" fontId="51" fillId="0" borderId="136"/>
    <xf numFmtId="179" fontId="51" fillId="0" borderId="136"/>
    <xf numFmtId="171" fontId="51" fillId="0" borderId="136"/>
    <xf numFmtId="179" fontId="51" fillId="0" borderId="136"/>
    <xf numFmtId="0" fontId="11" fillId="22" borderId="132" applyNumberFormat="0" applyAlignment="0" applyProtection="0"/>
    <xf numFmtId="181" fontId="51" fillId="0" borderId="136"/>
    <xf numFmtId="175" fontId="51" fillId="0" borderId="136"/>
    <xf numFmtId="179"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23" fillId="0" borderId="135" applyNumberFormat="0" applyFill="0" applyAlignment="0" applyProtection="0"/>
    <xf numFmtId="179" fontId="51" fillId="0" borderId="136"/>
    <xf numFmtId="179" fontId="51" fillId="0" borderId="136"/>
    <xf numFmtId="174" fontId="51" fillId="0" borderId="136"/>
    <xf numFmtId="173" fontId="51" fillId="0" borderId="136"/>
    <xf numFmtId="0" fontId="8" fillId="25" borderId="133" applyNumberFormat="0" applyFont="0" applyAlignment="0" applyProtection="0"/>
    <xf numFmtId="174"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171" fontId="51" fillId="0" borderId="136"/>
    <xf numFmtId="172" fontId="51" fillId="0" borderId="136"/>
    <xf numFmtId="173" fontId="51" fillId="0" borderId="136"/>
    <xf numFmtId="174" fontId="51" fillId="0" borderId="136"/>
    <xf numFmtId="175" fontId="51" fillId="0" borderId="136"/>
    <xf numFmtId="176" fontId="51" fillId="0" borderId="136"/>
    <xf numFmtId="179" fontId="51" fillId="0" borderId="136"/>
    <xf numFmtId="180" fontId="51" fillId="0" borderId="136"/>
    <xf numFmtId="181" fontId="51" fillId="0" borderId="136"/>
    <xf numFmtId="179" fontId="51" fillId="0" borderId="136"/>
    <xf numFmtId="174" fontId="51" fillId="0" borderId="136"/>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11" fillId="22" borderId="132" applyNumberFormat="0" applyAlignment="0" applyProtection="0"/>
    <xf numFmtId="0" fontId="18" fillId="9" borderId="132" applyNumberFormat="0" applyAlignment="0" applyProtection="0"/>
    <xf numFmtId="0" fontId="8" fillId="25" borderId="133" applyNumberFormat="0" applyFont="0" applyAlignment="0" applyProtection="0"/>
    <xf numFmtId="0" fontId="21" fillId="22" borderId="134" applyNumberFormat="0" applyAlignment="0" applyProtection="0"/>
    <xf numFmtId="0" fontId="23" fillId="0" borderId="135" applyNumberFormat="0" applyFill="0" applyAlignment="0" applyProtection="0"/>
    <xf numFmtId="0" fontId="25" fillId="47" borderId="0" applyNumberFormat="0" applyBorder="0" applyAlignment="0" applyProtection="0"/>
    <xf numFmtId="172" fontId="51" fillId="0" borderId="113"/>
    <xf numFmtId="172" fontId="51" fillId="0" borderId="113"/>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7" fillId="0" borderId="107"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21" fillId="22" borderId="134" applyNumberFormat="0" applyAlignment="0" applyProtection="0"/>
    <xf numFmtId="0" fontId="11" fillId="22" borderId="126"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23" fillId="0" borderId="129" applyNumberFormat="0" applyFill="0" applyAlignment="0" applyProtection="0"/>
    <xf numFmtId="0" fontId="11" fillId="22" borderId="126" applyNumberFormat="0" applyAlignment="0" applyProtection="0"/>
    <xf numFmtId="0" fontId="11" fillId="22" borderId="126" applyNumberFormat="0" applyAlignment="0" applyProtection="0"/>
    <xf numFmtId="0" fontId="8" fillId="25" borderId="127" applyNumberFormat="0" applyFont="0" applyAlignment="0" applyProtection="0"/>
    <xf numFmtId="0" fontId="8" fillId="25" borderId="127" applyNumberFormat="0" applyFon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8" fillId="25" borderId="127" applyNumberFormat="0" applyFont="0" applyAlignment="0" applyProtection="0"/>
    <xf numFmtId="0" fontId="18" fillId="9" borderId="126" applyNumberFormat="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8" fillId="25" borderId="127"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8" fillId="25" borderId="127" applyNumberFormat="0" applyFon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8" fillId="25" borderId="127" applyNumberFormat="0" applyFont="0" applyAlignment="0" applyProtection="0"/>
    <xf numFmtId="0" fontId="21" fillId="22" borderId="134" applyNumberFormat="0" applyAlignment="0" applyProtection="0"/>
    <xf numFmtId="0" fontId="8" fillId="25" borderId="127" applyNumberFormat="0" applyFont="0" applyAlignment="0" applyProtection="0"/>
    <xf numFmtId="0" fontId="11" fillId="22" borderId="126" applyNumberFormat="0" applyAlignment="0" applyProtection="0"/>
    <xf numFmtId="0" fontId="21" fillId="22" borderId="134" applyNumberFormat="0" applyAlignment="0" applyProtection="0"/>
    <xf numFmtId="0" fontId="11" fillId="22"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8" fillId="25" borderId="127" applyNumberFormat="0" applyFont="0" applyAlignment="0" applyProtection="0"/>
    <xf numFmtId="0" fontId="8" fillId="25" borderId="127" applyNumberFormat="0" applyFont="0" applyAlignment="0" applyProtection="0"/>
    <xf numFmtId="0" fontId="21" fillId="22" borderId="134" applyNumberFormat="0" applyAlignment="0" applyProtection="0"/>
    <xf numFmtId="0" fontId="18" fillId="9" borderId="126" applyNumberFormat="0" applyAlignment="0" applyProtection="0"/>
    <xf numFmtId="0" fontId="21" fillId="22" borderId="134" applyNumberFormat="0" applyAlignment="0" applyProtection="0"/>
    <xf numFmtId="0" fontId="23" fillId="0" borderId="129" applyNumberFormat="0" applyFill="0" applyAlignment="0" applyProtection="0"/>
    <xf numFmtId="0" fontId="18" fillId="9" borderId="126" applyNumberFormat="0" applyAlignment="0" applyProtection="0"/>
    <xf numFmtId="0" fontId="18" fillId="9" borderId="126" applyNumberFormat="0" applyAlignment="0" applyProtection="0"/>
    <xf numFmtId="0" fontId="21" fillId="22" borderId="134" applyNumberFormat="0" applyAlignment="0" applyProtection="0"/>
    <xf numFmtId="0" fontId="18" fillId="9" borderId="126" applyNumberFormat="0" applyAlignment="0" applyProtection="0"/>
    <xf numFmtId="0" fontId="18" fillId="9" borderId="126" applyNumberFormat="0" applyAlignment="0" applyProtection="0"/>
    <xf numFmtId="0" fontId="21" fillId="22" borderId="134"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8" fillId="25" borderId="127" applyNumberFormat="0" applyFont="0" applyAlignment="0" applyProtection="0"/>
    <xf numFmtId="0" fontId="18" fillId="9" borderId="126" applyNumberFormat="0" applyAlignment="0" applyProtection="0"/>
    <xf numFmtId="0" fontId="18" fillId="9"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8" fillId="25" borderId="127" applyNumberFormat="0" applyFont="0" applyAlignment="0" applyProtection="0"/>
    <xf numFmtId="0" fontId="8" fillId="25" borderId="127" applyNumberFormat="0" applyFon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21" fillId="22" borderId="134" applyNumberFormat="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18" fillId="9" borderId="126" applyNumberFormat="0" applyAlignment="0" applyProtection="0"/>
    <xf numFmtId="0" fontId="11" fillId="22" borderId="126" applyNumberFormat="0" applyAlignment="0" applyProtection="0"/>
    <xf numFmtId="0" fontId="23" fillId="0" borderId="129" applyNumberFormat="0" applyFill="0" applyAlignment="0" applyProtection="0"/>
    <xf numFmtId="0" fontId="21" fillId="22" borderId="134"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1" fillId="22" borderId="134" applyNumberFormat="0" applyAlignment="0" applyProtection="0"/>
    <xf numFmtId="0" fontId="18" fillId="9" borderId="126"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3" fillId="0" borderId="129" applyNumberFormat="0" applyFill="0" applyAlignment="0" applyProtection="0"/>
    <xf numFmtId="0" fontId="11" fillId="22" borderId="126" applyNumberFormat="0" applyAlignment="0" applyProtection="0"/>
    <xf numFmtId="0" fontId="21" fillId="22" borderId="134" applyNumberFormat="0" applyAlignment="0" applyProtection="0"/>
    <xf numFmtId="0" fontId="23" fillId="0" borderId="129" applyNumberFormat="0" applyFill="0" applyAlignment="0" applyProtection="0"/>
    <xf numFmtId="0" fontId="21" fillId="22" borderId="134" applyNumberFormat="0" applyAlignment="0" applyProtection="0"/>
    <xf numFmtId="0" fontId="23" fillId="0" borderId="129" applyNumberFormat="0" applyFill="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8" fillId="25" borderId="127" applyNumberFormat="0" applyFont="0" applyAlignment="0" applyProtection="0"/>
    <xf numFmtId="0" fontId="8" fillId="25" borderId="127" applyNumberFormat="0" applyFont="0" applyAlignment="0" applyProtection="0"/>
    <xf numFmtId="0" fontId="8" fillId="25" borderId="127" applyNumberFormat="0" applyFont="0" applyAlignment="0" applyProtection="0"/>
    <xf numFmtId="0" fontId="23" fillId="0" borderId="129" applyNumberFormat="0" applyFill="0" applyAlignment="0" applyProtection="0"/>
    <xf numFmtId="0" fontId="11" fillId="22" borderId="126" applyNumberFormat="0" applyAlignment="0" applyProtection="0"/>
    <xf numFmtId="0" fontId="23" fillId="0" borderId="129" applyNumberFormat="0" applyFill="0" applyAlignment="0" applyProtection="0"/>
    <xf numFmtId="0" fontId="8" fillId="25" borderId="127" applyNumberFormat="0" applyFont="0" applyAlignment="0" applyProtection="0"/>
    <xf numFmtId="0" fontId="23" fillId="0" borderId="129" applyNumberFormat="0" applyFill="0" applyAlignment="0" applyProtection="0"/>
    <xf numFmtId="0" fontId="18" fillId="9" borderId="126" applyNumberFormat="0" applyAlignment="0" applyProtection="0"/>
    <xf numFmtId="0" fontId="18" fillId="9" borderId="126" applyNumberFormat="0" applyAlignment="0" applyProtection="0"/>
    <xf numFmtId="0" fontId="21" fillId="22" borderId="134" applyNumberFormat="0" applyAlignment="0" applyProtection="0"/>
    <xf numFmtId="0" fontId="8" fillId="25" borderId="127" applyNumberFormat="0" applyFont="0" applyAlignment="0" applyProtection="0"/>
    <xf numFmtId="0" fontId="18" fillId="9" borderId="126" applyNumberFormat="0" applyAlignment="0" applyProtection="0"/>
    <xf numFmtId="0" fontId="8" fillId="25" borderId="127" applyNumberFormat="0" applyFont="0" applyAlignment="0" applyProtection="0"/>
    <xf numFmtId="0" fontId="11" fillId="22" borderId="126"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8" fillId="25" borderId="127" applyNumberFormat="0" applyFont="0" applyAlignment="0" applyProtection="0"/>
    <xf numFmtId="0" fontId="11" fillId="22" borderId="126" applyNumberFormat="0" applyAlignment="0" applyProtection="0"/>
    <xf numFmtId="0" fontId="21" fillId="22" borderId="134" applyNumberFormat="0" applyAlignment="0" applyProtection="0"/>
    <xf numFmtId="0" fontId="21" fillId="22" borderId="134" applyNumberFormat="0" applyAlignment="0" applyProtection="0"/>
    <xf numFmtId="0" fontId="8" fillId="25" borderId="127" applyNumberFormat="0" applyFont="0" applyAlignment="0" applyProtection="0"/>
    <xf numFmtId="0" fontId="21" fillId="22" borderId="134" applyNumberFormat="0" applyAlignment="0" applyProtection="0"/>
    <xf numFmtId="0" fontId="18" fillId="9" borderId="126" applyNumberFormat="0" applyAlignment="0" applyProtection="0"/>
    <xf numFmtId="0" fontId="8" fillId="25" borderId="127" applyNumberFormat="0" applyFont="0" applyAlignment="0" applyProtection="0"/>
    <xf numFmtId="0" fontId="23" fillId="0" borderId="129" applyNumberFormat="0" applyFill="0" applyAlignment="0" applyProtection="0"/>
    <xf numFmtId="0" fontId="18" fillId="9" borderId="126" applyNumberFormat="0" applyAlignment="0" applyProtection="0"/>
    <xf numFmtId="0" fontId="18" fillId="9" borderId="126" applyNumberFormat="0" applyAlignment="0" applyProtection="0"/>
    <xf numFmtId="0" fontId="21" fillId="22" borderId="134"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23" fillId="0" borderId="129" applyNumberFormat="0" applyFill="0" applyAlignment="0" applyProtection="0"/>
    <xf numFmtId="0" fontId="8" fillId="25" borderId="127" applyNumberFormat="0" applyFont="0" applyAlignment="0" applyProtection="0"/>
    <xf numFmtId="0" fontId="8" fillId="25" borderId="127" applyNumberFormat="0" applyFont="0" applyAlignment="0" applyProtection="0"/>
    <xf numFmtId="0" fontId="23" fillId="0" borderId="129" applyNumberFormat="0" applyFill="0" applyAlignment="0" applyProtection="0"/>
    <xf numFmtId="0" fontId="11" fillId="22" borderId="126" applyNumberFormat="0" applyAlignment="0" applyProtection="0"/>
    <xf numFmtId="0" fontId="21" fillId="22" borderId="134" applyNumberFormat="0" applyAlignment="0" applyProtection="0"/>
    <xf numFmtId="0" fontId="23" fillId="0" borderId="129" applyNumberFormat="0" applyFill="0" applyAlignment="0" applyProtection="0"/>
    <xf numFmtId="0" fontId="21" fillId="22" borderId="134" applyNumberFormat="0" applyAlignment="0" applyProtection="0"/>
    <xf numFmtId="0" fontId="8" fillId="25" borderId="127" applyNumberFormat="0" applyFont="0" applyAlignment="0" applyProtection="0"/>
    <xf numFmtId="0" fontId="8" fillId="25" borderId="127" applyNumberFormat="0" applyFont="0" applyAlignment="0" applyProtection="0"/>
    <xf numFmtId="0" fontId="18" fillId="9" borderId="126" applyNumberFormat="0" applyAlignment="0" applyProtection="0"/>
    <xf numFmtId="0" fontId="21" fillId="22" borderId="134" applyNumberFormat="0" applyAlignment="0" applyProtection="0"/>
    <xf numFmtId="0" fontId="11" fillId="22" borderId="126" applyNumberFormat="0" applyAlignment="0" applyProtection="0"/>
    <xf numFmtId="0" fontId="8" fillId="25" borderId="127" applyNumberFormat="0" applyFont="0" applyAlignment="0" applyProtection="0"/>
    <xf numFmtId="0" fontId="18" fillId="9" borderId="126" applyNumberFormat="0" applyAlignment="0" applyProtection="0"/>
    <xf numFmtId="0" fontId="21" fillId="22" borderId="134" applyNumberFormat="0" applyAlignment="0" applyProtection="0"/>
    <xf numFmtId="0" fontId="18" fillId="9" borderId="126" applyNumberFormat="0" applyAlignment="0" applyProtection="0"/>
    <xf numFmtId="0" fontId="8" fillId="25" borderId="127" applyNumberFormat="0" applyFont="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8" fillId="25" borderId="127"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8" fillId="25" borderId="127" applyNumberFormat="0" applyFont="0" applyAlignment="0" applyProtection="0"/>
    <xf numFmtId="0" fontId="11" fillId="22"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8" fillId="9" borderId="126" applyNumberFormat="0" applyAlignment="0" applyProtection="0"/>
    <xf numFmtId="0" fontId="11" fillId="22"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21" fillId="22" borderId="134" applyNumberFormat="0" applyAlignment="0" applyProtection="0"/>
    <xf numFmtId="0" fontId="23" fillId="0" borderId="129" applyNumberFormat="0" applyFill="0" applyAlignment="0" applyProtection="0"/>
    <xf numFmtId="0" fontId="11" fillId="22" borderId="126" applyNumberFormat="0" applyAlignment="0" applyProtection="0"/>
    <xf numFmtId="0" fontId="11" fillId="22" borderId="126" applyNumberFormat="0" applyAlignment="0" applyProtection="0"/>
    <xf numFmtId="0" fontId="18" fillId="9" borderId="126" applyNumberFormat="0" applyAlignment="0" applyProtection="0"/>
    <xf numFmtId="0" fontId="18" fillId="9" borderId="126" applyNumberFormat="0" applyAlignment="0" applyProtection="0"/>
    <xf numFmtId="0" fontId="8" fillId="25" borderId="127" applyNumberFormat="0" applyFont="0" applyAlignment="0" applyProtection="0"/>
    <xf numFmtId="0" fontId="8" fillId="25" borderId="127" applyNumberFormat="0" applyFont="0" applyAlignment="0" applyProtection="0"/>
    <xf numFmtId="0" fontId="21" fillId="22" borderId="134" applyNumberFormat="0" applyAlignment="0" applyProtection="0"/>
    <xf numFmtId="0" fontId="21" fillId="22" borderId="134" applyNumberFormat="0" applyAlignment="0" applyProtection="0"/>
    <xf numFmtId="0" fontId="23" fillId="0" borderId="129" applyNumberFormat="0" applyFill="0" applyAlignment="0" applyProtection="0"/>
    <xf numFmtId="0" fontId="23" fillId="0" borderId="129" applyNumberFormat="0" applyFill="0" applyAlignment="0" applyProtection="0"/>
    <xf numFmtId="0" fontId="8" fillId="25" borderId="12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7" fillId="0" borderId="0"/>
    <xf numFmtId="0" fontId="56" fillId="0" borderId="0"/>
    <xf numFmtId="0" fontId="57" fillId="0" borderId="0"/>
    <xf numFmtId="0" fontId="57" fillId="0" borderId="0"/>
    <xf numFmtId="0" fontId="57" fillId="0" borderId="0"/>
    <xf numFmtId="0" fontId="58" fillId="0" borderId="0"/>
    <xf numFmtId="0" fontId="56" fillId="0" borderId="0"/>
    <xf numFmtId="0" fontId="57"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8" fillId="0" borderId="0"/>
    <xf numFmtId="0" fontId="58" fillId="0" borderId="0"/>
    <xf numFmtId="0" fontId="56" fillId="0" borderId="0"/>
    <xf numFmtId="0" fontId="5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8" fillId="0" borderId="0"/>
    <xf numFmtId="0" fontId="56" fillId="0" borderId="0"/>
    <xf numFmtId="0" fontId="56" fillId="0" borderId="0"/>
    <xf numFmtId="0" fontId="56"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8" fillId="0" borderId="0"/>
    <xf numFmtId="0" fontId="57" fillId="0" borderId="0"/>
    <xf numFmtId="0" fontId="56" fillId="0" borderId="0"/>
    <xf numFmtId="0" fontId="58" fillId="0" borderId="0"/>
    <xf numFmtId="0" fontId="56" fillId="0" borderId="0"/>
    <xf numFmtId="0" fontId="56" fillId="0" borderId="0"/>
    <xf numFmtId="0" fontId="57" fillId="0" borderId="0"/>
    <xf numFmtId="0" fontId="58"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6" fillId="0" borderId="0"/>
    <xf numFmtId="0" fontId="58" fillId="0" borderId="0"/>
    <xf numFmtId="0" fontId="56" fillId="0" borderId="0"/>
    <xf numFmtId="0" fontId="57" fillId="0" borderId="0"/>
    <xf numFmtId="0" fontId="57" fillId="0" borderId="0"/>
    <xf numFmtId="0" fontId="5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57" fillId="0" borderId="0"/>
    <xf numFmtId="0" fontId="57" fillId="0" borderId="0"/>
    <xf numFmtId="0" fontId="56" fillId="0" borderId="0"/>
    <xf numFmtId="0" fontId="57" fillId="0" borderId="0"/>
    <xf numFmtId="0" fontId="57" fillId="0" borderId="0"/>
    <xf numFmtId="0" fontId="56" fillId="0" borderId="0"/>
    <xf numFmtId="0" fontId="56" fillId="0" borderId="0"/>
    <xf numFmtId="0" fontId="58" fillId="0" borderId="0"/>
    <xf numFmtId="0" fontId="57" fillId="0" borderId="0"/>
    <xf numFmtId="0" fontId="56"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7" fillId="0" borderId="0"/>
    <xf numFmtId="0" fontId="5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6"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56" fillId="0" borderId="0"/>
    <xf numFmtId="0" fontId="58" fillId="0" borderId="0"/>
    <xf numFmtId="0" fontId="58" fillId="0" borderId="0"/>
    <xf numFmtId="0" fontId="58" fillId="0" borderId="0"/>
    <xf numFmtId="0" fontId="1" fillId="0" borderId="0"/>
    <xf numFmtId="0" fontId="37" fillId="0" borderId="0" applyNumberFormat="0" applyFont="0" applyFill="0" applyBorder="0" applyAlignment="0" applyProtection="0"/>
    <xf numFmtId="0" fontId="58" fillId="0" borderId="0"/>
    <xf numFmtId="0" fontId="5" fillId="0" borderId="0"/>
    <xf numFmtId="183" fontId="1" fillId="0" borderId="0" applyNumberFormat="0" applyFont="0" applyAlignment="0" applyProtection="0"/>
    <xf numFmtId="183" fontId="1" fillId="0" borderId="0" applyNumberFormat="0" applyFont="0" applyAlignment="0" applyProtection="0"/>
    <xf numFmtId="0" fontId="60" fillId="0" borderId="150" applyNumberFormat="0" applyAlignment="0" applyProtection="0"/>
    <xf numFmtId="0" fontId="61" fillId="0" borderId="0" applyNumberFormat="0" applyAlignment="0" applyProtection="0"/>
    <xf numFmtId="0" fontId="62" fillId="0" borderId="0" applyNumberFormat="0" applyAlignment="0" applyProtection="0"/>
    <xf numFmtId="0" fontId="61" fillId="0" borderId="151" applyNumberFormat="0" applyAlignment="0" applyProtection="0"/>
    <xf numFmtId="0" fontId="51" fillId="48" borderId="152" applyNumberFormat="0" applyFont="0" applyAlignment="0" applyProtection="0"/>
    <xf numFmtId="0" fontId="51" fillId="9" borderId="152" applyNumberFormat="0" applyFont="0" applyAlignment="0" applyProtection="0"/>
    <xf numFmtId="0" fontId="51" fillId="49" borderId="152" applyNumberFormat="0" applyFont="0" applyAlignment="0" applyProtection="0"/>
    <xf numFmtId="0" fontId="51" fillId="24" borderId="152" applyNumberFormat="0" applyFont="0" applyAlignment="0" applyProtection="0"/>
    <xf numFmtId="0" fontId="51" fillId="48" borderId="152" applyNumberFormat="0" applyFont="0" applyAlignment="0" applyProtection="0"/>
    <xf numFmtId="0" fontId="63" fillId="0" borderId="0" applyNumberFormat="0" applyFill="0" applyBorder="0" applyAlignment="0" applyProtection="0"/>
    <xf numFmtId="0" fontId="51" fillId="6" borderId="152" applyNumberFormat="0" applyFont="0" applyAlignment="0" applyProtection="0"/>
    <xf numFmtId="184" fontId="1" fillId="50" borderId="153" applyNumberFormat="0">
      <alignment vertical="center"/>
    </xf>
    <xf numFmtId="185" fontId="1" fillId="51" borderId="153" applyNumberFormat="0">
      <alignment vertical="center"/>
    </xf>
    <xf numFmtId="1" fontId="1" fillId="52" borderId="153" applyNumberFormat="0">
      <alignment vertical="center"/>
    </xf>
    <xf numFmtId="184" fontId="1" fillId="52" borderId="153" applyNumberFormat="0">
      <alignment vertical="center"/>
    </xf>
    <xf numFmtId="184" fontId="1" fillId="46" borderId="153" applyNumberFormat="0">
      <alignment vertical="center"/>
    </xf>
    <xf numFmtId="3" fontId="1" fillId="0" borderId="153" applyNumberFormat="0">
      <alignment vertical="center"/>
    </xf>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2"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3"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1"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5"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6"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74"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0"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81"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79" fontId="51" fillId="0" borderId="113"/>
    <xf numFmtId="184" fontId="1" fillId="50" borderId="153" applyNumberFormat="0">
      <alignment vertical="center"/>
    </xf>
    <xf numFmtId="0" fontId="1" fillId="50" borderId="153" applyNumberFormat="0">
      <alignment vertical="center"/>
    </xf>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0" fontId="11" fillId="22" borderId="126" applyNumberFormat="0" applyAlignment="0" applyProtection="0"/>
    <xf numFmtId="185" fontId="64" fillId="0" borderId="154" applyNumberFormat="0" applyFill="0" applyProtection="0">
      <alignment vertical="center"/>
    </xf>
    <xf numFmtId="185" fontId="64" fillId="0" borderId="154" applyNumberFormat="0" applyFill="0" applyProtection="0">
      <alignment vertical="center"/>
    </xf>
    <xf numFmtId="185" fontId="64" fillId="0" borderId="154" applyNumberFormat="0" applyFill="0" applyProtection="0">
      <alignment vertical="center"/>
    </xf>
    <xf numFmtId="185" fontId="64" fillId="0" borderId="154" applyNumberFormat="0" applyFill="0" applyProtection="0">
      <alignment vertical="center"/>
    </xf>
    <xf numFmtId="185" fontId="65" fillId="30" borderId="0" applyNumberFormat="0" applyBorder="0" applyAlignment="0" applyProtection="0">
      <alignment horizontal="left" vertical="center" wrapText="1" indent="10"/>
    </xf>
    <xf numFmtId="0" fontId="66" fillId="0" borderId="0"/>
    <xf numFmtId="0" fontId="66" fillId="0" borderId="0"/>
    <xf numFmtId="0" fontId="66" fillId="0" borderId="0"/>
    <xf numFmtId="0" fontId="66" fillId="0" borderId="0"/>
    <xf numFmtId="37" fontId="5" fillId="0" borderId="148" applyFill="0" applyBorder="0">
      <alignment horizontal="center" vertical="top" wrapText="1"/>
    </xf>
    <xf numFmtId="0" fontId="37" fillId="3" borderId="137">
      <alignment horizontal="right" wrapText="1"/>
      <protection hidden="1"/>
    </xf>
    <xf numFmtId="0" fontId="37" fillId="3" borderId="137">
      <alignment horizontal="right" wrapText="1"/>
      <protection hidden="1"/>
    </xf>
    <xf numFmtId="0" fontId="37" fillId="3" borderId="137">
      <alignment horizontal="right" wrapText="1"/>
      <protection hidden="1"/>
    </xf>
    <xf numFmtId="0" fontId="37" fillId="3" borderId="137">
      <alignment horizontal="right" wrapText="1"/>
      <protection hidden="1"/>
    </xf>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186" fontId="36"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186" fontId="25" fillId="0" borderId="0" applyFont="0" applyFill="0" applyBorder="0" applyAlignment="0" applyProtection="0"/>
    <xf numFmtId="43" fontId="25" fillId="0" borderId="0" applyFont="0" applyFill="0" applyBorder="0" applyAlignment="0" applyProtection="0"/>
    <xf numFmtId="186" fontId="25" fillId="0" borderId="0" applyFont="0" applyFill="0" applyBorder="0" applyAlignment="0" applyProtection="0"/>
    <xf numFmtId="186"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6" fontId="25" fillId="0" borderId="0" applyFont="0" applyFill="0" applyBorder="0" applyAlignment="0" applyProtection="0"/>
    <xf numFmtId="43" fontId="8" fillId="0" borderId="0" applyFont="0" applyFill="0" applyBorder="0" applyAlignment="0" applyProtection="0"/>
    <xf numFmtId="186" fontId="25"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6"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6" fontId="68"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8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1" fillId="31" borderId="0">
      <alignment vertical="top" wrapText="1"/>
      <protection locked="0"/>
    </xf>
    <xf numFmtId="0" fontId="1" fillId="31" borderId="0">
      <alignment vertical="top" wrapText="1"/>
      <protection locked="0"/>
    </xf>
    <xf numFmtId="44" fontId="1" fillId="0" borderId="0" applyFont="0" applyFill="0" applyBorder="0" applyAlignment="0" applyProtection="0"/>
    <xf numFmtId="44" fontId="25"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7" fontId="1" fillId="0" borderId="0" applyFont="0" applyFill="0" applyBorder="0" applyAlignment="0" applyProtection="0"/>
    <xf numFmtId="188" fontId="69" fillId="31" borderId="137">
      <alignment vertical="center"/>
    </xf>
    <xf numFmtId="188" fontId="69" fillId="31" borderId="137">
      <alignment vertical="center"/>
    </xf>
    <xf numFmtId="188" fontId="69" fillId="31" borderId="137">
      <alignment vertical="center"/>
    </xf>
    <xf numFmtId="188" fontId="69" fillId="31" borderId="137">
      <alignment vertical="center"/>
    </xf>
    <xf numFmtId="189" fontId="70" fillId="46" borderId="155">
      <alignment horizontal="center"/>
    </xf>
    <xf numFmtId="189" fontId="70" fillId="46" borderId="155">
      <alignment horizontal="center"/>
    </xf>
    <xf numFmtId="189" fontId="70" fillId="46" borderId="155">
      <alignment horizontal="center"/>
    </xf>
    <xf numFmtId="189" fontId="70" fillId="46" borderId="155">
      <alignment horizontal="center"/>
    </xf>
    <xf numFmtId="189" fontId="70" fillId="46" borderId="155">
      <alignment horizontal="center"/>
    </xf>
    <xf numFmtId="189" fontId="70" fillId="46" borderId="155">
      <alignment horizontal="center"/>
    </xf>
    <xf numFmtId="190" fontId="44" fillId="0" borderId="0">
      <alignment horizontal="right"/>
    </xf>
    <xf numFmtId="0" fontId="1" fillId="3" borderId="156">
      <alignment horizontal="left" wrapText="1" indent="1"/>
    </xf>
    <xf numFmtId="0" fontId="1" fillId="0" borderId="0" applyNumberFormat="0"/>
    <xf numFmtId="0" fontId="1" fillId="0" borderId="0" applyNumberFormat="0"/>
    <xf numFmtId="0" fontId="1" fillId="53" borderId="157" applyNumberFormat="0"/>
    <xf numFmtId="0" fontId="1" fillId="53" borderId="157" applyNumberFormat="0"/>
    <xf numFmtId="191" fontId="71" fillId="0" borderId="0" applyFont="0" applyFill="0" applyBorder="0" applyAlignment="0" applyProtection="0"/>
    <xf numFmtId="0" fontId="70" fillId="53" borderId="158" applyNumberFormat="0"/>
    <xf numFmtId="37" fontId="5" fillId="0" borderId="34" applyNumberFormat="0">
      <alignment horizontal="centerContinuous" vertical="top" wrapText="1"/>
    </xf>
    <xf numFmtId="192" fontId="72" fillId="0" borderId="0" applyFill="0" applyBorder="0"/>
    <xf numFmtId="15" fontId="31" fillId="0" borderId="0" applyFill="0" applyBorder="0" applyProtection="0">
      <alignment horizontal="center"/>
    </xf>
    <xf numFmtId="193" fontId="73" fillId="22" borderId="159" applyAlignment="0" applyProtection="0"/>
    <xf numFmtId="193" fontId="73" fillId="22" borderId="159" applyAlignment="0" applyProtection="0"/>
    <xf numFmtId="193" fontId="73" fillId="22" borderId="159" applyAlignment="0" applyProtection="0"/>
    <xf numFmtId="193" fontId="73" fillId="22" borderId="159" applyAlignment="0" applyProtection="0"/>
    <xf numFmtId="194" fontId="74" fillId="0" borderId="0" applyNumberFormat="0" applyFill="0" applyBorder="0" applyAlignment="0" applyProtection="0"/>
    <xf numFmtId="194" fontId="75" fillId="24" borderId="104" applyAlignment="0">
      <protection locked="0"/>
    </xf>
    <xf numFmtId="195" fontId="31" fillId="0" borderId="0" applyFill="0" applyBorder="0" applyAlignment="0" applyProtection="0"/>
    <xf numFmtId="0" fontId="70" fillId="46" borderId="155">
      <alignment horizontal="center"/>
    </xf>
    <xf numFmtId="0" fontId="70" fillId="46" borderId="155">
      <alignment horizontal="center"/>
    </xf>
    <xf numFmtId="0" fontId="70" fillId="46" borderId="155">
      <alignment horizontal="center"/>
    </xf>
    <xf numFmtId="0" fontId="70" fillId="46" borderId="155">
      <alignment horizontal="center"/>
    </xf>
    <xf numFmtId="0" fontId="70" fillId="46" borderId="155">
      <alignment horizontal="center"/>
    </xf>
    <xf numFmtId="0" fontId="70" fillId="46" borderId="155">
      <alignment horizontal="center"/>
    </xf>
    <xf numFmtId="196" fontId="1" fillId="0" borderId="0" applyFont="0" applyFill="0" applyBorder="0" applyAlignment="0" applyProtection="0"/>
    <xf numFmtId="196" fontId="1" fillId="0" borderId="0" applyFont="0" applyFill="0" applyBorder="0" applyAlignment="0" applyProtection="0"/>
    <xf numFmtId="0" fontId="76" fillId="36" borderId="0">
      <alignment horizontal="right" vertical="center" wrapText="1"/>
    </xf>
    <xf numFmtId="188" fontId="69" fillId="0" borderId="160">
      <alignment vertical="center"/>
    </xf>
    <xf numFmtId="188" fontId="69" fillId="0" borderId="160">
      <alignment vertical="center"/>
    </xf>
    <xf numFmtId="188" fontId="69" fillId="0" borderId="160">
      <alignment vertical="center"/>
    </xf>
    <xf numFmtId="188" fontId="69" fillId="0" borderId="160">
      <alignment vertical="center"/>
    </xf>
    <xf numFmtId="188" fontId="77" fillId="0" borderId="160">
      <alignment vertical="center"/>
    </xf>
    <xf numFmtId="188" fontId="77" fillId="0" borderId="160">
      <alignment vertical="center"/>
    </xf>
    <xf numFmtId="188" fontId="77" fillId="0" borderId="160">
      <alignment vertical="center"/>
    </xf>
    <xf numFmtId="188" fontId="77" fillId="0" borderId="160">
      <alignment vertical="center"/>
    </xf>
    <xf numFmtId="188" fontId="78" fillId="0" borderId="160">
      <alignment vertical="center"/>
    </xf>
    <xf numFmtId="188" fontId="78" fillId="0" borderId="160">
      <alignment vertical="center"/>
    </xf>
    <xf numFmtId="188" fontId="78" fillId="0" borderId="160">
      <alignment vertical="center"/>
    </xf>
    <xf numFmtId="188" fontId="78" fillId="0" borderId="160">
      <alignment vertical="center"/>
    </xf>
    <xf numFmtId="37" fontId="27" fillId="46" borderId="12" applyBorder="0" applyAlignment="0"/>
    <xf numFmtId="37" fontId="27" fillId="46" borderId="12" applyBorder="0" applyAlignment="0"/>
    <xf numFmtId="37" fontId="27" fillId="46" borderId="12" applyBorder="0" applyAlignment="0"/>
    <xf numFmtId="0" fontId="79" fillId="46" borderId="161" applyNumberFormat="0">
      <alignment vertical="center"/>
    </xf>
    <xf numFmtId="37" fontId="27" fillId="46" borderId="12" applyBorder="0" applyAlignment="0"/>
    <xf numFmtId="0" fontId="80" fillId="0" borderId="0">
      <alignment horizontal="left" vertical="top"/>
    </xf>
    <xf numFmtId="0" fontId="81" fillId="0" borderId="0">
      <alignment horizontal="left" indent="1"/>
    </xf>
    <xf numFmtId="0" fontId="82" fillId="0" borderId="0">
      <alignment horizontal="left" indent="2"/>
    </xf>
    <xf numFmtId="0" fontId="83" fillId="0" borderId="0">
      <alignment horizontal="left" indent="2"/>
    </xf>
    <xf numFmtId="197" fontId="27" fillId="51" borderId="160" applyNumberFormat="0" applyFont="0" applyAlignment="0"/>
    <xf numFmtId="197" fontId="27" fillId="51" borderId="160" applyNumberFormat="0" applyFont="0" applyAlignment="0"/>
    <xf numFmtId="197" fontId="27" fillId="51" borderId="160" applyNumberFormat="0" applyFont="0" applyAlignment="0"/>
    <xf numFmtId="197" fontId="27" fillId="51" borderId="160" applyNumberFormat="0" applyFont="0" applyAlignment="0"/>
    <xf numFmtId="0" fontId="84" fillId="0" borderId="0">
      <alignment vertical="top" wrapText="1"/>
    </xf>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0" fontId="17" fillId="0" borderId="107" applyNumberFormat="0" applyFill="0" applyAlignment="0" applyProtection="0"/>
    <xf numFmtId="198" fontId="1" fillId="0" borderId="0" applyFont="0" applyFill="0" applyBorder="0" applyAlignment="0"/>
    <xf numFmtId="198" fontId="1" fillId="0" borderId="0" applyFont="0" applyFill="0" applyBorder="0" applyAlignment="0"/>
    <xf numFmtId="0" fontId="6"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32"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34" fillId="0" borderId="0" applyNumberFormat="0" applyFill="0" applyBorder="0" applyAlignment="0" applyProtection="0"/>
    <xf numFmtId="0" fontId="1" fillId="0" borderId="0">
      <alignment horizontal="left" vertical="top" wrapText="1" indent="2"/>
    </xf>
    <xf numFmtId="0" fontId="1" fillId="0" borderId="0">
      <alignment horizontal="left" vertical="top" wrapText="1" indent="2"/>
    </xf>
    <xf numFmtId="184" fontId="87" fillId="31" borderId="162" applyNumberFormat="0">
      <alignment vertical="center"/>
    </xf>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87" fillId="54" borderId="162" applyNumberFormat="0">
      <alignment vertical="center"/>
      <protection locked="0"/>
    </xf>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87" fillId="54" borderId="162" applyNumberFormat="0">
      <alignment vertical="center"/>
      <protection locked="0"/>
    </xf>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87" fillId="54" borderId="162" applyNumberFormat="0">
      <alignment vertical="center"/>
      <protection locked="0"/>
    </xf>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37" fontId="88" fillId="0" borderId="148" applyNumberFormat="0" applyBorder="0" applyAlignment="0">
      <protection locked="0"/>
    </xf>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87" fillId="54" borderId="162" applyNumberFormat="0">
      <alignment vertical="center"/>
      <protection locked="0"/>
    </xf>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87" fillId="54" borderId="162" applyNumberFormat="0">
      <alignment vertical="center"/>
      <protection locked="0"/>
    </xf>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37" fontId="88" fillId="0" borderId="148" applyNumberFormat="0" applyBorder="0" applyAlignment="0">
      <protection locked="0"/>
    </xf>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37" fontId="88" fillId="0" borderId="148" applyNumberFormat="0" applyBorder="0" applyAlignment="0">
      <protection locked="0"/>
    </xf>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87" fillId="54" borderId="162" applyNumberFormat="0">
      <alignment vertical="center"/>
      <protection locked="0"/>
    </xf>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87" fillId="31" borderId="162" applyNumberFormat="0">
      <alignment vertical="center"/>
    </xf>
    <xf numFmtId="38" fontId="89" fillId="0" borderId="0"/>
    <xf numFmtId="38" fontId="90" fillId="0" borderId="0"/>
    <xf numFmtId="38" fontId="91" fillId="0" borderId="0"/>
    <xf numFmtId="38" fontId="92" fillId="0" borderId="0"/>
    <xf numFmtId="0" fontId="70" fillId="0" borderId="0"/>
    <xf numFmtId="0" fontId="70" fillId="0" borderId="0"/>
    <xf numFmtId="37" fontId="1" fillId="0" borderId="0" applyBorder="0" applyAlignment="0">
      <alignment horizontal="left"/>
      <protection locked="0"/>
    </xf>
    <xf numFmtId="0" fontId="76" fillId="55" borderId="0">
      <alignment horizontal="right" vertical="center" wrapText="1"/>
    </xf>
    <xf numFmtId="0" fontId="1" fillId="0" borderId="164" applyBorder="0">
      <alignment horizontal="center" vertical="center" wrapText="1"/>
    </xf>
    <xf numFmtId="0" fontId="1" fillId="0" borderId="0"/>
    <xf numFmtId="0" fontId="1" fillId="0" borderId="0"/>
    <xf numFmtId="199" fontId="5" fillId="0" borderId="0" applyFont="0" applyFill="0" applyBorder="0" applyAlignment="0" applyProtection="0"/>
    <xf numFmtId="0" fontId="93" fillId="0" borderId="0" applyFill="0">
      <alignment horizontal="centerContinuous" vertical="center"/>
    </xf>
    <xf numFmtId="0" fontId="87" fillId="50" borderId="165" applyNumberFormat="0">
      <alignment vertical="center"/>
      <protection locked="0"/>
    </xf>
    <xf numFmtId="0" fontId="94" fillId="50" borderId="165" applyFont="0">
      <protection locked="0"/>
    </xf>
    <xf numFmtId="0" fontId="95" fillId="0" borderId="0" applyBorder="0">
      <alignment horizontal="left" vertical="top"/>
    </xf>
    <xf numFmtId="0" fontId="87" fillId="50" borderId="165" applyNumberFormat="0">
      <alignment vertical="center"/>
      <protection locked="0"/>
    </xf>
    <xf numFmtId="0" fontId="69" fillId="0" borderId="0">
      <alignment horizontal="left" wrapText="1"/>
    </xf>
    <xf numFmtId="200" fontId="9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1" fillId="0" borderId="0"/>
    <xf numFmtId="0" fontId="31" fillId="0" borderId="0" applyNumberFormat="0" applyFill="0" applyBorder="0" applyAlignment="0" applyProtection="0"/>
    <xf numFmtId="0" fontId="97" fillId="0" borderId="0"/>
    <xf numFmtId="0" fontId="36" fillId="0" borderId="0"/>
    <xf numFmtId="0" fontId="31"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8" fillId="0" borderId="0"/>
    <xf numFmtId="0" fontId="8" fillId="0" borderId="0"/>
    <xf numFmtId="0" fontId="25" fillId="0" borderId="0"/>
    <xf numFmtId="0" fontId="25" fillId="0" borderId="0"/>
    <xf numFmtId="0" fontId="25" fillId="0" borderId="0"/>
    <xf numFmtId="0" fontId="36"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31" fillId="0" borderId="0" applyNumberFormat="0" applyFill="0" applyBorder="0" applyAlignment="0" applyProtection="0"/>
    <xf numFmtId="0" fontId="8" fillId="0" borderId="0"/>
    <xf numFmtId="0" fontId="8"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01" fontId="8" fillId="0" borderId="0"/>
    <xf numFmtId="0" fontId="25" fillId="0" borderId="0"/>
    <xf numFmtId="0" fontId="4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41" fillId="0" borderId="0"/>
    <xf numFmtId="0" fontId="25" fillId="0" borderId="0"/>
    <xf numFmtId="0" fontId="25" fillId="0" borderId="0"/>
    <xf numFmtId="0" fontId="25" fillId="0" borderId="0"/>
    <xf numFmtId="0" fontId="41" fillId="0" borderId="0"/>
    <xf numFmtId="0" fontId="4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1" fillId="0" borderId="0"/>
    <xf numFmtId="0" fontId="41" fillId="0" borderId="0"/>
    <xf numFmtId="0" fontId="4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1" fillId="0" borderId="0"/>
    <xf numFmtId="0" fontId="41" fillId="0" borderId="0"/>
    <xf numFmtId="0" fontId="41" fillId="0" borderId="0"/>
    <xf numFmtId="0" fontId="41" fillId="0" borderId="0"/>
    <xf numFmtId="0" fontId="4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1"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1"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8"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1"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69" fillId="0" borderId="156">
      <alignment horizontal="left" vertical="center" wrapText="1" indent="1"/>
    </xf>
    <xf numFmtId="49" fontId="29" fillId="0" borderId="0">
      <alignment horizontal="right" vertical="top" indent="1"/>
    </xf>
    <xf numFmtId="0" fontId="99" fillId="0" borderId="0">
      <alignment horizontal="left" vertical="top"/>
    </xf>
    <xf numFmtId="0" fontId="29" fillId="0" borderId="0">
      <alignment vertical="top"/>
    </xf>
    <xf numFmtId="0" fontId="69" fillId="0" borderId="156">
      <alignment horizontal="left" vertical="center" wrapText="1" indent="2"/>
    </xf>
    <xf numFmtId="0" fontId="77" fillId="0" borderId="156">
      <alignment horizontal="left" wrapText="1" indent="2"/>
    </xf>
    <xf numFmtId="0" fontId="77" fillId="0" borderId="156">
      <alignment horizontal="left" wrapText="1" indent="1"/>
    </xf>
    <xf numFmtId="202" fontId="5" fillId="0" borderId="0" applyFont="0" applyFill="0" applyBorder="0" applyProtection="0"/>
    <xf numFmtId="202" fontId="5" fillId="0" borderId="0" applyFont="0" applyFill="0" applyBorder="0" applyProtection="0"/>
    <xf numFmtId="202" fontId="100" fillId="0" borderId="0" applyFont="0" applyFill="0" applyBorder="0" applyProtection="0">
      <alignment vertical="center"/>
    </xf>
    <xf numFmtId="0" fontId="37" fillId="0" borderId="167">
      <alignment horizontal="left" vertical="center" wrapText="1" indent="1"/>
    </xf>
    <xf numFmtId="0" fontId="37" fillId="0" borderId="167">
      <alignment horizontal="left" vertical="center" wrapText="1" indent="1"/>
    </xf>
    <xf numFmtId="0" fontId="37" fillId="0" borderId="167">
      <alignment horizontal="left" vertical="center" wrapText="1" indent="1"/>
    </xf>
    <xf numFmtId="0" fontId="37" fillId="0" borderId="167">
      <alignment horizontal="left" vertical="center" wrapText="1" indent="1"/>
    </xf>
    <xf numFmtId="0" fontId="37" fillId="0" borderId="167">
      <alignment horizontal="left" vertical="center" wrapText="1" indent="1"/>
    </xf>
    <xf numFmtId="0" fontId="37" fillId="0" borderId="167">
      <alignment horizontal="left" vertical="center" wrapText="1" indent="1"/>
    </xf>
    <xf numFmtId="0" fontId="37" fillId="0" borderId="167">
      <alignment horizontal="left" vertical="center" wrapText="1" indent="1"/>
    </xf>
    <xf numFmtId="0" fontId="37" fillId="0" borderId="167">
      <alignment horizontal="left" vertical="center" wrapText="1" indent="1"/>
    </xf>
    <xf numFmtId="0" fontId="37" fillId="0" borderId="167">
      <alignment horizontal="left" vertical="center" wrapText="1" indent="1"/>
    </xf>
    <xf numFmtId="0" fontId="37" fillId="0" borderId="167">
      <alignment horizontal="left" vertical="center" wrapText="1" indent="1"/>
    </xf>
    <xf numFmtId="0" fontId="37" fillId="0" borderId="167">
      <alignment horizontal="left" vertical="center" wrapText="1" indent="1"/>
    </xf>
    <xf numFmtId="0" fontId="37" fillId="0" borderId="167">
      <alignment horizontal="left" vertical="center" wrapText="1" indent="1"/>
    </xf>
    <xf numFmtId="188" fontId="69" fillId="26" borderId="160">
      <alignment vertical="center"/>
    </xf>
    <xf numFmtId="188" fontId="69" fillId="26" borderId="160">
      <alignment vertical="center"/>
    </xf>
    <xf numFmtId="188" fontId="69" fillId="26" borderId="160">
      <alignment vertical="center"/>
    </xf>
    <xf numFmtId="188" fontId="69" fillId="26" borderId="160">
      <alignment vertical="center"/>
    </xf>
    <xf numFmtId="0" fontId="1" fillId="30" borderId="0" applyNumberFormat="0"/>
    <xf numFmtId="0" fontId="1" fillId="30" borderId="0" applyNumberFormat="0"/>
    <xf numFmtId="0" fontId="1" fillId="0" borderId="168" applyBorder="0">
      <alignment horizontal="right" vertical="center" wrapText="1"/>
    </xf>
    <xf numFmtId="0" fontId="1" fillId="0" borderId="168" applyBorder="0">
      <alignment horizontal="right" vertical="center" wrapText="1"/>
    </xf>
    <xf numFmtId="0" fontId="101" fillId="0" borderId="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0" fontId="21" fillId="22" borderId="155" applyNumberFormat="0" applyAlignment="0" applyProtection="0"/>
    <xf numFmtId="40" fontId="102" fillId="2" borderId="0">
      <alignment horizontal="right"/>
    </xf>
    <xf numFmtId="0" fontId="103" fillId="2" borderId="0">
      <alignment horizontal="right"/>
    </xf>
    <xf numFmtId="0" fontId="104" fillId="2" borderId="169"/>
    <xf numFmtId="0" fontId="104" fillId="0" borderId="0" applyBorder="0">
      <alignment horizontal="centerContinuous"/>
    </xf>
    <xf numFmtId="0" fontId="105" fillId="0" borderId="0" applyBorder="0">
      <alignment horizontal="centerContinuous"/>
    </xf>
    <xf numFmtId="203" fontId="55" fillId="0" borderId="0" applyFont="0" applyFill="0" applyBorder="0" applyProtection="0">
      <alignment horizontal="center"/>
      <protection locked="0"/>
    </xf>
    <xf numFmtId="9" fontId="1" fillId="0" borderId="0" applyFont="0" applyFill="0" applyBorder="0" applyAlignment="0" applyProtection="0"/>
    <xf numFmtId="9" fontId="25" fillId="0" borderId="0" applyFont="0" applyFill="0" applyBorder="0" applyAlignment="0" applyProtection="0"/>
    <xf numFmtId="9" fontId="36" fillId="0" borderId="0" applyFont="0" applyFill="0" applyBorder="0" applyAlignment="0" applyProtection="0"/>
    <xf numFmtId="9" fontId="6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0" fontId="1" fillId="0" borderId="0">
      <alignment horizontal="left" vertical="top" wrapText="1"/>
    </xf>
    <xf numFmtId="0" fontId="1" fillId="0" borderId="0">
      <alignment horizontal="left" vertical="top" wrapText="1"/>
    </xf>
    <xf numFmtId="0" fontId="1" fillId="49" borderId="157" applyNumberFormat="0"/>
    <xf numFmtId="0" fontId="1" fillId="49" borderId="157" applyNumberFormat="0"/>
    <xf numFmtId="0" fontId="1" fillId="45" borderId="155" applyNumberFormat="0" applyProtection="0">
      <alignment horizontal="left" vertical="center" indent="1"/>
    </xf>
    <xf numFmtId="0" fontId="1" fillId="45" borderId="155" applyNumberFormat="0" applyProtection="0">
      <alignment horizontal="left" vertical="center" indent="1"/>
    </xf>
    <xf numFmtId="0" fontId="1" fillId="45" borderId="155" applyNumberFormat="0" applyProtection="0">
      <alignment horizontal="left" vertical="center" indent="1"/>
    </xf>
    <xf numFmtId="0" fontId="1" fillId="45" borderId="155" applyNumberFormat="0" applyProtection="0">
      <alignment horizontal="left" vertical="center" indent="1"/>
    </xf>
    <xf numFmtId="0" fontId="1" fillId="45" borderId="155" applyNumberFormat="0" applyProtection="0">
      <alignment horizontal="left" vertical="center" indent="1"/>
    </xf>
    <xf numFmtId="0" fontId="1" fillId="45" borderId="155" applyNumberFormat="0" applyProtection="0">
      <alignment horizontal="left" vertical="center" indent="1"/>
    </xf>
    <xf numFmtId="4" fontId="106" fillId="0" borderId="0" applyNumberFormat="0" applyProtection="0">
      <alignment horizontal="right" vertical="center"/>
    </xf>
    <xf numFmtId="0" fontId="1" fillId="56" borderId="157" applyNumberFormat="0"/>
    <xf numFmtId="0" fontId="1" fillId="56" borderId="157" applyNumberFormat="0"/>
    <xf numFmtId="0" fontId="107" fillId="0" borderId="0">
      <alignment horizontal="left" vertical="center" indent="1"/>
    </xf>
    <xf numFmtId="0" fontId="77" fillId="0" borderId="0">
      <alignment horizontal="left" vertical="center" wrapText="1"/>
    </xf>
    <xf numFmtId="0" fontId="77" fillId="0" borderId="156">
      <alignment horizontal="left" wrapText="1" indent="1"/>
    </xf>
    <xf numFmtId="0" fontId="108" fillId="0" borderId="0">
      <alignment horizontal="left" indent="1"/>
    </xf>
    <xf numFmtId="0" fontId="77" fillId="0" borderId="156">
      <alignment horizontal="left" wrapText="1" indent="1"/>
    </xf>
    <xf numFmtId="0" fontId="77" fillId="0" borderId="156">
      <alignment horizontal="left" wrapText="1" indent="1"/>
    </xf>
    <xf numFmtId="0" fontId="1" fillId="46" borderId="170" applyBorder="0" applyAlignment="0">
      <alignment horizontal="center" vertical="top"/>
    </xf>
    <xf numFmtId="0" fontId="76" fillId="37" borderId="0">
      <alignment horizontal="right" vertical="center" wrapText="1"/>
    </xf>
    <xf numFmtId="185" fontId="109" fillId="0" borderId="0" applyNumberFormat="0" applyFill="0" applyBorder="0" applyAlignment="0" applyProtection="0"/>
    <xf numFmtId="0" fontId="56" fillId="0" borderId="0"/>
    <xf numFmtId="49" fontId="77" fillId="0" borderId="0">
      <alignment horizontal="right" vertical="top"/>
    </xf>
    <xf numFmtId="0" fontId="77" fillId="0" borderId="0">
      <alignment horizontal="left" vertical="top" wrapText="1"/>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54" fillId="46" borderId="137">
      <protection locked="0"/>
    </xf>
    <xf numFmtId="0" fontId="110" fillId="0" borderId="0">
      <alignment wrapText="1"/>
    </xf>
    <xf numFmtId="0" fontId="111" fillId="0" borderId="0">
      <alignment horizontal="center" wrapText="1"/>
    </xf>
    <xf numFmtId="0" fontId="65" fillId="0" borderId="0" applyBorder="0">
      <alignment horizontal="center" wrapText="1"/>
    </xf>
    <xf numFmtId="0" fontId="27" fillId="57" borderId="0">
      <alignment horizontal="right" vertical="top" wrapText="1"/>
    </xf>
    <xf numFmtId="0" fontId="112" fillId="0" borderId="0" applyBorder="0">
      <alignment horizontal="center" wrapText="1"/>
    </xf>
    <xf numFmtId="0" fontId="65" fillId="0" borderId="0">
      <alignment horizontal="center" wrapText="1"/>
    </xf>
    <xf numFmtId="0" fontId="111" fillId="0" borderId="0">
      <alignment horizontal="center" wrapText="1"/>
    </xf>
    <xf numFmtId="0" fontId="111" fillId="0" borderId="0">
      <alignment wrapText="1"/>
    </xf>
    <xf numFmtId="0" fontId="72" fillId="0" borderId="0"/>
    <xf numFmtId="0" fontId="111" fillId="0" borderId="0">
      <alignment wrapText="1"/>
    </xf>
    <xf numFmtId="0" fontId="113" fillId="0" borderId="0">
      <alignment wrapText="1"/>
    </xf>
    <xf numFmtId="185" fontId="64" fillId="0" borderId="0" applyBorder="0">
      <alignment vertical="top" wrapText="1"/>
    </xf>
    <xf numFmtId="185" fontId="109" fillId="0" borderId="0" applyBorder="0">
      <alignment vertical="top" wrapText="1"/>
    </xf>
    <xf numFmtId="0" fontId="7" fillId="0" borderId="0"/>
    <xf numFmtId="204" fontId="5" fillId="0" borderId="0">
      <alignment wrapText="1"/>
      <protection locked="0"/>
    </xf>
    <xf numFmtId="204" fontId="27" fillId="30" borderId="0">
      <alignment wrapText="1"/>
      <protection locked="0"/>
    </xf>
    <xf numFmtId="204" fontId="5" fillId="0" borderId="0">
      <alignment wrapText="1"/>
      <protection locked="0"/>
    </xf>
    <xf numFmtId="205" fontId="5" fillId="0" borderId="0">
      <alignment wrapText="1"/>
      <protection locked="0"/>
    </xf>
    <xf numFmtId="205" fontId="5" fillId="0" borderId="0">
      <alignment wrapText="1"/>
      <protection locked="0"/>
    </xf>
    <xf numFmtId="205" fontId="27" fillId="30" borderId="0">
      <alignment wrapText="1"/>
      <protection locked="0"/>
    </xf>
    <xf numFmtId="205" fontId="27" fillId="30" borderId="0">
      <alignment wrapText="1"/>
      <protection locked="0"/>
    </xf>
    <xf numFmtId="205" fontId="5" fillId="0" borderId="0">
      <alignment wrapText="1"/>
      <protection locked="0"/>
    </xf>
    <xf numFmtId="0" fontId="114" fillId="0" borderId="0" applyBorder="0">
      <alignment vertical="top" wrapText="1"/>
    </xf>
    <xf numFmtId="0" fontId="115" fillId="0" borderId="0" applyBorder="0">
      <alignment vertical="top" wrapText="1"/>
    </xf>
    <xf numFmtId="0" fontId="110" fillId="0" borderId="0" applyBorder="0">
      <alignment vertical="top" wrapText="1"/>
    </xf>
    <xf numFmtId="206" fontId="5" fillId="0" borderId="0">
      <alignment wrapText="1"/>
      <protection locked="0"/>
    </xf>
    <xf numFmtId="185" fontId="64" fillId="0" borderId="0" applyBorder="0">
      <alignment vertical="top" wrapText="1"/>
    </xf>
    <xf numFmtId="185" fontId="65" fillId="30" borderId="0" applyBorder="0">
      <alignment vertical="top" wrapText="1"/>
    </xf>
    <xf numFmtId="185" fontId="116" fillId="0" borderId="0" applyBorder="0">
      <alignment vertical="top" wrapText="1"/>
    </xf>
    <xf numFmtId="185" fontId="109" fillId="0" borderId="0" applyBorder="0">
      <alignment vertical="top" wrapText="1"/>
    </xf>
    <xf numFmtId="207" fontId="64" fillId="0" borderId="0" applyBorder="0">
      <alignment vertical="top" wrapText="1"/>
    </xf>
    <xf numFmtId="207" fontId="111" fillId="30" borderId="0" applyBorder="0">
      <alignment vertical="top" wrapText="1"/>
    </xf>
    <xf numFmtId="185" fontId="116" fillId="0" borderId="0" applyBorder="0">
      <alignment vertical="top" wrapText="1"/>
    </xf>
    <xf numFmtId="208" fontId="27" fillId="57" borderId="171">
      <alignment wrapText="1"/>
    </xf>
    <xf numFmtId="209" fontId="27" fillId="57" borderId="171">
      <alignment wrapText="1"/>
    </xf>
    <xf numFmtId="209" fontId="27" fillId="57" borderId="171">
      <alignment wrapText="1"/>
    </xf>
    <xf numFmtId="209" fontId="27" fillId="57" borderId="171">
      <alignment wrapText="1"/>
    </xf>
    <xf numFmtId="0" fontId="111" fillId="0" borderId="34">
      <alignment horizontal="right" wrapText="1"/>
    </xf>
    <xf numFmtId="0" fontId="72" fillId="0" borderId="172">
      <alignment horizontal="right"/>
    </xf>
    <xf numFmtId="0" fontId="111" fillId="0" borderId="34">
      <alignment horizontal="right" wrapText="1"/>
    </xf>
    <xf numFmtId="0" fontId="43" fillId="0" borderId="0">
      <alignment horizontal="left"/>
    </xf>
    <xf numFmtId="0" fontId="44" fillId="0" borderId="0">
      <alignment horizontal="left"/>
    </xf>
    <xf numFmtId="0" fontId="44" fillId="0" borderId="0">
      <alignment horizontal="left" indent="1"/>
    </xf>
    <xf numFmtId="0" fontId="44" fillId="0" borderId="0">
      <alignment horizontal="left" indent="2"/>
    </xf>
    <xf numFmtId="0" fontId="69" fillId="31" borderId="104">
      <alignment horizontal="left" vertical="center" wrapText="1"/>
      <protection locked="0"/>
    </xf>
    <xf numFmtId="202" fontId="5" fillId="0" borderId="0" applyFont="0" applyFill="0" applyBorder="0" applyAlignment="0" applyProtection="0"/>
    <xf numFmtId="184" fontId="117" fillId="57" borderId="0" applyNumberFormat="0">
      <alignment vertical="center"/>
    </xf>
    <xf numFmtId="49" fontId="37" fillId="51" borderId="173">
      <alignment horizontal="center" vertical="center" wrapText="1"/>
    </xf>
    <xf numFmtId="184" fontId="118" fillId="50" borderId="0">
      <alignment vertical="center"/>
    </xf>
    <xf numFmtId="184" fontId="118" fillId="50" borderId="0">
      <alignment vertical="center"/>
    </xf>
    <xf numFmtId="184" fontId="118" fillId="50" borderId="0">
      <alignment vertical="center"/>
    </xf>
    <xf numFmtId="49" fontId="37" fillId="51" borderId="173">
      <alignment horizontal="center" vertical="center" wrapText="1"/>
    </xf>
    <xf numFmtId="184" fontId="118" fillId="50" borderId="0">
      <alignment vertical="center"/>
    </xf>
    <xf numFmtId="184" fontId="118" fillId="50" borderId="0">
      <alignment vertical="center"/>
    </xf>
    <xf numFmtId="49" fontId="37" fillId="51" borderId="173">
      <alignment horizontal="center" vertical="center" wrapText="1"/>
    </xf>
    <xf numFmtId="49" fontId="37" fillId="51" borderId="173">
      <alignment horizontal="center" vertical="center" wrapText="1"/>
    </xf>
    <xf numFmtId="184" fontId="118" fillId="50" borderId="0">
      <alignment vertical="center"/>
    </xf>
    <xf numFmtId="184" fontId="119" fillId="0" borderId="0"/>
    <xf numFmtId="184" fontId="77" fillId="0" borderId="0"/>
    <xf numFmtId="49" fontId="37" fillId="51" borderId="173">
      <alignment horizontal="center" vertical="center" wrapText="1"/>
    </xf>
    <xf numFmtId="49" fontId="37" fillId="51" borderId="173">
      <alignment horizontal="center" vertical="center" wrapText="1"/>
    </xf>
    <xf numFmtId="0" fontId="1" fillId="0" borderId="164" applyBorder="0">
      <alignment horizontal="center" vertical="top" wrapText="1"/>
    </xf>
    <xf numFmtId="183" fontId="1" fillId="0" borderId="174" applyNumberFormat="0" applyFont="0" applyFill="0" applyAlignment="0"/>
    <xf numFmtId="183" fontId="1" fillId="0" borderId="174" applyNumberFormat="0" applyFont="0" applyFill="0" applyAlignment="0"/>
    <xf numFmtId="183" fontId="1" fillId="0" borderId="174" applyNumberFormat="0" applyFont="0" applyFill="0" applyAlignment="0"/>
    <xf numFmtId="183" fontId="1" fillId="0" borderId="174" applyNumberFormat="0" applyFont="0" applyFill="0" applyAlignment="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120" fillId="0" borderId="160">
      <alignment vertical="center" wrapText="1"/>
    </xf>
    <xf numFmtId="0" fontId="120" fillId="0" borderId="160">
      <alignment vertical="center" wrapText="1"/>
    </xf>
    <xf numFmtId="0" fontId="120" fillId="0" borderId="160">
      <alignment vertical="center" wrapText="1"/>
    </xf>
    <xf numFmtId="0" fontId="120" fillId="0" borderId="160">
      <alignment vertical="center" wrapText="1"/>
    </xf>
    <xf numFmtId="210" fontId="37" fillId="0" borderId="28" applyFill="0" applyBorder="0">
      <alignment vertical="top"/>
    </xf>
    <xf numFmtId="41" fontId="1" fillId="0" borderId="0" applyFont="0" applyFill="0" applyBorder="0" applyAlignment="0" applyProtection="0"/>
    <xf numFmtId="41" fontId="1" fillId="0" borderId="0" applyFont="0" applyFill="0" applyBorder="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23" fillId="0" borderId="0"/>
    <xf numFmtId="0" fontId="124" fillId="0" borderId="0"/>
    <xf numFmtId="0" fontId="1" fillId="0" borderId="0"/>
    <xf numFmtId="0" fontId="124" fillId="0" borderId="0"/>
    <xf numFmtId="0" fontId="1" fillId="0" borderId="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8" fillId="25" borderId="180" applyNumberFormat="0" applyFon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8" fillId="9" borderId="179" applyNumberForma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21" fillId="22" borderId="181" applyNumberFormat="0" applyAlignment="0" applyProtection="0"/>
    <xf numFmtId="0" fontId="21" fillId="22" borderId="181"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8" fillId="25" borderId="180" applyNumberFormat="0" applyFont="0" applyAlignment="0" applyProtection="0"/>
    <xf numFmtId="0" fontId="11" fillId="22"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8" fillId="9" borderId="179" applyNumberForma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8" fillId="9" borderId="179" applyNumberForma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21" fillId="22" borderId="181" applyNumberFormat="0" applyAlignment="0" applyProtection="0"/>
    <xf numFmtId="0" fontId="21" fillId="22" borderId="181"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8" fillId="25" borderId="180" applyNumberFormat="0" applyFon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21" fillId="22" borderId="181" applyNumberFormat="0" applyAlignment="0" applyProtection="0"/>
    <xf numFmtId="0" fontId="18" fillId="9" borderId="179" applyNumberFormat="0" applyAlignment="0" applyProtection="0"/>
    <xf numFmtId="0" fontId="11" fillId="22" borderId="179" applyNumberFormat="0" applyAlignment="0" applyProtection="0"/>
    <xf numFmtId="0" fontId="21" fillId="22" borderId="181" applyNumberFormat="0" applyAlignment="0" applyProtection="0"/>
    <xf numFmtId="0" fontId="11" fillId="22" borderId="179" applyNumberFormat="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11" fillId="22"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8" fillId="25" borderId="180" applyNumberFormat="0" applyFont="0" applyAlignment="0" applyProtection="0"/>
    <xf numFmtId="0" fontId="18" fillId="9" borderId="179" applyNumberFormat="0" applyAlignment="0" applyProtection="0"/>
    <xf numFmtId="0" fontId="21" fillId="22" borderId="181" applyNumberForma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8" fillId="25" borderId="180" applyNumberFormat="0" applyFon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11" fillId="22"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3" fillId="0" borderId="182" applyNumberFormat="0" applyFill="0" applyAlignment="0" applyProtection="0"/>
    <xf numFmtId="0" fontId="18" fillId="9" borderId="179" applyNumberFormat="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21" fillId="22" borderId="181" applyNumberFormat="0" applyAlignment="0" applyProtection="0"/>
    <xf numFmtId="0" fontId="21" fillId="22" borderId="181"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8" fillId="25" borderId="180" applyNumberFormat="0" applyFont="0" applyAlignment="0" applyProtection="0"/>
    <xf numFmtId="0" fontId="11" fillId="22"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8" fillId="9" borderId="179" applyNumberForma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8" fillId="9" borderId="179" applyNumberForma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21" fillId="22" borderId="181" applyNumberFormat="0" applyAlignment="0" applyProtection="0"/>
    <xf numFmtId="0" fontId="21" fillId="22" borderId="181"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8" fillId="25" borderId="180" applyNumberFormat="0" applyFont="0" applyAlignment="0" applyProtection="0"/>
    <xf numFmtId="0" fontId="11" fillId="22" borderId="179" applyNumberFormat="0" applyAlignment="0" applyProtection="0"/>
    <xf numFmtId="0" fontId="18" fillId="9" borderId="179" applyNumberForma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8" fillId="9" borderId="179" applyNumberForma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21" fillId="22" borderId="181" applyNumberFormat="0" applyAlignment="0" applyProtection="0"/>
    <xf numFmtId="0" fontId="21" fillId="22" borderId="181"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8" fillId="25" borderId="180" applyNumberFormat="0" applyFont="0" applyAlignment="0" applyProtection="0"/>
    <xf numFmtId="0" fontId="8" fillId="25" borderId="180" applyNumberFormat="0" applyFont="0" applyAlignment="0" applyProtection="0"/>
    <xf numFmtId="0" fontId="18" fillId="9" borderId="179" applyNumberFormat="0" applyAlignment="0" applyProtection="0"/>
    <xf numFmtId="0" fontId="21" fillId="22" borderId="181" applyNumberFormat="0" applyAlignment="0" applyProtection="0"/>
    <xf numFmtId="0" fontId="8" fillId="25" borderId="180" applyNumberFormat="0" applyFont="0" applyAlignment="0" applyProtection="0"/>
    <xf numFmtId="0" fontId="11" fillId="22" borderId="179" applyNumberFormat="0" applyAlignment="0" applyProtection="0"/>
    <xf numFmtId="0" fontId="21" fillId="22" borderId="181" applyNumberFormat="0" applyAlignment="0" applyProtection="0"/>
    <xf numFmtId="0" fontId="21" fillId="22" borderId="181" applyNumberFormat="0" applyAlignment="0" applyProtection="0"/>
    <xf numFmtId="0" fontId="11" fillId="22"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8" fillId="25" borderId="180" applyNumberFormat="0" applyFont="0" applyAlignment="0" applyProtection="0"/>
    <xf numFmtId="0" fontId="18" fillId="9"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21" fillId="22" borderId="181" applyNumberFormat="0" applyAlignment="0" applyProtection="0"/>
    <xf numFmtId="0" fontId="8" fillId="25" borderId="180" applyNumberFormat="0" applyFont="0" applyAlignment="0" applyProtection="0"/>
    <xf numFmtId="0" fontId="18" fillId="9" borderId="179" applyNumberFormat="0" applyAlignment="0" applyProtection="0"/>
    <xf numFmtId="0" fontId="21" fillId="22" borderId="181" applyNumberFormat="0" applyAlignment="0" applyProtection="0"/>
    <xf numFmtId="0" fontId="8" fillId="25" borderId="180" applyNumberFormat="0" applyFont="0" applyAlignment="0" applyProtection="0"/>
    <xf numFmtId="0" fontId="23" fillId="0" borderId="182" applyNumberFormat="0" applyFill="0" applyAlignment="0" applyProtection="0"/>
    <xf numFmtId="0" fontId="18" fillId="9" borderId="179" applyNumberFormat="0" applyAlignment="0" applyProtection="0"/>
    <xf numFmtId="0" fontId="18" fillId="9" borderId="179" applyNumberFormat="0" applyAlignment="0" applyProtection="0"/>
    <xf numFmtId="0" fontId="21" fillId="22" borderId="181" applyNumberFormat="0" applyAlignment="0" applyProtection="0"/>
    <xf numFmtId="0" fontId="21" fillId="22" borderId="181"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21" fillId="22" borderId="181"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8" fillId="25" borderId="180" applyNumberFormat="0" applyFon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23" fillId="0" borderId="182" applyNumberFormat="0" applyFill="0" applyAlignment="0" applyProtection="0"/>
    <xf numFmtId="0" fontId="21" fillId="22" borderId="181" applyNumberFormat="0" applyAlignment="0" applyProtection="0"/>
    <xf numFmtId="0" fontId="11" fillId="22" borderId="179" applyNumberFormat="0" applyAlignment="0" applyProtection="0"/>
    <xf numFmtId="0" fontId="18" fillId="9" borderId="179" applyNumberFormat="0" applyAlignment="0" applyProtection="0"/>
    <xf numFmtId="0" fontId="21" fillId="22" borderId="181" applyNumberFormat="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18" fillId="9" borderId="179" applyNumberFormat="0" applyAlignment="0" applyProtection="0"/>
    <xf numFmtId="0" fontId="11" fillId="22"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11" fillId="22"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18" fillId="9" borderId="179" applyNumberFormat="0" applyAlignment="0" applyProtection="0"/>
    <xf numFmtId="0" fontId="21" fillId="22" borderId="181" applyNumberFormat="0" applyAlignment="0" applyProtection="0"/>
    <xf numFmtId="0" fontId="8" fillId="25" borderId="180" applyNumberFormat="0" applyFont="0" applyAlignment="0" applyProtection="0"/>
    <xf numFmtId="0" fontId="21" fillId="22" borderId="181" applyNumberFormat="0" applyAlignment="0" applyProtection="0"/>
    <xf numFmtId="0" fontId="21" fillId="22" borderId="181" applyNumberFormat="0" applyAlignment="0" applyProtection="0"/>
    <xf numFmtId="0" fontId="18" fillId="9" borderId="179"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11" fillId="22"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11" fillId="22"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18" fillId="9" borderId="179" applyNumberFormat="0" applyAlignment="0" applyProtection="0"/>
    <xf numFmtId="0" fontId="18" fillId="9" borderId="179" applyNumberFormat="0" applyAlignment="0" applyProtection="0"/>
    <xf numFmtId="0" fontId="23" fillId="0" borderId="182" applyNumberFormat="0" applyFill="0" applyAlignment="0" applyProtection="0"/>
    <xf numFmtId="0" fontId="18" fillId="9" borderId="179" applyNumberFormat="0" applyAlignment="0" applyProtection="0"/>
    <xf numFmtId="0" fontId="23" fillId="0" borderId="182" applyNumberFormat="0" applyFill="0" applyAlignment="0" applyProtection="0"/>
    <xf numFmtId="0" fontId="11" fillId="22" borderId="179" applyNumberFormat="0" applyAlignment="0" applyProtection="0"/>
    <xf numFmtId="0" fontId="11" fillId="22"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8" fillId="25" borderId="180" applyNumberFormat="0" applyFont="0" applyAlignment="0" applyProtection="0"/>
    <xf numFmtId="0" fontId="11" fillId="22" borderId="179" applyNumberFormat="0" applyAlignment="0" applyProtection="0"/>
    <xf numFmtId="0" fontId="11" fillId="22"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23" fillId="0" borderId="182" applyNumberFormat="0" applyFill="0" applyAlignment="0" applyProtection="0"/>
    <xf numFmtId="0" fontId="21" fillId="22" borderId="181" applyNumberFormat="0" applyAlignment="0" applyProtection="0"/>
    <xf numFmtId="0" fontId="8" fillId="25" borderId="180" applyNumberFormat="0" applyFont="0" applyAlignment="0" applyProtection="0"/>
    <xf numFmtId="0" fontId="23" fillId="0" borderId="182" applyNumberFormat="0" applyFill="0" applyAlignment="0" applyProtection="0"/>
    <xf numFmtId="0" fontId="11" fillId="22" borderId="179" applyNumberFormat="0" applyAlignment="0" applyProtection="0"/>
    <xf numFmtId="0" fontId="23" fillId="0" borderId="182" applyNumberFormat="0" applyFill="0" applyAlignment="0" applyProtection="0"/>
    <xf numFmtId="0" fontId="8" fillId="25" borderId="180" applyNumberFormat="0" applyFont="0" applyAlignment="0" applyProtection="0"/>
    <xf numFmtId="0" fontId="23" fillId="0" borderId="182" applyNumberFormat="0" applyFill="0" applyAlignment="0" applyProtection="0"/>
    <xf numFmtId="0" fontId="18" fillId="9" borderId="179" applyNumberFormat="0" applyAlignment="0" applyProtection="0"/>
    <xf numFmtId="0" fontId="18" fillId="9" borderId="179" applyNumberFormat="0" applyAlignment="0" applyProtection="0"/>
    <xf numFmtId="0" fontId="21" fillId="22" borderId="181" applyNumberFormat="0" applyAlignment="0" applyProtection="0"/>
    <xf numFmtId="0" fontId="8" fillId="25" borderId="180" applyNumberFormat="0" applyFont="0" applyAlignment="0" applyProtection="0"/>
    <xf numFmtId="0" fontId="21" fillId="22" borderId="181" applyNumberForma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11" fillId="22" borderId="179"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8" fillId="25" borderId="180" applyNumberFormat="0" applyFont="0" applyAlignment="0" applyProtection="0"/>
    <xf numFmtId="0" fontId="11" fillId="22" borderId="179" applyNumberFormat="0" applyAlignment="0" applyProtection="0"/>
    <xf numFmtId="0" fontId="21" fillId="22" borderId="181" applyNumberFormat="0" applyAlignment="0" applyProtection="0"/>
    <xf numFmtId="0" fontId="23" fillId="0" borderId="182" applyNumberFormat="0" applyFill="0" applyAlignment="0" applyProtection="0"/>
    <xf numFmtId="0" fontId="18" fillId="9" borderId="179" applyNumberFormat="0" applyAlignment="0" applyProtection="0"/>
    <xf numFmtId="0" fontId="23" fillId="0" borderId="182" applyNumberFormat="0" applyFill="0" applyAlignment="0" applyProtection="0"/>
    <xf numFmtId="0" fontId="8" fillId="25" borderId="180" applyNumberFormat="0" applyFont="0" applyAlignment="0" applyProtection="0"/>
    <xf numFmtId="0" fontId="21" fillId="22" borderId="181"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21" fillId="22" borderId="181" applyNumberFormat="0" applyAlignment="0" applyProtection="0"/>
    <xf numFmtId="0" fontId="8" fillId="25" borderId="180" applyNumberFormat="0" applyFont="0" applyAlignment="0" applyProtection="0"/>
    <xf numFmtId="0" fontId="21" fillId="22" borderId="181" applyNumberFormat="0" applyAlignment="0" applyProtection="0"/>
    <xf numFmtId="0" fontId="18" fillId="9" borderId="179" applyNumberFormat="0" applyAlignment="0" applyProtection="0"/>
    <xf numFmtId="0" fontId="18" fillId="9" borderId="179" applyNumberFormat="0" applyAlignment="0" applyProtection="0"/>
    <xf numFmtId="0" fontId="23" fillId="0" borderId="182" applyNumberFormat="0" applyFill="0" applyAlignment="0" applyProtection="0"/>
    <xf numFmtId="0" fontId="18" fillId="9" borderId="179" applyNumberFormat="0" applyAlignment="0" applyProtection="0"/>
    <xf numFmtId="0" fontId="8" fillId="25" borderId="180" applyNumberFormat="0" applyFont="0" applyAlignment="0" applyProtection="0"/>
    <xf numFmtId="0" fontId="23" fillId="0" borderId="182" applyNumberFormat="0" applyFill="0" applyAlignment="0" applyProtection="0"/>
    <xf numFmtId="0" fontId="18" fillId="9" borderId="179" applyNumberFormat="0" applyAlignment="0" applyProtection="0"/>
    <xf numFmtId="0" fontId="18" fillId="9" borderId="179" applyNumberFormat="0" applyAlignment="0" applyProtection="0"/>
    <xf numFmtId="0" fontId="11" fillId="22" borderId="179" applyNumberFormat="0" applyAlignment="0" applyProtection="0"/>
    <xf numFmtId="0" fontId="21" fillId="22" borderId="181" applyNumberFormat="0" applyAlignment="0" applyProtection="0"/>
    <xf numFmtId="0" fontId="21" fillId="22" borderId="181" applyNumberFormat="0" applyAlignment="0" applyProtection="0"/>
    <xf numFmtId="0" fontId="18" fillId="9" borderId="179" applyNumberFormat="0" applyAlignment="0" applyProtection="0"/>
    <xf numFmtId="0" fontId="11" fillId="22" borderId="179" applyNumberFormat="0" applyAlignment="0" applyProtection="0"/>
    <xf numFmtId="0" fontId="21" fillId="22" borderId="181" applyNumberFormat="0" applyAlignment="0" applyProtection="0"/>
    <xf numFmtId="0" fontId="23" fillId="0" borderId="182" applyNumberFormat="0" applyFill="0" applyAlignment="0" applyProtection="0"/>
    <xf numFmtId="0" fontId="21" fillId="22" borderId="181" applyNumberFormat="0" applyAlignment="0" applyProtection="0"/>
    <xf numFmtId="0" fontId="11" fillId="22"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8" fillId="9"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21" fillId="22" borderId="181" applyNumberFormat="0" applyAlignment="0" applyProtection="0"/>
    <xf numFmtId="0" fontId="21" fillId="22" borderId="181"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8" fillId="25" borderId="180" applyNumberFormat="0" applyFon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8" fillId="25" borderId="180" applyNumberFormat="0" applyFont="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21" fillId="22" borderId="181" applyNumberFormat="0" applyAlignment="0" applyProtection="0"/>
    <xf numFmtId="0" fontId="23" fillId="0" borderId="182" applyNumberFormat="0" applyFill="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21" fillId="22" borderId="181" applyNumberFormat="0" applyAlignment="0" applyProtection="0"/>
    <xf numFmtId="0" fontId="21" fillId="22" borderId="181"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8" fillId="25" borderId="180" applyNumberFormat="0" applyFont="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8" fillId="25" borderId="180" applyNumberFormat="0" applyFont="0" applyAlignment="0" applyProtection="0"/>
    <xf numFmtId="0" fontId="23" fillId="0" borderId="182" applyNumberFormat="0" applyFill="0" applyAlignment="0" applyProtection="0"/>
    <xf numFmtId="0" fontId="8" fillId="25" borderId="180" applyNumberFormat="0" applyFont="0" applyAlignment="0" applyProtection="0"/>
    <xf numFmtId="0" fontId="23" fillId="0" borderId="182" applyNumberFormat="0" applyFill="0" applyAlignment="0" applyProtection="0"/>
    <xf numFmtId="0" fontId="11" fillId="22" borderId="179" applyNumberFormat="0" applyAlignment="0" applyProtection="0"/>
    <xf numFmtId="0" fontId="21" fillId="22" borderId="181" applyNumberFormat="0" applyAlignment="0" applyProtection="0"/>
    <xf numFmtId="0" fontId="23" fillId="0" borderId="182" applyNumberFormat="0" applyFill="0" applyAlignment="0" applyProtection="0"/>
    <xf numFmtId="0" fontId="21" fillId="22" borderId="181" applyNumberFormat="0" applyAlignment="0" applyProtection="0"/>
    <xf numFmtId="0" fontId="21" fillId="22" borderId="181"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11" fillId="22" borderId="179" applyNumberFormat="0" applyAlignment="0" applyProtection="0"/>
    <xf numFmtId="0" fontId="8" fillId="25" borderId="180" applyNumberFormat="0" applyFont="0" applyAlignment="0" applyProtection="0"/>
    <xf numFmtId="0" fontId="18" fillId="9" borderId="179" applyNumberFormat="0" applyAlignment="0" applyProtection="0"/>
    <xf numFmtId="0" fontId="21" fillId="22" borderId="181" applyNumberFormat="0" applyAlignment="0" applyProtection="0"/>
    <xf numFmtId="0" fontId="18" fillId="9"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18" fillId="9" borderId="179" applyNumberFormat="0" applyAlignment="0" applyProtection="0"/>
    <xf numFmtId="0" fontId="18" fillId="9"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1" fillId="0" borderId="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1" fillId="22" borderId="179" applyNumberFormat="0" applyAlignment="0" applyProtection="0"/>
    <xf numFmtId="0" fontId="18" fillId="9" borderId="179"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1" fillId="22" borderId="179" applyNumberFormat="0" applyAlignment="0" applyProtection="0"/>
    <xf numFmtId="0" fontId="8" fillId="25" borderId="180" applyNumberFormat="0" applyFont="0" applyAlignment="0" applyProtection="0"/>
    <xf numFmtId="0" fontId="41" fillId="0" borderId="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186" fontId="1" fillId="0" borderId="0" applyFont="0" applyFill="0" applyBorder="0" applyAlignment="0" applyProtection="0"/>
    <xf numFmtId="212" fontId="1" fillId="0" borderId="0" applyFont="0" applyFill="0" applyBorder="0" applyAlignment="0" applyProtection="0"/>
    <xf numFmtId="0" fontId="1" fillId="0" borderId="0"/>
    <xf numFmtId="0" fontId="8" fillId="25" borderId="180" applyNumberFormat="0" applyFont="0" applyAlignment="0" applyProtection="0"/>
    <xf numFmtId="0" fontId="21" fillId="22" borderId="181" applyNumberFormat="0" applyAlignment="0" applyProtection="0"/>
    <xf numFmtId="0" fontId="18" fillId="9" borderId="179" applyNumberFormat="0" applyAlignment="0" applyProtection="0"/>
    <xf numFmtId="0" fontId="8" fillId="25" borderId="180" applyNumberFormat="0" applyFont="0" applyAlignment="0" applyProtection="0"/>
    <xf numFmtId="0" fontId="11" fillId="22" borderId="179" applyNumberFormat="0" applyAlignment="0" applyProtection="0"/>
    <xf numFmtId="0" fontId="11" fillId="22" borderId="179" applyNumberFormat="0" applyAlignment="0" applyProtection="0"/>
    <xf numFmtId="0" fontId="21" fillId="22" borderId="181" applyNumberFormat="0" applyAlignment="0" applyProtection="0"/>
    <xf numFmtId="0" fontId="11" fillId="22" borderId="179" applyNumberFormat="0" applyAlignment="0" applyProtection="0"/>
    <xf numFmtId="0" fontId="21" fillId="22" borderId="181"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11" fillId="22" borderId="179" applyNumberFormat="0" applyAlignment="0" applyProtection="0"/>
    <xf numFmtId="0" fontId="8" fillId="25" borderId="180" applyNumberFormat="0" applyFont="0" applyAlignment="0" applyProtection="0"/>
    <xf numFmtId="0" fontId="11" fillId="22" borderId="179" applyNumberFormat="0" applyAlignment="0" applyProtection="0"/>
    <xf numFmtId="0" fontId="8" fillId="25" borderId="180" applyNumberFormat="0" applyFont="0" applyAlignment="0" applyProtection="0"/>
    <xf numFmtId="0" fontId="18" fillId="9" borderId="179" applyNumberFormat="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11" fillId="22" borderId="179" applyNumberFormat="0" applyAlignment="0" applyProtection="0"/>
    <xf numFmtId="0" fontId="18" fillId="9" borderId="179" applyNumberFormat="0" applyAlignment="0" applyProtection="0"/>
    <xf numFmtId="0" fontId="11" fillId="22"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11" fillId="22" borderId="179" applyNumberFormat="0" applyAlignment="0" applyProtection="0"/>
    <xf numFmtId="0" fontId="8" fillId="25" borderId="180" applyNumberFormat="0" applyFont="0" applyAlignment="0" applyProtection="0"/>
    <xf numFmtId="0" fontId="11" fillId="22" borderId="179" applyNumberFormat="0" applyAlignment="0" applyProtection="0"/>
    <xf numFmtId="0" fontId="18" fillId="9" borderId="179" applyNumberFormat="0" applyAlignment="0" applyProtection="0"/>
    <xf numFmtId="0" fontId="8" fillId="25" borderId="180" applyNumberFormat="0" applyFont="0" applyAlignment="0" applyProtection="0"/>
    <xf numFmtId="0" fontId="21" fillId="22" borderId="181" applyNumberFormat="0" applyAlignment="0" applyProtection="0"/>
    <xf numFmtId="0" fontId="23" fillId="0" borderId="182" applyNumberFormat="0" applyFill="0" applyAlignment="0" applyProtection="0"/>
    <xf numFmtId="0" fontId="21" fillId="22" borderId="181" applyNumberFormat="0" applyAlignment="0" applyProtection="0"/>
    <xf numFmtId="0" fontId="11" fillId="22" borderId="179"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21" fillId="22" borderId="181" applyNumberFormat="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18" fillId="9" borderId="179" applyNumberFormat="0" applyAlignment="0" applyProtection="0"/>
    <xf numFmtId="9" fontId="25" fillId="0" borderId="0" applyFont="0" applyFill="0" applyBorder="0" applyAlignment="0" applyProtection="0"/>
    <xf numFmtId="9" fontId="1" fillId="0" borderId="0" applyFont="0" applyFill="0" applyBorder="0" applyAlignment="0" applyProtection="0"/>
    <xf numFmtId="0" fontId="18" fillId="9" borderId="179" applyNumberFormat="0" applyAlignment="0" applyProtection="0"/>
    <xf numFmtId="0" fontId="18" fillId="9" borderId="179"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11" fillId="22" borderId="179"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11" fillId="22" borderId="179"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21" fillId="22" borderId="181" applyNumberForma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186" fontId="1" fillId="0" borderId="0" applyFont="0" applyFill="0" applyBorder="0" applyAlignment="0" applyProtection="0"/>
    <xf numFmtId="0" fontId="8" fillId="25" borderId="180" applyNumberFormat="0" applyFont="0" applyAlignment="0" applyProtection="0"/>
    <xf numFmtId="0" fontId="8" fillId="25" borderId="180" applyNumberFormat="0" applyFont="0" applyAlignment="0" applyProtection="0"/>
    <xf numFmtId="43" fontId="126" fillId="0" borderId="0" applyFont="0" applyFill="0" applyBorder="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44" fontId="41" fillId="0" borderId="0" applyFont="0" applyFill="0" applyBorder="0" applyAlignment="0" applyProtection="0"/>
    <xf numFmtId="0" fontId="8" fillId="25" borderId="180" applyNumberFormat="0" applyFont="0" applyAlignment="0" applyProtection="0"/>
    <xf numFmtId="0" fontId="8" fillId="25" borderId="180" applyNumberFormat="0" applyFont="0" applyAlignment="0" applyProtection="0"/>
    <xf numFmtId="0" fontId="127" fillId="0" borderId="0" applyNumberFormat="0" applyFill="0" applyBorder="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8" fillId="25" borderId="180" applyNumberFormat="0" applyFon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 fillId="0" borderId="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26" fillId="0" borderId="0"/>
    <xf numFmtId="0" fontId="18" fillId="9" borderId="179" applyNumberFormat="0" applyAlignment="0" applyProtection="0"/>
    <xf numFmtId="0" fontId="18" fillId="9" borderId="179" applyNumberFormat="0" applyAlignment="0" applyProtection="0"/>
    <xf numFmtId="0" fontId="1" fillId="0" borderId="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11" fillId="22" borderId="179" applyNumberFormat="0" applyAlignment="0" applyProtection="0"/>
    <xf numFmtId="0" fontId="8" fillId="25" borderId="180" applyNumberFormat="0" applyFon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8" fillId="25" borderId="180" applyNumberFormat="0" applyFon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8" fillId="25" borderId="180" applyNumberFormat="0" applyFont="0" applyAlignment="0" applyProtection="0"/>
    <xf numFmtId="0" fontId="18" fillId="9" borderId="179" applyNumberFormat="0" applyAlignment="0" applyProtection="0"/>
    <xf numFmtId="0" fontId="21" fillId="22" borderId="181" applyNumberFormat="0" applyAlignment="0" applyProtection="0"/>
    <xf numFmtId="0" fontId="23" fillId="0" borderId="182" applyNumberFormat="0" applyFill="0" applyAlignment="0" applyProtection="0"/>
    <xf numFmtId="0" fontId="21" fillId="22" borderId="181" applyNumberFormat="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21" fillId="22" borderId="181" applyNumberFormat="0" applyAlignment="0" applyProtection="0"/>
    <xf numFmtId="0" fontId="23" fillId="0" borderId="182" applyNumberFormat="0" applyFill="0" applyAlignment="0" applyProtection="0"/>
    <xf numFmtId="0" fontId="21" fillId="22" borderId="181" applyNumberFormat="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8" fillId="25" borderId="180" applyNumberFormat="0" applyFont="0" applyAlignment="0" applyProtection="0"/>
    <xf numFmtId="0" fontId="18" fillId="9"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18" fillId="9"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8" fillId="25" borderId="180" applyNumberFormat="0" applyFont="0" applyAlignment="0" applyProtection="0"/>
    <xf numFmtId="0" fontId="18" fillId="9" borderId="179" applyNumberFormat="0" applyAlignment="0" applyProtection="0"/>
    <xf numFmtId="0" fontId="11" fillId="22" borderId="179" applyNumberFormat="0" applyAlignment="0" applyProtection="0"/>
    <xf numFmtId="0" fontId="18" fillId="9"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18" fillId="9"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18" fillId="9" borderId="179" applyNumberFormat="0" applyAlignment="0" applyProtection="0"/>
    <xf numFmtId="0" fontId="11" fillId="22" borderId="179" applyNumberFormat="0" applyAlignment="0" applyProtection="0"/>
    <xf numFmtId="0" fontId="11" fillId="22" borderId="179" applyNumberFormat="0" applyAlignment="0" applyProtection="0"/>
    <xf numFmtId="0" fontId="23" fillId="0" borderId="182" applyNumberFormat="0" applyFill="0" applyAlignment="0" applyProtection="0"/>
    <xf numFmtId="0" fontId="21" fillId="22" borderId="181" applyNumberFormat="0" applyAlignment="0" applyProtection="0"/>
    <xf numFmtId="0" fontId="8" fillId="25" borderId="180" applyNumberFormat="0" applyFont="0" applyAlignment="0" applyProtection="0"/>
    <xf numFmtId="0" fontId="21" fillId="22" borderId="181" applyNumberFormat="0" applyAlignment="0" applyProtection="0"/>
    <xf numFmtId="0" fontId="11" fillId="22" borderId="179" applyNumberFormat="0" applyAlignment="0" applyProtection="0"/>
    <xf numFmtId="0" fontId="18" fillId="9" borderId="179"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182" applyNumberFormat="0" applyFill="0" applyAlignment="0" applyProtection="0"/>
    <xf numFmtId="0" fontId="23" fillId="0" borderId="182" applyNumberFormat="0" applyFill="0" applyAlignment="0" applyProtection="0"/>
    <xf numFmtId="0" fontId="8" fillId="25" borderId="180" applyNumberFormat="0" applyFont="0" applyAlignment="0" applyProtection="0"/>
    <xf numFmtId="0" fontId="18" fillId="9" borderId="179" applyNumberFormat="0" applyAlignment="0" applyProtection="0"/>
    <xf numFmtId="0" fontId="18" fillId="9" borderId="179" applyNumberFormat="0" applyAlignment="0" applyProtection="0"/>
    <xf numFmtId="0" fontId="18" fillId="9" borderId="179" applyNumberFormat="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23" fillId="0" borderId="182" applyNumberFormat="0" applyFill="0" applyAlignment="0" applyProtection="0"/>
    <xf numFmtId="0" fontId="1" fillId="0" borderId="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1" fillId="22" borderId="163" applyNumberFormat="0" applyAlignment="0" applyProtection="0"/>
    <xf numFmtId="0" fontId="18" fillId="9" borderId="163" applyNumberFormat="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1" fillId="22" borderId="163" applyNumberFormat="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1" fillId="22" borderId="163" applyNumberFormat="0" applyAlignment="0" applyProtection="0"/>
    <xf numFmtId="0" fontId="8" fillId="25" borderId="166" applyNumberFormat="0" applyFont="0" applyAlignment="0" applyProtection="0"/>
    <xf numFmtId="0" fontId="18" fillId="9" borderId="163" applyNumberFormat="0" applyAlignment="0" applyProtection="0"/>
    <xf numFmtId="0" fontId="11" fillId="22"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8" fillId="25" borderId="166" applyNumberFormat="0" applyFont="0" applyAlignment="0" applyProtection="0"/>
    <xf numFmtId="0" fontId="18" fillId="9" borderId="163" applyNumberFormat="0" applyAlignment="0" applyProtection="0"/>
    <xf numFmtId="0" fontId="8" fillId="25" borderId="166" applyNumberFormat="0" applyFon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8" fillId="25" borderId="166" applyNumberFormat="0" applyFont="0" applyAlignment="0" applyProtection="0"/>
    <xf numFmtId="0" fontId="8" fillId="25" borderId="166" applyNumberFormat="0" applyFont="0" applyAlignment="0" applyProtection="0"/>
    <xf numFmtId="0" fontId="11" fillId="22" borderId="163" applyNumberFormat="0" applyAlignment="0" applyProtection="0"/>
    <xf numFmtId="0" fontId="8" fillId="25" borderId="166" applyNumberFormat="0" applyFont="0" applyAlignment="0" applyProtection="0"/>
    <xf numFmtId="0" fontId="11" fillId="22" borderId="163" applyNumberFormat="0" applyAlignment="0" applyProtection="0"/>
    <xf numFmtId="0" fontId="8" fillId="25" borderId="166" applyNumberFormat="0" applyFont="0" applyAlignment="0" applyProtection="0"/>
    <xf numFmtId="0" fontId="18" fillId="9" borderId="163" applyNumberFormat="0" applyAlignment="0" applyProtection="0"/>
    <xf numFmtId="0" fontId="8" fillId="25" borderId="166" applyNumberFormat="0" applyFont="0" applyAlignment="0" applyProtection="0"/>
    <xf numFmtId="0" fontId="18" fillId="9" borderId="163" applyNumberFormat="0" applyAlignment="0" applyProtection="0"/>
    <xf numFmtId="0" fontId="11" fillId="22" borderId="163" applyNumberFormat="0" applyAlignment="0" applyProtection="0"/>
    <xf numFmtId="0" fontId="8" fillId="25" borderId="166" applyNumberFormat="0" applyFont="0" applyAlignment="0" applyProtection="0"/>
    <xf numFmtId="0" fontId="18" fillId="9" borderId="163" applyNumberFormat="0" applyAlignment="0" applyProtection="0"/>
    <xf numFmtId="0" fontId="11" fillId="22" borderId="163" applyNumberFormat="0" applyAlignment="0" applyProtection="0"/>
    <xf numFmtId="0" fontId="11" fillId="22" borderId="163" applyNumberFormat="0" applyAlignment="0" applyProtection="0"/>
    <xf numFmtId="0" fontId="18" fillId="9" borderId="163" applyNumberFormat="0" applyAlignment="0" applyProtection="0"/>
    <xf numFmtId="0" fontId="11" fillId="22" borderId="163" applyNumberFormat="0" applyAlignment="0" applyProtection="0"/>
    <xf numFmtId="0" fontId="8" fillId="25" borderId="166" applyNumberFormat="0" applyFont="0" applyAlignment="0" applyProtection="0"/>
    <xf numFmtId="0" fontId="18" fillId="9" borderId="163" applyNumberFormat="0" applyAlignment="0" applyProtection="0"/>
    <xf numFmtId="0" fontId="11" fillId="22" borderId="163" applyNumberFormat="0" applyAlignment="0" applyProtection="0"/>
    <xf numFmtId="0" fontId="11" fillId="22" borderId="163" applyNumberFormat="0" applyAlignment="0" applyProtection="0"/>
    <xf numFmtId="0" fontId="8" fillId="25" borderId="166" applyNumberFormat="0" applyFont="0" applyAlignment="0" applyProtection="0"/>
    <xf numFmtId="0" fontId="11" fillId="22" borderId="163" applyNumberFormat="0" applyAlignment="0" applyProtection="0"/>
    <xf numFmtId="0" fontId="11" fillId="22" borderId="163" applyNumberFormat="0" applyAlignment="0" applyProtection="0"/>
    <xf numFmtId="0" fontId="8" fillId="25" borderId="166" applyNumberFormat="0" applyFont="0" applyAlignment="0" applyProtection="0"/>
    <xf numFmtId="0" fontId="8" fillId="25" borderId="166" applyNumberFormat="0" applyFont="0" applyAlignment="0" applyProtection="0"/>
    <xf numFmtId="0" fontId="18" fillId="9" borderId="163" applyNumberFormat="0" applyAlignment="0" applyProtection="0"/>
    <xf numFmtId="0" fontId="11" fillId="22" borderId="163" applyNumberFormat="0" applyAlignment="0" applyProtection="0"/>
    <xf numFmtId="0" fontId="8" fillId="25" borderId="166" applyNumberFormat="0" applyFont="0" applyAlignment="0" applyProtection="0"/>
    <xf numFmtId="0" fontId="18" fillId="9" borderId="163" applyNumberFormat="0" applyAlignment="0" applyProtection="0"/>
    <xf numFmtId="0" fontId="11" fillId="22"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11" fillId="22" borderId="163" applyNumberFormat="0" applyAlignment="0" applyProtection="0"/>
    <xf numFmtId="0" fontId="11" fillId="22" borderId="163" applyNumberForma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8" fillId="25" borderId="166" applyNumberFormat="0" applyFon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8" fillId="25" borderId="166" applyNumberFormat="0" applyFon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23" fillId="0" borderId="175" applyNumberFormat="0" applyFill="0" applyAlignment="0" applyProtection="0"/>
    <xf numFmtId="0" fontId="8" fillId="25" borderId="166" applyNumberFormat="0" applyFont="0" applyAlignment="0" applyProtection="0"/>
    <xf numFmtId="0" fontId="18" fillId="9" borderId="163" applyNumberFormat="0" applyAlignment="0" applyProtection="0"/>
    <xf numFmtId="0" fontId="11" fillId="22" borderId="163" applyNumberFormat="0" applyAlignment="0" applyProtection="0"/>
    <xf numFmtId="0" fontId="23" fillId="0" borderId="175" applyNumberFormat="0" applyFill="0" applyAlignment="0" applyProtection="0"/>
    <xf numFmtId="0" fontId="8" fillId="25" borderId="166" applyNumberFormat="0" applyFont="0" applyAlignment="0" applyProtection="0"/>
    <xf numFmtId="0" fontId="18" fillId="9" borderId="163" applyNumberFormat="0" applyAlignment="0" applyProtection="0"/>
    <xf numFmtId="0" fontId="23" fillId="0" borderId="175" applyNumberFormat="0" applyFill="0" applyAlignment="0" applyProtection="0"/>
    <xf numFmtId="0" fontId="8" fillId="25" borderId="166" applyNumberFormat="0" applyFont="0" applyAlignment="0" applyProtection="0"/>
    <xf numFmtId="0" fontId="18" fillId="9" borderId="163" applyNumberFormat="0" applyAlignment="0" applyProtection="0"/>
    <xf numFmtId="0" fontId="11" fillId="22" borderId="163" applyNumberFormat="0" applyAlignment="0" applyProtection="0"/>
    <xf numFmtId="0" fontId="11" fillId="22" borderId="163" applyNumberFormat="0" applyAlignment="0" applyProtection="0"/>
    <xf numFmtId="0" fontId="23" fillId="0" borderId="175" applyNumberFormat="0" applyFill="0" applyAlignment="0" applyProtection="0"/>
    <xf numFmtId="0" fontId="23" fillId="0" borderId="175" applyNumberFormat="0" applyFill="0" applyAlignment="0" applyProtection="0"/>
    <xf numFmtId="0" fontId="8" fillId="25" borderId="166" applyNumberFormat="0" applyFont="0" applyAlignment="0" applyProtection="0"/>
    <xf numFmtId="0" fontId="18" fillId="9" borderId="163" applyNumberFormat="0" applyAlignment="0" applyProtection="0"/>
    <xf numFmtId="0" fontId="11" fillId="22" borderId="163" applyNumberFormat="0" applyAlignment="0" applyProtection="0"/>
    <xf numFmtId="0" fontId="23" fillId="0" borderId="175" applyNumberFormat="0" applyFill="0" applyAlignment="0" applyProtection="0"/>
    <xf numFmtId="0" fontId="8" fillId="25" borderId="166" applyNumberFormat="0" applyFont="0" applyAlignment="0" applyProtection="0"/>
    <xf numFmtId="0" fontId="18" fillId="9" borderId="163" applyNumberFormat="0" applyAlignment="0" applyProtection="0"/>
    <xf numFmtId="0" fontId="23" fillId="0" borderId="175" applyNumberFormat="0" applyFill="0" applyAlignment="0" applyProtection="0"/>
    <xf numFmtId="0" fontId="18" fillId="9" borderId="163" applyNumberFormat="0" applyAlignment="0" applyProtection="0"/>
    <xf numFmtId="0" fontId="11" fillId="22" borderId="163" applyNumberFormat="0" applyAlignment="0" applyProtection="0"/>
    <xf numFmtId="0" fontId="23" fillId="0" borderId="175" applyNumberFormat="0" applyFill="0" applyAlignment="0" applyProtection="0"/>
    <xf numFmtId="0" fontId="8" fillId="25" borderId="166" applyNumberFormat="0" applyFont="0" applyAlignment="0" applyProtection="0"/>
    <xf numFmtId="0" fontId="18" fillId="9" borderId="163" applyNumberFormat="0" applyAlignment="0" applyProtection="0"/>
    <xf numFmtId="0" fontId="11" fillId="22" borderId="163" applyNumberFormat="0" applyAlignment="0" applyProtection="0"/>
    <xf numFmtId="0" fontId="18" fillId="9" borderId="163" applyNumberFormat="0" applyAlignment="0" applyProtection="0"/>
    <xf numFmtId="0" fontId="11" fillId="22" borderId="163" applyNumberFormat="0" applyAlignment="0" applyProtection="0"/>
    <xf numFmtId="0" fontId="23" fillId="0" borderId="175" applyNumberFormat="0" applyFill="0" applyAlignment="0" applyProtection="0"/>
    <xf numFmtId="0" fontId="11" fillId="22" borderId="163" applyNumberFormat="0" applyAlignment="0" applyProtection="0"/>
    <xf numFmtId="0" fontId="11" fillId="22" borderId="163" applyNumberFormat="0" applyAlignment="0" applyProtection="0"/>
    <xf numFmtId="0" fontId="11" fillId="22" borderId="163" applyNumberFormat="0" applyAlignment="0" applyProtection="0"/>
    <xf numFmtId="0" fontId="23" fillId="0" borderId="175" applyNumberFormat="0" applyFill="0" applyAlignment="0" applyProtection="0"/>
    <xf numFmtId="0" fontId="8" fillId="25" borderId="166" applyNumberFormat="0" applyFont="0" applyAlignment="0" applyProtection="0"/>
    <xf numFmtId="0" fontId="11" fillId="22" borderId="163" applyNumberFormat="0" applyAlignment="0" applyProtection="0"/>
    <xf numFmtId="0" fontId="18" fillId="9" borderId="163" applyNumberFormat="0" applyAlignment="0" applyProtection="0"/>
    <xf numFmtId="0" fontId="23" fillId="0" borderId="175" applyNumberFormat="0" applyFill="0" applyAlignment="0" applyProtection="0"/>
    <xf numFmtId="0" fontId="8" fillId="25" borderId="166" applyNumberFormat="0" applyFont="0" applyAlignment="0" applyProtection="0"/>
    <xf numFmtId="0" fontId="18" fillId="9" borderId="163" applyNumberFormat="0" applyAlignment="0" applyProtection="0"/>
    <xf numFmtId="0" fontId="18" fillId="9" borderId="163" applyNumberFormat="0" applyAlignment="0" applyProtection="0"/>
    <xf numFmtId="0" fontId="18" fillId="9" borderId="163" applyNumberFormat="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23" fillId="0" borderId="175" applyNumberFormat="0" applyFill="0" applyAlignment="0" applyProtection="0"/>
    <xf numFmtId="0" fontId="1" fillId="0" borderId="0"/>
    <xf numFmtId="0" fontId="1" fillId="0" borderId="0"/>
    <xf numFmtId="0" fontId="1" fillId="0" borderId="0"/>
    <xf numFmtId="9" fontId="1" fillId="0" borderId="0" applyFont="0" applyFill="0" applyBorder="0" applyAlignment="0" applyProtection="0"/>
    <xf numFmtId="0" fontId="131" fillId="0" borderId="0">
      <alignment wrapText="1"/>
    </xf>
    <xf numFmtId="186" fontId="131" fillId="0" borderId="0" applyFont="0" applyFill="0" applyBorder="0" applyAlignment="0" applyProtection="0">
      <alignment wrapText="1"/>
    </xf>
    <xf numFmtId="186" fontId="1" fillId="0" borderId="0" applyFont="0" applyFill="0" applyBorder="0" applyAlignment="0" applyProtection="0">
      <alignment wrapText="1"/>
    </xf>
    <xf numFmtId="0" fontId="1" fillId="0" borderId="0">
      <alignment wrapText="1"/>
    </xf>
    <xf numFmtId="0" fontId="132" fillId="66" borderId="195" applyNumberFormat="0" applyAlignment="0" applyProtection="0"/>
    <xf numFmtId="0" fontId="131" fillId="0" borderId="0">
      <alignment wrapText="1"/>
    </xf>
    <xf numFmtId="0" fontId="31" fillId="0" borderId="0"/>
    <xf numFmtId="0" fontId="1" fillId="0" borderId="0">
      <alignment wrapText="1"/>
    </xf>
    <xf numFmtId="0" fontId="131" fillId="0" borderId="0">
      <alignment wrapText="1"/>
    </xf>
  </cellStyleXfs>
  <cellXfs count="660">
    <xf numFmtId="0" fontId="0" fillId="0" borderId="0" xfId="0"/>
    <xf numFmtId="0" fontId="1" fillId="0" borderId="0" xfId="1"/>
    <xf numFmtId="0" fontId="26" fillId="0" borderId="0" xfId="0" applyFont="1"/>
    <xf numFmtId="0" fontId="5" fillId="0" borderId="0" xfId="1" applyFont="1"/>
    <xf numFmtId="167" fontId="5" fillId="0" borderId="0" xfId="49" applyNumberFormat="1" applyFont="1"/>
    <xf numFmtId="0" fontId="0" fillId="0" borderId="0" xfId="0" applyAlignment="1">
      <alignment horizontal="center"/>
    </xf>
    <xf numFmtId="0" fontId="0" fillId="0" borderId="0" xfId="0" applyFill="1"/>
    <xf numFmtId="164" fontId="3" fillId="2" borderId="0" xfId="1" applyNumberFormat="1" applyFont="1" applyFill="1" applyAlignment="1">
      <alignment vertical="top"/>
    </xf>
    <xf numFmtId="164" fontId="1" fillId="2" borderId="0" xfId="1" applyNumberFormat="1" applyFont="1" applyFill="1" applyAlignment="1">
      <alignment vertical="top"/>
    </xf>
    <xf numFmtId="164" fontId="4" fillId="2" borderId="0" xfId="1" applyNumberFormat="1" applyFont="1" applyFill="1" applyAlignment="1">
      <alignment vertical="top"/>
    </xf>
    <xf numFmtId="164" fontId="5" fillId="2" borderId="0" xfId="1" applyNumberFormat="1" applyFont="1" applyFill="1" applyAlignment="1">
      <alignment vertical="top"/>
    </xf>
    <xf numFmtId="164" fontId="5" fillId="3" borderId="4" xfId="1" applyNumberFormat="1" applyFont="1" applyFill="1" applyBorder="1" applyAlignment="1">
      <alignment horizontal="center" vertical="center" wrapText="1"/>
    </xf>
    <xf numFmtId="164" fontId="5" fillId="3" borderId="5" xfId="1" applyNumberFormat="1" applyFont="1" applyFill="1" applyBorder="1" applyAlignment="1">
      <alignment horizontal="center" vertical="center" wrapText="1"/>
    </xf>
    <xf numFmtId="164" fontId="5" fillId="2" borderId="0" xfId="1" applyNumberFormat="1" applyFont="1" applyFill="1" applyAlignment="1">
      <alignment vertical="center"/>
    </xf>
    <xf numFmtId="164" fontId="5" fillId="0" borderId="7" xfId="1" applyNumberFormat="1" applyFont="1" applyFill="1" applyBorder="1" applyAlignment="1">
      <alignment horizontal="center" vertical="top"/>
    </xf>
    <xf numFmtId="164" fontId="5" fillId="0" borderId="8" xfId="1" applyNumberFormat="1" applyFont="1" applyFill="1" applyBorder="1" applyAlignment="1">
      <alignment vertical="top"/>
    </xf>
    <xf numFmtId="164" fontId="5" fillId="0" borderId="7" xfId="1" applyNumberFormat="1" applyFont="1" applyFill="1" applyBorder="1" applyAlignment="1">
      <alignment vertical="top"/>
    </xf>
    <xf numFmtId="164" fontId="5" fillId="0" borderId="9" xfId="1" applyNumberFormat="1" applyFont="1" applyFill="1" applyBorder="1" applyAlignment="1">
      <alignment vertical="top"/>
    </xf>
    <xf numFmtId="164" fontId="5" fillId="0" borderId="11" xfId="1" applyNumberFormat="1" applyFont="1" applyFill="1" applyBorder="1" applyAlignment="1">
      <alignment vertical="top"/>
    </xf>
    <xf numFmtId="164" fontId="5" fillId="0" borderId="11" xfId="1" applyNumberFormat="1" applyFont="1" applyFill="1" applyBorder="1" applyAlignment="1">
      <alignment horizontal="right" vertical="top"/>
    </xf>
    <xf numFmtId="164" fontId="5" fillId="0" borderId="11" xfId="1" quotePrefix="1" applyNumberFormat="1" applyFont="1" applyFill="1" applyBorder="1" applyAlignment="1">
      <alignment horizontal="right" vertical="top"/>
    </xf>
    <xf numFmtId="164" fontId="5" fillId="0" borderId="14" xfId="1" applyNumberFormat="1" applyFont="1" applyFill="1" applyBorder="1" applyAlignment="1">
      <alignment vertical="top"/>
    </xf>
    <xf numFmtId="0" fontId="1" fillId="0" borderId="0" xfId="1" applyAlignment="1">
      <alignment horizontal="left" vertical="center"/>
    </xf>
    <xf numFmtId="164" fontId="5" fillId="0" borderId="13" xfId="1" applyNumberFormat="1" applyFont="1" applyFill="1" applyBorder="1" applyAlignment="1">
      <alignment horizontal="right" vertical="top"/>
    </xf>
    <xf numFmtId="164" fontId="3" fillId="2" borderId="0" xfId="1" applyNumberFormat="1" applyFont="1" applyFill="1" applyAlignment="1">
      <alignment vertical="top"/>
    </xf>
    <xf numFmtId="164" fontId="5" fillId="0" borderId="10" xfId="1" applyNumberFormat="1" applyFont="1" applyFill="1" applyBorder="1" applyAlignment="1">
      <alignment horizontal="center" vertical="top"/>
    </xf>
    <xf numFmtId="164" fontId="5" fillId="0" borderId="13" xfId="1" applyNumberFormat="1" applyFont="1" applyFill="1" applyBorder="1" applyAlignment="1">
      <alignment vertical="top"/>
    </xf>
    <xf numFmtId="164" fontId="5" fillId="0" borderId="15" xfId="1" applyNumberFormat="1" applyFont="1" applyFill="1" applyBorder="1" applyAlignment="1">
      <alignment vertical="top"/>
    </xf>
    <xf numFmtId="164" fontId="5" fillId="0" borderId="13" xfId="1" applyNumberFormat="1" applyFont="1" applyFill="1" applyBorder="1" applyAlignment="1">
      <alignment horizontal="center" vertical="top"/>
    </xf>
    <xf numFmtId="164" fontId="1" fillId="2" borderId="0" xfId="1" applyNumberFormat="1" applyFont="1" applyFill="1" applyAlignment="1">
      <alignment vertical="top"/>
    </xf>
    <xf numFmtId="164" fontId="5" fillId="2" borderId="0" xfId="1" applyNumberFormat="1" applyFont="1" applyFill="1" applyAlignment="1">
      <alignment vertical="top"/>
    </xf>
    <xf numFmtId="164" fontId="5" fillId="3" borderId="4" xfId="1" applyNumberFormat="1" applyFont="1" applyFill="1" applyBorder="1" applyAlignment="1">
      <alignment horizontal="center" vertical="center" wrapText="1"/>
    </xf>
    <xf numFmtId="164" fontId="5" fillId="3" borderId="6" xfId="1" applyNumberFormat="1" applyFont="1" applyFill="1" applyBorder="1" applyAlignment="1">
      <alignment horizontal="center" vertical="center" wrapText="1"/>
    </xf>
    <xf numFmtId="164" fontId="5" fillId="3" borderId="5" xfId="1" applyNumberFormat="1" applyFont="1" applyFill="1" applyBorder="1" applyAlignment="1">
      <alignment horizontal="center" vertical="center" wrapText="1"/>
    </xf>
    <xf numFmtId="164" fontId="5" fillId="0" borderId="10" xfId="1" applyNumberFormat="1" applyFont="1" applyFill="1" applyBorder="1" applyAlignment="1">
      <alignment vertical="top"/>
    </xf>
    <xf numFmtId="164" fontId="5" fillId="0" borderId="12" xfId="1" applyNumberFormat="1" applyFont="1" applyFill="1" applyBorder="1" applyAlignment="1">
      <alignment horizontal="right" vertical="top"/>
    </xf>
    <xf numFmtId="164" fontId="5" fillId="0" borderId="12" xfId="1" applyNumberFormat="1" applyFont="1" applyFill="1" applyBorder="1" applyAlignment="1">
      <alignment vertical="top"/>
    </xf>
    <xf numFmtId="164" fontId="5" fillId="0" borderId="10" xfId="1" applyNumberFormat="1" applyFont="1" applyFill="1" applyBorder="1" applyAlignment="1">
      <alignment horizontal="right" vertical="top"/>
    </xf>
    <xf numFmtId="164" fontId="5" fillId="0" borderId="12" xfId="1" quotePrefix="1" applyNumberFormat="1" applyFont="1" applyFill="1" applyBorder="1" applyAlignment="1">
      <alignment horizontal="right" vertical="top"/>
    </xf>
    <xf numFmtId="164" fontId="5" fillId="0" borderId="15" xfId="1" applyNumberFormat="1" applyFont="1" applyFill="1" applyBorder="1" applyAlignment="1">
      <alignment horizontal="right" vertical="top"/>
    </xf>
    <xf numFmtId="164" fontId="5" fillId="0" borderId="14" xfId="1" applyNumberFormat="1" applyFont="1" applyFill="1" applyBorder="1" applyAlignment="1">
      <alignment horizontal="right" vertical="top"/>
    </xf>
    <xf numFmtId="164" fontId="5" fillId="0" borderId="9" xfId="1" applyNumberFormat="1" applyFont="1" applyFill="1" applyBorder="1" applyAlignment="1">
      <alignment horizontal="center" vertical="top"/>
    </xf>
    <xf numFmtId="164" fontId="5" fillId="0" borderId="8" xfId="1" applyNumberFormat="1" applyFont="1" applyFill="1" applyBorder="1" applyAlignment="1">
      <alignment horizontal="center" vertical="top"/>
    </xf>
    <xf numFmtId="164" fontId="5" fillId="0" borderId="12" xfId="1" applyNumberFormat="1" applyFont="1" applyFill="1" applyBorder="1" applyAlignment="1">
      <alignment horizontal="center" vertical="top"/>
    </xf>
    <xf numFmtId="164" fontId="5" fillId="0" borderId="11" xfId="1" applyNumberFormat="1" applyFont="1" applyFill="1" applyBorder="1" applyAlignment="1">
      <alignment horizontal="center" vertical="top"/>
    </xf>
    <xf numFmtId="164" fontId="5" fillId="0" borderId="15" xfId="1" applyNumberFormat="1" applyFont="1" applyFill="1" applyBorder="1" applyAlignment="1">
      <alignment horizontal="center" vertical="top"/>
    </xf>
    <xf numFmtId="164" fontId="5" fillId="0" borderId="14" xfId="1" applyNumberFormat="1" applyFont="1" applyFill="1" applyBorder="1" applyAlignment="1">
      <alignment horizontal="center" vertical="top"/>
    </xf>
    <xf numFmtId="0" fontId="45" fillId="0" borderId="0" xfId="0" applyFont="1" applyAlignment="1">
      <alignment vertical="center"/>
    </xf>
    <xf numFmtId="0" fontId="26" fillId="0" borderId="5" xfId="0" applyFont="1" applyFill="1" applyBorder="1" applyAlignment="1">
      <alignment horizontal="center" vertical="center"/>
    </xf>
    <xf numFmtId="0" fontId="47" fillId="0" borderId="0" xfId="0" applyFont="1"/>
    <xf numFmtId="0" fontId="26" fillId="0" borderId="31" xfId="0" applyFont="1" applyFill="1" applyBorder="1" applyAlignment="1">
      <alignment horizontal="center" vertical="center"/>
    </xf>
    <xf numFmtId="0" fontId="0" fillId="0" borderId="0" xfId="0"/>
    <xf numFmtId="0" fontId="0" fillId="0" borderId="0" xfId="0"/>
    <xf numFmtId="10" fontId="0" fillId="0" borderId="0" xfId="0" applyNumberFormat="1"/>
    <xf numFmtId="0" fontId="0" fillId="0" borderId="0" xfId="0" applyFill="1" applyBorder="1"/>
    <xf numFmtId="10" fontId="28" fillId="0" borderId="0" xfId="0" applyNumberFormat="1" applyFont="1" applyFill="1" applyBorder="1" applyAlignment="1">
      <alignment horizontal="center" vertical="center"/>
    </xf>
    <xf numFmtId="10" fontId="0" fillId="0" borderId="0" xfId="0" applyNumberFormat="1" applyAlignment="1">
      <alignment horizontal="center"/>
    </xf>
    <xf numFmtId="10" fontId="49" fillId="0" borderId="0" xfId="0" applyNumberFormat="1" applyFont="1" applyFill="1" applyBorder="1" applyAlignment="1">
      <alignment horizontal="center" vertical="center"/>
    </xf>
    <xf numFmtId="0" fontId="1" fillId="0" borderId="0" xfId="1"/>
    <xf numFmtId="164" fontId="1" fillId="2" borderId="0" xfId="715" applyNumberFormat="1" applyFont="1" applyFill="1" applyAlignment="1">
      <alignment vertical="top"/>
    </xf>
    <xf numFmtId="164" fontId="5" fillId="2" borderId="0" xfId="715" applyNumberFormat="1" applyFont="1" applyFill="1" applyAlignment="1">
      <alignment vertical="top"/>
    </xf>
    <xf numFmtId="164" fontId="5" fillId="2" borderId="0" xfId="715" applyNumberFormat="1" applyFont="1" applyFill="1" applyAlignment="1">
      <alignment vertical="center"/>
    </xf>
    <xf numFmtId="43" fontId="0" fillId="0" borderId="0" xfId="46" applyFont="1"/>
    <xf numFmtId="190" fontId="5" fillId="2" borderId="0" xfId="1" applyNumberFormat="1" applyFont="1" applyFill="1" applyAlignment="1">
      <alignment vertical="top"/>
    </xf>
    <xf numFmtId="164" fontId="85" fillId="2" borderId="0" xfId="67" applyNumberFormat="1" applyFont="1" applyFill="1" applyAlignment="1">
      <alignment vertical="top"/>
    </xf>
    <xf numFmtId="164" fontId="5" fillId="2" borderId="160" xfId="1" applyNumberFormat="1" applyFont="1" applyFill="1" applyBorder="1" applyAlignment="1">
      <alignment vertical="top"/>
    </xf>
    <xf numFmtId="10" fontId="5" fillId="2" borderId="160" xfId="729" applyNumberFormat="1" applyFont="1" applyFill="1" applyBorder="1" applyAlignment="1">
      <alignment vertical="top"/>
    </xf>
    <xf numFmtId="164" fontId="5" fillId="41" borderId="160" xfId="1" applyNumberFormat="1" applyFont="1" applyFill="1" applyBorder="1" applyAlignment="1">
      <alignment vertical="top" wrapText="1"/>
    </xf>
    <xf numFmtId="164" fontId="5" fillId="41" borderId="160" xfId="1" applyNumberFormat="1" applyFont="1" applyFill="1" applyBorder="1" applyAlignment="1">
      <alignment horizontal="center" vertical="top" wrapText="1"/>
    </xf>
    <xf numFmtId="0" fontId="28" fillId="0" borderId="0" xfId="0" applyFont="1" applyAlignment="1">
      <alignment wrapText="1"/>
    </xf>
    <xf numFmtId="0" fontId="48" fillId="0" borderId="0" xfId="0" applyFont="1" applyAlignment="1">
      <alignment horizontal="center" vertical="center" wrapText="1"/>
    </xf>
    <xf numFmtId="0" fontId="28" fillId="0" borderId="160" xfId="0" applyFont="1" applyBorder="1" applyAlignment="1">
      <alignment horizontal="left" vertical="top" wrapText="1"/>
    </xf>
    <xf numFmtId="0" fontId="28" fillId="0" borderId="0" xfId="0" applyFont="1" applyFill="1" applyBorder="1" applyAlignment="1">
      <alignment wrapText="1"/>
    </xf>
    <xf numFmtId="164" fontId="5" fillId="2" borderId="0" xfId="1" applyNumberFormat="1" applyFont="1" applyFill="1" applyAlignment="1">
      <alignment horizontal="center" vertical="top"/>
    </xf>
    <xf numFmtId="10" fontId="0" fillId="0" borderId="0" xfId="729" applyNumberFormat="1" applyFont="1"/>
    <xf numFmtId="0" fontId="122" fillId="0" borderId="0" xfId="0" applyFont="1" applyAlignment="1">
      <alignment horizontal="center"/>
    </xf>
    <xf numFmtId="164" fontId="0" fillId="0" borderId="0" xfId="0" applyNumberFormat="1"/>
    <xf numFmtId="164" fontId="5" fillId="0" borderId="0" xfId="1" applyNumberFormat="1" applyFont="1" applyFill="1" applyBorder="1" applyAlignment="1">
      <alignment vertical="top"/>
    </xf>
    <xf numFmtId="164" fontId="5" fillId="2" borderId="167" xfId="1" applyNumberFormat="1" applyFont="1" applyFill="1" applyBorder="1" applyAlignment="1">
      <alignment vertical="top"/>
    </xf>
    <xf numFmtId="164" fontId="5" fillId="2" borderId="160" xfId="1" applyNumberFormat="1" applyFont="1" applyFill="1" applyBorder="1" applyAlignment="1">
      <alignment horizontal="right" vertical="top"/>
    </xf>
    <xf numFmtId="211" fontId="5" fillId="2" borderId="167" xfId="1" applyNumberFormat="1" applyFont="1" applyFill="1" applyBorder="1" applyAlignment="1">
      <alignment horizontal="center" vertical="top"/>
    </xf>
    <xf numFmtId="211" fontId="5" fillId="2" borderId="0" xfId="1" applyNumberFormat="1" applyFont="1" applyFill="1" applyAlignment="1">
      <alignment horizontal="center" vertical="top"/>
    </xf>
    <xf numFmtId="0" fontId="0" fillId="0" borderId="0" xfId="0"/>
    <xf numFmtId="164" fontId="5" fillId="2" borderId="0" xfId="1" applyNumberFormat="1" applyFont="1" applyFill="1" applyAlignment="1">
      <alignment horizontal="centerContinuous" vertical="top"/>
    </xf>
    <xf numFmtId="164" fontId="5" fillId="0" borderId="29" xfId="1" applyNumberFormat="1" applyFont="1" applyFill="1" applyBorder="1" applyAlignment="1">
      <alignment vertical="top"/>
    </xf>
    <xf numFmtId="164" fontId="5" fillId="0" borderId="176" xfId="1" applyNumberFormat="1" applyFont="1" applyFill="1" applyBorder="1" applyAlignment="1">
      <alignment vertical="top"/>
    </xf>
    <xf numFmtId="164" fontId="5" fillId="0" borderId="76" xfId="1" applyNumberFormat="1" applyFont="1" applyFill="1" applyBorder="1" applyAlignment="1">
      <alignment vertical="top"/>
    </xf>
    <xf numFmtId="0" fontId="1" fillId="0" borderId="0" xfId="60763"/>
    <xf numFmtId="0" fontId="125" fillId="0" borderId="0" xfId="60763" applyFont="1" applyAlignment="1">
      <alignment horizontal="left"/>
    </xf>
    <xf numFmtId="0" fontId="0" fillId="0" borderId="0" xfId="0"/>
    <xf numFmtId="167" fontId="0" fillId="0" borderId="0" xfId="0" applyNumberFormat="1"/>
    <xf numFmtId="0" fontId="0" fillId="61" borderId="0" xfId="0" applyFill="1"/>
    <xf numFmtId="0" fontId="26" fillId="0" borderId="31" xfId="0" applyFont="1" applyFill="1" applyBorder="1" applyAlignment="1">
      <alignment horizontal="left" vertical="center"/>
    </xf>
    <xf numFmtId="0" fontId="26" fillId="0" borderId="31" xfId="0" applyFont="1" applyFill="1" applyBorder="1" applyAlignment="1">
      <alignment horizontal="center" vertical="center" wrapText="1"/>
    </xf>
    <xf numFmtId="0" fontId="46" fillId="63" borderId="192" xfId="0" applyFont="1" applyFill="1" applyBorder="1" applyAlignment="1">
      <alignment horizontal="left" indent="1"/>
    </xf>
    <xf numFmtId="10" fontId="28" fillId="63" borderId="191" xfId="0" applyNumberFormat="1" applyFont="1" applyFill="1" applyBorder="1" applyAlignment="1">
      <alignment horizontal="center" vertical="center"/>
    </xf>
    <xf numFmtId="10" fontId="28" fillId="63" borderId="191" xfId="0" applyNumberFormat="1" applyFont="1" applyFill="1" applyBorder="1" applyAlignment="1">
      <alignment horizontal="center"/>
    </xf>
    <xf numFmtId="0" fontId="46" fillId="63" borderId="183" xfId="0" applyFont="1" applyFill="1" applyBorder="1" applyAlignment="1">
      <alignment horizontal="left" indent="1"/>
    </xf>
    <xf numFmtId="0" fontId="46" fillId="63" borderId="178" xfId="0" applyFont="1" applyFill="1" applyBorder="1" applyAlignment="1">
      <alignment horizontal="left" wrapText="1"/>
    </xf>
    <xf numFmtId="10" fontId="28" fillId="63" borderId="186" xfId="0" applyNumberFormat="1" applyFont="1" applyFill="1" applyBorder="1" applyAlignment="1">
      <alignment horizontal="center" vertical="center"/>
    </xf>
    <xf numFmtId="0" fontId="26" fillId="28" borderId="31" xfId="0" applyFont="1" applyFill="1" applyBorder="1" applyAlignment="1">
      <alignment horizontal="center"/>
    </xf>
    <xf numFmtId="0" fontId="129" fillId="0" borderId="0" xfId="85" applyFont="1" applyBorder="1" applyAlignment="1">
      <alignment vertical="center" wrapText="1"/>
    </xf>
    <xf numFmtId="0" fontId="26" fillId="0" borderId="31" xfId="85" applyFont="1" applyBorder="1" applyAlignment="1">
      <alignment horizontal="center" vertical="center" wrapText="1"/>
    </xf>
    <xf numFmtId="165" fontId="28" fillId="0" borderId="192" xfId="0" applyNumberFormat="1" applyFont="1" applyFill="1" applyBorder="1" applyAlignment="1">
      <alignment horizontal="center" vertical="center"/>
    </xf>
    <xf numFmtId="10" fontId="50" fillId="0" borderId="191" xfId="0" applyNumberFormat="1" applyFont="1" applyFill="1" applyBorder="1" applyAlignment="1">
      <alignment horizontal="center" vertical="center"/>
    </xf>
    <xf numFmtId="10" fontId="50" fillId="0" borderId="192" xfId="0" applyNumberFormat="1" applyFont="1" applyFill="1" applyBorder="1" applyAlignment="1">
      <alignment horizontal="center" vertical="center"/>
    </xf>
    <xf numFmtId="10" fontId="50" fillId="0" borderId="170" xfId="0" applyNumberFormat="1" applyFont="1" applyFill="1" applyBorder="1" applyAlignment="1">
      <alignment horizontal="center" vertical="center"/>
    </xf>
    <xf numFmtId="10" fontId="50" fillId="0" borderId="193" xfId="0" applyNumberFormat="1" applyFont="1" applyFill="1" applyBorder="1" applyAlignment="1">
      <alignment horizontal="center" vertical="center"/>
    </xf>
    <xf numFmtId="10" fontId="28" fillId="0" borderId="183" xfId="0" applyNumberFormat="1" applyFont="1" applyFill="1" applyBorder="1" applyAlignment="1">
      <alignment horizontal="center" vertical="center"/>
    </xf>
    <xf numFmtId="165" fontId="28" fillId="0" borderId="183" xfId="0" applyNumberFormat="1" applyFont="1" applyFill="1" applyBorder="1" applyAlignment="1">
      <alignment horizontal="center" vertical="center"/>
    </xf>
    <xf numFmtId="10" fontId="50" fillId="0" borderId="178" xfId="0" applyNumberFormat="1" applyFont="1" applyFill="1" applyBorder="1" applyAlignment="1">
      <alignment horizontal="center" vertical="center"/>
    </xf>
    <xf numFmtId="10" fontId="50" fillId="0" borderId="186" xfId="0" applyNumberFormat="1" applyFont="1" applyFill="1" applyBorder="1" applyAlignment="1">
      <alignment horizontal="center" vertical="center"/>
    </xf>
    <xf numFmtId="10" fontId="50" fillId="0" borderId="188" xfId="0" applyNumberFormat="1" applyFont="1" applyFill="1" applyBorder="1" applyAlignment="1">
      <alignment horizontal="center" vertical="center"/>
    </xf>
    <xf numFmtId="10" fontId="50" fillId="0" borderId="187" xfId="0" applyNumberFormat="1" applyFont="1" applyFill="1" applyBorder="1" applyAlignment="1">
      <alignment horizontal="center" vertical="center"/>
    </xf>
    <xf numFmtId="10" fontId="28" fillId="0" borderId="178" xfId="0" applyNumberFormat="1" applyFont="1" applyFill="1" applyBorder="1" applyAlignment="1">
      <alignment horizontal="center" vertical="center"/>
    </xf>
    <xf numFmtId="10" fontId="28" fillId="0" borderId="183" xfId="0" applyNumberFormat="1" applyFont="1" applyFill="1" applyBorder="1" applyAlignment="1">
      <alignment horizontal="left" vertical="center"/>
    </xf>
    <xf numFmtId="10" fontId="28" fillId="0" borderId="178" xfId="0" applyNumberFormat="1" applyFont="1" applyFill="1" applyBorder="1" applyAlignment="1">
      <alignment horizontal="left" vertical="center"/>
    </xf>
    <xf numFmtId="0" fontId="26" fillId="0" borderId="13" xfId="85" applyFont="1" applyBorder="1" applyAlignment="1">
      <alignment horizontal="left" vertical="center" wrapText="1"/>
    </xf>
    <xf numFmtId="0" fontId="26" fillId="0" borderId="15" xfId="85" applyFont="1" applyBorder="1" applyAlignment="1">
      <alignment horizontal="center" vertical="center" wrapText="1"/>
    </xf>
    <xf numFmtId="10" fontId="28" fillId="0" borderId="192" xfId="0" applyNumberFormat="1" applyFont="1" applyFill="1" applyBorder="1" applyAlignment="1">
      <alignment horizontal="left" vertical="center"/>
    </xf>
    <xf numFmtId="10" fontId="0" fillId="0" borderId="185" xfId="729" applyNumberFormat="1" applyFont="1" applyBorder="1"/>
    <xf numFmtId="165" fontId="50" fillId="0" borderId="192" xfId="0" applyNumberFormat="1" applyFont="1" applyFill="1" applyBorder="1" applyAlignment="1">
      <alignment horizontal="center" vertical="center"/>
    </xf>
    <xf numFmtId="0" fontId="26" fillId="0" borderId="14" xfId="85" applyFont="1" applyBorder="1" applyAlignment="1">
      <alignment horizontal="center" vertical="center" wrapText="1"/>
    </xf>
    <xf numFmtId="10" fontId="0" fillId="0" borderId="193" xfId="729" applyNumberFormat="1" applyFont="1" applyBorder="1"/>
    <xf numFmtId="10" fontId="0" fillId="0" borderId="194" xfId="729" applyNumberFormat="1" applyFont="1" applyBorder="1"/>
    <xf numFmtId="213" fontId="0" fillId="63" borderId="31" xfId="729" applyNumberFormat="1" applyFont="1" applyFill="1" applyBorder="1" applyAlignment="1">
      <alignment horizontal="center"/>
    </xf>
    <xf numFmtId="0" fontId="1" fillId="0" borderId="0" xfId="1" applyAlignment="1">
      <alignment vertical="center"/>
    </xf>
    <xf numFmtId="0" fontId="1" fillId="0" borderId="0" xfId="1" applyFill="1" applyBorder="1" applyAlignment="1">
      <alignment vertical="center"/>
    </xf>
    <xf numFmtId="0" fontId="28" fillId="0" borderId="0" xfId="0" applyFont="1" applyAlignment="1">
      <alignment vertical="center"/>
    </xf>
    <xf numFmtId="49" fontId="128" fillId="32" borderId="184" xfId="62400" applyNumberFormat="1" applyFont="1" applyFill="1" applyBorder="1" applyAlignment="1">
      <alignment vertical="center" wrapText="1"/>
    </xf>
    <xf numFmtId="0" fontId="128" fillId="32" borderId="184" xfId="62400" applyFont="1" applyFill="1" applyBorder="1" applyAlignment="1">
      <alignment vertical="center" wrapText="1"/>
    </xf>
    <xf numFmtId="0" fontId="133" fillId="36" borderId="144" xfId="67" applyFont="1" applyFill="1" applyBorder="1" applyAlignment="1">
      <alignment vertical="center"/>
    </xf>
    <xf numFmtId="0" fontId="28" fillId="0" borderId="160" xfId="0" applyFont="1" applyBorder="1"/>
    <xf numFmtId="0" fontId="28" fillId="0" borderId="196" xfId="0" applyFont="1" applyBorder="1"/>
    <xf numFmtId="0" fontId="28" fillId="0" borderId="160" xfId="0" applyFont="1" applyBorder="1" applyAlignment="1">
      <alignment vertical="center"/>
    </xf>
    <xf numFmtId="0" fontId="28" fillId="32" borderId="160" xfId="0" applyFont="1" applyFill="1" applyBorder="1" applyAlignment="1">
      <alignment vertical="center"/>
    </xf>
    <xf numFmtId="4" fontId="28" fillId="0" borderId="160" xfId="0" applyNumberFormat="1" applyFont="1" applyBorder="1"/>
    <xf numFmtId="4" fontId="28" fillId="0" borderId="196" xfId="0" applyNumberFormat="1" applyFont="1" applyBorder="1"/>
    <xf numFmtId="0" fontId="28" fillId="0" borderId="196" xfId="0" applyFont="1" applyBorder="1" applyAlignment="1">
      <alignment vertical="center"/>
    </xf>
    <xf numFmtId="0" fontId="28" fillId="32" borderId="196" xfId="0" applyFont="1" applyFill="1" applyBorder="1" applyAlignment="1">
      <alignment vertical="center"/>
    </xf>
    <xf numFmtId="3" fontId="28" fillId="0" borderId="196" xfId="0" applyNumberFormat="1" applyFont="1" applyBorder="1" applyAlignment="1">
      <alignment vertical="center"/>
    </xf>
    <xf numFmtId="164" fontId="85" fillId="2" borderId="0" xfId="67" applyNumberFormat="1" applyFont="1" applyFill="1" applyAlignment="1">
      <alignment vertical="center"/>
    </xf>
    <xf numFmtId="0" fontId="0" fillId="0" borderId="0" xfId="0" applyAlignment="1">
      <alignment vertical="center"/>
    </xf>
    <xf numFmtId="0" fontId="28" fillId="0" borderId="0" xfId="0" applyFont="1" applyAlignment="1">
      <alignment vertical="center" wrapText="1"/>
    </xf>
    <xf numFmtId="0" fontId="28" fillId="33" borderId="0" xfId="0" applyFont="1" applyFill="1" applyAlignment="1">
      <alignment vertical="center" wrapText="1"/>
    </xf>
    <xf numFmtId="43" fontId="28" fillId="0" borderId="160" xfId="46" applyFont="1" applyBorder="1" applyAlignment="1">
      <alignment vertical="center"/>
    </xf>
    <xf numFmtId="0" fontId="28" fillId="33" borderId="0" xfId="0" applyFont="1" applyFill="1" applyAlignment="1">
      <alignment vertical="center"/>
    </xf>
    <xf numFmtId="0" fontId="28" fillId="0" borderId="160" xfId="0" applyFont="1" applyBorder="1" applyAlignment="1">
      <alignment horizontal="center" vertical="center"/>
    </xf>
    <xf numFmtId="43" fontId="28" fillId="0" borderId="0" xfId="46" applyFont="1" applyAlignment="1">
      <alignment vertical="center"/>
    </xf>
    <xf numFmtId="0" fontId="28" fillId="0" borderId="0" xfId="0" applyFont="1" applyFill="1" applyAlignment="1">
      <alignment vertical="center"/>
    </xf>
    <xf numFmtId="1" fontId="28" fillId="0" borderId="0" xfId="0" applyNumberFormat="1" applyFont="1" applyFill="1" applyAlignment="1">
      <alignment vertical="center"/>
    </xf>
    <xf numFmtId="0" fontId="28" fillId="32" borderId="160" xfId="0" applyFont="1" applyFill="1" applyBorder="1" applyAlignment="1">
      <alignment vertical="center" wrapText="1"/>
    </xf>
    <xf numFmtId="0" fontId="48" fillId="32" borderId="160" xfId="0" applyFont="1" applyFill="1" applyBorder="1" applyAlignment="1">
      <alignment horizontal="center" vertical="center"/>
    </xf>
    <xf numFmtId="1" fontId="28" fillId="32" borderId="160" xfId="0" applyNumberFormat="1" applyFont="1" applyFill="1" applyBorder="1" applyAlignment="1">
      <alignment vertical="center" wrapText="1"/>
    </xf>
    <xf numFmtId="0" fontId="28" fillId="67" borderId="160" xfId="0" applyFont="1" applyFill="1" applyBorder="1" applyAlignment="1">
      <alignment vertical="center"/>
    </xf>
    <xf numFmtId="1" fontId="28" fillId="67" borderId="160" xfId="0" applyNumberFormat="1" applyFont="1" applyFill="1" applyBorder="1" applyAlignment="1">
      <alignment vertical="center"/>
    </xf>
    <xf numFmtId="10" fontId="0" fillId="0" borderId="191" xfId="729" applyNumberFormat="1" applyFont="1" applyBorder="1"/>
    <xf numFmtId="10" fontId="0" fillId="0" borderId="184" xfId="729" applyNumberFormat="1" applyFont="1" applyBorder="1"/>
    <xf numFmtId="10" fontId="0" fillId="0" borderId="186" xfId="729" applyNumberFormat="1" applyFont="1" applyBorder="1"/>
    <xf numFmtId="10" fontId="0" fillId="0" borderId="187" xfId="729" applyNumberFormat="1" applyFont="1" applyBorder="1"/>
    <xf numFmtId="0" fontId="50" fillId="37" borderId="160" xfId="1" applyFont="1" applyFill="1" applyBorder="1" applyAlignment="1">
      <alignment vertical="center"/>
    </xf>
    <xf numFmtId="0" fontId="50" fillId="0" borderId="160" xfId="1" applyFont="1" applyBorder="1" applyAlignment="1">
      <alignment vertical="center"/>
    </xf>
    <xf numFmtId="0" fontId="50" fillId="0" borderId="184" xfId="1" applyFont="1" applyBorder="1" applyAlignment="1">
      <alignment vertical="center"/>
    </xf>
    <xf numFmtId="0" fontId="50" fillId="0" borderId="196" xfId="1" applyFont="1" applyBorder="1" applyAlignment="1">
      <alignment vertical="center"/>
    </xf>
    <xf numFmtId="0" fontId="50" fillId="0" borderId="160" xfId="1" applyFont="1" applyFill="1" applyBorder="1" applyAlignment="1">
      <alignment vertical="center"/>
    </xf>
    <xf numFmtId="0" fontId="133" fillId="37" borderId="142" xfId="67" applyFont="1" applyFill="1" applyBorder="1" applyAlignment="1">
      <alignment vertical="center"/>
    </xf>
    <xf numFmtId="0" fontId="128" fillId="58" borderId="196" xfId="0" applyFont="1" applyFill="1" applyBorder="1" applyAlignment="1">
      <alignment vertical="center"/>
    </xf>
    <xf numFmtId="0" fontId="28" fillId="0" borderId="196" xfId="0" applyFont="1" applyBorder="1" applyAlignment="1">
      <alignment vertical="center" wrapText="1"/>
    </xf>
    <xf numFmtId="0" fontId="28" fillId="0" borderId="196" xfId="0" applyFont="1" applyBorder="1" applyAlignment="1">
      <alignment horizontal="left" vertical="center" wrapText="1"/>
    </xf>
    <xf numFmtId="0" fontId="28" fillId="0" borderId="196" xfId="0" applyFont="1" applyFill="1" applyBorder="1" applyAlignment="1">
      <alignment vertical="center" wrapText="1"/>
    </xf>
    <xf numFmtId="167" fontId="50" fillId="0" borderId="196" xfId="46" applyNumberFormat="1" applyFont="1" applyFill="1" applyBorder="1" applyAlignment="1">
      <alignment horizontal="right" vertical="center"/>
    </xf>
    <xf numFmtId="164" fontId="50" fillId="37" borderId="196" xfId="1" applyNumberFormat="1" applyFont="1" applyFill="1" applyBorder="1" applyAlignment="1">
      <alignment horizontal="center" vertical="center" wrapText="1"/>
    </xf>
    <xf numFmtId="0" fontId="50" fillId="37" borderId="196" xfId="0" applyFont="1" applyFill="1" applyBorder="1" applyAlignment="1">
      <alignment horizontal="center" vertical="center" wrapText="1"/>
    </xf>
    <xf numFmtId="164" fontId="50" fillId="37" borderId="196" xfId="1" applyNumberFormat="1" applyFont="1" applyFill="1" applyBorder="1" applyAlignment="1">
      <alignment horizontal="left" vertical="center" wrapText="1"/>
    </xf>
    <xf numFmtId="167" fontId="50" fillId="0" borderId="196" xfId="49" applyNumberFormat="1" applyFont="1" applyBorder="1" applyAlignment="1">
      <alignment vertical="center"/>
    </xf>
    <xf numFmtId="0" fontId="50" fillId="68" borderId="196" xfId="1" applyFont="1" applyFill="1" applyBorder="1" applyAlignment="1">
      <alignment vertical="center"/>
    </xf>
    <xf numFmtId="167" fontId="50" fillId="68" borderId="196" xfId="49" applyNumberFormat="1" applyFont="1" applyFill="1" applyBorder="1" applyAlignment="1">
      <alignment vertical="center"/>
    </xf>
    <xf numFmtId="0" fontId="5" fillId="0" borderId="196" xfId="1" applyFont="1" applyBorder="1" applyAlignment="1">
      <alignment vertical="center"/>
    </xf>
    <xf numFmtId="0" fontId="133" fillId="39" borderId="144" xfId="67" applyFont="1" applyFill="1" applyBorder="1" applyAlignment="1">
      <alignment vertical="center"/>
    </xf>
    <xf numFmtId="164" fontId="136" fillId="2" borderId="0" xfId="1" applyNumberFormat="1" applyFont="1" applyFill="1"/>
    <xf numFmtId="164" fontId="50" fillId="2" borderId="0" xfId="1" applyNumberFormat="1" applyFont="1" applyFill="1"/>
    <xf numFmtId="164" fontId="137" fillId="2" borderId="0" xfId="1" applyNumberFormat="1" applyFont="1" applyFill="1"/>
    <xf numFmtId="164" fontId="133" fillId="2" borderId="0" xfId="67" applyNumberFormat="1" applyFont="1" applyFill="1" applyAlignment="1">
      <alignment vertical="top"/>
    </xf>
    <xf numFmtId="164" fontId="128" fillId="2" borderId="31" xfId="1" applyNumberFormat="1" applyFont="1" applyFill="1" applyBorder="1"/>
    <xf numFmtId="164" fontId="50" fillId="68" borderId="31" xfId="1" applyNumberFormat="1" applyFont="1" applyFill="1" applyBorder="1"/>
    <xf numFmtId="164" fontId="50" fillId="68" borderId="31" xfId="1" applyNumberFormat="1" applyFont="1" applyFill="1" applyBorder="1" applyAlignment="1">
      <alignment horizontal="center"/>
    </xf>
    <xf numFmtId="164" fontId="50" fillId="0" borderId="191" xfId="1" applyNumberFormat="1" applyFont="1" applyFill="1" applyBorder="1" applyAlignment="1">
      <alignment vertical="center"/>
    </xf>
    <xf numFmtId="165" fontId="50" fillId="0" borderId="191" xfId="1" applyNumberFormat="1" applyFont="1" applyFill="1" applyBorder="1" applyAlignment="1">
      <alignment vertical="center"/>
    </xf>
    <xf numFmtId="164" fontId="50" fillId="0" borderId="196" xfId="1" applyNumberFormat="1" applyFont="1" applyFill="1" applyBorder="1" applyAlignment="1">
      <alignment vertical="center"/>
    </xf>
    <xf numFmtId="165" fontId="50" fillId="0" borderId="196" xfId="1" applyNumberFormat="1" applyFont="1" applyFill="1" applyBorder="1" applyAlignment="1">
      <alignment vertical="center"/>
    </xf>
    <xf numFmtId="164" fontId="28" fillId="28" borderId="0" xfId="46" applyNumberFormat="1" applyFont="1" applyFill="1" applyAlignment="1">
      <alignment vertical="center"/>
    </xf>
    <xf numFmtId="164" fontId="28" fillId="28" borderId="0" xfId="0" applyNumberFormat="1" applyFont="1" applyFill="1" applyAlignment="1">
      <alignment vertical="center"/>
    </xf>
    <xf numFmtId="164" fontId="28" fillId="0" borderId="31" xfId="0" applyNumberFormat="1" applyFont="1" applyBorder="1" applyAlignment="1">
      <alignment vertical="center"/>
    </xf>
    <xf numFmtId="164" fontId="28" fillId="0" borderId="1" xfId="0" applyNumberFormat="1" applyFont="1" applyBorder="1" applyAlignment="1">
      <alignment vertical="center"/>
    </xf>
    <xf numFmtId="164" fontId="28" fillId="0" borderId="2" xfId="0" applyNumberFormat="1" applyFont="1" applyBorder="1" applyAlignment="1">
      <alignment vertical="center"/>
    </xf>
    <xf numFmtId="164" fontId="28" fillId="0" borderId="3" xfId="0" applyNumberFormat="1" applyFont="1" applyBorder="1" applyAlignment="1">
      <alignment vertical="center"/>
    </xf>
    <xf numFmtId="165" fontId="28" fillId="29" borderId="10" xfId="0" applyNumberFormat="1" applyFont="1" applyFill="1" applyBorder="1" applyAlignment="1">
      <alignment vertical="center"/>
    </xf>
    <xf numFmtId="165" fontId="28" fillId="29" borderId="12" xfId="0" applyNumberFormat="1" applyFont="1" applyFill="1" applyBorder="1" applyAlignment="1">
      <alignment vertical="center"/>
    </xf>
    <xf numFmtId="165" fontId="28" fillId="29" borderId="11" xfId="0" applyNumberFormat="1" applyFont="1" applyFill="1" applyBorder="1" applyAlignment="1">
      <alignment vertical="center"/>
    </xf>
    <xf numFmtId="164" fontId="28" fillId="27" borderId="10" xfId="0" applyNumberFormat="1" applyFont="1" applyFill="1" applyBorder="1" applyAlignment="1">
      <alignment vertical="center"/>
    </xf>
    <xf numFmtId="164" fontId="28" fillId="27" borderId="12" xfId="0" applyNumberFormat="1" applyFont="1" applyFill="1" applyBorder="1" applyAlignment="1">
      <alignment vertical="center"/>
    </xf>
    <xf numFmtId="164" fontId="28" fillId="27" borderId="11" xfId="0" applyNumberFormat="1" applyFont="1" applyFill="1" applyBorder="1" applyAlignment="1">
      <alignment vertical="center"/>
    </xf>
    <xf numFmtId="166" fontId="28" fillId="27" borderId="10" xfId="0" applyNumberFormat="1" applyFont="1" applyFill="1" applyBorder="1" applyAlignment="1">
      <alignment vertical="center"/>
    </xf>
    <xf numFmtId="166" fontId="28" fillId="27" borderId="12" xfId="0" applyNumberFormat="1" applyFont="1" applyFill="1" applyBorder="1" applyAlignment="1">
      <alignment vertical="center"/>
    </xf>
    <xf numFmtId="166" fontId="28" fillId="27" borderId="11" xfId="0" applyNumberFormat="1" applyFont="1" applyFill="1" applyBorder="1" applyAlignment="1">
      <alignment vertical="center"/>
    </xf>
    <xf numFmtId="165" fontId="28" fillId="28" borderId="10" xfId="0" applyNumberFormat="1" applyFont="1" applyFill="1" applyBorder="1" applyAlignment="1">
      <alignment vertical="center"/>
    </xf>
    <xf numFmtId="165" fontId="28" fillId="28" borderId="12" xfId="0" applyNumberFormat="1" applyFont="1" applyFill="1" applyBorder="1" applyAlignment="1">
      <alignment vertical="center"/>
    </xf>
    <xf numFmtId="165" fontId="28" fillId="28" borderId="11" xfId="0" applyNumberFormat="1" applyFont="1" applyFill="1" applyBorder="1" applyAlignment="1">
      <alignment vertical="center"/>
    </xf>
    <xf numFmtId="164" fontId="28" fillId="28" borderId="10" xfId="0" applyNumberFormat="1" applyFont="1" applyFill="1" applyBorder="1" applyAlignment="1">
      <alignment vertical="center"/>
    </xf>
    <xf numFmtId="164" fontId="28" fillId="28" borderId="12" xfId="0" applyNumberFormat="1" applyFont="1" applyFill="1" applyBorder="1" applyAlignment="1">
      <alignment vertical="center"/>
    </xf>
    <xf numFmtId="164" fontId="28" fillId="28" borderId="11" xfId="0" applyNumberFormat="1" applyFont="1" applyFill="1" applyBorder="1" applyAlignment="1">
      <alignment vertical="center"/>
    </xf>
    <xf numFmtId="164" fontId="28" fillId="29" borderId="10" xfId="0" applyNumberFormat="1" applyFont="1" applyFill="1" applyBorder="1" applyAlignment="1">
      <alignment vertical="center"/>
    </xf>
    <xf numFmtId="164" fontId="28" fillId="29" borderId="12" xfId="0" applyNumberFormat="1" applyFont="1" applyFill="1" applyBorder="1" applyAlignment="1">
      <alignment vertical="center"/>
    </xf>
    <xf numFmtId="164" fontId="28" fillId="29" borderId="11" xfId="0" applyNumberFormat="1" applyFont="1" applyFill="1" applyBorder="1" applyAlignment="1">
      <alignment vertical="center"/>
    </xf>
    <xf numFmtId="166" fontId="28" fillId="29" borderId="10" xfId="0" applyNumberFormat="1" applyFont="1" applyFill="1" applyBorder="1" applyAlignment="1">
      <alignment vertical="center"/>
    </xf>
    <xf numFmtId="166" fontId="28" fillId="29" borderId="12" xfId="0" applyNumberFormat="1" applyFont="1" applyFill="1" applyBorder="1" applyAlignment="1">
      <alignment vertical="center"/>
    </xf>
    <xf numFmtId="166" fontId="28" fillId="29" borderId="11" xfId="0" applyNumberFormat="1" applyFont="1" applyFill="1" applyBorder="1" applyAlignment="1">
      <alignment vertical="center"/>
    </xf>
    <xf numFmtId="0" fontId="28" fillId="0" borderId="31" xfId="0" applyFont="1" applyBorder="1" applyAlignment="1">
      <alignment vertical="center"/>
    </xf>
    <xf numFmtId="0" fontId="28" fillId="27" borderId="31" xfId="0" applyFont="1" applyFill="1" applyBorder="1" applyAlignment="1">
      <alignment vertical="center"/>
    </xf>
    <xf numFmtId="0" fontId="28" fillId="28" borderId="31" xfId="0" applyFont="1" applyFill="1" applyBorder="1" applyAlignment="1">
      <alignment vertical="center"/>
    </xf>
    <xf numFmtId="0" fontId="28" fillId="29" borderId="31" xfId="0" applyFont="1" applyFill="1" applyBorder="1" applyAlignment="1">
      <alignment vertical="center"/>
    </xf>
    <xf numFmtId="0" fontId="28" fillId="29" borderId="1" xfId="0" applyFont="1" applyFill="1" applyBorder="1" applyAlignment="1">
      <alignment vertical="center"/>
    </xf>
    <xf numFmtId="164" fontId="28" fillId="27" borderId="196" xfId="0" applyNumberFormat="1" applyFont="1" applyFill="1" applyBorder="1" applyAlignment="1">
      <alignment vertical="center"/>
    </xf>
    <xf numFmtId="166" fontId="28" fillId="27" borderId="196" xfId="0" applyNumberFormat="1" applyFont="1" applyFill="1" applyBorder="1" applyAlignment="1">
      <alignment vertical="center"/>
    </xf>
    <xf numFmtId="165" fontId="28" fillId="28" borderId="196" xfId="0" applyNumberFormat="1" applyFont="1" applyFill="1" applyBorder="1" applyAlignment="1">
      <alignment vertical="center"/>
    </xf>
    <xf numFmtId="164" fontId="28" fillId="28" borderId="196" xfId="0" applyNumberFormat="1" applyFont="1" applyFill="1" applyBorder="1" applyAlignment="1">
      <alignment vertical="center"/>
    </xf>
    <xf numFmtId="164" fontId="28" fillId="29" borderId="196" xfId="0" applyNumberFormat="1" applyFont="1" applyFill="1" applyBorder="1" applyAlignment="1">
      <alignment vertical="center"/>
    </xf>
    <xf numFmtId="166" fontId="28" fillId="29" borderId="196" xfId="0" applyNumberFormat="1" applyFont="1" applyFill="1" applyBorder="1" applyAlignment="1">
      <alignment vertical="center"/>
    </xf>
    <xf numFmtId="165" fontId="28" fillId="29" borderId="196" xfId="0" applyNumberFormat="1" applyFont="1" applyFill="1" applyBorder="1" applyAlignment="1">
      <alignment vertical="center"/>
    </xf>
    <xf numFmtId="0" fontId="28" fillId="64" borderId="31" xfId="0" applyFont="1" applyFill="1" applyBorder="1" applyAlignment="1">
      <alignment vertical="center"/>
    </xf>
    <xf numFmtId="0" fontId="28" fillId="64" borderId="0" xfId="0" applyFont="1" applyFill="1" applyAlignment="1">
      <alignment vertical="center"/>
    </xf>
    <xf numFmtId="0" fontId="28" fillId="64" borderId="196" xfId="0" applyFont="1" applyFill="1" applyBorder="1" applyAlignment="1">
      <alignment vertical="center"/>
    </xf>
    <xf numFmtId="0" fontId="138" fillId="0" borderId="0" xfId="0" applyFont="1" applyAlignment="1">
      <alignment vertical="center"/>
    </xf>
    <xf numFmtId="168" fontId="138" fillId="0" borderId="160" xfId="0" applyNumberFormat="1" applyFont="1" applyBorder="1" applyAlignment="1">
      <alignment vertical="center"/>
    </xf>
    <xf numFmtId="164" fontId="138" fillId="0" borderId="0" xfId="0" applyNumberFormat="1" applyFont="1" applyAlignment="1">
      <alignment vertical="center"/>
    </xf>
    <xf numFmtId="165" fontId="138" fillId="0" borderId="0" xfId="96" applyNumberFormat="1" applyFont="1" applyFill="1" applyAlignment="1">
      <alignment vertical="center"/>
    </xf>
    <xf numFmtId="164" fontId="138" fillId="0" borderId="160" xfId="0" applyNumberFormat="1" applyFont="1" applyBorder="1" applyAlignment="1">
      <alignment vertical="center"/>
    </xf>
    <xf numFmtId="0" fontId="138" fillId="0" borderId="160" xfId="0" applyFont="1" applyBorder="1" applyAlignment="1">
      <alignment horizontal="center" vertical="center"/>
    </xf>
    <xf numFmtId="165" fontId="138" fillId="0" borderId="160" xfId="0" applyNumberFormat="1" applyFont="1" applyFill="1" applyBorder="1" applyAlignment="1">
      <alignment vertical="center"/>
    </xf>
    <xf numFmtId="9" fontId="28" fillId="28" borderId="0" xfId="0" applyNumberFormat="1" applyFont="1" applyFill="1" applyAlignment="1">
      <alignment vertical="center"/>
    </xf>
    <xf numFmtId="165" fontId="28" fillId="28" borderId="0" xfId="0" applyNumberFormat="1" applyFont="1" applyFill="1" applyBorder="1" applyAlignment="1">
      <alignment vertical="center"/>
    </xf>
    <xf numFmtId="164" fontId="28" fillId="0" borderId="0" xfId="46" applyNumberFormat="1" applyFont="1" applyFill="1" applyAlignment="1">
      <alignment vertical="center"/>
    </xf>
    <xf numFmtId="164" fontId="28" fillId="0" borderId="30" xfId="0" applyNumberFormat="1" applyFont="1" applyFill="1" applyBorder="1" applyAlignment="1">
      <alignment vertical="center"/>
    </xf>
    <xf numFmtId="164" fontId="28" fillId="0" borderId="176" xfId="0" applyNumberFormat="1" applyFont="1" applyFill="1" applyBorder="1" applyAlignment="1">
      <alignment vertical="center"/>
    </xf>
    <xf numFmtId="164" fontId="28" fillId="0" borderId="76" xfId="0" applyNumberFormat="1" applyFont="1" applyFill="1" applyBorder="1" applyAlignment="1">
      <alignment vertical="center"/>
    </xf>
    <xf numFmtId="9" fontId="28" fillId="28" borderId="31" xfId="0" applyNumberFormat="1" applyFont="1" applyFill="1" applyBorder="1" applyAlignment="1">
      <alignment horizontal="centerContinuous" vertical="center"/>
    </xf>
    <xf numFmtId="0" fontId="28" fillId="28" borderId="31" xfId="0" applyFont="1" applyFill="1" applyBorder="1" applyAlignment="1">
      <alignment horizontal="centerContinuous" vertical="center"/>
    </xf>
    <xf numFmtId="9" fontId="28" fillId="28" borderId="31" xfId="0" applyNumberFormat="1" applyFont="1" applyFill="1" applyBorder="1" applyAlignment="1">
      <alignment horizontal="left" vertical="center"/>
    </xf>
    <xf numFmtId="0" fontId="28" fillId="64" borderId="191" xfId="0" applyFont="1" applyFill="1" applyBorder="1" applyAlignment="1">
      <alignment vertical="center"/>
    </xf>
    <xf numFmtId="0" fontId="28" fillId="27" borderId="191" xfId="0" applyFont="1" applyFill="1" applyBorder="1" applyAlignment="1">
      <alignment horizontal="center" vertical="center"/>
    </xf>
    <xf numFmtId="0" fontId="28" fillId="28" borderId="191" xfId="0" applyFont="1" applyFill="1" applyBorder="1" applyAlignment="1">
      <alignment horizontal="center" vertical="center"/>
    </xf>
    <xf numFmtId="0" fontId="28" fillId="29" borderId="191" xfId="0" applyFont="1" applyFill="1" applyBorder="1" applyAlignment="1">
      <alignment horizontal="center" vertical="center"/>
    </xf>
    <xf numFmtId="3" fontId="0" fillId="0" borderId="0" xfId="0" applyNumberFormat="1" applyAlignment="1">
      <alignment vertical="center"/>
    </xf>
    <xf numFmtId="3" fontId="5" fillId="0" borderId="75" xfId="1" applyNumberFormat="1" applyFont="1" applyFill="1" applyBorder="1" applyAlignment="1">
      <alignment vertical="center"/>
    </xf>
    <xf numFmtId="3" fontId="28" fillId="0" borderId="196" xfId="0" applyNumberFormat="1" applyFont="1" applyBorder="1" applyAlignment="1">
      <alignment vertical="center" wrapText="1"/>
    </xf>
    <xf numFmtId="164" fontId="5" fillId="0" borderId="10" xfId="1" applyNumberFormat="1" applyFont="1" applyFill="1" applyBorder="1" applyAlignment="1">
      <alignment horizontal="left" vertical="center"/>
    </xf>
    <xf numFmtId="164" fontId="5" fillId="0" borderId="12" xfId="1" applyNumberFormat="1" applyFont="1" applyFill="1" applyBorder="1" applyAlignment="1">
      <alignment horizontal="left" vertical="center"/>
    </xf>
    <xf numFmtId="164" fontId="5" fillId="0" borderId="11" xfId="1" applyNumberFormat="1" applyFont="1" applyFill="1" applyBorder="1" applyAlignment="1">
      <alignment horizontal="left" vertical="center"/>
    </xf>
    <xf numFmtId="164" fontId="5" fillId="0" borderId="13" xfId="1" applyNumberFormat="1" applyFont="1" applyFill="1" applyBorder="1" applyAlignment="1">
      <alignment horizontal="left" vertical="center"/>
    </xf>
    <xf numFmtId="164" fontId="5" fillId="0" borderId="15" xfId="1" applyNumberFormat="1" applyFont="1" applyFill="1" applyBorder="1" applyAlignment="1">
      <alignment horizontal="left" vertical="center"/>
    </xf>
    <xf numFmtId="164" fontId="5" fillId="0" borderId="14" xfId="1" applyNumberFormat="1" applyFont="1" applyFill="1" applyBorder="1" applyAlignment="1">
      <alignment horizontal="left" vertical="center"/>
    </xf>
    <xf numFmtId="164" fontId="3" fillId="2" borderId="0" xfId="1" applyNumberFormat="1" applyFont="1" applyFill="1" applyAlignment="1">
      <alignment vertical="center"/>
    </xf>
    <xf numFmtId="164" fontId="1" fillId="2" borderId="0" xfId="1" applyNumberFormat="1" applyFont="1" applyFill="1" applyAlignment="1">
      <alignment vertical="center"/>
    </xf>
    <xf numFmtId="164" fontId="4" fillId="2" borderId="0" xfId="1" applyNumberFormat="1" applyFont="1" applyFill="1" applyAlignment="1">
      <alignment vertical="center"/>
    </xf>
    <xf numFmtId="164" fontId="5" fillId="0" borderId="7" xfId="1" applyNumberFormat="1" applyFont="1" applyFill="1" applyBorder="1" applyAlignment="1">
      <alignment horizontal="center" vertical="center"/>
    </xf>
    <xf numFmtId="164" fontId="5" fillId="0" borderId="8" xfId="1" applyNumberFormat="1" applyFont="1" applyFill="1" applyBorder="1" applyAlignment="1">
      <alignment vertical="center"/>
    </xf>
    <xf numFmtId="164" fontId="5" fillId="0" borderId="7" xfId="1" applyNumberFormat="1" applyFont="1" applyFill="1" applyBorder="1" applyAlignment="1">
      <alignment vertical="center"/>
    </xf>
    <xf numFmtId="164" fontId="5" fillId="0" borderId="9" xfId="1" applyNumberFormat="1" applyFont="1" applyFill="1" applyBorder="1" applyAlignment="1">
      <alignment vertical="center"/>
    </xf>
    <xf numFmtId="165" fontId="5" fillId="0" borderId="7" xfId="1" applyNumberFormat="1" applyFont="1" applyFill="1" applyBorder="1" applyAlignment="1">
      <alignment vertical="center"/>
    </xf>
    <xf numFmtId="165" fontId="5" fillId="0" borderId="9" xfId="1" applyNumberFormat="1" applyFont="1" applyFill="1" applyBorder="1" applyAlignment="1">
      <alignment vertical="center"/>
    </xf>
    <xf numFmtId="165" fontId="5" fillId="0" borderId="8" xfId="1" applyNumberFormat="1" applyFont="1" applyFill="1" applyBorder="1" applyAlignment="1">
      <alignment vertical="center"/>
    </xf>
    <xf numFmtId="164" fontId="5" fillId="0" borderId="10" xfId="1" applyNumberFormat="1" applyFont="1" applyFill="1" applyBorder="1" applyAlignment="1">
      <alignment horizontal="center" vertical="center"/>
    </xf>
    <xf numFmtId="164" fontId="5" fillId="0" borderId="11" xfId="1" applyNumberFormat="1" applyFont="1" applyFill="1" applyBorder="1" applyAlignment="1">
      <alignment vertical="center"/>
    </xf>
    <xf numFmtId="164" fontId="5" fillId="0" borderId="10" xfId="1" applyNumberFormat="1" applyFont="1" applyFill="1" applyBorder="1" applyAlignment="1">
      <alignment vertical="center"/>
    </xf>
    <xf numFmtId="164" fontId="5" fillId="0" borderId="12" xfId="1" applyNumberFormat="1" applyFont="1" applyFill="1" applyBorder="1" applyAlignment="1">
      <alignment vertical="center"/>
    </xf>
    <xf numFmtId="165" fontId="5" fillId="0" borderId="10" xfId="1" applyNumberFormat="1" applyFont="1" applyFill="1" applyBorder="1" applyAlignment="1">
      <alignment vertical="center"/>
    </xf>
    <xf numFmtId="165" fontId="5" fillId="0" borderId="12" xfId="1" applyNumberFormat="1" applyFont="1" applyFill="1" applyBorder="1" applyAlignment="1">
      <alignment vertical="center"/>
    </xf>
    <xf numFmtId="165" fontId="5" fillId="0" borderId="11" xfId="1" applyNumberFormat="1" applyFont="1" applyFill="1" applyBorder="1" applyAlignment="1">
      <alignment vertical="center"/>
    </xf>
    <xf numFmtId="164" fontId="5" fillId="0" borderId="10" xfId="1" applyNumberFormat="1" applyFont="1" applyFill="1" applyBorder="1" applyAlignment="1">
      <alignment horizontal="right" vertical="center"/>
    </xf>
    <xf numFmtId="164" fontId="5" fillId="0" borderId="12" xfId="1" applyNumberFormat="1" applyFont="1" applyFill="1" applyBorder="1" applyAlignment="1">
      <alignment horizontal="right" vertical="center"/>
    </xf>
    <xf numFmtId="164" fontId="5" fillId="0" borderId="11" xfId="1" applyNumberFormat="1" applyFont="1" applyFill="1" applyBorder="1" applyAlignment="1">
      <alignment horizontal="right" vertical="center"/>
    </xf>
    <xf numFmtId="164" fontId="5" fillId="0" borderId="12" xfId="1" quotePrefix="1" applyNumberFormat="1" applyFont="1" applyFill="1" applyBorder="1" applyAlignment="1">
      <alignment horizontal="right" vertical="center"/>
    </xf>
    <xf numFmtId="164" fontId="5" fillId="0" borderId="11" xfId="1" quotePrefix="1" applyNumberFormat="1" applyFont="1" applyFill="1" applyBorder="1" applyAlignment="1">
      <alignment horizontal="right" vertical="center"/>
    </xf>
    <xf numFmtId="164" fontId="5" fillId="0" borderId="13" xfId="1" applyNumberFormat="1" applyFont="1" applyFill="1" applyBorder="1" applyAlignment="1">
      <alignment horizontal="center" vertical="center"/>
    </xf>
    <xf numFmtId="164" fontId="5" fillId="0" borderId="14" xfId="1" applyNumberFormat="1" applyFont="1" applyFill="1" applyBorder="1" applyAlignment="1">
      <alignment vertical="center"/>
    </xf>
    <xf numFmtId="164" fontId="5" fillId="0" borderId="13" xfId="1" applyNumberFormat="1" applyFont="1" applyFill="1" applyBorder="1" applyAlignment="1">
      <alignment horizontal="right" vertical="center"/>
    </xf>
    <xf numFmtId="164" fontId="5" fillId="0" borderId="15" xfId="1" applyNumberFormat="1" applyFont="1" applyFill="1" applyBorder="1" applyAlignment="1">
      <alignment horizontal="right" vertical="center"/>
    </xf>
    <xf numFmtId="164" fontId="5" fillId="0" borderId="14" xfId="1" applyNumberFormat="1" applyFont="1" applyFill="1" applyBorder="1" applyAlignment="1">
      <alignment horizontal="right" vertical="center"/>
    </xf>
    <xf numFmtId="165" fontId="5" fillId="0" borderId="13" xfId="1" applyNumberFormat="1" applyFont="1" applyFill="1" applyBorder="1" applyAlignment="1">
      <alignment vertical="center"/>
    </xf>
    <xf numFmtId="165" fontId="5" fillId="0" borderId="15" xfId="1" applyNumberFormat="1" applyFont="1" applyFill="1" applyBorder="1" applyAlignment="1">
      <alignment vertical="center"/>
    </xf>
    <xf numFmtId="165" fontId="5" fillId="0" borderId="14" xfId="1" applyNumberFormat="1" applyFont="1" applyFill="1" applyBorder="1" applyAlignment="1">
      <alignment vertical="center"/>
    </xf>
    <xf numFmtId="164" fontId="121" fillId="2" borderId="0" xfId="1" applyNumberFormat="1" applyFont="1" applyFill="1" applyAlignment="1">
      <alignment vertical="center"/>
    </xf>
    <xf numFmtId="164" fontId="5" fillId="3" borderId="13" xfId="1" applyNumberFormat="1" applyFont="1" applyFill="1" applyBorder="1" applyAlignment="1">
      <alignment horizontal="center" vertical="center" wrapText="1"/>
    </xf>
    <xf numFmtId="164" fontId="5" fillId="3" borderId="15" xfId="1" applyNumberFormat="1" applyFont="1" applyFill="1" applyBorder="1" applyAlignment="1">
      <alignment horizontal="center" vertical="center" wrapText="1"/>
    </xf>
    <xf numFmtId="164" fontId="5" fillId="3" borderId="14" xfId="1" applyNumberFormat="1" applyFont="1" applyFill="1" applyBorder="1" applyAlignment="1">
      <alignment horizontal="center" vertical="center" wrapText="1"/>
    </xf>
    <xf numFmtId="3" fontId="28" fillId="0" borderId="191" xfId="0" applyNumberFormat="1" applyFont="1" applyBorder="1" applyAlignment="1">
      <alignment vertical="center"/>
    </xf>
    <xf numFmtId="3" fontId="28" fillId="0" borderId="191" xfId="0" applyNumberFormat="1" applyFont="1" applyBorder="1" applyAlignment="1">
      <alignment vertical="center" wrapText="1"/>
    </xf>
    <xf numFmtId="3" fontId="28" fillId="27" borderId="31" xfId="0" applyNumberFormat="1" applyFont="1" applyFill="1" applyBorder="1" applyAlignment="1">
      <alignment horizontal="center" vertical="center" wrapText="1"/>
    </xf>
    <xf numFmtId="3" fontId="28" fillId="27" borderId="31" xfId="0" applyNumberFormat="1" applyFont="1" applyFill="1" applyBorder="1" applyAlignment="1">
      <alignment horizontal="center" vertical="center"/>
    </xf>
    <xf numFmtId="0" fontId="28" fillId="0" borderId="29" xfId="0" applyFont="1" applyFill="1" applyBorder="1" applyAlignment="1">
      <alignment vertical="center"/>
    </xf>
    <xf numFmtId="0" fontId="28" fillId="0" borderId="76" xfId="0" applyFont="1" applyFill="1" applyBorder="1" applyAlignment="1">
      <alignment vertical="center"/>
    </xf>
    <xf numFmtId="1" fontId="28" fillId="0" borderId="0" xfId="0" applyNumberFormat="1" applyFont="1" applyAlignment="1">
      <alignment vertical="center"/>
    </xf>
    <xf numFmtId="0" fontId="28" fillId="64" borderId="31" xfId="0" applyFont="1" applyFill="1" applyBorder="1" applyAlignment="1">
      <alignment vertical="center" wrapText="1"/>
    </xf>
    <xf numFmtId="0" fontId="28" fillId="29" borderId="31" xfId="0" applyFont="1" applyFill="1" applyBorder="1" applyAlignment="1">
      <alignment vertical="center" wrapText="1"/>
    </xf>
    <xf numFmtId="0" fontId="28" fillId="64" borderId="191" xfId="0" applyFont="1" applyFill="1" applyBorder="1" applyAlignment="1">
      <alignment horizontal="center" vertical="center"/>
    </xf>
    <xf numFmtId="164" fontId="28" fillId="27" borderId="191" xfId="0" applyNumberFormat="1" applyFont="1" applyFill="1" applyBorder="1" applyAlignment="1">
      <alignment vertical="center"/>
    </xf>
    <xf numFmtId="166" fontId="28" fillId="27" borderId="191" xfId="0" applyNumberFormat="1" applyFont="1" applyFill="1" applyBorder="1" applyAlignment="1">
      <alignment vertical="center"/>
    </xf>
    <xf numFmtId="166" fontId="28" fillId="29" borderId="191" xfId="0" applyNumberFormat="1" applyFont="1" applyFill="1" applyBorder="1" applyAlignment="1">
      <alignment vertical="center"/>
    </xf>
    <xf numFmtId="166" fontId="28" fillId="29" borderId="191" xfId="0" applyNumberFormat="1" applyFont="1" applyFill="1" applyBorder="1" applyAlignment="1">
      <alignment horizontal="right" vertical="center"/>
    </xf>
    <xf numFmtId="164" fontId="28" fillId="29" borderId="191" xfId="0" applyNumberFormat="1" applyFont="1" applyFill="1" applyBorder="1" applyAlignment="1">
      <alignment vertical="center"/>
    </xf>
    <xf numFmtId="0" fontId="28" fillId="64" borderId="196" xfId="0" applyFont="1" applyFill="1" applyBorder="1" applyAlignment="1">
      <alignment horizontal="center" vertical="center"/>
    </xf>
    <xf numFmtId="166" fontId="28" fillId="29" borderId="196" xfId="0" applyNumberFormat="1" applyFont="1" applyFill="1" applyBorder="1" applyAlignment="1">
      <alignment horizontal="right" vertical="center"/>
    </xf>
    <xf numFmtId="0" fontId="28" fillId="0" borderId="0" xfId="0" applyFont="1" applyBorder="1" applyAlignment="1">
      <alignment vertical="center"/>
    </xf>
    <xf numFmtId="168" fontId="138" fillId="0" borderId="0" xfId="0" applyNumberFormat="1" applyFont="1" applyBorder="1" applyAlignment="1">
      <alignment vertical="center"/>
    </xf>
    <xf numFmtId="168" fontId="138" fillId="0" borderId="0" xfId="0" applyNumberFormat="1" applyFont="1" applyAlignment="1">
      <alignment vertical="center"/>
    </xf>
    <xf numFmtId="168" fontId="138" fillId="0" borderId="0" xfId="0" applyNumberFormat="1" applyFont="1" applyAlignment="1">
      <alignment horizontal="right" vertical="center"/>
    </xf>
    <xf numFmtId="10" fontId="138" fillId="0" borderId="0" xfId="0" applyNumberFormat="1" applyFont="1" applyAlignment="1">
      <alignment vertical="center"/>
    </xf>
    <xf numFmtId="164" fontId="138" fillId="0" borderId="0" xfId="0" applyNumberFormat="1" applyFont="1" applyBorder="1" applyAlignment="1">
      <alignment vertical="center"/>
    </xf>
    <xf numFmtId="164" fontId="138" fillId="0" borderId="0" xfId="0" applyNumberFormat="1" applyFont="1" applyAlignment="1">
      <alignment horizontal="right" vertical="center"/>
    </xf>
    <xf numFmtId="164" fontId="138" fillId="0" borderId="0" xfId="0" applyNumberFormat="1" applyFont="1" applyFill="1" applyAlignment="1">
      <alignment vertical="center"/>
    </xf>
    <xf numFmtId="165" fontId="138" fillId="0" borderId="0" xfId="0" applyNumberFormat="1" applyFont="1" applyFill="1" applyBorder="1" applyAlignment="1">
      <alignment vertical="center"/>
    </xf>
    <xf numFmtId="1" fontId="138" fillId="0" borderId="0" xfId="0" applyNumberFormat="1" applyFont="1" applyFill="1" applyBorder="1" applyAlignment="1">
      <alignment vertical="center"/>
    </xf>
    <xf numFmtId="165" fontId="138" fillId="0" borderId="0" xfId="0" applyNumberFormat="1" applyFont="1" applyFill="1" applyAlignment="1">
      <alignment vertical="center"/>
    </xf>
    <xf numFmtId="1" fontId="138" fillId="0" borderId="0" xfId="0" applyNumberFormat="1" applyFont="1" applyFill="1" applyAlignment="1">
      <alignment vertical="center"/>
    </xf>
    <xf numFmtId="1" fontId="138" fillId="0" borderId="0" xfId="0" applyNumberFormat="1" applyFont="1" applyFill="1" applyAlignment="1">
      <alignment horizontal="right" vertical="center"/>
    </xf>
    <xf numFmtId="10" fontId="138" fillId="0" borderId="0" xfId="0" applyNumberFormat="1" applyFont="1" applyFill="1" applyAlignment="1">
      <alignment vertical="center"/>
    </xf>
    <xf numFmtId="3" fontId="28" fillId="0" borderId="0" xfId="0" applyNumberFormat="1" applyFont="1" applyAlignment="1">
      <alignment vertical="center"/>
    </xf>
    <xf numFmtId="165" fontId="28" fillId="0" borderId="0" xfId="0" applyNumberFormat="1" applyFont="1" applyFill="1" applyBorder="1" applyAlignment="1">
      <alignment vertical="center"/>
    </xf>
    <xf numFmtId="164" fontId="28" fillId="0" borderId="0" xfId="0" applyNumberFormat="1" applyFont="1" applyFill="1" applyBorder="1" applyAlignment="1">
      <alignment vertical="center"/>
    </xf>
    <xf numFmtId="164" fontId="28" fillId="0" borderId="31" xfId="0" applyNumberFormat="1" applyFont="1" applyFill="1" applyBorder="1" applyAlignment="1">
      <alignment vertical="center"/>
    </xf>
    <xf numFmtId="10" fontId="28" fillId="0" borderId="31" xfId="0" applyNumberFormat="1" applyFont="1" applyFill="1" applyBorder="1" applyAlignment="1">
      <alignment vertical="center"/>
    </xf>
    <xf numFmtId="3" fontId="28" fillId="0" borderId="31" xfId="0" applyNumberFormat="1" applyFont="1" applyBorder="1" applyAlignment="1">
      <alignment vertical="center"/>
    </xf>
    <xf numFmtId="164" fontId="139" fillId="2" borderId="0" xfId="0" applyNumberFormat="1" applyFont="1" applyFill="1" applyAlignment="1">
      <alignment horizontal="center" vertical="center"/>
    </xf>
    <xf numFmtId="10" fontId="28" fillId="0" borderId="0" xfId="0" applyNumberFormat="1" applyFont="1" applyAlignment="1">
      <alignment vertical="center"/>
    </xf>
    <xf numFmtId="0" fontId="28" fillId="0" borderId="0" xfId="0" applyFont="1" applyBorder="1" applyAlignment="1">
      <alignment horizontal="center" vertical="center"/>
    </xf>
    <xf numFmtId="2" fontId="28" fillId="0" borderId="0" xfId="0" applyNumberFormat="1" applyFont="1" applyAlignment="1">
      <alignment vertical="center"/>
    </xf>
    <xf numFmtId="0" fontId="28" fillId="0" borderId="0" xfId="0" applyFont="1" applyFill="1" applyBorder="1" applyAlignment="1">
      <alignment vertical="center"/>
    </xf>
    <xf numFmtId="0" fontId="128" fillId="0" borderId="0" xfId="0" applyFont="1" applyFill="1" applyAlignment="1">
      <alignment vertical="center"/>
    </xf>
    <xf numFmtId="164" fontId="133" fillId="2" borderId="0" xfId="67" applyNumberFormat="1" applyFont="1" applyFill="1" applyAlignment="1">
      <alignment vertical="center"/>
    </xf>
    <xf numFmtId="0" fontId="128" fillId="33" borderId="0" xfId="0" applyFont="1" applyFill="1" applyBorder="1" applyAlignment="1">
      <alignment vertical="center"/>
    </xf>
    <xf numFmtId="0" fontId="50" fillId="33" borderId="0" xfId="0" applyFont="1" applyFill="1" applyAlignment="1">
      <alignment vertical="center"/>
    </xf>
    <xf numFmtId="164" fontId="128" fillId="35" borderId="2" xfId="0" applyNumberFormat="1" applyFont="1" applyFill="1" applyBorder="1" applyAlignment="1">
      <alignment vertical="center" wrapText="1"/>
    </xf>
    <xf numFmtId="164" fontId="128" fillId="35" borderId="3" xfId="0" applyNumberFormat="1" applyFont="1" applyFill="1" applyBorder="1" applyAlignment="1">
      <alignment vertical="center" wrapText="1"/>
    </xf>
    <xf numFmtId="164" fontId="128" fillId="29" borderId="75" xfId="0" applyNumberFormat="1" applyFont="1" applyFill="1" applyBorder="1" applyAlignment="1">
      <alignment horizontal="center" vertical="center"/>
    </xf>
    <xf numFmtId="164" fontId="128" fillId="29" borderId="76" xfId="0" applyNumberFormat="1" applyFont="1" applyFill="1" applyBorder="1" applyAlignment="1">
      <alignment horizontal="center" vertical="center"/>
    </xf>
    <xf numFmtId="164" fontId="128" fillId="40" borderId="30" xfId="0" applyNumberFormat="1" applyFont="1" applyFill="1" applyBorder="1" applyAlignment="1">
      <alignment horizontal="center" vertical="center"/>
    </xf>
    <xf numFmtId="164" fontId="128" fillId="40" borderId="75" xfId="0" applyNumberFormat="1" applyFont="1" applyFill="1" applyBorder="1" applyAlignment="1">
      <alignment horizontal="center" vertical="center"/>
    </xf>
    <xf numFmtId="164" fontId="128" fillId="40" borderId="76" xfId="0" applyNumberFormat="1" applyFont="1" applyFill="1" applyBorder="1" applyAlignment="1">
      <alignment horizontal="center" vertical="center"/>
    </xf>
    <xf numFmtId="164" fontId="128" fillId="34" borderId="30" xfId="0" applyNumberFormat="1" applyFont="1" applyFill="1" applyBorder="1" applyAlignment="1">
      <alignment horizontal="center" vertical="center" wrapText="1"/>
    </xf>
    <xf numFmtId="164" fontId="128" fillId="34" borderId="75" xfId="0" applyNumberFormat="1" applyFont="1" applyFill="1" applyBorder="1" applyAlignment="1">
      <alignment horizontal="center" vertical="center" wrapText="1"/>
    </xf>
    <xf numFmtId="164" fontId="128" fillId="34" borderId="30" xfId="0" applyNumberFormat="1" applyFont="1" applyFill="1" applyBorder="1" applyAlignment="1">
      <alignment horizontal="center" vertical="center"/>
    </xf>
    <xf numFmtId="164" fontId="128" fillId="34" borderId="75" xfId="0" applyNumberFormat="1" applyFont="1" applyFill="1" applyBorder="1" applyAlignment="1">
      <alignment horizontal="center" vertical="center"/>
    </xf>
    <xf numFmtId="164" fontId="128" fillId="34" borderId="76" xfId="0" applyNumberFormat="1" applyFont="1" applyFill="1" applyBorder="1" applyAlignment="1">
      <alignment horizontal="center" vertical="center"/>
    </xf>
    <xf numFmtId="164" fontId="128" fillId="35" borderId="75" xfId="0" applyNumberFormat="1" applyFont="1" applyFill="1" applyBorder="1" applyAlignment="1">
      <alignment horizontal="center" vertical="center" wrapText="1"/>
    </xf>
    <xf numFmtId="164" fontId="128" fillId="35" borderId="76" xfId="0" applyNumberFormat="1" applyFont="1" applyFill="1" applyBorder="1" applyAlignment="1">
      <alignment horizontal="center" vertical="center" wrapText="1"/>
    </xf>
    <xf numFmtId="164" fontId="50" fillId="29" borderId="31" xfId="0" applyNumberFormat="1" applyFont="1" applyFill="1" applyBorder="1" applyAlignment="1">
      <alignment horizontal="center" vertical="center" wrapText="1"/>
    </xf>
    <xf numFmtId="164" fontId="50" fillId="40" borderId="31" xfId="0" applyNumberFormat="1" applyFont="1" applyFill="1" applyBorder="1" applyAlignment="1">
      <alignment horizontal="center" vertical="center" wrapText="1"/>
    </xf>
    <xf numFmtId="164" fontId="50" fillId="40" borderId="3" xfId="0" applyNumberFormat="1" applyFont="1" applyFill="1" applyBorder="1" applyAlignment="1">
      <alignment horizontal="center" vertical="center" wrapText="1"/>
    </xf>
    <xf numFmtId="164" fontId="50" fillId="34" borderId="31" xfId="0" applyNumberFormat="1" applyFont="1" applyFill="1" applyBorder="1" applyAlignment="1">
      <alignment horizontal="center" vertical="center" wrapText="1"/>
    </xf>
    <xf numFmtId="164" fontId="50" fillId="35" borderId="31" xfId="0" applyNumberFormat="1" applyFont="1" applyFill="1" applyBorder="1" applyAlignment="1">
      <alignment horizontal="center" vertical="center" wrapText="1"/>
    </xf>
    <xf numFmtId="164" fontId="50" fillId="35" borderId="3" xfId="0" applyNumberFormat="1" applyFont="1" applyFill="1" applyBorder="1" applyAlignment="1">
      <alignment horizontal="center" vertical="center" wrapText="1"/>
    </xf>
    <xf numFmtId="164" fontId="50" fillId="32" borderId="31" xfId="0" applyNumberFormat="1" applyFont="1" applyFill="1" applyBorder="1" applyAlignment="1">
      <alignment horizontal="center" vertical="center" wrapText="1"/>
    </xf>
    <xf numFmtId="164" fontId="50" fillId="32" borderId="3" xfId="0" applyNumberFormat="1" applyFont="1" applyFill="1" applyBorder="1" applyAlignment="1">
      <alignment horizontal="center" vertical="center" wrapText="1"/>
    </xf>
    <xf numFmtId="164" fontId="50" fillId="38" borderId="31" xfId="0" applyNumberFormat="1" applyFont="1" applyFill="1" applyBorder="1" applyAlignment="1">
      <alignment horizontal="center" vertical="center" wrapText="1"/>
    </xf>
    <xf numFmtId="164" fontId="50" fillId="35" borderId="1" xfId="0" applyNumberFormat="1" applyFont="1" applyFill="1" applyBorder="1" applyAlignment="1">
      <alignment horizontal="center" vertical="center" wrapText="1"/>
    </xf>
    <xf numFmtId="164" fontId="50" fillId="29" borderId="31" xfId="0" applyNumberFormat="1" applyFont="1" applyFill="1" applyBorder="1" applyAlignment="1">
      <alignment horizontal="left" vertical="center" wrapText="1"/>
    </xf>
    <xf numFmtId="164" fontId="50" fillId="29" borderId="1" xfId="0" applyNumberFormat="1" applyFont="1" applyFill="1" applyBorder="1" applyAlignment="1">
      <alignment horizontal="left" vertical="center" wrapText="1"/>
    </xf>
    <xf numFmtId="0" fontId="134" fillId="29" borderId="196" xfId="51" applyFont="1" applyFill="1" applyBorder="1" applyAlignment="1">
      <alignment horizontal="left" vertical="center" wrapText="1"/>
    </xf>
    <xf numFmtId="1" fontId="134" fillId="29" borderId="196" xfId="51" applyNumberFormat="1" applyFont="1" applyFill="1" applyBorder="1" applyAlignment="1">
      <alignment horizontal="right" vertical="center" wrapText="1"/>
    </xf>
    <xf numFmtId="0" fontId="28" fillId="33" borderId="196" xfId="0" applyFont="1" applyFill="1" applyBorder="1" applyAlignment="1">
      <alignment vertical="center"/>
    </xf>
    <xf numFmtId="1" fontId="134" fillId="40" borderId="196" xfId="51" applyNumberFormat="1" applyFont="1" applyFill="1" applyBorder="1" applyAlignment="1">
      <alignment horizontal="right" vertical="center" wrapText="1"/>
    </xf>
    <xf numFmtId="170" fontId="134" fillId="40" borderId="196" xfId="51" applyNumberFormat="1" applyFont="1" applyFill="1" applyBorder="1" applyAlignment="1">
      <alignment vertical="center" wrapText="1"/>
    </xf>
    <xf numFmtId="1" fontId="134" fillId="34" borderId="196" xfId="51" applyNumberFormat="1" applyFont="1" applyFill="1" applyBorder="1" applyAlignment="1">
      <alignment horizontal="right" vertical="center" wrapText="1"/>
    </xf>
    <xf numFmtId="170" fontId="134" fillId="34" borderId="196" xfId="51" applyNumberFormat="1" applyFont="1" applyFill="1" applyBorder="1" applyAlignment="1">
      <alignment vertical="center" wrapText="1"/>
    </xf>
    <xf numFmtId="1" fontId="134" fillId="35" borderId="196" xfId="51" applyNumberFormat="1" applyFont="1" applyFill="1" applyBorder="1" applyAlignment="1">
      <alignment horizontal="right" vertical="center" wrapText="1"/>
    </xf>
    <xf numFmtId="170" fontId="134" fillId="35" borderId="196" xfId="51" applyNumberFormat="1" applyFont="1" applyFill="1" applyBorder="1" applyAlignment="1">
      <alignment horizontal="right" vertical="center" wrapText="1"/>
    </xf>
    <xf numFmtId="10" fontId="28" fillId="32" borderId="196" xfId="0" applyNumberFormat="1" applyFont="1" applyFill="1" applyBorder="1" applyAlignment="1">
      <alignment vertical="center"/>
    </xf>
    <xf numFmtId="164" fontId="28" fillId="32" borderId="196" xfId="0" applyNumberFormat="1" applyFont="1" applyFill="1" applyBorder="1" applyAlignment="1">
      <alignment vertical="center"/>
    </xf>
    <xf numFmtId="170" fontId="28" fillId="32" borderId="196" xfId="0" applyNumberFormat="1" applyFont="1" applyFill="1" applyBorder="1" applyAlignment="1">
      <alignment vertical="center"/>
    </xf>
    <xf numFmtId="165" fontId="28" fillId="32" borderId="196" xfId="0" applyNumberFormat="1" applyFont="1" applyFill="1" applyBorder="1" applyAlignment="1">
      <alignment vertical="center"/>
    </xf>
    <xf numFmtId="169" fontId="50" fillId="38" borderId="196" xfId="0" applyNumberFormat="1" applyFont="1" applyFill="1" applyBorder="1" applyAlignment="1">
      <alignment horizontal="center" vertical="center"/>
    </xf>
    <xf numFmtId="164" fontId="28" fillId="38" borderId="196" xfId="0" applyNumberFormat="1" applyFont="1" applyFill="1" applyBorder="1" applyAlignment="1">
      <alignment horizontal="right" vertical="center"/>
    </xf>
    <xf numFmtId="165" fontId="28" fillId="38" borderId="196" xfId="0" applyNumberFormat="1" applyFont="1" applyFill="1" applyBorder="1" applyAlignment="1">
      <alignment vertical="center"/>
    </xf>
    <xf numFmtId="10" fontId="28" fillId="35" borderId="196" xfId="0" applyNumberFormat="1" applyFont="1" applyFill="1" applyBorder="1" applyAlignment="1">
      <alignment vertical="center"/>
    </xf>
    <xf numFmtId="164" fontId="28" fillId="35" borderId="196" xfId="0" applyNumberFormat="1" applyFont="1" applyFill="1" applyBorder="1" applyAlignment="1">
      <alignment vertical="center"/>
    </xf>
    <xf numFmtId="164" fontId="28" fillId="35" borderId="196" xfId="0" applyNumberFormat="1" applyFont="1" applyFill="1" applyBorder="1" applyAlignment="1">
      <alignment horizontal="center" vertical="center"/>
    </xf>
    <xf numFmtId="10" fontId="28" fillId="35" borderId="196" xfId="0" applyNumberFormat="1" applyFont="1" applyFill="1" applyBorder="1" applyAlignment="1">
      <alignment horizontal="center" vertical="center"/>
    </xf>
    <xf numFmtId="10" fontId="28" fillId="35" borderId="196" xfId="0" applyNumberFormat="1" applyFont="1" applyFill="1" applyBorder="1" applyAlignment="1">
      <alignment horizontal="center" vertical="center" wrapText="1"/>
    </xf>
    <xf numFmtId="0" fontId="134" fillId="29" borderId="191" xfId="51" applyFont="1" applyFill="1" applyBorder="1" applyAlignment="1">
      <alignment horizontal="left" vertical="center" wrapText="1"/>
    </xf>
    <xf numFmtId="1" fontId="134" fillId="29" borderId="191" xfId="51" applyNumberFormat="1" applyFont="1" applyFill="1" applyBorder="1" applyAlignment="1">
      <alignment horizontal="right" vertical="center" wrapText="1"/>
    </xf>
    <xf numFmtId="0" fontId="28" fillId="33" borderId="191" xfId="0" applyFont="1" applyFill="1" applyBorder="1" applyAlignment="1">
      <alignment vertical="center"/>
    </xf>
    <xf numFmtId="1" fontId="134" fillId="40" borderId="191" xfId="51" applyNumberFormat="1" applyFont="1" applyFill="1" applyBorder="1" applyAlignment="1">
      <alignment horizontal="right" vertical="center" wrapText="1"/>
    </xf>
    <xf numFmtId="170" fontId="134" fillId="40" borderId="191" xfId="51" applyNumberFormat="1" applyFont="1" applyFill="1" applyBorder="1" applyAlignment="1">
      <alignment vertical="center" wrapText="1"/>
    </xf>
    <xf numFmtId="1" fontId="134" fillId="34" borderId="191" xfId="51" applyNumberFormat="1" applyFont="1" applyFill="1" applyBorder="1" applyAlignment="1">
      <alignment horizontal="right" vertical="center" wrapText="1"/>
    </xf>
    <xf numFmtId="170" fontId="134" fillId="34" borderId="191" xfId="51" applyNumberFormat="1" applyFont="1" applyFill="1" applyBorder="1" applyAlignment="1">
      <alignment vertical="center" wrapText="1"/>
    </xf>
    <xf numFmtId="1" fontId="134" fillId="35" borderId="191" xfId="51" applyNumberFormat="1" applyFont="1" applyFill="1" applyBorder="1" applyAlignment="1">
      <alignment horizontal="right" vertical="center" wrapText="1"/>
    </xf>
    <xf numFmtId="170" fontId="134" fillId="35" borderId="191" xfId="51" applyNumberFormat="1" applyFont="1" applyFill="1" applyBorder="1" applyAlignment="1">
      <alignment horizontal="right" vertical="center" wrapText="1"/>
    </xf>
    <xf numFmtId="10" fontId="28" fillId="32" borderId="191" xfId="0" applyNumberFormat="1" applyFont="1" applyFill="1" applyBorder="1" applyAlignment="1">
      <alignment vertical="center"/>
    </xf>
    <xf numFmtId="164" fontId="28" fillId="32" borderId="191" xfId="0" applyNumberFormat="1" applyFont="1" applyFill="1" applyBorder="1" applyAlignment="1">
      <alignment vertical="center"/>
    </xf>
    <xf numFmtId="170" fontId="28" fillId="32" borderId="191" xfId="0" applyNumberFormat="1" applyFont="1" applyFill="1" applyBorder="1" applyAlignment="1">
      <alignment vertical="center"/>
    </xf>
    <xf numFmtId="165" fontId="28" fillId="32" borderId="191" xfId="0" applyNumberFormat="1" applyFont="1" applyFill="1" applyBorder="1" applyAlignment="1">
      <alignment vertical="center"/>
    </xf>
    <xf numFmtId="169" fontId="50" fillId="38" borderId="191" xfId="0" applyNumberFormat="1" applyFont="1" applyFill="1" applyBorder="1" applyAlignment="1">
      <alignment horizontal="center" vertical="center"/>
    </xf>
    <xf numFmtId="164" fontId="28" fillId="38" borderId="191" xfId="0" applyNumberFormat="1" applyFont="1" applyFill="1" applyBorder="1" applyAlignment="1">
      <alignment horizontal="right" vertical="center"/>
    </xf>
    <xf numFmtId="165" fontId="28" fillId="38" borderId="191" xfId="0" applyNumberFormat="1" applyFont="1" applyFill="1" applyBorder="1" applyAlignment="1">
      <alignment vertical="center"/>
    </xf>
    <xf numFmtId="10" fontId="28" fillId="35" borderId="191" xfId="0" applyNumberFormat="1" applyFont="1" applyFill="1" applyBorder="1" applyAlignment="1">
      <alignment vertical="center"/>
    </xf>
    <xf numFmtId="164" fontId="28" fillId="35" borderId="191" xfId="0" applyNumberFormat="1" applyFont="1" applyFill="1" applyBorder="1" applyAlignment="1">
      <alignment vertical="center"/>
    </xf>
    <xf numFmtId="164" fontId="28" fillId="35" borderId="191" xfId="0" applyNumberFormat="1" applyFont="1" applyFill="1" applyBorder="1" applyAlignment="1">
      <alignment horizontal="center" vertical="center"/>
    </xf>
    <xf numFmtId="10" fontId="28" fillId="35" borderId="191" xfId="0" applyNumberFormat="1" applyFont="1" applyFill="1" applyBorder="1" applyAlignment="1">
      <alignment horizontal="center" vertical="center"/>
    </xf>
    <xf numFmtId="0" fontId="28" fillId="33" borderId="176" xfId="0" applyFont="1" applyFill="1" applyBorder="1" applyAlignment="1">
      <alignment vertical="center" wrapText="1"/>
    </xf>
    <xf numFmtId="3" fontId="50" fillId="28" borderId="191" xfId="0" applyNumberFormat="1" applyFont="1" applyFill="1" applyBorder="1" applyAlignment="1">
      <alignment vertical="center"/>
    </xf>
    <xf numFmtId="3" fontId="28" fillId="28" borderId="191" xfId="0" applyNumberFormat="1" applyFont="1" applyFill="1" applyBorder="1" applyAlignment="1">
      <alignment vertical="center"/>
    </xf>
    <xf numFmtId="3" fontId="28" fillId="28" borderId="196" xfId="0" applyNumberFormat="1" applyFont="1" applyFill="1" applyBorder="1" applyAlignment="1">
      <alignment vertical="center"/>
    </xf>
    <xf numFmtId="0" fontId="134" fillId="0" borderId="196" xfId="62401" applyNumberFormat="1" applyFont="1" applyFill="1" applyBorder="1" applyAlignment="1">
      <alignment vertical="center" wrapText="1"/>
    </xf>
    <xf numFmtId="0" fontId="134" fillId="0" borderId="196" xfId="62401" applyFont="1" applyFill="1" applyBorder="1" applyAlignment="1">
      <alignment vertical="center" wrapText="1"/>
    </xf>
    <xf numFmtId="0" fontId="133" fillId="59" borderId="141" xfId="67" applyFont="1" applyFill="1" applyBorder="1" applyAlignment="1">
      <alignment vertical="center"/>
    </xf>
    <xf numFmtId="0" fontId="141" fillId="69" borderId="0" xfId="0" applyFont="1" applyFill="1" applyAlignment="1">
      <alignment vertical="center"/>
    </xf>
    <xf numFmtId="0" fontId="0" fillId="69" borderId="0" xfId="0" applyFill="1"/>
    <xf numFmtId="0" fontId="142" fillId="69" borderId="0" xfId="0" applyFont="1" applyFill="1" applyAlignment="1">
      <alignment vertical="center"/>
    </xf>
    <xf numFmtId="0" fontId="144" fillId="69" borderId="0" xfId="0" applyFont="1" applyFill="1" applyAlignment="1">
      <alignment vertical="center"/>
    </xf>
    <xf numFmtId="0" fontId="143" fillId="69" borderId="0" xfId="0" applyFont="1" applyFill="1" applyAlignment="1">
      <alignment vertical="center"/>
    </xf>
    <xf numFmtId="0" fontId="145" fillId="69" borderId="0" xfId="0" applyFont="1" applyFill="1" applyAlignment="1">
      <alignment vertical="center"/>
    </xf>
    <xf numFmtId="0" fontId="146" fillId="69" borderId="0" xfId="0" applyFont="1" applyFill="1" applyAlignment="1">
      <alignment vertical="center"/>
    </xf>
    <xf numFmtId="0" fontId="0" fillId="69" borderId="0" xfId="0" applyFill="1" applyAlignment="1">
      <alignment vertical="center"/>
    </xf>
    <xf numFmtId="0" fontId="133" fillId="37" borderId="198" xfId="67" applyFont="1" applyFill="1" applyBorder="1" applyAlignment="1">
      <alignment vertical="center"/>
    </xf>
    <xf numFmtId="0" fontId="133" fillId="37" borderId="145" xfId="67" applyFont="1" applyFill="1" applyBorder="1" applyAlignment="1">
      <alignment vertical="center"/>
    </xf>
    <xf numFmtId="164" fontId="50" fillId="2" borderId="0" xfId="715" applyNumberFormat="1" applyFont="1" applyFill="1" applyAlignment="1">
      <alignment vertical="top"/>
    </xf>
    <xf numFmtId="164" fontId="149" fillId="2" borderId="0" xfId="715" applyNumberFormat="1" applyFont="1" applyFill="1" applyAlignment="1">
      <alignment vertical="top"/>
    </xf>
    <xf numFmtId="164" fontId="50" fillId="3" borderId="4" xfId="715" applyNumberFormat="1" applyFont="1" applyFill="1" applyBorder="1" applyAlignment="1">
      <alignment horizontal="center" vertical="center" wrapText="1"/>
    </xf>
    <xf numFmtId="164" fontId="50" fillId="3" borderId="5" xfId="715" applyNumberFormat="1" applyFont="1" applyFill="1" applyBorder="1" applyAlignment="1">
      <alignment horizontal="center" vertical="center" wrapText="1"/>
    </xf>
    <xf numFmtId="164" fontId="50" fillId="3" borderId="7" xfId="715" applyNumberFormat="1" applyFont="1" applyFill="1" applyBorder="1" applyAlignment="1">
      <alignment horizontal="center" vertical="center" wrapText="1"/>
    </xf>
    <xf numFmtId="164" fontId="50" fillId="3" borderId="9" xfId="715" applyNumberFormat="1" applyFont="1" applyFill="1" applyBorder="1" applyAlignment="1">
      <alignment horizontal="center" vertical="center" wrapText="1"/>
    </xf>
    <xf numFmtId="164" fontId="50" fillId="3" borderId="8" xfId="715" applyNumberFormat="1" applyFont="1" applyFill="1" applyBorder="1" applyAlignment="1">
      <alignment horizontal="center" vertical="center" wrapText="1"/>
    </xf>
    <xf numFmtId="164" fontId="50" fillId="0" borderId="7" xfId="715" applyNumberFormat="1" applyFont="1" applyFill="1" applyBorder="1" applyAlignment="1">
      <alignment horizontal="center" vertical="top"/>
    </xf>
    <xf numFmtId="164" fontId="50" fillId="0" borderId="147" xfId="715" applyNumberFormat="1" applyFont="1" applyFill="1" applyBorder="1" applyAlignment="1">
      <alignment vertical="top"/>
    </xf>
    <xf numFmtId="164" fontId="50" fillId="0" borderId="25" xfId="715" applyNumberFormat="1" applyFont="1" applyFill="1" applyBorder="1" applyAlignment="1">
      <alignment vertical="top"/>
    </xf>
    <xf numFmtId="164" fontId="50" fillId="0" borderId="9" xfId="715" applyNumberFormat="1" applyFont="1" applyFill="1" applyBorder="1" applyAlignment="1">
      <alignment vertical="top"/>
    </xf>
    <xf numFmtId="164" fontId="50" fillId="0" borderId="26" xfId="715" applyNumberFormat="1" applyFont="1" applyFill="1" applyBorder="1" applyAlignment="1">
      <alignment vertical="top"/>
    </xf>
    <xf numFmtId="164" fontId="50" fillId="0" borderId="8" xfId="715" applyNumberFormat="1" applyFont="1" applyFill="1" applyBorder="1" applyAlignment="1">
      <alignment vertical="top"/>
    </xf>
    <xf numFmtId="164" fontId="50" fillId="0" borderId="10" xfId="715" applyNumberFormat="1" applyFont="1" applyFill="1" applyBorder="1" applyAlignment="1">
      <alignment horizontal="center" vertical="top"/>
    </xf>
    <xf numFmtId="164" fontId="50" fillId="0" borderId="148" xfId="715" applyNumberFormat="1" applyFont="1" applyFill="1" applyBorder="1" applyAlignment="1">
      <alignment vertical="top"/>
    </xf>
    <xf numFmtId="164" fontId="50" fillId="0" borderId="10" xfId="715" applyNumberFormat="1" applyFont="1" applyFill="1" applyBorder="1" applyAlignment="1">
      <alignment vertical="top"/>
    </xf>
    <xf numFmtId="164" fontId="50" fillId="0" borderId="12" xfId="715" applyNumberFormat="1" applyFont="1" applyFill="1" applyBorder="1" applyAlignment="1">
      <alignment vertical="top"/>
    </xf>
    <xf numFmtId="164" fontId="50" fillId="0" borderId="11" xfId="715" applyNumberFormat="1" applyFont="1" applyFill="1" applyBorder="1" applyAlignment="1">
      <alignment vertical="top"/>
    </xf>
    <xf numFmtId="164" fontId="50" fillId="0" borderId="13" xfId="715" applyNumberFormat="1" applyFont="1" applyFill="1" applyBorder="1" applyAlignment="1">
      <alignment horizontal="center" vertical="top"/>
    </xf>
    <xf numFmtId="164" fontId="50" fillId="0" borderId="149" xfId="715" applyNumberFormat="1" applyFont="1" applyFill="1" applyBorder="1" applyAlignment="1">
      <alignment vertical="top"/>
    </xf>
    <xf numFmtId="164" fontId="50" fillId="0" borderId="13" xfId="715" applyNumberFormat="1" applyFont="1" applyFill="1" applyBorder="1" applyAlignment="1">
      <alignment vertical="top"/>
    </xf>
    <xf numFmtId="164" fontId="50" fillId="0" borderId="15" xfId="715" applyNumberFormat="1" applyFont="1" applyFill="1" applyBorder="1" applyAlignment="1">
      <alignment vertical="top"/>
    </xf>
    <xf numFmtId="164" fontId="50" fillId="0" borderId="14" xfId="715" applyNumberFormat="1" applyFont="1" applyFill="1" applyBorder="1" applyAlignment="1">
      <alignment vertical="top"/>
    </xf>
    <xf numFmtId="164" fontId="150" fillId="2" borderId="0" xfId="715" applyNumberFormat="1" applyFont="1" applyFill="1" applyAlignment="1">
      <alignment vertical="top"/>
    </xf>
    <xf numFmtId="164" fontId="148" fillId="2" borderId="0" xfId="67" applyNumberFormat="1" applyFont="1" applyFill="1" applyAlignment="1">
      <alignment vertical="center"/>
    </xf>
    <xf numFmtId="0" fontId="25" fillId="0" borderId="0" xfId="0" applyFont="1" applyAlignment="1">
      <alignment vertical="center"/>
    </xf>
    <xf numFmtId="0" fontId="25" fillId="33" borderId="0" xfId="0" applyFont="1" applyFill="1" applyAlignment="1">
      <alignment vertical="center"/>
    </xf>
    <xf numFmtId="0" fontId="25" fillId="0" borderId="0" xfId="0" applyFont="1" applyFill="1" applyAlignment="1">
      <alignment vertical="center"/>
    </xf>
    <xf numFmtId="1" fontId="25" fillId="0" borderId="0" xfId="0" applyNumberFormat="1" applyFont="1" applyFill="1" applyAlignment="1">
      <alignment vertical="center"/>
    </xf>
    <xf numFmtId="0" fontId="138" fillId="0" borderId="0" xfId="0" applyFont="1" applyFill="1" applyAlignment="1">
      <alignment vertical="center"/>
    </xf>
    <xf numFmtId="0" fontId="28" fillId="0" borderId="0" xfId="0" applyFont="1"/>
    <xf numFmtId="164" fontId="151" fillId="2" borderId="0" xfId="1" applyNumberFormat="1" applyFont="1" applyFill="1" applyAlignment="1">
      <alignment vertical="top"/>
    </xf>
    <xf numFmtId="164" fontId="32" fillId="2" borderId="0" xfId="67" applyNumberFormat="1" applyFont="1" applyFill="1" applyAlignment="1">
      <alignment vertical="top"/>
    </xf>
    <xf numFmtId="164" fontId="151" fillId="2" borderId="0" xfId="715" applyNumberFormat="1" applyFont="1" applyFill="1" applyAlignment="1">
      <alignment vertical="top"/>
    </xf>
    <xf numFmtId="164" fontId="50" fillId="3" borderId="4" xfId="1" applyNumberFormat="1" applyFont="1" applyFill="1" applyBorder="1" applyAlignment="1">
      <alignment horizontal="center" vertical="center" wrapText="1"/>
    </xf>
    <xf numFmtId="164" fontId="50" fillId="3" borderId="5" xfId="1" applyNumberFormat="1" applyFont="1" applyFill="1" applyBorder="1" applyAlignment="1">
      <alignment horizontal="center" vertical="center" wrapText="1"/>
    </xf>
    <xf numFmtId="164" fontId="50" fillId="3" borderId="6" xfId="1" applyNumberFormat="1" applyFont="1" applyFill="1" applyBorder="1" applyAlignment="1">
      <alignment horizontal="center" vertical="center" wrapText="1"/>
    </xf>
    <xf numFmtId="164" fontId="50" fillId="0" borderId="7" xfId="1" applyNumberFormat="1" applyFont="1" applyFill="1" applyBorder="1" applyAlignment="1">
      <alignment horizontal="center" vertical="center"/>
    </xf>
    <xf numFmtId="164" fontId="50" fillId="0" borderId="8" xfId="1" applyNumberFormat="1" applyFont="1" applyFill="1" applyBorder="1" applyAlignment="1">
      <alignment vertical="center"/>
    </xf>
    <xf numFmtId="164" fontId="50" fillId="0" borderId="7" xfId="1" applyNumberFormat="1" applyFont="1" applyFill="1" applyBorder="1" applyAlignment="1">
      <alignment vertical="center"/>
    </xf>
    <xf numFmtId="164" fontId="50" fillId="0" borderId="9" xfId="1" applyNumberFormat="1" applyFont="1" applyFill="1" applyBorder="1" applyAlignment="1">
      <alignment vertical="center"/>
    </xf>
    <xf numFmtId="164" fontId="50" fillId="0" borderId="10" xfId="1" applyNumberFormat="1" applyFont="1" applyFill="1" applyBorder="1" applyAlignment="1">
      <alignment horizontal="center" vertical="center"/>
    </xf>
    <xf numFmtId="164" fontId="50" fillId="0" borderId="11" xfId="1" applyNumberFormat="1" applyFont="1" applyFill="1" applyBorder="1" applyAlignment="1">
      <alignment vertical="center"/>
    </xf>
    <xf numFmtId="164" fontId="50" fillId="0" borderId="10" xfId="1" applyNumberFormat="1" applyFont="1" applyFill="1" applyBorder="1" applyAlignment="1">
      <alignment vertical="center"/>
    </xf>
    <xf numFmtId="164" fontId="50" fillId="0" borderId="12" xfId="1" applyNumberFormat="1" applyFont="1" applyFill="1" applyBorder="1" applyAlignment="1">
      <alignment vertical="center"/>
    </xf>
    <xf numFmtId="164" fontId="50" fillId="0" borderId="10" xfId="1" applyNumberFormat="1" applyFont="1" applyFill="1" applyBorder="1" applyAlignment="1">
      <alignment horizontal="right" vertical="center"/>
    </xf>
    <xf numFmtId="164" fontId="50" fillId="0" borderId="12" xfId="1" applyNumberFormat="1" applyFont="1" applyFill="1" applyBorder="1" applyAlignment="1">
      <alignment horizontal="right" vertical="center"/>
    </xf>
    <xf numFmtId="164" fontId="50" fillId="0" borderId="11" xfId="1" applyNumberFormat="1" applyFont="1" applyFill="1" applyBorder="1" applyAlignment="1">
      <alignment horizontal="right" vertical="center"/>
    </xf>
    <xf numFmtId="164" fontId="50" fillId="0" borderId="12" xfId="1" quotePrefix="1" applyNumberFormat="1" applyFont="1" applyFill="1" applyBorder="1" applyAlignment="1">
      <alignment horizontal="right" vertical="center"/>
    </xf>
    <xf numFmtId="164" fontId="50" fillId="0" borderId="11" xfId="1" quotePrefix="1" applyNumberFormat="1" applyFont="1" applyFill="1" applyBorder="1" applyAlignment="1">
      <alignment horizontal="right" vertical="center"/>
    </xf>
    <xf numFmtId="164" fontId="50" fillId="0" borderId="13" xfId="1" applyNumberFormat="1" applyFont="1" applyFill="1" applyBorder="1" applyAlignment="1">
      <alignment horizontal="center" vertical="center"/>
    </xf>
    <xf numFmtId="164" fontId="50" fillId="0" borderId="14" xfId="1" applyNumberFormat="1" applyFont="1" applyFill="1" applyBorder="1" applyAlignment="1">
      <alignment vertical="center"/>
    </xf>
    <xf numFmtId="164" fontId="50" fillId="0" borderId="13" xfId="1" applyNumberFormat="1" applyFont="1" applyFill="1" applyBorder="1" applyAlignment="1">
      <alignment horizontal="right" vertical="center"/>
    </xf>
    <xf numFmtId="164" fontId="50" fillId="0" borderId="15" xfId="1" applyNumberFormat="1" applyFont="1" applyFill="1" applyBorder="1" applyAlignment="1">
      <alignment horizontal="right" vertical="center"/>
    </xf>
    <xf numFmtId="164" fontId="50" fillId="0" borderId="14" xfId="1" applyNumberFormat="1" applyFont="1" applyFill="1" applyBorder="1" applyAlignment="1">
      <alignment horizontal="right" vertical="center"/>
    </xf>
    <xf numFmtId="164" fontId="32" fillId="2" borderId="0" xfId="67" applyNumberFormat="1" applyFont="1" applyFill="1" applyAlignment="1">
      <alignment vertical="center"/>
    </xf>
    <xf numFmtId="3" fontId="32" fillId="2" borderId="0" xfId="67" applyNumberFormat="1" applyFont="1" applyFill="1" applyAlignment="1">
      <alignment vertical="center"/>
    </xf>
    <xf numFmtId="43" fontId="48" fillId="38" borderId="31" xfId="46" applyFont="1" applyFill="1" applyBorder="1" applyAlignment="1">
      <alignment vertical="center" wrapText="1"/>
    </xf>
    <xf numFmtId="214" fontId="48" fillId="38" borderId="31" xfId="0" applyNumberFormat="1" applyFont="1" applyFill="1" applyBorder="1" applyAlignment="1">
      <alignment vertical="center"/>
    </xf>
    <xf numFmtId="43" fontId="48" fillId="35" borderId="31" xfId="46" applyFont="1" applyFill="1" applyBorder="1" applyAlignment="1">
      <alignment vertical="center" wrapText="1"/>
    </xf>
    <xf numFmtId="214" fontId="48" fillId="35" borderId="31" xfId="0" applyNumberFormat="1" applyFont="1" applyFill="1" applyBorder="1" applyAlignment="1">
      <alignment vertical="center"/>
    </xf>
    <xf numFmtId="0" fontId="133" fillId="42" borderId="141" xfId="67" applyFont="1" applyFill="1" applyBorder="1" applyAlignment="1">
      <alignment vertical="center"/>
    </xf>
    <xf numFmtId="0" fontId="133" fillId="43" borderId="142" xfId="67" applyFont="1" applyFill="1" applyBorder="1" applyAlignment="1">
      <alignment vertical="center"/>
    </xf>
    <xf numFmtId="0" fontId="48" fillId="37" borderId="160" xfId="0" applyFont="1" applyFill="1" applyBorder="1" applyAlignment="1">
      <alignment vertical="center" wrapText="1"/>
    </xf>
    <xf numFmtId="164" fontId="48" fillId="37" borderId="160" xfId="46" applyNumberFormat="1" applyFont="1" applyFill="1" applyBorder="1" applyAlignment="1">
      <alignment vertical="center" wrapText="1"/>
    </xf>
    <xf numFmtId="164" fontId="48" fillId="37" borderId="160" xfId="46" applyNumberFormat="1" applyFont="1" applyFill="1" applyBorder="1" applyAlignment="1">
      <alignment vertical="center"/>
    </xf>
    <xf numFmtId="164" fontId="28" fillId="0" borderId="160" xfId="46" applyNumberFormat="1" applyFont="1" applyBorder="1" applyAlignment="1">
      <alignment vertical="center"/>
    </xf>
    <xf numFmtId="0" fontId="48" fillId="60" borderId="196" xfId="0" applyFont="1" applyFill="1" applyBorder="1" applyAlignment="1">
      <alignment horizontal="center" vertical="center" wrapText="1"/>
    </xf>
    <xf numFmtId="0" fontId="48" fillId="58" borderId="196" xfId="0" applyFont="1" applyFill="1" applyBorder="1" applyAlignment="1">
      <alignment vertical="center" wrapText="1"/>
    </xf>
    <xf numFmtId="0" fontId="128" fillId="0" borderId="1" xfId="1" applyFont="1" applyBorder="1" applyAlignment="1">
      <alignment horizontal="center" vertical="center"/>
    </xf>
    <xf numFmtId="0" fontId="128" fillId="0" borderId="140" xfId="1" applyFont="1" applyBorder="1" applyAlignment="1">
      <alignment horizontal="center" vertical="center"/>
    </xf>
    <xf numFmtId="0" fontId="128" fillId="0" borderId="51" xfId="1" applyFont="1" applyBorder="1" applyAlignment="1">
      <alignment horizontal="center" vertical="center"/>
    </xf>
    <xf numFmtId="0" fontId="128" fillId="0" borderId="189" xfId="1" applyFont="1" applyBorder="1" applyAlignment="1">
      <alignment horizontal="center" vertical="center"/>
    </xf>
    <xf numFmtId="0" fontId="50" fillId="0" borderId="25" xfId="1" applyFont="1" applyBorder="1" applyAlignment="1">
      <alignment horizontal="left" vertical="center"/>
    </xf>
    <xf numFmtId="0" fontId="50" fillId="0" borderId="26" xfId="1" applyFont="1" applyBorder="1" applyAlignment="1">
      <alignment horizontal="left" vertical="center"/>
    </xf>
    <xf numFmtId="0" fontId="128" fillId="0" borderId="190" xfId="1" applyFont="1" applyBorder="1" applyAlignment="1">
      <alignment horizontal="center" vertical="center"/>
    </xf>
    <xf numFmtId="0" fontId="50" fillId="0" borderId="146" xfId="1" applyFont="1" applyBorder="1" applyAlignment="1">
      <alignment vertical="center" wrapText="1"/>
    </xf>
    <xf numFmtId="0" fontId="50" fillId="0" borderId="57" xfId="1" applyFont="1" applyBorder="1" applyAlignment="1">
      <alignment vertical="center"/>
    </xf>
    <xf numFmtId="0" fontId="50" fillId="0" borderId="197" xfId="1" applyFont="1" applyBorder="1" applyAlignment="1">
      <alignment vertical="center" wrapText="1"/>
    </xf>
    <xf numFmtId="0" fontId="50" fillId="0" borderId="63" xfId="1" applyFont="1" applyBorder="1" applyAlignment="1">
      <alignment vertical="center" wrapText="1"/>
    </xf>
    <xf numFmtId="14" fontId="50" fillId="0" borderId="63" xfId="1" applyNumberFormat="1" applyFont="1" applyBorder="1" applyAlignment="1">
      <alignment horizontal="right" vertical="center"/>
    </xf>
    <xf numFmtId="0" fontId="133" fillId="36" borderId="142" xfId="67" applyFont="1" applyFill="1" applyBorder="1" applyAlignment="1">
      <alignment vertical="center"/>
    </xf>
    <xf numFmtId="0" fontId="50" fillId="0" borderId="58" xfId="1" applyFont="1" applyBorder="1" applyAlignment="1">
      <alignment vertical="center" wrapText="1"/>
    </xf>
    <xf numFmtId="0" fontId="50" fillId="0" borderId="59" xfId="1" applyFont="1" applyBorder="1" applyAlignment="1">
      <alignment horizontal="left" vertical="center" wrapText="1"/>
    </xf>
    <xf numFmtId="0" fontId="133" fillId="36" borderId="145" xfId="67" applyFont="1" applyFill="1" applyBorder="1" applyAlignment="1">
      <alignment vertical="center"/>
    </xf>
    <xf numFmtId="0" fontId="50" fillId="0" borderId="64" xfId="1" applyFont="1" applyBorder="1" applyAlignment="1">
      <alignment vertical="center" wrapText="1"/>
    </xf>
    <xf numFmtId="0" fontId="50" fillId="0" borderId="65" xfId="1" applyFont="1" applyBorder="1" applyAlignment="1">
      <alignment horizontal="left" vertical="center" wrapText="1"/>
    </xf>
    <xf numFmtId="0" fontId="50" fillId="0" borderId="56" xfId="1" applyFont="1" applyBorder="1" applyAlignment="1">
      <alignment vertical="center" wrapText="1"/>
    </xf>
    <xf numFmtId="0" fontId="50" fillId="0" borderId="57" xfId="1" applyFont="1" applyBorder="1" applyAlignment="1">
      <alignment horizontal="left" vertical="center" wrapText="1"/>
    </xf>
    <xf numFmtId="14" fontId="50" fillId="0" borderId="57" xfId="1" applyNumberFormat="1" applyFont="1" applyBorder="1" applyAlignment="1">
      <alignment horizontal="right" vertical="center"/>
    </xf>
    <xf numFmtId="0" fontId="133" fillId="37" borderId="144" xfId="67" applyFont="1" applyFill="1" applyBorder="1" applyAlignment="1">
      <alignment vertical="center"/>
    </xf>
    <xf numFmtId="0" fontId="50" fillId="0" borderId="62" xfId="1" applyFont="1" applyBorder="1" applyAlignment="1">
      <alignment vertical="center" wrapText="1"/>
    </xf>
    <xf numFmtId="0" fontId="50" fillId="0" borderId="63" xfId="1" applyFont="1" applyBorder="1" applyAlignment="1">
      <alignment horizontal="left" vertical="center" wrapText="1"/>
    </xf>
    <xf numFmtId="0" fontId="50" fillId="0" borderId="58" xfId="1" applyFont="1" applyBorder="1" applyAlignment="1">
      <alignment vertical="center"/>
    </xf>
    <xf numFmtId="0" fontId="50" fillId="0" borderId="59" xfId="1" applyFont="1" applyBorder="1" applyAlignment="1">
      <alignment horizontal="left" vertical="center"/>
    </xf>
    <xf numFmtId="14" fontId="50" fillId="0" borderId="59" xfId="1" applyNumberFormat="1" applyFont="1" applyBorder="1" applyAlignment="1">
      <alignment horizontal="right" vertical="center"/>
    </xf>
    <xf numFmtId="0" fontId="50" fillId="0" borderId="65" xfId="1" applyFont="1" applyBorder="1" applyAlignment="1">
      <alignment horizontal="left" vertical="center"/>
    </xf>
    <xf numFmtId="14" fontId="50" fillId="0" borderId="65" xfId="1" applyNumberFormat="1" applyFont="1" applyBorder="1" applyAlignment="1">
      <alignment horizontal="right" vertical="center"/>
    </xf>
    <xf numFmtId="0" fontId="50" fillId="0" borderId="65" xfId="0" applyFont="1" applyBorder="1" applyAlignment="1">
      <alignment vertical="center"/>
    </xf>
    <xf numFmtId="14" fontId="50" fillId="0" borderId="65" xfId="0" applyNumberFormat="1" applyFont="1" applyBorder="1" applyAlignment="1">
      <alignment horizontal="right" vertical="center"/>
    </xf>
    <xf numFmtId="0" fontId="133" fillId="37" borderId="143" xfId="67" applyFont="1" applyFill="1" applyBorder="1" applyAlignment="1">
      <alignment vertical="center"/>
    </xf>
    <xf numFmtId="0" fontId="50" fillId="0" borderId="60" xfId="1" applyFont="1" applyBorder="1" applyAlignment="1">
      <alignment vertical="center" wrapText="1"/>
    </xf>
    <xf numFmtId="0" fontId="50" fillId="0" borderId="61" xfId="0" applyFont="1" applyBorder="1" applyAlignment="1">
      <alignment vertical="center"/>
    </xf>
    <xf numFmtId="14" fontId="50" fillId="0" borderId="61" xfId="0" applyNumberFormat="1" applyFont="1" applyBorder="1" applyAlignment="1">
      <alignment horizontal="right" vertical="center"/>
    </xf>
    <xf numFmtId="0" fontId="50" fillId="0" borderId="63" xfId="1" applyFont="1" applyBorder="1" applyAlignment="1">
      <alignment horizontal="left" vertical="center"/>
    </xf>
    <xf numFmtId="0" fontId="133" fillId="39" borderId="142" xfId="67" applyFont="1" applyFill="1" applyBorder="1" applyAlignment="1">
      <alignment vertical="center"/>
    </xf>
    <xf numFmtId="0" fontId="133" fillId="39" borderId="102" xfId="67" applyFont="1" applyFill="1" applyBorder="1" applyAlignment="1">
      <alignment vertical="center"/>
    </xf>
    <xf numFmtId="0" fontId="50" fillId="0" borderId="138" xfId="1" applyFont="1" applyBorder="1" applyAlignment="1">
      <alignment vertical="center" wrapText="1"/>
    </xf>
    <xf numFmtId="0" fontId="50" fillId="0" borderId="139" xfId="1" applyFont="1" applyBorder="1" applyAlignment="1">
      <alignment horizontal="left" vertical="center"/>
    </xf>
    <xf numFmtId="14" fontId="50" fillId="0" borderId="139" xfId="1" applyNumberFormat="1" applyFont="1" applyBorder="1" applyAlignment="1">
      <alignment horizontal="right" vertical="center"/>
    </xf>
    <xf numFmtId="0" fontId="133" fillId="43" borderId="141" xfId="67" applyFont="1" applyFill="1" applyBorder="1" applyAlignment="1">
      <alignment vertical="center"/>
    </xf>
    <xf numFmtId="14" fontId="50" fillId="0" borderId="57" xfId="1" applyNumberFormat="1" applyFont="1" applyBorder="1" applyAlignment="1">
      <alignment horizontal="right" vertical="center" wrapText="1"/>
    </xf>
    <xf numFmtId="14" fontId="50" fillId="0" borderId="59" xfId="1" applyNumberFormat="1" applyFont="1" applyBorder="1" applyAlignment="1">
      <alignment horizontal="right" vertical="center" wrapText="1"/>
    </xf>
    <xf numFmtId="0" fontId="133" fillId="43" borderId="143" xfId="67" applyFont="1" applyFill="1" applyBorder="1" applyAlignment="1">
      <alignment vertical="center"/>
    </xf>
    <xf numFmtId="0" fontId="50" fillId="0" borderId="61" xfId="1" applyFont="1" applyBorder="1" applyAlignment="1">
      <alignment horizontal="left" vertical="center" wrapText="1"/>
    </xf>
    <xf numFmtId="14" fontId="50" fillId="0" borderId="61" xfId="1" applyNumberFormat="1" applyFont="1" applyBorder="1" applyAlignment="1">
      <alignment horizontal="right" vertical="center" wrapText="1"/>
    </xf>
    <xf numFmtId="0" fontId="28" fillId="63" borderId="0" xfId="0" applyFont="1" applyFill="1" applyBorder="1"/>
    <xf numFmtId="0" fontId="45" fillId="63" borderId="0" xfId="0" applyFont="1" applyFill="1" applyBorder="1" applyAlignment="1">
      <alignment vertical="center"/>
    </xf>
    <xf numFmtId="0" fontId="48" fillId="63" borderId="0" xfId="0" applyFont="1" applyFill="1" applyBorder="1" applyAlignment="1">
      <alignment horizontal="center" vertical="center"/>
    </xf>
    <xf numFmtId="9" fontId="152" fillId="63" borderId="0" xfId="3" applyNumberFormat="1" applyFont="1" applyFill="1" applyBorder="1" applyAlignment="1" applyProtection="1">
      <alignment horizontal="left"/>
    </xf>
    <xf numFmtId="9" fontId="46" fillId="63" borderId="0" xfId="729" applyFont="1" applyFill="1" applyBorder="1" applyAlignment="1">
      <alignment horizontal="left"/>
    </xf>
    <xf numFmtId="10" fontId="46" fillId="63" borderId="193" xfId="729" applyNumberFormat="1" applyFont="1" applyFill="1" applyBorder="1" applyAlignment="1">
      <alignment horizontal="center"/>
    </xf>
    <xf numFmtId="10" fontId="28" fillId="63" borderId="196" xfId="0" applyNumberFormat="1" applyFont="1" applyFill="1" applyBorder="1" applyAlignment="1">
      <alignment horizontal="center" vertical="center"/>
    </xf>
    <xf numFmtId="10" fontId="28" fillId="63" borderId="196" xfId="0" applyNumberFormat="1" applyFont="1" applyFill="1" applyBorder="1" applyAlignment="1">
      <alignment horizontal="center"/>
    </xf>
    <xf numFmtId="10" fontId="46" fillId="63" borderId="194" xfId="729" applyNumberFormat="1" applyFont="1" applyFill="1" applyBorder="1" applyAlignment="1">
      <alignment horizontal="center"/>
    </xf>
    <xf numFmtId="10" fontId="48" fillId="63" borderId="187" xfId="0" applyNumberFormat="1" applyFont="1" applyFill="1" applyBorder="1" applyAlignment="1">
      <alignment horizontal="center" vertical="center"/>
    </xf>
    <xf numFmtId="10" fontId="50" fillId="0" borderId="196" xfId="0" applyNumberFormat="1" applyFont="1" applyFill="1" applyBorder="1" applyAlignment="1">
      <alignment horizontal="center" vertical="center"/>
    </xf>
    <xf numFmtId="10" fontId="50" fillId="0" borderId="194" xfId="0" applyNumberFormat="1" applyFont="1" applyFill="1" applyBorder="1" applyAlignment="1">
      <alignment horizontal="center" vertical="center"/>
    </xf>
    <xf numFmtId="164" fontId="5" fillId="0" borderId="25" xfId="1" applyNumberFormat="1" applyFont="1" applyFill="1" applyBorder="1" applyAlignment="1">
      <alignment horizontal="left" vertical="center"/>
    </xf>
    <xf numFmtId="164" fontId="5" fillId="0" borderId="147" xfId="1" applyNumberFormat="1" applyFont="1" applyFill="1" applyBorder="1" applyAlignment="1">
      <alignment horizontal="left" vertical="center"/>
    </xf>
    <xf numFmtId="164" fontId="5" fillId="2" borderId="32" xfId="1" applyNumberFormat="1" applyFont="1" applyFill="1" applyBorder="1" applyAlignment="1">
      <alignment vertical="center"/>
    </xf>
    <xf numFmtId="0" fontId="50" fillId="0" borderId="28" xfId="1" applyFont="1" applyBorder="1" applyAlignment="1">
      <alignment horizontal="left" vertical="center" wrapText="1"/>
    </xf>
    <xf numFmtId="0" fontId="50" fillId="0" borderId="32" xfId="1" applyFont="1" applyBorder="1" applyAlignment="1">
      <alignment horizontal="left" vertical="center" wrapText="1"/>
    </xf>
    <xf numFmtId="0" fontId="50" fillId="0" borderId="33" xfId="1" applyFont="1" applyBorder="1" applyAlignment="1">
      <alignment horizontal="left" vertical="center" wrapText="1"/>
    </xf>
    <xf numFmtId="0" fontId="50" fillId="0" borderId="177" xfId="1" applyFont="1" applyBorder="1" applyAlignment="1">
      <alignment horizontal="left" vertical="center" wrapText="1"/>
    </xf>
    <xf numFmtId="164" fontId="149" fillId="3" borderId="1" xfId="715" applyNumberFormat="1" applyFont="1" applyFill="1" applyBorder="1" applyAlignment="1">
      <alignment horizontal="center" vertical="top"/>
    </xf>
    <xf numFmtId="164" fontId="149" fillId="3" borderId="2" xfId="715" applyNumberFormat="1" applyFont="1" applyFill="1" applyBorder="1" applyAlignment="1">
      <alignment horizontal="center" vertical="top"/>
    </xf>
    <xf numFmtId="164" fontId="149" fillId="3" borderId="3" xfId="715" applyNumberFormat="1" applyFont="1" applyFill="1" applyBorder="1" applyAlignment="1">
      <alignment horizontal="center" vertical="top"/>
    </xf>
    <xf numFmtId="0" fontId="45" fillId="65" borderId="1" xfId="0" applyFont="1" applyFill="1" applyBorder="1" applyAlignment="1">
      <alignment horizontal="center" vertical="center" wrapText="1"/>
    </xf>
    <xf numFmtId="0" fontId="45" fillId="65" borderId="2" xfId="0" applyFont="1" applyFill="1" applyBorder="1" applyAlignment="1">
      <alignment horizontal="center" vertical="center" wrapText="1"/>
    </xf>
    <xf numFmtId="0" fontId="45" fillId="65" borderId="3" xfId="0" applyFont="1" applyFill="1" applyBorder="1" applyAlignment="1">
      <alignment horizontal="center" vertical="center" wrapText="1"/>
    </xf>
    <xf numFmtId="0" fontId="45" fillId="40" borderId="1" xfId="0" applyFont="1" applyFill="1" applyBorder="1" applyAlignment="1">
      <alignment horizontal="center" vertical="center" wrapText="1"/>
    </xf>
    <xf numFmtId="0" fontId="45" fillId="40" borderId="2" xfId="0" applyFont="1" applyFill="1" applyBorder="1" applyAlignment="1">
      <alignment horizontal="center" vertical="center" wrapText="1"/>
    </xf>
    <xf numFmtId="0" fontId="45" fillId="40" borderId="3" xfId="0" applyFont="1" applyFill="1" applyBorder="1" applyAlignment="1">
      <alignment horizontal="center" vertical="center" wrapText="1"/>
    </xf>
    <xf numFmtId="0" fontId="45" fillId="62" borderId="1" xfId="0" applyFont="1" applyFill="1" applyBorder="1" applyAlignment="1">
      <alignment horizontal="center" vertical="center"/>
    </xf>
    <xf numFmtId="0" fontId="45" fillId="62" borderId="2" xfId="0" applyFont="1" applyFill="1" applyBorder="1" applyAlignment="1">
      <alignment horizontal="center" vertical="center"/>
    </xf>
    <xf numFmtId="0" fontId="45" fillId="62" borderId="3" xfId="0" applyFont="1" applyFill="1" applyBorder="1" applyAlignment="1">
      <alignment horizontal="center" vertical="center"/>
    </xf>
    <xf numFmtId="0" fontId="45" fillId="64" borderId="1" xfId="0" applyFont="1" applyFill="1" applyBorder="1" applyAlignment="1">
      <alignment horizontal="center" vertical="center"/>
    </xf>
    <xf numFmtId="0" fontId="45" fillId="64" borderId="2" xfId="0" applyFont="1" applyFill="1" applyBorder="1" applyAlignment="1">
      <alignment horizontal="center" vertical="center"/>
    </xf>
    <xf numFmtId="0" fontId="45" fillId="64" borderId="3" xfId="0" applyFont="1" applyFill="1" applyBorder="1" applyAlignment="1">
      <alignment horizontal="center" vertical="center"/>
    </xf>
    <xf numFmtId="164" fontId="50" fillId="3" borderId="1" xfId="715" applyNumberFormat="1" applyFont="1" applyFill="1" applyBorder="1" applyAlignment="1">
      <alignment horizontal="center" vertical="top"/>
    </xf>
    <xf numFmtId="164" fontId="50" fillId="3" borderId="2" xfId="715" applyNumberFormat="1" applyFont="1" applyFill="1" applyBorder="1" applyAlignment="1">
      <alignment horizontal="center" vertical="top"/>
    </xf>
    <xf numFmtId="164" fontId="50" fillId="3" borderId="3" xfId="715" applyNumberFormat="1" applyFont="1" applyFill="1" applyBorder="1" applyAlignment="1">
      <alignment horizontal="center" vertical="top"/>
    </xf>
    <xf numFmtId="164" fontId="128" fillId="3" borderId="31" xfId="1" applyNumberFormat="1" applyFont="1" applyFill="1" applyBorder="1" applyAlignment="1">
      <alignment horizontal="center" vertical="center" wrapText="1"/>
    </xf>
    <xf numFmtId="0" fontId="135" fillId="0" borderId="196" xfId="624" applyFont="1" applyFill="1" applyBorder="1" applyAlignment="1">
      <alignment horizontal="center" vertical="center"/>
    </xf>
    <xf numFmtId="164" fontId="50" fillId="68" borderId="31" xfId="1" applyNumberFormat="1" applyFont="1" applyFill="1" applyBorder="1" applyAlignment="1">
      <alignment horizontal="center"/>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29" borderId="31" xfId="0" applyFont="1" applyFill="1" applyBorder="1" applyAlignment="1">
      <alignment horizontal="center" vertical="center"/>
    </xf>
    <xf numFmtId="0" fontId="28" fillId="29" borderId="1" xfId="0" applyFont="1" applyFill="1" applyBorder="1" applyAlignment="1">
      <alignment horizontal="center" vertical="center"/>
    </xf>
    <xf numFmtId="0" fontId="28" fillId="27" borderId="31" xfId="0" applyFont="1" applyFill="1" applyBorder="1" applyAlignment="1">
      <alignment horizontal="center" vertical="center"/>
    </xf>
    <xf numFmtId="0" fontId="28" fillId="28" borderId="31" xfId="0" applyFont="1" applyFill="1" applyBorder="1" applyAlignment="1">
      <alignment horizontal="center" vertical="center"/>
    </xf>
    <xf numFmtId="0" fontId="28" fillId="0" borderId="31" xfId="0" applyFont="1" applyBorder="1" applyAlignment="1">
      <alignment horizontal="center" vertical="center"/>
    </xf>
    <xf numFmtId="0" fontId="48" fillId="0" borderId="31" xfId="0" applyFont="1" applyBorder="1" applyAlignment="1">
      <alignment horizontal="center" vertical="center"/>
    </xf>
    <xf numFmtId="0" fontId="28" fillId="0" borderId="25" xfId="0" applyFont="1" applyBorder="1" applyAlignment="1">
      <alignment horizontal="center" vertical="center"/>
    </xf>
    <xf numFmtId="0" fontId="28" fillId="0" borderId="26" xfId="0" applyFont="1" applyBorder="1" applyAlignment="1">
      <alignment horizontal="center" vertical="center"/>
    </xf>
    <xf numFmtId="0" fontId="28" fillId="0" borderId="27" xfId="0" applyFont="1" applyBorder="1" applyAlignment="1">
      <alignment horizontal="center" vertical="center"/>
    </xf>
    <xf numFmtId="0" fontId="28" fillId="0" borderId="28" xfId="0" applyFont="1" applyBorder="1" applyAlignment="1">
      <alignment horizontal="center" vertical="center"/>
    </xf>
    <xf numFmtId="0" fontId="28" fillId="0" borderId="0" xfId="0" applyFont="1" applyBorder="1" applyAlignment="1">
      <alignment horizontal="center" vertical="center"/>
    </xf>
    <xf numFmtId="3" fontId="0" fillId="27" borderId="25" xfId="0" applyNumberFormat="1" applyFill="1" applyBorder="1" applyAlignment="1">
      <alignment horizontal="center" vertical="center"/>
    </xf>
    <xf numFmtId="3" fontId="0" fillId="27" borderId="26" xfId="0" applyNumberFormat="1" applyFill="1" applyBorder="1" applyAlignment="1">
      <alignment horizontal="center" vertical="center"/>
    </xf>
    <xf numFmtId="3" fontId="0" fillId="27" borderId="27" xfId="0" applyNumberFormat="1" applyFill="1" applyBorder="1" applyAlignment="1">
      <alignment horizontal="center" vertical="center"/>
    </xf>
    <xf numFmtId="3" fontId="0" fillId="27" borderId="1" xfId="0" applyNumberFormat="1" applyFill="1" applyBorder="1" applyAlignment="1">
      <alignment horizontal="center" vertical="center" wrapText="1"/>
    </xf>
    <xf numFmtId="3" fontId="0" fillId="27" borderId="2" xfId="0" applyNumberFormat="1" applyFill="1" applyBorder="1" applyAlignment="1">
      <alignment horizontal="center" vertical="center" wrapText="1"/>
    </xf>
    <xf numFmtId="3" fontId="0" fillId="27" borderId="3" xfId="0" applyNumberFormat="1" applyFill="1" applyBorder="1" applyAlignment="1">
      <alignment horizontal="center" vertical="center" wrapText="1"/>
    </xf>
    <xf numFmtId="0" fontId="48" fillId="35" borderId="1" xfId="0" applyFont="1" applyFill="1" applyBorder="1" applyAlignment="1">
      <alignment horizontal="center" vertical="center"/>
    </xf>
    <xf numFmtId="0" fontId="48" fillId="35" borderId="2" xfId="0" applyFont="1" applyFill="1" applyBorder="1" applyAlignment="1">
      <alignment horizontal="center" vertical="center"/>
    </xf>
    <xf numFmtId="0" fontId="48" fillId="35" borderId="3" xfId="0" applyFont="1" applyFill="1" applyBorder="1" applyAlignment="1">
      <alignment horizontal="center" vertical="center"/>
    </xf>
    <xf numFmtId="164" fontId="128" fillId="35" borderId="30" xfId="0" applyNumberFormat="1" applyFont="1" applyFill="1" applyBorder="1" applyAlignment="1">
      <alignment horizontal="center" vertical="center" wrapText="1"/>
    </xf>
    <xf numFmtId="164" fontId="128" fillId="35" borderId="75" xfId="0" applyNumberFormat="1" applyFont="1" applyFill="1" applyBorder="1" applyAlignment="1">
      <alignment horizontal="center" vertical="center" wrapText="1"/>
    </xf>
    <xf numFmtId="164" fontId="128" fillId="35" borderId="76" xfId="0" applyNumberFormat="1" applyFont="1" applyFill="1" applyBorder="1" applyAlignment="1">
      <alignment horizontal="center" vertical="center" wrapText="1"/>
    </xf>
    <xf numFmtId="164" fontId="128" fillId="35" borderId="30" xfId="0" applyNumberFormat="1" applyFont="1" applyFill="1" applyBorder="1" applyAlignment="1">
      <alignment horizontal="center" vertical="center"/>
    </xf>
    <xf numFmtId="164" fontId="128" fillId="35" borderId="77" xfId="0" applyNumberFormat="1" applyFont="1" applyFill="1" applyBorder="1" applyAlignment="1">
      <alignment horizontal="center" vertical="center"/>
    </xf>
    <xf numFmtId="164" fontId="128" fillId="35" borderId="1" xfId="0" applyNumberFormat="1" applyFont="1" applyFill="1" applyBorder="1" applyAlignment="1">
      <alignment horizontal="center" vertical="center"/>
    </xf>
    <xf numFmtId="164" fontId="128" fillId="35" borderId="2" xfId="0" applyNumberFormat="1" applyFont="1" applyFill="1" applyBorder="1" applyAlignment="1">
      <alignment horizontal="center" vertical="center"/>
    </xf>
    <xf numFmtId="164" fontId="128" fillId="35" borderId="3" xfId="0" applyNumberFormat="1" applyFont="1" applyFill="1" applyBorder="1" applyAlignment="1">
      <alignment horizontal="center" vertical="center"/>
    </xf>
    <xf numFmtId="164" fontId="128" fillId="35" borderId="2" xfId="0" applyNumberFormat="1" applyFont="1" applyFill="1" applyBorder="1" applyAlignment="1">
      <alignment horizontal="center" vertical="center" wrapText="1"/>
    </xf>
    <xf numFmtId="164" fontId="128" fillId="35" borderId="3" xfId="0" applyNumberFormat="1" applyFont="1" applyFill="1" applyBorder="1" applyAlignment="1">
      <alignment horizontal="center" vertical="center" wrapText="1"/>
    </xf>
    <xf numFmtId="0" fontId="48" fillId="38" borderId="1" xfId="0" applyFont="1" applyFill="1" applyBorder="1" applyAlignment="1">
      <alignment horizontal="center" vertical="center"/>
    </xf>
    <xf numFmtId="0" fontId="48" fillId="38" borderId="2" xfId="0" applyFont="1" applyFill="1" applyBorder="1" applyAlignment="1">
      <alignment horizontal="center" vertical="center"/>
    </xf>
    <xf numFmtId="0" fontId="48" fillId="38" borderId="3" xfId="0" applyFont="1" applyFill="1" applyBorder="1" applyAlignment="1">
      <alignment horizontal="center" vertical="center"/>
    </xf>
    <xf numFmtId="164" fontId="128" fillId="32" borderId="2" xfId="0" applyNumberFormat="1" applyFont="1" applyFill="1" applyBorder="1" applyAlignment="1">
      <alignment horizontal="center" vertical="center" wrapText="1"/>
    </xf>
    <xf numFmtId="164" fontId="128" fillId="32" borderId="3" xfId="0" applyNumberFormat="1" applyFont="1" applyFill="1" applyBorder="1" applyAlignment="1">
      <alignment horizontal="center" vertical="center" wrapText="1"/>
    </xf>
    <xf numFmtId="164" fontId="128" fillId="32" borderId="1" xfId="0" applyNumberFormat="1" applyFont="1" applyFill="1" applyBorder="1" applyAlignment="1">
      <alignment horizontal="center" vertical="center" wrapText="1"/>
    </xf>
    <xf numFmtId="164" fontId="128" fillId="38" borderId="1" xfId="0" applyNumberFormat="1" applyFont="1" applyFill="1" applyBorder="1" applyAlignment="1">
      <alignment horizontal="center" vertical="center" wrapText="1"/>
    </xf>
    <xf numFmtId="164" fontId="128" fillId="38" borderId="2" xfId="0" applyNumberFormat="1" applyFont="1" applyFill="1" applyBorder="1" applyAlignment="1">
      <alignment horizontal="center" vertical="center" wrapText="1"/>
    </xf>
    <xf numFmtId="164" fontId="128" fillId="38" borderId="3" xfId="0" applyNumberFormat="1" applyFont="1" applyFill="1" applyBorder="1" applyAlignment="1">
      <alignment horizontal="center" vertical="center" wrapText="1"/>
    </xf>
    <xf numFmtId="164" fontId="50" fillId="38" borderId="1" xfId="0" applyNumberFormat="1" applyFont="1" applyFill="1" applyBorder="1" applyAlignment="1">
      <alignment horizontal="center" vertical="center" wrapText="1"/>
    </xf>
    <xf numFmtId="164" fontId="50" fillId="38" borderId="2" xfId="0" applyNumberFormat="1" applyFont="1" applyFill="1" applyBorder="1" applyAlignment="1">
      <alignment horizontal="center" vertical="center" wrapText="1"/>
    </xf>
    <xf numFmtId="164" fontId="50" fillId="38" borderId="3" xfId="0" applyNumberFormat="1" applyFont="1" applyFill="1" applyBorder="1" applyAlignment="1">
      <alignment horizontal="center" vertical="center" wrapText="1"/>
    </xf>
    <xf numFmtId="164" fontId="128" fillId="38" borderId="1" xfId="0" applyNumberFormat="1" applyFont="1" applyFill="1" applyBorder="1" applyAlignment="1">
      <alignment horizontal="center" vertical="center"/>
    </xf>
    <xf numFmtId="164" fontId="128" fillId="38" borderId="2" xfId="0" applyNumberFormat="1" applyFont="1" applyFill="1" applyBorder="1" applyAlignment="1">
      <alignment horizontal="center" vertical="center"/>
    </xf>
    <xf numFmtId="164" fontId="128" fillId="38" borderId="3" xfId="0" applyNumberFormat="1" applyFont="1" applyFill="1" applyBorder="1" applyAlignment="1">
      <alignment horizontal="center" vertical="center"/>
    </xf>
    <xf numFmtId="164" fontId="128" fillId="35" borderId="28" xfId="0" applyNumberFormat="1" applyFont="1" applyFill="1" applyBorder="1" applyAlignment="1">
      <alignment horizontal="center" vertical="center" wrapText="1"/>
    </xf>
    <xf numFmtId="164" fontId="128" fillId="35" borderId="0" xfId="0" applyNumberFormat="1" applyFont="1" applyFill="1" applyBorder="1" applyAlignment="1">
      <alignment horizontal="center" vertical="center" wrapText="1"/>
    </xf>
    <xf numFmtId="164" fontId="128" fillId="35" borderId="29" xfId="0" applyNumberFormat="1" applyFont="1" applyFill="1" applyBorder="1" applyAlignment="1">
      <alignment horizontal="center" vertical="center" wrapText="1"/>
    </xf>
    <xf numFmtId="164" fontId="128" fillId="35" borderId="1" xfId="0" applyNumberFormat="1" applyFont="1" applyFill="1" applyBorder="1" applyAlignment="1">
      <alignment horizontal="center" vertical="center" wrapText="1"/>
    </xf>
    <xf numFmtId="164" fontId="128" fillId="29" borderId="75" xfId="0" applyNumberFormat="1" applyFont="1" applyFill="1" applyBorder="1" applyAlignment="1">
      <alignment horizontal="center" vertical="center"/>
    </xf>
    <xf numFmtId="164" fontId="128" fillId="29" borderId="76" xfId="0" applyNumberFormat="1" applyFont="1" applyFill="1" applyBorder="1" applyAlignment="1">
      <alignment horizontal="center" vertical="center"/>
    </xf>
    <xf numFmtId="164" fontId="128" fillId="40" borderId="30" xfId="0" applyNumberFormat="1" applyFont="1" applyFill="1" applyBorder="1" applyAlignment="1">
      <alignment horizontal="center" vertical="center"/>
    </xf>
    <xf numFmtId="164" fontId="128" fillId="40" borderId="75" xfId="0" applyNumberFormat="1" applyFont="1" applyFill="1" applyBorder="1" applyAlignment="1">
      <alignment horizontal="center" vertical="center"/>
    </xf>
    <xf numFmtId="164" fontId="128" fillId="40" borderId="76" xfId="0" applyNumberFormat="1" applyFont="1" applyFill="1" applyBorder="1" applyAlignment="1">
      <alignment horizontal="center" vertical="center"/>
    </xf>
    <xf numFmtId="164" fontId="128" fillId="29" borderId="2" xfId="0" applyNumberFormat="1" applyFont="1" applyFill="1" applyBorder="1" applyAlignment="1">
      <alignment horizontal="center" vertical="center"/>
    </xf>
    <xf numFmtId="0" fontId="128" fillId="40" borderId="1" xfId="0" applyFont="1" applyFill="1" applyBorder="1" applyAlignment="1">
      <alignment horizontal="center" vertical="center"/>
    </xf>
    <xf numFmtId="0" fontId="128" fillId="40" borderId="2" xfId="0" applyFont="1" applyFill="1" applyBorder="1" applyAlignment="1">
      <alignment horizontal="center" vertical="center"/>
    </xf>
    <xf numFmtId="0" fontId="128" fillId="40" borderId="3" xfId="0" applyFont="1" applyFill="1" applyBorder="1" applyAlignment="1">
      <alignment horizontal="center" vertical="center"/>
    </xf>
    <xf numFmtId="0" fontId="48" fillId="32" borderId="1" xfId="0" applyFont="1" applyFill="1" applyBorder="1" applyAlignment="1">
      <alignment horizontal="center" vertical="center"/>
    </xf>
    <xf numFmtId="0" fontId="48" fillId="32" borderId="2" xfId="0" applyFont="1" applyFill="1" applyBorder="1" applyAlignment="1">
      <alignment horizontal="center" vertical="center"/>
    </xf>
    <xf numFmtId="0" fontId="48" fillId="32" borderId="3" xfId="0" applyFont="1" applyFill="1" applyBorder="1" applyAlignment="1">
      <alignment horizontal="center" vertical="center"/>
    </xf>
    <xf numFmtId="164" fontId="128" fillId="34" borderId="1" xfId="0" applyNumberFormat="1" applyFont="1" applyFill="1" applyBorder="1" applyAlignment="1">
      <alignment horizontal="center" vertical="center"/>
    </xf>
    <xf numFmtId="164" fontId="128" fillId="34" borderId="2" xfId="0" applyNumberFormat="1" applyFont="1" applyFill="1" applyBorder="1" applyAlignment="1">
      <alignment horizontal="center" vertical="center"/>
    </xf>
    <xf numFmtId="164" fontId="128" fillId="34" borderId="3" xfId="0" applyNumberFormat="1" applyFont="1" applyFill="1" applyBorder="1" applyAlignment="1">
      <alignment horizontal="center" vertical="center"/>
    </xf>
    <xf numFmtId="164" fontId="128" fillId="34" borderId="30" xfId="0" applyNumberFormat="1" applyFont="1" applyFill="1" applyBorder="1" applyAlignment="1">
      <alignment horizontal="center" vertical="center" wrapText="1"/>
    </xf>
    <xf numFmtId="164" fontId="128" fillId="34" borderId="75" xfId="0" applyNumberFormat="1" applyFont="1" applyFill="1" applyBorder="1" applyAlignment="1">
      <alignment horizontal="center" vertical="center" wrapText="1"/>
    </xf>
    <xf numFmtId="164" fontId="128" fillId="34" borderId="76" xfId="0" applyNumberFormat="1" applyFont="1" applyFill="1" applyBorder="1" applyAlignment="1">
      <alignment horizontal="center" vertical="center" wrapText="1"/>
    </xf>
    <xf numFmtId="164" fontId="128" fillId="34" borderId="30" xfId="0" applyNumberFormat="1" applyFont="1" applyFill="1" applyBorder="1" applyAlignment="1">
      <alignment horizontal="center" vertical="center"/>
    </xf>
    <xf numFmtId="164" fontId="128" fillId="34" borderId="75" xfId="0" applyNumberFormat="1" applyFont="1" applyFill="1" applyBorder="1" applyAlignment="1">
      <alignment horizontal="center" vertical="center"/>
    </xf>
    <xf numFmtId="164" fontId="128" fillId="34" borderId="76" xfId="0" applyNumberFormat="1" applyFont="1" applyFill="1" applyBorder="1" applyAlignment="1">
      <alignment horizontal="center" vertical="center"/>
    </xf>
    <xf numFmtId="164" fontId="5" fillId="3" borderId="1" xfId="1" applyNumberFormat="1" applyFont="1" applyFill="1" applyBorder="1" applyAlignment="1">
      <alignment horizontal="center" vertical="center"/>
    </xf>
    <xf numFmtId="164" fontId="5" fillId="3" borderId="2" xfId="1" applyNumberFormat="1" applyFont="1" applyFill="1" applyBorder="1" applyAlignment="1">
      <alignment horizontal="center" vertical="center"/>
    </xf>
    <xf numFmtId="164" fontId="5" fillId="3" borderId="3" xfId="1" applyNumberFormat="1" applyFont="1" applyFill="1" applyBorder="1" applyAlignment="1">
      <alignment horizontal="center" vertical="center"/>
    </xf>
    <xf numFmtId="164" fontId="5" fillId="3" borderId="1" xfId="1" applyNumberFormat="1" applyFont="1" applyFill="1" applyBorder="1" applyAlignment="1">
      <alignment horizontal="center" vertical="top"/>
    </xf>
    <xf numFmtId="164" fontId="5" fillId="3" borderId="2" xfId="1" applyNumberFormat="1" applyFont="1" applyFill="1" applyBorder="1" applyAlignment="1">
      <alignment horizontal="center" vertical="top"/>
    </xf>
    <xf numFmtId="164" fontId="5" fillId="3" borderId="3" xfId="1" applyNumberFormat="1" applyFont="1" applyFill="1" applyBorder="1" applyAlignment="1">
      <alignment horizontal="center" vertical="top"/>
    </xf>
    <xf numFmtId="164" fontId="5" fillId="3" borderId="31" xfId="1" applyNumberFormat="1" applyFont="1" applyFill="1" applyBorder="1" applyAlignment="1">
      <alignment horizontal="center" vertical="top"/>
    </xf>
  </cellXfs>
  <cellStyles count="62404">
    <cellStyle name="%" xfId="38552"/>
    <cellStyle name="% 2" xfId="38553"/>
    <cellStyle name="%_11.12 NHS Capital Conversion Table v1.00 (M4)" xfId="38554"/>
    <cellStyle name="%_2011-12 Capital Dispo - v4.00 (M4)" xfId="38555"/>
    <cellStyle name="%_2011-12 Capital Dispo - v4.00 (M4) 2" xfId="38556"/>
    <cellStyle name="%_2011-12 Capital Dispo - v4.00 (M4) 2_20130306_ DISPO from 1112 acctsv24" xfId="38557"/>
    <cellStyle name="_~1545858" xfId="38558"/>
    <cellStyle name="_~1974357" xfId="38559"/>
    <cellStyle name="_~3035405" xfId="38560"/>
    <cellStyle name="_~6692659" xfId="38561"/>
    <cellStyle name="_~6811784" xfId="38562"/>
    <cellStyle name="_~7977317" xfId="38563"/>
    <cellStyle name="_~8521057" xfId="38564"/>
    <cellStyle name="_~9959608" xfId="38565"/>
    <cellStyle name="_11.12 Bottom Line Dispo v3.03 (Q1)" xfId="38566"/>
    <cellStyle name="_11.12 NHS Capital Conversion Table v1.00 (M4)" xfId="38567"/>
    <cellStyle name="_11.12 NHS Capital Conversion Table v1.00 (M4) 2" xfId="38568"/>
    <cellStyle name="_11.12 NHS Capital Conversion Table v1.00 (M4) 2_20130306_ DISPO from 1112 acctsv24" xfId="38569"/>
    <cellStyle name="_11.12 Q2 AM Sign Off Tables v3.00" xfId="38570"/>
    <cellStyle name="_12.13 OSCAR - Sign Off Tables - v6.05" xfId="38571"/>
    <cellStyle name="_20100518_alb mapping" xfId="38572"/>
    <cellStyle name="_20100525_ALBOverhead_readyreckoner" xfId="38573"/>
    <cellStyle name="_2010-11 Capital Dispo - v13.04 (RA)" xfId="38574"/>
    <cellStyle name="_2010-11 Capital Dispo - v13.04 (RA) 2" xfId="38575"/>
    <cellStyle name="_2010-11 Capital Dispo - v13.04 (RA) 2_20130306_ DISPO from 1112 acctsv24" xfId="38576"/>
    <cellStyle name="_2010-11 Capital Dispo - v13.06 (RA)" xfId="38577"/>
    <cellStyle name="_2010-11 Capital Dispo - v13.06 (RA) 2" xfId="38578"/>
    <cellStyle name="_2010-11 Capital Dispo - v13.06 (RA) 2_20130306_ DISPO from 1112 acctsv24" xfId="38579"/>
    <cellStyle name="_2010-11 Capital Dispo - v13.08 (RA) SG" xfId="38580"/>
    <cellStyle name="_2010-11 Capital Dispo - v13.08 (RA) SG 2" xfId="38581"/>
    <cellStyle name="_2010-11 Capital Dispo - v13.08 (RA) SG 2_20130306_ DISPO from 1112 acctsv24" xfId="38582"/>
    <cellStyle name="_2010-11 Capital Updates Post Feb C Budget Review" xfId="38583"/>
    <cellStyle name="_2010-11 Monthly Forecasts - August Outturn  (10 September COINS return) V2" xfId="38584"/>
    <cellStyle name="_20101124_PWeare09_10And10_11DispoOutturn" xfId="38585"/>
    <cellStyle name="_20101210_NewDispo_ForHMTWorkInProgressV20" xfId="38586"/>
    <cellStyle name="_20110311 Reconciliation FIMS and position statement" xfId="38587"/>
    <cellStyle name="_20110520 Public Schemes Reconciliation FIMS vs CIB" xfId="38588"/>
    <cellStyle name="_20110601_EWAD 09.05.11 V6" xfId="38589"/>
    <cellStyle name="_20110601_EWAD 09.05.11 V7" xfId="38590"/>
    <cellStyle name="_20110628FundsFlow_V47" xfId="38591"/>
    <cellStyle name="_2011-12 Capital Dispo - v4.00 (M4)" xfId="38592"/>
    <cellStyle name="_2011-12 Cash Dispo PWv1.1" xfId="38593"/>
    <cellStyle name="_2011-12 COINS FIMS HMT Forms Q1 FT Plan v1.0 BJE" xfId="38594"/>
    <cellStyle name="_2011-12 M7 post SofS meeting (V1)" xfId="38595"/>
    <cellStyle name="_20120427Source and Apps v3.00" xfId="38596"/>
    <cellStyle name="_20120608_DB ready reckonerV10_V2a TN edits 42" xfId="38597"/>
    <cellStyle name="_201211070_Key data updated 11 January 2013" xfId="38598"/>
    <cellStyle name="_2012-13 budgets summary V1 Start - April 2012" xfId="38599"/>
    <cellStyle name="_Admin back-tallying model" xfId="38600"/>
    <cellStyle name="_ALB Q4 V1 rec with schedules (V2)" xfId="38601"/>
    <cellStyle name="_Appendix C - Overall Revised Admin Sept 12" xfId="38602"/>
    <cellStyle name="_Bottom Up vs Top Down v3" xfId="38603"/>
    <cellStyle name="_Cap Comm Detail" xfId="38604"/>
    <cellStyle name="_Cap Comm Detail 2" xfId="38605"/>
    <cellStyle name="_Cap Comm Detail 3" xfId="38606"/>
    <cellStyle name="_Cap Comm Detail 4" xfId="38607"/>
    <cellStyle name="_Cap Comm Detail 4 2" xfId="38608"/>
    <cellStyle name="_Cap Comm Detail 5" xfId="38609"/>
    <cellStyle name="_Cap Comm Detail 5 2" xfId="38610"/>
    <cellStyle name="_Cap Comm Detail 6" xfId="38611"/>
    <cellStyle name="_Cap Comm Detail 6 2" xfId="38612"/>
    <cellStyle name="_Cap Comm Detail 6 2_20130306_ DISPO from 1112 acctsv24" xfId="38613"/>
    <cellStyle name="_Cap Comm Detail 7" xfId="38614"/>
    <cellStyle name="_Cap Comm Detail 7_20130306_ DISPO from 1112 acctsv24" xfId="38615"/>
    <cellStyle name="_capital commitments workings for Mar07 accounts" xfId="38616"/>
    <cellStyle name="_capital commitments workings for Mar07 accounts 2" xfId="38617"/>
    <cellStyle name="_capital commitments workings for Mar07 accounts 2 2" xfId="38618"/>
    <cellStyle name="_Capital Review 12.01.09 v2" xfId="38619"/>
    <cellStyle name="_Capital SR2010 - Dispo Breakdown - Post13th JulySofSMeet 100913 JS SofS-CST Meeting Scenario cuts NOMINAL" xfId="38620"/>
    <cellStyle name="_CapitalDispoJun09 cut 15-07-10" xfId="38621"/>
    <cellStyle name="_DBEB Finance Update v3.01 (M5) SG" xfId="38622"/>
    <cellStyle name="_DH Cascade V1" xfId="38623"/>
    <cellStyle name="_FOT review 09.03.09" xfId="38624"/>
    <cellStyle name="_Future destination of SHA Bundle lines" xfId="38625"/>
    <cellStyle name="_Future destination of SHA Bundle lines_12-13 Central Budgets Spreadsheet v18" xfId="38626"/>
    <cellStyle name="_Future destination of SHA Bundle lines_12-13 Central Budgets Spreadsheet v18 2" xfId="38627"/>
    <cellStyle name="_Future destination of SHA Bundle lines_12-13 Central Budgets Spreadsheet v18_~4471745" xfId="38628"/>
    <cellStyle name="_Future destination of SHA Bundle lines_12-13 Central Budgets Spreadsheet v18_~7857524" xfId="38629"/>
    <cellStyle name="_Future destination of SHA Bundle lines_12-13 Central Budgets Spreadsheet v18_130417 DISPO from 1112 accts v17" xfId="38630"/>
    <cellStyle name="_Future destination of SHA Bundle lines_12-13 Central Budgets Spreadsheet v18_20130205_Split of Budgets Dispo v9d" xfId="38631"/>
    <cellStyle name="_Future destination of SHA Bundle lines_12-13 Central Budgets Spreadsheet v18_20130205_Split of Budgets Dispo v9d 2" xfId="38632"/>
    <cellStyle name="_Future destination of SHA Bundle lines_12-13 Central Budgets Spreadsheet v18_20130205_Split of Budgets Dispo v9d_130417 DISPO from 1112 accts v17" xfId="38633"/>
    <cellStyle name="_Future destination of SHA Bundle lines_12-13 Central Budgets Spreadsheet v18_20130205_Split of Budgets Dispo v9d_20130306 DISPO from 1112 accts v14 for NHSE" xfId="38634"/>
    <cellStyle name="_Future destination of SHA Bundle lines_12-13 Central Budgets Spreadsheet v18_20130205_Split of Budgets Dispo v9d_20130306 DISPO from 1112 accts v14 for NHSE - with tariff" xfId="38635"/>
    <cellStyle name="_Future destination of SHA Bundle lines_12-13 Central Budgets Spreadsheet v18_20130205_Split of Budgets Dispo v9d_20130306 DISPO from 1112 accts v14 for NHSE TN edits 2" xfId="38636"/>
    <cellStyle name="_Future destination of SHA Bundle lines_12-13 Central Budgets Spreadsheet v18_20130205_Split of Budgets Dispo v9d_20130306_ DISPO from 1112 acctsv10" xfId="38637"/>
    <cellStyle name="_Future destination of SHA Bundle lines_12-13 Central Budgets Spreadsheet v18_20130205_Split of Budgets Dispo v9d_20130306_ DISPO from 1112 acctsv12" xfId="38638"/>
    <cellStyle name="_Future destination of SHA Bundle lines_12-13 Central Budgets Spreadsheet v18_20130205_Split of Budgets Dispo v9d_20130306_ DISPO from 1112 acctsv24" xfId="38639"/>
    <cellStyle name="_Future destination of SHA Bundle lines_12-13 Central Budgets Spreadsheet v18_20130205_Split of Budgets Dispo v9d_20130402_SR15 fct settlement" xfId="38640"/>
    <cellStyle name="_Future destination of SHA Bundle lines_12-13 Central Budgets Spreadsheet v18_20130301_ DISPO from 1112 acctsv4 + new Budgets Dispo" xfId="38641"/>
    <cellStyle name="_Future destination of SHA Bundle lines_12-13 Central Budgets Spreadsheet v18_20130306 DISPO from 1112 accts v14 for NHSE" xfId="38642"/>
    <cellStyle name="_Future destination of SHA Bundle lines_12-13 Central Budgets Spreadsheet v18_20130306 DISPO from 1112 accts v14 for NHSE - with tariff" xfId="38643"/>
    <cellStyle name="_Future destination of SHA Bundle lines_12-13 Central Budgets Spreadsheet v18_20130306 DISPO from 1112 accts v14 for NHSE TN edits 2" xfId="38644"/>
    <cellStyle name="_Future destination of SHA Bundle lines_12-13 Central Budgets Spreadsheet v18_20130306_ DISPO from 1112 acctsv10" xfId="38645"/>
    <cellStyle name="_Future destination of SHA Bundle lines_12-13 Central Budgets Spreadsheet v18_20130306_ DISPO from 1112 acctsv12" xfId="38646"/>
    <cellStyle name="_Future destination of SHA Bundle lines_12-13 Central Budgets Spreadsheet v18_20130306_ DISPO from 1112 acctsv24" xfId="38647"/>
    <cellStyle name="_Future destination of SHA Bundle lines_12-13 Central Budgets Spreadsheet v18_20130402_SR15 fct settlement" xfId="38648"/>
    <cellStyle name="_Future destination of SHA Bundle lines_12-13 Central Budgets Spreadsheet v18_live doc - DH central budgets - provisional SR numbers" xfId="38649"/>
    <cellStyle name="_Future destination of SHA Bundle lines_12-13 Central Budgets Spreadsheet v18_live doc - DH central budgets - provisional SR numbers 2" xfId="38650"/>
    <cellStyle name="_Future destination of SHA Bundle lines_12-13 Central Budgets Spreadsheet v18_live doc - DH central budgets - provisional SR numbers_130417 DISPO from 1112 accts v17" xfId="38651"/>
    <cellStyle name="_Future destination of SHA Bundle lines_12-13 Central Budgets Spreadsheet v18_live doc - DH central budgets - provisional SR numbers_20130306 DISPO from 1112 accts v14 for NHSE" xfId="38652"/>
    <cellStyle name="_Future destination of SHA Bundle lines_12-13 Central Budgets Spreadsheet v18_live doc - DH central budgets - provisional SR numbers_20130306 DISPO from 1112 accts v14 for NHSE - with tariff" xfId="38653"/>
    <cellStyle name="_Future destination of SHA Bundle lines_12-13 Central Budgets Spreadsheet v18_live doc - DH central budgets - provisional SR numbers_20130306 DISPO from 1112 accts v14 for NHSE TN edits 2" xfId="38654"/>
    <cellStyle name="_Future destination of SHA Bundle lines_12-13 Central Budgets Spreadsheet v18_live doc - DH central budgets - provisional SR numbers_20130306_ DISPO from 1112 acctsv10" xfId="38655"/>
    <cellStyle name="_Future destination of SHA Bundle lines_12-13 Central Budgets Spreadsheet v18_live doc - DH central budgets - provisional SR numbers_20130306_ DISPO from 1112 acctsv12" xfId="38656"/>
    <cellStyle name="_Future destination of SHA Bundle lines_12-13 Central Budgets Spreadsheet v18_live doc - DH central budgets - provisional SR numbers_20130306_ DISPO from 1112 acctsv24" xfId="38657"/>
    <cellStyle name="_Future destination of SHA Bundle lines_12-13 Central Budgets Spreadsheet v18_live doc - DH central budgets - provisional SR numbers_20130402_SR15 fct settlement" xfId="38658"/>
    <cellStyle name="_Future destination of SHA Bundle lines_12-13 Central Budgets Spreadsheet v18_ME 2013-14 mock up V2 19.11.12" xfId="38659"/>
    <cellStyle name="_Future destination of SHA Bundle lines_12-13 Central Budgets Spreadsheet v18_SS edit  DISPO with central policy pressures - TN edits" xfId="38660"/>
    <cellStyle name="_Future destination of SHA Bundle lines_12-13 Central Budgets Spreadsheet v20" xfId="38661"/>
    <cellStyle name="_Future destination of SHA Bundle lines_12-13 Central Budgets Spreadsheet v20 2" xfId="38662"/>
    <cellStyle name="_Future destination of SHA Bundle lines_12-13 Central Budgets Spreadsheet v20_~4471745" xfId="38663"/>
    <cellStyle name="_Future destination of SHA Bundle lines_12-13 Central Budgets Spreadsheet v20_~7857524" xfId="38664"/>
    <cellStyle name="_Future destination of SHA Bundle lines_12-13 Central Budgets Spreadsheet v20_130417 DISPO from 1112 accts v17" xfId="38665"/>
    <cellStyle name="_Future destination of SHA Bundle lines_12-13 Central Budgets Spreadsheet v20_20130205_Split of Budgets Dispo v9d" xfId="38666"/>
    <cellStyle name="_Future destination of SHA Bundle lines_12-13 Central Budgets Spreadsheet v20_20130205_Split of Budgets Dispo v9d 2" xfId="38667"/>
    <cellStyle name="_Future destination of SHA Bundle lines_12-13 Central Budgets Spreadsheet v20_20130205_Split of Budgets Dispo v9d_130417 DISPO from 1112 accts v17" xfId="38668"/>
    <cellStyle name="_Future destination of SHA Bundle lines_12-13 Central Budgets Spreadsheet v20_20130205_Split of Budgets Dispo v9d_20130306 DISPO from 1112 accts v14 for NHSE" xfId="38669"/>
    <cellStyle name="_Future destination of SHA Bundle lines_12-13 Central Budgets Spreadsheet v20_20130205_Split of Budgets Dispo v9d_20130306 DISPO from 1112 accts v14 for NHSE - with tariff" xfId="38670"/>
    <cellStyle name="_Future destination of SHA Bundle lines_12-13 Central Budgets Spreadsheet v20_20130205_Split of Budgets Dispo v9d_20130306 DISPO from 1112 accts v14 for NHSE TN edits 2" xfId="38671"/>
    <cellStyle name="_Future destination of SHA Bundle lines_12-13 Central Budgets Spreadsheet v20_20130205_Split of Budgets Dispo v9d_20130306_ DISPO from 1112 acctsv10" xfId="38672"/>
    <cellStyle name="_Future destination of SHA Bundle lines_12-13 Central Budgets Spreadsheet v20_20130205_Split of Budgets Dispo v9d_20130306_ DISPO from 1112 acctsv12" xfId="38673"/>
    <cellStyle name="_Future destination of SHA Bundle lines_12-13 Central Budgets Spreadsheet v20_20130205_Split of Budgets Dispo v9d_20130306_ DISPO from 1112 acctsv24" xfId="38674"/>
    <cellStyle name="_Future destination of SHA Bundle lines_12-13 Central Budgets Spreadsheet v20_20130205_Split of Budgets Dispo v9d_20130402_SR15 fct settlement" xfId="38675"/>
    <cellStyle name="_Future destination of SHA Bundle lines_12-13 Central Budgets Spreadsheet v20_20130301_ DISPO from 1112 acctsv4 + new Budgets Dispo" xfId="38676"/>
    <cellStyle name="_Future destination of SHA Bundle lines_12-13 Central Budgets Spreadsheet v20_20130306 DISPO from 1112 accts v14 for NHSE" xfId="38677"/>
    <cellStyle name="_Future destination of SHA Bundle lines_12-13 Central Budgets Spreadsheet v20_20130306 DISPO from 1112 accts v14 for NHSE - with tariff" xfId="38678"/>
    <cellStyle name="_Future destination of SHA Bundle lines_12-13 Central Budgets Spreadsheet v20_20130306 DISPO from 1112 accts v14 for NHSE TN edits 2" xfId="38679"/>
    <cellStyle name="_Future destination of SHA Bundle lines_12-13 Central Budgets Spreadsheet v20_20130306_ DISPO from 1112 acctsv10" xfId="38680"/>
    <cellStyle name="_Future destination of SHA Bundle lines_12-13 Central Budgets Spreadsheet v20_20130306_ DISPO from 1112 acctsv12" xfId="38681"/>
    <cellStyle name="_Future destination of SHA Bundle lines_12-13 Central Budgets Spreadsheet v20_20130306_ DISPO from 1112 acctsv24" xfId="38682"/>
    <cellStyle name="_Future destination of SHA Bundle lines_12-13 Central Budgets Spreadsheet v20_20130402_SR15 fct settlement" xfId="38683"/>
    <cellStyle name="_Future destination of SHA Bundle lines_12-13 Central Budgets Spreadsheet v20_live doc - DH central budgets - provisional SR numbers" xfId="38684"/>
    <cellStyle name="_Future destination of SHA Bundle lines_12-13 Central Budgets Spreadsheet v20_live doc - DH central budgets - provisional SR numbers 2" xfId="38685"/>
    <cellStyle name="_Future destination of SHA Bundle lines_12-13 Central Budgets Spreadsheet v20_live doc - DH central budgets - provisional SR numbers_130417 DISPO from 1112 accts v17" xfId="38686"/>
    <cellStyle name="_Future destination of SHA Bundle lines_12-13 Central Budgets Spreadsheet v20_live doc - DH central budgets - provisional SR numbers_20130306 DISPO from 1112 accts v14 for NHSE" xfId="38687"/>
    <cellStyle name="_Future destination of SHA Bundle lines_12-13 Central Budgets Spreadsheet v20_live doc - DH central budgets - provisional SR numbers_20130306 DISPO from 1112 accts v14 for NHSE - with tariff" xfId="38688"/>
    <cellStyle name="_Future destination of SHA Bundle lines_12-13 Central Budgets Spreadsheet v20_live doc - DH central budgets - provisional SR numbers_20130306 DISPO from 1112 accts v14 for NHSE TN edits 2" xfId="38689"/>
    <cellStyle name="_Future destination of SHA Bundle lines_12-13 Central Budgets Spreadsheet v20_live doc - DH central budgets - provisional SR numbers_20130306_ DISPO from 1112 acctsv10" xfId="38690"/>
    <cellStyle name="_Future destination of SHA Bundle lines_12-13 Central Budgets Spreadsheet v20_live doc - DH central budgets - provisional SR numbers_20130306_ DISPO from 1112 acctsv12" xfId="38691"/>
    <cellStyle name="_Future destination of SHA Bundle lines_12-13 Central Budgets Spreadsheet v20_live doc - DH central budgets - provisional SR numbers_20130306_ DISPO from 1112 acctsv24" xfId="38692"/>
    <cellStyle name="_Future destination of SHA Bundle lines_12-13 Central Budgets Spreadsheet v20_live doc - DH central budgets - provisional SR numbers_20130402_SR15 fct settlement" xfId="38693"/>
    <cellStyle name="_Future destination of SHA Bundle lines_12-13 Central Budgets Spreadsheet v20_ME 2013-14 mock up V2 19.11.12" xfId="38694"/>
    <cellStyle name="_Future destination of SHA Bundle lines_12-13 Central Budgets Spreadsheet v20_SS edit  DISPO with central policy pressures - TN edits" xfId="38695"/>
    <cellStyle name="_Future destination of SHA Bundle lines_20110628FundsFlow_V42 TN" xfId="38696"/>
    <cellStyle name="_Future destination of SHA Bundle lines_20120117 Central local split sent by Tom Nixon" xfId="38697"/>
    <cellStyle name="_Future destination of SHA Bundle lines_20120117 Central local split sent by Tom Nixon 2" xfId="38698"/>
    <cellStyle name="_Future destination of SHA Bundle lines_20120117 Central local split sent by Tom Nixon_~4471745" xfId="38699"/>
    <cellStyle name="_Future destination of SHA Bundle lines_20120117 Central local split sent by Tom Nixon_~7857524" xfId="38700"/>
    <cellStyle name="_Future destination of SHA Bundle lines_20120117 Central local split sent by Tom Nixon_130417 DISPO from 1112 accts v17" xfId="38701"/>
    <cellStyle name="_Future destination of SHA Bundle lines_20120117 Central local split sent by Tom Nixon_20130205_Split of Budgets Dispo v9d" xfId="38702"/>
    <cellStyle name="_Future destination of SHA Bundle lines_20120117 Central local split sent by Tom Nixon_20130205_Split of Budgets Dispo v9d 2" xfId="38703"/>
    <cellStyle name="_Future destination of SHA Bundle lines_20120117 Central local split sent by Tom Nixon_20130205_Split of Budgets Dispo v9d_130417 DISPO from 1112 accts v17" xfId="38704"/>
    <cellStyle name="_Future destination of SHA Bundle lines_20120117 Central local split sent by Tom Nixon_20130205_Split of Budgets Dispo v9d_20130306 DISPO from 1112 accts v14 for NHSE" xfId="38705"/>
    <cellStyle name="_Future destination of SHA Bundle lines_20120117 Central local split sent by Tom Nixon_20130205_Split of Budgets Dispo v9d_20130306 DISPO from 1112 accts v14 for NHSE - with tariff" xfId="38706"/>
    <cellStyle name="_Future destination of SHA Bundle lines_20120117 Central local split sent by Tom Nixon_20130205_Split of Budgets Dispo v9d_20130306 DISPO from 1112 accts v14 for NHSE TN edits 2" xfId="38707"/>
    <cellStyle name="_Future destination of SHA Bundle lines_20120117 Central local split sent by Tom Nixon_20130205_Split of Budgets Dispo v9d_20130306_ DISPO from 1112 acctsv10" xfId="38708"/>
    <cellStyle name="_Future destination of SHA Bundle lines_20120117 Central local split sent by Tom Nixon_20130205_Split of Budgets Dispo v9d_20130306_ DISPO from 1112 acctsv12" xfId="38709"/>
    <cellStyle name="_Future destination of SHA Bundle lines_20120117 Central local split sent by Tom Nixon_20130205_Split of Budgets Dispo v9d_20130306_ DISPO from 1112 acctsv24" xfId="38710"/>
    <cellStyle name="_Future destination of SHA Bundle lines_20120117 Central local split sent by Tom Nixon_20130205_Split of Budgets Dispo v9d_20130402_SR15 fct settlement" xfId="38711"/>
    <cellStyle name="_Future destination of SHA Bundle lines_20120117 Central local split sent by Tom Nixon_20130301_ DISPO from 1112 acctsv4 + new Budgets Dispo" xfId="38712"/>
    <cellStyle name="_Future destination of SHA Bundle lines_20120117 Central local split sent by Tom Nixon_20130306 DISPO from 1112 accts v14 for NHSE" xfId="38713"/>
    <cellStyle name="_Future destination of SHA Bundle lines_20120117 Central local split sent by Tom Nixon_20130306 DISPO from 1112 accts v14 for NHSE - with tariff" xfId="38714"/>
    <cellStyle name="_Future destination of SHA Bundle lines_20120117 Central local split sent by Tom Nixon_20130306 DISPO from 1112 accts v14 for NHSE TN edits 2" xfId="38715"/>
    <cellStyle name="_Future destination of SHA Bundle lines_20120117 Central local split sent by Tom Nixon_20130306_ DISPO from 1112 acctsv10" xfId="38716"/>
    <cellStyle name="_Future destination of SHA Bundle lines_20120117 Central local split sent by Tom Nixon_20130306_ DISPO from 1112 acctsv12" xfId="38717"/>
    <cellStyle name="_Future destination of SHA Bundle lines_20120117 Central local split sent by Tom Nixon_20130306_ DISPO from 1112 acctsv24" xfId="38718"/>
    <cellStyle name="_Future destination of SHA Bundle lines_20120117 Central local split sent by Tom Nixon_20130402_SR15 fct settlement" xfId="38719"/>
    <cellStyle name="_Future destination of SHA Bundle lines_20120117 Central local split sent by Tom Nixon_live doc - DH central budgets - provisional SR numbers" xfId="38720"/>
    <cellStyle name="_Future destination of SHA Bundle lines_20120117 Central local split sent by Tom Nixon_live doc - DH central budgets - provisional SR numbers 2" xfId="38721"/>
    <cellStyle name="_Future destination of SHA Bundle lines_20120117 Central local split sent by Tom Nixon_live doc - DH central budgets - provisional SR numbers_130417 DISPO from 1112 accts v17" xfId="38722"/>
    <cellStyle name="_Future destination of SHA Bundle lines_20120117 Central local split sent by Tom Nixon_live doc - DH central budgets - provisional SR numbers_20130306 DISPO from 1112 accts v14 for NHSE" xfId="38723"/>
    <cellStyle name="_Future destination of SHA Bundle lines_20120117 Central local split sent by Tom Nixon_live doc - DH central budgets - provisional SR numbers_20130306 DISPO from 1112 accts v14 for NHSE - with tariff" xfId="38724"/>
    <cellStyle name="_Future destination of SHA Bundle lines_20120117 Central local split sent by Tom Nixon_live doc - DH central budgets - provisional SR numbers_20130306 DISPO from 1112 accts v14 for NHSE TN edits 2" xfId="38725"/>
    <cellStyle name="_Future destination of SHA Bundle lines_20120117 Central local split sent by Tom Nixon_live doc - DH central budgets - provisional SR numbers_20130306_ DISPO from 1112 acctsv10" xfId="38726"/>
    <cellStyle name="_Future destination of SHA Bundle lines_20120117 Central local split sent by Tom Nixon_live doc - DH central budgets - provisional SR numbers_20130306_ DISPO from 1112 acctsv12" xfId="38727"/>
    <cellStyle name="_Future destination of SHA Bundle lines_20120117 Central local split sent by Tom Nixon_live doc - DH central budgets - provisional SR numbers_20130306_ DISPO from 1112 acctsv24" xfId="38728"/>
    <cellStyle name="_Future destination of SHA Bundle lines_20120117 Central local split sent by Tom Nixon_live doc - DH central budgets - provisional SR numbers_20130402_SR15 fct settlement" xfId="38729"/>
    <cellStyle name="_Future destination of SHA Bundle lines_20120117 Central local split sent by Tom Nixon_ME 2013-14 mock up V2 19.11.12" xfId="38730"/>
    <cellStyle name="_Future destination of SHA Bundle lines_20120117 Central local split sent by Tom Nixon_SS edit  DISPO with central policy pressures - TN edits" xfId="38731"/>
    <cellStyle name="_Future destination of SHA Bundle lines_20120424_Central budgets Backing Sheet 240412" xfId="38732"/>
    <cellStyle name="_Future destination of SHA Bundle lines_20120424_Central budgets Backing Sheet 240412 2" xfId="38733"/>
    <cellStyle name="_Future destination of SHA Bundle lines_20120424_Central budgets Backing Sheet 240412_~4471745" xfId="38734"/>
    <cellStyle name="_Future destination of SHA Bundle lines_20120424_Central budgets Backing Sheet 240412_~7857524" xfId="38735"/>
    <cellStyle name="_Future destination of SHA Bundle lines_20120424_Central budgets Backing Sheet 240412_130417 DISPO from 1112 accts v17" xfId="38736"/>
    <cellStyle name="_Future destination of SHA Bundle lines_20120424_Central budgets Backing Sheet 240412_20130205_Split of Budgets Dispo v9d" xfId="38737"/>
    <cellStyle name="_Future destination of SHA Bundle lines_20120424_Central budgets Backing Sheet 240412_20130205_Split of Budgets Dispo v9d 2" xfId="38738"/>
    <cellStyle name="_Future destination of SHA Bundle lines_20120424_Central budgets Backing Sheet 240412_20130205_Split of Budgets Dispo v9d_130417 DISPO from 1112 accts v17" xfId="38739"/>
    <cellStyle name="_Future destination of SHA Bundle lines_20120424_Central budgets Backing Sheet 240412_20130205_Split of Budgets Dispo v9d_20130306 DISPO from 1112 accts v14 for NHSE" xfId="38740"/>
    <cellStyle name="_Future destination of SHA Bundle lines_20120424_Central budgets Backing Sheet 240412_20130205_Split of Budgets Dispo v9d_20130306 DISPO from 1112 accts v14 for NHSE - with tariff" xfId="38741"/>
    <cellStyle name="_Future destination of SHA Bundle lines_20120424_Central budgets Backing Sheet 240412_20130205_Split of Budgets Dispo v9d_20130306 DISPO from 1112 accts v14 for NHSE TN edits 2" xfId="38742"/>
    <cellStyle name="_Future destination of SHA Bundle lines_20120424_Central budgets Backing Sheet 240412_20130205_Split of Budgets Dispo v9d_20130306_ DISPO from 1112 acctsv10" xfId="38743"/>
    <cellStyle name="_Future destination of SHA Bundle lines_20120424_Central budgets Backing Sheet 240412_20130205_Split of Budgets Dispo v9d_20130306_ DISPO from 1112 acctsv12" xfId="38744"/>
    <cellStyle name="_Future destination of SHA Bundle lines_20120424_Central budgets Backing Sheet 240412_20130205_Split of Budgets Dispo v9d_20130306_ DISPO from 1112 acctsv24" xfId="38745"/>
    <cellStyle name="_Future destination of SHA Bundle lines_20120424_Central budgets Backing Sheet 240412_20130205_Split of Budgets Dispo v9d_20130402_SR15 fct settlement" xfId="38746"/>
    <cellStyle name="_Future destination of SHA Bundle lines_20120424_Central budgets Backing Sheet 240412_20130301_ DISPO from 1112 acctsv4 + new Budgets Dispo" xfId="38747"/>
    <cellStyle name="_Future destination of SHA Bundle lines_20120424_Central budgets Backing Sheet 240412_20130306 DISPO from 1112 accts v14 for NHSE" xfId="38748"/>
    <cellStyle name="_Future destination of SHA Bundle lines_20120424_Central budgets Backing Sheet 240412_20130306 DISPO from 1112 accts v14 for NHSE - with tariff" xfId="38749"/>
    <cellStyle name="_Future destination of SHA Bundle lines_20120424_Central budgets Backing Sheet 240412_20130306 DISPO from 1112 accts v14 for NHSE TN edits 2" xfId="38750"/>
    <cellStyle name="_Future destination of SHA Bundle lines_20120424_Central budgets Backing Sheet 240412_20130306_ DISPO from 1112 acctsv10" xfId="38751"/>
    <cellStyle name="_Future destination of SHA Bundle lines_20120424_Central budgets Backing Sheet 240412_20130306_ DISPO from 1112 acctsv12" xfId="38752"/>
    <cellStyle name="_Future destination of SHA Bundle lines_20120424_Central budgets Backing Sheet 240412_20130306_ DISPO from 1112 acctsv24" xfId="38753"/>
    <cellStyle name="_Future destination of SHA Bundle lines_20120424_Central budgets Backing Sheet 240412_20130402_SR15 fct settlement" xfId="38754"/>
    <cellStyle name="_Future destination of SHA Bundle lines_20120424_Central budgets Backing Sheet 240412_live doc - DH central budgets - provisional SR numbers" xfId="38755"/>
    <cellStyle name="_Future destination of SHA Bundle lines_20120424_Central budgets Backing Sheet 240412_live doc - DH central budgets - provisional SR numbers 2" xfId="38756"/>
    <cellStyle name="_Future destination of SHA Bundle lines_20120424_Central budgets Backing Sheet 240412_live doc - DH central budgets - provisional SR numbers_130417 DISPO from 1112 accts v17" xfId="38757"/>
    <cellStyle name="_Future destination of SHA Bundle lines_20120424_Central budgets Backing Sheet 240412_live doc - DH central budgets - provisional SR numbers_20130306 DISPO from 1112 accts v14 for NHSE" xfId="38758"/>
    <cellStyle name="_Future destination of SHA Bundle lines_20120424_Central budgets Backing Sheet 240412_live doc - DH central budgets - provisional SR numbers_20130306 DISPO from 1112 accts v14 for NHSE - with tariff" xfId="38759"/>
    <cellStyle name="_Future destination of SHA Bundle lines_20120424_Central budgets Backing Sheet 240412_live doc - DH central budgets - provisional SR numbers_20130306 DISPO from 1112 accts v14 for NHSE TN edits 2" xfId="38760"/>
    <cellStyle name="_Future destination of SHA Bundle lines_20120424_Central budgets Backing Sheet 240412_live doc - DH central budgets - provisional SR numbers_20130306_ DISPO from 1112 acctsv10" xfId="38761"/>
    <cellStyle name="_Future destination of SHA Bundle lines_20120424_Central budgets Backing Sheet 240412_live doc - DH central budgets - provisional SR numbers_20130306_ DISPO from 1112 acctsv12" xfId="38762"/>
    <cellStyle name="_Future destination of SHA Bundle lines_20120424_Central budgets Backing Sheet 240412_live doc - DH central budgets - provisional SR numbers_20130306_ DISPO from 1112 acctsv24" xfId="38763"/>
    <cellStyle name="_Future destination of SHA Bundle lines_20120424_Central budgets Backing Sheet 240412_live doc - DH central budgets - provisional SR numbers_20130402_SR15 fct settlement" xfId="38764"/>
    <cellStyle name="_Future destination of SHA Bundle lines_20120424_Central budgets Backing Sheet 240412_ME 2013-14 mock up V2 19.11.12" xfId="38765"/>
    <cellStyle name="_Future destination of SHA Bundle lines_20120424_Central budgets Backing Sheet 240412_SS edit  DISPO with central policy pressures - TN edits" xfId="38766"/>
    <cellStyle name="_GR 11.12 Limits Report Rec August 11 at 14.09.11 AB" xfId="38767"/>
    <cellStyle name="_GR 11.12 Limits Report Rec June 11 at 13.07.11 AB" xfId="38768"/>
    <cellStyle name="_GR 11.12 Limits Report Rec September 11 at 14.09.11 AB" xfId="38769"/>
    <cellStyle name="_HCS Annex B (final)" xfId="38770"/>
    <cellStyle name="_HMT reporting In Year &amp; Early Warning (Q3) V2" xfId="38771"/>
    <cellStyle name="_John H PCT Op Costs 10-11" xfId="38772"/>
    <cellStyle name="_Main Estimates Admin V3" xfId="38773"/>
    <cellStyle name="_MAIN ESTIMATES DH V3" xfId="38774"/>
    <cellStyle name="_Master File - Mapping SR to new model v2" xfId="38775"/>
    <cellStyle name="_NDPB and SHA depreciation model 6.2.12" xfId="38776"/>
    <cellStyle name="_NHS" xfId="38777"/>
    <cellStyle name="_Potential Year-end analysis (V6)" xfId="38778"/>
    <cellStyle name="_Programme Board report based on 110309 (2)" xfId="38779"/>
    <cellStyle name="_Programme Board report based on 110309 (2) 2" xfId="38780"/>
    <cellStyle name="_Programme Board report based on 110309 (2) 3" xfId="38781"/>
    <cellStyle name="_Programme Board report based on 110309 (2) 4" xfId="38782"/>
    <cellStyle name="_Programme Board report based on 110309 (2) 4 2" xfId="38783"/>
    <cellStyle name="_Programme Board report based on 110309 (2) 5" xfId="38784"/>
    <cellStyle name="_Programme Board report based on 110309 (2) 5 2" xfId="38785"/>
    <cellStyle name="_Programme Board report based on 110309 (2) 6" xfId="38786"/>
    <cellStyle name="_Programme Board report based on 110309 (2) 6 2" xfId="38787"/>
    <cellStyle name="_Programme Board report based on 110309 (2) 6 2_20130306_ DISPO from 1112 acctsv24" xfId="38788"/>
    <cellStyle name="_Programme Board report based on 110309 (2) 7" xfId="38789"/>
    <cellStyle name="_Programme Board report based on 110309 (2) 7_20130306_ DISPO from 1112 acctsv24" xfId="38790"/>
    <cellStyle name="_PW 2009-10 Income Analysis (SL with PW additions)" xfId="38791"/>
    <cellStyle name="_PW Growth Calcs V2" xfId="38792"/>
    <cellStyle name="_PW ME V6 (consolidated)" xfId="38793"/>
    <cellStyle name="_PW RA WORK v1.02" xfId="38794"/>
    <cellStyle name="_Q1 COInS - Revenue DEL Summary v1.03" xfId="38795"/>
    <cellStyle name="_Revenue requirements SHA, PCT and Trusts" xfId="38796"/>
    <cellStyle name="_Revenue requirements SHA, PCT and Trusts 2" xfId="38797"/>
    <cellStyle name="_Revenue requirements SHA, PCT and Trusts_~4471745" xfId="38798"/>
    <cellStyle name="_Revenue requirements SHA, PCT and Trusts_~7857524" xfId="38799"/>
    <cellStyle name="_Revenue requirements SHA, PCT and Trusts_130417 DISPO from 1112 accts v17" xfId="38800"/>
    <cellStyle name="_Revenue requirements SHA, PCT and Trusts_20130205_Split of Budgets Dispo v9d" xfId="38801"/>
    <cellStyle name="_Revenue requirements SHA, PCT and Trusts_20130205_Split of Budgets Dispo v9d 2" xfId="38802"/>
    <cellStyle name="_Revenue requirements SHA, PCT and Trusts_20130205_Split of Budgets Dispo v9d_130417 DISPO from 1112 accts v17" xfId="38803"/>
    <cellStyle name="_Revenue requirements SHA, PCT and Trusts_20130205_Split of Budgets Dispo v9d_20130306 DISPO from 1112 accts v14 for NHSE" xfId="38804"/>
    <cellStyle name="_Revenue requirements SHA, PCT and Trusts_20130205_Split of Budgets Dispo v9d_20130306 DISPO from 1112 accts v14 for NHSE - with tariff" xfId="38805"/>
    <cellStyle name="_Revenue requirements SHA, PCT and Trusts_20130205_Split of Budgets Dispo v9d_20130306 DISPO from 1112 accts v14 for NHSE TN edits 2" xfId="38806"/>
    <cellStyle name="_Revenue requirements SHA, PCT and Trusts_20130205_Split of Budgets Dispo v9d_20130306_ DISPO from 1112 acctsv10" xfId="38807"/>
    <cellStyle name="_Revenue requirements SHA, PCT and Trusts_20130205_Split of Budgets Dispo v9d_20130306_ DISPO from 1112 acctsv12" xfId="38808"/>
    <cellStyle name="_Revenue requirements SHA, PCT and Trusts_20130205_Split of Budgets Dispo v9d_20130306_ DISPO from 1112 acctsv24" xfId="38809"/>
    <cellStyle name="_Revenue requirements SHA, PCT and Trusts_20130205_Split of Budgets Dispo v9d_20130402_SR15 fct settlement" xfId="38810"/>
    <cellStyle name="_Revenue requirements SHA, PCT and Trusts_20130301_ DISPO from 1112 acctsv4 + new Budgets Dispo" xfId="38811"/>
    <cellStyle name="_Revenue requirements SHA, PCT and Trusts_20130306 DISPO from 1112 accts v14 for NHSE" xfId="38812"/>
    <cellStyle name="_Revenue requirements SHA, PCT and Trusts_20130306 DISPO from 1112 accts v14 for NHSE - with tariff" xfId="38813"/>
    <cellStyle name="_Revenue requirements SHA, PCT and Trusts_20130306 DISPO from 1112 accts v14 for NHSE TN edits 2" xfId="38814"/>
    <cellStyle name="_Revenue requirements SHA, PCT and Trusts_20130306_ DISPO from 1112 acctsv10" xfId="38815"/>
    <cellStyle name="_Revenue requirements SHA, PCT and Trusts_20130306_ DISPO from 1112 acctsv12" xfId="38816"/>
    <cellStyle name="_Revenue requirements SHA, PCT and Trusts_20130306_ DISPO from 1112 acctsv24" xfId="38817"/>
    <cellStyle name="_Revenue requirements SHA, PCT and Trusts_20130402_SR15 fct settlement" xfId="38818"/>
    <cellStyle name="_Revenue requirements SHA, PCT and Trusts_live doc - DH central budgets - provisional SR numbers" xfId="38819"/>
    <cellStyle name="_Revenue requirements SHA, PCT and Trusts_live doc - DH central budgets - provisional SR numbers 2" xfId="38820"/>
    <cellStyle name="_Revenue requirements SHA, PCT and Trusts_live doc - DH central budgets - provisional SR numbers_130417 DISPO from 1112 accts v17" xfId="38821"/>
    <cellStyle name="_Revenue requirements SHA, PCT and Trusts_live doc - DH central budgets - provisional SR numbers_20130306 DISPO from 1112 accts v14 for NHSE" xfId="38822"/>
    <cellStyle name="_Revenue requirements SHA, PCT and Trusts_live doc - DH central budgets - provisional SR numbers_20130306 DISPO from 1112 accts v14 for NHSE - with tariff" xfId="38823"/>
    <cellStyle name="_Revenue requirements SHA, PCT and Trusts_live doc - DH central budgets - provisional SR numbers_20130306 DISPO from 1112 accts v14 for NHSE TN edits 2" xfId="38824"/>
    <cellStyle name="_Revenue requirements SHA, PCT and Trusts_live doc - DH central budgets - provisional SR numbers_20130306_ DISPO from 1112 acctsv10" xfId="38825"/>
    <cellStyle name="_Revenue requirements SHA, PCT and Trusts_live doc - DH central budgets - provisional SR numbers_20130306_ DISPO from 1112 acctsv12" xfId="38826"/>
    <cellStyle name="_Revenue requirements SHA, PCT and Trusts_live doc - DH central budgets - provisional SR numbers_20130306_ DISPO from 1112 acctsv24" xfId="38827"/>
    <cellStyle name="_Revenue requirements SHA, PCT and Trusts_live doc - DH central budgets - provisional SR numbers_20130402_SR15 fct settlement" xfId="38828"/>
    <cellStyle name="_Revenue requirements SHA, PCT and Trusts_ME 2013-14 mock up V2 19.11.12" xfId="38829"/>
    <cellStyle name="_Revenue requirements SHA, PCT and Trusts_SS edit  DISPO with central policy pressures - TN edits" xfId="38830"/>
    <cellStyle name="_Revenue Review 12.01.09 v2" xfId="38831"/>
    <cellStyle name="_SHA Charge to CRL" xfId="38832"/>
    <cellStyle name="_SHA Charge to CRL 2" xfId="38833"/>
    <cellStyle name="_SHA Charge to CRL 2_20130306_ DISPO from 1112 acctsv24" xfId="38834"/>
    <cellStyle name="_SHA excel master v5" xfId="38835"/>
    <cellStyle name="_SHA_V010 Plan Excel Master" xfId="38836"/>
    <cellStyle name="_SHA_V010 Plan Excel Master 2" xfId="38837"/>
    <cellStyle name="_SHA_V010 Plan Excel Master 2_20130306_ DISPO from 1112 acctsv24" xfId="38838"/>
    <cellStyle name="_SR2010 Admin Baselines NDPBs" xfId="38839"/>
    <cellStyle name="_Trust Investment - M4" xfId="38840"/>
    <cellStyle name="_YEAR END POTENTIAL" xfId="38841"/>
    <cellStyle name="_YEAR END POTENTIAL (V2)" xfId="38842"/>
    <cellStyle name="=C:\WINNT35\SYSTEM32\COMMAND.COM" xfId="38843"/>
    <cellStyle name="0,0" xfId="38844"/>
    <cellStyle name="0,0_x000d__x000a_NA_x000d__x000a_" xfId="38845"/>
    <cellStyle name="20% - Accent1" xfId="38182" builtinId="30" hidden="1"/>
    <cellStyle name="20% - Accent1 2" xfId="4"/>
    <cellStyle name="20% - Accent1 2 2" xfId="554"/>
    <cellStyle name="20% - Accent1 3" xfId="640"/>
    <cellStyle name="20% - Accent2 2" xfId="5"/>
    <cellStyle name="20% - Accent2 2 2" xfId="555"/>
    <cellStyle name="20% - Accent2 3" xfId="634"/>
    <cellStyle name="20% - Accent3 2" xfId="6"/>
    <cellStyle name="20% - Accent3 2 2" xfId="556"/>
    <cellStyle name="20% - Accent3 3" xfId="626"/>
    <cellStyle name="20% - Accent4 2" xfId="7"/>
    <cellStyle name="20% - Accent4 2 2" xfId="557"/>
    <cellStyle name="20% - Accent4 3" xfId="635"/>
    <cellStyle name="20% - Accent5 2" xfId="8"/>
    <cellStyle name="20% - Accent5 2 2" xfId="558"/>
    <cellStyle name="20% - Accent5 3" xfId="628"/>
    <cellStyle name="20% - Accent6 2" xfId="9"/>
    <cellStyle name="20% - Accent6 2 2" xfId="559"/>
    <cellStyle name="20% - Accent6 3" xfId="620"/>
    <cellStyle name="40% - Accent1 2" xfId="10"/>
    <cellStyle name="40% - Accent1 2 2" xfId="560"/>
    <cellStyle name="40% - Accent1 3" xfId="639"/>
    <cellStyle name="40% - Accent2 2" xfId="11"/>
    <cellStyle name="40% - Accent2 2 2" xfId="561"/>
    <cellStyle name="40% - Accent2 3" xfId="638"/>
    <cellStyle name="40% - Accent3 2" xfId="12"/>
    <cellStyle name="40% - Accent3 2 2" xfId="562"/>
    <cellStyle name="40% - Accent3 3" xfId="637"/>
    <cellStyle name="40% - Accent4 2" xfId="13"/>
    <cellStyle name="40% - Accent4 2 2" xfId="563"/>
    <cellStyle name="40% - Accent4 3" xfId="653"/>
    <cellStyle name="40% - Accent5 2" xfId="14"/>
    <cellStyle name="40% - Accent5 2 2" xfId="564"/>
    <cellStyle name="40% - Accent5 3" xfId="649"/>
    <cellStyle name="40% - Accent6 2" xfId="15"/>
    <cellStyle name="40% - Accent6 2 2" xfId="565"/>
    <cellStyle name="40% - Accent6 3" xfId="644"/>
    <cellStyle name="60% - Accent1 2" xfId="16"/>
    <cellStyle name="60% - Accent1 3" xfId="623"/>
    <cellStyle name="60% - Accent2 2" xfId="17"/>
    <cellStyle name="60% - Accent2 3" xfId="654"/>
    <cellStyle name="60% - Accent3 2" xfId="18"/>
    <cellStyle name="60% - Accent3 3" xfId="646"/>
    <cellStyle name="60% - Accent4 2" xfId="19"/>
    <cellStyle name="60% - Accent4 3" xfId="641"/>
    <cellStyle name="60% - Accent5 2" xfId="20"/>
    <cellStyle name="60% - Accent5 3" xfId="647"/>
    <cellStyle name="60% - Accent6 2" xfId="21"/>
    <cellStyle name="60% - Accent6 3" xfId="621"/>
    <cellStyle name="aaa" xfId="14441"/>
    <cellStyle name="Accent1 2" xfId="22"/>
    <cellStyle name="Accent1 3" xfId="651"/>
    <cellStyle name="Accent2 2" xfId="23"/>
    <cellStyle name="Accent2 3" xfId="648"/>
    <cellStyle name="Accent3 2" xfId="24"/>
    <cellStyle name="Accent3 3" xfId="643"/>
    <cellStyle name="Accent4 2" xfId="25"/>
    <cellStyle name="Accent4 3" xfId="622"/>
    <cellStyle name="Accent5 2" xfId="26"/>
    <cellStyle name="Accent5 3" xfId="655"/>
    <cellStyle name="Accent6 2" xfId="27"/>
    <cellStyle name="Accent6 3" xfId="652"/>
    <cellStyle name="ariel" xfId="28"/>
    <cellStyle name="ariel 2" xfId="38846"/>
    <cellStyle name="Bad 2" xfId="29"/>
    <cellStyle name="Bad 3" xfId="625"/>
    <cellStyle name="blank" xfId="38847"/>
    <cellStyle name="blank 2" xfId="38848"/>
    <cellStyle name="BM Header Main" xfId="38849"/>
    <cellStyle name="BM Header Non-Underlined" xfId="38850"/>
    <cellStyle name="BM Header Secondary" xfId="38851"/>
    <cellStyle name="BM Header Underlined" xfId="38852"/>
    <cellStyle name="BM Input" xfId="38853"/>
    <cellStyle name="BM Input External Link" xfId="38854"/>
    <cellStyle name="BM Input Modeller" xfId="38855"/>
    <cellStyle name="BM Input Static" xfId="38856"/>
    <cellStyle name="BM Input_PCT_initial_plan_form_template_10.12.20" xfId="38857"/>
    <cellStyle name="BM Label" xfId="38858"/>
    <cellStyle name="BM UF in Col E" xfId="38859"/>
    <cellStyle name="Calc" xfId="38860"/>
    <cellStyle name="Calc - Blue" xfId="38861"/>
    <cellStyle name="Calc - Feed" xfId="38862"/>
    <cellStyle name="Calc - Green" xfId="38863"/>
    <cellStyle name="Calc - Grey" xfId="38864"/>
    <cellStyle name="Calc - White" xfId="38865"/>
    <cellStyle name="CALC Amount" xfId="14448"/>
    <cellStyle name="CALC Amount [1]" xfId="14449"/>
    <cellStyle name="CALC Amount [2]" xfId="14450"/>
    <cellStyle name="CALC Amount Total" xfId="14451"/>
    <cellStyle name="CALC Amount Total [1]" xfId="14452"/>
    <cellStyle name="CALC Amount Total [1] 10" xfId="14738"/>
    <cellStyle name="CALC Amount Total [1] 10 10" xfId="23102"/>
    <cellStyle name="CALC Amount Total [1] 10 10 2" xfId="38866"/>
    <cellStyle name="CALC Amount Total [1] 10 11" xfId="38867"/>
    <cellStyle name="CALC Amount Total [1] 10 12" xfId="38868"/>
    <cellStyle name="CALC Amount Total [1] 10 2" xfId="15819"/>
    <cellStyle name="CALC Amount Total [1] 10 2 2" xfId="24137"/>
    <cellStyle name="CALC Amount Total [1] 10 2 2 2" xfId="38869"/>
    <cellStyle name="CALC Amount Total [1] 10 2 3" xfId="31425"/>
    <cellStyle name="CALC Amount Total [1] 10 2 4" xfId="38870"/>
    <cellStyle name="CALC Amount Total [1] 10 3" xfId="16785"/>
    <cellStyle name="CALC Amount Total [1] 10 3 2" xfId="25109"/>
    <cellStyle name="CALC Amount Total [1] 10 3 2 2" xfId="38871"/>
    <cellStyle name="CALC Amount Total [1] 10 3 3" xfId="32358"/>
    <cellStyle name="CALC Amount Total [1] 10 3 4" xfId="38872"/>
    <cellStyle name="CALC Amount Total [1] 10 4" xfId="17811"/>
    <cellStyle name="CALC Amount Total [1] 10 4 2" xfId="26135"/>
    <cellStyle name="CALC Amount Total [1] 10 4 2 2" xfId="38873"/>
    <cellStyle name="CALC Amount Total [1] 10 4 3" xfId="33335"/>
    <cellStyle name="CALC Amount Total [1] 10 4 4" xfId="38874"/>
    <cellStyle name="CALC Amount Total [1] 10 5" xfId="18795"/>
    <cellStyle name="CALC Amount Total [1] 10 5 2" xfId="27116"/>
    <cellStyle name="CALC Amount Total [1] 10 5 2 2" xfId="38875"/>
    <cellStyle name="CALC Amount Total [1] 10 5 3" xfId="34275"/>
    <cellStyle name="CALC Amount Total [1] 10 5 4" xfId="38876"/>
    <cellStyle name="CALC Amount Total [1] 10 6" xfId="19763"/>
    <cellStyle name="CALC Amount Total [1] 10 6 2" xfId="28085"/>
    <cellStyle name="CALC Amount Total [1] 10 6 2 2" xfId="38877"/>
    <cellStyle name="CALC Amount Total [1] 10 6 3" xfId="35221"/>
    <cellStyle name="CALC Amount Total [1] 10 6 4" xfId="38878"/>
    <cellStyle name="CALC Amount Total [1] 10 7" xfId="20721"/>
    <cellStyle name="CALC Amount Total [1] 10 7 2" xfId="29042"/>
    <cellStyle name="CALC Amount Total [1] 10 7 2 2" xfId="38879"/>
    <cellStyle name="CALC Amount Total [1] 10 7 3" xfId="38880"/>
    <cellStyle name="CALC Amount Total [1] 10 7 4" xfId="38881"/>
    <cellStyle name="CALC Amount Total [1] 10 8" xfId="21329"/>
    <cellStyle name="CALC Amount Total [1] 10 8 2" xfId="29634"/>
    <cellStyle name="CALC Amount Total [1] 10 8 2 2" xfId="38882"/>
    <cellStyle name="CALC Amount Total [1] 10 8 3" xfId="36700"/>
    <cellStyle name="CALC Amount Total [1] 10 8 4" xfId="38883"/>
    <cellStyle name="CALC Amount Total [1] 10 9" xfId="22157"/>
    <cellStyle name="CALC Amount Total [1] 10 9 2" xfId="30455"/>
    <cellStyle name="CALC Amount Total [1] 10 9 2 2" xfId="38884"/>
    <cellStyle name="CALC Amount Total [1] 10 9 3" xfId="37486"/>
    <cellStyle name="CALC Amount Total [1] 10 9 4" xfId="38885"/>
    <cellStyle name="CALC Amount Total [1] 11" xfId="14803"/>
    <cellStyle name="CALC Amount Total [1] 11 10" xfId="23167"/>
    <cellStyle name="CALC Amount Total [1] 11 10 2" xfId="38886"/>
    <cellStyle name="CALC Amount Total [1] 11 11" xfId="38887"/>
    <cellStyle name="CALC Amount Total [1] 11 12" xfId="38888"/>
    <cellStyle name="CALC Amount Total [1] 11 2" xfId="15884"/>
    <cellStyle name="CALC Amount Total [1] 11 2 2" xfId="24202"/>
    <cellStyle name="CALC Amount Total [1] 11 2 2 2" xfId="38889"/>
    <cellStyle name="CALC Amount Total [1] 11 2 3" xfId="31488"/>
    <cellStyle name="CALC Amount Total [1] 11 2 4" xfId="38890"/>
    <cellStyle name="CALC Amount Total [1] 11 3" xfId="16850"/>
    <cellStyle name="CALC Amount Total [1] 11 3 2" xfId="25174"/>
    <cellStyle name="CALC Amount Total [1] 11 3 2 2" xfId="38891"/>
    <cellStyle name="CALC Amount Total [1] 11 3 3" xfId="32421"/>
    <cellStyle name="CALC Amount Total [1] 11 3 4" xfId="38892"/>
    <cellStyle name="CALC Amount Total [1] 11 4" xfId="17877"/>
    <cellStyle name="CALC Amount Total [1] 11 4 2" xfId="26200"/>
    <cellStyle name="CALC Amount Total [1] 11 4 2 2" xfId="38893"/>
    <cellStyle name="CALC Amount Total [1] 11 4 3" xfId="33398"/>
    <cellStyle name="CALC Amount Total [1] 11 4 4" xfId="38894"/>
    <cellStyle name="CALC Amount Total [1] 11 5" xfId="18861"/>
    <cellStyle name="CALC Amount Total [1] 11 5 2" xfId="27181"/>
    <cellStyle name="CALC Amount Total [1] 11 5 2 2" xfId="38895"/>
    <cellStyle name="CALC Amount Total [1] 11 5 3" xfId="34338"/>
    <cellStyle name="CALC Amount Total [1] 11 5 4" xfId="38896"/>
    <cellStyle name="CALC Amount Total [1] 11 6" xfId="19829"/>
    <cellStyle name="CALC Amount Total [1] 11 6 2" xfId="28151"/>
    <cellStyle name="CALC Amount Total [1] 11 6 2 2" xfId="38897"/>
    <cellStyle name="CALC Amount Total [1] 11 6 3" xfId="35285"/>
    <cellStyle name="CALC Amount Total [1] 11 6 4" xfId="38898"/>
    <cellStyle name="CALC Amount Total [1] 11 7" xfId="20787"/>
    <cellStyle name="CALC Amount Total [1] 11 7 2" xfId="29107"/>
    <cellStyle name="CALC Amount Total [1] 11 7 2 2" xfId="38899"/>
    <cellStyle name="CALC Amount Total [1] 11 7 3" xfId="38900"/>
    <cellStyle name="CALC Amount Total [1] 11 7 4" xfId="38901"/>
    <cellStyle name="CALC Amount Total [1] 11 8" xfId="38183"/>
    <cellStyle name="CALC Amount Total [1] 11 8 2" xfId="38902"/>
    <cellStyle name="CALC Amount Total [1] 11 8 2 2" xfId="38903"/>
    <cellStyle name="CALC Amount Total [1] 11 8 3" xfId="38904"/>
    <cellStyle name="CALC Amount Total [1] 11 8 4" xfId="38905"/>
    <cellStyle name="CALC Amount Total [1] 11 9" xfId="38184"/>
    <cellStyle name="CALC Amount Total [1] 11 9 2" xfId="30521"/>
    <cellStyle name="CALC Amount Total [1] 11 9 2 2" xfId="38906"/>
    <cellStyle name="CALC Amount Total [1] 11 9 3" xfId="37549"/>
    <cellStyle name="CALC Amount Total [1] 11 9 4" xfId="38907"/>
    <cellStyle name="CALC Amount Total [1] 12" xfId="14956"/>
    <cellStyle name="CALC Amount Total [1] 12 10" xfId="23318"/>
    <cellStyle name="CALC Amount Total [1] 12 10 2" xfId="38908"/>
    <cellStyle name="CALC Amount Total [1] 12 11" xfId="38909"/>
    <cellStyle name="CALC Amount Total [1] 12 12" xfId="38910"/>
    <cellStyle name="CALC Amount Total [1] 12 2" xfId="16037"/>
    <cellStyle name="CALC Amount Total [1] 12 2 2" xfId="24353"/>
    <cellStyle name="CALC Amount Total [1] 12 2 2 2" xfId="38911"/>
    <cellStyle name="CALC Amount Total [1] 12 2 3" xfId="31633"/>
    <cellStyle name="CALC Amount Total [1] 12 2 4" xfId="38912"/>
    <cellStyle name="CALC Amount Total [1] 12 3" xfId="17003"/>
    <cellStyle name="CALC Amount Total [1] 12 3 2" xfId="25325"/>
    <cellStyle name="CALC Amount Total [1] 12 3 2 2" xfId="38913"/>
    <cellStyle name="CALC Amount Total [1] 12 3 3" xfId="32566"/>
    <cellStyle name="CALC Amount Total [1] 12 3 4" xfId="38914"/>
    <cellStyle name="CALC Amount Total [1] 12 4" xfId="18030"/>
    <cellStyle name="CALC Amount Total [1] 12 4 2" xfId="26351"/>
    <cellStyle name="CALC Amount Total [1] 12 4 2 2" xfId="38915"/>
    <cellStyle name="CALC Amount Total [1] 12 4 3" xfId="33543"/>
    <cellStyle name="CALC Amount Total [1] 12 4 4" xfId="38916"/>
    <cellStyle name="CALC Amount Total [1] 12 5" xfId="19014"/>
    <cellStyle name="CALC Amount Total [1] 12 5 2" xfId="27334"/>
    <cellStyle name="CALC Amount Total [1] 12 5 2 2" xfId="38917"/>
    <cellStyle name="CALC Amount Total [1] 12 5 3" xfId="34485"/>
    <cellStyle name="CALC Amount Total [1] 12 5 4" xfId="38918"/>
    <cellStyle name="CALC Amount Total [1] 12 6" xfId="19982"/>
    <cellStyle name="CALC Amount Total [1] 12 6 2" xfId="28304"/>
    <cellStyle name="CALC Amount Total [1] 12 6 2 2" xfId="38919"/>
    <cellStyle name="CALC Amount Total [1] 12 6 3" xfId="35432"/>
    <cellStyle name="CALC Amount Total [1] 12 6 4" xfId="38920"/>
    <cellStyle name="CALC Amount Total [1] 12 7" xfId="20940"/>
    <cellStyle name="CALC Amount Total [1] 12 7 2" xfId="29258"/>
    <cellStyle name="CALC Amount Total [1] 12 7 2 2" xfId="38921"/>
    <cellStyle name="CALC Amount Total [1] 12 7 3" xfId="36341"/>
    <cellStyle name="CALC Amount Total [1] 12 7 4" xfId="38922"/>
    <cellStyle name="CALC Amount Total [1] 12 8" xfId="21447"/>
    <cellStyle name="CALC Amount Total [1] 12 8 2" xfId="29749"/>
    <cellStyle name="CALC Amount Total [1] 12 8 2 2" xfId="38923"/>
    <cellStyle name="CALC Amount Total [1] 12 8 3" xfId="36811"/>
    <cellStyle name="CALC Amount Total [1] 12 8 4" xfId="38924"/>
    <cellStyle name="CALC Amount Total [1] 12 9" xfId="22375"/>
    <cellStyle name="CALC Amount Total [1] 12 9 2" xfId="30672"/>
    <cellStyle name="CALC Amount Total [1] 12 9 2 2" xfId="38925"/>
    <cellStyle name="CALC Amount Total [1] 12 9 3" xfId="37694"/>
    <cellStyle name="CALC Amount Total [1] 12 9 4" xfId="38926"/>
    <cellStyle name="CALC Amount Total [1] 13" xfId="15032"/>
    <cellStyle name="CALC Amount Total [1] 13 10" xfId="23392"/>
    <cellStyle name="CALC Amount Total [1] 13 10 2" xfId="38927"/>
    <cellStyle name="CALC Amount Total [1] 13 11" xfId="38928"/>
    <cellStyle name="CALC Amount Total [1] 13 12" xfId="38929"/>
    <cellStyle name="CALC Amount Total [1] 13 2" xfId="16112"/>
    <cellStyle name="CALC Amount Total [1] 13 2 2" xfId="24427"/>
    <cellStyle name="CALC Amount Total [1] 13 2 2 2" xfId="38930"/>
    <cellStyle name="CALC Amount Total [1] 13 2 3" xfId="31705"/>
    <cellStyle name="CALC Amount Total [1] 13 2 4" xfId="38931"/>
    <cellStyle name="CALC Amount Total [1] 13 3" xfId="17079"/>
    <cellStyle name="CALC Amount Total [1] 13 3 2" xfId="25400"/>
    <cellStyle name="CALC Amount Total [1] 13 3 2 2" xfId="38932"/>
    <cellStyle name="CALC Amount Total [1] 13 3 3" xfId="32639"/>
    <cellStyle name="CALC Amount Total [1] 13 3 4" xfId="38933"/>
    <cellStyle name="CALC Amount Total [1] 13 4" xfId="18106"/>
    <cellStyle name="CALC Amount Total [1] 13 4 2" xfId="26426"/>
    <cellStyle name="CALC Amount Total [1] 13 4 2 2" xfId="38934"/>
    <cellStyle name="CALC Amount Total [1] 13 4 3" xfId="33616"/>
    <cellStyle name="CALC Amount Total [1] 13 4 4" xfId="38935"/>
    <cellStyle name="CALC Amount Total [1] 13 5" xfId="19090"/>
    <cellStyle name="CALC Amount Total [1] 13 5 2" xfId="27410"/>
    <cellStyle name="CALC Amount Total [1] 13 5 2 2" xfId="38936"/>
    <cellStyle name="CALC Amount Total [1] 13 5 3" xfId="34559"/>
    <cellStyle name="CALC Amount Total [1] 13 5 4" xfId="38937"/>
    <cellStyle name="CALC Amount Total [1] 13 6" xfId="20058"/>
    <cellStyle name="CALC Amount Total [1] 13 6 2" xfId="28380"/>
    <cellStyle name="CALC Amount Total [1] 13 6 2 2" xfId="38938"/>
    <cellStyle name="CALC Amount Total [1] 13 6 3" xfId="35506"/>
    <cellStyle name="CALC Amount Total [1] 13 6 4" xfId="38939"/>
    <cellStyle name="CALC Amount Total [1] 13 7" xfId="21015"/>
    <cellStyle name="CALC Amount Total [1] 13 7 2" xfId="29332"/>
    <cellStyle name="CALC Amount Total [1] 13 7 2 2" xfId="38940"/>
    <cellStyle name="CALC Amount Total [1] 13 7 3" xfId="36413"/>
    <cellStyle name="CALC Amount Total [1] 13 7 4" xfId="38941"/>
    <cellStyle name="CALC Amount Total [1] 13 8" xfId="21522"/>
    <cellStyle name="CALC Amount Total [1] 13 8 2" xfId="29823"/>
    <cellStyle name="CALC Amount Total [1] 13 8 2 2" xfId="38942"/>
    <cellStyle name="CALC Amount Total [1] 13 8 3" xfId="36883"/>
    <cellStyle name="CALC Amount Total [1] 13 8 4" xfId="38943"/>
    <cellStyle name="CALC Amount Total [1] 13 9" xfId="22450"/>
    <cellStyle name="CALC Amount Total [1] 13 9 2" xfId="30746"/>
    <cellStyle name="CALC Amount Total [1] 13 9 2 2" xfId="38944"/>
    <cellStyle name="CALC Amount Total [1] 13 9 3" xfId="37766"/>
    <cellStyle name="CALC Amount Total [1] 13 9 4" xfId="38945"/>
    <cellStyle name="CALC Amount Total [1] 14" xfId="15028"/>
    <cellStyle name="CALC Amount Total [1] 14 10" xfId="23388"/>
    <cellStyle name="CALC Amount Total [1] 14 10 2" xfId="38946"/>
    <cellStyle name="CALC Amount Total [1] 14 11" xfId="38947"/>
    <cellStyle name="CALC Amount Total [1] 14 12" xfId="38948"/>
    <cellStyle name="CALC Amount Total [1] 14 2" xfId="16108"/>
    <cellStyle name="CALC Amount Total [1] 14 2 2" xfId="24423"/>
    <cellStyle name="CALC Amount Total [1] 14 2 2 2" xfId="38949"/>
    <cellStyle name="CALC Amount Total [1] 14 2 3" xfId="31701"/>
    <cellStyle name="CALC Amount Total [1] 14 2 4" xfId="38950"/>
    <cellStyle name="CALC Amount Total [1] 14 3" xfId="17075"/>
    <cellStyle name="CALC Amount Total [1] 14 3 2" xfId="25396"/>
    <cellStyle name="CALC Amount Total [1] 14 3 2 2" xfId="38951"/>
    <cellStyle name="CALC Amount Total [1] 14 3 3" xfId="32635"/>
    <cellStyle name="CALC Amount Total [1] 14 3 4" xfId="38952"/>
    <cellStyle name="CALC Amount Total [1] 14 4" xfId="18102"/>
    <cellStyle name="CALC Amount Total [1] 14 4 2" xfId="26422"/>
    <cellStyle name="CALC Amount Total [1] 14 4 2 2" xfId="38953"/>
    <cellStyle name="CALC Amount Total [1] 14 4 3" xfId="33612"/>
    <cellStyle name="CALC Amount Total [1] 14 4 4" xfId="38954"/>
    <cellStyle name="CALC Amount Total [1] 14 5" xfId="19086"/>
    <cellStyle name="CALC Amount Total [1] 14 5 2" xfId="27406"/>
    <cellStyle name="CALC Amount Total [1] 14 5 2 2" xfId="38955"/>
    <cellStyle name="CALC Amount Total [1] 14 5 3" xfId="34555"/>
    <cellStyle name="CALC Amount Total [1] 14 5 4" xfId="38956"/>
    <cellStyle name="CALC Amount Total [1] 14 6" xfId="20054"/>
    <cellStyle name="CALC Amount Total [1] 14 6 2" xfId="28376"/>
    <cellStyle name="CALC Amount Total [1] 14 6 2 2" xfId="38957"/>
    <cellStyle name="CALC Amount Total [1] 14 6 3" xfId="35502"/>
    <cellStyle name="CALC Amount Total [1] 14 6 4" xfId="38958"/>
    <cellStyle name="CALC Amount Total [1] 14 7" xfId="21011"/>
    <cellStyle name="CALC Amount Total [1] 14 7 2" xfId="29328"/>
    <cellStyle name="CALC Amount Total [1] 14 7 2 2" xfId="38959"/>
    <cellStyle name="CALC Amount Total [1] 14 7 3" xfId="36409"/>
    <cellStyle name="CALC Amount Total [1] 14 7 4" xfId="38960"/>
    <cellStyle name="CALC Amount Total [1] 14 8" xfId="21518"/>
    <cellStyle name="CALC Amount Total [1] 14 8 2" xfId="29819"/>
    <cellStyle name="CALC Amount Total [1] 14 8 2 2" xfId="38961"/>
    <cellStyle name="CALC Amount Total [1] 14 8 3" xfId="36879"/>
    <cellStyle name="CALC Amount Total [1] 14 8 4" xfId="38962"/>
    <cellStyle name="CALC Amount Total [1] 14 9" xfId="22446"/>
    <cellStyle name="CALC Amount Total [1] 14 9 2" xfId="30742"/>
    <cellStyle name="CALC Amount Total [1] 14 9 2 2" xfId="38963"/>
    <cellStyle name="CALC Amount Total [1] 14 9 3" xfId="37762"/>
    <cellStyle name="CALC Amount Total [1] 14 9 4" xfId="38964"/>
    <cellStyle name="CALC Amount Total [1] 15" xfId="15116"/>
    <cellStyle name="CALC Amount Total [1] 15 10" xfId="38965"/>
    <cellStyle name="CALC Amount Total [1] 15 11" xfId="38966"/>
    <cellStyle name="CALC Amount Total [1] 15 2" xfId="16196"/>
    <cellStyle name="CALC Amount Total [1] 15 2 2" xfId="24509"/>
    <cellStyle name="CALC Amount Total [1] 15 2 2 2" xfId="38967"/>
    <cellStyle name="CALC Amount Total [1] 15 2 3" xfId="31786"/>
    <cellStyle name="CALC Amount Total [1] 15 2 4" xfId="38968"/>
    <cellStyle name="CALC Amount Total [1] 15 3" xfId="17162"/>
    <cellStyle name="CALC Amount Total [1] 15 3 2" xfId="25483"/>
    <cellStyle name="CALC Amount Total [1] 15 3 2 2" xfId="38969"/>
    <cellStyle name="CALC Amount Total [1] 15 3 3" xfId="32719"/>
    <cellStyle name="CALC Amount Total [1] 15 3 4" xfId="38970"/>
    <cellStyle name="CALC Amount Total [1] 15 4" xfId="18190"/>
    <cellStyle name="CALC Amount Total [1] 15 4 2" xfId="26510"/>
    <cellStyle name="CALC Amount Total [1] 15 4 2 2" xfId="38971"/>
    <cellStyle name="CALC Amount Total [1] 15 4 3" xfId="33697"/>
    <cellStyle name="CALC Amount Total [1] 15 4 4" xfId="38972"/>
    <cellStyle name="CALC Amount Total [1] 15 5" xfId="19174"/>
    <cellStyle name="CALC Amount Total [1] 15 5 2" xfId="27494"/>
    <cellStyle name="CALC Amount Total [1] 15 5 2 2" xfId="38973"/>
    <cellStyle name="CALC Amount Total [1] 15 5 3" xfId="34642"/>
    <cellStyle name="CALC Amount Total [1] 15 5 4" xfId="38974"/>
    <cellStyle name="CALC Amount Total [1] 15 6" xfId="20142"/>
    <cellStyle name="CALC Amount Total [1] 15 6 2" xfId="28464"/>
    <cellStyle name="CALC Amount Total [1] 15 6 2 2" xfId="38975"/>
    <cellStyle name="CALC Amount Total [1] 15 6 3" xfId="35589"/>
    <cellStyle name="CALC Amount Total [1] 15 6 4" xfId="38976"/>
    <cellStyle name="CALC Amount Total [1] 15 7" xfId="21603"/>
    <cellStyle name="CALC Amount Total [1] 15 7 2" xfId="29904"/>
    <cellStyle name="CALC Amount Total [1] 15 7 2 2" xfId="38977"/>
    <cellStyle name="CALC Amount Total [1] 15 7 3" xfId="36963"/>
    <cellStyle name="CALC Amount Total [1] 15 7 4" xfId="38978"/>
    <cellStyle name="CALC Amount Total [1] 15 8" xfId="22531"/>
    <cellStyle name="CALC Amount Total [1] 15 8 2" xfId="30827"/>
    <cellStyle name="CALC Amount Total [1] 15 8 2 2" xfId="38979"/>
    <cellStyle name="CALC Amount Total [1] 15 8 3" xfId="37846"/>
    <cellStyle name="CALC Amount Total [1] 15 8 4" xfId="38980"/>
    <cellStyle name="CALC Amount Total [1] 15 9" xfId="23473"/>
    <cellStyle name="CALC Amount Total [1] 15 9 2" xfId="38981"/>
    <cellStyle name="CALC Amount Total [1] 16" xfId="15112"/>
    <cellStyle name="CALC Amount Total [1] 16 10" xfId="38982"/>
    <cellStyle name="CALC Amount Total [1] 16 11" xfId="38983"/>
    <cellStyle name="CALC Amount Total [1] 16 2" xfId="16192"/>
    <cellStyle name="CALC Amount Total [1] 16 2 2" xfId="24505"/>
    <cellStyle name="CALC Amount Total [1] 16 2 2 2" xfId="38984"/>
    <cellStyle name="CALC Amount Total [1] 16 2 3" xfId="31782"/>
    <cellStyle name="CALC Amount Total [1] 16 2 4" xfId="38985"/>
    <cellStyle name="CALC Amount Total [1] 16 3" xfId="17158"/>
    <cellStyle name="CALC Amount Total [1] 16 3 2" xfId="25479"/>
    <cellStyle name="CALC Amount Total [1] 16 3 2 2" xfId="38986"/>
    <cellStyle name="CALC Amount Total [1] 16 3 3" xfId="32715"/>
    <cellStyle name="CALC Amount Total [1] 16 3 4" xfId="38987"/>
    <cellStyle name="CALC Amount Total [1] 16 4" xfId="18186"/>
    <cellStyle name="CALC Amount Total [1] 16 4 2" xfId="26506"/>
    <cellStyle name="CALC Amount Total [1] 16 4 2 2" xfId="38988"/>
    <cellStyle name="CALC Amount Total [1] 16 4 3" xfId="33693"/>
    <cellStyle name="CALC Amount Total [1] 16 4 4" xfId="38989"/>
    <cellStyle name="CALC Amount Total [1] 16 5" xfId="19170"/>
    <cellStyle name="CALC Amount Total [1] 16 5 2" xfId="27490"/>
    <cellStyle name="CALC Amount Total [1] 16 5 2 2" xfId="38990"/>
    <cellStyle name="CALC Amount Total [1] 16 5 3" xfId="34638"/>
    <cellStyle name="CALC Amount Total [1] 16 5 4" xfId="38991"/>
    <cellStyle name="CALC Amount Total [1] 16 6" xfId="20138"/>
    <cellStyle name="CALC Amount Total [1] 16 6 2" xfId="28460"/>
    <cellStyle name="CALC Amount Total [1] 16 6 2 2" xfId="38992"/>
    <cellStyle name="CALC Amount Total [1] 16 6 3" xfId="35585"/>
    <cellStyle name="CALC Amount Total [1] 16 6 4" xfId="38993"/>
    <cellStyle name="CALC Amount Total [1] 16 7" xfId="21599"/>
    <cellStyle name="CALC Amount Total [1] 16 7 2" xfId="29900"/>
    <cellStyle name="CALC Amount Total [1] 16 7 2 2" xfId="38994"/>
    <cellStyle name="CALC Amount Total [1] 16 7 3" xfId="36959"/>
    <cellStyle name="CALC Amount Total [1] 16 7 4" xfId="38995"/>
    <cellStyle name="CALC Amount Total [1] 16 8" xfId="22527"/>
    <cellStyle name="CALC Amount Total [1] 16 8 2" xfId="30823"/>
    <cellStyle name="CALC Amount Total [1] 16 8 2 2" xfId="38996"/>
    <cellStyle name="CALC Amount Total [1] 16 8 3" xfId="37842"/>
    <cellStyle name="CALC Amount Total [1] 16 8 4" xfId="38997"/>
    <cellStyle name="CALC Amount Total [1] 16 9" xfId="23469"/>
    <cellStyle name="CALC Amount Total [1] 16 9 2" xfId="38998"/>
    <cellStyle name="CALC Amount Total [1] 17" xfId="15135"/>
    <cellStyle name="CALC Amount Total [1] 17 10" xfId="38999"/>
    <cellStyle name="CALC Amount Total [1] 17 11" xfId="39000"/>
    <cellStyle name="CALC Amount Total [1] 17 2" xfId="16215"/>
    <cellStyle name="CALC Amount Total [1] 17 2 2" xfId="24528"/>
    <cellStyle name="CALC Amount Total [1] 17 2 2 2" xfId="39001"/>
    <cellStyle name="CALC Amount Total [1] 17 2 3" xfId="31803"/>
    <cellStyle name="CALC Amount Total [1] 17 2 4" xfId="39002"/>
    <cellStyle name="CALC Amount Total [1] 17 3" xfId="17181"/>
    <cellStyle name="CALC Amount Total [1] 17 3 2" xfId="25502"/>
    <cellStyle name="CALC Amount Total [1] 17 3 2 2" xfId="39003"/>
    <cellStyle name="CALC Amount Total [1] 17 3 3" xfId="32736"/>
    <cellStyle name="CALC Amount Total [1] 17 3 4" xfId="39004"/>
    <cellStyle name="CALC Amount Total [1] 17 4" xfId="18209"/>
    <cellStyle name="CALC Amount Total [1] 17 4 2" xfId="26529"/>
    <cellStyle name="CALC Amount Total [1] 17 4 2 2" xfId="39005"/>
    <cellStyle name="CALC Amount Total [1] 17 4 3" xfId="33714"/>
    <cellStyle name="CALC Amount Total [1] 17 4 4" xfId="39006"/>
    <cellStyle name="CALC Amount Total [1] 17 5" xfId="19193"/>
    <cellStyle name="CALC Amount Total [1] 17 5 2" xfId="27513"/>
    <cellStyle name="CALC Amount Total [1] 17 5 2 2" xfId="39007"/>
    <cellStyle name="CALC Amount Total [1] 17 5 3" xfId="34661"/>
    <cellStyle name="CALC Amount Total [1] 17 5 4" xfId="39008"/>
    <cellStyle name="CALC Amount Total [1] 17 6" xfId="20161"/>
    <cellStyle name="CALC Amount Total [1] 17 6 2" xfId="28483"/>
    <cellStyle name="CALC Amount Total [1] 17 6 2 2" xfId="39009"/>
    <cellStyle name="CALC Amount Total [1] 17 6 3" xfId="35606"/>
    <cellStyle name="CALC Amount Total [1] 17 6 4" xfId="39010"/>
    <cellStyle name="CALC Amount Total [1] 17 7" xfId="21622"/>
    <cellStyle name="CALC Amount Total [1] 17 7 2" xfId="29923"/>
    <cellStyle name="CALC Amount Total [1] 17 7 2 2" xfId="39011"/>
    <cellStyle name="CALC Amount Total [1] 17 7 3" xfId="36980"/>
    <cellStyle name="CALC Amount Total [1] 17 7 4" xfId="39012"/>
    <cellStyle name="CALC Amount Total [1] 17 8" xfId="22550"/>
    <cellStyle name="CALC Amount Total [1] 17 8 2" xfId="30846"/>
    <cellStyle name="CALC Amount Total [1] 17 8 2 2" xfId="39013"/>
    <cellStyle name="CALC Amount Total [1] 17 8 3" xfId="37863"/>
    <cellStyle name="CALC Amount Total [1] 17 8 4" xfId="39014"/>
    <cellStyle name="CALC Amount Total [1] 17 9" xfId="23492"/>
    <cellStyle name="CALC Amount Total [1] 17 9 2" xfId="39015"/>
    <cellStyle name="CALC Amount Total [1] 18" xfId="15102"/>
    <cellStyle name="CALC Amount Total [1] 18 10" xfId="39016"/>
    <cellStyle name="CALC Amount Total [1] 18 11" xfId="39017"/>
    <cellStyle name="CALC Amount Total [1] 18 2" xfId="16182"/>
    <cellStyle name="CALC Amount Total [1] 18 2 2" xfId="24495"/>
    <cellStyle name="CALC Amount Total [1] 18 2 2 2" xfId="39018"/>
    <cellStyle name="CALC Amount Total [1] 18 2 3" xfId="31772"/>
    <cellStyle name="CALC Amount Total [1] 18 2 4" xfId="39019"/>
    <cellStyle name="CALC Amount Total [1] 18 3" xfId="17148"/>
    <cellStyle name="CALC Amount Total [1] 18 3 2" xfId="25469"/>
    <cellStyle name="CALC Amount Total [1] 18 3 2 2" xfId="39020"/>
    <cellStyle name="CALC Amount Total [1] 18 3 3" xfId="32705"/>
    <cellStyle name="CALC Amount Total [1] 18 3 4" xfId="39021"/>
    <cellStyle name="CALC Amount Total [1] 18 4" xfId="18176"/>
    <cellStyle name="CALC Amount Total [1] 18 4 2" xfId="26496"/>
    <cellStyle name="CALC Amount Total [1] 18 4 2 2" xfId="39022"/>
    <cellStyle name="CALC Amount Total [1] 18 4 3" xfId="33683"/>
    <cellStyle name="CALC Amount Total [1] 18 4 4" xfId="39023"/>
    <cellStyle name="CALC Amount Total [1] 18 5" xfId="19160"/>
    <cellStyle name="CALC Amount Total [1] 18 5 2" xfId="27480"/>
    <cellStyle name="CALC Amount Total [1] 18 5 2 2" xfId="39024"/>
    <cellStyle name="CALC Amount Total [1] 18 5 3" xfId="34628"/>
    <cellStyle name="CALC Amount Total [1] 18 5 4" xfId="39025"/>
    <cellStyle name="CALC Amount Total [1] 18 6" xfId="20128"/>
    <cellStyle name="CALC Amount Total [1] 18 6 2" xfId="28450"/>
    <cellStyle name="CALC Amount Total [1] 18 6 2 2" xfId="39026"/>
    <cellStyle name="CALC Amount Total [1] 18 6 3" xfId="35575"/>
    <cellStyle name="CALC Amount Total [1] 18 6 4" xfId="39027"/>
    <cellStyle name="CALC Amount Total [1] 18 7" xfId="21589"/>
    <cellStyle name="CALC Amount Total [1] 18 7 2" xfId="29890"/>
    <cellStyle name="CALC Amount Total [1] 18 7 2 2" xfId="39028"/>
    <cellStyle name="CALC Amount Total [1] 18 7 3" xfId="36949"/>
    <cellStyle name="CALC Amount Total [1] 18 7 4" xfId="39029"/>
    <cellStyle name="CALC Amount Total [1] 18 8" xfId="22517"/>
    <cellStyle name="CALC Amount Total [1] 18 8 2" xfId="30813"/>
    <cellStyle name="CALC Amount Total [1] 18 8 2 2" xfId="39030"/>
    <cellStyle name="CALC Amount Total [1] 18 8 3" xfId="37832"/>
    <cellStyle name="CALC Amount Total [1] 18 8 4" xfId="39031"/>
    <cellStyle name="CALC Amount Total [1] 18 9" xfId="23459"/>
    <cellStyle name="CALC Amount Total [1] 18 9 2" xfId="39032"/>
    <cellStyle name="CALC Amount Total [1] 19" xfId="15232"/>
    <cellStyle name="CALC Amount Total [1] 19 10" xfId="39033"/>
    <cellStyle name="CALC Amount Total [1] 19 11" xfId="39034"/>
    <cellStyle name="CALC Amount Total [1] 19 2" xfId="16312"/>
    <cellStyle name="CALC Amount Total [1] 19 2 2" xfId="24625"/>
    <cellStyle name="CALC Amount Total [1] 19 2 2 2" xfId="39035"/>
    <cellStyle name="CALC Amount Total [1] 19 2 3" xfId="31892"/>
    <cellStyle name="CALC Amount Total [1] 19 2 4" xfId="39036"/>
    <cellStyle name="CALC Amount Total [1] 19 3" xfId="17278"/>
    <cellStyle name="CALC Amount Total [1] 19 3 2" xfId="25599"/>
    <cellStyle name="CALC Amount Total [1] 19 3 2 2" xfId="39037"/>
    <cellStyle name="CALC Amount Total [1] 19 3 3" xfId="32825"/>
    <cellStyle name="CALC Amount Total [1] 19 3 4" xfId="39038"/>
    <cellStyle name="CALC Amount Total [1] 19 4" xfId="18306"/>
    <cellStyle name="CALC Amount Total [1] 19 4 2" xfId="26626"/>
    <cellStyle name="CALC Amount Total [1] 19 4 2 2" xfId="39039"/>
    <cellStyle name="CALC Amount Total [1] 19 4 3" xfId="33803"/>
    <cellStyle name="CALC Amount Total [1] 19 4 4" xfId="39040"/>
    <cellStyle name="CALC Amount Total [1] 19 5" xfId="19290"/>
    <cellStyle name="CALC Amount Total [1] 19 5 2" xfId="27610"/>
    <cellStyle name="CALC Amount Total [1] 19 5 2 2" xfId="39041"/>
    <cellStyle name="CALC Amount Total [1] 19 5 3" xfId="34758"/>
    <cellStyle name="CALC Amount Total [1] 19 5 4" xfId="39042"/>
    <cellStyle name="CALC Amount Total [1] 19 6" xfId="20258"/>
    <cellStyle name="CALC Amount Total [1] 19 6 2" xfId="28580"/>
    <cellStyle name="CALC Amount Total [1] 19 6 2 2" xfId="39043"/>
    <cellStyle name="CALC Amount Total [1] 19 6 3" xfId="35695"/>
    <cellStyle name="CALC Amount Total [1] 19 6 4" xfId="39044"/>
    <cellStyle name="CALC Amount Total [1] 19 7" xfId="21719"/>
    <cellStyle name="CALC Amount Total [1] 19 7 2" xfId="30020"/>
    <cellStyle name="CALC Amount Total [1] 19 7 2 2" xfId="39045"/>
    <cellStyle name="CALC Amount Total [1] 19 7 3" xfId="37069"/>
    <cellStyle name="CALC Amount Total [1] 19 7 4" xfId="39046"/>
    <cellStyle name="CALC Amount Total [1] 19 8" xfId="22647"/>
    <cellStyle name="CALC Amount Total [1] 19 8 2" xfId="30943"/>
    <cellStyle name="CALC Amount Total [1] 19 8 2 2" xfId="39047"/>
    <cellStyle name="CALC Amount Total [1] 19 8 3" xfId="37952"/>
    <cellStyle name="CALC Amount Total [1] 19 8 4" xfId="39048"/>
    <cellStyle name="CALC Amount Total [1] 19 9" xfId="23589"/>
    <cellStyle name="CALC Amount Total [1] 19 9 2" xfId="39049"/>
    <cellStyle name="CALC Amount Total [1] 2" xfId="14453"/>
    <cellStyle name="CALC Amount Total [1] 2 10" xfId="14767"/>
    <cellStyle name="CALC Amount Total [1] 2 10 10" xfId="23131"/>
    <cellStyle name="CALC Amount Total [1] 2 10 10 2" xfId="39050"/>
    <cellStyle name="CALC Amount Total [1] 2 10 11" xfId="39051"/>
    <cellStyle name="CALC Amount Total [1] 2 10 12" xfId="39052"/>
    <cellStyle name="CALC Amount Total [1] 2 10 2" xfId="15848"/>
    <cellStyle name="CALC Amount Total [1] 2 10 2 2" xfId="24166"/>
    <cellStyle name="CALC Amount Total [1] 2 10 2 2 2" xfId="39053"/>
    <cellStyle name="CALC Amount Total [1] 2 10 2 3" xfId="31454"/>
    <cellStyle name="CALC Amount Total [1] 2 10 2 4" xfId="39054"/>
    <cellStyle name="CALC Amount Total [1] 2 10 3" xfId="16814"/>
    <cellStyle name="CALC Amount Total [1] 2 10 3 2" xfId="25138"/>
    <cellStyle name="CALC Amount Total [1] 2 10 3 2 2" xfId="39055"/>
    <cellStyle name="CALC Amount Total [1] 2 10 3 3" xfId="32387"/>
    <cellStyle name="CALC Amount Total [1] 2 10 3 4" xfId="39056"/>
    <cellStyle name="CALC Amount Total [1] 2 10 4" xfId="17840"/>
    <cellStyle name="CALC Amount Total [1] 2 10 4 2" xfId="26164"/>
    <cellStyle name="CALC Amount Total [1] 2 10 4 2 2" xfId="39057"/>
    <cellStyle name="CALC Amount Total [1] 2 10 4 3" xfId="33364"/>
    <cellStyle name="CALC Amount Total [1] 2 10 4 4" xfId="39058"/>
    <cellStyle name="CALC Amount Total [1] 2 10 5" xfId="18824"/>
    <cellStyle name="CALC Amount Total [1] 2 10 5 2" xfId="27145"/>
    <cellStyle name="CALC Amount Total [1] 2 10 5 2 2" xfId="39059"/>
    <cellStyle name="CALC Amount Total [1] 2 10 5 3" xfId="34304"/>
    <cellStyle name="CALC Amount Total [1] 2 10 5 4" xfId="39060"/>
    <cellStyle name="CALC Amount Total [1] 2 10 6" xfId="19792"/>
    <cellStyle name="CALC Amount Total [1] 2 10 6 2" xfId="28114"/>
    <cellStyle name="CALC Amount Total [1] 2 10 6 2 2" xfId="39061"/>
    <cellStyle name="CALC Amount Total [1] 2 10 6 3" xfId="35250"/>
    <cellStyle name="CALC Amount Total [1] 2 10 6 4" xfId="39062"/>
    <cellStyle name="CALC Amount Total [1] 2 10 7" xfId="20750"/>
    <cellStyle name="CALC Amount Total [1] 2 10 7 2" xfId="29071"/>
    <cellStyle name="CALC Amount Total [1] 2 10 7 2 2" xfId="39063"/>
    <cellStyle name="CALC Amount Total [1] 2 10 7 3" xfId="36163"/>
    <cellStyle name="CALC Amount Total [1] 2 10 7 4" xfId="39064"/>
    <cellStyle name="CALC Amount Total [1] 2 10 8" xfId="21283"/>
    <cellStyle name="CALC Amount Total [1] 2 10 8 2" xfId="29590"/>
    <cellStyle name="CALC Amount Total [1] 2 10 8 2 2" xfId="39065"/>
    <cellStyle name="CALC Amount Total [1] 2 10 8 3" xfId="36657"/>
    <cellStyle name="CALC Amount Total [1] 2 10 8 4" xfId="39066"/>
    <cellStyle name="CALC Amount Total [1] 2 10 9" xfId="22186"/>
    <cellStyle name="CALC Amount Total [1] 2 10 9 2" xfId="30484"/>
    <cellStyle name="CALC Amount Total [1] 2 10 9 2 2" xfId="39067"/>
    <cellStyle name="CALC Amount Total [1] 2 10 9 3" xfId="37515"/>
    <cellStyle name="CALC Amount Total [1] 2 10 9 4" xfId="39068"/>
    <cellStyle name="CALC Amount Total [1] 2 11" xfId="14877"/>
    <cellStyle name="CALC Amount Total [1] 2 11 10" xfId="23240"/>
    <cellStyle name="CALC Amount Total [1] 2 11 10 2" xfId="39069"/>
    <cellStyle name="CALC Amount Total [1] 2 11 11" xfId="39070"/>
    <cellStyle name="CALC Amount Total [1] 2 11 12" xfId="39071"/>
    <cellStyle name="CALC Amount Total [1] 2 11 2" xfId="15958"/>
    <cellStyle name="CALC Amount Total [1] 2 11 2 2" xfId="24275"/>
    <cellStyle name="CALC Amount Total [1] 2 11 2 2 2" xfId="39072"/>
    <cellStyle name="CALC Amount Total [1] 2 11 2 3" xfId="31558"/>
    <cellStyle name="CALC Amount Total [1] 2 11 2 4" xfId="39073"/>
    <cellStyle name="CALC Amount Total [1] 2 11 3" xfId="16924"/>
    <cellStyle name="CALC Amount Total [1] 2 11 3 2" xfId="25247"/>
    <cellStyle name="CALC Amount Total [1] 2 11 3 2 2" xfId="39074"/>
    <cellStyle name="CALC Amount Total [1] 2 11 3 3" xfId="32491"/>
    <cellStyle name="CALC Amount Total [1] 2 11 3 4" xfId="39075"/>
    <cellStyle name="CALC Amount Total [1] 2 11 4" xfId="17951"/>
    <cellStyle name="CALC Amount Total [1] 2 11 4 2" xfId="26273"/>
    <cellStyle name="CALC Amount Total [1] 2 11 4 2 2" xfId="39076"/>
    <cellStyle name="CALC Amount Total [1] 2 11 4 3" xfId="33468"/>
    <cellStyle name="CALC Amount Total [1] 2 11 4 4" xfId="39077"/>
    <cellStyle name="CALC Amount Total [1] 2 11 5" xfId="18935"/>
    <cellStyle name="CALC Amount Total [1] 2 11 5 2" xfId="27255"/>
    <cellStyle name="CALC Amount Total [1] 2 11 5 2 2" xfId="39078"/>
    <cellStyle name="CALC Amount Total [1] 2 11 5 3" xfId="34409"/>
    <cellStyle name="CALC Amount Total [1] 2 11 5 4" xfId="39079"/>
    <cellStyle name="CALC Amount Total [1] 2 11 6" xfId="19903"/>
    <cellStyle name="CALC Amount Total [1] 2 11 6 2" xfId="28225"/>
    <cellStyle name="CALC Amount Total [1] 2 11 6 2 2" xfId="39080"/>
    <cellStyle name="CALC Amount Total [1] 2 11 6 3" xfId="35356"/>
    <cellStyle name="CALC Amount Total [1] 2 11 6 4" xfId="39081"/>
    <cellStyle name="CALC Amount Total [1] 2 11 7" xfId="20861"/>
    <cellStyle name="CALC Amount Total [1] 2 11 7 2" xfId="29180"/>
    <cellStyle name="CALC Amount Total [1] 2 11 7 2 2" xfId="39082"/>
    <cellStyle name="CALC Amount Total [1] 2 11 7 3" xfId="36266"/>
    <cellStyle name="CALC Amount Total [1] 2 11 7 4" xfId="39083"/>
    <cellStyle name="CALC Amount Total [1] 2 11 8" xfId="18543"/>
    <cellStyle name="CALC Amount Total [1] 2 11 8 2" xfId="26860"/>
    <cellStyle name="CALC Amount Total [1] 2 11 8 2 2" xfId="39084"/>
    <cellStyle name="CALC Amount Total [1] 2 11 8 3" xfId="34030"/>
    <cellStyle name="CALC Amount Total [1] 2 11 8 4" xfId="39085"/>
    <cellStyle name="CALC Amount Total [1] 2 11 9" xfId="22296"/>
    <cellStyle name="CALC Amount Total [1] 2 11 9 2" xfId="30594"/>
    <cellStyle name="CALC Amount Total [1] 2 11 9 2 2" xfId="39086"/>
    <cellStyle name="CALC Amount Total [1] 2 11 9 3" xfId="37619"/>
    <cellStyle name="CALC Amount Total [1] 2 11 9 4" xfId="39087"/>
    <cellStyle name="CALC Amount Total [1] 2 12" xfId="14893"/>
    <cellStyle name="CALC Amount Total [1] 2 12 10" xfId="23256"/>
    <cellStyle name="CALC Amount Total [1] 2 12 10 2" xfId="39088"/>
    <cellStyle name="CALC Amount Total [1] 2 12 11" xfId="39089"/>
    <cellStyle name="CALC Amount Total [1] 2 12 12" xfId="39090"/>
    <cellStyle name="CALC Amount Total [1] 2 12 2" xfId="15974"/>
    <cellStyle name="CALC Amount Total [1] 2 12 2 2" xfId="24291"/>
    <cellStyle name="CALC Amount Total [1] 2 12 2 2 2" xfId="39091"/>
    <cellStyle name="CALC Amount Total [1] 2 12 2 3" xfId="31572"/>
    <cellStyle name="CALC Amount Total [1] 2 12 2 4" xfId="39092"/>
    <cellStyle name="CALC Amount Total [1] 2 12 3" xfId="16940"/>
    <cellStyle name="CALC Amount Total [1] 2 12 3 2" xfId="25263"/>
    <cellStyle name="CALC Amount Total [1] 2 12 3 2 2" xfId="39093"/>
    <cellStyle name="CALC Amount Total [1] 2 12 3 3" xfId="32505"/>
    <cellStyle name="CALC Amount Total [1] 2 12 3 4" xfId="39094"/>
    <cellStyle name="CALC Amount Total [1] 2 12 4" xfId="17967"/>
    <cellStyle name="CALC Amount Total [1] 2 12 4 2" xfId="26289"/>
    <cellStyle name="CALC Amount Total [1] 2 12 4 2 2" xfId="39095"/>
    <cellStyle name="CALC Amount Total [1] 2 12 4 3" xfId="33482"/>
    <cellStyle name="CALC Amount Total [1] 2 12 4 4" xfId="39096"/>
    <cellStyle name="CALC Amount Total [1] 2 12 5" xfId="18951"/>
    <cellStyle name="CALC Amount Total [1] 2 12 5 2" xfId="27271"/>
    <cellStyle name="CALC Amount Total [1] 2 12 5 2 2" xfId="39097"/>
    <cellStyle name="CALC Amount Total [1] 2 12 5 3" xfId="34423"/>
    <cellStyle name="CALC Amount Total [1] 2 12 5 4" xfId="39098"/>
    <cellStyle name="CALC Amount Total [1] 2 12 6" xfId="19919"/>
    <cellStyle name="CALC Amount Total [1] 2 12 6 2" xfId="28241"/>
    <cellStyle name="CALC Amount Total [1] 2 12 6 2 2" xfId="39099"/>
    <cellStyle name="CALC Amount Total [1] 2 12 6 3" xfId="35370"/>
    <cellStyle name="CALC Amount Total [1] 2 12 6 4" xfId="39100"/>
    <cellStyle name="CALC Amount Total [1] 2 12 7" xfId="20877"/>
    <cellStyle name="CALC Amount Total [1] 2 12 7 2" xfId="29196"/>
    <cellStyle name="CALC Amount Total [1] 2 12 7 2 2" xfId="39101"/>
    <cellStyle name="CALC Amount Total [1] 2 12 7 3" xfId="36280"/>
    <cellStyle name="CALC Amount Total [1] 2 12 7 4" xfId="39102"/>
    <cellStyle name="CALC Amount Total [1] 2 12 8" xfId="21384"/>
    <cellStyle name="CALC Amount Total [1] 2 12 8 2" xfId="29687"/>
    <cellStyle name="CALC Amount Total [1] 2 12 8 2 2" xfId="39103"/>
    <cellStyle name="CALC Amount Total [1] 2 12 8 3" xfId="36750"/>
    <cellStyle name="CALC Amount Total [1] 2 12 8 4" xfId="39104"/>
    <cellStyle name="CALC Amount Total [1] 2 12 9" xfId="22312"/>
    <cellStyle name="CALC Amount Total [1] 2 12 9 2" xfId="30610"/>
    <cellStyle name="CALC Amount Total [1] 2 12 9 2 2" xfId="39105"/>
    <cellStyle name="CALC Amount Total [1] 2 12 9 3" xfId="37633"/>
    <cellStyle name="CALC Amount Total [1] 2 12 9 4" xfId="39106"/>
    <cellStyle name="CALC Amount Total [1] 2 13" xfId="14944"/>
    <cellStyle name="CALC Amount Total [1] 2 13 10" xfId="23307"/>
    <cellStyle name="CALC Amount Total [1] 2 13 10 2" xfId="39107"/>
    <cellStyle name="CALC Amount Total [1] 2 13 11" xfId="39108"/>
    <cellStyle name="CALC Amount Total [1] 2 13 12" xfId="39109"/>
    <cellStyle name="CALC Amount Total [1] 2 13 2" xfId="16025"/>
    <cellStyle name="CALC Amount Total [1] 2 13 2 2" xfId="24342"/>
    <cellStyle name="CALC Amount Total [1] 2 13 2 2 2" xfId="39110"/>
    <cellStyle name="CALC Amount Total [1] 2 13 2 3" xfId="31622"/>
    <cellStyle name="CALC Amount Total [1] 2 13 2 4" xfId="39111"/>
    <cellStyle name="CALC Amount Total [1] 2 13 3" xfId="16991"/>
    <cellStyle name="CALC Amount Total [1] 2 13 3 2" xfId="25314"/>
    <cellStyle name="CALC Amount Total [1] 2 13 3 2 2" xfId="39112"/>
    <cellStyle name="CALC Amount Total [1] 2 13 3 3" xfId="32555"/>
    <cellStyle name="CALC Amount Total [1] 2 13 3 4" xfId="39113"/>
    <cellStyle name="CALC Amount Total [1] 2 13 4" xfId="18018"/>
    <cellStyle name="CALC Amount Total [1] 2 13 4 2" xfId="26340"/>
    <cellStyle name="CALC Amount Total [1] 2 13 4 2 2" xfId="39114"/>
    <cellStyle name="CALC Amount Total [1] 2 13 4 3" xfId="33532"/>
    <cellStyle name="CALC Amount Total [1] 2 13 4 4" xfId="39115"/>
    <cellStyle name="CALC Amount Total [1] 2 13 5" xfId="19002"/>
    <cellStyle name="CALC Amount Total [1] 2 13 5 2" xfId="27322"/>
    <cellStyle name="CALC Amount Total [1] 2 13 5 2 2" xfId="39116"/>
    <cellStyle name="CALC Amount Total [1] 2 13 5 3" xfId="34473"/>
    <cellStyle name="CALC Amount Total [1] 2 13 5 4" xfId="39117"/>
    <cellStyle name="CALC Amount Total [1] 2 13 6" xfId="19970"/>
    <cellStyle name="CALC Amount Total [1] 2 13 6 2" xfId="28292"/>
    <cellStyle name="CALC Amount Total [1] 2 13 6 2 2" xfId="39118"/>
    <cellStyle name="CALC Amount Total [1] 2 13 6 3" xfId="35420"/>
    <cellStyle name="CALC Amount Total [1] 2 13 6 4" xfId="39119"/>
    <cellStyle name="CALC Amount Total [1] 2 13 7" xfId="20928"/>
    <cellStyle name="CALC Amount Total [1] 2 13 7 2" xfId="29247"/>
    <cellStyle name="CALC Amount Total [1] 2 13 7 2 2" xfId="39120"/>
    <cellStyle name="CALC Amount Total [1] 2 13 7 3" xfId="36330"/>
    <cellStyle name="CALC Amount Total [1] 2 13 7 4" xfId="39121"/>
    <cellStyle name="CALC Amount Total [1] 2 13 8" xfId="21435"/>
    <cellStyle name="CALC Amount Total [1] 2 13 8 2" xfId="29738"/>
    <cellStyle name="CALC Amount Total [1] 2 13 8 2 2" xfId="39122"/>
    <cellStyle name="CALC Amount Total [1] 2 13 8 3" xfId="36800"/>
    <cellStyle name="CALC Amount Total [1] 2 13 8 4" xfId="39123"/>
    <cellStyle name="CALC Amount Total [1] 2 13 9" xfId="22363"/>
    <cellStyle name="CALC Amount Total [1] 2 13 9 2" xfId="30661"/>
    <cellStyle name="CALC Amount Total [1] 2 13 9 2 2" xfId="39124"/>
    <cellStyle name="CALC Amount Total [1] 2 13 9 3" xfId="37683"/>
    <cellStyle name="CALC Amount Total [1] 2 13 9 4" xfId="39125"/>
    <cellStyle name="CALC Amount Total [1] 2 14" xfId="15009"/>
    <cellStyle name="CALC Amount Total [1] 2 14 10" xfId="23370"/>
    <cellStyle name="CALC Amount Total [1] 2 14 10 2" xfId="39126"/>
    <cellStyle name="CALC Amount Total [1] 2 14 11" xfId="39127"/>
    <cellStyle name="CALC Amount Total [1] 2 14 12" xfId="39128"/>
    <cellStyle name="CALC Amount Total [1] 2 14 2" xfId="16090"/>
    <cellStyle name="CALC Amount Total [1] 2 14 2 2" xfId="24405"/>
    <cellStyle name="CALC Amount Total [1] 2 14 2 2 2" xfId="39129"/>
    <cellStyle name="CALC Amount Total [1] 2 14 2 3" xfId="31684"/>
    <cellStyle name="CALC Amount Total [1] 2 14 2 4" xfId="39130"/>
    <cellStyle name="CALC Amount Total [1] 2 14 3" xfId="17056"/>
    <cellStyle name="CALC Amount Total [1] 2 14 3 2" xfId="25377"/>
    <cellStyle name="CALC Amount Total [1] 2 14 3 2 2" xfId="39131"/>
    <cellStyle name="CALC Amount Total [1] 2 14 3 3" xfId="32617"/>
    <cellStyle name="CALC Amount Total [1] 2 14 3 4" xfId="39132"/>
    <cellStyle name="CALC Amount Total [1] 2 14 4" xfId="18083"/>
    <cellStyle name="CALC Amount Total [1] 2 14 4 2" xfId="26403"/>
    <cellStyle name="CALC Amount Total [1] 2 14 4 2 2" xfId="39133"/>
    <cellStyle name="CALC Amount Total [1] 2 14 4 3" xfId="33594"/>
    <cellStyle name="CALC Amount Total [1] 2 14 4 4" xfId="39134"/>
    <cellStyle name="CALC Amount Total [1] 2 14 5" xfId="19067"/>
    <cellStyle name="CALC Amount Total [1] 2 14 5 2" xfId="27387"/>
    <cellStyle name="CALC Amount Total [1] 2 14 5 2 2" xfId="39135"/>
    <cellStyle name="CALC Amount Total [1] 2 14 5 3" xfId="34537"/>
    <cellStyle name="CALC Amount Total [1] 2 14 5 4" xfId="39136"/>
    <cellStyle name="CALC Amount Total [1] 2 14 6" xfId="20035"/>
    <cellStyle name="CALC Amount Total [1] 2 14 6 2" xfId="28357"/>
    <cellStyle name="CALC Amount Total [1] 2 14 6 2 2" xfId="39137"/>
    <cellStyle name="CALC Amount Total [1] 2 14 6 3" xfId="35484"/>
    <cellStyle name="CALC Amount Total [1] 2 14 6 4" xfId="39138"/>
    <cellStyle name="CALC Amount Total [1] 2 14 7" xfId="20993"/>
    <cellStyle name="CALC Amount Total [1] 2 14 7 2" xfId="29310"/>
    <cellStyle name="CALC Amount Total [1] 2 14 7 2 2" xfId="39139"/>
    <cellStyle name="CALC Amount Total [1] 2 14 7 3" xfId="36392"/>
    <cellStyle name="CALC Amount Total [1] 2 14 7 4" xfId="39140"/>
    <cellStyle name="CALC Amount Total [1] 2 14 8" xfId="21500"/>
    <cellStyle name="CALC Amount Total [1] 2 14 8 2" xfId="29801"/>
    <cellStyle name="CALC Amount Total [1] 2 14 8 2 2" xfId="39141"/>
    <cellStyle name="CALC Amount Total [1] 2 14 8 3" xfId="36862"/>
    <cellStyle name="CALC Amount Total [1] 2 14 8 4" xfId="39142"/>
    <cellStyle name="CALC Amount Total [1] 2 14 9" xfId="22428"/>
    <cellStyle name="CALC Amount Total [1] 2 14 9 2" xfId="30724"/>
    <cellStyle name="CALC Amount Total [1] 2 14 9 2 2" xfId="39143"/>
    <cellStyle name="CALC Amount Total [1] 2 14 9 3" xfId="37745"/>
    <cellStyle name="CALC Amount Total [1] 2 14 9 4" xfId="39144"/>
    <cellStyle name="CALC Amount Total [1] 2 15" xfId="15057"/>
    <cellStyle name="CALC Amount Total [1] 2 15 10" xfId="23417"/>
    <cellStyle name="CALC Amount Total [1] 2 15 10 2" xfId="39145"/>
    <cellStyle name="CALC Amount Total [1] 2 15 11" xfId="39146"/>
    <cellStyle name="CALC Amount Total [1] 2 15 12" xfId="39147"/>
    <cellStyle name="CALC Amount Total [1] 2 15 2" xfId="16137"/>
    <cellStyle name="CALC Amount Total [1] 2 15 2 2" xfId="24452"/>
    <cellStyle name="CALC Amount Total [1] 2 15 2 2 2" xfId="39148"/>
    <cellStyle name="CALC Amount Total [1] 2 15 2 3" xfId="31729"/>
    <cellStyle name="CALC Amount Total [1] 2 15 2 4" xfId="39149"/>
    <cellStyle name="CALC Amount Total [1] 2 15 3" xfId="17104"/>
    <cellStyle name="CALC Amount Total [1] 2 15 3 2" xfId="25425"/>
    <cellStyle name="CALC Amount Total [1] 2 15 3 2 2" xfId="39150"/>
    <cellStyle name="CALC Amount Total [1] 2 15 3 3" xfId="32663"/>
    <cellStyle name="CALC Amount Total [1] 2 15 3 4" xfId="39151"/>
    <cellStyle name="CALC Amount Total [1] 2 15 4" xfId="18131"/>
    <cellStyle name="CALC Amount Total [1] 2 15 4 2" xfId="26451"/>
    <cellStyle name="CALC Amount Total [1] 2 15 4 2 2" xfId="39152"/>
    <cellStyle name="CALC Amount Total [1] 2 15 4 3" xfId="33640"/>
    <cellStyle name="CALC Amount Total [1] 2 15 4 4" xfId="39153"/>
    <cellStyle name="CALC Amount Total [1] 2 15 5" xfId="19115"/>
    <cellStyle name="CALC Amount Total [1] 2 15 5 2" xfId="27435"/>
    <cellStyle name="CALC Amount Total [1] 2 15 5 2 2" xfId="39154"/>
    <cellStyle name="CALC Amount Total [1] 2 15 5 3" xfId="34583"/>
    <cellStyle name="CALC Amount Total [1] 2 15 5 4" xfId="39155"/>
    <cellStyle name="CALC Amount Total [1] 2 15 6" xfId="20083"/>
    <cellStyle name="CALC Amount Total [1] 2 15 6 2" xfId="28405"/>
    <cellStyle name="CALC Amount Total [1] 2 15 6 2 2" xfId="39156"/>
    <cellStyle name="CALC Amount Total [1] 2 15 6 3" xfId="35530"/>
    <cellStyle name="CALC Amount Total [1] 2 15 6 4" xfId="39157"/>
    <cellStyle name="CALC Amount Total [1] 2 15 7" xfId="21040"/>
    <cellStyle name="CALC Amount Total [1] 2 15 7 2" xfId="29357"/>
    <cellStyle name="CALC Amount Total [1] 2 15 7 2 2" xfId="39158"/>
    <cellStyle name="CALC Amount Total [1] 2 15 7 3" xfId="36437"/>
    <cellStyle name="CALC Amount Total [1] 2 15 7 4" xfId="39159"/>
    <cellStyle name="CALC Amount Total [1] 2 15 8" xfId="21547"/>
    <cellStyle name="CALC Amount Total [1] 2 15 8 2" xfId="29848"/>
    <cellStyle name="CALC Amount Total [1] 2 15 8 2 2" xfId="39160"/>
    <cellStyle name="CALC Amount Total [1] 2 15 8 3" xfId="36907"/>
    <cellStyle name="CALC Amount Total [1] 2 15 8 4" xfId="39161"/>
    <cellStyle name="CALC Amount Total [1] 2 15 9" xfId="22475"/>
    <cellStyle name="CALC Amount Total [1] 2 15 9 2" xfId="30771"/>
    <cellStyle name="CALC Amount Total [1] 2 15 9 2 2" xfId="39162"/>
    <cellStyle name="CALC Amount Total [1] 2 15 9 3" xfId="37790"/>
    <cellStyle name="CALC Amount Total [1] 2 15 9 4" xfId="39163"/>
    <cellStyle name="CALC Amount Total [1] 2 16" xfId="15142"/>
    <cellStyle name="CALC Amount Total [1] 2 16 10" xfId="39164"/>
    <cellStyle name="CALC Amount Total [1] 2 16 11" xfId="39165"/>
    <cellStyle name="CALC Amount Total [1] 2 16 2" xfId="16222"/>
    <cellStyle name="CALC Amount Total [1] 2 16 2 2" xfId="24535"/>
    <cellStyle name="CALC Amount Total [1] 2 16 2 2 2" xfId="39166"/>
    <cellStyle name="CALC Amount Total [1] 2 16 2 3" xfId="31810"/>
    <cellStyle name="CALC Amount Total [1] 2 16 2 4" xfId="39167"/>
    <cellStyle name="CALC Amount Total [1] 2 16 3" xfId="17188"/>
    <cellStyle name="CALC Amount Total [1] 2 16 3 2" xfId="25509"/>
    <cellStyle name="CALC Amount Total [1] 2 16 3 2 2" xfId="39168"/>
    <cellStyle name="CALC Amount Total [1] 2 16 3 3" xfId="32743"/>
    <cellStyle name="CALC Amount Total [1] 2 16 3 4" xfId="39169"/>
    <cellStyle name="CALC Amount Total [1] 2 16 4" xfId="18216"/>
    <cellStyle name="CALC Amount Total [1] 2 16 4 2" xfId="26536"/>
    <cellStyle name="CALC Amount Total [1] 2 16 4 2 2" xfId="39170"/>
    <cellStyle name="CALC Amount Total [1] 2 16 4 3" xfId="33721"/>
    <cellStyle name="CALC Amount Total [1] 2 16 4 4" xfId="39171"/>
    <cellStyle name="CALC Amount Total [1] 2 16 5" xfId="19200"/>
    <cellStyle name="CALC Amount Total [1] 2 16 5 2" xfId="27520"/>
    <cellStyle name="CALC Amount Total [1] 2 16 5 2 2" xfId="39172"/>
    <cellStyle name="CALC Amount Total [1] 2 16 5 3" xfId="34668"/>
    <cellStyle name="CALC Amount Total [1] 2 16 5 4" xfId="39173"/>
    <cellStyle name="CALC Amount Total [1] 2 16 6" xfId="20168"/>
    <cellStyle name="CALC Amount Total [1] 2 16 6 2" xfId="28490"/>
    <cellStyle name="CALC Amount Total [1] 2 16 6 2 2" xfId="39174"/>
    <cellStyle name="CALC Amount Total [1] 2 16 6 3" xfId="35613"/>
    <cellStyle name="CALC Amount Total [1] 2 16 6 4" xfId="39175"/>
    <cellStyle name="CALC Amount Total [1] 2 16 7" xfId="21629"/>
    <cellStyle name="CALC Amount Total [1] 2 16 7 2" xfId="29930"/>
    <cellStyle name="CALC Amount Total [1] 2 16 7 2 2" xfId="39176"/>
    <cellStyle name="CALC Amount Total [1] 2 16 7 3" xfId="36987"/>
    <cellStyle name="CALC Amount Total [1] 2 16 7 4" xfId="39177"/>
    <cellStyle name="CALC Amount Total [1] 2 16 8" xfId="22557"/>
    <cellStyle name="CALC Amount Total [1] 2 16 8 2" xfId="30853"/>
    <cellStyle name="CALC Amount Total [1] 2 16 8 2 2" xfId="39178"/>
    <cellStyle name="CALC Amount Total [1] 2 16 8 3" xfId="37870"/>
    <cellStyle name="CALC Amount Total [1] 2 16 8 4" xfId="39179"/>
    <cellStyle name="CALC Amount Total [1] 2 16 9" xfId="23499"/>
    <cellStyle name="CALC Amount Total [1] 2 16 9 2" xfId="39180"/>
    <cellStyle name="CALC Amount Total [1] 2 17" xfId="15162"/>
    <cellStyle name="CALC Amount Total [1] 2 17 10" xfId="39181"/>
    <cellStyle name="CALC Amount Total [1] 2 17 11" xfId="39182"/>
    <cellStyle name="CALC Amount Total [1] 2 17 2" xfId="16242"/>
    <cellStyle name="CALC Amount Total [1] 2 17 2 2" xfId="24555"/>
    <cellStyle name="CALC Amount Total [1] 2 17 2 2 2" xfId="39183"/>
    <cellStyle name="CALC Amount Total [1] 2 17 2 3" xfId="31828"/>
    <cellStyle name="CALC Amount Total [1] 2 17 2 4" xfId="39184"/>
    <cellStyle name="CALC Amount Total [1] 2 17 3" xfId="17208"/>
    <cellStyle name="CALC Amount Total [1] 2 17 3 2" xfId="25529"/>
    <cellStyle name="CALC Amount Total [1] 2 17 3 2 2" xfId="39185"/>
    <cellStyle name="CALC Amount Total [1] 2 17 3 3" xfId="32761"/>
    <cellStyle name="CALC Amount Total [1] 2 17 3 4" xfId="39186"/>
    <cellStyle name="CALC Amount Total [1] 2 17 4" xfId="18236"/>
    <cellStyle name="CALC Amount Total [1] 2 17 4 2" xfId="26556"/>
    <cellStyle name="CALC Amount Total [1] 2 17 4 2 2" xfId="39187"/>
    <cellStyle name="CALC Amount Total [1] 2 17 4 3" xfId="33739"/>
    <cellStyle name="CALC Amount Total [1] 2 17 4 4" xfId="39188"/>
    <cellStyle name="CALC Amount Total [1] 2 17 5" xfId="19220"/>
    <cellStyle name="CALC Amount Total [1] 2 17 5 2" xfId="27540"/>
    <cellStyle name="CALC Amount Total [1] 2 17 5 2 2" xfId="39189"/>
    <cellStyle name="CALC Amount Total [1] 2 17 5 3" xfId="34688"/>
    <cellStyle name="CALC Amount Total [1] 2 17 5 4" xfId="39190"/>
    <cellStyle name="CALC Amount Total [1] 2 17 6" xfId="20188"/>
    <cellStyle name="CALC Amount Total [1] 2 17 6 2" xfId="28510"/>
    <cellStyle name="CALC Amount Total [1] 2 17 6 2 2" xfId="39191"/>
    <cellStyle name="CALC Amount Total [1] 2 17 6 3" xfId="35631"/>
    <cellStyle name="CALC Amount Total [1] 2 17 6 4" xfId="39192"/>
    <cellStyle name="CALC Amount Total [1] 2 17 7" xfId="21649"/>
    <cellStyle name="CALC Amount Total [1] 2 17 7 2" xfId="29950"/>
    <cellStyle name="CALC Amount Total [1] 2 17 7 2 2" xfId="39193"/>
    <cellStyle name="CALC Amount Total [1] 2 17 7 3" xfId="37005"/>
    <cellStyle name="CALC Amount Total [1] 2 17 7 4" xfId="39194"/>
    <cellStyle name="CALC Amount Total [1] 2 17 8" xfId="22577"/>
    <cellStyle name="CALC Amount Total [1] 2 17 8 2" xfId="30873"/>
    <cellStyle name="CALC Amount Total [1] 2 17 8 2 2" xfId="39195"/>
    <cellStyle name="CALC Amount Total [1] 2 17 8 3" xfId="37888"/>
    <cellStyle name="CALC Amount Total [1] 2 17 8 4" xfId="39196"/>
    <cellStyle name="CALC Amount Total [1] 2 17 9" xfId="23519"/>
    <cellStyle name="CALC Amount Total [1] 2 17 9 2" xfId="39197"/>
    <cellStyle name="CALC Amount Total [1] 2 18" xfId="15153"/>
    <cellStyle name="CALC Amount Total [1] 2 18 10" xfId="39198"/>
    <cellStyle name="CALC Amount Total [1] 2 18 11" xfId="39199"/>
    <cellStyle name="CALC Amount Total [1] 2 18 2" xfId="16233"/>
    <cellStyle name="CALC Amount Total [1] 2 18 2 2" xfId="24546"/>
    <cellStyle name="CALC Amount Total [1] 2 18 2 2 2" xfId="39200"/>
    <cellStyle name="CALC Amount Total [1] 2 18 2 3" xfId="31820"/>
    <cellStyle name="CALC Amount Total [1] 2 18 2 4" xfId="39201"/>
    <cellStyle name="CALC Amount Total [1] 2 18 3" xfId="17199"/>
    <cellStyle name="CALC Amount Total [1] 2 18 3 2" xfId="25520"/>
    <cellStyle name="CALC Amount Total [1] 2 18 3 2 2" xfId="39202"/>
    <cellStyle name="CALC Amount Total [1] 2 18 3 3" xfId="32753"/>
    <cellStyle name="CALC Amount Total [1] 2 18 3 4" xfId="39203"/>
    <cellStyle name="CALC Amount Total [1] 2 18 4" xfId="18227"/>
    <cellStyle name="CALC Amount Total [1] 2 18 4 2" xfId="26547"/>
    <cellStyle name="CALC Amount Total [1] 2 18 4 2 2" xfId="39204"/>
    <cellStyle name="CALC Amount Total [1] 2 18 4 3" xfId="33731"/>
    <cellStyle name="CALC Amount Total [1] 2 18 4 4" xfId="39205"/>
    <cellStyle name="CALC Amount Total [1] 2 18 5" xfId="19211"/>
    <cellStyle name="CALC Amount Total [1] 2 18 5 2" xfId="27531"/>
    <cellStyle name="CALC Amount Total [1] 2 18 5 2 2" xfId="39206"/>
    <cellStyle name="CALC Amount Total [1] 2 18 5 3" xfId="34679"/>
    <cellStyle name="CALC Amount Total [1] 2 18 5 4" xfId="39207"/>
    <cellStyle name="CALC Amount Total [1] 2 18 6" xfId="20179"/>
    <cellStyle name="CALC Amount Total [1] 2 18 6 2" xfId="28501"/>
    <cellStyle name="CALC Amount Total [1] 2 18 6 2 2" xfId="39208"/>
    <cellStyle name="CALC Amount Total [1] 2 18 6 3" xfId="35623"/>
    <cellStyle name="CALC Amount Total [1] 2 18 6 4" xfId="39209"/>
    <cellStyle name="CALC Amount Total [1] 2 18 7" xfId="21640"/>
    <cellStyle name="CALC Amount Total [1] 2 18 7 2" xfId="29941"/>
    <cellStyle name="CALC Amount Total [1] 2 18 7 2 2" xfId="39210"/>
    <cellStyle name="CALC Amount Total [1] 2 18 7 3" xfId="36997"/>
    <cellStyle name="CALC Amount Total [1] 2 18 7 4" xfId="39211"/>
    <cellStyle name="CALC Amount Total [1] 2 18 8" xfId="22568"/>
    <cellStyle name="CALC Amount Total [1] 2 18 8 2" xfId="30864"/>
    <cellStyle name="CALC Amount Total [1] 2 18 8 2 2" xfId="39212"/>
    <cellStyle name="CALC Amount Total [1] 2 18 8 3" xfId="37880"/>
    <cellStyle name="CALC Amount Total [1] 2 18 8 4" xfId="39213"/>
    <cellStyle name="CALC Amount Total [1] 2 18 9" xfId="23510"/>
    <cellStyle name="CALC Amount Total [1] 2 18 9 2" xfId="39214"/>
    <cellStyle name="CALC Amount Total [1] 2 19" xfId="15200"/>
    <cellStyle name="CALC Amount Total [1] 2 19 10" xfId="39215"/>
    <cellStyle name="CALC Amount Total [1] 2 19 11" xfId="39216"/>
    <cellStyle name="CALC Amount Total [1] 2 19 2" xfId="16280"/>
    <cellStyle name="CALC Amount Total [1] 2 19 2 2" xfId="24593"/>
    <cellStyle name="CALC Amount Total [1] 2 19 2 2 2" xfId="39217"/>
    <cellStyle name="CALC Amount Total [1] 2 19 2 3" xfId="31863"/>
    <cellStyle name="CALC Amount Total [1] 2 19 2 4" xfId="39218"/>
    <cellStyle name="CALC Amount Total [1] 2 19 3" xfId="17246"/>
    <cellStyle name="CALC Amount Total [1] 2 19 3 2" xfId="25567"/>
    <cellStyle name="CALC Amount Total [1] 2 19 3 2 2" xfId="39219"/>
    <cellStyle name="CALC Amount Total [1] 2 19 3 3" xfId="32796"/>
    <cellStyle name="CALC Amount Total [1] 2 19 3 4" xfId="39220"/>
    <cellStyle name="CALC Amount Total [1] 2 19 4" xfId="18274"/>
    <cellStyle name="CALC Amount Total [1] 2 19 4 2" xfId="26594"/>
    <cellStyle name="CALC Amount Total [1] 2 19 4 2 2" xfId="39221"/>
    <cellStyle name="CALC Amount Total [1] 2 19 4 3" xfId="33774"/>
    <cellStyle name="CALC Amount Total [1] 2 19 4 4" xfId="39222"/>
    <cellStyle name="CALC Amount Total [1] 2 19 5" xfId="19258"/>
    <cellStyle name="CALC Amount Total [1] 2 19 5 2" xfId="27578"/>
    <cellStyle name="CALC Amount Total [1] 2 19 5 2 2" xfId="39223"/>
    <cellStyle name="CALC Amount Total [1] 2 19 5 3" xfId="34726"/>
    <cellStyle name="CALC Amount Total [1] 2 19 5 4" xfId="39224"/>
    <cellStyle name="CALC Amount Total [1] 2 19 6" xfId="20226"/>
    <cellStyle name="CALC Amount Total [1] 2 19 6 2" xfId="28548"/>
    <cellStyle name="CALC Amount Total [1] 2 19 6 2 2" xfId="39225"/>
    <cellStyle name="CALC Amount Total [1] 2 19 6 3" xfId="35666"/>
    <cellStyle name="CALC Amount Total [1] 2 19 6 4" xfId="39226"/>
    <cellStyle name="CALC Amount Total [1] 2 19 7" xfId="21687"/>
    <cellStyle name="CALC Amount Total [1] 2 19 7 2" xfId="29988"/>
    <cellStyle name="CALC Amount Total [1] 2 19 7 2 2" xfId="39227"/>
    <cellStyle name="CALC Amount Total [1] 2 19 7 3" xfId="37040"/>
    <cellStyle name="CALC Amount Total [1] 2 19 7 4" xfId="39228"/>
    <cellStyle name="CALC Amount Total [1] 2 19 8" xfId="22615"/>
    <cellStyle name="CALC Amount Total [1] 2 19 8 2" xfId="30911"/>
    <cellStyle name="CALC Amount Total [1] 2 19 8 2 2" xfId="39229"/>
    <cellStyle name="CALC Amount Total [1] 2 19 8 3" xfId="37923"/>
    <cellStyle name="CALC Amount Total [1] 2 19 8 4" xfId="39230"/>
    <cellStyle name="CALC Amount Total [1] 2 19 9" xfId="23557"/>
    <cellStyle name="CALC Amount Total [1] 2 19 9 2" xfId="39231"/>
    <cellStyle name="CALC Amount Total [1] 2 2" xfId="14508"/>
    <cellStyle name="CALC Amount Total [1] 2 2 2" xfId="15570"/>
    <cellStyle name="CALC Amount Total [1] 2 2 2 2" xfId="39232"/>
    <cellStyle name="CALC Amount Total [1] 2 2 2 2 2" xfId="39233"/>
    <cellStyle name="CALC Amount Total [1] 2 2 3" xfId="23862"/>
    <cellStyle name="CALC Amount Total [1] 2 2 3 2" xfId="39234"/>
    <cellStyle name="CALC Amount Total [1] 2 20" xfId="15265"/>
    <cellStyle name="CALC Amount Total [1] 2 20 10" xfId="39235"/>
    <cellStyle name="CALC Amount Total [1] 2 20 11" xfId="39236"/>
    <cellStyle name="CALC Amount Total [1] 2 20 2" xfId="16345"/>
    <cellStyle name="CALC Amount Total [1] 2 20 2 2" xfId="24658"/>
    <cellStyle name="CALC Amount Total [1] 2 20 2 2 2" xfId="39237"/>
    <cellStyle name="CALC Amount Total [1] 2 20 2 3" xfId="31925"/>
    <cellStyle name="CALC Amount Total [1] 2 20 2 4" xfId="39238"/>
    <cellStyle name="CALC Amount Total [1] 2 20 3" xfId="17311"/>
    <cellStyle name="CALC Amount Total [1] 2 20 3 2" xfId="25632"/>
    <cellStyle name="CALC Amount Total [1] 2 20 3 2 2" xfId="39239"/>
    <cellStyle name="CALC Amount Total [1] 2 20 3 3" xfId="32858"/>
    <cellStyle name="CALC Amount Total [1] 2 20 3 4" xfId="39240"/>
    <cellStyle name="CALC Amount Total [1] 2 20 4" xfId="18339"/>
    <cellStyle name="CALC Amount Total [1] 2 20 4 2" xfId="26659"/>
    <cellStyle name="CALC Amount Total [1] 2 20 4 2 2" xfId="39241"/>
    <cellStyle name="CALC Amount Total [1] 2 20 4 3" xfId="33836"/>
    <cellStyle name="CALC Amount Total [1] 2 20 4 4" xfId="39242"/>
    <cellStyle name="CALC Amount Total [1] 2 20 5" xfId="19323"/>
    <cellStyle name="CALC Amount Total [1] 2 20 5 2" xfId="27643"/>
    <cellStyle name="CALC Amount Total [1] 2 20 5 2 2" xfId="39243"/>
    <cellStyle name="CALC Amount Total [1] 2 20 5 3" xfId="34791"/>
    <cellStyle name="CALC Amount Total [1] 2 20 5 4" xfId="39244"/>
    <cellStyle name="CALC Amount Total [1] 2 20 6" xfId="20291"/>
    <cellStyle name="CALC Amount Total [1] 2 20 6 2" xfId="28613"/>
    <cellStyle name="CALC Amount Total [1] 2 20 6 2 2" xfId="39245"/>
    <cellStyle name="CALC Amount Total [1] 2 20 6 3" xfId="35728"/>
    <cellStyle name="CALC Amount Total [1] 2 20 6 4" xfId="39246"/>
    <cellStyle name="CALC Amount Total [1] 2 20 7" xfId="21752"/>
    <cellStyle name="CALC Amount Total [1] 2 20 7 2" xfId="30053"/>
    <cellStyle name="CALC Amount Total [1] 2 20 7 2 2" xfId="39247"/>
    <cellStyle name="CALC Amount Total [1] 2 20 7 3" xfId="37102"/>
    <cellStyle name="CALC Amount Total [1] 2 20 7 4" xfId="39248"/>
    <cellStyle name="CALC Amount Total [1] 2 20 8" xfId="22680"/>
    <cellStyle name="CALC Amount Total [1] 2 20 8 2" xfId="30976"/>
    <cellStyle name="CALC Amount Total [1] 2 20 8 2 2" xfId="39249"/>
    <cellStyle name="CALC Amount Total [1] 2 20 8 3" xfId="37985"/>
    <cellStyle name="CALC Amount Total [1] 2 20 8 4" xfId="39250"/>
    <cellStyle name="CALC Amount Total [1] 2 20 9" xfId="23622"/>
    <cellStyle name="CALC Amount Total [1] 2 20 9 2" xfId="39251"/>
    <cellStyle name="CALC Amount Total [1] 2 21" xfId="15281"/>
    <cellStyle name="CALC Amount Total [1] 2 21 10" xfId="39252"/>
    <cellStyle name="CALC Amount Total [1] 2 21 11" xfId="39253"/>
    <cellStyle name="CALC Amount Total [1] 2 21 2" xfId="16361"/>
    <cellStyle name="CALC Amount Total [1] 2 21 2 2" xfId="24674"/>
    <cellStyle name="CALC Amount Total [1] 2 21 2 2 2" xfId="39254"/>
    <cellStyle name="CALC Amount Total [1] 2 21 2 3" xfId="31941"/>
    <cellStyle name="CALC Amount Total [1] 2 21 2 4" xfId="39255"/>
    <cellStyle name="CALC Amount Total [1] 2 21 3" xfId="17327"/>
    <cellStyle name="CALC Amount Total [1] 2 21 3 2" xfId="25648"/>
    <cellStyle name="CALC Amount Total [1] 2 21 3 2 2" xfId="39256"/>
    <cellStyle name="CALC Amount Total [1] 2 21 3 3" xfId="32874"/>
    <cellStyle name="CALC Amount Total [1] 2 21 3 4" xfId="39257"/>
    <cellStyle name="CALC Amount Total [1] 2 21 4" xfId="18355"/>
    <cellStyle name="CALC Amount Total [1] 2 21 4 2" xfId="26675"/>
    <cellStyle name="CALC Amount Total [1] 2 21 4 2 2" xfId="39258"/>
    <cellStyle name="CALC Amount Total [1] 2 21 4 3" xfId="33852"/>
    <cellStyle name="CALC Amount Total [1] 2 21 4 4" xfId="39259"/>
    <cellStyle name="CALC Amount Total [1] 2 21 5" xfId="19339"/>
    <cellStyle name="CALC Amount Total [1] 2 21 5 2" xfId="27659"/>
    <cellStyle name="CALC Amount Total [1] 2 21 5 2 2" xfId="39260"/>
    <cellStyle name="CALC Amount Total [1] 2 21 5 3" xfId="34807"/>
    <cellStyle name="CALC Amount Total [1] 2 21 5 4" xfId="39261"/>
    <cellStyle name="CALC Amount Total [1] 2 21 6" xfId="20307"/>
    <cellStyle name="CALC Amount Total [1] 2 21 6 2" xfId="28629"/>
    <cellStyle name="CALC Amount Total [1] 2 21 6 2 2" xfId="39262"/>
    <cellStyle name="CALC Amount Total [1] 2 21 6 3" xfId="35744"/>
    <cellStyle name="CALC Amount Total [1] 2 21 6 4" xfId="39263"/>
    <cellStyle name="CALC Amount Total [1] 2 21 7" xfId="21768"/>
    <cellStyle name="CALC Amount Total [1] 2 21 7 2" xfId="30069"/>
    <cellStyle name="CALC Amount Total [1] 2 21 7 2 2" xfId="39264"/>
    <cellStyle name="CALC Amount Total [1] 2 21 7 3" xfId="37118"/>
    <cellStyle name="CALC Amount Total [1] 2 21 7 4" xfId="39265"/>
    <cellStyle name="CALC Amount Total [1] 2 21 8" xfId="22696"/>
    <cellStyle name="CALC Amount Total [1] 2 21 8 2" xfId="30992"/>
    <cellStyle name="CALC Amount Total [1] 2 21 8 2 2" xfId="39266"/>
    <cellStyle name="CALC Amount Total [1] 2 21 8 3" xfId="38001"/>
    <cellStyle name="CALC Amount Total [1] 2 21 8 4" xfId="39267"/>
    <cellStyle name="CALC Amount Total [1] 2 21 9" xfId="23638"/>
    <cellStyle name="CALC Amount Total [1] 2 21 9 2" xfId="39268"/>
    <cellStyle name="CALC Amount Total [1] 2 22" xfId="15279"/>
    <cellStyle name="CALC Amount Total [1] 2 22 10" xfId="39269"/>
    <cellStyle name="CALC Amount Total [1] 2 22 11" xfId="39270"/>
    <cellStyle name="CALC Amount Total [1] 2 22 2" xfId="16359"/>
    <cellStyle name="CALC Amount Total [1] 2 22 2 2" xfId="24672"/>
    <cellStyle name="CALC Amount Total [1] 2 22 2 2 2" xfId="39271"/>
    <cellStyle name="CALC Amount Total [1] 2 22 2 3" xfId="31939"/>
    <cellStyle name="CALC Amount Total [1] 2 22 2 4" xfId="39272"/>
    <cellStyle name="CALC Amount Total [1] 2 22 3" xfId="17325"/>
    <cellStyle name="CALC Amount Total [1] 2 22 3 2" xfId="25646"/>
    <cellStyle name="CALC Amount Total [1] 2 22 3 2 2" xfId="39273"/>
    <cellStyle name="CALC Amount Total [1] 2 22 3 3" xfId="32872"/>
    <cellStyle name="CALC Amount Total [1] 2 22 3 4" xfId="39274"/>
    <cellStyle name="CALC Amount Total [1] 2 22 4" xfId="18353"/>
    <cellStyle name="CALC Amount Total [1] 2 22 4 2" xfId="26673"/>
    <cellStyle name="CALC Amount Total [1] 2 22 4 2 2" xfId="39275"/>
    <cellStyle name="CALC Amount Total [1] 2 22 4 3" xfId="33850"/>
    <cellStyle name="CALC Amount Total [1] 2 22 4 4" xfId="39276"/>
    <cellStyle name="CALC Amount Total [1] 2 22 5" xfId="19337"/>
    <cellStyle name="CALC Amount Total [1] 2 22 5 2" xfId="27657"/>
    <cellStyle name="CALC Amount Total [1] 2 22 5 2 2" xfId="39277"/>
    <cellStyle name="CALC Amount Total [1] 2 22 5 3" xfId="34805"/>
    <cellStyle name="CALC Amount Total [1] 2 22 5 4" xfId="39278"/>
    <cellStyle name="CALC Amount Total [1] 2 22 6" xfId="20305"/>
    <cellStyle name="CALC Amount Total [1] 2 22 6 2" xfId="28627"/>
    <cellStyle name="CALC Amount Total [1] 2 22 6 2 2" xfId="39279"/>
    <cellStyle name="CALC Amount Total [1] 2 22 6 3" xfId="35742"/>
    <cellStyle name="CALC Amount Total [1] 2 22 6 4" xfId="39280"/>
    <cellStyle name="CALC Amount Total [1] 2 22 7" xfId="21766"/>
    <cellStyle name="CALC Amount Total [1] 2 22 7 2" xfId="30067"/>
    <cellStyle name="CALC Amount Total [1] 2 22 7 2 2" xfId="39281"/>
    <cellStyle name="CALC Amount Total [1] 2 22 7 3" xfId="37116"/>
    <cellStyle name="CALC Amount Total [1] 2 22 7 4" xfId="39282"/>
    <cellStyle name="CALC Amount Total [1] 2 22 8" xfId="22694"/>
    <cellStyle name="CALC Amount Total [1] 2 22 8 2" xfId="30990"/>
    <cellStyle name="CALC Amount Total [1] 2 22 8 2 2" xfId="39283"/>
    <cellStyle name="CALC Amount Total [1] 2 22 8 3" xfId="37999"/>
    <cellStyle name="CALC Amount Total [1] 2 22 8 4" xfId="39284"/>
    <cellStyle name="CALC Amount Total [1] 2 22 9" xfId="23636"/>
    <cellStyle name="CALC Amount Total [1] 2 22 9 2" xfId="39285"/>
    <cellStyle name="CALC Amount Total [1] 2 23" xfId="15329"/>
    <cellStyle name="CALC Amount Total [1] 2 23 10" xfId="39286"/>
    <cellStyle name="CALC Amount Total [1] 2 23 11" xfId="39287"/>
    <cellStyle name="CALC Amount Total [1] 2 23 2" xfId="16409"/>
    <cellStyle name="CALC Amount Total [1] 2 23 2 2" xfId="24722"/>
    <cellStyle name="CALC Amount Total [1] 2 23 2 2 2" xfId="39288"/>
    <cellStyle name="CALC Amount Total [1] 2 23 2 3" xfId="31987"/>
    <cellStyle name="CALC Amount Total [1] 2 23 2 4" xfId="39289"/>
    <cellStyle name="CALC Amount Total [1] 2 23 3" xfId="17375"/>
    <cellStyle name="CALC Amount Total [1] 2 23 3 2" xfId="25696"/>
    <cellStyle name="CALC Amount Total [1] 2 23 3 2 2" xfId="39290"/>
    <cellStyle name="CALC Amount Total [1] 2 23 3 3" xfId="32920"/>
    <cellStyle name="CALC Amount Total [1] 2 23 3 4" xfId="39291"/>
    <cellStyle name="CALC Amount Total [1] 2 23 4" xfId="18403"/>
    <cellStyle name="CALC Amount Total [1] 2 23 4 2" xfId="26723"/>
    <cellStyle name="CALC Amount Total [1] 2 23 4 2 2" xfId="39292"/>
    <cellStyle name="CALC Amount Total [1] 2 23 4 3" xfId="33898"/>
    <cellStyle name="CALC Amount Total [1] 2 23 4 4" xfId="39293"/>
    <cellStyle name="CALC Amount Total [1] 2 23 5" xfId="19386"/>
    <cellStyle name="CALC Amount Total [1] 2 23 5 2" xfId="27707"/>
    <cellStyle name="CALC Amount Total [1] 2 23 5 2 2" xfId="39294"/>
    <cellStyle name="CALC Amount Total [1] 2 23 5 3" xfId="34855"/>
    <cellStyle name="CALC Amount Total [1] 2 23 5 4" xfId="39295"/>
    <cellStyle name="CALC Amount Total [1] 2 23 6" xfId="20355"/>
    <cellStyle name="CALC Amount Total [1] 2 23 6 2" xfId="28677"/>
    <cellStyle name="CALC Amount Total [1] 2 23 6 2 2" xfId="39296"/>
    <cellStyle name="CALC Amount Total [1] 2 23 6 3" xfId="35790"/>
    <cellStyle name="CALC Amount Total [1] 2 23 6 4" xfId="39297"/>
    <cellStyle name="CALC Amount Total [1] 2 23 7" xfId="21816"/>
    <cellStyle name="CALC Amount Total [1] 2 23 7 2" xfId="30117"/>
    <cellStyle name="CALC Amount Total [1] 2 23 7 2 2" xfId="39298"/>
    <cellStyle name="CALC Amount Total [1] 2 23 7 3" xfId="37164"/>
    <cellStyle name="CALC Amount Total [1] 2 23 7 4" xfId="39299"/>
    <cellStyle name="CALC Amount Total [1] 2 23 8" xfId="22744"/>
    <cellStyle name="CALC Amount Total [1] 2 23 8 2" xfId="31040"/>
    <cellStyle name="CALC Amount Total [1] 2 23 8 2 2" xfId="39300"/>
    <cellStyle name="CALC Amount Total [1] 2 23 8 3" xfId="38047"/>
    <cellStyle name="CALC Amount Total [1] 2 23 8 4" xfId="39301"/>
    <cellStyle name="CALC Amount Total [1] 2 23 9" xfId="23686"/>
    <cellStyle name="CALC Amount Total [1] 2 23 9 2" xfId="39302"/>
    <cellStyle name="CALC Amount Total [1] 2 24" xfId="15388"/>
    <cellStyle name="CALC Amount Total [1] 2 24 10" xfId="39303"/>
    <cellStyle name="CALC Amount Total [1] 2 24 11" xfId="39304"/>
    <cellStyle name="CALC Amount Total [1] 2 24 2" xfId="16468"/>
    <cellStyle name="CALC Amount Total [1] 2 24 2 2" xfId="24781"/>
    <cellStyle name="CALC Amount Total [1] 2 24 2 2 2" xfId="39305"/>
    <cellStyle name="CALC Amount Total [1] 2 24 2 3" xfId="32045"/>
    <cellStyle name="CALC Amount Total [1] 2 24 2 4" xfId="39306"/>
    <cellStyle name="CALC Amount Total [1] 2 24 3" xfId="17434"/>
    <cellStyle name="CALC Amount Total [1] 2 24 3 2" xfId="25755"/>
    <cellStyle name="CALC Amount Total [1] 2 24 3 2 2" xfId="39307"/>
    <cellStyle name="CALC Amount Total [1] 2 24 3 3" xfId="32978"/>
    <cellStyle name="CALC Amount Total [1] 2 24 3 4" xfId="39308"/>
    <cellStyle name="CALC Amount Total [1] 2 24 4" xfId="18462"/>
    <cellStyle name="CALC Amount Total [1] 2 24 4 2" xfId="26782"/>
    <cellStyle name="CALC Amount Total [1] 2 24 4 2 2" xfId="39309"/>
    <cellStyle name="CALC Amount Total [1] 2 24 4 3" xfId="33956"/>
    <cellStyle name="CALC Amount Total [1] 2 24 4 4" xfId="39310"/>
    <cellStyle name="CALC Amount Total [1] 2 24 5" xfId="19445"/>
    <cellStyle name="CALC Amount Total [1] 2 24 5 2" xfId="27766"/>
    <cellStyle name="CALC Amount Total [1] 2 24 5 2 2" xfId="39311"/>
    <cellStyle name="CALC Amount Total [1] 2 24 5 3" xfId="34914"/>
    <cellStyle name="CALC Amount Total [1] 2 24 5 4" xfId="39312"/>
    <cellStyle name="CALC Amount Total [1] 2 24 6" xfId="20414"/>
    <cellStyle name="CALC Amount Total [1] 2 24 6 2" xfId="28736"/>
    <cellStyle name="CALC Amount Total [1] 2 24 6 2 2" xfId="39313"/>
    <cellStyle name="CALC Amount Total [1] 2 24 6 3" xfId="35848"/>
    <cellStyle name="CALC Amount Total [1] 2 24 6 4" xfId="39314"/>
    <cellStyle name="CALC Amount Total [1] 2 24 7" xfId="21875"/>
    <cellStyle name="CALC Amount Total [1] 2 24 7 2" xfId="30176"/>
    <cellStyle name="CALC Amount Total [1] 2 24 7 2 2" xfId="39315"/>
    <cellStyle name="CALC Amount Total [1] 2 24 7 3" xfId="37221"/>
    <cellStyle name="CALC Amount Total [1] 2 24 7 4" xfId="39316"/>
    <cellStyle name="CALC Amount Total [1] 2 24 8" xfId="22803"/>
    <cellStyle name="CALC Amount Total [1] 2 24 8 2" xfId="31099"/>
    <cellStyle name="CALC Amount Total [1] 2 24 8 2 2" xfId="39317"/>
    <cellStyle name="CALC Amount Total [1] 2 24 8 3" xfId="38105"/>
    <cellStyle name="CALC Amount Total [1] 2 24 8 4" xfId="39318"/>
    <cellStyle name="CALC Amount Total [1] 2 24 9" xfId="23745"/>
    <cellStyle name="CALC Amount Total [1] 2 24 9 2" xfId="39319"/>
    <cellStyle name="CALC Amount Total [1] 2 25" xfId="15404"/>
    <cellStyle name="CALC Amount Total [1] 2 25 10" xfId="39320"/>
    <cellStyle name="CALC Amount Total [1] 2 25 11" xfId="39321"/>
    <cellStyle name="CALC Amount Total [1] 2 25 2" xfId="16484"/>
    <cellStyle name="CALC Amount Total [1] 2 25 2 2" xfId="24797"/>
    <cellStyle name="CALC Amount Total [1] 2 25 2 2 2" xfId="39322"/>
    <cellStyle name="CALC Amount Total [1] 2 25 2 3" xfId="32059"/>
    <cellStyle name="CALC Amount Total [1] 2 25 2 4" xfId="39323"/>
    <cellStyle name="CALC Amount Total [1] 2 25 3" xfId="17450"/>
    <cellStyle name="CALC Amount Total [1] 2 25 3 2" xfId="25771"/>
    <cellStyle name="CALC Amount Total [1] 2 25 3 2 2" xfId="39324"/>
    <cellStyle name="CALC Amount Total [1] 2 25 3 3" xfId="32992"/>
    <cellStyle name="CALC Amount Total [1] 2 25 3 4" xfId="39325"/>
    <cellStyle name="CALC Amount Total [1] 2 25 4" xfId="18478"/>
    <cellStyle name="CALC Amount Total [1] 2 25 4 2" xfId="26798"/>
    <cellStyle name="CALC Amount Total [1] 2 25 4 2 2" xfId="39326"/>
    <cellStyle name="CALC Amount Total [1] 2 25 4 3" xfId="33970"/>
    <cellStyle name="CALC Amount Total [1] 2 25 4 4" xfId="39327"/>
    <cellStyle name="CALC Amount Total [1] 2 25 5" xfId="19461"/>
    <cellStyle name="CALC Amount Total [1] 2 25 5 2" xfId="27782"/>
    <cellStyle name="CALC Amount Total [1] 2 25 5 2 2" xfId="39328"/>
    <cellStyle name="CALC Amount Total [1] 2 25 5 3" xfId="34930"/>
    <cellStyle name="CALC Amount Total [1] 2 25 5 4" xfId="39329"/>
    <cellStyle name="CALC Amount Total [1] 2 25 6" xfId="20430"/>
    <cellStyle name="CALC Amount Total [1] 2 25 6 2" xfId="28752"/>
    <cellStyle name="CALC Amount Total [1] 2 25 6 2 2" xfId="39330"/>
    <cellStyle name="CALC Amount Total [1] 2 25 6 3" xfId="35862"/>
    <cellStyle name="CALC Amount Total [1] 2 25 6 4" xfId="39331"/>
    <cellStyle name="CALC Amount Total [1] 2 25 7" xfId="21891"/>
    <cellStyle name="CALC Amount Total [1] 2 25 7 2" xfId="30192"/>
    <cellStyle name="CALC Amount Total [1] 2 25 7 2 2" xfId="39332"/>
    <cellStyle name="CALC Amount Total [1] 2 25 7 3" xfId="37235"/>
    <cellStyle name="CALC Amount Total [1] 2 25 7 4" xfId="39333"/>
    <cellStyle name="CALC Amount Total [1] 2 25 8" xfId="22819"/>
    <cellStyle name="CALC Amount Total [1] 2 25 8 2" xfId="31115"/>
    <cellStyle name="CALC Amount Total [1] 2 25 8 2 2" xfId="39334"/>
    <cellStyle name="CALC Amount Total [1] 2 25 8 3" xfId="38119"/>
    <cellStyle name="CALC Amount Total [1] 2 25 8 4" xfId="39335"/>
    <cellStyle name="CALC Amount Total [1] 2 25 9" xfId="23761"/>
    <cellStyle name="CALC Amount Total [1] 2 25 9 2" xfId="39336"/>
    <cellStyle name="CALC Amount Total [1] 2 26" xfId="15420"/>
    <cellStyle name="CALC Amount Total [1] 2 26 10" xfId="39337"/>
    <cellStyle name="CALC Amount Total [1] 2 26 11" xfId="39338"/>
    <cellStyle name="CALC Amount Total [1] 2 26 2" xfId="16500"/>
    <cellStyle name="CALC Amount Total [1] 2 26 2 2" xfId="24813"/>
    <cellStyle name="CALC Amount Total [1] 2 26 2 2 2" xfId="39339"/>
    <cellStyle name="CALC Amount Total [1] 2 26 2 3" xfId="32074"/>
    <cellStyle name="CALC Amount Total [1] 2 26 2 4" xfId="39340"/>
    <cellStyle name="CALC Amount Total [1] 2 26 3" xfId="17466"/>
    <cellStyle name="CALC Amount Total [1] 2 26 3 2" xfId="25787"/>
    <cellStyle name="CALC Amount Total [1] 2 26 3 2 2" xfId="39341"/>
    <cellStyle name="CALC Amount Total [1] 2 26 3 3" xfId="33007"/>
    <cellStyle name="CALC Amount Total [1] 2 26 3 4" xfId="39342"/>
    <cellStyle name="CALC Amount Total [1] 2 26 4" xfId="18494"/>
    <cellStyle name="CALC Amount Total [1] 2 26 4 2" xfId="26814"/>
    <cellStyle name="CALC Amount Total [1] 2 26 4 2 2" xfId="39343"/>
    <cellStyle name="CALC Amount Total [1] 2 26 4 3" xfId="33985"/>
    <cellStyle name="CALC Amount Total [1] 2 26 4 4" xfId="39344"/>
    <cellStyle name="CALC Amount Total [1] 2 26 5" xfId="19477"/>
    <cellStyle name="CALC Amount Total [1] 2 26 5 2" xfId="27798"/>
    <cellStyle name="CALC Amount Total [1] 2 26 5 2 2" xfId="39345"/>
    <cellStyle name="CALC Amount Total [1] 2 26 5 3" xfId="34946"/>
    <cellStyle name="CALC Amount Total [1] 2 26 5 4" xfId="39346"/>
    <cellStyle name="CALC Amount Total [1] 2 26 6" xfId="20446"/>
    <cellStyle name="CALC Amount Total [1] 2 26 6 2" xfId="28768"/>
    <cellStyle name="CALC Amount Total [1] 2 26 6 2 2" xfId="39347"/>
    <cellStyle name="CALC Amount Total [1] 2 26 6 3" xfId="35877"/>
    <cellStyle name="CALC Amount Total [1] 2 26 6 4" xfId="39348"/>
    <cellStyle name="CALC Amount Total [1] 2 26 7" xfId="21907"/>
    <cellStyle name="CALC Amount Total [1] 2 26 7 2" xfId="30208"/>
    <cellStyle name="CALC Amount Total [1] 2 26 7 2 2" xfId="39349"/>
    <cellStyle name="CALC Amount Total [1] 2 26 7 3" xfId="37250"/>
    <cellStyle name="CALC Amount Total [1] 2 26 7 4" xfId="39350"/>
    <cellStyle name="CALC Amount Total [1] 2 26 8" xfId="22835"/>
    <cellStyle name="CALC Amount Total [1] 2 26 8 2" xfId="31131"/>
    <cellStyle name="CALC Amount Total [1] 2 26 8 2 2" xfId="39351"/>
    <cellStyle name="CALC Amount Total [1] 2 26 8 3" xfId="38134"/>
    <cellStyle name="CALC Amount Total [1] 2 26 8 4" xfId="39352"/>
    <cellStyle name="CALC Amount Total [1] 2 26 9" xfId="23777"/>
    <cellStyle name="CALC Amount Total [1] 2 26 9 2" xfId="39353"/>
    <cellStyle name="CALC Amount Total [1] 2 27" xfId="15434"/>
    <cellStyle name="CALC Amount Total [1] 2 27 10" xfId="39354"/>
    <cellStyle name="CALC Amount Total [1] 2 27 11" xfId="39355"/>
    <cellStyle name="CALC Amount Total [1] 2 27 2" xfId="16514"/>
    <cellStyle name="CALC Amount Total [1] 2 27 2 2" xfId="24827"/>
    <cellStyle name="CALC Amount Total [1] 2 27 2 2 2" xfId="39356"/>
    <cellStyle name="CALC Amount Total [1] 2 27 2 3" xfId="32088"/>
    <cellStyle name="CALC Amount Total [1] 2 27 2 4" xfId="39357"/>
    <cellStyle name="CALC Amount Total [1] 2 27 3" xfId="17480"/>
    <cellStyle name="CALC Amount Total [1] 2 27 3 2" xfId="25801"/>
    <cellStyle name="CALC Amount Total [1] 2 27 3 2 2" xfId="39358"/>
    <cellStyle name="CALC Amount Total [1] 2 27 3 3" xfId="33021"/>
    <cellStyle name="CALC Amount Total [1] 2 27 3 4" xfId="39359"/>
    <cellStyle name="CALC Amount Total [1] 2 27 4" xfId="18508"/>
    <cellStyle name="CALC Amount Total [1] 2 27 4 2" xfId="26828"/>
    <cellStyle name="CALC Amount Total [1] 2 27 4 2 2" xfId="39360"/>
    <cellStyle name="CALC Amount Total [1] 2 27 4 3" xfId="33999"/>
    <cellStyle name="CALC Amount Total [1] 2 27 4 4" xfId="39361"/>
    <cellStyle name="CALC Amount Total [1] 2 27 5" xfId="19491"/>
    <cellStyle name="CALC Amount Total [1] 2 27 5 2" xfId="27812"/>
    <cellStyle name="CALC Amount Total [1] 2 27 5 2 2" xfId="39362"/>
    <cellStyle name="CALC Amount Total [1] 2 27 5 3" xfId="34960"/>
    <cellStyle name="CALC Amount Total [1] 2 27 5 4" xfId="39363"/>
    <cellStyle name="CALC Amount Total [1] 2 27 6" xfId="20460"/>
    <cellStyle name="CALC Amount Total [1] 2 27 6 2" xfId="28782"/>
    <cellStyle name="CALC Amount Total [1] 2 27 6 2 2" xfId="39364"/>
    <cellStyle name="CALC Amount Total [1] 2 27 6 3" xfId="35891"/>
    <cellStyle name="CALC Amount Total [1] 2 27 6 4" xfId="39365"/>
    <cellStyle name="CALC Amount Total [1] 2 27 7" xfId="21921"/>
    <cellStyle name="CALC Amount Total [1] 2 27 7 2" xfId="30222"/>
    <cellStyle name="CALC Amount Total [1] 2 27 7 2 2" xfId="39366"/>
    <cellStyle name="CALC Amount Total [1] 2 27 7 3" xfId="37264"/>
    <cellStyle name="CALC Amount Total [1] 2 27 7 4" xfId="39367"/>
    <cellStyle name="CALC Amount Total [1] 2 27 8" xfId="22849"/>
    <cellStyle name="CALC Amount Total [1] 2 27 8 2" xfId="31145"/>
    <cellStyle name="CALC Amount Total [1] 2 27 8 2 2" xfId="39368"/>
    <cellStyle name="CALC Amount Total [1] 2 27 8 3" xfId="38148"/>
    <cellStyle name="CALC Amount Total [1] 2 27 8 4" xfId="39369"/>
    <cellStyle name="CALC Amount Total [1] 2 27 9" xfId="23791"/>
    <cellStyle name="CALC Amount Total [1] 2 27 9 2" xfId="39370"/>
    <cellStyle name="CALC Amount Total [1] 2 28" xfId="15448"/>
    <cellStyle name="CALC Amount Total [1] 2 28 10" xfId="39371"/>
    <cellStyle name="CALC Amount Total [1] 2 28 11" xfId="39372"/>
    <cellStyle name="CALC Amount Total [1] 2 28 2" xfId="16528"/>
    <cellStyle name="CALC Amount Total [1] 2 28 2 2" xfId="24841"/>
    <cellStyle name="CALC Amount Total [1] 2 28 2 2 2" xfId="39373"/>
    <cellStyle name="CALC Amount Total [1] 2 28 2 3" xfId="32102"/>
    <cellStyle name="CALC Amount Total [1] 2 28 2 4" xfId="39374"/>
    <cellStyle name="CALC Amount Total [1] 2 28 3" xfId="17494"/>
    <cellStyle name="CALC Amount Total [1] 2 28 3 2" xfId="25815"/>
    <cellStyle name="CALC Amount Total [1] 2 28 3 2 2" xfId="39375"/>
    <cellStyle name="CALC Amount Total [1] 2 28 3 3" xfId="33035"/>
    <cellStyle name="CALC Amount Total [1] 2 28 3 4" xfId="39376"/>
    <cellStyle name="CALC Amount Total [1] 2 28 4" xfId="18522"/>
    <cellStyle name="CALC Amount Total [1] 2 28 4 2" xfId="26842"/>
    <cellStyle name="CALC Amount Total [1] 2 28 4 2 2" xfId="39377"/>
    <cellStyle name="CALC Amount Total [1] 2 28 4 3" xfId="34013"/>
    <cellStyle name="CALC Amount Total [1] 2 28 4 4" xfId="39378"/>
    <cellStyle name="CALC Amount Total [1] 2 28 5" xfId="19505"/>
    <cellStyle name="CALC Amount Total [1] 2 28 5 2" xfId="27826"/>
    <cellStyle name="CALC Amount Total [1] 2 28 5 2 2" xfId="39379"/>
    <cellStyle name="CALC Amount Total [1] 2 28 5 3" xfId="34974"/>
    <cellStyle name="CALC Amount Total [1] 2 28 5 4" xfId="39380"/>
    <cellStyle name="CALC Amount Total [1] 2 28 6" xfId="20474"/>
    <cellStyle name="CALC Amount Total [1] 2 28 6 2" xfId="28796"/>
    <cellStyle name="CALC Amount Total [1] 2 28 6 2 2" xfId="39381"/>
    <cellStyle name="CALC Amount Total [1] 2 28 6 3" xfId="35905"/>
    <cellStyle name="CALC Amount Total [1] 2 28 6 4" xfId="39382"/>
    <cellStyle name="CALC Amount Total [1] 2 28 7" xfId="21935"/>
    <cellStyle name="CALC Amount Total [1] 2 28 7 2" xfId="30236"/>
    <cellStyle name="CALC Amount Total [1] 2 28 7 2 2" xfId="39383"/>
    <cellStyle name="CALC Amount Total [1] 2 28 7 3" xfId="37278"/>
    <cellStyle name="CALC Amount Total [1] 2 28 7 4" xfId="39384"/>
    <cellStyle name="CALC Amount Total [1] 2 28 8" xfId="22863"/>
    <cellStyle name="CALC Amount Total [1] 2 28 8 2" xfId="31159"/>
    <cellStyle name="CALC Amount Total [1] 2 28 8 2 2" xfId="39385"/>
    <cellStyle name="CALC Amount Total [1] 2 28 8 3" xfId="38162"/>
    <cellStyle name="CALC Amount Total [1] 2 28 8 4" xfId="39386"/>
    <cellStyle name="CALC Amount Total [1] 2 28 9" xfId="23805"/>
    <cellStyle name="CALC Amount Total [1] 2 28 9 2" xfId="39387"/>
    <cellStyle name="CALC Amount Total [1] 2 29" xfId="15480"/>
    <cellStyle name="CALC Amount Total [1] 2 29 2" xfId="17526"/>
    <cellStyle name="CALC Amount Total [1] 2 29 2 2" xfId="25846"/>
    <cellStyle name="CALC Amount Total [1] 2 29 2 2 2" xfId="39388"/>
    <cellStyle name="CALC Amount Total [1] 2 29 2 3" xfId="33064"/>
    <cellStyle name="CALC Amount Total [1] 2 29 2 4" xfId="39389"/>
    <cellStyle name="CALC Amount Total [1] 2 29 3" xfId="19537"/>
    <cellStyle name="CALC Amount Total [1] 2 29 3 2" xfId="27858"/>
    <cellStyle name="CALC Amount Total [1] 2 29 3 2 2" xfId="39390"/>
    <cellStyle name="CALC Amount Total [1] 2 29 3 3" xfId="35006"/>
    <cellStyle name="CALC Amount Total [1] 2 29 3 4" xfId="39391"/>
    <cellStyle name="CALC Amount Total [1] 2 29 4" xfId="39392"/>
    <cellStyle name="CALC Amount Total [1] 2 29 4 2" xfId="39393"/>
    <cellStyle name="CALC Amount Total [1] 2 3" xfId="14509"/>
    <cellStyle name="CALC Amount Total [1] 2 3 2" xfId="15571"/>
    <cellStyle name="CALC Amount Total [1] 2 3 2 2" xfId="39394"/>
    <cellStyle name="CALC Amount Total [1] 2 3 2 2 2" xfId="39395"/>
    <cellStyle name="CALC Amount Total [1] 2 3 3" xfId="23821"/>
    <cellStyle name="CALC Amount Total [1] 2 3 3 2" xfId="39396"/>
    <cellStyle name="CALC Amount Total [1] 2 30" xfId="39397"/>
    <cellStyle name="CALC Amount Total [1] 2 30 2" xfId="39398"/>
    <cellStyle name="CALC Amount Total [1] 2 4" xfId="14541"/>
    <cellStyle name="CALC Amount Total [1] 2 4 2" xfId="15620"/>
    <cellStyle name="CALC Amount Total [1] 2 4 2 2" xfId="23934"/>
    <cellStyle name="CALC Amount Total [1] 2 4 2 2 2" xfId="39399"/>
    <cellStyle name="CALC Amount Total [1] 2 4 2 3" xfId="39400"/>
    <cellStyle name="CALC Amount Total [1] 2 4 2 4" xfId="39401"/>
    <cellStyle name="CALC Amount Total [1] 2 4 3" xfId="16588"/>
    <cellStyle name="CALC Amount Total [1] 2 4 3 2" xfId="24905"/>
    <cellStyle name="CALC Amount Total [1] 2 4 3 2 2" xfId="39402"/>
    <cellStyle name="CALC Amount Total [1] 2 4 3 3" xfId="32165"/>
    <cellStyle name="CALC Amount Total [1] 2 4 3 4" xfId="39403"/>
    <cellStyle name="CALC Amount Total [1] 2 4 4" xfId="17607"/>
    <cellStyle name="CALC Amount Total [1] 2 4 4 2" xfId="25930"/>
    <cellStyle name="CALC Amount Total [1] 2 4 4 2 2" xfId="39404"/>
    <cellStyle name="CALC Amount Total [1] 2 4 4 3" xfId="33142"/>
    <cellStyle name="CALC Amount Total [1] 2 4 4 4" xfId="39405"/>
    <cellStyle name="CALC Amount Total [1] 2 4 5" xfId="18589"/>
    <cellStyle name="CALC Amount Total [1] 2 4 5 2" xfId="26908"/>
    <cellStyle name="CALC Amount Total [1] 2 4 5 2 2" xfId="39406"/>
    <cellStyle name="CALC Amount Total [1] 2 4 5 3" xfId="34077"/>
    <cellStyle name="CALC Amount Total [1] 2 4 5 4" xfId="39407"/>
    <cellStyle name="CALC Amount Total [1] 2 4 6" xfId="19557"/>
    <cellStyle name="CALC Amount Total [1] 2 4 6 2" xfId="27878"/>
    <cellStyle name="CALC Amount Total [1] 2 4 6 2 2" xfId="39408"/>
    <cellStyle name="CALC Amount Total [1] 2 4 6 3" xfId="35025"/>
    <cellStyle name="CALC Amount Total [1] 2 4 6 4" xfId="39409"/>
    <cellStyle name="CALC Amount Total [1] 2 4 7" xfId="20515"/>
    <cellStyle name="CALC Amount Total [1] 2 4 7 2" xfId="28837"/>
    <cellStyle name="CALC Amount Total [1] 2 4 7 2 2" xfId="39410"/>
    <cellStyle name="CALC Amount Total [1] 2 4 7 3" xfId="35942"/>
    <cellStyle name="CALC Amount Total [1] 2 4 7 4" xfId="39411"/>
    <cellStyle name="CALC Amount Total [1] 2 4 8" xfId="22898"/>
    <cellStyle name="CALC Amount Total [1] 2 4 8 2" xfId="39412"/>
    <cellStyle name="CALC Amount Total [1] 2 5" xfId="14602"/>
    <cellStyle name="CALC Amount Total [1] 2 5 10" xfId="22963"/>
    <cellStyle name="CALC Amount Total [1] 2 5 10 2" xfId="39413"/>
    <cellStyle name="CALC Amount Total [1] 2 5 11" xfId="39414"/>
    <cellStyle name="CALC Amount Total [1] 2 5 2" xfId="15682"/>
    <cellStyle name="CALC Amount Total [1] 2 5 2 2" xfId="23998"/>
    <cellStyle name="CALC Amount Total [1] 2 5 2 2 2" xfId="39415"/>
    <cellStyle name="CALC Amount Total [1] 2 5 2 3" xfId="31293"/>
    <cellStyle name="CALC Amount Total [1] 2 5 2 4" xfId="39416"/>
    <cellStyle name="CALC Amount Total [1] 2 5 3" xfId="16649"/>
    <cellStyle name="CALC Amount Total [1] 2 5 3 2" xfId="24969"/>
    <cellStyle name="CALC Amount Total [1] 2 5 3 2 2" xfId="39417"/>
    <cellStyle name="CALC Amount Total [1] 2 5 3 3" xfId="32226"/>
    <cellStyle name="CALC Amount Total [1] 2 5 3 4" xfId="39418"/>
    <cellStyle name="CALC Amount Total [1] 2 5 4" xfId="17671"/>
    <cellStyle name="CALC Amount Total [1] 2 5 4 2" xfId="25995"/>
    <cellStyle name="CALC Amount Total [1] 2 5 4 2 2" xfId="39419"/>
    <cellStyle name="CALC Amount Total [1] 2 5 4 3" xfId="33203"/>
    <cellStyle name="CALC Amount Total [1] 2 5 4 4" xfId="39420"/>
    <cellStyle name="CALC Amount Total [1] 2 5 5" xfId="18654"/>
    <cellStyle name="CALC Amount Total [1] 2 5 5 2" xfId="26975"/>
    <cellStyle name="CALC Amount Total [1] 2 5 5 2 2" xfId="39421"/>
    <cellStyle name="CALC Amount Total [1] 2 5 5 3" xfId="34141"/>
    <cellStyle name="CALC Amount Total [1] 2 5 5 4" xfId="39422"/>
    <cellStyle name="CALC Amount Total [1] 2 5 6" xfId="19623"/>
    <cellStyle name="CALC Amount Total [1] 2 5 6 2" xfId="27944"/>
    <cellStyle name="CALC Amount Total [1] 2 5 6 2 2" xfId="39423"/>
    <cellStyle name="CALC Amount Total [1] 2 5 6 3" xfId="35087"/>
    <cellStyle name="CALC Amount Total [1] 2 5 6 4" xfId="39424"/>
    <cellStyle name="CALC Amount Total [1] 2 5 7" xfId="20580"/>
    <cellStyle name="CALC Amount Total [1] 2 5 7 2" xfId="28902"/>
    <cellStyle name="CALC Amount Total [1] 2 5 7 2 2" xfId="39425"/>
    <cellStyle name="CALC Amount Total [1] 2 5 7 3" xfId="36003"/>
    <cellStyle name="CALC Amount Total [1] 2 5 7 4" xfId="39426"/>
    <cellStyle name="CALC Amount Total [1] 2 5 8" xfId="21158"/>
    <cellStyle name="CALC Amount Total [1] 2 5 8 2" xfId="29470"/>
    <cellStyle name="CALC Amount Total [1] 2 5 8 2 2" xfId="39427"/>
    <cellStyle name="CALC Amount Total [1] 2 5 8 3" xfId="36542"/>
    <cellStyle name="CALC Amount Total [1] 2 5 8 4" xfId="39428"/>
    <cellStyle name="CALC Amount Total [1] 2 5 9" xfId="22017"/>
    <cellStyle name="CALC Amount Total [1] 2 5 9 2" xfId="30316"/>
    <cellStyle name="CALC Amount Total [1] 2 5 9 2 2" xfId="39429"/>
    <cellStyle name="CALC Amount Total [1] 2 5 9 3" xfId="37354"/>
    <cellStyle name="CALC Amount Total [1] 2 5 9 4" xfId="39430"/>
    <cellStyle name="CALC Amount Total [1] 2 6" xfId="14622"/>
    <cellStyle name="CALC Amount Total [1] 2 6 10" xfId="22984"/>
    <cellStyle name="CALC Amount Total [1] 2 6 10 2" xfId="39431"/>
    <cellStyle name="CALC Amount Total [1] 2 6 11" xfId="39432"/>
    <cellStyle name="CALC Amount Total [1] 2 6 2" xfId="15703"/>
    <cellStyle name="CALC Amount Total [1] 2 6 2 2" xfId="24019"/>
    <cellStyle name="CALC Amount Total [1] 2 6 2 2 2" xfId="39433"/>
    <cellStyle name="CALC Amount Total [1] 2 6 2 3" xfId="31313"/>
    <cellStyle name="CALC Amount Total [1] 2 6 2 4" xfId="39434"/>
    <cellStyle name="CALC Amount Total [1] 2 6 3" xfId="16670"/>
    <cellStyle name="CALC Amount Total [1] 2 6 3 2" xfId="24990"/>
    <cellStyle name="CALC Amount Total [1] 2 6 3 2 2" xfId="39435"/>
    <cellStyle name="CALC Amount Total [1] 2 6 3 3" xfId="32246"/>
    <cellStyle name="CALC Amount Total [1] 2 6 3 4" xfId="39436"/>
    <cellStyle name="CALC Amount Total [1] 2 6 4" xfId="17693"/>
    <cellStyle name="CALC Amount Total [1] 2 6 4 2" xfId="26016"/>
    <cellStyle name="CALC Amount Total [1] 2 6 4 2 2" xfId="39437"/>
    <cellStyle name="CALC Amount Total [1] 2 6 4 3" xfId="33223"/>
    <cellStyle name="CALC Amount Total [1] 2 6 4 4" xfId="39438"/>
    <cellStyle name="CALC Amount Total [1] 2 6 5" xfId="18676"/>
    <cellStyle name="CALC Amount Total [1] 2 6 5 2" xfId="26997"/>
    <cellStyle name="CALC Amount Total [1] 2 6 5 2 2" xfId="39439"/>
    <cellStyle name="CALC Amount Total [1] 2 6 5 3" xfId="34162"/>
    <cellStyle name="CALC Amount Total [1] 2 6 5 4" xfId="39440"/>
    <cellStyle name="CALC Amount Total [1] 2 6 6" xfId="19645"/>
    <cellStyle name="CALC Amount Total [1] 2 6 6 2" xfId="27966"/>
    <cellStyle name="CALC Amount Total [1] 2 6 6 2 2" xfId="39441"/>
    <cellStyle name="CALC Amount Total [1] 2 6 6 3" xfId="35108"/>
    <cellStyle name="CALC Amount Total [1] 2 6 6 4" xfId="39442"/>
    <cellStyle name="CALC Amount Total [1] 2 6 7" xfId="20602"/>
    <cellStyle name="CALC Amount Total [1] 2 6 7 2" xfId="28923"/>
    <cellStyle name="CALC Amount Total [1] 2 6 7 2 2" xfId="39443"/>
    <cellStyle name="CALC Amount Total [1] 2 6 7 3" xfId="36023"/>
    <cellStyle name="CALC Amount Total [1] 2 6 7 4" xfId="39444"/>
    <cellStyle name="CALC Amount Total [1] 2 6 8" xfId="21148"/>
    <cellStyle name="CALC Amount Total [1] 2 6 8 2" xfId="29460"/>
    <cellStyle name="CALC Amount Total [1] 2 6 8 2 2" xfId="39445"/>
    <cellStyle name="CALC Amount Total [1] 2 6 8 3" xfId="36532"/>
    <cellStyle name="CALC Amount Total [1] 2 6 8 4" xfId="39446"/>
    <cellStyle name="CALC Amount Total [1] 2 6 9" xfId="22039"/>
    <cellStyle name="CALC Amount Total [1] 2 6 9 2" xfId="30337"/>
    <cellStyle name="CALC Amount Total [1] 2 6 9 2 2" xfId="39447"/>
    <cellStyle name="CALC Amount Total [1] 2 6 9 3" xfId="37374"/>
    <cellStyle name="CALC Amount Total [1] 2 6 9 4" xfId="39448"/>
    <cellStyle name="CALC Amount Total [1] 2 7" xfId="14641"/>
    <cellStyle name="CALC Amount Total [1] 2 7 10" xfId="23003"/>
    <cellStyle name="CALC Amount Total [1] 2 7 10 2" xfId="39449"/>
    <cellStyle name="CALC Amount Total [1] 2 7 11" xfId="39450"/>
    <cellStyle name="CALC Amount Total [1] 2 7 2" xfId="15722"/>
    <cellStyle name="CALC Amount Total [1] 2 7 2 2" xfId="24038"/>
    <cellStyle name="CALC Amount Total [1] 2 7 2 2 2" xfId="39451"/>
    <cellStyle name="CALC Amount Total [1] 2 7 2 3" xfId="31331"/>
    <cellStyle name="CALC Amount Total [1] 2 7 2 4" xfId="39452"/>
    <cellStyle name="CALC Amount Total [1] 2 7 3" xfId="16688"/>
    <cellStyle name="CALC Amount Total [1] 2 7 3 2" xfId="25009"/>
    <cellStyle name="CALC Amount Total [1] 2 7 3 2 2" xfId="39453"/>
    <cellStyle name="CALC Amount Total [1] 2 7 3 3" xfId="32264"/>
    <cellStyle name="CALC Amount Total [1] 2 7 3 4" xfId="39454"/>
    <cellStyle name="CALC Amount Total [1] 2 7 4" xfId="17712"/>
    <cellStyle name="CALC Amount Total [1] 2 7 4 2" xfId="26035"/>
    <cellStyle name="CALC Amount Total [1] 2 7 4 2 2" xfId="39455"/>
    <cellStyle name="CALC Amount Total [1] 2 7 4 3" xfId="33241"/>
    <cellStyle name="CALC Amount Total [1] 2 7 4 4" xfId="39456"/>
    <cellStyle name="CALC Amount Total [1] 2 7 5" xfId="18695"/>
    <cellStyle name="CALC Amount Total [1] 2 7 5 2" xfId="27016"/>
    <cellStyle name="CALC Amount Total [1] 2 7 5 2 2" xfId="39457"/>
    <cellStyle name="CALC Amount Total [1] 2 7 5 3" xfId="34180"/>
    <cellStyle name="CALC Amount Total [1] 2 7 5 4" xfId="39458"/>
    <cellStyle name="CALC Amount Total [1] 2 7 6" xfId="19664"/>
    <cellStyle name="CALC Amount Total [1] 2 7 6 2" xfId="27985"/>
    <cellStyle name="CALC Amount Total [1] 2 7 6 2 2" xfId="39459"/>
    <cellStyle name="CALC Amount Total [1] 2 7 6 3" xfId="35126"/>
    <cellStyle name="CALC Amount Total [1] 2 7 6 4" xfId="39460"/>
    <cellStyle name="CALC Amount Total [1] 2 7 7" xfId="20621"/>
    <cellStyle name="CALC Amount Total [1] 2 7 7 2" xfId="28942"/>
    <cellStyle name="CALC Amount Total [1] 2 7 7 2 2" xfId="39461"/>
    <cellStyle name="CALC Amount Total [1] 2 7 7 3" xfId="36041"/>
    <cellStyle name="CALC Amount Total [1] 2 7 7 4" xfId="39462"/>
    <cellStyle name="CALC Amount Total [1] 2 7 8" xfId="21307"/>
    <cellStyle name="CALC Amount Total [1] 2 7 8 2" xfId="29614"/>
    <cellStyle name="CALC Amount Total [1] 2 7 8 2 2" xfId="39463"/>
    <cellStyle name="CALC Amount Total [1] 2 7 8 3" xfId="36681"/>
    <cellStyle name="CALC Amount Total [1] 2 7 8 4" xfId="39464"/>
    <cellStyle name="CALC Amount Total [1] 2 7 9" xfId="22058"/>
    <cellStyle name="CALC Amount Total [1] 2 7 9 2" xfId="30356"/>
    <cellStyle name="CALC Amount Total [1] 2 7 9 2 2" xfId="39465"/>
    <cellStyle name="CALC Amount Total [1] 2 7 9 3" xfId="37392"/>
    <cellStyle name="CALC Amount Total [1] 2 7 9 4" xfId="39466"/>
    <cellStyle name="CALC Amount Total [1] 2 8" xfId="14665"/>
    <cellStyle name="CALC Amount Total [1] 2 8 10" xfId="23027"/>
    <cellStyle name="CALC Amount Total [1] 2 8 10 2" xfId="39467"/>
    <cellStyle name="CALC Amount Total [1] 2 8 11" xfId="39468"/>
    <cellStyle name="CALC Amount Total [1] 2 8 2" xfId="15746"/>
    <cellStyle name="CALC Amount Total [1] 2 8 2 2" xfId="24062"/>
    <cellStyle name="CALC Amount Total [1] 2 8 2 2 2" xfId="39469"/>
    <cellStyle name="CALC Amount Total [1] 2 8 2 3" xfId="31354"/>
    <cellStyle name="CALC Amount Total [1] 2 8 2 4" xfId="39470"/>
    <cellStyle name="CALC Amount Total [1] 2 8 3" xfId="16712"/>
    <cellStyle name="CALC Amount Total [1] 2 8 3 2" xfId="25033"/>
    <cellStyle name="CALC Amount Total [1] 2 8 3 2 2" xfId="39471"/>
    <cellStyle name="CALC Amount Total [1] 2 8 3 3" xfId="32287"/>
    <cellStyle name="CALC Amount Total [1] 2 8 3 4" xfId="39472"/>
    <cellStyle name="CALC Amount Total [1] 2 8 4" xfId="17736"/>
    <cellStyle name="CALC Amount Total [1] 2 8 4 2" xfId="26059"/>
    <cellStyle name="CALC Amount Total [1] 2 8 4 2 2" xfId="39473"/>
    <cellStyle name="CALC Amount Total [1] 2 8 4 3" xfId="33264"/>
    <cellStyle name="CALC Amount Total [1] 2 8 4 4" xfId="39474"/>
    <cellStyle name="CALC Amount Total [1] 2 8 5" xfId="18719"/>
    <cellStyle name="CALC Amount Total [1] 2 8 5 2" xfId="27040"/>
    <cellStyle name="CALC Amount Total [1] 2 8 5 2 2" xfId="39475"/>
    <cellStyle name="CALC Amount Total [1] 2 8 5 3" xfId="34203"/>
    <cellStyle name="CALC Amount Total [1] 2 8 5 4" xfId="39476"/>
    <cellStyle name="CALC Amount Total [1] 2 8 6" xfId="19688"/>
    <cellStyle name="CALC Amount Total [1] 2 8 6 2" xfId="28009"/>
    <cellStyle name="CALC Amount Total [1] 2 8 6 2 2" xfId="39477"/>
    <cellStyle name="CALC Amount Total [1] 2 8 6 3" xfId="35149"/>
    <cellStyle name="CALC Amount Total [1] 2 8 6 4" xfId="39478"/>
    <cellStyle name="CALC Amount Total [1] 2 8 7" xfId="20645"/>
    <cellStyle name="CALC Amount Total [1] 2 8 7 2" xfId="28966"/>
    <cellStyle name="CALC Amount Total [1] 2 8 7 2 2" xfId="39479"/>
    <cellStyle name="CALC Amount Total [1] 2 8 7 3" xfId="36064"/>
    <cellStyle name="CALC Amount Total [1] 2 8 7 4" xfId="39480"/>
    <cellStyle name="CALC Amount Total [1] 2 8 8" xfId="21295"/>
    <cellStyle name="CALC Amount Total [1] 2 8 8 2" xfId="29602"/>
    <cellStyle name="CALC Amount Total [1] 2 8 8 2 2" xfId="39481"/>
    <cellStyle name="CALC Amount Total [1] 2 8 8 3" xfId="36669"/>
    <cellStyle name="CALC Amount Total [1] 2 8 8 4" xfId="39482"/>
    <cellStyle name="CALC Amount Total [1] 2 8 9" xfId="22082"/>
    <cellStyle name="CALC Amount Total [1] 2 8 9 2" xfId="30380"/>
    <cellStyle name="CALC Amount Total [1] 2 8 9 2 2" xfId="39483"/>
    <cellStyle name="CALC Amount Total [1] 2 8 9 3" xfId="37415"/>
    <cellStyle name="CALC Amount Total [1] 2 8 9 4" xfId="39484"/>
    <cellStyle name="CALC Amount Total [1] 2 9" xfId="14725"/>
    <cellStyle name="CALC Amount Total [1] 2 9 10" xfId="23088"/>
    <cellStyle name="CALC Amount Total [1] 2 9 10 2" xfId="39485"/>
    <cellStyle name="CALC Amount Total [1] 2 9 11" xfId="39486"/>
    <cellStyle name="CALC Amount Total [1] 2 9 12" xfId="39487"/>
    <cellStyle name="CALC Amount Total [1] 2 9 2" xfId="15806"/>
    <cellStyle name="CALC Amount Total [1] 2 9 2 2" xfId="24123"/>
    <cellStyle name="CALC Amount Total [1] 2 9 2 2 2" xfId="39488"/>
    <cellStyle name="CALC Amount Total [1] 2 9 2 3" xfId="31411"/>
    <cellStyle name="CALC Amount Total [1] 2 9 2 4" xfId="39489"/>
    <cellStyle name="CALC Amount Total [1] 2 9 3" xfId="16772"/>
    <cellStyle name="CALC Amount Total [1] 2 9 3 2" xfId="25095"/>
    <cellStyle name="CALC Amount Total [1] 2 9 3 2 2" xfId="39490"/>
    <cellStyle name="CALC Amount Total [1] 2 9 3 3" xfId="32344"/>
    <cellStyle name="CALC Amount Total [1] 2 9 3 4" xfId="39491"/>
    <cellStyle name="CALC Amount Total [1] 2 9 4" xfId="17797"/>
    <cellStyle name="CALC Amount Total [1] 2 9 4 2" xfId="26121"/>
    <cellStyle name="CALC Amount Total [1] 2 9 4 2 2" xfId="39492"/>
    <cellStyle name="CALC Amount Total [1] 2 9 4 3" xfId="33321"/>
    <cellStyle name="CALC Amount Total [1] 2 9 4 4" xfId="39493"/>
    <cellStyle name="CALC Amount Total [1] 2 9 5" xfId="18781"/>
    <cellStyle name="CALC Amount Total [1] 2 9 5 2" xfId="27102"/>
    <cellStyle name="CALC Amount Total [1] 2 9 5 2 2" xfId="39494"/>
    <cellStyle name="CALC Amount Total [1] 2 9 5 3" xfId="34261"/>
    <cellStyle name="CALC Amount Total [1] 2 9 5 4" xfId="39495"/>
    <cellStyle name="CALC Amount Total [1] 2 9 6" xfId="19749"/>
    <cellStyle name="CALC Amount Total [1] 2 9 6 2" xfId="28071"/>
    <cellStyle name="CALC Amount Total [1] 2 9 6 2 2" xfId="39496"/>
    <cellStyle name="CALC Amount Total [1] 2 9 6 3" xfId="35207"/>
    <cellStyle name="CALC Amount Total [1] 2 9 6 4" xfId="39497"/>
    <cellStyle name="CALC Amount Total [1] 2 9 7" xfId="20707"/>
    <cellStyle name="CALC Amount Total [1] 2 9 7 2" xfId="29028"/>
    <cellStyle name="CALC Amount Total [1] 2 9 7 2 2" xfId="39498"/>
    <cellStyle name="CALC Amount Total [1] 2 9 7 3" xfId="36121"/>
    <cellStyle name="CALC Amount Total [1] 2 9 7 4" xfId="39499"/>
    <cellStyle name="CALC Amount Total [1] 2 9 8" xfId="19070"/>
    <cellStyle name="CALC Amount Total [1] 2 9 8 2" xfId="27390"/>
    <cellStyle name="CALC Amount Total [1] 2 9 8 2 2" xfId="39500"/>
    <cellStyle name="CALC Amount Total [1] 2 9 8 3" xfId="34540"/>
    <cellStyle name="CALC Amount Total [1] 2 9 8 4" xfId="39501"/>
    <cellStyle name="CALC Amount Total [1] 2 9 9" xfId="22143"/>
    <cellStyle name="CALC Amount Total [1] 2 9 9 2" xfId="30441"/>
    <cellStyle name="CALC Amount Total [1] 2 9 9 2 2" xfId="39502"/>
    <cellStyle name="CALC Amount Total [1] 2 9 9 3" xfId="37472"/>
    <cellStyle name="CALC Amount Total [1] 2 9 9 4" xfId="39503"/>
    <cellStyle name="CALC Amount Total [1] 20" xfId="15305"/>
    <cellStyle name="CALC Amount Total [1] 20 10" xfId="39504"/>
    <cellStyle name="CALC Amount Total [1] 20 11" xfId="39505"/>
    <cellStyle name="CALC Amount Total [1] 20 2" xfId="16385"/>
    <cellStyle name="CALC Amount Total [1] 20 2 2" xfId="24698"/>
    <cellStyle name="CALC Amount Total [1] 20 2 2 2" xfId="39506"/>
    <cellStyle name="CALC Amount Total [1] 20 2 3" xfId="31964"/>
    <cellStyle name="CALC Amount Total [1] 20 2 4" xfId="39507"/>
    <cellStyle name="CALC Amount Total [1] 20 3" xfId="17351"/>
    <cellStyle name="CALC Amount Total [1] 20 3 2" xfId="25672"/>
    <cellStyle name="CALC Amount Total [1] 20 3 2 2" xfId="39508"/>
    <cellStyle name="CALC Amount Total [1] 20 3 3" xfId="32897"/>
    <cellStyle name="CALC Amount Total [1] 20 3 4" xfId="39509"/>
    <cellStyle name="CALC Amount Total [1] 20 4" xfId="18379"/>
    <cellStyle name="CALC Amount Total [1] 20 4 2" xfId="26699"/>
    <cellStyle name="CALC Amount Total [1] 20 4 2 2" xfId="39510"/>
    <cellStyle name="CALC Amount Total [1] 20 4 3" xfId="33875"/>
    <cellStyle name="CALC Amount Total [1] 20 4 4" xfId="39511"/>
    <cellStyle name="CALC Amount Total [1] 20 5" xfId="19362"/>
    <cellStyle name="CALC Amount Total [1] 20 5 2" xfId="27683"/>
    <cellStyle name="CALC Amount Total [1] 20 5 2 2" xfId="39512"/>
    <cellStyle name="CALC Amount Total [1] 20 5 3" xfId="34831"/>
    <cellStyle name="CALC Amount Total [1] 20 5 4" xfId="39513"/>
    <cellStyle name="CALC Amount Total [1] 20 6" xfId="20331"/>
    <cellStyle name="CALC Amount Total [1] 20 6 2" xfId="28653"/>
    <cellStyle name="CALC Amount Total [1] 20 6 2 2" xfId="39514"/>
    <cellStyle name="CALC Amount Total [1] 20 6 3" xfId="35767"/>
    <cellStyle name="CALC Amount Total [1] 20 6 4" xfId="39515"/>
    <cellStyle name="CALC Amount Total [1] 20 7" xfId="21792"/>
    <cellStyle name="CALC Amount Total [1] 20 7 2" xfId="30093"/>
    <cellStyle name="CALC Amount Total [1] 20 7 2 2" xfId="39516"/>
    <cellStyle name="CALC Amount Total [1] 20 7 3" xfId="37141"/>
    <cellStyle name="CALC Amount Total [1] 20 7 4" xfId="39517"/>
    <cellStyle name="CALC Amount Total [1] 20 8" xfId="22720"/>
    <cellStyle name="CALC Amount Total [1] 20 8 2" xfId="31016"/>
    <cellStyle name="CALC Amount Total [1] 20 8 2 2" xfId="39518"/>
    <cellStyle name="CALC Amount Total [1] 20 8 3" xfId="38024"/>
    <cellStyle name="CALC Amount Total [1] 20 8 4" xfId="39519"/>
    <cellStyle name="CALC Amount Total [1] 20 9" xfId="23662"/>
    <cellStyle name="CALC Amount Total [1] 20 9 2" xfId="39520"/>
    <cellStyle name="CALC Amount Total [1] 21" xfId="15358"/>
    <cellStyle name="CALC Amount Total [1] 21 10" xfId="39521"/>
    <cellStyle name="CALC Amount Total [1] 21 11" xfId="39522"/>
    <cellStyle name="CALC Amount Total [1] 21 2" xfId="16438"/>
    <cellStyle name="CALC Amount Total [1] 21 2 2" xfId="24751"/>
    <cellStyle name="CALC Amount Total [1] 21 2 2 2" xfId="39523"/>
    <cellStyle name="CALC Amount Total [1] 21 2 3" xfId="32015"/>
    <cellStyle name="CALC Amount Total [1] 21 2 4" xfId="39524"/>
    <cellStyle name="CALC Amount Total [1] 21 3" xfId="17404"/>
    <cellStyle name="CALC Amount Total [1] 21 3 2" xfId="25725"/>
    <cellStyle name="CALC Amount Total [1] 21 3 2 2" xfId="39525"/>
    <cellStyle name="CALC Amount Total [1] 21 3 3" xfId="32948"/>
    <cellStyle name="CALC Amount Total [1] 21 3 4" xfId="39526"/>
    <cellStyle name="CALC Amount Total [1] 21 4" xfId="18432"/>
    <cellStyle name="CALC Amount Total [1] 21 4 2" xfId="26752"/>
    <cellStyle name="CALC Amount Total [1] 21 4 2 2" xfId="39527"/>
    <cellStyle name="CALC Amount Total [1] 21 4 3" xfId="33926"/>
    <cellStyle name="CALC Amount Total [1] 21 4 4" xfId="39528"/>
    <cellStyle name="CALC Amount Total [1] 21 5" xfId="19415"/>
    <cellStyle name="CALC Amount Total [1] 21 5 2" xfId="27736"/>
    <cellStyle name="CALC Amount Total [1] 21 5 2 2" xfId="39529"/>
    <cellStyle name="CALC Amount Total [1] 21 5 3" xfId="34884"/>
    <cellStyle name="CALC Amount Total [1] 21 5 4" xfId="39530"/>
    <cellStyle name="CALC Amount Total [1] 21 6" xfId="20384"/>
    <cellStyle name="CALC Amount Total [1] 21 6 2" xfId="28706"/>
    <cellStyle name="CALC Amount Total [1] 21 6 2 2" xfId="39531"/>
    <cellStyle name="CALC Amount Total [1] 21 6 3" xfId="35818"/>
    <cellStyle name="CALC Amount Total [1] 21 6 4" xfId="39532"/>
    <cellStyle name="CALC Amount Total [1] 21 7" xfId="21845"/>
    <cellStyle name="CALC Amount Total [1] 21 7 2" xfId="30146"/>
    <cellStyle name="CALC Amount Total [1] 21 7 2 2" xfId="39533"/>
    <cellStyle name="CALC Amount Total [1] 21 7 3" xfId="39534"/>
    <cellStyle name="CALC Amount Total [1] 21 7 4" xfId="39535"/>
    <cellStyle name="CALC Amount Total [1] 21 8" xfId="22773"/>
    <cellStyle name="CALC Amount Total [1] 21 8 2" xfId="31069"/>
    <cellStyle name="CALC Amount Total [1] 21 8 2 2" xfId="39536"/>
    <cellStyle name="CALC Amount Total [1] 21 8 3" xfId="38075"/>
    <cellStyle name="CALC Amount Total [1] 21 8 4" xfId="39537"/>
    <cellStyle name="CALC Amount Total [1] 21 9" xfId="23715"/>
    <cellStyle name="CALC Amount Total [1] 21 9 2" xfId="39538"/>
    <cellStyle name="CALC Amount Total [1] 22" xfId="15465"/>
    <cellStyle name="CALC Amount Total [1] 22 2" xfId="17511"/>
    <cellStyle name="CALC Amount Total [1] 22 2 2" xfId="39539"/>
    <cellStyle name="CALC Amount Total [1] 22 2 2 2" xfId="39540"/>
    <cellStyle name="CALC Amount Total [1] 22 2 3" xfId="39541"/>
    <cellStyle name="CALC Amount Total [1] 22 2 4" xfId="39542"/>
    <cellStyle name="CALC Amount Total [1] 22 3" xfId="19522"/>
    <cellStyle name="CALC Amount Total [1] 22 3 2" xfId="27843"/>
    <cellStyle name="CALC Amount Total [1] 22 3 2 2" xfId="39543"/>
    <cellStyle name="CALC Amount Total [1] 22 3 3" xfId="34991"/>
    <cellStyle name="CALC Amount Total [1] 22 3 4" xfId="39544"/>
    <cellStyle name="CALC Amount Total [1] 22 4" xfId="39545"/>
    <cellStyle name="CALC Amount Total [1] 22 4 2" xfId="39546"/>
    <cellStyle name="CALC Amount Total [1] 23" xfId="39547"/>
    <cellStyle name="CALC Amount Total [1] 23 2" xfId="39548"/>
    <cellStyle name="CALC Amount Total [1] 3" xfId="14530"/>
    <cellStyle name="CALC Amount Total [1] 3 2" xfId="15606"/>
    <cellStyle name="CALC Amount Total [1] 3 2 2" xfId="23920"/>
    <cellStyle name="CALC Amount Total [1] 3 2 2 2" xfId="39549"/>
    <cellStyle name="CALC Amount Total [1] 3 2 3" xfId="39550"/>
    <cellStyle name="CALC Amount Total [1] 3 2 4" xfId="39551"/>
    <cellStyle name="CALC Amount Total [1] 3 3" xfId="16575"/>
    <cellStyle name="CALC Amount Total [1] 3 3 2" xfId="24891"/>
    <cellStyle name="CALC Amount Total [1] 3 3 2 2" xfId="39552"/>
    <cellStyle name="CALC Amount Total [1] 3 3 3" xfId="32151"/>
    <cellStyle name="CALC Amount Total [1] 3 3 4" xfId="39553"/>
    <cellStyle name="CALC Amount Total [1] 3 4" xfId="17593"/>
    <cellStyle name="CALC Amount Total [1] 3 4 2" xfId="25915"/>
    <cellStyle name="CALC Amount Total [1] 3 4 2 2" xfId="39554"/>
    <cellStyle name="CALC Amount Total [1] 3 4 3" xfId="33128"/>
    <cellStyle name="CALC Amount Total [1] 3 4 4" xfId="39555"/>
    <cellStyle name="CALC Amount Total [1] 3 5" xfId="18574"/>
    <cellStyle name="CALC Amount Total [1] 3 5 2" xfId="26893"/>
    <cellStyle name="CALC Amount Total [1] 3 5 2 2" xfId="39556"/>
    <cellStyle name="CALC Amount Total [1] 3 5 3" xfId="34062"/>
    <cellStyle name="CALC Amount Total [1] 3 5 4" xfId="39557"/>
    <cellStyle name="CALC Amount Total [1] 3 6" xfId="17547"/>
    <cellStyle name="CALC Amount Total [1] 3 6 2" xfId="25866"/>
    <cellStyle name="CALC Amount Total [1] 3 6 2 2" xfId="39558"/>
    <cellStyle name="CALC Amount Total [1] 3 6 3" xfId="33083"/>
    <cellStyle name="CALC Amount Total [1] 3 6 4" xfId="39559"/>
    <cellStyle name="CALC Amount Total [1] 3 7" xfId="19515"/>
    <cellStyle name="CALC Amount Total [1] 3 7 2" xfId="27836"/>
    <cellStyle name="CALC Amount Total [1] 3 7 2 2" xfId="39560"/>
    <cellStyle name="CALC Amount Total [1] 3 7 3" xfId="34984"/>
    <cellStyle name="CALC Amount Total [1] 3 7 4" xfId="39561"/>
    <cellStyle name="CALC Amount Total [1] 3 8" xfId="22884"/>
    <cellStyle name="CALC Amount Total [1] 3 8 2" xfId="39562"/>
    <cellStyle name="CALC Amount Total [1] 4" xfId="14577"/>
    <cellStyle name="CALC Amount Total [1] 4 10" xfId="22936"/>
    <cellStyle name="CALC Amount Total [1] 4 10 2" xfId="39563"/>
    <cellStyle name="CALC Amount Total [1] 4 11" xfId="39564"/>
    <cellStyle name="CALC Amount Total [1] 4 2" xfId="15658"/>
    <cellStyle name="CALC Amount Total [1] 4 2 2" xfId="23972"/>
    <cellStyle name="CALC Amount Total [1] 4 2 2 2" xfId="39565"/>
    <cellStyle name="CALC Amount Total [1] 4 2 3" xfId="31269"/>
    <cellStyle name="CALC Amount Total [1] 4 2 4" xfId="39566"/>
    <cellStyle name="CALC Amount Total [1] 4 3" xfId="16625"/>
    <cellStyle name="CALC Amount Total [1] 4 3 2" xfId="24943"/>
    <cellStyle name="CALC Amount Total [1] 4 3 2 2" xfId="39567"/>
    <cellStyle name="CALC Amount Total [1] 4 3 3" xfId="32202"/>
    <cellStyle name="CALC Amount Total [1] 4 3 4" xfId="39568"/>
    <cellStyle name="CALC Amount Total [1] 4 4" xfId="17646"/>
    <cellStyle name="CALC Amount Total [1] 4 4 2" xfId="25969"/>
    <cellStyle name="CALC Amount Total [1] 4 4 2 2" xfId="39569"/>
    <cellStyle name="CALC Amount Total [1] 4 4 3" xfId="33179"/>
    <cellStyle name="CALC Amount Total [1] 4 4 4" xfId="39570"/>
    <cellStyle name="CALC Amount Total [1] 4 5" xfId="18628"/>
    <cellStyle name="CALC Amount Total [1] 4 5 2" xfId="26948"/>
    <cellStyle name="CALC Amount Total [1] 4 5 2 2" xfId="39571"/>
    <cellStyle name="CALC Amount Total [1] 4 5 3" xfId="34116"/>
    <cellStyle name="CALC Amount Total [1] 4 5 4" xfId="39572"/>
    <cellStyle name="CALC Amount Total [1] 4 6" xfId="19597"/>
    <cellStyle name="CALC Amount Total [1] 4 6 2" xfId="27917"/>
    <cellStyle name="CALC Amount Total [1] 4 6 2 2" xfId="39573"/>
    <cellStyle name="CALC Amount Total [1] 4 6 3" xfId="35062"/>
    <cellStyle name="CALC Amount Total [1] 4 6 4" xfId="39574"/>
    <cellStyle name="CALC Amount Total [1] 4 7" xfId="20554"/>
    <cellStyle name="CALC Amount Total [1] 4 7 2" xfId="28876"/>
    <cellStyle name="CALC Amount Total [1] 4 7 2 2" xfId="39575"/>
    <cellStyle name="CALC Amount Total [1] 4 7 3" xfId="35979"/>
    <cellStyle name="CALC Amount Total [1] 4 7 4" xfId="39576"/>
    <cellStyle name="CALC Amount Total [1] 4 8" xfId="21188"/>
    <cellStyle name="CALC Amount Total [1] 4 8 2" xfId="29500"/>
    <cellStyle name="CALC Amount Total [1] 4 8 2 2" xfId="39577"/>
    <cellStyle name="CALC Amount Total [1] 4 8 3" xfId="36571"/>
    <cellStyle name="CALC Amount Total [1] 4 8 4" xfId="39578"/>
    <cellStyle name="CALC Amount Total [1] 4 9" xfId="21990"/>
    <cellStyle name="CALC Amount Total [1] 4 9 2" xfId="30290"/>
    <cellStyle name="CALC Amount Total [1] 4 9 2 2" xfId="39579"/>
    <cellStyle name="CALC Amount Total [1] 4 9 3" xfId="37330"/>
    <cellStyle name="CALC Amount Total [1] 4 9 4" xfId="39580"/>
    <cellStyle name="CALC Amount Total [1] 5" xfId="14618"/>
    <cellStyle name="CALC Amount Total [1] 5 10" xfId="22980"/>
    <cellStyle name="CALC Amount Total [1] 5 10 2" xfId="39581"/>
    <cellStyle name="CALC Amount Total [1] 5 11" xfId="39582"/>
    <cellStyle name="CALC Amount Total [1] 5 2" xfId="15699"/>
    <cellStyle name="CALC Amount Total [1] 5 2 2" xfId="24015"/>
    <cellStyle name="CALC Amount Total [1] 5 2 2 2" xfId="39583"/>
    <cellStyle name="CALC Amount Total [1] 5 2 3" xfId="31309"/>
    <cellStyle name="CALC Amount Total [1] 5 2 4" xfId="39584"/>
    <cellStyle name="CALC Amount Total [1] 5 3" xfId="16666"/>
    <cellStyle name="CALC Amount Total [1] 5 3 2" xfId="24986"/>
    <cellStyle name="CALC Amount Total [1] 5 3 2 2" xfId="39585"/>
    <cellStyle name="CALC Amount Total [1] 5 3 3" xfId="32242"/>
    <cellStyle name="CALC Amount Total [1] 5 3 4" xfId="39586"/>
    <cellStyle name="CALC Amount Total [1] 5 4" xfId="17689"/>
    <cellStyle name="CALC Amount Total [1] 5 4 2" xfId="26012"/>
    <cellStyle name="CALC Amount Total [1] 5 4 2 2" xfId="39587"/>
    <cellStyle name="CALC Amount Total [1] 5 4 3" xfId="33219"/>
    <cellStyle name="CALC Amount Total [1] 5 4 4" xfId="39588"/>
    <cellStyle name="CALC Amount Total [1] 5 5" xfId="18672"/>
    <cellStyle name="CALC Amount Total [1] 5 5 2" xfId="26993"/>
    <cellStyle name="CALC Amount Total [1] 5 5 2 2" xfId="39589"/>
    <cellStyle name="CALC Amount Total [1] 5 5 3" xfId="34158"/>
    <cellStyle name="CALC Amount Total [1] 5 5 4" xfId="39590"/>
    <cellStyle name="CALC Amount Total [1] 5 6" xfId="19641"/>
    <cellStyle name="CALC Amount Total [1] 5 6 2" xfId="27962"/>
    <cellStyle name="CALC Amount Total [1] 5 6 2 2" xfId="39591"/>
    <cellStyle name="CALC Amount Total [1] 5 6 3" xfId="35104"/>
    <cellStyle name="CALC Amount Total [1] 5 6 4" xfId="39592"/>
    <cellStyle name="CALC Amount Total [1] 5 7" xfId="20598"/>
    <cellStyle name="CALC Amount Total [1] 5 7 2" xfId="28919"/>
    <cellStyle name="CALC Amount Total [1] 5 7 2 2" xfId="39593"/>
    <cellStyle name="CALC Amount Total [1] 5 7 3" xfId="36019"/>
    <cellStyle name="CALC Amount Total [1] 5 7 4" xfId="39594"/>
    <cellStyle name="CALC Amount Total [1] 5 8" xfId="21223"/>
    <cellStyle name="CALC Amount Total [1] 5 8 2" xfId="29534"/>
    <cellStyle name="CALC Amount Total [1] 5 8 2 2" xfId="39595"/>
    <cellStyle name="CALC Amount Total [1] 5 8 3" xfId="36603"/>
    <cellStyle name="CALC Amount Total [1] 5 8 4" xfId="39596"/>
    <cellStyle name="CALC Amount Total [1] 5 9" xfId="22035"/>
    <cellStyle name="CALC Amount Total [1] 5 9 2" xfId="30333"/>
    <cellStyle name="CALC Amount Total [1] 5 9 2 2" xfId="39597"/>
    <cellStyle name="CALC Amount Total [1] 5 9 3" xfId="37370"/>
    <cellStyle name="CALC Amount Total [1] 5 9 4" xfId="39598"/>
    <cellStyle name="CALC Amount Total [1] 6" xfId="14638"/>
    <cellStyle name="CALC Amount Total [1] 6 10" xfId="23000"/>
    <cellStyle name="CALC Amount Total [1] 6 10 2" xfId="39599"/>
    <cellStyle name="CALC Amount Total [1] 6 11" xfId="39600"/>
    <cellStyle name="CALC Amount Total [1] 6 2" xfId="15719"/>
    <cellStyle name="CALC Amount Total [1] 6 2 2" xfId="24035"/>
    <cellStyle name="CALC Amount Total [1] 6 2 2 2" xfId="39601"/>
    <cellStyle name="CALC Amount Total [1] 6 2 3" xfId="31328"/>
    <cellStyle name="CALC Amount Total [1] 6 2 4" xfId="39602"/>
    <cellStyle name="CALC Amount Total [1] 6 3" xfId="16685"/>
    <cellStyle name="CALC Amount Total [1] 6 3 2" xfId="25006"/>
    <cellStyle name="CALC Amount Total [1] 6 3 2 2" xfId="39603"/>
    <cellStyle name="CALC Amount Total [1] 6 3 3" xfId="32261"/>
    <cellStyle name="CALC Amount Total [1] 6 3 4" xfId="39604"/>
    <cellStyle name="CALC Amount Total [1] 6 4" xfId="17709"/>
    <cellStyle name="CALC Amount Total [1] 6 4 2" xfId="26032"/>
    <cellStyle name="CALC Amount Total [1] 6 4 2 2" xfId="39605"/>
    <cellStyle name="CALC Amount Total [1] 6 4 3" xfId="33238"/>
    <cellStyle name="CALC Amount Total [1] 6 4 4" xfId="39606"/>
    <cellStyle name="CALC Amount Total [1] 6 5" xfId="18692"/>
    <cellStyle name="CALC Amount Total [1] 6 5 2" xfId="27013"/>
    <cellStyle name="CALC Amount Total [1] 6 5 2 2" xfId="39607"/>
    <cellStyle name="CALC Amount Total [1] 6 5 3" xfId="34177"/>
    <cellStyle name="CALC Amount Total [1] 6 5 4" xfId="39608"/>
    <cellStyle name="CALC Amount Total [1] 6 6" xfId="19661"/>
    <cellStyle name="CALC Amount Total [1] 6 6 2" xfId="27982"/>
    <cellStyle name="CALC Amount Total [1] 6 6 2 2" xfId="39609"/>
    <cellStyle name="CALC Amount Total [1] 6 6 3" xfId="35123"/>
    <cellStyle name="CALC Amount Total [1] 6 6 4" xfId="39610"/>
    <cellStyle name="CALC Amount Total [1] 6 7" xfId="20618"/>
    <cellStyle name="CALC Amount Total [1] 6 7 2" xfId="28939"/>
    <cellStyle name="CALC Amount Total [1] 6 7 2 2" xfId="39611"/>
    <cellStyle name="CALC Amount Total [1] 6 7 3" xfId="36038"/>
    <cellStyle name="CALC Amount Total [1] 6 7 4" xfId="39612"/>
    <cellStyle name="CALC Amount Total [1] 6 8" xfId="21343"/>
    <cellStyle name="CALC Amount Total [1] 6 8 2" xfId="29647"/>
    <cellStyle name="CALC Amount Total [1] 6 8 2 2" xfId="39613"/>
    <cellStyle name="CALC Amount Total [1] 6 8 3" xfId="36712"/>
    <cellStyle name="CALC Amount Total [1] 6 8 4" xfId="39614"/>
    <cellStyle name="CALC Amount Total [1] 6 9" xfId="22055"/>
    <cellStyle name="CALC Amount Total [1] 6 9 2" xfId="30353"/>
    <cellStyle name="CALC Amount Total [1] 6 9 2 2" xfId="39615"/>
    <cellStyle name="CALC Amount Total [1] 6 9 3" xfId="37389"/>
    <cellStyle name="CALC Amount Total [1] 6 9 4" xfId="39616"/>
    <cellStyle name="CALC Amount Total [1] 7" xfId="14678"/>
    <cellStyle name="CALC Amount Total [1] 7 10" xfId="23040"/>
    <cellStyle name="CALC Amount Total [1] 7 10 2" xfId="39617"/>
    <cellStyle name="CALC Amount Total [1] 7 11" xfId="39618"/>
    <cellStyle name="CALC Amount Total [1] 7 2" xfId="15759"/>
    <cellStyle name="CALC Amount Total [1] 7 2 2" xfId="24075"/>
    <cellStyle name="CALC Amount Total [1] 7 2 2 2" xfId="39619"/>
    <cellStyle name="CALC Amount Total [1] 7 2 3" xfId="31366"/>
    <cellStyle name="CALC Amount Total [1] 7 2 4" xfId="39620"/>
    <cellStyle name="CALC Amount Total [1] 7 3" xfId="16725"/>
    <cellStyle name="CALC Amount Total [1] 7 3 2" xfId="25046"/>
    <cellStyle name="CALC Amount Total [1] 7 3 2 2" xfId="39621"/>
    <cellStyle name="CALC Amount Total [1] 7 3 3" xfId="32299"/>
    <cellStyle name="CALC Amount Total [1] 7 3 4" xfId="39622"/>
    <cellStyle name="CALC Amount Total [1] 7 4" xfId="17749"/>
    <cellStyle name="CALC Amount Total [1] 7 4 2" xfId="26072"/>
    <cellStyle name="CALC Amount Total [1] 7 4 2 2" xfId="39623"/>
    <cellStyle name="CALC Amount Total [1] 7 4 3" xfId="33276"/>
    <cellStyle name="CALC Amount Total [1] 7 4 4" xfId="39624"/>
    <cellStyle name="CALC Amount Total [1] 7 5" xfId="18732"/>
    <cellStyle name="CALC Amount Total [1] 7 5 2" xfId="27053"/>
    <cellStyle name="CALC Amount Total [1] 7 5 2 2" xfId="39625"/>
    <cellStyle name="CALC Amount Total [1] 7 5 3" xfId="34215"/>
    <cellStyle name="CALC Amount Total [1] 7 5 4" xfId="39626"/>
    <cellStyle name="CALC Amount Total [1] 7 6" xfId="19701"/>
    <cellStyle name="CALC Amount Total [1] 7 6 2" xfId="28022"/>
    <cellStyle name="CALC Amount Total [1] 7 6 2 2" xfId="39627"/>
    <cellStyle name="CALC Amount Total [1] 7 6 3" xfId="35161"/>
    <cellStyle name="CALC Amount Total [1] 7 6 4" xfId="39628"/>
    <cellStyle name="CALC Amount Total [1] 7 7" xfId="20658"/>
    <cellStyle name="CALC Amount Total [1] 7 7 2" xfId="28979"/>
    <cellStyle name="CALC Amount Total [1] 7 7 2 2" xfId="39629"/>
    <cellStyle name="CALC Amount Total [1] 7 7 3" xfId="36076"/>
    <cellStyle name="CALC Amount Total [1] 7 7 4" xfId="39630"/>
    <cellStyle name="CALC Amount Total [1] 7 8" xfId="21162"/>
    <cellStyle name="CALC Amount Total [1] 7 8 2" xfId="29474"/>
    <cellStyle name="CALC Amount Total [1] 7 8 2 2" xfId="39631"/>
    <cellStyle name="CALC Amount Total [1] 7 8 3" xfId="36546"/>
    <cellStyle name="CALC Amount Total [1] 7 8 4" xfId="39632"/>
    <cellStyle name="CALC Amount Total [1] 7 9" xfId="22095"/>
    <cellStyle name="CALC Amount Total [1] 7 9 2" xfId="30393"/>
    <cellStyle name="CALC Amount Total [1] 7 9 2 2" xfId="39633"/>
    <cellStyle name="CALC Amount Total [1] 7 9 3" xfId="37427"/>
    <cellStyle name="CALC Amount Total [1] 7 9 4" xfId="39634"/>
    <cellStyle name="CALC Amount Total [1] 8" xfId="14779"/>
    <cellStyle name="CALC Amount Total [1] 8 10" xfId="23143"/>
    <cellStyle name="CALC Amount Total [1] 8 10 2" xfId="39635"/>
    <cellStyle name="CALC Amount Total [1] 8 11" xfId="39636"/>
    <cellStyle name="CALC Amount Total [1] 8 12" xfId="39637"/>
    <cellStyle name="CALC Amount Total [1] 8 2" xfId="15860"/>
    <cellStyle name="CALC Amount Total [1] 8 2 2" xfId="24178"/>
    <cellStyle name="CALC Amount Total [1] 8 2 2 2" xfId="39638"/>
    <cellStyle name="CALC Amount Total [1] 8 2 3" xfId="31466"/>
    <cellStyle name="CALC Amount Total [1] 8 2 4" xfId="39639"/>
    <cellStyle name="CALC Amount Total [1] 8 3" xfId="16826"/>
    <cellStyle name="CALC Amount Total [1] 8 3 2" xfId="25150"/>
    <cellStyle name="CALC Amount Total [1] 8 3 2 2" xfId="39640"/>
    <cellStyle name="CALC Amount Total [1] 8 3 3" xfId="32399"/>
    <cellStyle name="CALC Amount Total [1] 8 3 4" xfId="39641"/>
    <cellStyle name="CALC Amount Total [1] 8 4" xfId="17852"/>
    <cellStyle name="CALC Amount Total [1] 8 4 2" xfId="26176"/>
    <cellStyle name="CALC Amount Total [1] 8 4 2 2" xfId="39642"/>
    <cellStyle name="CALC Amount Total [1] 8 4 3" xfId="33376"/>
    <cellStyle name="CALC Amount Total [1] 8 4 4" xfId="39643"/>
    <cellStyle name="CALC Amount Total [1] 8 5" xfId="18836"/>
    <cellStyle name="CALC Amount Total [1] 8 5 2" xfId="27157"/>
    <cellStyle name="CALC Amount Total [1] 8 5 2 2" xfId="39644"/>
    <cellStyle name="CALC Amount Total [1] 8 5 3" xfId="34316"/>
    <cellStyle name="CALC Amount Total [1] 8 5 4" xfId="39645"/>
    <cellStyle name="CALC Amount Total [1] 8 6" xfId="19804"/>
    <cellStyle name="CALC Amount Total [1] 8 6 2" xfId="28126"/>
    <cellStyle name="CALC Amount Total [1] 8 6 2 2" xfId="39646"/>
    <cellStyle name="CALC Amount Total [1] 8 6 3" xfId="35262"/>
    <cellStyle name="CALC Amount Total [1] 8 6 4" xfId="39647"/>
    <cellStyle name="CALC Amount Total [1] 8 7" xfId="20762"/>
    <cellStyle name="CALC Amount Total [1] 8 7 2" xfId="29083"/>
    <cellStyle name="CALC Amount Total [1] 8 7 2 2" xfId="39648"/>
    <cellStyle name="CALC Amount Total [1] 8 7 3" xfId="36175"/>
    <cellStyle name="CALC Amount Total [1] 8 7 4" xfId="39649"/>
    <cellStyle name="CALC Amount Total [1] 8 8" xfId="21166"/>
    <cellStyle name="CALC Amount Total [1] 8 8 2" xfId="29478"/>
    <cellStyle name="CALC Amount Total [1] 8 8 2 2" xfId="39650"/>
    <cellStyle name="CALC Amount Total [1] 8 8 3" xfId="36550"/>
    <cellStyle name="CALC Amount Total [1] 8 8 4" xfId="39651"/>
    <cellStyle name="CALC Amount Total [1] 8 9" xfId="22198"/>
    <cellStyle name="CALC Amount Total [1] 8 9 2" xfId="30496"/>
    <cellStyle name="CALC Amount Total [1] 8 9 2 2" xfId="39652"/>
    <cellStyle name="CALC Amount Total [1] 8 9 3" xfId="37527"/>
    <cellStyle name="CALC Amount Total [1] 8 9 4" xfId="39653"/>
    <cellStyle name="CALC Amount Total [1] 9" xfId="14824"/>
    <cellStyle name="CALC Amount Total [1] 9 10" xfId="23188"/>
    <cellStyle name="CALC Amount Total [1] 9 10 2" xfId="39654"/>
    <cellStyle name="CALC Amount Total [1] 9 11" xfId="39655"/>
    <cellStyle name="CALC Amount Total [1] 9 12" xfId="39656"/>
    <cellStyle name="CALC Amount Total [1] 9 2" xfId="15905"/>
    <cellStyle name="CALC Amount Total [1] 9 2 2" xfId="24223"/>
    <cellStyle name="CALC Amount Total [1] 9 2 2 2" xfId="39657"/>
    <cellStyle name="CALC Amount Total [1] 9 2 3" xfId="31509"/>
    <cellStyle name="CALC Amount Total [1] 9 2 4" xfId="39658"/>
    <cellStyle name="CALC Amount Total [1] 9 3" xfId="16871"/>
    <cellStyle name="CALC Amount Total [1] 9 3 2" xfId="25195"/>
    <cellStyle name="CALC Amount Total [1] 9 3 2 2" xfId="39659"/>
    <cellStyle name="CALC Amount Total [1] 9 3 3" xfId="32442"/>
    <cellStyle name="CALC Amount Total [1] 9 3 4" xfId="39660"/>
    <cellStyle name="CALC Amount Total [1] 9 4" xfId="17898"/>
    <cellStyle name="CALC Amount Total [1] 9 4 2" xfId="26221"/>
    <cellStyle name="CALC Amount Total [1] 9 4 2 2" xfId="39661"/>
    <cellStyle name="CALC Amount Total [1] 9 4 3" xfId="33419"/>
    <cellStyle name="CALC Amount Total [1] 9 4 4" xfId="39662"/>
    <cellStyle name="CALC Amount Total [1] 9 5" xfId="18882"/>
    <cellStyle name="CALC Amount Total [1] 9 5 2" xfId="27202"/>
    <cellStyle name="CALC Amount Total [1] 9 5 2 2" xfId="39663"/>
    <cellStyle name="CALC Amount Total [1] 9 5 3" xfId="34359"/>
    <cellStyle name="CALC Amount Total [1] 9 5 4" xfId="39664"/>
    <cellStyle name="CALC Amount Total [1] 9 6" xfId="19850"/>
    <cellStyle name="CALC Amount Total [1] 9 6 2" xfId="28172"/>
    <cellStyle name="CALC Amount Total [1] 9 6 2 2" xfId="39665"/>
    <cellStyle name="CALC Amount Total [1] 9 6 3" xfId="35306"/>
    <cellStyle name="CALC Amount Total [1] 9 6 4" xfId="39666"/>
    <cellStyle name="CALC Amount Total [1] 9 7" xfId="20808"/>
    <cellStyle name="CALC Amount Total [1] 9 7 2" xfId="29128"/>
    <cellStyle name="CALC Amount Total [1] 9 7 2 2" xfId="39667"/>
    <cellStyle name="CALC Amount Total [1] 9 7 3" xfId="36217"/>
    <cellStyle name="CALC Amount Total [1] 9 7 4" xfId="39668"/>
    <cellStyle name="CALC Amount Total [1] 9 8" xfId="21214"/>
    <cellStyle name="CALC Amount Total [1] 9 8 2" xfId="29525"/>
    <cellStyle name="CALC Amount Total [1] 9 8 2 2" xfId="39669"/>
    <cellStyle name="CALC Amount Total [1] 9 8 3" xfId="36594"/>
    <cellStyle name="CALC Amount Total [1] 9 8 4" xfId="39670"/>
    <cellStyle name="CALC Amount Total [1] 9 9" xfId="22243"/>
    <cellStyle name="CALC Amount Total [1] 9 9 2" xfId="30542"/>
    <cellStyle name="CALC Amount Total [1] 9 9 2 2" xfId="39671"/>
    <cellStyle name="CALC Amount Total [1] 9 9 3" xfId="37570"/>
    <cellStyle name="CALC Amount Total [1] 9 9 4" xfId="39672"/>
    <cellStyle name="CALC Amount Total [2]" xfId="14454"/>
    <cellStyle name="CALC Amount Total [2] 10" xfId="14811"/>
    <cellStyle name="CALC Amount Total [2] 10 10" xfId="23175"/>
    <cellStyle name="CALC Amount Total [2] 10 10 2" xfId="39673"/>
    <cellStyle name="CALC Amount Total [2] 10 11" xfId="39674"/>
    <cellStyle name="CALC Amount Total [2] 10 12" xfId="39675"/>
    <cellStyle name="CALC Amount Total [2] 10 2" xfId="15892"/>
    <cellStyle name="CALC Amount Total [2] 10 2 2" xfId="24210"/>
    <cellStyle name="CALC Amount Total [2] 10 2 2 2" xfId="39676"/>
    <cellStyle name="CALC Amount Total [2] 10 2 3" xfId="31496"/>
    <cellStyle name="CALC Amount Total [2] 10 2 4" xfId="39677"/>
    <cellStyle name="CALC Amount Total [2] 10 3" xfId="16858"/>
    <cellStyle name="CALC Amount Total [2] 10 3 2" xfId="25182"/>
    <cellStyle name="CALC Amount Total [2] 10 3 2 2" xfId="39678"/>
    <cellStyle name="CALC Amount Total [2] 10 3 3" xfId="32429"/>
    <cellStyle name="CALC Amount Total [2] 10 3 4" xfId="39679"/>
    <cellStyle name="CALC Amount Total [2] 10 4" xfId="17885"/>
    <cellStyle name="CALC Amount Total [2] 10 4 2" xfId="26208"/>
    <cellStyle name="CALC Amount Total [2] 10 4 2 2" xfId="39680"/>
    <cellStyle name="CALC Amount Total [2] 10 4 3" xfId="33406"/>
    <cellStyle name="CALC Amount Total [2] 10 4 4" xfId="39681"/>
    <cellStyle name="CALC Amount Total [2] 10 5" xfId="18869"/>
    <cellStyle name="CALC Amount Total [2] 10 5 2" xfId="27189"/>
    <cellStyle name="CALC Amount Total [2] 10 5 2 2" xfId="39682"/>
    <cellStyle name="CALC Amount Total [2] 10 5 3" xfId="34346"/>
    <cellStyle name="CALC Amount Total [2] 10 5 4" xfId="39683"/>
    <cellStyle name="CALC Amount Total [2] 10 6" xfId="19837"/>
    <cellStyle name="CALC Amount Total [2] 10 6 2" xfId="28159"/>
    <cellStyle name="CALC Amount Total [2] 10 6 2 2" xfId="39684"/>
    <cellStyle name="CALC Amount Total [2] 10 6 3" xfId="35293"/>
    <cellStyle name="CALC Amount Total [2] 10 6 4" xfId="39685"/>
    <cellStyle name="CALC Amount Total [2] 10 7" xfId="20795"/>
    <cellStyle name="CALC Amount Total [2] 10 7 2" xfId="29115"/>
    <cellStyle name="CALC Amount Total [2] 10 7 2 2" xfId="39686"/>
    <cellStyle name="CALC Amount Total [2] 10 7 3" xfId="36204"/>
    <cellStyle name="CALC Amount Total [2] 10 7 4" xfId="39687"/>
    <cellStyle name="CALC Amount Total [2] 10 8" xfId="21327"/>
    <cellStyle name="CALC Amount Total [2] 10 8 2" xfId="29632"/>
    <cellStyle name="CALC Amount Total [2] 10 8 2 2" xfId="39688"/>
    <cellStyle name="CALC Amount Total [2] 10 8 3" xfId="36698"/>
    <cellStyle name="CALC Amount Total [2] 10 8 4" xfId="39689"/>
    <cellStyle name="CALC Amount Total [2] 10 9" xfId="22230"/>
    <cellStyle name="CALC Amount Total [2] 10 9 2" xfId="30529"/>
    <cellStyle name="CALC Amount Total [2] 10 9 2 2" xfId="39690"/>
    <cellStyle name="CALC Amount Total [2] 10 9 3" xfId="37557"/>
    <cellStyle name="CALC Amount Total [2] 10 9 4" xfId="39691"/>
    <cellStyle name="CALC Amount Total [2] 11" xfId="14861"/>
    <cellStyle name="CALC Amount Total [2] 11 10" xfId="23224"/>
    <cellStyle name="CALC Amount Total [2] 11 10 2" xfId="39692"/>
    <cellStyle name="CALC Amount Total [2] 11 11" xfId="39693"/>
    <cellStyle name="CALC Amount Total [2] 11 12" xfId="39694"/>
    <cellStyle name="CALC Amount Total [2] 11 2" xfId="15942"/>
    <cellStyle name="CALC Amount Total [2] 11 2 2" xfId="24259"/>
    <cellStyle name="CALC Amount Total [2] 11 2 2 2" xfId="39695"/>
    <cellStyle name="CALC Amount Total [2] 11 2 3" xfId="31543"/>
    <cellStyle name="CALC Amount Total [2] 11 2 4" xfId="39696"/>
    <cellStyle name="CALC Amount Total [2] 11 3" xfId="16908"/>
    <cellStyle name="CALC Amount Total [2] 11 3 2" xfId="25231"/>
    <cellStyle name="CALC Amount Total [2] 11 3 2 2" xfId="39697"/>
    <cellStyle name="CALC Amount Total [2] 11 3 3" xfId="32476"/>
    <cellStyle name="CALC Amount Total [2] 11 3 4" xfId="39698"/>
    <cellStyle name="CALC Amount Total [2] 11 4" xfId="17935"/>
    <cellStyle name="CALC Amount Total [2] 11 4 2" xfId="26257"/>
    <cellStyle name="CALC Amount Total [2] 11 4 2 2" xfId="39699"/>
    <cellStyle name="CALC Amount Total [2] 11 4 3" xfId="33453"/>
    <cellStyle name="CALC Amount Total [2] 11 4 4" xfId="39700"/>
    <cellStyle name="CALC Amount Total [2] 11 5" xfId="18919"/>
    <cellStyle name="CALC Amount Total [2] 11 5 2" xfId="27239"/>
    <cellStyle name="CALC Amount Total [2] 11 5 2 2" xfId="39701"/>
    <cellStyle name="CALC Amount Total [2] 11 5 3" xfId="34394"/>
    <cellStyle name="CALC Amount Total [2] 11 5 4" xfId="39702"/>
    <cellStyle name="CALC Amount Total [2] 11 6" xfId="19887"/>
    <cellStyle name="CALC Amount Total [2] 11 6 2" xfId="28209"/>
    <cellStyle name="CALC Amount Total [2] 11 6 2 2" xfId="39703"/>
    <cellStyle name="CALC Amount Total [2] 11 6 3" xfId="35341"/>
    <cellStyle name="CALC Amount Total [2] 11 6 4" xfId="39704"/>
    <cellStyle name="CALC Amount Total [2] 11 7" xfId="20845"/>
    <cellStyle name="CALC Amount Total [2] 11 7 2" xfId="29164"/>
    <cellStyle name="CALC Amount Total [2] 11 7 2 2" xfId="39705"/>
    <cellStyle name="CALC Amount Total [2] 11 7 3" xfId="36251"/>
    <cellStyle name="CALC Amount Total [2] 11 7 4" xfId="39706"/>
    <cellStyle name="CALC Amount Total [2] 11 8" xfId="15500"/>
    <cellStyle name="CALC Amount Total [2] 11 8 2" xfId="23840"/>
    <cellStyle name="CALC Amount Total [2] 11 8 2 2" xfId="39707"/>
    <cellStyle name="CALC Amount Total [2] 11 8 3" xfId="31189"/>
    <cellStyle name="CALC Amount Total [2] 11 8 4" xfId="39708"/>
    <cellStyle name="CALC Amount Total [2] 11 9" xfId="22280"/>
    <cellStyle name="CALC Amount Total [2] 11 9 2" xfId="30578"/>
    <cellStyle name="CALC Amount Total [2] 11 9 2 2" xfId="39709"/>
    <cellStyle name="CALC Amount Total [2] 11 9 3" xfId="37604"/>
    <cellStyle name="CALC Amount Total [2] 11 9 4" xfId="39710"/>
    <cellStyle name="CALC Amount Total [2] 12" xfId="14942"/>
    <cellStyle name="CALC Amount Total [2] 12 10" xfId="23305"/>
    <cellStyle name="CALC Amount Total [2] 12 10 2" xfId="39711"/>
    <cellStyle name="CALC Amount Total [2] 12 11" xfId="39712"/>
    <cellStyle name="CALC Amount Total [2] 12 12" xfId="39713"/>
    <cellStyle name="CALC Amount Total [2] 12 2" xfId="16023"/>
    <cellStyle name="CALC Amount Total [2] 12 2 2" xfId="24340"/>
    <cellStyle name="CALC Amount Total [2] 12 2 2 2" xfId="39714"/>
    <cellStyle name="CALC Amount Total [2] 12 2 3" xfId="31620"/>
    <cellStyle name="CALC Amount Total [2] 12 2 4" xfId="39715"/>
    <cellStyle name="CALC Amount Total [2] 12 3" xfId="16989"/>
    <cellStyle name="CALC Amount Total [2] 12 3 2" xfId="25312"/>
    <cellStyle name="CALC Amount Total [2] 12 3 2 2" xfId="39716"/>
    <cellStyle name="CALC Amount Total [2] 12 3 3" xfId="32553"/>
    <cellStyle name="CALC Amount Total [2] 12 3 4" xfId="39717"/>
    <cellStyle name="CALC Amount Total [2] 12 4" xfId="18016"/>
    <cellStyle name="CALC Amount Total [2] 12 4 2" xfId="26338"/>
    <cellStyle name="CALC Amount Total [2] 12 4 2 2" xfId="39718"/>
    <cellStyle name="CALC Amount Total [2] 12 4 3" xfId="33530"/>
    <cellStyle name="CALC Amount Total [2] 12 4 4" xfId="39719"/>
    <cellStyle name="CALC Amount Total [2] 12 5" xfId="19000"/>
    <cellStyle name="CALC Amount Total [2] 12 5 2" xfId="27320"/>
    <cellStyle name="CALC Amount Total [2] 12 5 2 2" xfId="39720"/>
    <cellStyle name="CALC Amount Total [2] 12 5 3" xfId="34471"/>
    <cellStyle name="CALC Amount Total [2] 12 5 4" xfId="39721"/>
    <cellStyle name="CALC Amount Total [2] 12 6" xfId="19968"/>
    <cellStyle name="CALC Amount Total [2] 12 6 2" xfId="28290"/>
    <cellStyle name="CALC Amount Total [2] 12 6 2 2" xfId="39722"/>
    <cellStyle name="CALC Amount Total [2] 12 6 3" xfId="35418"/>
    <cellStyle name="CALC Amount Total [2] 12 6 4" xfId="39723"/>
    <cellStyle name="CALC Amount Total [2] 12 7" xfId="20926"/>
    <cellStyle name="CALC Amount Total [2] 12 7 2" xfId="29245"/>
    <cellStyle name="CALC Amount Total [2] 12 7 2 2" xfId="39724"/>
    <cellStyle name="CALC Amount Total [2] 12 7 3" xfId="36328"/>
    <cellStyle name="CALC Amount Total [2] 12 7 4" xfId="39725"/>
    <cellStyle name="CALC Amount Total [2] 12 8" xfId="21433"/>
    <cellStyle name="CALC Amount Total [2] 12 8 2" xfId="29736"/>
    <cellStyle name="CALC Amount Total [2] 12 8 2 2" xfId="39726"/>
    <cellStyle name="CALC Amount Total [2] 12 8 3" xfId="36798"/>
    <cellStyle name="CALC Amount Total [2] 12 8 4" xfId="39727"/>
    <cellStyle name="CALC Amount Total [2] 12 9" xfId="22361"/>
    <cellStyle name="CALC Amount Total [2] 12 9 2" xfId="30659"/>
    <cellStyle name="CALC Amount Total [2] 12 9 2 2" xfId="39728"/>
    <cellStyle name="CALC Amount Total [2] 12 9 3" xfId="37681"/>
    <cellStyle name="CALC Amount Total [2] 12 9 4" xfId="39729"/>
    <cellStyle name="CALC Amount Total [2] 13" xfId="14975"/>
    <cellStyle name="CALC Amount Total [2] 13 10" xfId="23336"/>
    <cellStyle name="CALC Amount Total [2] 13 10 2" xfId="39730"/>
    <cellStyle name="CALC Amount Total [2] 13 11" xfId="39731"/>
    <cellStyle name="CALC Amount Total [2] 13 12" xfId="39732"/>
    <cellStyle name="CALC Amount Total [2] 13 2" xfId="16056"/>
    <cellStyle name="CALC Amount Total [2] 13 2 2" xfId="24371"/>
    <cellStyle name="CALC Amount Total [2] 13 2 2 2" xfId="39733"/>
    <cellStyle name="CALC Amount Total [2] 13 2 3" xfId="31650"/>
    <cellStyle name="CALC Amount Total [2] 13 2 4" xfId="39734"/>
    <cellStyle name="CALC Amount Total [2] 13 3" xfId="17022"/>
    <cellStyle name="CALC Amount Total [2] 13 3 2" xfId="25343"/>
    <cellStyle name="CALC Amount Total [2] 13 3 2 2" xfId="39735"/>
    <cellStyle name="CALC Amount Total [2] 13 3 3" xfId="32583"/>
    <cellStyle name="CALC Amount Total [2] 13 3 4" xfId="39736"/>
    <cellStyle name="CALC Amount Total [2] 13 4" xfId="18049"/>
    <cellStyle name="CALC Amount Total [2] 13 4 2" xfId="26369"/>
    <cellStyle name="CALC Amount Total [2] 13 4 2 2" xfId="39737"/>
    <cellStyle name="CALC Amount Total [2] 13 4 3" xfId="33560"/>
    <cellStyle name="CALC Amount Total [2] 13 4 4" xfId="39738"/>
    <cellStyle name="CALC Amount Total [2] 13 5" xfId="19033"/>
    <cellStyle name="CALC Amount Total [2] 13 5 2" xfId="27353"/>
    <cellStyle name="CALC Amount Total [2] 13 5 2 2" xfId="39739"/>
    <cellStyle name="CALC Amount Total [2] 13 5 3" xfId="34503"/>
    <cellStyle name="CALC Amount Total [2] 13 5 4" xfId="39740"/>
    <cellStyle name="CALC Amount Total [2] 13 6" xfId="20001"/>
    <cellStyle name="CALC Amount Total [2] 13 6 2" xfId="28323"/>
    <cellStyle name="CALC Amount Total [2] 13 6 2 2" xfId="39741"/>
    <cellStyle name="CALC Amount Total [2] 13 6 3" xfId="35450"/>
    <cellStyle name="CALC Amount Total [2] 13 6 4" xfId="39742"/>
    <cellStyle name="CALC Amount Total [2] 13 7" xfId="20959"/>
    <cellStyle name="CALC Amount Total [2] 13 7 2" xfId="29276"/>
    <cellStyle name="CALC Amount Total [2] 13 7 2 2" xfId="39743"/>
    <cellStyle name="CALC Amount Total [2] 13 7 3" xfId="36358"/>
    <cellStyle name="CALC Amount Total [2] 13 7 4" xfId="39744"/>
    <cellStyle name="CALC Amount Total [2] 13 8" xfId="21466"/>
    <cellStyle name="CALC Amount Total [2] 13 8 2" xfId="29767"/>
    <cellStyle name="CALC Amount Total [2] 13 8 2 2" xfId="39745"/>
    <cellStyle name="CALC Amount Total [2] 13 8 3" xfId="36828"/>
    <cellStyle name="CALC Amount Total [2] 13 8 4" xfId="39746"/>
    <cellStyle name="CALC Amount Total [2] 13 9" xfId="22394"/>
    <cellStyle name="CALC Amount Total [2] 13 9 2" xfId="30690"/>
    <cellStyle name="CALC Amount Total [2] 13 9 2 2" xfId="39747"/>
    <cellStyle name="CALC Amount Total [2] 13 9 3" xfId="37711"/>
    <cellStyle name="CALC Amount Total [2] 13 9 4" xfId="39748"/>
    <cellStyle name="CALC Amount Total [2] 14" xfId="14978"/>
    <cellStyle name="CALC Amount Total [2] 14 10" xfId="23339"/>
    <cellStyle name="CALC Amount Total [2] 14 10 2" xfId="39749"/>
    <cellStyle name="CALC Amount Total [2] 14 11" xfId="39750"/>
    <cellStyle name="CALC Amount Total [2] 14 12" xfId="39751"/>
    <cellStyle name="CALC Amount Total [2] 14 2" xfId="16059"/>
    <cellStyle name="CALC Amount Total [2] 14 2 2" xfId="24374"/>
    <cellStyle name="CALC Amount Total [2] 14 2 2 2" xfId="39752"/>
    <cellStyle name="CALC Amount Total [2] 14 2 3" xfId="31653"/>
    <cellStyle name="CALC Amount Total [2] 14 2 4" xfId="39753"/>
    <cellStyle name="CALC Amount Total [2] 14 3" xfId="17025"/>
    <cellStyle name="CALC Amount Total [2] 14 3 2" xfId="25346"/>
    <cellStyle name="CALC Amount Total [2] 14 3 2 2" xfId="39754"/>
    <cellStyle name="CALC Amount Total [2] 14 3 3" xfId="32586"/>
    <cellStyle name="CALC Amount Total [2] 14 3 4" xfId="39755"/>
    <cellStyle name="CALC Amount Total [2] 14 4" xfId="18052"/>
    <cellStyle name="CALC Amount Total [2] 14 4 2" xfId="26372"/>
    <cellStyle name="CALC Amount Total [2] 14 4 2 2" xfId="39756"/>
    <cellStyle name="CALC Amount Total [2] 14 4 3" xfId="33563"/>
    <cellStyle name="CALC Amount Total [2] 14 4 4" xfId="39757"/>
    <cellStyle name="CALC Amount Total [2] 14 5" xfId="19036"/>
    <cellStyle name="CALC Amount Total [2] 14 5 2" xfId="27356"/>
    <cellStyle name="CALC Amount Total [2] 14 5 2 2" xfId="39758"/>
    <cellStyle name="CALC Amount Total [2] 14 5 3" xfId="34506"/>
    <cellStyle name="CALC Amount Total [2] 14 5 4" xfId="39759"/>
    <cellStyle name="CALC Amount Total [2] 14 6" xfId="20004"/>
    <cellStyle name="CALC Amount Total [2] 14 6 2" xfId="28326"/>
    <cellStyle name="CALC Amount Total [2] 14 6 2 2" xfId="39760"/>
    <cellStyle name="CALC Amount Total [2] 14 6 3" xfId="35453"/>
    <cellStyle name="CALC Amount Total [2] 14 6 4" xfId="39761"/>
    <cellStyle name="CALC Amount Total [2] 14 7" xfId="20962"/>
    <cellStyle name="CALC Amount Total [2] 14 7 2" xfId="29279"/>
    <cellStyle name="CALC Amount Total [2] 14 7 2 2" xfId="39762"/>
    <cellStyle name="CALC Amount Total [2] 14 7 3" xfId="36361"/>
    <cellStyle name="CALC Amount Total [2] 14 7 4" xfId="39763"/>
    <cellStyle name="CALC Amount Total [2] 14 8" xfId="21469"/>
    <cellStyle name="CALC Amount Total [2] 14 8 2" xfId="29770"/>
    <cellStyle name="CALC Amount Total [2] 14 8 2 2" xfId="39764"/>
    <cellStyle name="CALC Amount Total [2] 14 8 3" xfId="36831"/>
    <cellStyle name="CALC Amount Total [2] 14 8 4" xfId="39765"/>
    <cellStyle name="CALC Amount Total [2] 14 9" xfId="22397"/>
    <cellStyle name="CALC Amount Total [2] 14 9 2" xfId="30693"/>
    <cellStyle name="CALC Amount Total [2] 14 9 2 2" xfId="39766"/>
    <cellStyle name="CALC Amount Total [2] 14 9 3" xfId="37714"/>
    <cellStyle name="CALC Amount Total [2] 14 9 4" xfId="39767"/>
    <cellStyle name="CALC Amount Total [2] 15" xfId="15117"/>
    <cellStyle name="CALC Amount Total [2] 15 10" xfId="39768"/>
    <cellStyle name="CALC Amount Total [2] 15 11" xfId="39769"/>
    <cellStyle name="CALC Amount Total [2] 15 2" xfId="16197"/>
    <cellStyle name="CALC Amount Total [2] 15 2 2" xfId="24510"/>
    <cellStyle name="CALC Amount Total [2] 15 2 2 2" xfId="39770"/>
    <cellStyle name="CALC Amount Total [2] 15 2 3" xfId="31787"/>
    <cellStyle name="CALC Amount Total [2] 15 2 4" xfId="39771"/>
    <cellStyle name="CALC Amount Total [2] 15 3" xfId="17163"/>
    <cellStyle name="CALC Amount Total [2] 15 3 2" xfId="25484"/>
    <cellStyle name="CALC Amount Total [2] 15 3 2 2" xfId="39772"/>
    <cellStyle name="CALC Amount Total [2] 15 3 3" xfId="32720"/>
    <cellStyle name="CALC Amount Total [2] 15 3 4" xfId="39773"/>
    <cellStyle name="CALC Amount Total [2] 15 4" xfId="18191"/>
    <cellStyle name="CALC Amount Total [2] 15 4 2" xfId="26511"/>
    <cellStyle name="CALC Amount Total [2] 15 4 2 2" xfId="39774"/>
    <cellStyle name="CALC Amount Total [2] 15 4 3" xfId="33698"/>
    <cellStyle name="CALC Amount Total [2] 15 4 4" xfId="39775"/>
    <cellStyle name="CALC Amount Total [2] 15 5" xfId="19175"/>
    <cellStyle name="CALC Amount Total [2] 15 5 2" xfId="27495"/>
    <cellStyle name="CALC Amount Total [2] 15 5 2 2" xfId="39776"/>
    <cellStyle name="CALC Amount Total [2] 15 5 3" xfId="34643"/>
    <cellStyle name="CALC Amount Total [2] 15 5 4" xfId="39777"/>
    <cellStyle name="CALC Amount Total [2] 15 6" xfId="20143"/>
    <cellStyle name="CALC Amount Total [2] 15 6 2" xfId="28465"/>
    <cellStyle name="CALC Amount Total [2] 15 6 2 2" xfId="39778"/>
    <cellStyle name="CALC Amount Total [2] 15 6 3" xfId="35590"/>
    <cellStyle name="CALC Amount Total [2] 15 6 4" xfId="39779"/>
    <cellStyle name="CALC Amount Total [2] 15 7" xfId="21604"/>
    <cellStyle name="CALC Amount Total [2] 15 7 2" xfId="29905"/>
    <cellStyle name="CALC Amount Total [2] 15 7 2 2" xfId="39780"/>
    <cellStyle name="CALC Amount Total [2] 15 7 3" xfId="36964"/>
    <cellStyle name="CALC Amount Total [2] 15 7 4" xfId="39781"/>
    <cellStyle name="CALC Amount Total [2] 15 8" xfId="22532"/>
    <cellStyle name="CALC Amount Total [2] 15 8 2" xfId="30828"/>
    <cellStyle name="CALC Amount Total [2] 15 8 2 2" xfId="39782"/>
    <cellStyle name="CALC Amount Total [2] 15 8 3" xfId="37847"/>
    <cellStyle name="CALC Amount Total [2] 15 8 4" xfId="39783"/>
    <cellStyle name="CALC Amount Total [2] 15 9" xfId="23474"/>
    <cellStyle name="CALC Amount Total [2] 15 9 2" xfId="39784"/>
    <cellStyle name="CALC Amount Total [2] 16" xfId="15100"/>
    <cellStyle name="CALC Amount Total [2] 16 10" xfId="39785"/>
    <cellStyle name="CALC Amount Total [2] 16 11" xfId="39786"/>
    <cellStyle name="CALC Amount Total [2] 16 2" xfId="16180"/>
    <cellStyle name="CALC Amount Total [2] 16 2 2" xfId="24493"/>
    <cellStyle name="CALC Amount Total [2] 16 2 2 2" xfId="39787"/>
    <cellStyle name="CALC Amount Total [2] 16 2 3" xfId="31770"/>
    <cellStyle name="CALC Amount Total [2] 16 2 4" xfId="39788"/>
    <cellStyle name="CALC Amount Total [2] 16 3" xfId="17146"/>
    <cellStyle name="CALC Amount Total [2] 16 3 2" xfId="25467"/>
    <cellStyle name="CALC Amount Total [2] 16 3 2 2" xfId="39789"/>
    <cellStyle name="CALC Amount Total [2] 16 3 3" xfId="32703"/>
    <cellStyle name="CALC Amount Total [2] 16 3 4" xfId="39790"/>
    <cellStyle name="CALC Amount Total [2] 16 4" xfId="18174"/>
    <cellStyle name="CALC Amount Total [2] 16 4 2" xfId="26494"/>
    <cellStyle name="CALC Amount Total [2] 16 4 2 2" xfId="39791"/>
    <cellStyle name="CALC Amount Total [2] 16 4 3" xfId="33681"/>
    <cellStyle name="CALC Amount Total [2] 16 4 4" xfId="39792"/>
    <cellStyle name="CALC Amount Total [2] 16 5" xfId="19158"/>
    <cellStyle name="CALC Amount Total [2] 16 5 2" xfId="27478"/>
    <cellStyle name="CALC Amount Total [2] 16 5 2 2" xfId="39793"/>
    <cellStyle name="CALC Amount Total [2] 16 5 3" xfId="34626"/>
    <cellStyle name="CALC Amount Total [2] 16 5 4" xfId="39794"/>
    <cellStyle name="CALC Amount Total [2] 16 6" xfId="20126"/>
    <cellStyle name="CALC Amount Total [2] 16 6 2" xfId="28448"/>
    <cellStyle name="CALC Amount Total [2] 16 6 2 2" xfId="39795"/>
    <cellStyle name="CALC Amount Total [2] 16 6 3" xfId="35573"/>
    <cellStyle name="CALC Amount Total [2] 16 6 4" xfId="39796"/>
    <cellStyle name="CALC Amount Total [2] 16 7" xfId="21587"/>
    <cellStyle name="CALC Amount Total [2] 16 7 2" xfId="29888"/>
    <cellStyle name="CALC Amount Total [2] 16 7 2 2" xfId="39797"/>
    <cellStyle name="CALC Amount Total [2] 16 7 3" xfId="36947"/>
    <cellStyle name="CALC Amount Total [2] 16 7 4" xfId="39798"/>
    <cellStyle name="CALC Amount Total [2] 16 8" xfId="22515"/>
    <cellStyle name="CALC Amount Total [2] 16 8 2" xfId="30811"/>
    <cellStyle name="CALC Amount Total [2] 16 8 2 2" xfId="39799"/>
    <cellStyle name="CALC Amount Total [2] 16 8 3" xfId="37830"/>
    <cellStyle name="CALC Amount Total [2] 16 8 4" xfId="39800"/>
    <cellStyle name="CALC Amount Total [2] 16 9" xfId="23457"/>
    <cellStyle name="CALC Amount Total [2] 16 9 2" xfId="39801"/>
    <cellStyle name="CALC Amount Total [2] 17" xfId="15134"/>
    <cellStyle name="CALC Amount Total [2] 17 10" xfId="39802"/>
    <cellStyle name="CALC Amount Total [2] 17 11" xfId="39803"/>
    <cellStyle name="CALC Amount Total [2] 17 2" xfId="16214"/>
    <cellStyle name="CALC Amount Total [2] 17 2 2" xfId="24527"/>
    <cellStyle name="CALC Amount Total [2] 17 2 2 2" xfId="39804"/>
    <cellStyle name="CALC Amount Total [2] 17 2 3" xfId="31802"/>
    <cellStyle name="CALC Amount Total [2] 17 2 4" xfId="39805"/>
    <cellStyle name="CALC Amount Total [2] 17 3" xfId="17180"/>
    <cellStyle name="CALC Amount Total [2] 17 3 2" xfId="25501"/>
    <cellStyle name="CALC Amount Total [2] 17 3 2 2" xfId="39806"/>
    <cellStyle name="CALC Amount Total [2] 17 3 3" xfId="32735"/>
    <cellStyle name="CALC Amount Total [2] 17 3 4" xfId="39807"/>
    <cellStyle name="CALC Amount Total [2] 17 4" xfId="18208"/>
    <cellStyle name="CALC Amount Total [2] 17 4 2" xfId="26528"/>
    <cellStyle name="CALC Amount Total [2] 17 4 2 2" xfId="39808"/>
    <cellStyle name="CALC Amount Total [2] 17 4 3" xfId="33713"/>
    <cellStyle name="CALC Amount Total [2] 17 4 4" xfId="39809"/>
    <cellStyle name="CALC Amount Total [2] 17 5" xfId="19192"/>
    <cellStyle name="CALC Amount Total [2] 17 5 2" xfId="27512"/>
    <cellStyle name="CALC Amount Total [2] 17 5 2 2" xfId="39810"/>
    <cellStyle name="CALC Amount Total [2] 17 5 3" xfId="34660"/>
    <cellStyle name="CALC Amount Total [2] 17 5 4" xfId="39811"/>
    <cellStyle name="CALC Amount Total [2] 17 6" xfId="20160"/>
    <cellStyle name="CALC Amount Total [2] 17 6 2" xfId="28482"/>
    <cellStyle name="CALC Amount Total [2] 17 6 2 2" xfId="39812"/>
    <cellStyle name="CALC Amount Total [2] 17 6 3" xfId="35605"/>
    <cellStyle name="CALC Amount Total [2] 17 6 4" xfId="39813"/>
    <cellStyle name="CALC Amount Total [2] 17 7" xfId="21621"/>
    <cellStyle name="CALC Amount Total [2] 17 7 2" xfId="29922"/>
    <cellStyle name="CALC Amount Total [2] 17 7 2 2" xfId="39814"/>
    <cellStyle name="CALC Amount Total [2] 17 7 3" xfId="36979"/>
    <cellStyle name="CALC Amount Total [2] 17 7 4" xfId="39815"/>
    <cellStyle name="CALC Amount Total [2] 17 8" xfId="22549"/>
    <cellStyle name="CALC Amount Total [2] 17 8 2" xfId="30845"/>
    <cellStyle name="CALC Amount Total [2] 17 8 2 2" xfId="39816"/>
    <cellStyle name="CALC Amount Total [2] 17 8 3" xfId="37862"/>
    <cellStyle name="CALC Amount Total [2] 17 8 4" xfId="39817"/>
    <cellStyle name="CALC Amount Total [2] 17 9" xfId="23491"/>
    <cellStyle name="CALC Amount Total [2] 17 9 2" xfId="39818"/>
    <cellStyle name="CALC Amount Total [2] 18" xfId="15111"/>
    <cellStyle name="CALC Amount Total [2] 18 10" xfId="39819"/>
    <cellStyle name="CALC Amount Total [2] 18 11" xfId="39820"/>
    <cellStyle name="CALC Amount Total [2] 18 2" xfId="16191"/>
    <cellStyle name="CALC Amount Total [2] 18 2 2" xfId="24504"/>
    <cellStyle name="CALC Amount Total [2] 18 2 2 2" xfId="39821"/>
    <cellStyle name="CALC Amount Total [2] 18 2 3" xfId="31781"/>
    <cellStyle name="CALC Amount Total [2] 18 2 4" xfId="39822"/>
    <cellStyle name="CALC Amount Total [2] 18 3" xfId="17157"/>
    <cellStyle name="CALC Amount Total [2] 18 3 2" xfId="25478"/>
    <cellStyle name="CALC Amount Total [2] 18 3 2 2" xfId="39823"/>
    <cellStyle name="CALC Amount Total [2] 18 3 3" xfId="32714"/>
    <cellStyle name="CALC Amount Total [2] 18 3 4" xfId="39824"/>
    <cellStyle name="CALC Amount Total [2] 18 4" xfId="18185"/>
    <cellStyle name="CALC Amount Total [2] 18 4 2" xfId="26505"/>
    <cellStyle name="CALC Amount Total [2] 18 4 2 2" xfId="39825"/>
    <cellStyle name="CALC Amount Total [2] 18 4 3" xfId="33692"/>
    <cellStyle name="CALC Amount Total [2] 18 4 4" xfId="39826"/>
    <cellStyle name="CALC Amount Total [2] 18 5" xfId="19169"/>
    <cellStyle name="CALC Amount Total [2] 18 5 2" xfId="27489"/>
    <cellStyle name="CALC Amount Total [2] 18 5 2 2" xfId="39827"/>
    <cellStyle name="CALC Amount Total [2] 18 5 3" xfId="34637"/>
    <cellStyle name="CALC Amount Total [2] 18 5 4" xfId="39828"/>
    <cellStyle name="CALC Amount Total [2] 18 6" xfId="20137"/>
    <cellStyle name="CALC Amount Total [2] 18 6 2" xfId="28459"/>
    <cellStyle name="CALC Amount Total [2] 18 6 2 2" xfId="39829"/>
    <cellStyle name="CALC Amount Total [2] 18 6 3" xfId="35584"/>
    <cellStyle name="CALC Amount Total [2] 18 6 4" xfId="39830"/>
    <cellStyle name="CALC Amount Total [2] 18 7" xfId="21598"/>
    <cellStyle name="CALC Amount Total [2] 18 7 2" xfId="29899"/>
    <cellStyle name="CALC Amount Total [2] 18 7 2 2" xfId="39831"/>
    <cellStyle name="CALC Amount Total [2] 18 7 3" xfId="36958"/>
    <cellStyle name="CALC Amount Total [2] 18 7 4" xfId="39832"/>
    <cellStyle name="CALC Amount Total [2] 18 8" xfId="22526"/>
    <cellStyle name="CALC Amount Total [2] 18 8 2" xfId="30822"/>
    <cellStyle name="CALC Amount Total [2] 18 8 2 2" xfId="39833"/>
    <cellStyle name="CALC Amount Total [2] 18 8 3" xfId="37841"/>
    <cellStyle name="CALC Amount Total [2] 18 8 4" xfId="39834"/>
    <cellStyle name="CALC Amount Total [2] 18 9" xfId="23468"/>
    <cellStyle name="CALC Amount Total [2] 18 9 2" xfId="39835"/>
    <cellStyle name="CALC Amount Total [2] 19" xfId="15278"/>
    <cellStyle name="CALC Amount Total [2] 19 10" xfId="39836"/>
    <cellStyle name="CALC Amount Total [2] 19 11" xfId="39837"/>
    <cellStyle name="CALC Amount Total [2] 19 2" xfId="16358"/>
    <cellStyle name="CALC Amount Total [2] 19 2 2" xfId="24671"/>
    <cellStyle name="CALC Amount Total [2] 19 2 2 2" xfId="39838"/>
    <cellStyle name="CALC Amount Total [2] 19 2 3" xfId="31938"/>
    <cellStyle name="CALC Amount Total [2] 19 2 4" xfId="39839"/>
    <cellStyle name="CALC Amount Total [2] 19 3" xfId="17324"/>
    <cellStyle name="CALC Amount Total [2] 19 3 2" xfId="25645"/>
    <cellStyle name="CALC Amount Total [2] 19 3 2 2" xfId="39840"/>
    <cellStyle name="CALC Amount Total [2] 19 3 3" xfId="32871"/>
    <cellStyle name="CALC Amount Total [2] 19 3 4" xfId="39841"/>
    <cellStyle name="CALC Amount Total [2] 19 4" xfId="18352"/>
    <cellStyle name="CALC Amount Total [2] 19 4 2" xfId="26672"/>
    <cellStyle name="CALC Amount Total [2] 19 4 2 2" xfId="39842"/>
    <cellStyle name="CALC Amount Total [2] 19 4 3" xfId="33849"/>
    <cellStyle name="CALC Amount Total [2] 19 4 4" xfId="39843"/>
    <cellStyle name="CALC Amount Total [2] 19 5" xfId="19336"/>
    <cellStyle name="CALC Amount Total [2] 19 5 2" xfId="27656"/>
    <cellStyle name="CALC Amount Total [2] 19 5 2 2" xfId="39844"/>
    <cellStyle name="CALC Amount Total [2] 19 5 3" xfId="34804"/>
    <cellStyle name="CALC Amount Total [2] 19 5 4" xfId="39845"/>
    <cellStyle name="CALC Amount Total [2] 19 6" xfId="20304"/>
    <cellStyle name="CALC Amount Total [2] 19 6 2" xfId="28626"/>
    <cellStyle name="CALC Amount Total [2] 19 6 2 2" xfId="39846"/>
    <cellStyle name="CALC Amount Total [2] 19 6 3" xfId="35741"/>
    <cellStyle name="CALC Amount Total [2] 19 6 4" xfId="39847"/>
    <cellStyle name="CALC Amount Total [2] 19 7" xfId="21765"/>
    <cellStyle name="CALC Amount Total [2] 19 7 2" xfId="30066"/>
    <cellStyle name="CALC Amount Total [2] 19 7 2 2" xfId="39848"/>
    <cellStyle name="CALC Amount Total [2] 19 7 3" xfId="37115"/>
    <cellStyle name="CALC Amount Total [2] 19 7 4" xfId="39849"/>
    <cellStyle name="CALC Amount Total [2] 19 8" xfId="22693"/>
    <cellStyle name="CALC Amount Total [2] 19 8 2" xfId="30989"/>
    <cellStyle name="CALC Amount Total [2] 19 8 2 2" xfId="39850"/>
    <cellStyle name="CALC Amount Total [2] 19 8 3" xfId="37998"/>
    <cellStyle name="CALC Amount Total [2] 19 8 4" xfId="39851"/>
    <cellStyle name="CALC Amount Total [2] 19 9" xfId="23635"/>
    <cellStyle name="CALC Amount Total [2] 19 9 2" xfId="39852"/>
    <cellStyle name="CALC Amount Total [2] 2" xfId="14455"/>
    <cellStyle name="CALC Amount Total [2] 2 10" xfId="14714"/>
    <cellStyle name="CALC Amount Total [2] 2 10 10" xfId="23076"/>
    <cellStyle name="CALC Amount Total [2] 2 10 10 2" xfId="39853"/>
    <cellStyle name="CALC Amount Total [2] 2 10 11" xfId="39854"/>
    <cellStyle name="CALC Amount Total [2] 2 10 12" xfId="39855"/>
    <cellStyle name="CALC Amount Total [2] 2 10 2" xfId="15795"/>
    <cellStyle name="CALC Amount Total [2] 2 10 2 2" xfId="24111"/>
    <cellStyle name="CALC Amount Total [2] 2 10 2 2 2" xfId="39856"/>
    <cellStyle name="CALC Amount Total [2] 2 10 2 3" xfId="31399"/>
    <cellStyle name="CALC Amount Total [2] 2 10 2 4" xfId="39857"/>
    <cellStyle name="CALC Amount Total [2] 2 10 3" xfId="16761"/>
    <cellStyle name="CALC Amount Total [2] 2 10 3 2" xfId="25083"/>
    <cellStyle name="CALC Amount Total [2] 2 10 3 2 2" xfId="39858"/>
    <cellStyle name="CALC Amount Total [2] 2 10 3 3" xfId="32332"/>
    <cellStyle name="CALC Amount Total [2] 2 10 3 4" xfId="39859"/>
    <cellStyle name="CALC Amount Total [2] 2 10 4" xfId="17785"/>
    <cellStyle name="CALC Amount Total [2] 2 10 4 2" xfId="26109"/>
    <cellStyle name="CALC Amount Total [2] 2 10 4 2 2" xfId="39860"/>
    <cellStyle name="CALC Amount Total [2] 2 10 4 3" xfId="33309"/>
    <cellStyle name="CALC Amount Total [2] 2 10 4 4" xfId="39861"/>
    <cellStyle name="CALC Amount Total [2] 2 10 5" xfId="18769"/>
    <cellStyle name="CALC Amount Total [2] 2 10 5 2" xfId="27090"/>
    <cellStyle name="CALC Amount Total [2] 2 10 5 2 2" xfId="39862"/>
    <cellStyle name="CALC Amount Total [2] 2 10 5 3" xfId="34249"/>
    <cellStyle name="CALC Amount Total [2] 2 10 5 4" xfId="39863"/>
    <cellStyle name="CALC Amount Total [2] 2 10 6" xfId="19738"/>
    <cellStyle name="CALC Amount Total [2] 2 10 6 2" xfId="28059"/>
    <cellStyle name="CALC Amount Total [2] 2 10 6 2 2" xfId="39864"/>
    <cellStyle name="CALC Amount Total [2] 2 10 6 3" xfId="35195"/>
    <cellStyle name="CALC Amount Total [2] 2 10 6 4" xfId="39865"/>
    <cellStyle name="CALC Amount Total [2] 2 10 7" xfId="20695"/>
    <cellStyle name="CALC Amount Total [2] 2 10 7 2" xfId="29016"/>
    <cellStyle name="CALC Amount Total [2] 2 10 7 2 2" xfId="39866"/>
    <cellStyle name="CALC Amount Total [2] 2 10 7 3" xfId="36109"/>
    <cellStyle name="CALC Amount Total [2] 2 10 7 4" xfId="39867"/>
    <cellStyle name="CALC Amount Total [2] 2 10 8" xfId="21330"/>
    <cellStyle name="CALC Amount Total [2] 2 10 8 2" xfId="29635"/>
    <cellStyle name="CALC Amount Total [2] 2 10 8 2 2" xfId="39868"/>
    <cellStyle name="CALC Amount Total [2] 2 10 8 3" xfId="36701"/>
    <cellStyle name="CALC Amount Total [2] 2 10 8 4" xfId="39869"/>
    <cellStyle name="CALC Amount Total [2] 2 10 9" xfId="22131"/>
    <cellStyle name="CALC Amount Total [2] 2 10 9 2" xfId="30429"/>
    <cellStyle name="CALC Amount Total [2] 2 10 9 2 2" xfId="39870"/>
    <cellStyle name="CALC Amount Total [2] 2 10 9 3" xfId="37460"/>
    <cellStyle name="CALC Amount Total [2] 2 10 9 4" xfId="39871"/>
    <cellStyle name="CALC Amount Total [2] 2 11" xfId="14878"/>
    <cellStyle name="CALC Amount Total [2] 2 11 10" xfId="23241"/>
    <cellStyle name="CALC Amount Total [2] 2 11 10 2" xfId="39872"/>
    <cellStyle name="CALC Amount Total [2] 2 11 11" xfId="39873"/>
    <cellStyle name="CALC Amount Total [2] 2 11 12" xfId="39874"/>
    <cellStyle name="CALC Amount Total [2] 2 11 2" xfId="15959"/>
    <cellStyle name="CALC Amount Total [2] 2 11 2 2" xfId="24276"/>
    <cellStyle name="CALC Amount Total [2] 2 11 2 2 2" xfId="39875"/>
    <cellStyle name="CALC Amount Total [2] 2 11 2 3" xfId="31559"/>
    <cellStyle name="CALC Amount Total [2] 2 11 2 4" xfId="39876"/>
    <cellStyle name="CALC Amount Total [2] 2 11 3" xfId="16925"/>
    <cellStyle name="CALC Amount Total [2] 2 11 3 2" xfId="25248"/>
    <cellStyle name="CALC Amount Total [2] 2 11 3 2 2" xfId="39877"/>
    <cellStyle name="CALC Amount Total [2] 2 11 3 3" xfId="32492"/>
    <cellStyle name="CALC Amount Total [2] 2 11 3 4" xfId="39878"/>
    <cellStyle name="CALC Amount Total [2] 2 11 4" xfId="17952"/>
    <cellStyle name="CALC Amount Total [2] 2 11 4 2" xfId="26274"/>
    <cellStyle name="CALC Amount Total [2] 2 11 4 2 2" xfId="39879"/>
    <cellStyle name="CALC Amount Total [2] 2 11 4 3" xfId="33469"/>
    <cellStyle name="CALC Amount Total [2] 2 11 4 4" xfId="39880"/>
    <cellStyle name="CALC Amount Total [2] 2 11 5" xfId="18936"/>
    <cellStyle name="CALC Amount Total [2] 2 11 5 2" xfId="27256"/>
    <cellStyle name="CALC Amount Total [2] 2 11 5 2 2" xfId="39881"/>
    <cellStyle name="CALC Amount Total [2] 2 11 5 3" xfId="34410"/>
    <cellStyle name="CALC Amount Total [2] 2 11 5 4" xfId="39882"/>
    <cellStyle name="CALC Amount Total [2] 2 11 6" xfId="19904"/>
    <cellStyle name="CALC Amount Total [2] 2 11 6 2" xfId="28226"/>
    <cellStyle name="CALC Amount Total [2] 2 11 6 2 2" xfId="39883"/>
    <cellStyle name="CALC Amount Total [2] 2 11 6 3" xfId="35357"/>
    <cellStyle name="CALC Amount Total [2] 2 11 6 4" xfId="39884"/>
    <cellStyle name="CALC Amount Total [2] 2 11 7" xfId="20862"/>
    <cellStyle name="CALC Amount Total [2] 2 11 7 2" xfId="29181"/>
    <cellStyle name="CALC Amount Total [2] 2 11 7 2 2" xfId="39885"/>
    <cellStyle name="CALC Amount Total [2] 2 11 7 3" xfId="36267"/>
    <cellStyle name="CALC Amount Total [2] 2 11 7 4" xfId="39886"/>
    <cellStyle name="CALC Amount Total [2] 2 11 8" xfId="15495"/>
    <cellStyle name="CALC Amount Total [2] 2 11 8 2" xfId="23835"/>
    <cellStyle name="CALC Amount Total [2] 2 11 8 2 2" xfId="39887"/>
    <cellStyle name="CALC Amount Total [2] 2 11 8 3" xfId="31184"/>
    <cellStyle name="CALC Amount Total [2] 2 11 8 4" xfId="39888"/>
    <cellStyle name="CALC Amount Total [2] 2 11 9" xfId="22297"/>
    <cellStyle name="CALC Amount Total [2] 2 11 9 2" xfId="30595"/>
    <cellStyle name="CALC Amount Total [2] 2 11 9 2 2" xfId="39889"/>
    <cellStyle name="CALC Amount Total [2] 2 11 9 3" xfId="37620"/>
    <cellStyle name="CALC Amount Total [2] 2 11 9 4" xfId="39890"/>
    <cellStyle name="CALC Amount Total [2] 2 12" xfId="14894"/>
    <cellStyle name="CALC Amount Total [2] 2 12 10" xfId="23257"/>
    <cellStyle name="CALC Amount Total [2] 2 12 10 2" xfId="39891"/>
    <cellStyle name="CALC Amount Total [2] 2 12 11" xfId="39892"/>
    <cellStyle name="CALC Amount Total [2] 2 12 12" xfId="39893"/>
    <cellStyle name="CALC Amount Total [2] 2 12 2" xfId="15975"/>
    <cellStyle name="CALC Amount Total [2] 2 12 2 2" xfId="24292"/>
    <cellStyle name="CALC Amount Total [2] 2 12 2 2 2" xfId="39894"/>
    <cellStyle name="CALC Amount Total [2] 2 12 2 3" xfId="31573"/>
    <cellStyle name="CALC Amount Total [2] 2 12 2 4" xfId="39895"/>
    <cellStyle name="CALC Amount Total [2] 2 12 3" xfId="16941"/>
    <cellStyle name="CALC Amount Total [2] 2 12 3 2" xfId="25264"/>
    <cellStyle name="CALC Amount Total [2] 2 12 3 2 2" xfId="39896"/>
    <cellStyle name="CALC Amount Total [2] 2 12 3 3" xfId="32506"/>
    <cellStyle name="CALC Amount Total [2] 2 12 3 4" xfId="39897"/>
    <cellStyle name="CALC Amount Total [2] 2 12 4" xfId="17968"/>
    <cellStyle name="CALC Amount Total [2] 2 12 4 2" xfId="26290"/>
    <cellStyle name="CALC Amount Total [2] 2 12 4 2 2" xfId="39898"/>
    <cellStyle name="CALC Amount Total [2] 2 12 4 3" xfId="33483"/>
    <cellStyle name="CALC Amount Total [2] 2 12 4 4" xfId="39899"/>
    <cellStyle name="CALC Amount Total [2] 2 12 5" xfId="18952"/>
    <cellStyle name="CALC Amount Total [2] 2 12 5 2" xfId="27272"/>
    <cellStyle name="CALC Amount Total [2] 2 12 5 2 2" xfId="39900"/>
    <cellStyle name="CALC Amount Total [2] 2 12 5 3" xfId="34424"/>
    <cellStyle name="CALC Amount Total [2] 2 12 5 4" xfId="39901"/>
    <cellStyle name="CALC Amount Total [2] 2 12 6" xfId="19920"/>
    <cellStyle name="CALC Amount Total [2] 2 12 6 2" xfId="28242"/>
    <cellStyle name="CALC Amount Total [2] 2 12 6 2 2" xfId="39902"/>
    <cellStyle name="CALC Amount Total [2] 2 12 6 3" xfId="35371"/>
    <cellStyle name="CALC Amount Total [2] 2 12 6 4" xfId="39903"/>
    <cellStyle name="CALC Amount Total [2] 2 12 7" xfId="20878"/>
    <cellStyle name="CALC Amount Total [2] 2 12 7 2" xfId="29197"/>
    <cellStyle name="CALC Amount Total [2] 2 12 7 2 2" xfId="39904"/>
    <cellStyle name="CALC Amount Total [2] 2 12 7 3" xfId="36281"/>
    <cellStyle name="CALC Amount Total [2] 2 12 7 4" xfId="39905"/>
    <cellStyle name="CALC Amount Total [2] 2 12 8" xfId="21385"/>
    <cellStyle name="CALC Amount Total [2] 2 12 8 2" xfId="29688"/>
    <cellStyle name="CALC Amount Total [2] 2 12 8 2 2" xfId="39906"/>
    <cellStyle name="CALC Amount Total [2] 2 12 8 3" xfId="36751"/>
    <cellStyle name="CALC Amount Total [2] 2 12 8 4" xfId="39907"/>
    <cellStyle name="CALC Amount Total [2] 2 12 9" xfId="22313"/>
    <cellStyle name="CALC Amount Total [2] 2 12 9 2" xfId="30611"/>
    <cellStyle name="CALC Amount Total [2] 2 12 9 2 2" xfId="39908"/>
    <cellStyle name="CALC Amount Total [2] 2 12 9 3" xfId="37634"/>
    <cellStyle name="CALC Amount Total [2] 2 12 9 4" xfId="39909"/>
    <cellStyle name="CALC Amount Total [2] 2 13" xfId="14918"/>
    <cellStyle name="CALC Amount Total [2] 2 13 10" xfId="23281"/>
    <cellStyle name="CALC Amount Total [2] 2 13 10 2" xfId="39910"/>
    <cellStyle name="CALC Amount Total [2] 2 13 11" xfId="39911"/>
    <cellStyle name="CALC Amount Total [2] 2 13 12" xfId="39912"/>
    <cellStyle name="CALC Amount Total [2] 2 13 2" xfId="15999"/>
    <cellStyle name="CALC Amount Total [2] 2 13 2 2" xfId="24316"/>
    <cellStyle name="CALC Amount Total [2] 2 13 2 2 2" xfId="39913"/>
    <cellStyle name="CALC Amount Total [2] 2 13 2 3" xfId="31596"/>
    <cellStyle name="CALC Amount Total [2] 2 13 2 4" xfId="39914"/>
    <cellStyle name="CALC Amount Total [2] 2 13 3" xfId="16965"/>
    <cellStyle name="CALC Amount Total [2] 2 13 3 2" xfId="25288"/>
    <cellStyle name="CALC Amount Total [2] 2 13 3 2 2" xfId="39915"/>
    <cellStyle name="CALC Amount Total [2] 2 13 3 3" xfId="32529"/>
    <cellStyle name="CALC Amount Total [2] 2 13 3 4" xfId="39916"/>
    <cellStyle name="CALC Amount Total [2] 2 13 4" xfId="17992"/>
    <cellStyle name="CALC Amount Total [2] 2 13 4 2" xfId="26314"/>
    <cellStyle name="CALC Amount Total [2] 2 13 4 2 2" xfId="39917"/>
    <cellStyle name="CALC Amount Total [2] 2 13 4 3" xfId="33506"/>
    <cellStyle name="CALC Amount Total [2] 2 13 4 4" xfId="39918"/>
    <cellStyle name="CALC Amount Total [2] 2 13 5" xfId="18976"/>
    <cellStyle name="CALC Amount Total [2] 2 13 5 2" xfId="27296"/>
    <cellStyle name="CALC Amount Total [2] 2 13 5 2 2" xfId="39919"/>
    <cellStyle name="CALC Amount Total [2] 2 13 5 3" xfId="34447"/>
    <cellStyle name="CALC Amount Total [2] 2 13 5 4" xfId="39920"/>
    <cellStyle name="CALC Amount Total [2] 2 13 6" xfId="19944"/>
    <cellStyle name="CALC Amount Total [2] 2 13 6 2" xfId="28266"/>
    <cellStyle name="CALC Amount Total [2] 2 13 6 2 2" xfId="39921"/>
    <cellStyle name="CALC Amount Total [2] 2 13 6 3" xfId="35394"/>
    <cellStyle name="CALC Amount Total [2] 2 13 6 4" xfId="39922"/>
    <cellStyle name="CALC Amount Total [2] 2 13 7" xfId="20902"/>
    <cellStyle name="CALC Amount Total [2] 2 13 7 2" xfId="29221"/>
    <cellStyle name="CALC Amount Total [2] 2 13 7 2 2" xfId="39923"/>
    <cellStyle name="CALC Amount Total [2] 2 13 7 3" xfId="36304"/>
    <cellStyle name="CALC Amount Total [2] 2 13 7 4" xfId="39924"/>
    <cellStyle name="CALC Amount Total [2] 2 13 8" xfId="21409"/>
    <cellStyle name="CALC Amount Total [2] 2 13 8 2" xfId="29712"/>
    <cellStyle name="CALC Amount Total [2] 2 13 8 2 2" xfId="39925"/>
    <cellStyle name="CALC Amount Total [2] 2 13 8 3" xfId="36774"/>
    <cellStyle name="CALC Amount Total [2] 2 13 8 4" xfId="39926"/>
    <cellStyle name="CALC Amount Total [2] 2 13 9" xfId="22337"/>
    <cellStyle name="CALC Amount Total [2] 2 13 9 2" xfId="30635"/>
    <cellStyle name="CALC Amount Total [2] 2 13 9 2 2" xfId="39927"/>
    <cellStyle name="CALC Amount Total [2] 2 13 9 3" xfId="37657"/>
    <cellStyle name="CALC Amount Total [2] 2 13 9 4" xfId="39928"/>
    <cellStyle name="CALC Amount Total [2] 2 14" xfId="14976"/>
    <cellStyle name="CALC Amount Total [2] 2 14 10" xfId="23337"/>
    <cellStyle name="CALC Amount Total [2] 2 14 10 2" xfId="39929"/>
    <cellStyle name="CALC Amount Total [2] 2 14 11" xfId="39930"/>
    <cellStyle name="CALC Amount Total [2] 2 14 12" xfId="39931"/>
    <cellStyle name="CALC Amount Total [2] 2 14 2" xfId="16057"/>
    <cellStyle name="CALC Amount Total [2] 2 14 2 2" xfId="24372"/>
    <cellStyle name="CALC Amount Total [2] 2 14 2 2 2" xfId="39932"/>
    <cellStyle name="CALC Amount Total [2] 2 14 2 3" xfId="31651"/>
    <cellStyle name="CALC Amount Total [2] 2 14 2 4" xfId="39933"/>
    <cellStyle name="CALC Amount Total [2] 2 14 3" xfId="17023"/>
    <cellStyle name="CALC Amount Total [2] 2 14 3 2" xfId="25344"/>
    <cellStyle name="CALC Amount Total [2] 2 14 3 2 2" xfId="39934"/>
    <cellStyle name="CALC Amount Total [2] 2 14 3 3" xfId="32584"/>
    <cellStyle name="CALC Amount Total [2] 2 14 3 4" xfId="39935"/>
    <cellStyle name="CALC Amount Total [2] 2 14 4" xfId="18050"/>
    <cellStyle name="CALC Amount Total [2] 2 14 4 2" xfId="26370"/>
    <cellStyle name="CALC Amount Total [2] 2 14 4 2 2" xfId="39936"/>
    <cellStyle name="CALC Amount Total [2] 2 14 4 3" xfId="33561"/>
    <cellStyle name="CALC Amount Total [2] 2 14 4 4" xfId="39937"/>
    <cellStyle name="CALC Amount Total [2] 2 14 5" xfId="19034"/>
    <cellStyle name="CALC Amount Total [2] 2 14 5 2" xfId="27354"/>
    <cellStyle name="CALC Amount Total [2] 2 14 5 2 2" xfId="39938"/>
    <cellStyle name="CALC Amount Total [2] 2 14 5 3" xfId="34504"/>
    <cellStyle name="CALC Amount Total [2] 2 14 5 4" xfId="39939"/>
    <cellStyle name="CALC Amount Total [2] 2 14 6" xfId="20002"/>
    <cellStyle name="CALC Amount Total [2] 2 14 6 2" xfId="28324"/>
    <cellStyle name="CALC Amount Total [2] 2 14 6 2 2" xfId="39940"/>
    <cellStyle name="CALC Amount Total [2] 2 14 6 3" xfId="35451"/>
    <cellStyle name="CALC Amount Total [2] 2 14 6 4" xfId="39941"/>
    <cellStyle name="CALC Amount Total [2] 2 14 7" xfId="20960"/>
    <cellStyle name="CALC Amount Total [2] 2 14 7 2" xfId="29277"/>
    <cellStyle name="CALC Amount Total [2] 2 14 7 2 2" xfId="39942"/>
    <cellStyle name="CALC Amount Total [2] 2 14 7 3" xfId="36359"/>
    <cellStyle name="CALC Amount Total [2] 2 14 7 4" xfId="39943"/>
    <cellStyle name="CALC Amount Total [2] 2 14 8" xfId="21467"/>
    <cellStyle name="CALC Amount Total [2] 2 14 8 2" xfId="29768"/>
    <cellStyle name="CALC Amount Total [2] 2 14 8 2 2" xfId="39944"/>
    <cellStyle name="CALC Amount Total [2] 2 14 8 3" xfId="36829"/>
    <cellStyle name="CALC Amount Total [2] 2 14 8 4" xfId="39945"/>
    <cellStyle name="CALC Amount Total [2] 2 14 9" xfId="22395"/>
    <cellStyle name="CALC Amount Total [2] 2 14 9 2" xfId="30691"/>
    <cellStyle name="CALC Amount Total [2] 2 14 9 2 2" xfId="39946"/>
    <cellStyle name="CALC Amount Total [2] 2 14 9 3" xfId="37712"/>
    <cellStyle name="CALC Amount Total [2] 2 14 9 4" xfId="39947"/>
    <cellStyle name="CALC Amount Total [2] 2 15" xfId="15058"/>
    <cellStyle name="CALC Amount Total [2] 2 15 10" xfId="23418"/>
    <cellStyle name="CALC Amount Total [2] 2 15 10 2" xfId="39948"/>
    <cellStyle name="CALC Amount Total [2] 2 15 11" xfId="39949"/>
    <cellStyle name="CALC Amount Total [2] 2 15 12" xfId="39950"/>
    <cellStyle name="CALC Amount Total [2] 2 15 2" xfId="16138"/>
    <cellStyle name="CALC Amount Total [2] 2 15 2 2" xfId="24453"/>
    <cellStyle name="CALC Amount Total [2] 2 15 2 2 2" xfId="39951"/>
    <cellStyle name="CALC Amount Total [2] 2 15 2 3" xfId="31730"/>
    <cellStyle name="CALC Amount Total [2] 2 15 2 4" xfId="39952"/>
    <cellStyle name="CALC Amount Total [2] 2 15 3" xfId="17105"/>
    <cellStyle name="CALC Amount Total [2] 2 15 3 2" xfId="25426"/>
    <cellStyle name="CALC Amount Total [2] 2 15 3 2 2" xfId="39953"/>
    <cellStyle name="CALC Amount Total [2] 2 15 3 3" xfId="32664"/>
    <cellStyle name="CALC Amount Total [2] 2 15 3 4" xfId="39954"/>
    <cellStyle name="CALC Amount Total [2] 2 15 4" xfId="18132"/>
    <cellStyle name="CALC Amount Total [2] 2 15 4 2" xfId="26452"/>
    <cellStyle name="CALC Amount Total [2] 2 15 4 2 2" xfId="39955"/>
    <cellStyle name="CALC Amount Total [2] 2 15 4 3" xfId="33641"/>
    <cellStyle name="CALC Amount Total [2] 2 15 4 4" xfId="39956"/>
    <cellStyle name="CALC Amount Total [2] 2 15 5" xfId="19116"/>
    <cellStyle name="CALC Amount Total [2] 2 15 5 2" xfId="27436"/>
    <cellStyle name="CALC Amount Total [2] 2 15 5 2 2" xfId="39957"/>
    <cellStyle name="CALC Amount Total [2] 2 15 5 3" xfId="34584"/>
    <cellStyle name="CALC Amount Total [2] 2 15 5 4" xfId="39958"/>
    <cellStyle name="CALC Amount Total [2] 2 15 6" xfId="20084"/>
    <cellStyle name="CALC Amount Total [2] 2 15 6 2" xfId="28406"/>
    <cellStyle name="CALC Amount Total [2] 2 15 6 2 2" xfId="39959"/>
    <cellStyle name="CALC Amount Total [2] 2 15 6 3" xfId="35531"/>
    <cellStyle name="CALC Amount Total [2] 2 15 6 4" xfId="39960"/>
    <cellStyle name="CALC Amount Total [2] 2 15 7" xfId="21041"/>
    <cellStyle name="CALC Amount Total [2] 2 15 7 2" xfId="29358"/>
    <cellStyle name="CALC Amount Total [2] 2 15 7 2 2" xfId="39961"/>
    <cellStyle name="CALC Amount Total [2] 2 15 7 3" xfId="36438"/>
    <cellStyle name="CALC Amount Total [2] 2 15 7 4" xfId="39962"/>
    <cellStyle name="CALC Amount Total [2] 2 15 8" xfId="21548"/>
    <cellStyle name="CALC Amount Total [2] 2 15 8 2" xfId="29849"/>
    <cellStyle name="CALC Amount Total [2] 2 15 8 2 2" xfId="39963"/>
    <cellStyle name="CALC Amount Total [2] 2 15 8 3" xfId="36908"/>
    <cellStyle name="CALC Amount Total [2] 2 15 8 4" xfId="39964"/>
    <cellStyle name="CALC Amount Total [2] 2 15 9" xfId="22476"/>
    <cellStyle name="CALC Amount Total [2] 2 15 9 2" xfId="30772"/>
    <cellStyle name="CALC Amount Total [2] 2 15 9 2 2" xfId="39965"/>
    <cellStyle name="CALC Amount Total [2] 2 15 9 3" xfId="37791"/>
    <cellStyle name="CALC Amount Total [2] 2 15 9 4" xfId="39966"/>
    <cellStyle name="CALC Amount Total [2] 2 16" xfId="15143"/>
    <cellStyle name="CALC Amount Total [2] 2 16 10" xfId="39967"/>
    <cellStyle name="CALC Amount Total [2] 2 16 11" xfId="39968"/>
    <cellStyle name="CALC Amount Total [2] 2 16 2" xfId="16223"/>
    <cellStyle name="CALC Amount Total [2] 2 16 2 2" xfId="24536"/>
    <cellStyle name="CALC Amount Total [2] 2 16 2 2 2" xfId="39969"/>
    <cellStyle name="CALC Amount Total [2] 2 16 2 3" xfId="31811"/>
    <cellStyle name="CALC Amount Total [2] 2 16 2 4" xfId="39970"/>
    <cellStyle name="CALC Amount Total [2] 2 16 3" xfId="17189"/>
    <cellStyle name="CALC Amount Total [2] 2 16 3 2" xfId="25510"/>
    <cellStyle name="CALC Amount Total [2] 2 16 3 2 2" xfId="39971"/>
    <cellStyle name="CALC Amount Total [2] 2 16 3 3" xfId="32744"/>
    <cellStyle name="CALC Amount Total [2] 2 16 3 4" xfId="39972"/>
    <cellStyle name="CALC Amount Total [2] 2 16 4" xfId="18217"/>
    <cellStyle name="CALC Amount Total [2] 2 16 4 2" xfId="26537"/>
    <cellStyle name="CALC Amount Total [2] 2 16 4 2 2" xfId="39973"/>
    <cellStyle name="CALC Amount Total [2] 2 16 4 3" xfId="33722"/>
    <cellStyle name="CALC Amount Total [2] 2 16 4 4" xfId="39974"/>
    <cellStyle name="CALC Amount Total [2] 2 16 5" xfId="19201"/>
    <cellStyle name="CALC Amount Total [2] 2 16 5 2" xfId="27521"/>
    <cellStyle name="CALC Amount Total [2] 2 16 5 2 2" xfId="39975"/>
    <cellStyle name="CALC Amount Total [2] 2 16 5 3" xfId="34669"/>
    <cellStyle name="CALC Amount Total [2] 2 16 5 4" xfId="39976"/>
    <cellStyle name="CALC Amount Total [2] 2 16 6" xfId="20169"/>
    <cellStyle name="CALC Amount Total [2] 2 16 6 2" xfId="28491"/>
    <cellStyle name="CALC Amount Total [2] 2 16 6 2 2" xfId="39977"/>
    <cellStyle name="CALC Amount Total [2] 2 16 6 3" xfId="35614"/>
    <cellStyle name="CALC Amount Total [2] 2 16 6 4" xfId="39978"/>
    <cellStyle name="CALC Amount Total [2] 2 16 7" xfId="21630"/>
    <cellStyle name="CALC Amount Total [2] 2 16 7 2" xfId="29931"/>
    <cellStyle name="CALC Amount Total [2] 2 16 7 2 2" xfId="39979"/>
    <cellStyle name="CALC Amount Total [2] 2 16 7 3" xfId="36988"/>
    <cellStyle name="CALC Amount Total [2] 2 16 7 4" xfId="39980"/>
    <cellStyle name="CALC Amount Total [2] 2 16 8" xfId="22558"/>
    <cellStyle name="CALC Amount Total [2] 2 16 8 2" xfId="30854"/>
    <cellStyle name="CALC Amount Total [2] 2 16 8 2 2" xfId="39981"/>
    <cellStyle name="CALC Amount Total [2] 2 16 8 3" xfId="37871"/>
    <cellStyle name="CALC Amount Total [2] 2 16 8 4" xfId="39982"/>
    <cellStyle name="CALC Amount Total [2] 2 16 9" xfId="23500"/>
    <cellStyle name="CALC Amount Total [2] 2 16 9 2" xfId="39983"/>
    <cellStyle name="CALC Amount Total [2] 2 17" xfId="15163"/>
    <cellStyle name="CALC Amount Total [2] 2 17 10" xfId="39984"/>
    <cellStyle name="CALC Amount Total [2] 2 17 11" xfId="39985"/>
    <cellStyle name="CALC Amount Total [2] 2 17 2" xfId="16243"/>
    <cellStyle name="CALC Amount Total [2] 2 17 2 2" xfId="24556"/>
    <cellStyle name="CALC Amount Total [2] 2 17 2 2 2" xfId="39986"/>
    <cellStyle name="CALC Amount Total [2] 2 17 2 3" xfId="31829"/>
    <cellStyle name="CALC Amount Total [2] 2 17 2 4" xfId="39987"/>
    <cellStyle name="CALC Amount Total [2] 2 17 3" xfId="17209"/>
    <cellStyle name="CALC Amount Total [2] 2 17 3 2" xfId="25530"/>
    <cellStyle name="CALC Amount Total [2] 2 17 3 2 2" xfId="39988"/>
    <cellStyle name="CALC Amount Total [2] 2 17 3 3" xfId="32762"/>
    <cellStyle name="CALC Amount Total [2] 2 17 3 4" xfId="39989"/>
    <cellStyle name="CALC Amount Total [2] 2 17 4" xfId="18237"/>
    <cellStyle name="CALC Amount Total [2] 2 17 4 2" xfId="26557"/>
    <cellStyle name="CALC Amount Total [2] 2 17 4 2 2" xfId="39990"/>
    <cellStyle name="CALC Amount Total [2] 2 17 4 3" xfId="33740"/>
    <cellStyle name="CALC Amount Total [2] 2 17 4 4" xfId="39991"/>
    <cellStyle name="CALC Amount Total [2] 2 17 5" xfId="19221"/>
    <cellStyle name="CALC Amount Total [2] 2 17 5 2" xfId="27541"/>
    <cellStyle name="CALC Amount Total [2] 2 17 5 2 2" xfId="39992"/>
    <cellStyle name="CALC Amount Total [2] 2 17 5 3" xfId="34689"/>
    <cellStyle name="CALC Amount Total [2] 2 17 5 4" xfId="39993"/>
    <cellStyle name="CALC Amount Total [2] 2 17 6" xfId="20189"/>
    <cellStyle name="CALC Amount Total [2] 2 17 6 2" xfId="28511"/>
    <cellStyle name="CALC Amount Total [2] 2 17 6 2 2" xfId="39994"/>
    <cellStyle name="CALC Amount Total [2] 2 17 6 3" xfId="35632"/>
    <cellStyle name="CALC Amount Total [2] 2 17 6 4" xfId="39995"/>
    <cellStyle name="CALC Amount Total [2] 2 17 7" xfId="21650"/>
    <cellStyle name="CALC Amount Total [2] 2 17 7 2" xfId="29951"/>
    <cellStyle name="CALC Amount Total [2] 2 17 7 2 2" xfId="39996"/>
    <cellStyle name="CALC Amount Total [2] 2 17 7 3" xfId="37006"/>
    <cellStyle name="CALC Amount Total [2] 2 17 7 4" xfId="39997"/>
    <cellStyle name="CALC Amount Total [2] 2 17 8" xfId="22578"/>
    <cellStyle name="CALC Amount Total [2] 2 17 8 2" xfId="30874"/>
    <cellStyle name="CALC Amount Total [2] 2 17 8 2 2" xfId="39998"/>
    <cellStyle name="CALC Amount Total [2] 2 17 8 3" xfId="37889"/>
    <cellStyle name="CALC Amount Total [2] 2 17 8 4" xfId="39999"/>
    <cellStyle name="CALC Amount Total [2] 2 17 9" xfId="23520"/>
    <cellStyle name="CALC Amount Total [2] 2 17 9 2" xfId="40000"/>
    <cellStyle name="CALC Amount Total [2] 2 18" xfId="15185"/>
    <cellStyle name="CALC Amount Total [2] 2 18 10" xfId="40001"/>
    <cellStyle name="CALC Amount Total [2] 2 18 11" xfId="40002"/>
    <cellStyle name="CALC Amount Total [2] 2 18 2" xfId="16265"/>
    <cellStyle name="CALC Amount Total [2] 2 18 2 2" xfId="24578"/>
    <cellStyle name="CALC Amount Total [2] 2 18 2 2 2" xfId="40003"/>
    <cellStyle name="CALC Amount Total [2] 2 18 2 3" xfId="31850"/>
    <cellStyle name="CALC Amount Total [2] 2 18 2 4" xfId="40004"/>
    <cellStyle name="CALC Amount Total [2] 2 18 3" xfId="17231"/>
    <cellStyle name="CALC Amount Total [2] 2 18 3 2" xfId="25552"/>
    <cellStyle name="CALC Amount Total [2] 2 18 3 2 2" xfId="40005"/>
    <cellStyle name="CALC Amount Total [2] 2 18 3 3" xfId="32783"/>
    <cellStyle name="CALC Amount Total [2] 2 18 3 4" xfId="40006"/>
    <cellStyle name="CALC Amount Total [2] 2 18 4" xfId="18259"/>
    <cellStyle name="CALC Amount Total [2] 2 18 4 2" xfId="26579"/>
    <cellStyle name="CALC Amount Total [2] 2 18 4 2 2" xfId="40007"/>
    <cellStyle name="CALC Amount Total [2] 2 18 4 3" xfId="33761"/>
    <cellStyle name="CALC Amount Total [2] 2 18 4 4" xfId="40008"/>
    <cellStyle name="CALC Amount Total [2] 2 18 5" xfId="19243"/>
    <cellStyle name="CALC Amount Total [2] 2 18 5 2" xfId="27563"/>
    <cellStyle name="CALC Amount Total [2] 2 18 5 2 2" xfId="40009"/>
    <cellStyle name="CALC Amount Total [2] 2 18 5 3" xfId="34711"/>
    <cellStyle name="CALC Amount Total [2] 2 18 5 4" xfId="40010"/>
    <cellStyle name="CALC Amount Total [2] 2 18 6" xfId="20211"/>
    <cellStyle name="CALC Amount Total [2] 2 18 6 2" xfId="28533"/>
    <cellStyle name="CALC Amount Total [2] 2 18 6 2 2" xfId="40011"/>
    <cellStyle name="CALC Amount Total [2] 2 18 6 3" xfId="35653"/>
    <cellStyle name="CALC Amount Total [2] 2 18 6 4" xfId="40012"/>
    <cellStyle name="CALC Amount Total [2] 2 18 7" xfId="21672"/>
    <cellStyle name="CALC Amount Total [2] 2 18 7 2" xfId="29973"/>
    <cellStyle name="CALC Amount Total [2] 2 18 7 2 2" xfId="40013"/>
    <cellStyle name="CALC Amount Total [2] 2 18 7 3" xfId="37027"/>
    <cellStyle name="CALC Amount Total [2] 2 18 7 4" xfId="40014"/>
    <cellStyle name="CALC Amount Total [2] 2 18 8" xfId="22600"/>
    <cellStyle name="CALC Amount Total [2] 2 18 8 2" xfId="30896"/>
    <cellStyle name="CALC Amount Total [2] 2 18 8 2 2" xfId="40015"/>
    <cellStyle name="CALC Amount Total [2] 2 18 8 3" xfId="37910"/>
    <cellStyle name="CALC Amount Total [2] 2 18 8 4" xfId="40016"/>
    <cellStyle name="CALC Amount Total [2] 2 18 9" xfId="23542"/>
    <cellStyle name="CALC Amount Total [2] 2 18 9 2" xfId="40017"/>
    <cellStyle name="CALC Amount Total [2] 2 19" xfId="15201"/>
    <cellStyle name="CALC Amount Total [2] 2 19 10" xfId="40018"/>
    <cellStyle name="CALC Amount Total [2] 2 19 11" xfId="40019"/>
    <cellStyle name="CALC Amount Total [2] 2 19 2" xfId="16281"/>
    <cellStyle name="CALC Amount Total [2] 2 19 2 2" xfId="24594"/>
    <cellStyle name="CALC Amount Total [2] 2 19 2 2 2" xfId="40020"/>
    <cellStyle name="CALC Amount Total [2] 2 19 2 3" xfId="31864"/>
    <cellStyle name="CALC Amount Total [2] 2 19 2 4" xfId="40021"/>
    <cellStyle name="CALC Amount Total [2] 2 19 3" xfId="17247"/>
    <cellStyle name="CALC Amount Total [2] 2 19 3 2" xfId="25568"/>
    <cellStyle name="CALC Amount Total [2] 2 19 3 2 2" xfId="40022"/>
    <cellStyle name="CALC Amount Total [2] 2 19 3 3" xfId="32797"/>
    <cellStyle name="CALC Amount Total [2] 2 19 3 4" xfId="40023"/>
    <cellStyle name="CALC Amount Total [2] 2 19 4" xfId="18275"/>
    <cellStyle name="CALC Amount Total [2] 2 19 4 2" xfId="26595"/>
    <cellStyle name="CALC Amount Total [2] 2 19 4 2 2" xfId="40024"/>
    <cellStyle name="CALC Amount Total [2] 2 19 4 3" xfId="33775"/>
    <cellStyle name="CALC Amount Total [2] 2 19 4 4" xfId="40025"/>
    <cellStyle name="CALC Amount Total [2] 2 19 5" xfId="19259"/>
    <cellStyle name="CALC Amount Total [2] 2 19 5 2" xfId="27579"/>
    <cellStyle name="CALC Amount Total [2] 2 19 5 2 2" xfId="40026"/>
    <cellStyle name="CALC Amount Total [2] 2 19 5 3" xfId="34727"/>
    <cellStyle name="CALC Amount Total [2] 2 19 5 4" xfId="40027"/>
    <cellStyle name="CALC Amount Total [2] 2 19 6" xfId="20227"/>
    <cellStyle name="CALC Amount Total [2] 2 19 6 2" xfId="28549"/>
    <cellStyle name="CALC Amount Total [2] 2 19 6 2 2" xfId="40028"/>
    <cellStyle name="CALC Amount Total [2] 2 19 6 3" xfId="35667"/>
    <cellStyle name="CALC Amount Total [2] 2 19 6 4" xfId="40029"/>
    <cellStyle name="CALC Amount Total [2] 2 19 7" xfId="21688"/>
    <cellStyle name="CALC Amount Total [2] 2 19 7 2" xfId="29989"/>
    <cellStyle name="CALC Amount Total [2] 2 19 7 2 2" xfId="40030"/>
    <cellStyle name="CALC Amount Total [2] 2 19 7 3" xfId="37041"/>
    <cellStyle name="CALC Amount Total [2] 2 19 7 4" xfId="40031"/>
    <cellStyle name="CALC Amount Total [2] 2 19 8" xfId="22616"/>
    <cellStyle name="CALC Amount Total [2] 2 19 8 2" xfId="30912"/>
    <cellStyle name="CALC Amount Total [2] 2 19 8 2 2" xfId="40032"/>
    <cellStyle name="CALC Amount Total [2] 2 19 8 3" xfId="37924"/>
    <cellStyle name="CALC Amount Total [2] 2 19 8 4" xfId="40033"/>
    <cellStyle name="CALC Amount Total [2] 2 19 9" xfId="23558"/>
    <cellStyle name="CALC Amount Total [2] 2 19 9 2" xfId="40034"/>
    <cellStyle name="CALC Amount Total [2] 2 2" xfId="14510"/>
    <cellStyle name="CALC Amount Total [2] 2 2 2" xfId="15572"/>
    <cellStyle name="CALC Amount Total [2] 2 2 2 2" xfId="40035"/>
    <cellStyle name="CALC Amount Total [2] 2 2 2 2 2" xfId="40036"/>
    <cellStyle name="CALC Amount Total [2] 2 2 3" xfId="23823"/>
    <cellStyle name="CALC Amount Total [2] 2 2 3 2" xfId="40037"/>
    <cellStyle name="CALC Amount Total [2] 2 20" xfId="15266"/>
    <cellStyle name="CALC Amount Total [2] 2 20 10" xfId="40038"/>
    <cellStyle name="CALC Amount Total [2] 2 20 11" xfId="40039"/>
    <cellStyle name="CALC Amount Total [2] 2 20 2" xfId="16346"/>
    <cellStyle name="CALC Amount Total [2] 2 20 2 2" xfId="24659"/>
    <cellStyle name="CALC Amount Total [2] 2 20 2 2 2" xfId="40040"/>
    <cellStyle name="CALC Amount Total [2] 2 20 2 3" xfId="31926"/>
    <cellStyle name="CALC Amount Total [2] 2 20 2 4" xfId="40041"/>
    <cellStyle name="CALC Amount Total [2] 2 20 3" xfId="17312"/>
    <cellStyle name="CALC Amount Total [2] 2 20 3 2" xfId="25633"/>
    <cellStyle name="CALC Amount Total [2] 2 20 3 2 2" xfId="40042"/>
    <cellStyle name="CALC Amount Total [2] 2 20 3 3" xfId="32859"/>
    <cellStyle name="CALC Amount Total [2] 2 20 3 4" xfId="40043"/>
    <cellStyle name="CALC Amount Total [2] 2 20 4" xfId="18340"/>
    <cellStyle name="CALC Amount Total [2] 2 20 4 2" xfId="26660"/>
    <cellStyle name="CALC Amount Total [2] 2 20 4 2 2" xfId="40044"/>
    <cellStyle name="CALC Amount Total [2] 2 20 4 3" xfId="33837"/>
    <cellStyle name="CALC Amount Total [2] 2 20 4 4" xfId="40045"/>
    <cellStyle name="CALC Amount Total [2] 2 20 5" xfId="19324"/>
    <cellStyle name="CALC Amount Total [2] 2 20 5 2" xfId="27644"/>
    <cellStyle name="CALC Amount Total [2] 2 20 5 2 2" xfId="40046"/>
    <cellStyle name="CALC Amount Total [2] 2 20 5 3" xfId="34792"/>
    <cellStyle name="CALC Amount Total [2] 2 20 5 4" xfId="40047"/>
    <cellStyle name="CALC Amount Total [2] 2 20 6" xfId="20292"/>
    <cellStyle name="CALC Amount Total [2] 2 20 6 2" xfId="28614"/>
    <cellStyle name="CALC Amount Total [2] 2 20 6 2 2" xfId="40048"/>
    <cellStyle name="CALC Amount Total [2] 2 20 6 3" xfId="35729"/>
    <cellStyle name="CALC Amount Total [2] 2 20 6 4" xfId="40049"/>
    <cellStyle name="CALC Amount Total [2] 2 20 7" xfId="21753"/>
    <cellStyle name="CALC Amount Total [2] 2 20 7 2" xfId="30054"/>
    <cellStyle name="CALC Amount Total [2] 2 20 7 2 2" xfId="40050"/>
    <cellStyle name="CALC Amount Total [2] 2 20 7 3" xfId="37103"/>
    <cellStyle name="CALC Amount Total [2] 2 20 7 4" xfId="40051"/>
    <cellStyle name="CALC Amount Total [2] 2 20 8" xfId="22681"/>
    <cellStyle name="CALC Amount Total [2] 2 20 8 2" xfId="30977"/>
    <cellStyle name="CALC Amount Total [2] 2 20 8 2 2" xfId="40052"/>
    <cellStyle name="CALC Amount Total [2] 2 20 8 3" xfId="37986"/>
    <cellStyle name="CALC Amount Total [2] 2 20 8 4" xfId="40053"/>
    <cellStyle name="CALC Amount Total [2] 2 20 9" xfId="23623"/>
    <cellStyle name="CALC Amount Total [2] 2 20 9 2" xfId="40054"/>
    <cellStyle name="CALC Amount Total [2] 2 21" xfId="15282"/>
    <cellStyle name="CALC Amount Total [2] 2 21 10" xfId="40055"/>
    <cellStyle name="CALC Amount Total [2] 2 21 11" xfId="40056"/>
    <cellStyle name="CALC Amount Total [2] 2 21 2" xfId="16362"/>
    <cellStyle name="CALC Amount Total [2] 2 21 2 2" xfId="24675"/>
    <cellStyle name="CALC Amount Total [2] 2 21 2 2 2" xfId="40057"/>
    <cellStyle name="CALC Amount Total [2] 2 21 2 3" xfId="31942"/>
    <cellStyle name="CALC Amount Total [2] 2 21 2 4" xfId="40058"/>
    <cellStyle name="CALC Amount Total [2] 2 21 3" xfId="17328"/>
    <cellStyle name="CALC Amount Total [2] 2 21 3 2" xfId="25649"/>
    <cellStyle name="CALC Amount Total [2] 2 21 3 2 2" xfId="40059"/>
    <cellStyle name="CALC Amount Total [2] 2 21 3 3" xfId="32875"/>
    <cellStyle name="CALC Amount Total [2] 2 21 3 4" xfId="40060"/>
    <cellStyle name="CALC Amount Total [2] 2 21 4" xfId="18356"/>
    <cellStyle name="CALC Amount Total [2] 2 21 4 2" xfId="26676"/>
    <cellStyle name="CALC Amount Total [2] 2 21 4 2 2" xfId="40061"/>
    <cellStyle name="CALC Amount Total [2] 2 21 4 3" xfId="33853"/>
    <cellStyle name="CALC Amount Total [2] 2 21 4 4" xfId="40062"/>
    <cellStyle name="CALC Amount Total [2] 2 21 5" xfId="19340"/>
    <cellStyle name="CALC Amount Total [2] 2 21 5 2" xfId="27660"/>
    <cellStyle name="CALC Amount Total [2] 2 21 5 2 2" xfId="40063"/>
    <cellStyle name="CALC Amount Total [2] 2 21 5 3" xfId="34808"/>
    <cellStyle name="CALC Amount Total [2] 2 21 5 4" xfId="40064"/>
    <cellStyle name="CALC Amount Total [2] 2 21 6" xfId="20308"/>
    <cellStyle name="CALC Amount Total [2] 2 21 6 2" xfId="28630"/>
    <cellStyle name="CALC Amount Total [2] 2 21 6 2 2" xfId="40065"/>
    <cellStyle name="CALC Amount Total [2] 2 21 6 3" xfId="35745"/>
    <cellStyle name="CALC Amount Total [2] 2 21 6 4" xfId="40066"/>
    <cellStyle name="CALC Amount Total [2] 2 21 7" xfId="21769"/>
    <cellStyle name="CALC Amount Total [2] 2 21 7 2" xfId="30070"/>
    <cellStyle name="CALC Amount Total [2] 2 21 7 2 2" xfId="40067"/>
    <cellStyle name="CALC Amount Total [2] 2 21 7 3" xfId="37119"/>
    <cellStyle name="CALC Amount Total [2] 2 21 7 4" xfId="40068"/>
    <cellStyle name="CALC Amount Total [2] 2 21 8" xfId="22697"/>
    <cellStyle name="CALC Amount Total [2] 2 21 8 2" xfId="30993"/>
    <cellStyle name="CALC Amount Total [2] 2 21 8 2 2" xfId="40069"/>
    <cellStyle name="CALC Amount Total [2] 2 21 8 3" xfId="38002"/>
    <cellStyle name="CALC Amount Total [2] 2 21 8 4" xfId="40070"/>
    <cellStyle name="CALC Amount Total [2] 2 21 9" xfId="23639"/>
    <cellStyle name="CALC Amount Total [2] 2 21 9 2" xfId="40071"/>
    <cellStyle name="CALC Amount Total [2] 2 22" xfId="15291"/>
    <cellStyle name="CALC Amount Total [2] 2 22 10" xfId="40072"/>
    <cellStyle name="CALC Amount Total [2] 2 22 11" xfId="40073"/>
    <cellStyle name="CALC Amount Total [2] 2 22 2" xfId="16371"/>
    <cellStyle name="CALC Amount Total [2] 2 22 2 2" xfId="24684"/>
    <cellStyle name="CALC Amount Total [2] 2 22 2 2 2" xfId="40074"/>
    <cellStyle name="CALC Amount Total [2] 2 22 2 3" xfId="31950"/>
    <cellStyle name="CALC Amount Total [2] 2 22 2 4" xfId="40075"/>
    <cellStyle name="CALC Amount Total [2] 2 22 3" xfId="17337"/>
    <cellStyle name="CALC Amount Total [2] 2 22 3 2" xfId="25658"/>
    <cellStyle name="CALC Amount Total [2] 2 22 3 2 2" xfId="40076"/>
    <cellStyle name="CALC Amount Total [2] 2 22 3 3" xfId="32883"/>
    <cellStyle name="CALC Amount Total [2] 2 22 3 4" xfId="40077"/>
    <cellStyle name="CALC Amount Total [2] 2 22 4" xfId="18365"/>
    <cellStyle name="CALC Amount Total [2] 2 22 4 2" xfId="26685"/>
    <cellStyle name="CALC Amount Total [2] 2 22 4 2 2" xfId="40078"/>
    <cellStyle name="CALC Amount Total [2] 2 22 4 3" xfId="33861"/>
    <cellStyle name="CALC Amount Total [2] 2 22 4 4" xfId="40079"/>
    <cellStyle name="CALC Amount Total [2] 2 22 5" xfId="19348"/>
    <cellStyle name="CALC Amount Total [2] 2 22 5 2" xfId="27669"/>
    <cellStyle name="CALC Amount Total [2] 2 22 5 2 2" xfId="40080"/>
    <cellStyle name="CALC Amount Total [2] 2 22 5 3" xfId="34817"/>
    <cellStyle name="CALC Amount Total [2] 2 22 5 4" xfId="40081"/>
    <cellStyle name="CALC Amount Total [2] 2 22 6" xfId="20317"/>
    <cellStyle name="CALC Amount Total [2] 2 22 6 2" xfId="28639"/>
    <cellStyle name="CALC Amount Total [2] 2 22 6 2 2" xfId="40082"/>
    <cellStyle name="CALC Amount Total [2] 2 22 6 3" xfId="35753"/>
    <cellStyle name="CALC Amount Total [2] 2 22 6 4" xfId="40083"/>
    <cellStyle name="CALC Amount Total [2] 2 22 7" xfId="21778"/>
    <cellStyle name="CALC Amount Total [2] 2 22 7 2" xfId="30079"/>
    <cellStyle name="CALC Amount Total [2] 2 22 7 2 2" xfId="40084"/>
    <cellStyle name="CALC Amount Total [2] 2 22 7 3" xfId="37127"/>
    <cellStyle name="CALC Amount Total [2] 2 22 7 4" xfId="40085"/>
    <cellStyle name="CALC Amount Total [2] 2 22 8" xfId="22706"/>
    <cellStyle name="CALC Amount Total [2] 2 22 8 2" xfId="31002"/>
    <cellStyle name="CALC Amount Total [2] 2 22 8 2 2" xfId="40086"/>
    <cellStyle name="CALC Amount Total [2] 2 22 8 3" xfId="38010"/>
    <cellStyle name="CALC Amount Total [2] 2 22 8 4" xfId="40087"/>
    <cellStyle name="CALC Amount Total [2] 2 22 9" xfId="23648"/>
    <cellStyle name="CALC Amount Total [2] 2 22 9 2" xfId="40088"/>
    <cellStyle name="CALC Amount Total [2] 2 23" xfId="15328"/>
    <cellStyle name="CALC Amount Total [2] 2 23 10" xfId="40089"/>
    <cellStyle name="CALC Amount Total [2] 2 23 11" xfId="40090"/>
    <cellStyle name="CALC Amount Total [2] 2 23 2" xfId="16408"/>
    <cellStyle name="CALC Amount Total [2] 2 23 2 2" xfId="24721"/>
    <cellStyle name="CALC Amount Total [2] 2 23 2 2 2" xfId="40091"/>
    <cellStyle name="CALC Amount Total [2] 2 23 2 3" xfId="31986"/>
    <cellStyle name="CALC Amount Total [2] 2 23 2 4" xfId="40092"/>
    <cellStyle name="CALC Amount Total [2] 2 23 3" xfId="17374"/>
    <cellStyle name="CALC Amount Total [2] 2 23 3 2" xfId="25695"/>
    <cellStyle name="CALC Amount Total [2] 2 23 3 2 2" xfId="40093"/>
    <cellStyle name="CALC Amount Total [2] 2 23 3 3" xfId="32919"/>
    <cellStyle name="CALC Amount Total [2] 2 23 3 4" xfId="40094"/>
    <cellStyle name="CALC Amount Total [2] 2 23 4" xfId="18402"/>
    <cellStyle name="CALC Amount Total [2] 2 23 4 2" xfId="26722"/>
    <cellStyle name="CALC Amount Total [2] 2 23 4 2 2" xfId="40095"/>
    <cellStyle name="CALC Amount Total [2] 2 23 4 3" xfId="33897"/>
    <cellStyle name="CALC Amount Total [2] 2 23 4 4" xfId="40096"/>
    <cellStyle name="CALC Amount Total [2] 2 23 5" xfId="19385"/>
    <cellStyle name="CALC Amount Total [2] 2 23 5 2" xfId="27706"/>
    <cellStyle name="CALC Amount Total [2] 2 23 5 2 2" xfId="40097"/>
    <cellStyle name="CALC Amount Total [2] 2 23 5 3" xfId="34854"/>
    <cellStyle name="CALC Amount Total [2] 2 23 5 4" xfId="40098"/>
    <cellStyle name="CALC Amount Total [2] 2 23 6" xfId="20354"/>
    <cellStyle name="CALC Amount Total [2] 2 23 6 2" xfId="28676"/>
    <cellStyle name="CALC Amount Total [2] 2 23 6 2 2" xfId="40099"/>
    <cellStyle name="CALC Amount Total [2] 2 23 6 3" xfId="35789"/>
    <cellStyle name="CALC Amount Total [2] 2 23 6 4" xfId="40100"/>
    <cellStyle name="CALC Amount Total [2] 2 23 7" xfId="21815"/>
    <cellStyle name="CALC Amount Total [2] 2 23 7 2" xfId="30116"/>
    <cellStyle name="CALC Amount Total [2] 2 23 7 2 2" xfId="40101"/>
    <cellStyle name="CALC Amount Total [2] 2 23 7 3" xfId="37163"/>
    <cellStyle name="CALC Amount Total [2] 2 23 7 4" xfId="40102"/>
    <cellStyle name="CALC Amount Total [2] 2 23 8" xfId="22743"/>
    <cellStyle name="CALC Amount Total [2] 2 23 8 2" xfId="31039"/>
    <cellStyle name="CALC Amount Total [2] 2 23 8 2 2" xfId="40103"/>
    <cellStyle name="CALC Amount Total [2] 2 23 8 3" xfId="38046"/>
    <cellStyle name="CALC Amount Total [2] 2 23 8 4" xfId="40104"/>
    <cellStyle name="CALC Amount Total [2] 2 23 9" xfId="23685"/>
    <cellStyle name="CALC Amount Total [2] 2 23 9 2" xfId="40105"/>
    <cellStyle name="CALC Amount Total [2] 2 24" xfId="15389"/>
    <cellStyle name="CALC Amount Total [2] 2 24 10" xfId="40106"/>
    <cellStyle name="CALC Amount Total [2] 2 24 11" xfId="40107"/>
    <cellStyle name="CALC Amount Total [2] 2 24 2" xfId="16469"/>
    <cellStyle name="CALC Amount Total [2] 2 24 2 2" xfId="24782"/>
    <cellStyle name="CALC Amount Total [2] 2 24 2 2 2" xfId="40108"/>
    <cellStyle name="CALC Amount Total [2] 2 24 2 3" xfId="32046"/>
    <cellStyle name="CALC Amount Total [2] 2 24 2 4" xfId="40109"/>
    <cellStyle name="CALC Amount Total [2] 2 24 3" xfId="17435"/>
    <cellStyle name="CALC Amount Total [2] 2 24 3 2" xfId="25756"/>
    <cellStyle name="CALC Amount Total [2] 2 24 3 2 2" xfId="40110"/>
    <cellStyle name="CALC Amount Total [2] 2 24 3 3" xfId="32979"/>
    <cellStyle name="CALC Amount Total [2] 2 24 3 4" xfId="40111"/>
    <cellStyle name="CALC Amount Total [2] 2 24 4" xfId="18463"/>
    <cellStyle name="CALC Amount Total [2] 2 24 4 2" xfId="26783"/>
    <cellStyle name="CALC Amount Total [2] 2 24 4 2 2" xfId="40112"/>
    <cellStyle name="CALC Amount Total [2] 2 24 4 3" xfId="33957"/>
    <cellStyle name="CALC Amount Total [2] 2 24 4 4" xfId="40113"/>
    <cellStyle name="CALC Amount Total [2] 2 24 5" xfId="19446"/>
    <cellStyle name="CALC Amount Total [2] 2 24 5 2" xfId="27767"/>
    <cellStyle name="CALC Amount Total [2] 2 24 5 2 2" xfId="40114"/>
    <cellStyle name="CALC Amount Total [2] 2 24 5 3" xfId="34915"/>
    <cellStyle name="CALC Amount Total [2] 2 24 5 4" xfId="40115"/>
    <cellStyle name="CALC Amount Total [2] 2 24 6" xfId="20415"/>
    <cellStyle name="CALC Amount Total [2] 2 24 6 2" xfId="28737"/>
    <cellStyle name="CALC Amount Total [2] 2 24 6 2 2" xfId="40116"/>
    <cellStyle name="CALC Amount Total [2] 2 24 6 3" xfId="35849"/>
    <cellStyle name="CALC Amount Total [2] 2 24 6 4" xfId="40117"/>
    <cellStyle name="CALC Amount Total [2] 2 24 7" xfId="21876"/>
    <cellStyle name="CALC Amount Total [2] 2 24 7 2" xfId="30177"/>
    <cellStyle name="CALC Amount Total [2] 2 24 7 2 2" xfId="40118"/>
    <cellStyle name="CALC Amount Total [2] 2 24 7 3" xfId="37222"/>
    <cellStyle name="CALC Amount Total [2] 2 24 7 4" xfId="40119"/>
    <cellStyle name="CALC Amount Total [2] 2 24 8" xfId="22804"/>
    <cellStyle name="CALC Amount Total [2] 2 24 8 2" xfId="31100"/>
    <cellStyle name="CALC Amount Total [2] 2 24 8 2 2" xfId="40120"/>
    <cellStyle name="CALC Amount Total [2] 2 24 8 3" xfId="38106"/>
    <cellStyle name="CALC Amount Total [2] 2 24 8 4" xfId="40121"/>
    <cellStyle name="CALC Amount Total [2] 2 24 9" xfId="23746"/>
    <cellStyle name="CALC Amount Total [2] 2 24 9 2" xfId="40122"/>
    <cellStyle name="CALC Amount Total [2] 2 25" xfId="15405"/>
    <cellStyle name="CALC Amount Total [2] 2 25 10" xfId="40123"/>
    <cellStyle name="CALC Amount Total [2] 2 25 11" xfId="40124"/>
    <cellStyle name="CALC Amount Total [2] 2 25 2" xfId="16485"/>
    <cellStyle name="CALC Amount Total [2] 2 25 2 2" xfId="24798"/>
    <cellStyle name="CALC Amount Total [2] 2 25 2 2 2" xfId="40125"/>
    <cellStyle name="CALC Amount Total [2] 2 25 2 3" xfId="32060"/>
    <cellStyle name="CALC Amount Total [2] 2 25 2 4" xfId="40126"/>
    <cellStyle name="CALC Amount Total [2] 2 25 3" xfId="17451"/>
    <cellStyle name="CALC Amount Total [2] 2 25 3 2" xfId="25772"/>
    <cellStyle name="CALC Amount Total [2] 2 25 3 2 2" xfId="40127"/>
    <cellStyle name="CALC Amount Total [2] 2 25 3 3" xfId="32993"/>
    <cellStyle name="CALC Amount Total [2] 2 25 3 4" xfId="40128"/>
    <cellStyle name="CALC Amount Total [2] 2 25 4" xfId="18479"/>
    <cellStyle name="CALC Amount Total [2] 2 25 4 2" xfId="26799"/>
    <cellStyle name="CALC Amount Total [2] 2 25 4 2 2" xfId="40129"/>
    <cellStyle name="CALC Amount Total [2] 2 25 4 3" xfId="33971"/>
    <cellStyle name="CALC Amount Total [2] 2 25 4 4" xfId="40130"/>
    <cellStyle name="CALC Amount Total [2] 2 25 5" xfId="19462"/>
    <cellStyle name="CALC Amount Total [2] 2 25 5 2" xfId="27783"/>
    <cellStyle name="CALC Amount Total [2] 2 25 5 2 2" xfId="40131"/>
    <cellStyle name="CALC Amount Total [2] 2 25 5 3" xfId="34931"/>
    <cellStyle name="CALC Amount Total [2] 2 25 5 4" xfId="40132"/>
    <cellStyle name="CALC Amount Total [2] 2 25 6" xfId="20431"/>
    <cellStyle name="CALC Amount Total [2] 2 25 6 2" xfId="28753"/>
    <cellStyle name="CALC Amount Total [2] 2 25 6 2 2" xfId="40133"/>
    <cellStyle name="CALC Amount Total [2] 2 25 6 3" xfId="35863"/>
    <cellStyle name="CALC Amount Total [2] 2 25 6 4" xfId="40134"/>
    <cellStyle name="CALC Amount Total [2] 2 25 7" xfId="21892"/>
    <cellStyle name="CALC Amount Total [2] 2 25 7 2" xfId="30193"/>
    <cellStyle name="CALC Amount Total [2] 2 25 7 2 2" xfId="40135"/>
    <cellStyle name="CALC Amount Total [2] 2 25 7 3" xfId="37236"/>
    <cellStyle name="CALC Amount Total [2] 2 25 7 4" xfId="40136"/>
    <cellStyle name="CALC Amount Total [2] 2 25 8" xfId="22820"/>
    <cellStyle name="CALC Amount Total [2] 2 25 8 2" xfId="31116"/>
    <cellStyle name="CALC Amount Total [2] 2 25 8 2 2" xfId="40137"/>
    <cellStyle name="CALC Amount Total [2] 2 25 8 3" xfId="38120"/>
    <cellStyle name="CALC Amount Total [2] 2 25 8 4" xfId="40138"/>
    <cellStyle name="CALC Amount Total [2] 2 25 9" xfId="23762"/>
    <cellStyle name="CALC Amount Total [2] 2 25 9 2" xfId="40139"/>
    <cellStyle name="CALC Amount Total [2] 2 26" xfId="15421"/>
    <cellStyle name="CALC Amount Total [2] 2 26 10" xfId="40140"/>
    <cellStyle name="CALC Amount Total [2] 2 26 11" xfId="40141"/>
    <cellStyle name="CALC Amount Total [2] 2 26 2" xfId="16501"/>
    <cellStyle name="CALC Amount Total [2] 2 26 2 2" xfId="24814"/>
    <cellStyle name="CALC Amount Total [2] 2 26 2 2 2" xfId="40142"/>
    <cellStyle name="CALC Amount Total [2] 2 26 2 3" xfId="32075"/>
    <cellStyle name="CALC Amount Total [2] 2 26 2 4" xfId="40143"/>
    <cellStyle name="CALC Amount Total [2] 2 26 3" xfId="17467"/>
    <cellStyle name="CALC Amount Total [2] 2 26 3 2" xfId="25788"/>
    <cellStyle name="CALC Amount Total [2] 2 26 3 2 2" xfId="40144"/>
    <cellStyle name="CALC Amount Total [2] 2 26 3 3" xfId="33008"/>
    <cellStyle name="CALC Amount Total [2] 2 26 3 4" xfId="40145"/>
    <cellStyle name="CALC Amount Total [2] 2 26 4" xfId="18495"/>
    <cellStyle name="CALC Amount Total [2] 2 26 4 2" xfId="26815"/>
    <cellStyle name="CALC Amount Total [2] 2 26 4 2 2" xfId="40146"/>
    <cellStyle name="CALC Amount Total [2] 2 26 4 3" xfId="33986"/>
    <cellStyle name="CALC Amount Total [2] 2 26 4 4" xfId="40147"/>
    <cellStyle name="CALC Amount Total [2] 2 26 5" xfId="19478"/>
    <cellStyle name="CALC Amount Total [2] 2 26 5 2" xfId="27799"/>
    <cellStyle name="CALC Amount Total [2] 2 26 5 2 2" xfId="40148"/>
    <cellStyle name="CALC Amount Total [2] 2 26 5 3" xfId="34947"/>
    <cellStyle name="CALC Amount Total [2] 2 26 5 4" xfId="40149"/>
    <cellStyle name="CALC Amount Total [2] 2 26 6" xfId="20447"/>
    <cellStyle name="CALC Amount Total [2] 2 26 6 2" xfId="28769"/>
    <cellStyle name="CALC Amount Total [2] 2 26 6 2 2" xfId="40150"/>
    <cellStyle name="CALC Amount Total [2] 2 26 6 3" xfId="35878"/>
    <cellStyle name="CALC Amount Total [2] 2 26 6 4" xfId="40151"/>
    <cellStyle name="CALC Amount Total [2] 2 26 7" xfId="21908"/>
    <cellStyle name="CALC Amount Total [2] 2 26 7 2" xfId="30209"/>
    <cellStyle name="CALC Amount Total [2] 2 26 7 2 2" xfId="40152"/>
    <cellStyle name="CALC Amount Total [2] 2 26 7 3" xfId="37251"/>
    <cellStyle name="CALC Amount Total [2] 2 26 7 4" xfId="40153"/>
    <cellStyle name="CALC Amount Total [2] 2 26 8" xfId="22836"/>
    <cellStyle name="CALC Amount Total [2] 2 26 8 2" xfId="31132"/>
    <cellStyle name="CALC Amount Total [2] 2 26 8 2 2" xfId="40154"/>
    <cellStyle name="CALC Amount Total [2] 2 26 8 3" xfId="38135"/>
    <cellStyle name="CALC Amount Total [2] 2 26 8 4" xfId="40155"/>
    <cellStyle name="CALC Amount Total [2] 2 26 9" xfId="23778"/>
    <cellStyle name="CALC Amount Total [2] 2 26 9 2" xfId="40156"/>
    <cellStyle name="CALC Amount Total [2] 2 27" xfId="15435"/>
    <cellStyle name="CALC Amount Total [2] 2 27 10" xfId="40157"/>
    <cellStyle name="CALC Amount Total [2] 2 27 11" xfId="40158"/>
    <cellStyle name="CALC Amount Total [2] 2 27 2" xfId="16515"/>
    <cellStyle name="CALC Amount Total [2] 2 27 2 2" xfId="24828"/>
    <cellStyle name="CALC Amount Total [2] 2 27 2 2 2" xfId="40159"/>
    <cellStyle name="CALC Amount Total [2] 2 27 2 3" xfId="32089"/>
    <cellStyle name="CALC Amount Total [2] 2 27 2 4" xfId="40160"/>
    <cellStyle name="CALC Amount Total [2] 2 27 3" xfId="17481"/>
    <cellStyle name="CALC Amount Total [2] 2 27 3 2" xfId="25802"/>
    <cellStyle name="CALC Amount Total [2] 2 27 3 2 2" xfId="40161"/>
    <cellStyle name="CALC Amount Total [2] 2 27 3 3" xfId="33022"/>
    <cellStyle name="CALC Amount Total [2] 2 27 3 4" xfId="40162"/>
    <cellStyle name="CALC Amount Total [2] 2 27 4" xfId="18509"/>
    <cellStyle name="CALC Amount Total [2] 2 27 4 2" xfId="26829"/>
    <cellStyle name="CALC Amount Total [2] 2 27 4 2 2" xfId="40163"/>
    <cellStyle name="CALC Amount Total [2] 2 27 4 3" xfId="34000"/>
    <cellStyle name="CALC Amount Total [2] 2 27 4 4" xfId="40164"/>
    <cellStyle name="CALC Amount Total [2] 2 27 5" xfId="19492"/>
    <cellStyle name="CALC Amount Total [2] 2 27 5 2" xfId="27813"/>
    <cellStyle name="CALC Amount Total [2] 2 27 5 2 2" xfId="40165"/>
    <cellStyle name="CALC Amount Total [2] 2 27 5 3" xfId="34961"/>
    <cellStyle name="CALC Amount Total [2] 2 27 5 4" xfId="40166"/>
    <cellStyle name="CALC Amount Total [2] 2 27 6" xfId="20461"/>
    <cellStyle name="CALC Amount Total [2] 2 27 6 2" xfId="28783"/>
    <cellStyle name="CALC Amount Total [2] 2 27 6 2 2" xfId="40167"/>
    <cellStyle name="CALC Amount Total [2] 2 27 6 3" xfId="35892"/>
    <cellStyle name="CALC Amount Total [2] 2 27 6 4" xfId="40168"/>
    <cellStyle name="CALC Amount Total [2] 2 27 7" xfId="21922"/>
    <cellStyle name="CALC Amount Total [2] 2 27 7 2" xfId="30223"/>
    <cellStyle name="CALC Amount Total [2] 2 27 7 2 2" xfId="40169"/>
    <cellStyle name="CALC Amount Total [2] 2 27 7 3" xfId="37265"/>
    <cellStyle name="CALC Amount Total [2] 2 27 7 4" xfId="40170"/>
    <cellStyle name="CALC Amount Total [2] 2 27 8" xfId="22850"/>
    <cellStyle name="CALC Amount Total [2] 2 27 8 2" xfId="31146"/>
    <cellStyle name="CALC Amount Total [2] 2 27 8 2 2" xfId="40171"/>
    <cellStyle name="CALC Amount Total [2] 2 27 8 3" xfId="38149"/>
    <cellStyle name="CALC Amount Total [2] 2 27 8 4" xfId="40172"/>
    <cellStyle name="CALC Amount Total [2] 2 27 9" xfId="23792"/>
    <cellStyle name="CALC Amount Total [2] 2 27 9 2" xfId="40173"/>
    <cellStyle name="CALC Amount Total [2] 2 28" xfId="15449"/>
    <cellStyle name="CALC Amount Total [2] 2 28 10" xfId="40174"/>
    <cellStyle name="CALC Amount Total [2] 2 28 11" xfId="40175"/>
    <cellStyle name="CALC Amount Total [2] 2 28 2" xfId="16529"/>
    <cellStyle name="CALC Amount Total [2] 2 28 2 2" xfId="24842"/>
    <cellStyle name="CALC Amount Total [2] 2 28 2 2 2" xfId="40176"/>
    <cellStyle name="CALC Amount Total [2] 2 28 2 3" xfId="32103"/>
    <cellStyle name="CALC Amount Total [2] 2 28 2 4" xfId="40177"/>
    <cellStyle name="CALC Amount Total [2] 2 28 3" xfId="17495"/>
    <cellStyle name="CALC Amount Total [2] 2 28 3 2" xfId="25816"/>
    <cellStyle name="CALC Amount Total [2] 2 28 3 2 2" xfId="40178"/>
    <cellStyle name="CALC Amount Total [2] 2 28 3 3" xfId="33036"/>
    <cellStyle name="CALC Amount Total [2] 2 28 3 4" xfId="40179"/>
    <cellStyle name="CALC Amount Total [2] 2 28 4" xfId="18523"/>
    <cellStyle name="CALC Amount Total [2] 2 28 4 2" xfId="26843"/>
    <cellStyle name="CALC Amount Total [2] 2 28 4 2 2" xfId="40180"/>
    <cellStyle name="CALC Amount Total [2] 2 28 4 3" xfId="34014"/>
    <cellStyle name="CALC Amount Total [2] 2 28 4 4" xfId="40181"/>
    <cellStyle name="CALC Amount Total [2] 2 28 5" xfId="19506"/>
    <cellStyle name="CALC Amount Total [2] 2 28 5 2" xfId="27827"/>
    <cellStyle name="CALC Amount Total [2] 2 28 5 2 2" xfId="40182"/>
    <cellStyle name="CALC Amount Total [2] 2 28 5 3" xfId="34975"/>
    <cellStyle name="CALC Amount Total [2] 2 28 5 4" xfId="40183"/>
    <cellStyle name="CALC Amount Total [2] 2 28 6" xfId="20475"/>
    <cellStyle name="CALC Amount Total [2] 2 28 6 2" xfId="28797"/>
    <cellStyle name="CALC Amount Total [2] 2 28 6 2 2" xfId="40184"/>
    <cellStyle name="CALC Amount Total [2] 2 28 6 3" xfId="35906"/>
    <cellStyle name="CALC Amount Total [2] 2 28 6 4" xfId="40185"/>
    <cellStyle name="CALC Amount Total [2] 2 28 7" xfId="21936"/>
    <cellStyle name="CALC Amount Total [2] 2 28 7 2" xfId="30237"/>
    <cellStyle name="CALC Amount Total [2] 2 28 7 2 2" xfId="40186"/>
    <cellStyle name="CALC Amount Total [2] 2 28 7 3" xfId="37279"/>
    <cellStyle name="CALC Amount Total [2] 2 28 7 4" xfId="40187"/>
    <cellStyle name="CALC Amount Total [2] 2 28 8" xfId="22864"/>
    <cellStyle name="CALC Amount Total [2] 2 28 8 2" xfId="31160"/>
    <cellStyle name="CALC Amount Total [2] 2 28 8 2 2" xfId="40188"/>
    <cellStyle name="CALC Amount Total [2] 2 28 8 3" xfId="38163"/>
    <cellStyle name="CALC Amount Total [2] 2 28 8 4" xfId="40189"/>
    <cellStyle name="CALC Amount Total [2] 2 28 9" xfId="23806"/>
    <cellStyle name="CALC Amount Total [2] 2 28 9 2" xfId="40190"/>
    <cellStyle name="CALC Amount Total [2] 2 29" xfId="15481"/>
    <cellStyle name="CALC Amount Total [2] 2 29 2" xfId="17527"/>
    <cellStyle name="CALC Amount Total [2] 2 29 2 2" xfId="25847"/>
    <cellStyle name="CALC Amount Total [2] 2 29 2 2 2" xfId="40191"/>
    <cellStyle name="CALC Amount Total [2] 2 29 2 3" xfId="33065"/>
    <cellStyle name="CALC Amount Total [2] 2 29 2 4" xfId="40192"/>
    <cellStyle name="CALC Amount Total [2] 2 29 3" xfId="19538"/>
    <cellStyle name="CALC Amount Total [2] 2 29 3 2" xfId="27859"/>
    <cellStyle name="CALC Amount Total [2] 2 29 3 2 2" xfId="40193"/>
    <cellStyle name="CALC Amount Total [2] 2 29 3 3" xfId="35007"/>
    <cellStyle name="CALC Amount Total [2] 2 29 3 4" xfId="40194"/>
    <cellStyle name="CALC Amount Total [2] 2 29 4" xfId="40195"/>
    <cellStyle name="CALC Amount Total [2] 2 29 4 2" xfId="40196"/>
    <cellStyle name="CALC Amount Total [2] 2 3" xfId="14511"/>
    <cellStyle name="CALC Amount Total [2] 2 3 2" xfId="15573"/>
    <cellStyle name="CALC Amount Total [2] 2 3 2 2" xfId="40197"/>
    <cellStyle name="CALC Amount Total [2] 2 3 2 2 2" xfId="40198"/>
    <cellStyle name="CALC Amount Total [2] 2 3 3" xfId="23899"/>
    <cellStyle name="CALC Amount Total [2] 2 3 3 2" xfId="40199"/>
    <cellStyle name="CALC Amount Total [2] 2 30" xfId="40200"/>
    <cellStyle name="CALC Amount Total [2] 2 30 2" xfId="40201"/>
    <cellStyle name="CALC Amount Total [2] 2 4" xfId="14542"/>
    <cellStyle name="CALC Amount Total [2] 2 4 2" xfId="15621"/>
    <cellStyle name="CALC Amount Total [2] 2 4 2 2" xfId="23935"/>
    <cellStyle name="CALC Amount Total [2] 2 4 2 2 2" xfId="40202"/>
    <cellStyle name="CALC Amount Total [2] 2 4 2 3" xfId="40203"/>
    <cellStyle name="CALC Amount Total [2] 2 4 2 4" xfId="40204"/>
    <cellStyle name="CALC Amount Total [2] 2 4 3" xfId="16589"/>
    <cellStyle name="CALC Amount Total [2] 2 4 3 2" xfId="24906"/>
    <cellStyle name="CALC Amount Total [2] 2 4 3 2 2" xfId="40205"/>
    <cellStyle name="CALC Amount Total [2] 2 4 3 3" xfId="32166"/>
    <cellStyle name="CALC Amount Total [2] 2 4 3 4" xfId="40206"/>
    <cellStyle name="CALC Amount Total [2] 2 4 4" xfId="17608"/>
    <cellStyle name="CALC Amount Total [2] 2 4 4 2" xfId="25931"/>
    <cellStyle name="CALC Amount Total [2] 2 4 4 2 2" xfId="40207"/>
    <cellStyle name="CALC Amount Total [2] 2 4 4 3" xfId="33143"/>
    <cellStyle name="CALC Amount Total [2] 2 4 4 4" xfId="40208"/>
    <cellStyle name="CALC Amount Total [2] 2 4 5" xfId="18590"/>
    <cellStyle name="CALC Amount Total [2] 2 4 5 2" xfId="26909"/>
    <cellStyle name="CALC Amount Total [2] 2 4 5 2 2" xfId="40209"/>
    <cellStyle name="CALC Amount Total [2] 2 4 5 3" xfId="34078"/>
    <cellStyle name="CALC Amount Total [2] 2 4 5 4" xfId="40210"/>
    <cellStyle name="CALC Amount Total [2] 2 4 6" xfId="19558"/>
    <cellStyle name="CALC Amount Total [2] 2 4 6 2" xfId="27879"/>
    <cellStyle name="CALC Amount Total [2] 2 4 6 2 2" xfId="40211"/>
    <cellStyle name="CALC Amount Total [2] 2 4 6 3" xfId="35026"/>
    <cellStyle name="CALC Amount Total [2] 2 4 6 4" xfId="40212"/>
    <cellStyle name="CALC Amount Total [2] 2 4 7" xfId="20516"/>
    <cellStyle name="CALC Amount Total [2] 2 4 7 2" xfId="28838"/>
    <cellStyle name="CALC Amount Total [2] 2 4 7 2 2" xfId="40213"/>
    <cellStyle name="CALC Amount Total [2] 2 4 7 3" xfId="35943"/>
    <cellStyle name="CALC Amount Total [2] 2 4 7 4" xfId="40214"/>
    <cellStyle name="CALC Amount Total [2] 2 4 8" xfId="22899"/>
    <cellStyle name="CALC Amount Total [2] 2 4 8 2" xfId="40215"/>
    <cellStyle name="CALC Amount Total [2] 2 5" xfId="14603"/>
    <cellStyle name="CALC Amount Total [2] 2 5 10" xfId="22964"/>
    <cellStyle name="CALC Amount Total [2] 2 5 10 2" xfId="40216"/>
    <cellStyle name="CALC Amount Total [2] 2 5 11" xfId="40217"/>
    <cellStyle name="CALC Amount Total [2] 2 5 2" xfId="15683"/>
    <cellStyle name="CALC Amount Total [2] 2 5 2 2" xfId="23999"/>
    <cellStyle name="CALC Amount Total [2] 2 5 2 2 2" xfId="40218"/>
    <cellStyle name="CALC Amount Total [2] 2 5 2 3" xfId="31294"/>
    <cellStyle name="CALC Amount Total [2] 2 5 2 4" xfId="40219"/>
    <cellStyle name="CALC Amount Total [2] 2 5 3" xfId="16650"/>
    <cellStyle name="CALC Amount Total [2] 2 5 3 2" xfId="24970"/>
    <cellStyle name="CALC Amount Total [2] 2 5 3 2 2" xfId="40220"/>
    <cellStyle name="CALC Amount Total [2] 2 5 3 3" xfId="32227"/>
    <cellStyle name="CALC Amount Total [2] 2 5 3 4" xfId="40221"/>
    <cellStyle name="CALC Amount Total [2] 2 5 4" xfId="17672"/>
    <cellStyle name="CALC Amount Total [2] 2 5 4 2" xfId="25996"/>
    <cellStyle name="CALC Amount Total [2] 2 5 4 2 2" xfId="40222"/>
    <cellStyle name="CALC Amount Total [2] 2 5 4 3" xfId="33204"/>
    <cellStyle name="CALC Amount Total [2] 2 5 4 4" xfId="40223"/>
    <cellStyle name="CALC Amount Total [2] 2 5 5" xfId="18655"/>
    <cellStyle name="CALC Amount Total [2] 2 5 5 2" xfId="26976"/>
    <cellStyle name="CALC Amount Total [2] 2 5 5 2 2" xfId="40224"/>
    <cellStyle name="CALC Amount Total [2] 2 5 5 3" xfId="34142"/>
    <cellStyle name="CALC Amount Total [2] 2 5 5 4" xfId="40225"/>
    <cellStyle name="CALC Amount Total [2] 2 5 6" xfId="19624"/>
    <cellStyle name="CALC Amount Total [2] 2 5 6 2" xfId="27945"/>
    <cellStyle name="CALC Amount Total [2] 2 5 6 2 2" xfId="40226"/>
    <cellStyle name="CALC Amount Total [2] 2 5 6 3" xfId="35088"/>
    <cellStyle name="CALC Amount Total [2] 2 5 6 4" xfId="40227"/>
    <cellStyle name="CALC Amount Total [2] 2 5 7" xfId="20581"/>
    <cellStyle name="CALC Amount Total [2] 2 5 7 2" xfId="28903"/>
    <cellStyle name="CALC Amount Total [2] 2 5 7 2 2" xfId="40228"/>
    <cellStyle name="CALC Amount Total [2] 2 5 7 3" xfId="36004"/>
    <cellStyle name="CALC Amount Total [2] 2 5 7 4" xfId="40229"/>
    <cellStyle name="CALC Amount Total [2] 2 5 8" xfId="21146"/>
    <cellStyle name="CALC Amount Total [2] 2 5 8 2" xfId="29458"/>
    <cellStyle name="CALC Amount Total [2] 2 5 8 2 2" xfId="40230"/>
    <cellStyle name="CALC Amount Total [2] 2 5 8 3" xfId="36530"/>
    <cellStyle name="CALC Amount Total [2] 2 5 8 4" xfId="40231"/>
    <cellStyle name="CALC Amount Total [2] 2 5 9" xfId="22018"/>
    <cellStyle name="CALC Amount Total [2] 2 5 9 2" xfId="30317"/>
    <cellStyle name="CALC Amount Total [2] 2 5 9 2 2" xfId="40232"/>
    <cellStyle name="CALC Amount Total [2] 2 5 9 3" xfId="37355"/>
    <cellStyle name="CALC Amount Total [2] 2 5 9 4" xfId="40233"/>
    <cellStyle name="CALC Amount Total [2] 2 6" xfId="14623"/>
    <cellStyle name="CALC Amount Total [2] 2 6 10" xfId="22985"/>
    <cellStyle name="CALC Amount Total [2] 2 6 10 2" xfId="40234"/>
    <cellStyle name="CALC Amount Total [2] 2 6 11" xfId="40235"/>
    <cellStyle name="CALC Amount Total [2] 2 6 2" xfId="15704"/>
    <cellStyle name="CALC Amount Total [2] 2 6 2 2" xfId="24020"/>
    <cellStyle name="CALC Amount Total [2] 2 6 2 2 2" xfId="40236"/>
    <cellStyle name="CALC Amount Total [2] 2 6 2 3" xfId="31314"/>
    <cellStyle name="CALC Amount Total [2] 2 6 2 4" xfId="40237"/>
    <cellStyle name="CALC Amount Total [2] 2 6 3" xfId="16671"/>
    <cellStyle name="CALC Amount Total [2] 2 6 3 2" xfId="24991"/>
    <cellStyle name="CALC Amount Total [2] 2 6 3 2 2" xfId="40238"/>
    <cellStyle name="CALC Amount Total [2] 2 6 3 3" xfId="32247"/>
    <cellStyle name="CALC Amount Total [2] 2 6 3 4" xfId="40239"/>
    <cellStyle name="CALC Amount Total [2] 2 6 4" xfId="17694"/>
    <cellStyle name="CALC Amount Total [2] 2 6 4 2" xfId="26017"/>
    <cellStyle name="CALC Amount Total [2] 2 6 4 2 2" xfId="40240"/>
    <cellStyle name="CALC Amount Total [2] 2 6 4 3" xfId="33224"/>
    <cellStyle name="CALC Amount Total [2] 2 6 4 4" xfId="40241"/>
    <cellStyle name="CALC Amount Total [2] 2 6 5" xfId="18677"/>
    <cellStyle name="CALC Amount Total [2] 2 6 5 2" xfId="26998"/>
    <cellStyle name="CALC Amount Total [2] 2 6 5 2 2" xfId="40242"/>
    <cellStyle name="CALC Amount Total [2] 2 6 5 3" xfId="34163"/>
    <cellStyle name="CALC Amount Total [2] 2 6 5 4" xfId="40243"/>
    <cellStyle name="CALC Amount Total [2] 2 6 6" xfId="19646"/>
    <cellStyle name="CALC Amount Total [2] 2 6 6 2" xfId="27967"/>
    <cellStyle name="CALC Amount Total [2] 2 6 6 2 2" xfId="40244"/>
    <cellStyle name="CALC Amount Total [2] 2 6 6 3" xfId="35109"/>
    <cellStyle name="CALC Amount Total [2] 2 6 6 4" xfId="40245"/>
    <cellStyle name="CALC Amount Total [2] 2 6 7" xfId="20603"/>
    <cellStyle name="CALC Amount Total [2] 2 6 7 2" xfId="28924"/>
    <cellStyle name="CALC Amount Total [2] 2 6 7 2 2" xfId="40246"/>
    <cellStyle name="CALC Amount Total [2] 2 6 7 3" xfId="36024"/>
    <cellStyle name="CALC Amount Total [2] 2 6 7 4" xfId="40247"/>
    <cellStyle name="CALC Amount Total [2] 2 6 8" xfId="21134"/>
    <cellStyle name="CALC Amount Total [2] 2 6 8 2" xfId="29448"/>
    <cellStyle name="CALC Amount Total [2] 2 6 8 2 2" xfId="40248"/>
    <cellStyle name="CALC Amount Total [2] 2 6 8 3" xfId="36520"/>
    <cellStyle name="CALC Amount Total [2] 2 6 8 4" xfId="40249"/>
    <cellStyle name="CALC Amount Total [2] 2 6 9" xfId="22040"/>
    <cellStyle name="CALC Amount Total [2] 2 6 9 2" xfId="30338"/>
    <cellStyle name="CALC Amount Total [2] 2 6 9 2 2" xfId="40250"/>
    <cellStyle name="CALC Amount Total [2] 2 6 9 3" xfId="37375"/>
    <cellStyle name="CALC Amount Total [2] 2 6 9 4" xfId="40251"/>
    <cellStyle name="CALC Amount Total [2] 2 7" xfId="14642"/>
    <cellStyle name="CALC Amount Total [2] 2 7 10" xfId="23004"/>
    <cellStyle name="CALC Amount Total [2] 2 7 10 2" xfId="40252"/>
    <cellStyle name="CALC Amount Total [2] 2 7 11" xfId="40253"/>
    <cellStyle name="CALC Amount Total [2] 2 7 2" xfId="15723"/>
    <cellStyle name="CALC Amount Total [2] 2 7 2 2" xfId="24039"/>
    <cellStyle name="CALC Amount Total [2] 2 7 2 2 2" xfId="40254"/>
    <cellStyle name="CALC Amount Total [2] 2 7 2 3" xfId="31332"/>
    <cellStyle name="CALC Amount Total [2] 2 7 2 4" xfId="40255"/>
    <cellStyle name="CALC Amount Total [2] 2 7 3" xfId="16689"/>
    <cellStyle name="CALC Amount Total [2] 2 7 3 2" xfId="25010"/>
    <cellStyle name="CALC Amount Total [2] 2 7 3 2 2" xfId="40256"/>
    <cellStyle name="CALC Amount Total [2] 2 7 3 3" xfId="32265"/>
    <cellStyle name="CALC Amount Total [2] 2 7 3 4" xfId="40257"/>
    <cellStyle name="CALC Amount Total [2] 2 7 4" xfId="17713"/>
    <cellStyle name="CALC Amount Total [2] 2 7 4 2" xfId="26036"/>
    <cellStyle name="CALC Amount Total [2] 2 7 4 2 2" xfId="40258"/>
    <cellStyle name="CALC Amount Total [2] 2 7 4 3" xfId="33242"/>
    <cellStyle name="CALC Amount Total [2] 2 7 4 4" xfId="40259"/>
    <cellStyle name="CALC Amount Total [2] 2 7 5" xfId="18696"/>
    <cellStyle name="CALC Amount Total [2] 2 7 5 2" xfId="27017"/>
    <cellStyle name="CALC Amount Total [2] 2 7 5 2 2" xfId="40260"/>
    <cellStyle name="CALC Amount Total [2] 2 7 5 3" xfId="34181"/>
    <cellStyle name="CALC Amount Total [2] 2 7 5 4" xfId="40261"/>
    <cellStyle name="CALC Amount Total [2] 2 7 6" xfId="19665"/>
    <cellStyle name="CALC Amount Total [2] 2 7 6 2" xfId="27986"/>
    <cellStyle name="CALC Amount Total [2] 2 7 6 2 2" xfId="40262"/>
    <cellStyle name="CALC Amount Total [2] 2 7 6 3" xfId="35127"/>
    <cellStyle name="CALC Amount Total [2] 2 7 6 4" xfId="40263"/>
    <cellStyle name="CALC Amount Total [2] 2 7 7" xfId="20622"/>
    <cellStyle name="CALC Amount Total [2] 2 7 7 2" xfId="28943"/>
    <cellStyle name="CALC Amount Total [2] 2 7 7 2 2" xfId="40264"/>
    <cellStyle name="CALC Amount Total [2] 2 7 7 3" xfId="36042"/>
    <cellStyle name="CALC Amount Total [2] 2 7 7 4" xfId="40265"/>
    <cellStyle name="CALC Amount Total [2] 2 7 8" xfId="21298"/>
    <cellStyle name="CALC Amount Total [2] 2 7 8 2" xfId="29605"/>
    <cellStyle name="CALC Amount Total [2] 2 7 8 2 2" xfId="40266"/>
    <cellStyle name="CALC Amount Total [2] 2 7 8 3" xfId="36672"/>
    <cellStyle name="CALC Amount Total [2] 2 7 8 4" xfId="40267"/>
    <cellStyle name="CALC Amount Total [2] 2 7 9" xfId="22059"/>
    <cellStyle name="CALC Amount Total [2] 2 7 9 2" xfId="30357"/>
    <cellStyle name="CALC Amount Total [2] 2 7 9 2 2" xfId="40268"/>
    <cellStyle name="CALC Amount Total [2] 2 7 9 3" xfId="37393"/>
    <cellStyle name="CALC Amount Total [2] 2 7 9 4" xfId="40269"/>
    <cellStyle name="CALC Amount Total [2] 2 8" xfId="14664"/>
    <cellStyle name="CALC Amount Total [2] 2 8 10" xfId="23026"/>
    <cellStyle name="CALC Amount Total [2] 2 8 10 2" xfId="40270"/>
    <cellStyle name="CALC Amount Total [2] 2 8 11" xfId="40271"/>
    <cellStyle name="CALC Amount Total [2] 2 8 2" xfId="15745"/>
    <cellStyle name="CALC Amount Total [2] 2 8 2 2" xfId="24061"/>
    <cellStyle name="CALC Amount Total [2] 2 8 2 2 2" xfId="40272"/>
    <cellStyle name="CALC Amount Total [2] 2 8 2 3" xfId="31353"/>
    <cellStyle name="CALC Amount Total [2] 2 8 2 4" xfId="40273"/>
    <cellStyle name="CALC Amount Total [2] 2 8 3" xfId="16711"/>
    <cellStyle name="CALC Amount Total [2] 2 8 3 2" xfId="25032"/>
    <cellStyle name="CALC Amount Total [2] 2 8 3 2 2" xfId="40274"/>
    <cellStyle name="CALC Amount Total [2] 2 8 3 3" xfId="32286"/>
    <cellStyle name="CALC Amount Total [2] 2 8 3 4" xfId="40275"/>
    <cellStyle name="CALC Amount Total [2] 2 8 4" xfId="17735"/>
    <cellStyle name="CALC Amount Total [2] 2 8 4 2" xfId="26058"/>
    <cellStyle name="CALC Amount Total [2] 2 8 4 2 2" xfId="40276"/>
    <cellStyle name="CALC Amount Total [2] 2 8 4 3" xfId="33263"/>
    <cellStyle name="CALC Amount Total [2] 2 8 4 4" xfId="40277"/>
    <cellStyle name="CALC Amount Total [2] 2 8 5" xfId="18718"/>
    <cellStyle name="CALC Amount Total [2] 2 8 5 2" xfId="27039"/>
    <cellStyle name="CALC Amount Total [2] 2 8 5 2 2" xfId="40278"/>
    <cellStyle name="CALC Amount Total [2] 2 8 5 3" xfId="34202"/>
    <cellStyle name="CALC Amount Total [2] 2 8 5 4" xfId="40279"/>
    <cellStyle name="CALC Amount Total [2] 2 8 6" xfId="19687"/>
    <cellStyle name="CALC Amount Total [2] 2 8 6 2" xfId="28008"/>
    <cellStyle name="CALC Amount Total [2] 2 8 6 2 2" xfId="40280"/>
    <cellStyle name="CALC Amount Total [2] 2 8 6 3" xfId="35148"/>
    <cellStyle name="CALC Amount Total [2] 2 8 6 4" xfId="40281"/>
    <cellStyle name="CALC Amount Total [2] 2 8 7" xfId="20644"/>
    <cellStyle name="CALC Amount Total [2] 2 8 7 2" xfId="28965"/>
    <cellStyle name="CALC Amount Total [2] 2 8 7 2 2" xfId="40282"/>
    <cellStyle name="CALC Amount Total [2] 2 8 7 3" xfId="36063"/>
    <cellStyle name="CALC Amount Total [2] 2 8 7 4" xfId="40283"/>
    <cellStyle name="CALC Amount Total [2] 2 8 8" xfId="21274"/>
    <cellStyle name="CALC Amount Total [2] 2 8 8 2" xfId="29582"/>
    <cellStyle name="CALC Amount Total [2] 2 8 8 2 2" xfId="40284"/>
    <cellStyle name="CALC Amount Total [2] 2 8 8 3" xfId="36649"/>
    <cellStyle name="CALC Amount Total [2] 2 8 8 4" xfId="40285"/>
    <cellStyle name="CALC Amount Total [2] 2 8 9" xfId="22081"/>
    <cellStyle name="CALC Amount Total [2] 2 8 9 2" xfId="30379"/>
    <cellStyle name="CALC Amount Total [2] 2 8 9 2 2" xfId="40286"/>
    <cellStyle name="CALC Amount Total [2] 2 8 9 3" xfId="37414"/>
    <cellStyle name="CALC Amount Total [2] 2 8 9 4" xfId="40287"/>
    <cellStyle name="CALC Amount Total [2] 2 9" xfId="14763"/>
    <cellStyle name="CALC Amount Total [2] 2 9 10" xfId="23127"/>
    <cellStyle name="CALC Amount Total [2] 2 9 10 2" xfId="40288"/>
    <cellStyle name="CALC Amount Total [2] 2 9 11" xfId="40289"/>
    <cellStyle name="CALC Amount Total [2] 2 9 12" xfId="40290"/>
    <cellStyle name="CALC Amount Total [2] 2 9 2" xfId="15844"/>
    <cellStyle name="CALC Amount Total [2] 2 9 2 2" xfId="24162"/>
    <cellStyle name="CALC Amount Total [2] 2 9 2 2 2" xfId="40291"/>
    <cellStyle name="CALC Amount Total [2] 2 9 2 3" xfId="31450"/>
    <cellStyle name="CALC Amount Total [2] 2 9 2 4" xfId="40292"/>
    <cellStyle name="CALC Amount Total [2] 2 9 3" xfId="16810"/>
    <cellStyle name="CALC Amount Total [2] 2 9 3 2" xfId="25134"/>
    <cellStyle name="CALC Amount Total [2] 2 9 3 2 2" xfId="40293"/>
    <cellStyle name="CALC Amount Total [2] 2 9 3 3" xfId="32383"/>
    <cellStyle name="CALC Amount Total [2] 2 9 3 4" xfId="40294"/>
    <cellStyle name="CALC Amount Total [2] 2 9 4" xfId="17836"/>
    <cellStyle name="CALC Amount Total [2] 2 9 4 2" xfId="26160"/>
    <cellStyle name="CALC Amount Total [2] 2 9 4 2 2" xfId="40295"/>
    <cellStyle name="CALC Amount Total [2] 2 9 4 3" xfId="33360"/>
    <cellStyle name="CALC Amount Total [2] 2 9 4 4" xfId="40296"/>
    <cellStyle name="CALC Amount Total [2] 2 9 5" xfId="18820"/>
    <cellStyle name="CALC Amount Total [2] 2 9 5 2" xfId="27141"/>
    <cellStyle name="CALC Amount Total [2] 2 9 5 2 2" xfId="40297"/>
    <cellStyle name="CALC Amount Total [2] 2 9 5 3" xfId="34300"/>
    <cellStyle name="CALC Amount Total [2] 2 9 5 4" xfId="40298"/>
    <cellStyle name="CALC Amount Total [2] 2 9 6" xfId="19788"/>
    <cellStyle name="CALC Amount Total [2] 2 9 6 2" xfId="28110"/>
    <cellStyle name="CALC Amount Total [2] 2 9 6 2 2" xfId="40299"/>
    <cellStyle name="CALC Amount Total [2] 2 9 6 3" xfId="35246"/>
    <cellStyle name="CALC Amount Total [2] 2 9 6 4" xfId="40300"/>
    <cellStyle name="CALC Amount Total [2] 2 9 7" xfId="20746"/>
    <cellStyle name="CALC Amount Total [2] 2 9 7 2" xfId="29067"/>
    <cellStyle name="CALC Amount Total [2] 2 9 7 2 2" xfId="40301"/>
    <cellStyle name="CALC Amount Total [2] 2 9 7 3" xfId="36159"/>
    <cellStyle name="CALC Amount Total [2] 2 9 7 4" xfId="40302"/>
    <cellStyle name="CALC Amount Total [2] 2 9 8" xfId="21288"/>
    <cellStyle name="CALC Amount Total [2] 2 9 8 2" xfId="29595"/>
    <cellStyle name="CALC Amount Total [2] 2 9 8 2 2" xfId="40303"/>
    <cellStyle name="CALC Amount Total [2] 2 9 8 3" xfId="36662"/>
    <cellStyle name="CALC Amount Total [2] 2 9 8 4" xfId="40304"/>
    <cellStyle name="CALC Amount Total [2] 2 9 9" xfId="22182"/>
    <cellStyle name="CALC Amount Total [2] 2 9 9 2" xfId="30480"/>
    <cellStyle name="CALC Amount Total [2] 2 9 9 2 2" xfId="40305"/>
    <cellStyle name="CALC Amount Total [2] 2 9 9 3" xfId="37511"/>
    <cellStyle name="CALC Amount Total [2] 2 9 9 4" xfId="40306"/>
    <cellStyle name="CALC Amount Total [2] 20" xfId="15274"/>
    <cellStyle name="CALC Amount Total [2] 20 10" xfId="40307"/>
    <cellStyle name="CALC Amount Total [2] 20 11" xfId="40308"/>
    <cellStyle name="CALC Amount Total [2] 20 2" xfId="16354"/>
    <cellStyle name="CALC Amount Total [2] 20 2 2" xfId="24667"/>
    <cellStyle name="CALC Amount Total [2] 20 2 2 2" xfId="40309"/>
    <cellStyle name="CALC Amount Total [2] 20 2 3" xfId="31934"/>
    <cellStyle name="CALC Amount Total [2] 20 2 4" xfId="40310"/>
    <cellStyle name="CALC Amount Total [2] 20 3" xfId="17320"/>
    <cellStyle name="CALC Amount Total [2] 20 3 2" xfId="25641"/>
    <cellStyle name="CALC Amount Total [2] 20 3 2 2" xfId="40311"/>
    <cellStyle name="CALC Amount Total [2] 20 3 3" xfId="32867"/>
    <cellStyle name="CALC Amount Total [2] 20 3 4" xfId="40312"/>
    <cellStyle name="CALC Amount Total [2] 20 4" xfId="18348"/>
    <cellStyle name="CALC Amount Total [2] 20 4 2" xfId="26668"/>
    <cellStyle name="CALC Amount Total [2] 20 4 2 2" xfId="40313"/>
    <cellStyle name="CALC Amount Total [2] 20 4 3" xfId="33845"/>
    <cellStyle name="CALC Amount Total [2] 20 4 4" xfId="40314"/>
    <cellStyle name="CALC Amount Total [2] 20 5" xfId="19332"/>
    <cellStyle name="CALC Amount Total [2] 20 5 2" xfId="27652"/>
    <cellStyle name="CALC Amount Total [2] 20 5 2 2" xfId="40315"/>
    <cellStyle name="CALC Amount Total [2] 20 5 3" xfId="34800"/>
    <cellStyle name="CALC Amount Total [2] 20 5 4" xfId="40316"/>
    <cellStyle name="CALC Amount Total [2] 20 6" xfId="20300"/>
    <cellStyle name="CALC Amount Total [2] 20 6 2" xfId="28622"/>
    <cellStyle name="CALC Amount Total [2] 20 6 2 2" xfId="40317"/>
    <cellStyle name="CALC Amount Total [2] 20 6 3" xfId="35737"/>
    <cellStyle name="CALC Amount Total [2] 20 6 4" xfId="40318"/>
    <cellStyle name="CALC Amount Total [2] 20 7" xfId="21761"/>
    <cellStyle name="CALC Amount Total [2] 20 7 2" xfId="30062"/>
    <cellStyle name="CALC Amount Total [2] 20 7 2 2" xfId="40319"/>
    <cellStyle name="CALC Amount Total [2] 20 7 3" xfId="37111"/>
    <cellStyle name="CALC Amount Total [2] 20 7 4" xfId="40320"/>
    <cellStyle name="CALC Amount Total [2] 20 8" xfId="22689"/>
    <cellStyle name="CALC Amount Total [2] 20 8 2" xfId="30985"/>
    <cellStyle name="CALC Amount Total [2] 20 8 2 2" xfId="40321"/>
    <cellStyle name="CALC Amount Total [2] 20 8 3" xfId="37994"/>
    <cellStyle name="CALC Amount Total [2] 20 8 4" xfId="40322"/>
    <cellStyle name="CALC Amount Total [2] 20 9" xfId="23631"/>
    <cellStyle name="CALC Amount Total [2] 20 9 2" xfId="40323"/>
    <cellStyle name="CALC Amount Total [2] 21" xfId="15375"/>
    <cellStyle name="CALC Amount Total [2] 21 10" xfId="40324"/>
    <cellStyle name="CALC Amount Total [2] 21 11" xfId="40325"/>
    <cellStyle name="CALC Amount Total [2] 21 2" xfId="16455"/>
    <cellStyle name="CALC Amount Total [2] 21 2 2" xfId="24768"/>
    <cellStyle name="CALC Amount Total [2] 21 2 2 2" xfId="40326"/>
    <cellStyle name="CALC Amount Total [2] 21 2 3" xfId="32032"/>
    <cellStyle name="CALC Amount Total [2] 21 2 4" xfId="40327"/>
    <cellStyle name="CALC Amount Total [2] 21 3" xfId="17421"/>
    <cellStyle name="CALC Amount Total [2] 21 3 2" xfId="25742"/>
    <cellStyle name="CALC Amount Total [2] 21 3 2 2" xfId="40328"/>
    <cellStyle name="CALC Amount Total [2] 21 3 3" xfId="32965"/>
    <cellStyle name="CALC Amount Total [2] 21 3 4" xfId="40329"/>
    <cellStyle name="CALC Amount Total [2] 21 4" xfId="18449"/>
    <cellStyle name="CALC Amount Total [2] 21 4 2" xfId="26769"/>
    <cellStyle name="CALC Amount Total [2] 21 4 2 2" xfId="40330"/>
    <cellStyle name="CALC Amount Total [2] 21 4 3" xfId="33943"/>
    <cellStyle name="CALC Amount Total [2] 21 4 4" xfId="40331"/>
    <cellStyle name="CALC Amount Total [2] 21 5" xfId="19432"/>
    <cellStyle name="CALC Amount Total [2] 21 5 2" xfId="27753"/>
    <cellStyle name="CALC Amount Total [2] 21 5 2 2" xfId="40332"/>
    <cellStyle name="CALC Amount Total [2] 21 5 3" xfId="34901"/>
    <cellStyle name="CALC Amount Total [2] 21 5 4" xfId="40333"/>
    <cellStyle name="CALC Amount Total [2] 21 6" xfId="20401"/>
    <cellStyle name="CALC Amount Total [2] 21 6 2" xfId="28723"/>
    <cellStyle name="CALC Amount Total [2] 21 6 2 2" xfId="40334"/>
    <cellStyle name="CALC Amount Total [2] 21 6 3" xfId="35835"/>
    <cellStyle name="CALC Amount Total [2] 21 6 4" xfId="40335"/>
    <cellStyle name="CALC Amount Total [2] 21 7" xfId="21862"/>
    <cellStyle name="CALC Amount Total [2] 21 7 2" xfId="30163"/>
    <cellStyle name="CALC Amount Total [2] 21 7 2 2" xfId="40336"/>
    <cellStyle name="CALC Amount Total [2] 21 7 3" xfId="37208"/>
    <cellStyle name="CALC Amount Total [2] 21 7 4" xfId="40337"/>
    <cellStyle name="CALC Amount Total [2] 21 8" xfId="22790"/>
    <cellStyle name="CALC Amount Total [2] 21 8 2" xfId="31086"/>
    <cellStyle name="CALC Amount Total [2] 21 8 2 2" xfId="40338"/>
    <cellStyle name="CALC Amount Total [2] 21 8 3" xfId="38092"/>
    <cellStyle name="CALC Amount Total [2] 21 8 4" xfId="40339"/>
    <cellStyle name="CALC Amount Total [2] 21 9" xfId="23732"/>
    <cellStyle name="CALC Amount Total [2] 21 9 2" xfId="40340"/>
    <cellStyle name="CALC Amount Total [2] 22" xfId="15466"/>
    <cellStyle name="CALC Amount Total [2] 22 2" xfId="17512"/>
    <cellStyle name="CALC Amount Total [2] 22 2 2" xfId="25832"/>
    <cellStyle name="CALC Amount Total [2] 22 2 2 2" xfId="40341"/>
    <cellStyle name="CALC Amount Total [2] 22 2 3" xfId="33051"/>
    <cellStyle name="CALC Amount Total [2] 22 2 4" xfId="40342"/>
    <cellStyle name="CALC Amount Total [2] 22 3" xfId="19523"/>
    <cellStyle name="CALC Amount Total [2] 22 3 2" xfId="27844"/>
    <cellStyle name="CALC Amount Total [2] 22 3 2 2" xfId="40343"/>
    <cellStyle name="CALC Amount Total [2] 22 3 3" xfId="34992"/>
    <cellStyle name="CALC Amount Total [2] 22 3 4" xfId="40344"/>
    <cellStyle name="CALC Amount Total [2] 22 4" xfId="40345"/>
    <cellStyle name="CALC Amount Total [2] 22 4 2" xfId="40346"/>
    <cellStyle name="CALC Amount Total [2] 23" xfId="40347"/>
    <cellStyle name="CALC Amount Total [2] 23 2" xfId="40348"/>
    <cellStyle name="CALC Amount Total [2] 3" xfId="14531"/>
    <cellStyle name="CALC Amount Total [2] 3 2" xfId="15607"/>
    <cellStyle name="CALC Amount Total [2] 3 2 2" xfId="23921"/>
    <cellStyle name="CALC Amount Total [2] 3 2 2 2" xfId="40349"/>
    <cellStyle name="CALC Amount Total [2] 3 2 3" xfId="40350"/>
    <cellStyle name="CALC Amount Total [2] 3 2 4" xfId="40351"/>
    <cellStyle name="CALC Amount Total [2] 3 3" xfId="16576"/>
    <cellStyle name="CALC Amount Total [2] 3 3 2" xfId="24892"/>
    <cellStyle name="CALC Amount Total [2] 3 3 2 2" xfId="40352"/>
    <cellStyle name="CALC Amount Total [2] 3 3 3" xfId="32152"/>
    <cellStyle name="CALC Amount Total [2] 3 3 4" xfId="40353"/>
    <cellStyle name="CALC Amount Total [2] 3 4" xfId="17594"/>
    <cellStyle name="CALC Amount Total [2] 3 4 2" xfId="25916"/>
    <cellStyle name="CALC Amount Total [2] 3 4 2 2" xfId="40354"/>
    <cellStyle name="CALC Amount Total [2] 3 4 3" xfId="33129"/>
    <cellStyle name="CALC Amount Total [2] 3 4 4" xfId="40355"/>
    <cellStyle name="CALC Amount Total [2] 3 5" xfId="18575"/>
    <cellStyle name="CALC Amount Total [2] 3 5 2" xfId="26894"/>
    <cellStyle name="CALC Amount Total [2] 3 5 2 2" xfId="40356"/>
    <cellStyle name="CALC Amount Total [2] 3 5 3" xfId="34063"/>
    <cellStyle name="CALC Amount Total [2] 3 5 4" xfId="40357"/>
    <cellStyle name="CALC Amount Total [2] 3 6" xfId="17548"/>
    <cellStyle name="CALC Amount Total [2] 3 6 2" xfId="25867"/>
    <cellStyle name="CALC Amount Total [2] 3 6 2 2" xfId="40358"/>
    <cellStyle name="CALC Amount Total [2] 3 6 3" xfId="33084"/>
    <cellStyle name="CALC Amount Total [2] 3 6 4" xfId="40359"/>
    <cellStyle name="CALC Amount Total [2] 3 7" xfId="18750"/>
    <cellStyle name="CALC Amount Total [2] 3 7 2" xfId="27071"/>
    <cellStyle name="CALC Amount Total [2] 3 7 2 2" xfId="40360"/>
    <cellStyle name="CALC Amount Total [2] 3 7 3" xfId="34233"/>
    <cellStyle name="CALC Amount Total [2] 3 7 4" xfId="40361"/>
    <cellStyle name="CALC Amount Total [2] 3 8" xfId="22885"/>
    <cellStyle name="CALC Amount Total [2] 3 8 2" xfId="40362"/>
    <cellStyle name="CALC Amount Total [2] 4" xfId="14578"/>
    <cellStyle name="CALC Amount Total [2] 4 10" xfId="22937"/>
    <cellStyle name="CALC Amount Total [2] 4 10 2" xfId="40363"/>
    <cellStyle name="CALC Amount Total [2] 4 11" xfId="40364"/>
    <cellStyle name="CALC Amount Total [2] 4 2" xfId="15659"/>
    <cellStyle name="CALC Amount Total [2] 4 2 2" xfId="23973"/>
    <cellStyle name="CALC Amount Total [2] 4 2 2 2" xfId="40365"/>
    <cellStyle name="CALC Amount Total [2] 4 2 3" xfId="31270"/>
    <cellStyle name="CALC Amount Total [2] 4 2 4" xfId="40366"/>
    <cellStyle name="CALC Amount Total [2] 4 3" xfId="16626"/>
    <cellStyle name="CALC Amount Total [2] 4 3 2" xfId="24944"/>
    <cellStyle name="CALC Amount Total [2] 4 3 2 2" xfId="40367"/>
    <cellStyle name="CALC Amount Total [2] 4 3 3" xfId="32203"/>
    <cellStyle name="CALC Amount Total [2] 4 3 4" xfId="40368"/>
    <cellStyle name="CALC Amount Total [2] 4 4" xfId="17647"/>
    <cellStyle name="CALC Amount Total [2] 4 4 2" xfId="25970"/>
    <cellStyle name="CALC Amount Total [2] 4 4 2 2" xfId="40369"/>
    <cellStyle name="CALC Amount Total [2] 4 4 3" xfId="33180"/>
    <cellStyle name="CALC Amount Total [2] 4 4 4" xfId="40370"/>
    <cellStyle name="CALC Amount Total [2] 4 5" xfId="18629"/>
    <cellStyle name="CALC Amount Total [2] 4 5 2" xfId="26949"/>
    <cellStyle name="CALC Amount Total [2] 4 5 2 2" xfId="40371"/>
    <cellStyle name="CALC Amount Total [2] 4 5 3" xfId="34117"/>
    <cellStyle name="CALC Amount Total [2] 4 5 4" xfId="40372"/>
    <cellStyle name="CALC Amount Total [2] 4 6" xfId="19598"/>
    <cellStyle name="CALC Amount Total [2] 4 6 2" xfId="27918"/>
    <cellStyle name="CALC Amount Total [2] 4 6 2 2" xfId="40373"/>
    <cellStyle name="CALC Amount Total [2] 4 6 3" xfId="35063"/>
    <cellStyle name="CALC Amount Total [2] 4 6 4" xfId="40374"/>
    <cellStyle name="CALC Amount Total [2] 4 7" xfId="20555"/>
    <cellStyle name="CALC Amount Total [2] 4 7 2" xfId="28877"/>
    <cellStyle name="CALC Amount Total [2] 4 7 2 2" xfId="40375"/>
    <cellStyle name="CALC Amount Total [2] 4 7 3" xfId="35980"/>
    <cellStyle name="CALC Amount Total [2] 4 7 4" xfId="40376"/>
    <cellStyle name="CALC Amount Total [2] 4 8" xfId="21250"/>
    <cellStyle name="CALC Amount Total [2] 4 8 2" xfId="29559"/>
    <cellStyle name="CALC Amount Total [2] 4 8 2 2" xfId="40377"/>
    <cellStyle name="CALC Amount Total [2] 4 8 3" xfId="36627"/>
    <cellStyle name="CALC Amount Total [2] 4 8 4" xfId="40378"/>
    <cellStyle name="CALC Amount Total [2] 4 9" xfId="21991"/>
    <cellStyle name="CALC Amount Total [2] 4 9 2" xfId="30291"/>
    <cellStyle name="CALC Amount Total [2] 4 9 2 2" xfId="40379"/>
    <cellStyle name="CALC Amount Total [2] 4 9 3" xfId="37331"/>
    <cellStyle name="CALC Amount Total [2] 4 9 4" xfId="40380"/>
    <cellStyle name="CALC Amount Total [2] 5" xfId="14619"/>
    <cellStyle name="CALC Amount Total [2] 5 10" xfId="22981"/>
    <cellStyle name="CALC Amount Total [2] 5 10 2" xfId="40381"/>
    <cellStyle name="CALC Amount Total [2] 5 11" xfId="40382"/>
    <cellStyle name="CALC Amount Total [2] 5 2" xfId="15700"/>
    <cellStyle name="CALC Amount Total [2] 5 2 2" xfId="24016"/>
    <cellStyle name="CALC Amount Total [2] 5 2 2 2" xfId="40383"/>
    <cellStyle name="CALC Amount Total [2] 5 2 3" xfId="31310"/>
    <cellStyle name="CALC Amount Total [2] 5 2 4" xfId="40384"/>
    <cellStyle name="CALC Amount Total [2] 5 3" xfId="16667"/>
    <cellStyle name="CALC Amount Total [2] 5 3 2" xfId="24987"/>
    <cellStyle name="CALC Amount Total [2] 5 3 2 2" xfId="40385"/>
    <cellStyle name="CALC Amount Total [2] 5 3 3" xfId="32243"/>
    <cellStyle name="CALC Amount Total [2] 5 3 4" xfId="40386"/>
    <cellStyle name="CALC Amount Total [2] 5 4" xfId="17690"/>
    <cellStyle name="CALC Amount Total [2] 5 4 2" xfId="26013"/>
    <cellStyle name="CALC Amount Total [2] 5 4 2 2" xfId="40387"/>
    <cellStyle name="CALC Amount Total [2] 5 4 3" xfId="33220"/>
    <cellStyle name="CALC Amount Total [2] 5 4 4" xfId="40388"/>
    <cellStyle name="CALC Amount Total [2] 5 5" xfId="18673"/>
    <cellStyle name="CALC Amount Total [2] 5 5 2" xfId="26994"/>
    <cellStyle name="CALC Amount Total [2] 5 5 2 2" xfId="40389"/>
    <cellStyle name="CALC Amount Total [2] 5 5 3" xfId="34159"/>
    <cellStyle name="CALC Amount Total [2] 5 5 4" xfId="40390"/>
    <cellStyle name="CALC Amount Total [2] 5 6" xfId="19642"/>
    <cellStyle name="CALC Amount Total [2] 5 6 2" xfId="27963"/>
    <cellStyle name="CALC Amount Total [2] 5 6 2 2" xfId="40391"/>
    <cellStyle name="CALC Amount Total [2] 5 6 3" xfId="35105"/>
    <cellStyle name="CALC Amount Total [2] 5 6 4" xfId="40392"/>
    <cellStyle name="CALC Amount Total [2] 5 7" xfId="20599"/>
    <cellStyle name="CALC Amount Total [2] 5 7 2" xfId="28920"/>
    <cellStyle name="CALC Amount Total [2] 5 7 2 2" xfId="40393"/>
    <cellStyle name="CALC Amount Total [2] 5 7 3" xfId="36020"/>
    <cellStyle name="CALC Amount Total [2] 5 7 4" xfId="40394"/>
    <cellStyle name="CALC Amount Total [2] 5 8" xfId="21208"/>
    <cellStyle name="CALC Amount Total [2] 5 8 2" xfId="29520"/>
    <cellStyle name="CALC Amount Total [2] 5 8 2 2" xfId="40395"/>
    <cellStyle name="CALC Amount Total [2] 5 8 3" xfId="36589"/>
    <cellStyle name="CALC Amount Total [2] 5 8 4" xfId="40396"/>
    <cellStyle name="CALC Amount Total [2] 5 9" xfId="22036"/>
    <cellStyle name="CALC Amount Total [2] 5 9 2" xfId="30334"/>
    <cellStyle name="CALC Amount Total [2] 5 9 2 2" xfId="40397"/>
    <cellStyle name="CALC Amount Total [2] 5 9 3" xfId="37371"/>
    <cellStyle name="CALC Amount Total [2] 5 9 4" xfId="40398"/>
    <cellStyle name="CALC Amount Total [2] 6" xfId="14612"/>
    <cellStyle name="CALC Amount Total [2] 6 10" xfId="22973"/>
    <cellStyle name="CALC Amount Total [2] 6 10 2" xfId="40399"/>
    <cellStyle name="CALC Amount Total [2] 6 11" xfId="40400"/>
    <cellStyle name="CALC Amount Total [2] 6 2" xfId="15692"/>
    <cellStyle name="CALC Amount Total [2] 6 2 2" xfId="24008"/>
    <cellStyle name="CALC Amount Total [2] 6 2 2 2" xfId="40401"/>
    <cellStyle name="CALC Amount Total [2] 6 2 3" xfId="31302"/>
    <cellStyle name="CALC Amount Total [2] 6 2 4" xfId="40402"/>
    <cellStyle name="CALC Amount Total [2] 6 3" xfId="16659"/>
    <cellStyle name="CALC Amount Total [2] 6 3 2" xfId="24979"/>
    <cellStyle name="CALC Amount Total [2] 6 3 2 2" xfId="40403"/>
    <cellStyle name="CALC Amount Total [2] 6 3 3" xfId="32235"/>
    <cellStyle name="CALC Amount Total [2] 6 3 4" xfId="40404"/>
    <cellStyle name="CALC Amount Total [2] 6 4" xfId="17681"/>
    <cellStyle name="CALC Amount Total [2] 6 4 2" xfId="26005"/>
    <cellStyle name="CALC Amount Total [2] 6 4 2 2" xfId="40405"/>
    <cellStyle name="CALC Amount Total [2] 6 4 3" xfId="33212"/>
    <cellStyle name="CALC Amount Total [2] 6 4 4" xfId="40406"/>
    <cellStyle name="CALC Amount Total [2] 6 5" xfId="18664"/>
    <cellStyle name="CALC Amount Total [2] 6 5 2" xfId="26985"/>
    <cellStyle name="CALC Amount Total [2] 6 5 2 2" xfId="40407"/>
    <cellStyle name="CALC Amount Total [2] 6 5 3" xfId="34150"/>
    <cellStyle name="CALC Amount Total [2] 6 5 4" xfId="40408"/>
    <cellStyle name="CALC Amount Total [2] 6 6" xfId="19633"/>
    <cellStyle name="CALC Amount Total [2] 6 6 2" xfId="27954"/>
    <cellStyle name="CALC Amount Total [2] 6 6 2 2" xfId="40409"/>
    <cellStyle name="CALC Amount Total [2] 6 6 3" xfId="35096"/>
    <cellStyle name="CALC Amount Total [2] 6 6 4" xfId="40410"/>
    <cellStyle name="CALC Amount Total [2] 6 7" xfId="20590"/>
    <cellStyle name="CALC Amount Total [2] 6 7 2" xfId="28912"/>
    <cellStyle name="CALC Amount Total [2] 6 7 2 2" xfId="40411"/>
    <cellStyle name="CALC Amount Total [2] 6 7 3" xfId="36012"/>
    <cellStyle name="CALC Amount Total [2] 6 7 4" xfId="40412"/>
    <cellStyle name="CALC Amount Total [2] 6 8" xfId="21376"/>
    <cellStyle name="CALC Amount Total [2] 6 8 2" xfId="29679"/>
    <cellStyle name="CALC Amount Total [2] 6 8 2 2" xfId="40413"/>
    <cellStyle name="CALC Amount Total [2] 6 8 3" xfId="36743"/>
    <cellStyle name="CALC Amount Total [2] 6 8 4" xfId="40414"/>
    <cellStyle name="CALC Amount Total [2] 6 9" xfId="22027"/>
    <cellStyle name="CALC Amount Total [2] 6 9 2" xfId="30326"/>
    <cellStyle name="CALC Amount Total [2] 6 9 2 2" xfId="40415"/>
    <cellStyle name="CALC Amount Total [2] 6 9 3" xfId="37363"/>
    <cellStyle name="CALC Amount Total [2] 6 9 4" xfId="40416"/>
    <cellStyle name="CALC Amount Total [2] 7" xfId="14677"/>
    <cellStyle name="CALC Amount Total [2] 7 10" xfId="23039"/>
    <cellStyle name="CALC Amount Total [2] 7 10 2" xfId="40417"/>
    <cellStyle name="CALC Amount Total [2] 7 11" xfId="40418"/>
    <cellStyle name="CALC Amount Total [2] 7 2" xfId="15758"/>
    <cellStyle name="CALC Amount Total [2] 7 2 2" xfId="24074"/>
    <cellStyle name="CALC Amount Total [2] 7 2 2 2" xfId="40419"/>
    <cellStyle name="CALC Amount Total [2] 7 2 3" xfId="31365"/>
    <cellStyle name="CALC Amount Total [2] 7 2 4" xfId="40420"/>
    <cellStyle name="CALC Amount Total [2] 7 3" xfId="16724"/>
    <cellStyle name="CALC Amount Total [2] 7 3 2" xfId="25045"/>
    <cellStyle name="CALC Amount Total [2] 7 3 2 2" xfId="40421"/>
    <cellStyle name="CALC Amount Total [2] 7 3 3" xfId="32298"/>
    <cellStyle name="CALC Amount Total [2] 7 3 4" xfId="40422"/>
    <cellStyle name="CALC Amount Total [2] 7 4" xfId="17748"/>
    <cellStyle name="CALC Amount Total [2] 7 4 2" xfId="26071"/>
    <cellStyle name="CALC Amount Total [2] 7 4 2 2" xfId="40423"/>
    <cellStyle name="CALC Amount Total [2] 7 4 3" xfId="33275"/>
    <cellStyle name="CALC Amount Total [2] 7 4 4" xfId="40424"/>
    <cellStyle name="CALC Amount Total [2] 7 5" xfId="18731"/>
    <cellStyle name="CALC Amount Total [2] 7 5 2" xfId="27052"/>
    <cellStyle name="CALC Amount Total [2] 7 5 2 2" xfId="40425"/>
    <cellStyle name="CALC Amount Total [2] 7 5 3" xfId="34214"/>
    <cellStyle name="CALC Amount Total [2] 7 5 4" xfId="40426"/>
    <cellStyle name="CALC Amount Total [2] 7 6" xfId="19700"/>
    <cellStyle name="CALC Amount Total [2] 7 6 2" xfId="28021"/>
    <cellStyle name="CALC Amount Total [2] 7 6 2 2" xfId="40427"/>
    <cellStyle name="CALC Amount Total [2] 7 6 3" xfId="35160"/>
    <cellStyle name="CALC Amount Total [2] 7 6 4" xfId="40428"/>
    <cellStyle name="CALC Amount Total [2] 7 7" xfId="20657"/>
    <cellStyle name="CALC Amount Total [2] 7 7 2" xfId="28978"/>
    <cellStyle name="CALC Amount Total [2] 7 7 2 2" xfId="40429"/>
    <cellStyle name="CALC Amount Total [2] 7 7 3" xfId="36075"/>
    <cellStyle name="CALC Amount Total [2] 7 7 4" xfId="40430"/>
    <cellStyle name="CALC Amount Total [2] 7 8" xfId="21195"/>
    <cellStyle name="CALC Amount Total [2] 7 8 2" xfId="29507"/>
    <cellStyle name="CALC Amount Total [2] 7 8 2 2" xfId="40431"/>
    <cellStyle name="CALC Amount Total [2] 7 8 3" xfId="36578"/>
    <cellStyle name="CALC Amount Total [2] 7 8 4" xfId="40432"/>
    <cellStyle name="CALC Amount Total [2] 7 9" xfId="22094"/>
    <cellStyle name="CALC Amount Total [2] 7 9 2" xfId="30392"/>
    <cellStyle name="CALC Amount Total [2] 7 9 2 2" xfId="40433"/>
    <cellStyle name="CALC Amount Total [2] 7 9 3" xfId="37426"/>
    <cellStyle name="CALC Amount Total [2] 7 9 4" xfId="40434"/>
    <cellStyle name="CALC Amount Total [2] 8" xfId="14757"/>
    <cellStyle name="CALC Amount Total [2] 8 10" xfId="23121"/>
    <cellStyle name="CALC Amount Total [2] 8 10 2" xfId="40435"/>
    <cellStyle name="CALC Amount Total [2] 8 11" xfId="40436"/>
    <cellStyle name="CALC Amount Total [2] 8 12" xfId="40437"/>
    <cellStyle name="CALC Amount Total [2] 8 2" xfId="15838"/>
    <cellStyle name="CALC Amount Total [2] 8 2 2" xfId="24156"/>
    <cellStyle name="CALC Amount Total [2] 8 2 2 2" xfId="40438"/>
    <cellStyle name="CALC Amount Total [2] 8 2 3" xfId="31444"/>
    <cellStyle name="CALC Amount Total [2] 8 2 4" xfId="40439"/>
    <cellStyle name="CALC Amount Total [2] 8 3" xfId="16804"/>
    <cellStyle name="CALC Amount Total [2] 8 3 2" xfId="25128"/>
    <cellStyle name="CALC Amount Total [2] 8 3 2 2" xfId="40440"/>
    <cellStyle name="CALC Amount Total [2] 8 3 3" xfId="32377"/>
    <cellStyle name="CALC Amount Total [2] 8 3 4" xfId="40441"/>
    <cellStyle name="CALC Amount Total [2] 8 4" xfId="17830"/>
    <cellStyle name="CALC Amount Total [2] 8 4 2" xfId="26154"/>
    <cellStyle name="CALC Amount Total [2] 8 4 2 2" xfId="40442"/>
    <cellStyle name="CALC Amount Total [2] 8 4 3" xfId="33354"/>
    <cellStyle name="CALC Amount Total [2] 8 4 4" xfId="40443"/>
    <cellStyle name="CALC Amount Total [2] 8 5" xfId="18814"/>
    <cellStyle name="CALC Amount Total [2] 8 5 2" xfId="27135"/>
    <cellStyle name="CALC Amount Total [2] 8 5 2 2" xfId="40444"/>
    <cellStyle name="CALC Amount Total [2] 8 5 3" xfId="34294"/>
    <cellStyle name="CALC Amount Total [2] 8 5 4" xfId="40445"/>
    <cellStyle name="CALC Amount Total [2] 8 6" xfId="19782"/>
    <cellStyle name="CALC Amount Total [2] 8 6 2" xfId="28104"/>
    <cellStyle name="CALC Amount Total [2] 8 6 2 2" xfId="40446"/>
    <cellStyle name="CALC Amount Total [2] 8 6 3" xfId="35240"/>
    <cellStyle name="CALC Amount Total [2] 8 6 4" xfId="40447"/>
    <cellStyle name="CALC Amount Total [2] 8 7" xfId="20740"/>
    <cellStyle name="CALC Amount Total [2] 8 7 2" xfId="29061"/>
    <cellStyle name="CALC Amount Total [2] 8 7 2 2" xfId="40448"/>
    <cellStyle name="CALC Amount Total [2] 8 7 3" xfId="36153"/>
    <cellStyle name="CALC Amount Total [2] 8 7 4" xfId="40449"/>
    <cellStyle name="CALC Amount Total [2] 8 8" xfId="15552"/>
    <cellStyle name="CALC Amount Total [2] 8 8 2" xfId="23882"/>
    <cellStyle name="CALC Amount Total [2] 8 8 2 2" xfId="40450"/>
    <cellStyle name="CALC Amount Total [2] 8 8 3" xfId="31226"/>
    <cellStyle name="CALC Amount Total [2] 8 8 4" xfId="40451"/>
    <cellStyle name="CALC Amount Total [2] 8 9" xfId="22176"/>
    <cellStyle name="CALC Amount Total [2] 8 9 2" xfId="30474"/>
    <cellStyle name="CALC Amount Total [2] 8 9 2 2" xfId="40452"/>
    <cellStyle name="CALC Amount Total [2] 8 9 3" xfId="37505"/>
    <cellStyle name="CALC Amount Total [2] 8 9 4" xfId="40453"/>
    <cellStyle name="CALC Amount Total [2] 9" xfId="14741"/>
    <cellStyle name="CALC Amount Total [2] 9 10" xfId="23105"/>
    <cellStyle name="CALC Amount Total [2] 9 10 2" xfId="40454"/>
    <cellStyle name="CALC Amount Total [2] 9 11" xfId="40455"/>
    <cellStyle name="CALC Amount Total [2] 9 12" xfId="40456"/>
    <cellStyle name="CALC Amount Total [2] 9 2" xfId="15822"/>
    <cellStyle name="CALC Amount Total [2] 9 2 2" xfId="24140"/>
    <cellStyle name="CALC Amount Total [2] 9 2 2 2" xfId="40457"/>
    <cellStyle name="CALC Amount Total [2] 9 2 3" xfId="31428"/>
    <cellStyle name="CALC Amount Total [2] 9 2 4" xfId="40458"/>
    <cellStyle name="CALC Amount Total [2] 9 3" xfId="16788"/>
    <cellStyle name="CALC Amount Total [2] 9 3 2" xfId="25112"/>
    <cellStyle name="CALC Amount Total [2] 9 3 2 2" xfId="40459"/>
    <cellStyle name="CALC Amount Total [2] 9 3 3" xfId="32361"/>
    <cellStyle name="CALC Amount Total [2] 9 3 4" xfId="40460"/>
    <cellStyle name="CALC Amount Total [2] 9 4" xfId="17814"/>
    <cellStyle name="CALC Amount Total [2] 9 4 2" xfId="26138"/>
    <cellStyle name="CALC Amount Total [2] 9 4 2 2" xfId="40461"/>
    <cellStyle name="CALC Amount Total [2] 9 4 3" xfId="33338"/>
    <cellStyle name="CALC Amount Total [2] 9 4 4" xfId="40462"/>
    <cellStyle name="CALC Amount Total [2] 9 5" xfId="18798"/>
    <cellStyle name="CALC Amount Total [2] 9 5 2" xfId="27119"/>
    <cellStyle name="CALC Amount Total [2] 9 5 2 2" xfId="40463"/>
    <cellStyle name="CALC Amount Total [2] 9 5 3" xfId="34278"/>
    <cellStyle name="CALC Amount Total [2] 9 5 4" xfId="40464"/>
    <cellStyle name="CALC Amount Total [2] 9 6" xfId="19766"/>
    <cellStyle name="CALC Amount Total [2] 9 6 2" xfId="28088"/>
    <cellStyle name="CALC Amount Total [2] 9 6 2 2" xfId="40465"/>
    <cellStyle name="CALC Amount Total [2] 9 6 3" xfId="35224"/>
    <cellStyle name="CALC Amount Total [2] 9 6 4" xfId="40466"/>
    <cellStyle name="CALC Amount Total [2] 9 7" xfId="20724"/>
    <cellStyle name="CALC Amount Total [2] 9 7 2" xfId="29045"/>
    <cellStyle name="CALC Amount Total [2] 9 7 2 2" xfId="40467"/>
    <cellStyle name="CALC Amount Total [2] 9 7 3" xfId="36137"/>
    <cellStyle name="CALC Amount Total [2] 9 7 4" xfId="40468"/>
    <cellStyle name="CALC Amount Total [2] 9 8" xfId="21256"/>
    <cellStyle name="CALC Amount Total [2] 9 8 2" xfId="29565"/>
    <cellStyle name="CALC Amount Total [2] 9 8 2 2" xfId="40469"/>
    <cellStyle name="CALC Amount Total [2] 9 8 3" xfId="36633"/>
    <cellStyle name="CALC Amount Total [2] 9 8 4" xfId="40470"/>
    <cellStyle name="CALC Amount Total [2] 9 9" xfId="22160"/>
    <cellStyle name="CALC Amount Total [2] 9 9 2" xfId="30458"/>
    <cellStyle name="CALC Amount Total [2] 9 9 2 2" xfId="40471"/>
    <cellStyle name="CALC Amount Total [2] 9 9 3" xfId="37489"/>
    <cellStyle name="CALC Amount Total [2] 9 9 4" xfId="40472"/>
    <cellStyle name="CALC Amount Total 10" xfId="14656"/>
    <cellStyle name="CALC Amount Total 10 10" xfId="23018"/>
    <cellStyle name="CALC Amount Total 10 10 2" xfId="40473"/>
    <cellStyle name="CALC Amount Total 10 11" xfId="40474"/>
    <cellStyle name="CALC Amount Total 10 2" xfId="15737"/>
    <cellStyle name="CALC Amount Total 10 2 2" xfId="24053"/>
    <cellStyle name="CALC Amount Total 10 2 2 2" xfId="40475"/>
    <cellStyle name="CALC Amount Total 10 2 3" xfId="31345"/>
    <cellStyle name="CALC Amount Total 10 2 4" xfId="40476"/>
    <cellStyle name="CALC Amount Total 10 3" xfId="16703"/>
    <cellStyle name="CALC Amount Total 10 3 2" xfId="25024"/>
    <cellStyle name="CALC Amount Total 10 3 2 2" xfId="40477"/>
    <cellStyle name="CALC Amount Total 10 3 3" xfId="32278"/>
    <cellStyle name="CALC Amount Total 10 3 4" xfId="40478"/>
    <cellStyle name="CALC Amount Total 10 4" xfId="17727"/>
    <cellStyle name="CALC Amount Total 10 4 2" xfId="26050"/>
    <cellStyle name="CALC Amount Total 10 4 2 2" xfId="40479"/>
    <cellStyle name="CALC Amount Total 10 4 3" xfId="33255"/>
    <cellStyle name="CALC Amount Total 10 4 4" xfId="40480"/>
    <cellStyle name="CALC Amount Total 10 5" xfId="18710"/>
    <cellStyle name="CALC Amount Total 10 5 2" xfId="27031"/>
    <cellStyle name="CALC Amount Total 10 5 2 2" xfId="40481"/>
    <cellStyle name="CALC Amount Total 10 5 3" xfId="34194"/>
    <cellStyle name="CALC Amount Total 10 5 4" xfId="40482"/>
    <cellStyle name="CALC Amount Total 10 6" xfId="19679"/>
    <cellStyle name="CALC Amount Total 10 6 2" xfId="28000"/>
    <cellStyle name="CALC Amount Total 10 6 2 2" xfId="40483"/>
    <cellStyle name="CALC Amount Total 10 6 3" xfId="35140"/>
    <cellStyle name="CALC Amount Total 10 6 4" xfId="40484"/>
    <cellStyle name="CALC Amount Total 10 7" xfId="20636"/>
    <cellStyle name="CALC Amount Total 10 7 2" xfId="28957"/>
    <cellStyle name="CALC Amount Total 10 7 2 2" xfId="40485"/>
    <cellStyle name="CALC Amount Total 10 7 3" xfId="36055"/>
    <cellStyle name="CALC Amount Total 10 7 4" xfId="40486"/>
    <cellStyle name="CALC Amount Total 10 8" xfId="21102"/>
    <cellStyle name="CALC Amount Total 10 8 2" xfId="29419"/>
    <cellStyle name="CALC Amount Total 10 8 2 2" xfId="40487"/>
    <cellStyle name="CALC Amount Total 10 8 3" xfId="36493"/>
    <cellStyle name="CALC Amount Total 10 8 4" xfId="40488"/>
    <cellStyle name="CALC Amount Total 10 9" xfId="22073"/>
    <cellStyle name="CALC Amount Total 10 9 2" xfId="30371"/>
    <cellStyle name="CALC Amount Total 10 9 2 2" xfId="40489"/>
    <cellStyle name="CALC Amount Total 10 9 3" xfId="37406"/>
    <cellStyle name="CALC Amount Total 10 9 4" xfId="40490"/>
    <cellStyle name="CALC Amount Total 100" xfId="15464"/>
    <cellStyle name="CALC Amount Total 100 2" xfId="17510"/>
    <cellStyle name="CALC Amount Total 100 2 2" xfId="25831"/>
    <cellStyle name="CALC Amount Total 100 2 2 2" xfId="40491"/>
    <cellStyle name="CALC Amount Total 100 2 3" xfId="33050"/>
    <cellStyle name="CALC Amount Total 100 2 4" xfId="40492"/>
    <cellStyle name="CALC Amount Total 100 3" xfId="19521"/>
    <cellStyle name="CALC Amount Total 100 3 2" xfId="27842"/>
    <cellStyle name="CALC Amount Total 100 3 2 2" xfId="40493"/>
    <cellStyle name="CALC Amount Total 100 3 3" xfId="34990"/>
    <cellStyle name="CALC Amount Total 100 3 4" xfId="40494"/>
    <cellStyle name="CALC Amount Total 100 4" xfId="40495"/>
    <cellStyle name="CALC Amount Total 100 4 2" xfId="40496"/>
    <cellStyle name="CALC Amount Total 101" xfId="15516"/>
    <cellStyle name="CALC Amount Total 101 2" xfId="40497"/>
    <cellStyle name="CALC Amount Total 101 2 2" xfId="40498"/>
    <cellStyle name="CALC Amount Total 102" xfId="15549"/>
    <cellStyle name="CALC Amount Total 102 2" xfId="40499"/>
    <cellStyle name="CALC Amount Total 102 2 2" xfId="40500"/>
    <cellStyle name="CALC Amount Total 103" xfId="15538"/>
    <cellStyle name="CALC Amount Total 103 2" xfId="40501"/>
    <cellStyle name="CALC Amount Total 103 2 2" xfId="40502"/>
    <cellStyle name="CALC Amount Total 104" xfId="15562"/>
    <cellStyle name="CALC Amount Total 104 2" xfId="40503"/>
    <cellStyle name="CALC Amount Total 104 2 2" xfId="40504"/>
    <cellStyle name="CALC Amount Total 105" xfId="18539"/>
    <cellStyle name="CALC Amount Total 105 2" xfId="40505"/>
    <cellStyle name="CALC Amount Total 105 2 2" xfId="40506"/>
    <cellStyle name="CALC Amount Total 106" xfId="19583"/>
    <cellStyle name="CALC Amount Total 106 2" xfId="40507"/>
    <cellStyle name="CALC Amount Total 106 2 2" xfId="40508"/>
    <cellStyle name="CALC Amount Total 107" xfId="21320"/>
    <cellStyle name="CALC Amount Total 107 2" xfId="40509"/>
    <cellStyle name="CALC Amount Total 107 2 2" xfId="40510"/>
    <cellStyle name="CALC Amount Total 108" xfId="21139"/>
    <cellStyle name="CALC Amount Total 108 2" xfId="40511"/>
    <cellStyle name="CALC Amount Total 108 2 2" xfId="40512"/>
    <cellStyle name="CALC Amount Total 109" xfId="14579"/>
    <cellStyle name="CALC Amount Total 109 2" xfId="40513"/>
    <cellStyle name="CALC Amount Total 11" xfId="14661"/>
    <cellStyle name="CALC Amount Total 11 10" xfId="23023"/>
    <cellStyle name="CALC Amount Total 11 10 2" xfId="40514"/>
    <cellStyle name="CALC Amount Total 11 11" xfId="40515"/>
    <cellStyle name="CALC Amount Total 11 2" xfId="15742"/>
    <cellStyle name="CALC Amount Total 11 2 2" xfId="24058"/>
    <cellStyle name="CALC Amount Total 11 2 2 2" xfId="40516"/>
    <cellStyle name="CALC Amount Total 11 2 3" xfId="31350"/>
    <cellStyle name="CALC Amount Total 11 2 4" xfId="40517"/>
    <cellStyle name="CALC Amount Total 11 3" xfId="16708"/>
    <cellStyle name="CALC Amount Total 11 3 2" xfId="25029"/>
    <cellStyle name="CALC Amount Total 11 3 2 2" xfId="40518"/>
    <cellStyle name="CALC Amount Total 11 3 3" xfId="32283"/>
    <cellStyle name="CALC Amount Total 11 3 4" xfId="40519"/>
    <cellStyle name="CALC Amount Total 11 4" xfId="17732"/>
    <cellStyle name="CALC Amount Total 11 4 2" xfId="26055"/>
    <cellStyle name="CALC Amount Total 11 4 2 2" xfId="40520"/>
    <cellStyle name="CALC Amount Total 11 4 3" xfId="33260"/>
    <cellStyle name="CALC Amount Total 11 4 4" xfId="40521"/>
    <cellStyle name="CALC Amount Total 11 5" xfId="18715"/>
    <cellStyle name="CALC Amount Total 11 5 2" xfId="27036"/>
    <cellStyle name="CALC Amount Total 11 5 2 2" xfId="40522"/>
    <cellStyle name="CALC Amount Total 11 5 3" xfId="34199"/>
    <cellStyle name="CALC Amount Total 11 5 4" xfId="40523"/>
    <cellStyle name="CALC Amount Total 11 6" xfId="19684"/>
    <cellStyle name="CALC Amount Total 11 6 2" xfId="28005"/>
    <cellStyle name="CALC Amount Total 11 6 2 2" xfId="40524"/>
    <cellStyle name="CALC Amount Total 11 6 3" xfId="35145"/>
    <cellStyle name="CALC Amount Total 11 6 4" xfId="40525"/>
    <cellStyle name="CALC Amount Total 11 7" xfId="20641"/>
    <cellStyle name="CALC Amount Total 11 7 2" xfId="28962"/>
    <cellStyle name="CALC Amount Total 11 7 2 2" xfId="40526"/>
    <cellStyle name="CALC Amount Total 11 7 3" xfId="36060"/>
    <cellStyle name="CALC Amount Total 11 7 4" xfId="40527"/>
    <cellStyle name="CALC Amount Total 11 8" xfId="17570"/>
    <cellStyle name="CALC Amount Total 11 8 2" xfId="25889"/>
    <cellStyle name="CALC Amount Total 11 8 2 2" xfId="40528"/>
    <cellStyle name="CALC Amount Total 11 8 3" xfId="33102"/>
    <cellStyle name="CALC Amount Total 11 8 4" xfId="40529"/>
    <cellStyle name="CALC Amount Total 11 9" xfId="22078"/>
    <cellStyle name="CALC Amount Total 11 9 2" xfId="30376"/>
    <cellStyle name="CALC Amount Total 11 9 2 2" xfId="40530"/>
    <cellStyle name="CALC Amount Total 11 9 3" xfId="37411"/>
    <cellStyle name="CALC Amount Total 11 9 4" xfId="40531"/>
    <cellStyle name="CALC Amount Total 110" xfId="22947"/>
    <cellStyle name="CALC Amount Total 111" xfId="40532"/>
    <cellStyle name="CALC Amount Total 112" xfId="40533"/>
    <cellStyle name="CALC Amount Total 12" xfId="14673"/>
    <cellStyle name="CALC Amount Total 12 10" xfId="23035"/>
    <cellStyle name="CALC Amount Total 12 10 2" xfId="40534"/>
    <cellStyle name="CALC Amount Total 12 11" xfId="40535"/>
    <cellStyle name="CALC Amount Total 12 2" xfId="15754"/>
    <cellStyle name="CALC Amount Total 12 2 2" xfId="24070"/>
    <cellStyle name="CALC Amount Total 12 2 2 2" xfId="40536"/>
    <cellStyle name="CALC Amount Total 12 2 3" xfId="31361"/>
    <cellStyle name="CALC Amount Total 12 2 4" xfId="40537"/>
    <cellStyle name="CALC Amount Total 12 3" xfId="16720"/>
    <cellStyle name="CALC Amount Total 12 3 2" xfId="25041"/>
    <cellStyle name="CALC Amount Total 12 3 2 2" xfId="40538"/>
    <cellStyle name="CALC Amount Total 12 3 3" xfId="32294"/>
    <cellStyle name="CALC Amount Total 12 3 4" xfId="40539"/>
    <cellStyle name="CALC Amount Total 12 4" xfId="17744"/>
    <cellStyle name="CALC Amount Total 12 4 2" xfId="26067"/>
    <cellStyle name="CALC Amount Total 12 4 2 2" xfId="40540"/>
    <cellStyle name="CALC Amount Total 12 4 3" xfId="33271"/>
    <cellStyle name="CALC Amount Total 12 4 4" xfId="40541"/>
    <cellStyle name="CALC Amount Total 12 5" xfId="18727"/>
    <cellStyle name="CALC Amount Total 12 5 2" xfId="27048"/>
    <cellStyle name="CALC Amount Total 12 5 2 2" xfId="40542"/>
    <cellStyle name="CALC Amount Total 12 5 3" xfId="34210"/>
    <cellStyle name="CALC Amount Total 12 5 4" xfId="40543"/>
    <cellStyle name="CALC Amount Total 12 6" xfId="19696"/>
    <cellStyle name="CALC Amount Total 12 6 2" xfId="28017"/>
    <cellStyle name="CALC Amount Total 12 6 2 2" xfId="40544"/>
    <cellStyle name="CALC Amount Total 12 6 3" xfId="35156"/>
    <cellStyle name="CALC Amount Total 12 6 4" xfId="40545"/>
    <cellStyle name="CALC Amount Total 12 7" xfId="20653"/>
    <cellStyle name="CALC Amount Total 12 7 2" xfId="28974"/>
    <cellStyle name="CALC Amount Total 12 7 2 2" xfId="40546"/>
    <cellStyle name="CALC Amount Total 12 7 3" xfId="36071"/>
    <cellStyle name="CALC Amount Total 12 7 4" xfId="40547"/>
    <cellStyle name="CALC Amount Total 12 8" xfId="21248"/>
    <cellStyle name="CALC Amount Total 12 8 2" xfId="29557"/>
    <cellStyle name="CALC Amount Total 12 8 2 2" xfId="40548"/>
    <cellStyle name="CALC Amount Total 12 8 3" xfId="36625"/>
    <cellStyle name="CALC Amount Total 12 8 4" xfId="40549"/>
    <cellStyle name="CALC Amount Total 12 9" xfId="22090"/>
    <cellStyle name="CALC Amount Total 12 9 2" xfId="30388"/>
    <cellStyle name="CALC Amount Total 12 9 2 2" xfId="40550"/>
    <cellStyle name="CALC Amount Total 12 9 3" xfId="37422"/>
    <cellStyle name="CALC Amount Total 12 9 4" xfId="40551"/>
    <cellStyle name="CALC Amount Total 13" xfId="14680"/>
    <cellStyle name="CALC Amount Total 13 10" xfId="23042"/>
    <cellStyle name="CALC Amount Total 13 10 2" xfId="40552"/>
    <cellStyle name="CALC Amount Total 13 11" xfId="40553"/>
    <cellStyle name="CALC Amount Total 13 2" xfId="15761"/>
    <cellStyle name="CALC Amount Total 13 2 2" xfId="24077"/>
    <cellStyle name="CALC Amount Total 13 2 2 2" xfId="40554"/>
    <cellStyle name="CALC Amount Total 13 2 3" xfId="31368"/>
    <cellStyle name="CALC Amount Total 13 2 4" xfId="40555"/>
    <cellStyle name="CALC Amount Total 13 3" xfId="16727"/>
    <cellStyle name="CALC Amount Total 13 3 2" xfId="25048"/>
    <cellStyle name="CALC Amount Total 13 3 2 2" xfId="40556"/>
    <cellStyle name="CALC Amount Total 13 3 3" xfId="32301"/>
    <cellStyle name="CALC Amount Total 13 3 4" xfId="40557"/>
    <cellStyle name="CALC Amount Total 13 4" xfId="17751"/>
    <cellStyle name="CALC Amount Total 13 4 2" xfId="26074"/>
    <cellStyle name="CALC Amount Total 13 4 2 2" xfId="40558"/>
    <cellStyle name="CALC Amount Total 13 4 3" xfId="33278"/>
    <cellStyle name="CALC Amount Total 13 4 4" xfId="40559"/>
    <cellStyle name="CALC Amount Total 13 5" xfId="18734"/>
    <cellStyle name="CALC Amount Total 13 5 2" xfId="27055"/>
    <cellStyle name="CALC Amount Total 13 5 2 2" xfId="40560"/>
    <cellStyle name="CALC Amount Total 13 5 3" xfId="34217"/>
    <cellStyle name="CALC Amount Total 13 5 4" xfId="40561"/>
    <cellStyle name="CALC Amount Total 13 6" xfId="19703"/>
    <cellStyle name="CALC Amount Total 13 6 2" xfId="28024"/>
    <cellStyle name="CALC Amount Total 13 6 2 2" xfId="40562"/>
    <cellStyle name="CALC Amount Total 13 6 3" xfId="35163"/>
    <cellStyle name="CALC Amount Total 13 6 4" xfId="40563"/>
    <cellStyle name="CALC Amount Total 13 7" xfId="20660"/>
    <cellStyle name="CALC Amount Total 13 7 2" xfId="28981"/>
    <cellStyle name="CALC Amount Total 13 7 2 2" xfId="40564"/>
    <cellStyle name="CALC Amount Total 13 7 3" xfId="36078"/>
    <cellStyle name="CALC Amount Total 13 7 4" xfId="40565"/>
    <cellStyle name="CALC Amount Total 13 8" xfId="21234"/>
    <cellStyle name="CALC Amount Total 13 8 2" xfId="29544"/>
    <cellStyle name="CALC Amount Total 13 8 2 2" xfId="40566"/>
    <cellStyle name="CALC Amount Total 13 8 3" xfId="36613"/>
    <cellStyle name="CALC Amount Total 13 8 4" xfId="40567"/>
    <cellStyle name="CALC Amount Total 13 9" xfId="22097"/>
    <cellStyle name="CALC Amount Total 13 9 2" xfId="30395"/>
    <cellStyle name="CALC Amount Total 13 9 2 2" xfId="40568"/>
    <cellStyle name="CALC Amount Total 13 9 3" xfId="37429"/>
    <cellStyle name="CALC Amount Total 13 9 4" xfId="40569"/>
    <cellStyle name="CALC Amount Total 14" xfId="14696"/>
    <cellStyle name="CALC Amount Total 14 10" xfId="23058"/>
    <cellStyle name="CALC Amount Total 14 10 2" xfId="40570"/>
    <cellStyle name="CALC Amount Total 14 11" xfId="40571"/>
    <cellStyle name="CALC Amount Total 14 2" xfId="15777"/>
    <cellStyle name="CALC Amount Total 14 2 2" xfId="24093"/>
    <cellStyle name="CALC Amount Total 14 2 2 2" xfId="40572"/>
    <cellStyle name="CALC Amount Total 14 2 3" xfId="31384"/>
    <cellStyle name="CALC Amount Total 14 2 4" xfId="40573"/>
    <cellStyle name="CALC Amount Total 14 3" xfId="16743"/>
    <cellStyle name="CALC Amount Total 14 3 2" xfId="25065"/>
    <cellStyle name="CALC Amount Total 14 3 2 2" xfId="40574"/>
    <cellStyle name="CALC Amount Total 14 3 3" xfId="32317"/>
    <cellStyle name="CALC Amount Total 14 3 4" xfId="40575"/>
    <cellStyle name="CALC Amount Total 14 4" xfId="17767"/>
    <cellStyle name="CALC Amount Total 14 4 2" xfId="26091"/>
    <cellStyle name="CALC Amount Total 14 4 2 2" xfId="40576"/>
    <cellStyle name="CALC Amount Total 14 4 3" xfId="33294"/>
    <cellStyle name="CALC Amount Total 14 4 4" xfId="40577"/>
    <cellStyle name="CALC Amount Total 14 5" xfId="18751"/>
    <cellStyle name="CALC Amount Total 14 5 2" xfId="27072"/>
    <cellStyle name="CALC Amount Total 14 5 2 2" xfId="40578"/>
    <cellStyle name="CALC Amount Total 14 5 3" xfId="34234"/>
    <cellStyle name="CALC Amount Total 14 5 4" xfId="40579"/>
    <cellStyle name="CALC Amount Total 14 6" xfId="19720"/>
    <cellStyle name="CALC Amount Total 14 6 2" xfId="28041"/>
    <cellStyle name="CALC Amount Total 14 6 2 2" xfId="40580"/>
    <cellStyle name="CALC Amount Total 14 6 3" xfId="35180"/>
    <cellStyle name="CALC Amount Total 14 6 4" xfId="40581"/>
    <cellStyle name="CALC Amount Total 14 7" xfId="20677"/>
    <cellStyle name="CALC Amount Total 14 7 2" xfId="28998"/>
    <cellStyle name="CALC Amount Total 14 7 2 2" xfId="40582"/>
    <cellStyle name="CALC Amount Total 14 7 3" xfId="36094"/>
    <cellStyle name="CALC Amount Total 14 7 4" xfId="40583"/>
    <cellStyle name="CALC Amount Total 14 8" xfId="21257"/>
    <cellStyle name="CALC Amount Total 14 8 2" xfId="29566"/>
    <cellStyle name="CALC Amount Total 14 8 2 2" xfId="40584"/>
    <cellStyle name="CALC Amount Total 14 8 3" xfId="36634"/>
    <cellStyle name="CALC Amount Total 14 8 4" xfId="40585"/>
    <cellStyle name="CALC Amount Total 14 9" xfId="22113"/>
    <cellStyle name="CALC Amount Total 14 9 2" xfId="30411"/>
    <cellStyle name="CALC Amount Total 14 9 2 2" xfId="40586"/>
    <cellStyle name="CALC Amount Total 14 9 3" xfId="37445"/>
    <cellStyle name="CALC Amount Total 14 9 4" xfId="40587"/>
    <cellStyle name="CALC Amount Total 15" xfId="14732"/>
    <cellStyle name="CALC Amount Total 15 10" xfId="23096"/>
    <cellStyle name="CALC Amount Total 15 10 2" xfId="40588"/>
    <cellStyle name="CALC Amount Total 15 11" xfId="40589"/>
    <cellStyle name="CALC Amount Total 15 2" xfId="15813"/>
    <cellStyle name="CALC Amount Total 15 2 2" xfId="24131"/>
    <cellStyle name="CALC Amount Total 15 2 2 2" xfId="40590"/>
    <cellStyle name="CALC Amount Total 15 2 3" xfId="31419"/>
    <cellStyle name="CALC Amount Total 15 2 4" xfId="40591"/>
    <cellStyle name="CALC Amount Total 15 3" xfId="16779"/>
    <cellStyle name="CALC Amount Total 15 3 2" xfId="25103"/>
    <cellStyle name="CALC Amount Total 15 3 2 2" xfId="40592"/>
    <cellStyle name="CALC Amount Total 15 3 3" xfId="32352"/>
    <cellStyle name="CALC Amount Total 15 3 4" xfId="40593"/>
    <cellStyle name="CALC Amount Total 15 4" xfId="17805"/>
    <cellStyle name="CALC Amount Total 15 4 2" xfId="26129"/>
    <cellStyle name="CALC Amount Total 15 4 2 2" xfId="40594"/>
    <cellStyle name="CALC Amount Total 15 4 3" xfId="33329"/>
    <cellStyle name="CALC Amount Total 15 4 4" xfId="40595"/>
    <cellStyle name="CALC Amount Total 15 5" xfId="18789"/>
    <cellStyle name="CALC Amount Total 15 5 2" xfId="27110"/>
    <cellStyle name="CALC Amount Total 15 5 2 2" xfId="40596"/>
    <cellStyle name="CALC Amount Total 15 5 3" xfId="34269"/>
    <cellStyle name="CALC Amount Total 15 5 4" xfId="40597"/>
    <cellStyle name="CALC Amount Total 15 6" xfId="19757"/>
    <cellStyle name="CALC Amount Total 15 6 2" xfId="28079"/>
    <cellStyle name="CALC Amount Total 15 6 2 2" xfId="40598"/>
    <cellStyle name="CALC Amount Total 15 6 3" xfId="35215"/>
    <cellStyle name="CALC Amount Total 15 6 4" xfId="40599"/>
    <cellStyle name="CALC Amount Total 15 7" xfId="20715"/>
    <cellStyle name="CALC Amount Total 15 7 2" xfId="29036"/>
    <cellStyle name="CALC Amount Total 15 7 2 2" xfId="40600"/>
    <cellStyle name="CALC Amount Total 15 7 3" xfId="36129"/>
    <cellStyle name="CALC Amount Total 15 7 4" xfId="40601"/>
    <cellStyle name="CALC Amount Total 15 8" xfId="21286"/>
    <cellStyle name="CALC Amount Total 15 8 2" xfId="29593"/>
    <cellStyle name="CALC Amount Total 15 8 2 2" xfId="40602"/>
    <cellStyle name="CALC Amount Total 15 8 3" xfId="36660"/>
    <cellStyle name="CALC Amount Total 15 8 4" xfId="40603"/>
    <cellStyle name="CALC Amount Total 15 9" xfId="22151"/>
    <cellStyle name="CALC Amount Total 15 9 2" xfId="30449"/>
    <cellStyle name="CALC Amount Total 15 9 2 2" xfId="40604"/>
    <cellStyle name="CALC Amount Total 15 9 3" xfId="37480"/>
    <cellStyle name="CALC Amount Total 15 9 4" xfId="40605"/>
    <cellStyle name="CALC Amount Total 16" xfId="14745"/>
    <cellStyle name="CALC Amount Total 16 10" xfId="23109"/>
    <cellStyle name="CALC Amount Total 16 10 2" xfId="40606"/>
    <cellStyle name="CALC Amount Total 16 11" xfId="40607"/>
    <cellStyle name="CALC Amount Total 16 2" xfId="15826"/>
    <cellStyle name="CALC Amount Total 16 2 2" xfId="24144"/>
    <cellStyle name="CALC Amount Total 16 2 2 2" xfId="40608"/>
    <cellStyle name="CALC Amount Total 16 2 3" xfId="31432"/>
    <cellStyle name="CALC Amount Total 16 2 4" xfId="40609"/>
    <cellStyle name="CALC Amount Total 16 3" xfId="16792"/>
    <cellStyle name="CALC Amount Total 16 3 2" xfId="25116"/>
    <cellStyle name="CALC Amount Total 16 3 2 2" xfId="40610"/>
    <cellStyle name="CALC Amount Total 16 3 3" xfId="32365"/>
    <cellStyle name="CALC Amount Total 16 3 4" xfId="40611"/>
    <cellStyle name="CALC Amount Total 16 4" xfId="17818"/>
    <cellStyle name="CALC Amount Total 16 4 2" xfId="26142"/>
    <cellStyle name="CALC Amount Total 16 4 2 2" xfId="40612"/>
    <cellStyle name="CALC Amount Total 16 4 3" xfId="33342"/>
    <cellStyle name="CALC Amount Total 16 4 4" xfId="40613"/>
    <cellStyle name="CALC Amount Total 16 5" xfId="18802"/>
    <cellStyle name="CALC Amount Total 16 5 2" xfId="27123"/>
    <cellStyle name="CALC Amount Total 16 5 2 2" xfId="40614"/>
    <cellStyle name="CALC Amount Total 16 5 3" xfId="34282"/>
    <cellStyle name="CALC Amount Total 16 5 4" xfId="40615"/>
    <cellStyle name="CALC Amount Total 16 6" xfId="19770"/>
    <cellStyle name="CALC Amount Total 16 6 2" xfId="28092"/>
    <cellStyle name="CALC Amount Total 16 6 2 2" xfId="40616"/>
    <cellStyle name="CALC Amount Total 16 6 3" xfId="35228"/>
    <cellStyle name="CALC Amount Total 16 6 4" xfId="40617"/>
    <cellStyle name="CALC Amount Total 16 7" xfId="20728"/>
    <cellStyle name="CALC Amount Total 16 7 2" xfId="29049"/>
    <cellStyle name="CALC Amount Total 16 7 2 2" xfId="40618"/>
    <cellStyle name="CALC Amount Total 16 7 3" xfId="36141"/>
    <cellStyle name="CALC Amount Total 16 7 4" xfId="40619"/>
    <cellStyle name="CALC Amount Total 16 8" xfId="17561"/>
    <cellStyle name="CALC Amount Total 16 8 2" xfId="25880"/>
    <cellStyle name="CALC Amount Total 16 8 2 2" xfId="40620"/>
    <cellStyle name="CALC Amount Total 16 8 3" xfId="33095"/>
    <cellStyle name="CALC Amount Total 16 8 4" xfId="40621"/>
    <cellStyle name="CALC Amount Total 16 9" xfId="22164"/>
    <cellStyle name="CALC Amount Total 16 9 2" xfId="30462"/>
    <cellStyle name="CALC Amount Total 16 9 2 2" xfId="40622"/>
    <cellStyle name="CALC Amount Total 16 9 3" xfId="37493"/>
    <cellStyle name="CALC Amount Total 16 9 4" xfId="40623"/>
    <cellStyle name="CALC Amount Total 17" xfId="14739"/>
    <cellStyle name="CALC Amount Total 17 10" xfId="23103"/>
    <cellStyle name="CALC Amount Total 17 10 2" xfId="40624"/>
    <cellStyle name="CALC Amount Total 17 11" xfId="40625"/>
    <cellStyle name="CALC Amount Total 17 2" xfId="15820"/>
    <cellStyle name="CALC Amount Total 17 2 2" xfId="24138"/>
    <cellStyle name="CALC Amount Total 17 2 2 2" xfId="40626"/>
    <cellStyle name="CALC Amount Total 17 2 3" xfId="31426"/>
    <cellStyle name="CALC Amount Total 17 2 4" xfId="40627"/>
    <cellStyle name="CALC Amount Total 17 3" xfId="16786"/>
    <cellStyle name="CALC Amount Total 17 3 2" xfId="25110"/>
    <cellStyle name="CALC Amount Total 17 3 2 2" xfId="40628"/>
    <cellStyle name="CALC Amount Total 17 3 3" xfId="32359"/>
    <cellStyle name="CALC Amount Total 17 3 4" xfId="40629"/>
    <cellStyle name="CALC Amount Total 17 4" xfId="17812"/>
    <cellStyle name="CALC Amount Total 17 4 2" xfId="26136"/>
    <cellStyle name="CALC Amount Total 17 4 2 2" xfId="40630"/>
    <cellStyle name="CALC Amount Total 17 4 3" xfId="33336"/>
    <cellStyle name="CALC Amount Total 17 4 4" xfId="40631"/>
    <cellStyle name="CALC Amount Total 17 5" xfId="18796"/>
    <cellStyle name="CALC Amount Total 17 5 2" xfId="27117"/>
    <cellStyle name="CALC Amount Total 17 5 2 2" xfId="40632"/>
    <cellStyle name="CALC Amount Total 17 5 3" xfId="34276"/>
    <cellStyle name="CALC Amount Total 17 5 4" xfId="40633"/>
    <cellStyle name="CALC Amount Total 17 6" xfId="19764"/>
    <cellStyle name="CALC Amount Total 17 6 2" xfId="28086"/>
    <cellStyle name="CALC Amount Total 17 6 2 2" xfId="40634"/>
    <cellStyle name="CALC Amount Total 17 6 3" xfId="35222"/>
    <cellStyle name="CALC Amount Total 17 6 4" xfId="40635"/>
    <cellStyle name="CALC Amount Total 17 7" xfId="20722"/>
    <cellStyle name="CALC Amount Total 17 7 2" xfId="29043"/>
    <cellStyle name="CALC Amount Total 17 7 2 2" xfId="40636"/>
    <cellStyle name="CALC Amount Total 17 7 3" xfId="36135"/>
    <cellStyle name="CALC Amount Total 17 7 4" xfId="40637"/>
    <cellStyle name="CALC Amount Total 17 8" xfId="21315"/>
    <cellStyle name="CALC Amount Total 17 8 2" xfId="29621"/>
    <cellStyle name="CALC Amount Total 17 8 2 2" xfId="40638"/>
    <cellStyle name="CALC Amount Total 17 8 3" xfId="36688"/>
    <cellStyle name="CALC Amount Total 17 8 4" xfId="40639"/>
    <cellStyle name="CALC Amount Total 17 9" xfId="22158"/>
    <cellStyle name="CALC Amount Total 17 9 2" xfId="30456"/>
    <cellStyle name="CALC Amount Total 17 9 2 2" xfId="40640"/>
    <cellStyle name="CALC Amount Total 17 9 3" xfId="37487"/>
    <cellStyle name="CALC Amount Total 17 9 4" xfId="40641"/>
    <cellStyle name="CALC Amount Total 18" xfId="14758"/>
    <cellStyle name="CALC Amount Total 18 10" xfId="23122"/>
    <cellStyle name="CALC Amount Total 18 10 2" xfId="40642"/>
    <cellStyle name="CALC Amount Total 18 11" xfId="40643"/>
    <cellStyle name="CALC Amount Total 18 12" xfId="40644"/>
    <cellStyle name="CALC Amount Total 18 2" xfId="15839"/>
    <cellStyle name="CALC Amount Total 18 2 2" xfId="24157"/>
    <cellStyle name="CALC Amount Total 18 2 2 2" xfId="40645"/>
    <cellStyle name="CALC Amount Total 18 2 3" xfId="31445"/>
    <cellStyle name="CALC Amount Total 18 2 4" xfId="40646"/>
    <cellStyle name="CALC Amount Total 18 3" xfId="16805"/>
    <cellStyle name="CALC Amount Total 18 3 2" xfId="25129"/>
    <cellStyle name="CALC Amount Total 18 3 2 2" xfId="40647"/>
    <cellStyle name="CALC Amount Total 18 3 3" xfId="32378"/>
    <cellStyle name="CALC Amount Total 18 3 4" xfId="40648"/>
    <cellStyle name="CALC Amount Total 18 4" xfId="17831"/>
    <cellStyle name="CALC Amount Total 18 4 2" xfId="26155"/>
    <cellStyle name="CALC Amount Total 18 4 2 2" xfId="40649"/>
    <cellStyle name="CALC Amount Total 18 4 3" xfId="33355"/>
    <cellStyle name="CALC Amount Total 18 4 4" xfId="40650"/>
    <cellStyle name="CALC Amount Total 18 5" xfId="18815"/>
    <cellStyle name="CALC Amount Total 18 5 2" xfId="27136"/>
    <cellStyle name="CALC Amount Total 18 5 2 2" xfId="40651"/>
    <cellStyle name="CALC Amount Total 18 5 3" xfId="34295"/>
    <cellStyle name="CALC Amount Total 18 5 4" xfId="40652"/>
    <cellStyle name="CALC Amount Total 18 6" xfId="19783"/>
    <cellStyle name="CALC Amount Total 18 6 2" xfId="28105"/>
    <cellStyle name="CALC Amount Total 18 6 2 2" xfId="40653"/>
    <cellStyle name="CALC Amount Total 18 6 3" xfId="35241"/>
    <cellStyle name="CALC Amount Total 18 6 4" xfId="40654"/>
    <cellStyle name="CALC Amount Total 18 7" xfId="20741"/>
    <cellStyle name="CALC Amount Total 18 7 2" xfId="29062"/>
    <cellStyle name="CALC Amount Total 18 7 2 2" xfId="40655"/>
    <cellStyle name="CALC Amount Total 18 7 3" xfId="36154"/>
    <cellStyle name="CALC Amount Total 18 7 4" xfId="40656"/>
    <cellStyle name="CALC Amount Total 18 8" xfId="15529"/>
    <cellStyle name="CALC Amount Total 18 8 2" xfId="23865"/>
    <cellStyle name="CALC Amount Total 18 8 2 2" xfId="40657"/>
    <cellStyle name="CALC Amount Total 18 8 3" xfId="31211"/>
    <cellStyle name="CALC Amount Total 18 8 4" xfId="40658"/>
    <cellStyle name="CALC Amount Total 18 9" xfId="22177"/>
    <cellStyle name="CALC Amount Total 18 9 2" xfId="30475"/>
    <cellStyle name="CALC Amount Total 18 9 2 2" xfId="40659"/>
    <cellStyle name="CALC Amount Total 18 9 3" xfId="37506"/>
    <cellStyle name="CALC Amount Total 18 9 4" xfId="40660"/>
    <cellStyle name="CALC Amount Total 19" xfId="14729"/>
    <cellStyle name="CALC Amount Total 19 10" xfId="23093"/>
    <cellStyle name="CALC Amount Total 19 10 2" xfId="40661"/>
    <cellStyle name="CALC Amount Total 19 11" xfId="40662"/>
    <cellStyle name="CALC Amount Total 19 12" xfId="40663"/>
    <cellStyle name="CALC Amount Total 19 2" xfId="15810"/>
    <cellStyle name="CALC Amount Total 19 2 2" xfId="24128"/>
    <cellStyle name="CALC Amount Total 19 2 2 2" xfId="40664"/>
    <cellStyle name="CALC Amount Total 19 2 3" xfId="31416"/>
    <cellStyle name="CALC Amount Total 19 2 4" xfId="40665"/>
    <cellStyle name="CALC Amount Total 19 3" xfId="16776"/>
    <cellStyle name="CALC Amount Total 19 3 2" xfId="25100"/>
    <cellStyle name="CALC Amount Total 19 3 2 2" xfId="40666"/>
    <cellStyle name="CALC Amount Total 19 3 3" xfId="32349"/>
    <cellStyle name="CALC Amount Total 19 3 4" xfId="40667"/>
    <cellStyle name="CALC Amount Total 19 4" xfId="17802"/>
    <cellStyle name="CALC Amount Total 19 4 2" xfId="26126"/>
    <cellStyle name="CALC Amount Total 19 4 2 2" xfId="40668"/>
    <cellStyle name="CALC Amount Total 19 4 3" xfId="33326"/>
    <cellStyle name="CALC Amount Total 19 4 4" xfId="40669"/>
    <cellStyle name="CALC Amount Total 19 5" xfId="18786"/>
    <cellStyle name="CALC Amount Total 19 5 2" xfId="27107"/>
    <cellStyle name="CALC Amount Total 19 5 2 2" xfId="40670"/>
    <cellStyle name="CALC Amount Total 19 5 3" xfId="34266"/>
    <cellStyle name="CALC Amount Total 19 5 4" xfId="40671"/>
    <cellStyle name="CALC Amount Total 19 6" xfId="19754"/>
    <cellStyle name="CALC Amount Total 19 6 2" xfId="28076"/>
    <cellStyle name="CALC Amount Total 19 6 2 2" xfId="40672"/>
    <cellStyle name="CALC Amount Total 19 6 3" xfId="35212"/>
    <cellStyle name="CALC Amount Total 19 6 4" xfId="40673"/>
    <cellStyle name="CALC Amount Total 19 7" xfId="20712"/>
    <cellStyle name="CALC Amount Total 19 7 2" xfId="29033"/>
    <cellStyle name="CALC Amount Total 19 7 2 2" xfId="40674"/>
    <cellStyle name="CALC Amount Total 19 7 3" xfId="36126"/>
    <cellStyle name="CALC Amount Total 19 7 4" xfId="40675"/>
    <cellStyle name="CALC Amount Total 19 8" xfId="21100"/>
    <cellStyle name="CALC Amount Total 19 8 2" xfId="29417"/>
    <cellStyle name="CALC Amount Total 19 8 2 2" xfId="40676"/>
    <cellStyle name="CALC Amount Total 19 8 3" xfId="36491"/>
    <cellStyle name="CALC Amount Total 19 8 4" xfId="40677"/>
    <cellStyle name="CALC Amount Total 19 9" xfId="22148"/>
    <cellStyle name="CALC Amount Total 19 9 2" xfId="30446"/>
    <cellStyle name="CALC Amount Total 19 9 2 2" xfId="40678"/>
    <cellStyle name="CALC Amount Total 19 9 3" xfId="37477"/>
    <cellStyle name="CALC Amount Total 19 9 4" xfId="40679"/>
    <cellStyle name="CALC Amount Total 2" xfId="14456"/>
    <cellStyle name="CALC Amount Total 2 10" xfId="14724"/>
    <cellStyle name="CALC Amount Total 2 10 10" xfId="23086"/>
    <cellStyle name="CALC Amount Total 2 10 10 2" xfId="40680"/>
    <cellStyle name="CALC Amount Total 2 10 11" xfId="40681"/>
    <cellStyle name="CALC Amount Total 2 10 12" xfId="40682"/>
    <cellStyle name="CALC Amount Total 2 10 2" xfId="15805"/>
    <cellStyle name="CALC Amount Total 2 10 2 2" xfId="24121"/>
    <cellStyle name="CALC Amount Total 2 10 2 2 2" xfId="40683"/>
    <cellStyle name="CALC Amount Total 2 10 2 3" xfId="31409"/>
    <cellStyle name="CALC Amount Total 2 10 2 4" xfId="40684"/>
    <cellStyle name="CALC Amount Total 2 10 3" xfId="16771"/>
    <cellStyle name="CALC Amount Total 2 10 3 2" xfId="25093"/>
    <cellStyle name="CALC Amount Total 2 10 3 2 2" xfId="40685"/>
    <cellStyle name="CALC Amount Total 2 10 3 3" xfId="32342"/>
    <cellStyle name="CALC Amount Total 2 10 3 4" xfId="40686"/>
    <cellStyle name="CALC Amount Total 2 10 4" xfId="17795"/>
    <cellStyle name="CALC Amount Total 2 10 4 2" xfId="26119"/>
    <cellStyle name="CALC Amount Total 2 10 4 2 2" xfId="40687"/>
    <cellStyle name="CALC Amount Total 2 10 4 3" xfId="33319"/>
    <cellStyle name="CALC Amount Total 2 10 4 4" xfId="40688"/>
    <cellStyle name="CALC Amount Total 2 10 5" xfId="18779"/>
    <cellStyle name="CALC Amount Total 2 10 5 2" xfId="27100"/>
    <cellStyle name="CALC Amount Total 2 10 5 2 2" xfId="40689"/>
    <cellStyle name="CALC Amount Total 2 10 5 3" xfId="34259"/>
    <cellStyle name="CALC Amount Total 2 10 5 4" xfId="40690"/>
    <cellStyle name="CALC Amount Total 2 10 6" xfId="19748"/>
    <cellStyle name="CALC Amount Total 2 10 6 2" xfId="28069"/>
    <cellStyle name="CALC Amount Total 2 10 6 2 2" xfId="40691"/>
    <cellStyle name="CALC Amount Total 2 10 6 3" xfId="35205"/>
    <cellStyle name="CALC Amount Total 2 10 6 4" xfId="40692"/>
    <cellStyle name="CALC Amount Total 2 10 7" xfId="20705"/>
    <cellStyle name="CALC Amount Total 2 10 7 2" xfId="29026"/>
    <cellStyle name="CALC Amount Total 2 10 7 2 2" xfId="40693"/>
    <cellStyle name="CALC Amount Total 2 10 7 3" xfId="36119"/>
    <cellStyle name="CALC Amount Total 2 10 7 4" xfId="40694"/>
    <cellStyle name="CALC Amount Total 2 10 8" xfId="21131"/>
    <cellStyle name="CALC Amount Total 2 10 8 2" xfId="29445"/>
    <cellStyle name="CALC Amount Total 2 10 8 2 2" xfId="40695"/>
    <cellStyle name="CALC Amount Total 2 10 8 3" xfId="36518"/>
    <cellStyle name="CALC Amount Total 2 10 8 4" xfId="40696"/>
    <cellStyle name="CALC Amount Total 2 10 9" xfId="22141"/>
    <cellStyle name="CALC Amount Total 2 10 9 2" xfId="30439"/>
    <cellStyle name="CALC Amount Total 2 10 9 2 2" xfId="40697"/>
    <cellStyle name="CALC Amount Total 2 10 9 3" xfId="37470"/>
    <cellStyle name="CALC Amount Total 2 10 9 4" xfId="40698"/>
    <cellStyle name="CALC Amount Total 2 11" xfId="14876"/>
    <cellStyle name="CALC Amount Total 2 11 10" xfId="23239"/>
    <cellStyle name="CALC Amount Total 2 11 10 2" xfId="40699"/>
    <cellStyle name="CALC Amount Total 2 11 11" xfId="40700"/>
    <cellStyle name="CALC Amount Total 2 11 12" xfId="40701"/>
    <cellStyle name="CALC Amount Total 2 11 2" xfId="15957"/>
    <cellStyle name="CALC Amount Total 2 11 2 2" xfId="24274"/>
    <cellStyle name="CALC Amount Total 2 11 2 2 2" xfId="40702"/>
    <cellStyle name="CALC Amount Total 2 11 2 3" xfId="31557"/>
    <cellStyle name="CALC Amount Total 2 11 2 4" xfId="40703"/>
    <cellStyle name="CALC Amount Total 2 11 3" xfId="16923"/>
    <cellStyle name="CALC Amount Total 2 11 3 2" xfId="25246"/>
    <cellStyle name="CALC Amount Total 2 11 3 2 2" xfId="40704"/>
    <cellStyle name="CALC Amount Total 2 11 3 3" xfId="32490"/>
    <cellStyle name="CALC Amount Total 2 11 3 4" xfId="40705"/>
    <cellStyle name="CALC Amount Total 2 11 4" xfId="17950"/>
    <cellStyle name="CALC Amount Total 2 11 4 2" xfId="26272"/>
    <cellStyle name="CALC Amount Total 2 11 4 2 2" xfId="40706"/>
    <cellStyle name="CALC Amount Total 2 11 4 3" xfId="33467"/>
    <cellStyle name="CALC Amount Total 2 11 4 4" xfId="40707"/>
    <cellStyle name="CALC Amount Total 2 11 5" xfId="18934"/>
    <cellStyle name="CALC Amount Total 2 11 5 2" xfId="27254"/>
    <cellStyle name="CALC Amount Total 2 11 5 2 2" xfId="40708"/>
    <cellStyle name="CALC Amount Total 2 11 5 3" xfId="34408"/>
    <cellStyle name="CALC Amount Total 2 11 5 4" xfId="40709"/>
    <cellStyle name="CALC Amount Total 2 11 6" xfId="19902"/>
    <cellStyle name="CALC Amount Total 2 11 6 2" xfId="28224"/>
    <cellStyle name="CALC Amount Total 2 11 6 2 2" xfId="40710"/>
    <cellStyle name="CALC Amount Total 2 11 6 3" xfId="35355"/>
    <cellStyle name="CALC Amount Total 2 11 6 4" xfId="40711"/>
    <cellStyle name="CALC Amount Total 2 11 7" xfId="20860"/>
    <cellStyle name="CALC Amount Total 2 11 7 2" xfId="29179"/>
    <cellStyle name="CALC Amount Total 2 11 7 2 2" xfId="40712"/>
    <cellStyle name="CALC Amount Total 2 11 7 3" xfId="36265"/>
    <cellStyle name="CALC Amount Total 2 11 7 4" xfId="40713"/>
    <cellStyle name="CALC Amount Total 2 11 8" xfId="15531"/>
    <cellStyle name="CALC Amount Total 2 11 8 2" xfId="23867"/>
    <cellStyle name="CALC Amount Total 2 11 8 2 2" xfId="40714"/>
    <cellStyle name="CALC Amount Total 2 11 8 3" xfId="31213"/>
    <cellStyle name="CALC Amount Total 2 11 8 4" xfId="40715"/>
    <cellStyle name="CALC Amount Total 2 11 9" xfId="22295"/>
    <cellStyle name="CALC Amount Total 2 11 9 2" xfId="30593"/>
    <cellStyle name="CALC Amount Total 2 11 9 2 2" xfId="40716"/>
    <cellStyle name="CALC Amount Total 2 11 9 3" xfId="37618"/>
    <cellStyle name="CALC Amount Total 2 11 9 4" xfId="40717"/>
    <cellStyle name="CALC Amount Total 2 12" xfId="14892"/>
    <cellStyle name="CALC Amount Total 2 12 10" xfId="23255"/>
    <cellStyle name="CALC Amount Total 2 12 10 2" xfId="40718"/>
    <cellStyle name="CALC Amount Total 2 12 11" xfId="40719"/>
    <cellStyle name="CALC Amount Total 2 12 12" xfId="40720"/>
    <cellStyle name="CALC Amount Total 2 12 2" xfId="15973"/>
    <cellStyle name="CALC Amount Total 2 12 2 2" xfId="24290"/>
    <cellStyle name="CALC Amount Total 2 12 2 2 2" xfId="40721"/>
    <cellStyle name="CALC Amount Total 2 12 2 3" xfId="31571"/>
    <cellStyle name="CALC Amount Total 2 12 2 4" xfId="40722"/>
    <cellStyle name="CALC Amount Total 2 12 3" xfId="16939"/>
    <cellStyle name="CALC Amount Total 2 12 3 2" xfId="25262"/>
    <cellStyle name="CALC Amount Total 2 12 3 2 2" xfId="40723"/>
    <cellStyle name="CALC Amount Total 2 12 3 3" xfId="32504"/>
    <cellStyle name="CALC Amount Total 2 12 3 4" xfId="40724"/>
    <cellStyle name="CALC Amount Total 2 12 4" xfId="17966"/>
    <cellStyle name="CALC Amount Total 2 12 4 2" xfId="26288"/>
    <cellStyle name="CALC Amount Total 2 12 4 2 2" xfId="40725"/>
    <cellStyle name="CALC Amount Total 2 12 4 3" xfId="33481"/>
    <cellStyle name="CALC Amount Total 2 12 4 4" xfId="40726"/>
    <cellStyle name="CALC Amount Total 2 12 5" xfId="18950"/>
    <cellStyle name="CALC Amount Total 2 12 5 2" xfId="27270"/>
    <cellStyle name="CALC Amount Total 2 12 5 2 2" xfId="40727"/>
    <cellStyle name="CALC Amount Total 2 12 5 3" xfId="34422"/>
    <cellStyle name="CALC Amount Total 2 12 5 4" xfId="40728"/>
    <cellStyle name="CALC Amount Total 2 12 6" xfId="19918"/>
    <cellStyle name="CALC Amount Total 2 12 6 2" xfId="28240"/>
    <cellStyle name="CALC Amount Total 2 12 6 2 2" xfId="40729"/>
    <cellStyle name="CALC Amount Total 2 12 6 3" xfId="35369"/>
    <cellStyle name="CALC Amount Total 2 12 6 4" xfId="40730"/>
    <cellStyle name="CALC Amount Total 2 12 7" xfId="20876"/>
    <cellStyle name="CALC Amount Total 2 12 7 2" xfId="29195"/>
    <cellStyle name="CALC Amount Total 2 12 7 2 2" xfId="40731"/>
    <cellStyle name="CALC Amount Total 2 12 7 3" xfId="36279"/>
    <cellStyle name="CALC Amount Total 2 12 7 4" xfId="40732"/>
    <cellStyle name="CALC Amount Total 2 12 8" xfId="21383"/>
    <cellStyle name="CALC Amount Total 2 12 8 2" xfId="29686"/>
    <cellStyle name="CALC Amount Total 2 12 8 2 2" xfId="40733"/>
    <cellStyle name="CALC Amount Total 2 12 8 3" xfId="36749"/>
    <cellStyle name="CALC Amount Total 2 12 8 4" xfId="40734"/>
    <cellStyle name="CALC Amount Total 2 12 9" xfId="22311"/>
    <cellStyle name="CALC Amount Total 2 12 9 2" xfId="30609"/>
    <cellStyle name="CALC Amount Total 2 12 9 2 2" xfId="40735"/>
    <cellStyle name="CALC Amount Total 2 12 9 3" xfId="37632"/>
    <cellStyle name="CALC Amount Total 2 12 9 4" xfId="40736"/>
    <cellStyle name="CALC Amount Total 2 13" xfId="14938"/>
    <cellStyle name="CALC Amount Total 2 13 10" xfId="23301"/>
    <cellStyle name="CALC Amount Total 2 13 10 2" xfId="40737"/>
    <cellStyle name="CALC Amount Total 2 13 11" xfId="40738"/>
    <cellStyle name="CALC Amount Total 2 13 12" xfId="40739"/>
    <cellStyle name="CALC Amount Total 2 13 2" xfId="16019"/>
    <cellStyle name="CALC Amount Total 2 13 2 2" xfId="24336"/>
    <cellStyle name="CALC Amount Total 2 13 2 2 2" xfId="40740"/>
    <cellStyle name="CALC Amount Total 2 13 2 3" xfId="31616"/>
    <cellStyle name="CALC Amount Total 2 13 2 4" xfId="40741"/>
    <cellStyle name="CALC Amount Total 2 13 3" xfId="16985"/>
    <cellStyle name="CALC Amount Total 2 13 3 2" xfId="25308"/>
    <cellStyle name="CALC Amount Total 2 13 3 2 2" xfId="40742"/>
    <cellStyle name="CALC Amount Total 2 13 3 3" xfId="32549"/>
    <cellStyle name="CALC Amount Total 2 13 3 4" xfId="40743"/>
    <cellStyle name="CALC Amount Total 2 13 4" xfId="18012"/>
    <cellStyle name="CALC Amount Total 2 13 4 2" xfId="26334"/>
    <cellStyle name="CALC Amount Total 2 13 4 2 2" xfId="40744"/>
    <cellStyle name="CALC Amount Total 2 13 4 3" xfId="33526"/>
    <cellStyle name="CALC Amount Total 2 13 4 4" xfId="40745"/>
    <cellStyle name="CALC Amount Total 2 13 5" xfId="18996"/>
    <cellStyle name="CALC Amount Total 2 13 5 2" xfId="27316"/>
    <cellStyle name="CALC Amount Total 2 13 5 2 2" xfId="40746"/>
    <cellStyle name="CALC Amount Total 2 13 5 3" xfId="34467"/>
    <cellStyle name="CALC Amount Total 2 13 5 4" xfId="40747"/>
    <cellStyle name="CALC Amount Total 2 13 6" xfId="19964"/>
    <cellStyle name="CALC Amount Total 2 13 6 2" xfId="28286"/>
    <cellStyle name="CALC Amount Total 2 13 6 2 2" xfId="40748"/>
    <cellStyle name="CALC Amount Total 2 13 6 3" xfId="35414"/>
    <cellStyle name="CALC Amount Total 2 13 6 4" xfId="40749"/>
    <cellStyle name="CALC Amount Total 2 13 7" xfId="20922"/>
    <cellStyle name="CALC Amount Total 2 13 7 2" xfId="29241"/>
    <cellStyle name="CALC Amount Total 2 13 7 2 2" xfId="40750"/>
    <cellStyle name="CALC Amount Total 2 13 7 3" xfId="36324"/>
    <cellStyle name="CALC Amount Total 2 13 7 4" xfId="40751"/>
    <cellStyle name="CALC Amount Total 2 13 8" xfId="21429"/>
    <cellStyle name="CALC Amount Total 2 13 8 2" xfId="29732"/>
    <cellStyle name="CALC Amount Total 2 13 8 2 2" xfId="40752"/>
    <cellStyle name="CALC Amount Total 2 13 8 3" xfId="36794"/>
    <cellStyle name="CALC Amount Total 2 13 8 4" xfId="40753"/>
    <cellStyle name="CALC Amount Total 2 13 9" xfId="22357"/>
    <cellStyle name="CALC Amount Total 2 13 9 2" xfId="30655"/>
    <cellStyle name="CALC Amount Total 2 13 9 2 2" xfId="40754"/>
    <cellStyle name="CALC Amount Total 2 13 9 3" xfId="37677"/>
    <cellStyle name="CALC Amount Total 2 13 9 4" xfId="40755"/>
    <cellStyle name="CALC Amount Total 2 14" xfId="14977"/>
    <cellStyle name="CALC Amount Total 2 14 10" xfId="23338"/>
    <cellStyle name="CALC Amount Total 2 14 10 2" xfId="40756"/>
    <cellStyle name="CALC Amount Total 2 14 11" xfId="40757"/>
    <cellStyle name="CALC Amount Total 2 14 12" xfId="40758"/>
    <cellStyle name="CALC Amount Total 2 14 2" xfId="16058"/>
    <cellStyle name="CALC Amount Total 2 14 2 2" xfId="24373"/>
    <cellStyle name="CALC Amount Total 2 14 2 2 2" xfId="40759"/>
    <cellStyle name="CALC Amount Total 2 14 2 3" xfId="31652"/>
    <cellStyle name="CALC Amount Total 2 14 2 4" xfId="40760"/>
    <cellStyle name="CALC Amount Total 2 14 3" xfId="17024"/>
    <cellStyle name="CALC Amount Total 2 14 3 2" xfId="25345"/>
    <cellStyle name="CALC Amount Total 2 14 3 2 2" xfId="40761"/>
    <cellStyle name="CALC Amount Total 2 14 3 3" xfId="32585"/>
    <cellStyle name="CALC Amount Total 2 14 3 4" xfId="40762"/>
    <cellStyle name="CALC Amount Total 2 14 4" xfId="18051"/>
    <cellStyle name="CALC Amount Total 2 14 4 2" xfId="26371"/>
    <cellStyle name="CALC Amount Total 2 14 4 2 2" xfId="40763"/>
    <cellStyle name="CALC Amount Total 2 14 4 3" xfId="33562"/>
    <cellStyle name="CALC Amount Total 2 14 4 4" xfId="40764"/>
    <cellStyle name="CALC Amount Total 2 14 5" xfId="19035"/>
    <cellStyle name="CALC Amount Total 2 14 5 2" xfId="27355"/>
    <cellStyle name="CALC Amount Total 2 14 5 2 2" xfId="40765"/>
    <cellStyle name="CALC Amount Total 2 14 5 3" xfId="34505"/>
    <cellStyle name="CALC Amount Total 2 14 5 4" xfId="40766"/>
    <cellStyle name="CALC Amount Total 2 14 6" xfId="20003"/>
    <cellStyle name="CALC Amount Total 2 14 6 2" xfId="28325"/>
    <cellStyle name="CALC Amount Total 2 14 6 2 2" xfId="40767"/>
    <cellStyle name="CALC Amount Total 2 14 6 3" xfId="35452"/>
    <cellStyle name="CALC Amount Total 2 14 6 4" xfId="40768"/>
    <cellStyle name="CALC Amount Total 2 14 7" xfId="20961"/>
    <cellStyle name="CALC Amount Total 2 14 7 2" xfId="29278"/>
    <cellStyle name="CALC Amount Total 2 14 7 2 2" xfId="40769"/>
    <cellStyle name="CALC Amount Total 2 14 7 3" xfId="36360"/>
    <cellStyle name="CALC Amount Total 2 14 7 4" xfId="40770"/>
    <cellStyle name="CALC Amount Total 2 14 8" xfId="21468"/>
    <cellStyle name="CALC Amount Total 2 14 8 2" xfId="29769"/>
    <cellStyle name="CALC Amount Total 2 14 8 2 2" xfId="40771"/>
    <cellStyle name="CALC Amount Total 2 14 8 3" xfId="36830"/>
    <cellStyle name="CALC Amount Total 2 14 8 4" xfId="40772"/>
    <cellStyle name="CALC Amount Total 2 14 9" xfId="22396"/>
    <cellStyle name="CALC Amount Total 2 14 9 2" xfId="30692"/>
    <cellStyle name="CALC Amount Total 2 14 9 2 2" xfId="40773"/>
    <cellStyle name="CALC Amount Total 2 14 9 3" xfId="37713"/>
    <cellStyle name="CALC Amount Total 2 14 9 4" xfId="40774"/>
    <cellStyle name="CALC Amount Total 2 15" xfId="15056"/>
    <cellStyle name="CALC Amount Total 2 15 10" xfId="23416"/>
    <cellStyle name="CALC Amount Total 2 15 10 2" xfId="40775"/>
    <cellStyle name="CALC Amount Total 2 15 11" xfId="40776"/>
    <cellStyle name="CALC Amount Total 2 15 12" xfId="40777"/>
    <cellStyle name="CALC Amount Total 2 15 2" xfId="16136"/>
    <cellStyle name="CALC Amount Total 2 15 2 2" xfId="24451"/>
    <cellStyle name="CALC Amount Total 2 15 2 2 2" xfId="40778"/>
    <cellStyle name="CALC Amount Total 2 15 2 3" xfId="31728"/>
    <cellStyle name="CALC Amount Total 2 15 2 4" xfId="40779"/>
    <cellStyle name="CALC Amount Total 2 15 3" xfId="17103"/>
    <cellStyle name="CALC Amount Total 2 15 3 2" xfId="25424"/>
    <cellStyle name="CALC Amount Total 2 15 3 2 2" xfId="40780"/>
    <cellStyle name="CALC Amount Total 2 15 3 3" xfId="32662"/>
    <cellStyle name="CALC Amount Total 2 15 3 4" xfId="40781"/>
    <cellStyle name="CALC Amount Total 2 15 4" xfId="18130"/>
    <cellStyle name="CALC Amount Total 2 15 4 2" xfId="26450"/>
    <cellStyle name="CALC Amount Total 2 15 4 2 2" xfId="40782"/>
    <cellStyle name="CALC Amount Total 2 15 4 3" xfId="33639"/>
    <cellStyle name="CALC Amount Total 2 15 4 4" xfId="40783"/>
    <cellStyle name="CALC Amount Total 2 15 5" xfId="19114"/>
    <cellStyle name="CALC Amount Total 2 15 5 2" xfId="27434"/>
    <cellStyle name="CALC Amount Total 2 15 5 2 2" xfId="40784"/>
    <cellStyle name="CALC Amount Total 2 15 5 3" xfId="34582"/>
    <cellStyle name="CALC Amount Total 2 15 5 4" xfId="40785"/>
    <cellStyle name="CALC Amount Total 2 15 6" xfId="20082"/>
    <cellStyle name="CALC Amount Total 2 15 6 2" xfId="28404"/>
    <cellStyle name="CALC Amount Total 2 15 6 2 2" xfId="40786"/>
    <cellStyle name="CALC Amount Total 2 15 6 3" xfId="35529"/>
    <cellStyle name="CALC Amount Total 2 15 6 4" xfId="40787"/>
    <cellStyle name="CALC Amount Total 2 15 7" xfId="21039"/>
    <cellStyle name="CALC Amount Total 2 15 7 2" xfId="29356"/>
    <cellStyle name="CALC Amount Total 2 15 7 2 2" xfId="40788"/>
    <cellStyle name="CALC Amount Total 2 15 7 3" xfId="36436"/>
    <cellStyle name="CALC Amount Total 2 15 7 4" xfId="40789"/>
    <cellStyle name="CALC Amount Total 2 15 8" xfId="21546"/>
    <cellStyle name="CALC Amount Total 2 15 8 2" xfId="29847"/>
    <cellStyle name="CALC Amount Total 2 15 8 2 2" xfId="40790"/>
    <cellStyle name="CALC Amount Total 2 15 8 3" xfId="36906"/>
    <cellStyle name="CALC Amount Total 2 15 8 4" xfId="40791"/>
    <cellStyle name="CALC Amount Total 2 15 9" xfId="22474"/>
    <cellStyle name="CALC Amount Total 2 15 9 2" xfId="30770"/>
    <cellStyle name="CALC Amount Total 2 15 9 2 2" xfId="40792"/>
    <cellStyle name="CALC Amount Total 2 15 9 3" xfId="37789"/>
    <cellStyle name="CALC Amount Total 2 15 9 4" xfId="40793"/>
    <cellStyle name="CALC Amount Total 2 16" xfId="15141"/>
    <cellStyle name="CALC Amount Total 2 16 10" xfId="40794"/>
    <cellStyle name="CALC Amount Total 2 16 11" xfId="40795"/>
    <cellStyle name="CALC Amount Total 2 16 2" xfId="16221"/>
    <cellStyle name="CALC Amount Total 2 16 2 2" xfId="24534"/>
    <cellStyle name="CALC Amount Total 2 16 2 2 2" xfId="40796"/>
    <cellStyle name="CALC Amount Total 2 16 2 3" xfId="31809"/>
    <cellStyle name="CALC Amount Total 2 16 2 4" xfId="40797"/>
    <cellStyle name="CALC Amount Total 2 16 3" xfId="17187"/>
    <cellStyle name="CALC Amount Total 2 16 3 2" xfId="25508"/>
    <cellStyle name="CALC Amount Total 2 16 3 2 2" xfId="40798"/>
    <cellStyle name="CALC Amount Total 2 16 3 3" xfId="32742"/>
    <cellStyle name="CALC Amount Total 2 16 3 4" xfId="40799"/>
    <cellStyle name="CALC Amount Total 2 16 4" xfId="18215"/>
    <cellStyle name="CALC Amount Total 2 16 4 2" xfId="26535"/>
    <cellStyle name="CALC Amount Total 2 16 4 2 2" xfId="40800"/>
    <cellStyle name="CALC Amount Total 2 16 4 3" xfId="33720"/>
    <cellStyle name="CALC Amount Total 2 16 4 4" xfId="40801"/>
    <cellStyle name="CALC Amount Total 2 16 5" xfId="19199"/>
    <cellStyle name="CALC Amount Total 2 16 5 2" xfId="27519"/>
    <cellStyle name="CALC Amount Total 2 16 5 2 2" xfId="40802"/>
    <cellStyle name="CALC Amount Total 2 16 5 3" xfId="34667"/>
    <cellStyle name="CALC Amount Total 2 16 5 4" xfId="40803"/>
    <cellStyle name="CALC Amount Total 2 16 6" xfId="20167"/>
    <cellStyle name="CALC Amount Total 2 16 6 2" xfId="28489"/>
    <cellStyle name="CALC Amount Total 2 16 6 2 2" xfId="40804"/>
    <cellStyle name="CALC Amount Total 2 16 6 3" xfId="35612"/>
    <cellStyle name="CALC Amount Total 2 16 6 4" xfId="40805"/>
    <cellStyle name="CALC Amount Total 2 16 7" xfId="21628"/>
    <cellStyle name="CALC Amount Total 2 16 7 2" xfId="29929"/>
    <cellStyle name="CALC Amount Total 2 16 7 2 2" xfId="40806"/>
    <cellStyle name="CALC Amount Total 2 16 7 3" xfId="36986"/>
    <cellStyle name="CALC Amount Total 2 16 7 4" xfId="40807"/>
    <cellStyle name="CALC Amount Total 2 16 8" xfId="22556"/>
    <cellStyle name="CALC Amount Total 2 16 8 2" xfId="30852"/>
    <cellStyle name="CALC Amount Total 2 16 8 2 2" xfId="40808"/>
    <cellStyle name="CALC Amount Total 2 16 8 3" xfId="37869"/>
    <cellStyle name="CALC Amount Total 2 16 8 4" xfId="40809"/>
    <cellStyle name="CALC Amount Total 2 16 9" xfId="23498"/>
    <cellStyle name="CALC Amount Total 2 16 9 2" xfId="40810"/>
    <cellStyle name="CALC Amount Total 2 17" xfId="15161"/>
    <cellStyle name="CALC Amount Total 2 17 10" xfId="40811"/>
    <cellStyle name="CALC Amount Total 2 17 11" xfId="40812"/>
    <cellStyle name="CALC Amount Total 2 17 2" xfId="16241"/>
    <cellStyle name="CALC Amount Total 2 17 2 2" xfId="24554"/>
    <cellStyle name="CALC Amount Total 2 17 2 2 2" xfId="40813"/>
    <cellStyle name="CALC Amount Total 2 17 2 3" xfId="31827"/>
    <cellStyle name="CALC Amount Total 2 17 2 4" xfId="40814"/>
    <cellStyle name="CALC Amount Total 2 17 3" xfId="17207"/>
    <cellStyle name="CALC Amount Total 2 17 3 2" xfId="25528"/>
    <cellStyle name="CALC Amount Total 2 17 3 2 2" xfId="40815"/>
    <cellStyle name="CALC Amount Total 2 17 3 3" xfId="32760"/>
    <cellStyle name="CALC Amount Total 2 17 3 4" xfId="40816"/>
    <cellStyle name="CALC Amount Total 2 17 4" xfId="18235"/>
    <cellStyle name="CALC Amount Total 2 17 4 2" xfId="26555"/>
    <cellStyle name="CALC Amount Total 2 17 4 2 2" xfId="40817"/>
    <cellStyle name="CALC Amount Total 2 17 4 3" xfId="33738"/>
    <cellStyle name="CALC Amount Total 2 17 4 4" xfId="40818"/>
    <cellStyle name="CALC Amount Total 2 17 5" xfId="19219"/>
    <cellStyle name="CALC Amount Total 2 17 5 2" xfId="27539"/>
    <cellStyle name="CALC Amount Total 2 17 5 2 2" xfId="40819"/>
    <cellStyle name="CALC Amount Total 2 17 5 3" xfId="34687"/>
    <cellStyle name="CALC Amount Total 2 17 5 4" xfId="40820"/>
    <cellStyle name="CALC Amount Total 2 17 6" xfId="20187"/>
    <cellStyle name="CALC Amount Total 2 17 6 2" xfId="28509"/>
    <cellStyle name="CALC Amount Total 2 17 6 2 2" xfId="40821"/>
    <cellStyle name="CALC Amount Total 2 17 6 3" xfId="35630"/>
    <cellStyle name="CALC Amount Total 2 17 6 4" xfId="40822"/>
    <cellStyle name="CALC Amount Total 2 17 7" xfId="21648"/>
    <cellStyle name="CALC Amount Total 2 17 7 2" xfId="29949"/>
    <cellStyle name="CALC Amount Total 2 17 7 2 2" xfId="40823"/>
    <cellStyle name="CALC Amount Total 2 17 7 3" xfId="37004"/>
    <cellStyle name="CALC Amount Total 2 17 7 4" xfId="40824"/>
    <cellStyle name="CALC Amount Total 2 17 8" xfId="22576"/>
    <cellStyle name="CALC Amount Total 2 17 8 2" xfId="30872"/>
    <cellStyle name="CALC Amount Total 2 17 8 2 2" xfId="40825"/>
    <cellStyle name="CALC Amount Total 2 17 8 3" xfId="37887"/>
    <cellStyle name="CALC Amount Total 2 17 8 4" xfId="40826"/>
    <cellStyle name="CALC Amount Total 2 17 9" xfId="23518"/>
    <cellStyle name="CALC Amount Total 2 17 9 2" xfId="40827"/>
    <cellStyle name="CALC Amount Total 2 18" xfId="15152"/>
    <cellStyle name="CALC Amount Total 2 18 10" xfId="40828"/>
    <cellStyle name="CALC Amount Total 2 18 11" xfId="40829"/>
    <cellStyle name="CALC Amount Total 2 18 2" xfId="16232"/>
    <cellStyle name="CALC Amount Total 2 18 2 2" xfId="24545"/>
    <cellStyle name="CALC Amount Total 2 18 2 2 2" xfId="40830"/>
    <cellStyle name="CALC Amount Total 2 18 2 3" xfId="31819"/>
    <cellStyle name="CALC Amount Total 2 18 2 4" xfId="40831"/>
    <cellStyle name="CALC Amount Total 2 18 3" xfId="17198"/>
    <cellStyle name="CALC Amount Total 2 18 3 2" xfId="25519"/>
    <cellStyle name="CALC Amount Total 2 18 3 2 2" xfId="40832"/>
    <cellStyle name="CALC Amount Total 2 18 3 3" xfId="32752"/>
    <cellStyle name="CALC Amount Total 2 18 3 4" xfId="40833"/>
    <cellStyle name="CALC Amount Total 2 18 4" xfId="18226"/>
    <cellStyle name="CALC Amount Total 2 18 4 2" xfId="26546"/>
    <cellStyle name="CALC Amount Total 2 18 4 2 2" xfId="40834"/>
    <cellStyle name="CALC Amount Total 2 18 4 3" xfId="33730"/>
    <cellStyle name="CALC Amount Total 2 18 4 4" xfId="40835"/>
    <cellStyle name="CALC Amount Total 2 18 5" xfId="19210"/>
    <cellStyle name="CALC Amount Total 2 18 5 2" xfId="27530"/>
    <cellStyle name="CALC Amount Total 2 18 5 2 2" xfId="40836"/>
    <cellStyle name="CALC Amount Total 2 18 5 3" xfId="34678"/>
    <cellStyle name="CALC Amount Total 2 18 5 4" xfId="40837"/>
    <cellStyle name="CALC Amount Total 2 18 6" xfId="20178"/>
    <cellStyle name="CALC Amount Total 2 18 6 2" xfId="28500"/>
    <cellStyle name="CALC Amount Total 2 18 6 2 2" xfId="40838"/>
    <cellStyle name="CALC Amount Total 2 18 6 3" xfId="35622"/>
    <cellStyle name="CALC Amount Total 2 18 6 4" xfId="40839"/>
    <cellStyle name="CALC Amount Total 2 18 7" xfId="21639"/>
    <cellStyle name="CALC Amount Total 2 18 7 2" xfId="29940"/>
    <cellStyle name="CALC Amount Total 2 18 7 2 2" xfId="40840"/>
    <cellStyle name="CALC Amount Total 2 18 7 3" xfId="36996"/>
    <cellStyle name="CALC Amount Total 2 18 7 4" xfId="40841"/>
    <cellStyle name="CALC Amount Total 2 18 8" xfId="22567"/>
    <cellStyle name="CALC Amount Total 2 18 8 2" xfId="30863"/>
    <cellStyle name="CALC Amount Total 2 18 8 2 2" xfId="40842"/>
    <cellStyle name="CALC Amount Total 2 18 8 3" xfId="37879"/>
    <cellStyle name="CALC Amount Total 2 18 8 4" xfId="40843"/>
    <cellStyle name="CALC Amount Total 2 18 9" xfId="23509"/>
    <cellStyle name="CALC Amount Total 2 18 9 2" xfId="40844"/>
    <cellStyle name="CALC Amount Total 2 19" xfId="15199"/>
    <cellStyle name="CALC Amount Total 2 19 10" xfId="40845"/>
    <cellStyle name="CALC Amount Total 2 19 11" xfId="40846"/>
    <cellStyle name="CALC Amount Total 2 19 2" xfId="16279"/>
    <cellStyle name="CALC Amount Total 2 19 2 2" xfId="24592"/>
    <cellStyle name="CALC Amount Total 2 19 2 2 2" xfId="40847"/>
    <cellStyle name="CALC Amount Total 2 19 2 3" xfId="31862"/>
    <cellStyle name="CALC Amount Total 2 19 2 4" xfId="40848"/>
    <cellStyle name="CALC Amount Total 2 19 3" xfId="17245"/>
    <cellStyle name="CALC Amount Total 2 19 3 2" xfId="25566"/>
    <cellStyle name="CALC Amount Total 2 19 3 2 2" xfId="40849"/>
    <cellStyle name="CALC Amount Total 2 19 3 3" xfId="32795"/>
    <cellStyle name="CALC Amount Total 2 19 3 4" xfId="40850"/>
    <cellStyle name="CALC Amount Total 2 19 4" xfId="18273"/>
    <cellStyle name="CALC Amount Total 2 19 4 2" xfId="26593"/>
    <cellStyle name="CALC Amount Total 2 19 4 2 2" xfId="40851"/>
    <cellStyle name="CALC Amount Total 2 19 4 3" xfId="33773"/>
    <cellStyle name="CALC Amount Total 2 19 4 4" xfId="40852"/>
    <cellStyle name="CALC Amount Total 2 19 5" xfId="19257"/>
    <cellStyle name="CALC Amount Total 2 19 5 2" xfId="27577"/>
    <cellStyle name="CALC Amount Total 2 19 5 2 2" xfId="40853"/>
    <cellStyle name="CALC Amount Total 2 19 5 3" xfId="34725"/>
    <cellStyle name="CALC Amount Total 2 19 5 4" xfId="40854"/>
    <cellStyle name="CALC Amount Total 2 19 6" xfId="20225"/>
    <cellStyle name="CALC Amount Total 2 19 6 2" xfId="28547"/>
    <cellStyle name="CALC Amount Total 2 19 6 2 2" xfId="40855"/>
    <cellStyle name="CALC Amount Total 2 19 6 3" xfId="35665"/>
    <cellStyle name="CALC Amount Total 2 19 6 4" xfId="40856"/>
    <cellStyle name="CALC Amount Total 2 19 7" xfId="21686"/>
    <cellStyle name="CALC Amount Total 2 19 7 2" xfId="29987"/>
    <cellStyle name="CALC Amount Total 2 19 7 2 2" xfId="40857"/>
    <cellStyle name="CALC Amount Total 2 19 7 3" xfId="37039"/>
    <cellStyle name="CALC Amount Total 2 19 7 4" xfId="40858"/>
    <cellStyle name="CALC Amount Total 2 19 8" xfId="22614"/>
    <cellStyle name="CALC Amount Total 2 19 8 2" xfId="30910"/>
    <cellStyle name="CALC Amount Total 2 19 8 2 2" xfId="40859"/>
    <cellStyle name="CALC Amount Total 2 19 8 3" xfId="37922"/>
    <cellStyle name="CALC Amount Total 2 19 8 4" xfId="40860"/>
    <cellStyle name="CALC Amount Total 2 19 9" xfId="23556"/>
    <cellStyle name="CALC Amount Total 2 19 9 2" xfId="40861"/>
    <cellStyle name="CALC Amount Total 2 2" xfId="14512"/>
    <cellStyle name="CALC Amount Total 2 2 2" xfId="15574"/>
    <cellStyle name="CALC Amount Total 2 2 2 2" xfId="40862"/>
    <cellStyle name="CALC Amount Total 2 2 2 2 2" xfId="40863"/>
    <cellStyle name="CALC Amount Total 2 2 3" xfId="14444"/>
    <cellStyle name="CALC Amount Total 2 2 3 2" xfId="40864"/>
    <cellStyle name="CALC Amount Total 2 20" xfId="15264"/>
    <cellStyle name="CALC Amount Total 2 20 10" xfId="40865"/>
    <cellStyle name="CALC Amount Total 2 20 11" xfId="40866"/>
    <cellStyle name="CALC Amount Total 2 20 2" xfId="16344"/>
    <cellStyle name="CALC Amount Total 2 20 2 2" xfId="24657"/>
    <cellStyle name="CALC Amount Total 2 20 2 2 2" xfId="40867"/>
    <cellStyle name="CALC Amount Total 2 20 2 3" xfId="31924"/>
    <cellStyle name="CALC Amount Total 2 20 2 4" xfId="40868"/>
    <cellStyle name="CALC Amount Total 2 20 3" xfId="17310"/>
    <cellStyle name="CALC Amount Total 2 20 3 2" xfId="25631"/>
    <cellStyle name="CALC Amount Total 2 20 3 2 2" xfId="40869"/>
    <cellStyle name="CALC Amount Total 2 20 3 3" xfId="32857"/>
    <cellStyle name="CALC Amount Total 2 20 3 4" xfId="40870"/>
    <cellStyle name="CALC Amount Total 2 20 4" xfId="18338"/>
    <cellStyle name="CALC Amount Total 2 20 4 2" xfId="26658"/>
    <cellStyle name="CALC Amount Total 2 20 4 2 2" xfId="40871"/>
    <cellStyle name="CALC Amount Total 2 20 4 3" xfId="33835"/>
    <cellStyle name="CALC Amount Total 2 20 4 4" xfId="40872"/>
    <cellStyle name="CALC Amount Total 2 20 5" xfId="19322"/>
    <cellStyle name="CALC Amount Total 2 20 5 2" xfId="27642"/>
    <cellStyle name="CALC Amount Total 2 20 5 2 2" xfId="40873"/>
    <cellStyle name="CALC Amount Total 2 20 5 3" xfId="34790"/>
    <cellStyle name="CALC Amount Total 2 20 5 4" xfId="40874"/>
    <cellStyle name="CALC Amount Total 2 20 6" xfId="20290"/>
    <cellStyle name="CALC Amount Total 2 20 6 2" xfId="28612"/>
    <cellStyle name="CALC Amount Total 2 20 6 2 2" xfId="40875"/>
    <cellStyle name="CALC Amount Total 2 20 6 3" xfId="35727"/>
    <cellStyle name="CALC Amount Total 2 20 6 4" xfId="40876"/>
    <cellStyle name="CALC Amount Total 2 20 7" xfId="21751"/>
    <cellStyle name="CALC Amount Total 2 20 7 2" xfId="30052"/>
    <cellStyle name="CALC Amount Total 2 20 7 2 2" xfId="40877"/>
    <cellStyle name="CALC Amount Total 2 20 7 3" xfId="37101"/>
    <cellStyle name="CALC Amount Total 2 20 7 4" xfId="40878"/>
    <cellStyle name="CALC Amount Total 2 20 8" xfId="22679"/>
    <cellStyle name="CALC Amount Total 2 20 8 2" xfId="30975"/>
    <cellStyle name="CALC Amount Total 2 20 8 2 2" xfId="40879"/>
    <cellStyle name="CALC Amount Total 2 20 8 3" xfId="37984"/>
    <cellStyle name="CALC Amount Total 2 20 8 4" xfId="40880"/>
    <cellStyle name="CALC Amount Total 2 20 9" xfId="23621"/>
    <cellStyle name="CALC Amount Total 2 20 9 2" xfId="40881"/>
    <cellStyle name="CALC Amount Total 2 21" xfId="15224"/>
    <cellStyle name="CALC Amount Total 2 21 10" xfId="40882"/>
    <cellStyle name="CALC Amount Total 2 21 11" xfId="40883"/>
    <cellStyle name="CALC Amount Total 2 21 2" xfId="16304"/>
    <cellStyle name="CALC Amount Total 2 21 2 2" xfId="24617"/>
    <cellStyle name="CALC Amount Total 2 21 2 2 2" xfId="40884"/>
    <cellStyle name="CALC Amount Total 2 21 2 3" xfId="31885"/>
    <cellStyle name="CALC Amount Total 2 21 2 4" xfId="40885"/>
    <cellStyle name="CALC Amount Total 2 21 3" xfId="17270"/>
    <cellStyle name="CALC Amount Total 2 21 3 2" xfId="25591"/>
    <cellStyle name="CALC Amount Total 2 21 3 2 2" xfId="40886"/>
    <cellStyle name="CALC Amount Total 2 21 3 3" xfId="32818"/>
    <cellStyle name="CALC Amount Total 2 21 3 4" xfId="40887"/>
    <cellStyle name="CALC Amount Total 2 21 4" xfId="18298"/>
    <cellStyle name="CALC Amount Total 2 21 4 2" xfId="26618"/>
    <cellStyle name="CALC Amount Total 2 21 4 2 2" xfId="40888"/>
    <cellStyle name="CALC Amount Total 2 21 4 3" xfId="33796"/>
    <cellStyle name="CALC Amount Total 2 21 4 4" xfId="40889"/>
    <cellStyle name="CALC Amount Total 2 21 5" xfId="19282"/>
    <cellStyle name="CALC Amount Total 2 21 5 2" xfId="27602"/>
    <cellStyle name="CALC Amount Total 2 21 5 2 2" xfId="40890"/>
    <cellStyle name="CALC Amount Total 2 21 5 3" xfId="34750"/>
    <cellStyle name="CALC Amount Total 2 21 5 4" xfId="40891"/>
    <cellStyle name="CALC Amount Total 2 21 6" xfId="20250"/>
    <cellStyle name="CALC Amount Total 2 21 6 2" xfId="28572"/>
    <cellStyle name="CALC Amount Total 2 21 6 2 2" xfId="40892"/>
    <cellStyle name="CALC Amount Total 2 21 6 3" xfId="35688"/>
    <cellStyle name="CALC Amount Total 2 21 6 4" xfId="40893"/>
    <cellStyle name="CALC Amount Total 2 21 7" xfId="21711"/>
    <cellStyle name="CALC Amount Total 2 21 7 2" xfId="30012"/>
    <cellStyle name="CALC Amount Total 2 21 7 2 2" xfId="40894"/>
    <cellStyle name="CALC Amount Total 2 21 7 3" xfId="37062"/>
    <cellStyle name="CALC Amount Total 2 21 7 4" xfId="40895"/>
    <cellStyle name="CALC Amount Total 2 21 8" xfId="22639"/>
    <cellStyle name="CALC Amount Total 2 21 8 2" xfId="30935"/>
    <cellStyle name="CALC Amount Total 2 21 8 2 2" xfId="40896"/>
    <cellStyle name="CALC Amount Total 2 21 8 3" xfId="37945"/>
    <cellStyle name="CALC Amount Total 2 21 8 4" xfId="40897"/>
    <cellStyle name="CALC Amount Total 2 21 9" xfId="23581"/>
    <cellStyle name="CALC Amount Total 2 21 9 2" xfId="40898"/>
    <cellStyle name="CALC Amount Total 2 22" xfId="15233"/>
    <cellStyle name="CALC Amount Total 2 22 10" xfId="40899"/>
    <cellStyle name="CALC Amount Total 2 22 11" xfId="40900"/>
    <cellStyle name="CALC Amount Total 2 22 2" xfId="16313"/>
    <cellStyle name="CALC Amount Total 2 22 2 2" xfId="24626"/>
    <cellStyle name="CALC Amount Total 2 22 2 2 2" xfId="40901"/>
    <cellStyle name="CALC Amount Total 2 22 2 3" xfId="31893"/>
    <cellStyle name="CALC Amount Total 2 22 2 4" xfId="40902"/>
    <cellStyle name="CALC Amount Total 2 22 3" xfId="17279"/>
    <cellStyle name="CALC Amount Total 2 22 3 2" xfId="25600"/>
    <cellStyle name="CALC Amount Total 2 22 3 2 2" xfId="40903"/>
    <cellStyle name="CALC Amount Total 2 22 3 3" xfId="32826"/>
    <cellStyle name="CALC Amount Total 2 22 3 4" xfId="40904"/>
    <cellStyle name="CALC Amount Total 2 22 4" xfId="18307"/>
    <cellStyle name="CALC Amount Total 2 22 4 2" xfId="26627"/>
    <cellStyle name="CALC Amount Total 2 22 4 2 2" xfId="40905"/>
    <cellStyle name="CALC Amount Total 2 22 4 3" xfId="33804"/>
    <cellStyle name="CALC Amount Total 2 22 4 4" xfId="40906"/>
    <cellStyle name="CALC Amount Total 2 22 5" xfId="19291"/>
    <cellStyle name="CALC Amount Total 2 22 5 2" xfId="27611"/>
    <cellStyle name="CALC Amount Total 2 22 5 2 2" xfId="40907"/>
    <cellStyle name="CALC Amount Total 2 22 5 3" xfId="34759"/>
    <cellStyle name="CALC Amount Total 2 22 5 4" xfId="40908"/>
    <cellStyle name="CALC Amount Total 2 22 6" xfId="20259"/>
    <cellStyle name="CALC Amount Total 2 22 6 2" xfId="28581"/>
    <cellStyle name="CALC Amount Total 2 22 6 2 2" xfId="40909"/>
    <cellStyle name="CALC Amount Total 2 22 6 3" xfId="35696"/>
    <cellStyle name="CALC Amount Total 2 22 6 4" xfId="40910"/>
    <cellStyle name="CALC Amount Total 2 22 7" xfId="21720"/>
    <cellStyle name="CALC Amount Total 2 22 7 2" xfId="30021"/>
    <cellStyle name="CALC Amount Total 2 22 7 2 2" xfId="40911"/>
    <cellStyle name="CALC Amount Total 2 22 7 3" xfId="37070"/>
    <cellStyle name="CALC Amount Total 2 22 7 4" xfId="40912"/>
    <cellStyle name="CALC Amount Total 2 22 8" xfId="22648"/>
    <cellStyle name="CALC Amount Total 2 22 8 2" xfId="30944"/>
    <cellStyle name="CALC Amount Total 2 22 8 2 2" xfId="40913"/>
    <cellStyle name="CALC Amount Total 2 22 8 3" xfId="37953"/>
    <cellStyle name="CALC Amount Total 2 22 8 4" xfId="40914"/>
    <cellStyle name="CALC Amount Total 2 22 9" xfId="23590"/>
    <cellStyle name="CALC Amount Total 2 22 9 2" xfId="40915"/>
    <cellStyle name="CALC Amount Total 2 23" xfId="15330"/>
    <cellStyle name="CALC Amount Total 2 23 10" xfId="40916"/>
    <cellStyle name="CALC Amount Total 2 23 11" xfId="40917"/>
    <cellStyle name="CALC Amount Total 2 23 2" xfId="16410"/>
    <cellStyle name="CALC Amount Total 2 23 2 2" xfId="24723"/>
    <cellStyle name="CALC Amount Total 2 23 2 2 2" xfId="40918"/>
    <cellStyle name="CALC Amount Total 2 23 2 3" xfId="31988"/>
    <cellStyle name="CALC Amount Total 2 23 2 4" xfId="40919"/>
    <cellStyle name="CALC Amount Total 2 23 3" xfId="17376"/>
    <cellStyle name="CALC Amount Total 2 23 3 2" xfId="25697"/>
    <cellStyle name="CALC Amount Total 2 23 3 2 2" xfId="40920"/>
    <cellStyle name="CALC Amount Total 2 23 3 3" xfId="32921"/>
    <cellStyle name="CALC Amount Total 2 23 3 4" xfId="40921"/>
    <cellStyle name="CALC Amount Total 2 23 4" xfId="18404"/>
    <cellStyle name="CALC Amount Total 2 23 4 2" xfId="26724"/>
    <cellStyle name="CALC Amount Total 2 23 4 2 2" xfId="40922"/>
    <cellStyle name="CALC Amount Total 2 23 4 3" xfId="33899"/>
    <cellStyle name="CALC Amount Total 2 23 4 4" xfId="40923"/>
    <cellStyle name="CALC Amount Total 2 23 5" xfId="19387"/>
    <cellStyle name="CALC Amount Total 2 23 5 2" xfId="27708"/>
    <cellStyle name="CALC Amount Total 2 23 5 2 2" xfId="40924"/>
    <cellStyle name="CALC Amount Total 2 23 5 3" xfId="34856"/>
    <cellStyle name="CALC Amount Total 2 23 5 4" xfId="40925"/>
    <cellStyle name="CALC Amount Total 2 23 6" xfId="20356"/>
    <cellStyle name="CALC Amount Total 2 23 6 2" xfId="28678"/>
    <cellStyle name="CALC Amount Total 2 23 6 2 2" xfId="40926"/>
    <cellStyle name="CALC Amount Total 2 23 6 3" xfId="35791"/>
    <cellStyle name="CALC Amount Total 2 23 6 4" xfId="40927"/>
    <cellStyle name="CALC Amount Total 2 23 7" xfId="21817"/>
    <cellStyle name="CALC Amount Total 2 23 7 2" xfId="30118"/>
    <cellStyle name="CALC Amount Total 2 23 7 2 2" xfId="40928"/>
    <cellStyle name="CALC Amount Total 2 23 7 3" xfId="37165"/>
    <cellStyle name="CALC Amount Total 2 23 7 4" xfId="40929"/>
    <cellStyle name="CALC Amount Total 2 23 8" xfId="22745"/>
    <cellStyle name="CALC Amount Total 2 23 8 2" xfId="31041"/>
    <cellStyle name="CALC Amount Total 2 23 8 2 2" xfId="40930"/>
    <cellStyle name="CALC Amount Total 2 23 8 3" xfId="38048"/>
    <cellStyle name="CALC Amount Total 2 23 8 4" xfId="40931"/>
    <cellStyle name="CALC Amount Total 2 23 9" xfId="23687"/>
    <cellStyle name="CALC Amount Total 2 23 9 2" xfId="40932"/>
    <cellStyle name="CALC Amount Total 2 24" xfId="15387"/>
    <cellStyle name="CALC Amount Total 2 24 10" xfId="40933"/>
    <cellStyle name="CALC Amount Total 2 24 11" xfId="40934"/>
    <cellStyle name="CALC Amount Total 2 24 2" xfId="16467"/>
    <cellStyle name="CALC Amount Total 2 24 2 2" xfId="24780"/>
    <cellStyle name="CALC Amount Total 2 24 2 2 2" xfId="40935"/>
    <cellStyle name="CALC Amount Total 2 24 2 3" xfId="32044"/>
    <cellStyle name="CALC Amount Total 2 24 2 4" xfId="40936"/>
    <cellStyle name="CALC Amount Total 2 24 3" xfId="17433"/>
    <cellStyle name="CALC Amount Total 2 24 3 2" xfId="25754"/>
    <cellStyle name="CALC Amount Total 2 24 3 2 2" xfId="40937"/>
    <cellStyle name="CALC Amount Total 2 24 3 3" xfId="32977"/>
    <cellStyle name="CALC Amount Total 2 24 3 4" xfId="40938"/>
    <cellStyle name="CALC Amount Total 2 24 4" xfId="18461"/>
    <cellStyle name="CALC Amount Total 2 24 4 2" xfId="26781"/>
    <cellStyle name="CALC Amount Total 2 24 4 2 2" xfId="40939"/>
    <cellStyle name="CALC Amount Total 2 24 4 3" xfId="33955"/>
    <cellStyle name="CALC Amount Total 2 24 4 4" xfId="40940"/>
    <cellStyle name="CALC Amount Total 2 24 5" xfId="19444"/>
    <cellStyle name="CALC Amount Total 2 24 5 2" xfId="27765"/>
    <cellStyle name="CALC Amount Total 2 24 5 2 2" xfId="40941"/>
    <cellStyle name="CALC Amount Total 2 24 5 3" xfId="34913"/>
    <cellStyle name="CALC Amount Total 2 24 5 4" xfId="40942"/>
    <cellStyle name="CALC Amount Total 2 24 6" xfId="20413"/>
    <cellStyle name="CALC Amount Total 2 24 6 2" xfId="28735"/>
    <cellStyle name="CALC Amount Total 2 24 6 2 2" xfId="40943"/>
    <cellStyle name="CALC Amount Total 2 24 6 3" xfId="35847"/>
    <cellStyle name="CALC Amount Total 2 24 6 4" xfId="40944"/>
    <cellStyle name="CALC Amount Total 2 24 7" xfId="21874"/>
    <cellStyle name="CALC Amount Total 2 24 7 2" xfId="30175"/>
    <cellStyle name="CALC Amount Total 2 24 7 2 2" xfId="40945"/>
    <cellStyle name="CALC Amount Total 2 24 7 3" xfId="37220"/>
    <cellStyle name="CALC Amount Total 2 24 7 4" xfId="40946"/>
    <cellStyle name="CALC Amount Total 2 24 8" xfId="22802"/>
    <cellStyle name="CALC Amount Total 2 24 8 2" xfId="31098"/>
    <cellStyle name="CALC Amount Total 2 24 8 2 2" xfId="40947"/>
    <cellStyle name="CALC Amount Total 2 24 8 3" xfId="38104"/>
    <cellStyle name="CALC Amount Total 2 24 8 4" xfId="40948"/>
    <cellStyle name="CALC Amount Total 2 24 9" xfId="23744"/>
    <cellStyle name="CALC Amount Total 2 24 9 2" xfId="40949"/>
    <cellStyle name="CALC Amount Total 2 25" xfId="15403"/>
    <cellStyle name="CALC Amount Total 2 25 10" xfId="40950"/>
    <cellStyle name="CALC Amount Total 2 25 11" xfId="40951"/>
    <cellStyle name="CALC Amount Total 2 25 2" xfId="16483"/>
    <cellStyle name="CALC Amount Total 2 25 2 2" xfId="24796"/>
    <cellStyle name="CALC Amount Total 2 25 2 2 2" xfId="40952"/>
    <cellStyle name="CALC Amount Total 2 25 2 3" xfId="32058"/>
    <cellStyle name="CALC Amount Total 2 25 2 4" xfId="40953"/>
    <cellStyle name="CALC Amount Total 2 25 3" xfId="17449"/>
    <cellStyle name="CALC Amount Total 2 25 3 2" xfId="25770"/>
    <cellStyle name="CALC Amount Total 2 25 3 2 2" xfId="40954"/>
    <cellStyle name="CALC Amount Total 2 25 3 3" xfId="32991"/>
    <cellStyle name="CALC Amount Total 2 25 3 4" xfId="40955"/>
    <cellStyle name="CALC Amount Total 2 25 4" xfId="18477"/>
    <cellStyle name="CALC Amount Total 2 25 4 2" xfId="26797"/>
    <cellStyle name="CALC Amount Total 2 25 4 2 2" xfId="40956"/>
    <cellStyle name="CALC Amount Total 2 25 4 3" xfId="33969"/>
    <cellStyle name="CALC Amount Total 2 25 4 4" xfId="40957"/>
    <cellStyle name="CALC Amount Total 2 25 5" xfId="19460"/>
    <cellStyle name="CALC Amount Total 2 25 5 2" xfId="27781"/>
    <cellStyle name="CALC Amount Total 2 25 5 2 2" xfId="40958"/>
    <cellStyle name="CALC Amount Total 2 25 5 3" xfId="34929"/>
    <cellStyle name="CALC Amount Total 2 25 5 4" xfId="40959"/>
    <cellStyle name="CALC Amount Total 2 25 6" xfId="20429"/>
    <cellStyle name="CALC Amount Total 2 25 6 2" xfId="28751"/>
    <cellStyle name="CALC Amount Total 2 25 6 2 2" xfId="40960"/>
    <cellStyle name="CALC Amount Total 2 25 6 3" xfId="35861"/>
    <cellStyle name="CALC Amount Total 2 25 6 4" xfId="40961"/>
    <cellStyle name="CALC Amount Total 2 25 7" xfId="21890"/>
    <cellStyle name="CALC Amount Total 2 25 7 2" xfId="30191"/>
    <cellStyle name="CALC Amount Total 2 25 7 2 2" xfId="40962"/>
    <cellStyle name="CALC Amount Total 2 25 7 3" xfId="37234"/>
    <cellStyle name="CALC Amount Total 2 25 7 4" xfId="40963"/>
    <cellStyle name="CALC Amount Total 2 25 8" xfId="22818"/>
    <cellStyle name="CALC Amount Total 2 25 8 2" xfId="31114"/>
    <cellStyle name="CALC Amount Total 2 25 8 2 2" xfId="40964"/>
    <cellStyle name="CALC Amount Total 2 25 8 3" xfId="38118"/>
    <cellStyle name="CALC Amount Total 2 25 8 4" xfId="40965"/>
    <cellStyle name="CALC Amount Total 2 25 9" xfId="23760"/>
    <cellStyle name="CALC Amount Total 2 25 9 2" xfId="40966"/>
    <cellStyle name="CALC Amount Total 2 26" xfId="15419"/>
    <cellStyle name="CALC Amount Total 2 26 10" xfId="40967"/>
    <cellStyle name="CALC Amount Total 2 26 11" xfId="40968"/>
    <cellStyle name="CALC Amount Total 2 26 2" xfId="16499"/>
    <cellStyle name="CALC Amount Total 2 26 2 2" xfId="24812"/>
    <cellStyle name="CALC Amount Total 2 26 2 2 2" xfId="40969"/>
    <cellStyle name="CALC Amount Total 2 26 2 3" xfId="32073"/>
    <cellStyle name="CALC Amount Total 2 26 2 4" xfId="40970"/>
    <cellStyle name="CALC Amount Total 2 26 3" xfId="17465"/>
    <cellStyle name="CALC Amount Total 2 26 3 2" xfId="25786"/>
    <cellStyle name="CALC Amount Total 2 26 3 2 2" xfId="40971"/>
    <cellStyle name="CALC Amount Total 2 26 3 3" xfId="33006"/>
    <cellStyle name="CALC Amount Total 2 26 3 4" xfId="40972"/>
    <cellStyle name="CALC Amount Total 2 26 4" xfId="18493"/>
    <cellStyle name="CALC Amount Total 2 26 4 2" xfId="26813"/>
    <cellStyle name="CALC Amount Total 2 26 4 2 2" xfId="40973"/>
    <cellStyle name="CALC Amount Total 2 26 4 3" xfId="33984"/>
    <cellStyle name="CALC Amount Total 2 26 4 4" xfId="40974"/>
    <cellStyle name="CALC Amount Total 2 26 5" xfId="19476"/>
    <cellStyle name="CALC Amount Total 2 26 5 2" xfId="27797"/>
    <cellStyle name="CALC Amount Total 2 26 5 2 2" xfId="40975"/>
    <cellStyle name="CALC Amount Total 2 26 5 3" xfId="34945"/>
    <cellStyle name="CALC Amount Total 2 26 5 4" xfId="40976"/>
    <cellStyle name="CALC Amount Total 2 26 6" xfId="20445"/>
    <cellStyle name="CALC Amount Total 2 26 6 2" xfId="28767"/>
    <cellStyle name="CALC Amount Total 2 26 6 2 2" xfId="40977"/>
    <cellStyle name="CALC Amount Total 2 26 6 3" xfId="35876"/>
    <cellStyle name="CALC Amount Total 2 26 6 4" xfId="40978"/>
    <cellStyle name="CALC Amount Total 2 26 7" xfId="21906"/>
    <cellStyle name="CALC Amount Total 2 26 7 2" xfId="30207"/>
    <cellStyle name="CALC Amount Total 2 26 7 2 2" xfId="40979"/>
    <cellStyle name="CALC Amount Total 2 26 7 3" xfId="37249"/>
    <cellStyle name="CALC Amount Total 2 26 7 4" xfId="40980"/>
    <cellStyle name="CALC Amount Total 2 26 8" xfId="22834"/>
    <cellStyle name="CALC Amount Total 2 26 8 2" xfId="31130"/>
    <cellStyle name="CALC Amount Total 2 26 8 2 2" xfId="40981"/>
    <cellStyle name="CALC Amount Total 2 26 8 3" xfId="38133"/>
    <cellStyle name="CALC Amount Total 2 26 8 4" xfId="40982"/>
    <cellStyle name="CALC Amount Total 2 26 9" xfId="23776"/>
    <cellStyle name="CALC Amount Total 2 26 9 2" xfId="40983"/>
    <cellStyle name="CALC Amount Total 2 27" xfId="15433"/>
    <cellStyle name="CALC Amount Total 2 27 10" xfId="40984"/>
    <cellStyle name="CALC Amount Total 2 27 11" xfId="40985"/>
    <cellStyle name="CALC Amount Total 2 27 2" xfId="16513"/>
    <cellStyle name="CALC Amount Total 2 27 2 2" xfId="24826"/>
    <cellStyle name="CALC Amount Total 2 27 2 2 2" xfId="40986"/>
    <cellStyle name="CALC Amount Total 2 27 2 3" xfId="32087"/>
    <cellStyle name="CALC Amount Total 2 27 2 4" xfId="40987"/>
    <cellStyle name="CALC Amount Total 2 27 3" xfId="17479"/>
    <cellStyle name="CALC Amount Total 2 27 3 2" xfId="25800"/>
    <cellStyle name="CALC Amount Total 2 27 3 2 2" xfId="40988"/>
    <cellStyle name="CALC Amount Total 2 27 3 3" xfId="33020"/>
    <cellStyle name="CALC Amount Total 2 27 3 4" xfId="40989"/>
    <cellStyle name="CALC Amount Total 2 27 4" xfId="18507"/>
    <cellStyle name="CALC Amount Total 2 27 4 2" xfId="26827"/>
    <cellStyle name="CALC Amount Total 2 27 4 2 2" xfId="40990"/>
    <cellStyle name="CALC Amount Total 2 27 4 3" xfId="33998"/>
    <cellStyle name="CALC Amount Total 2 27 4 4" xfId="40991"/>
    <cellStyle name="CALC Amount Total 2 27 5" xfId="19490"/>
    <cellStyle name="CALC Amount Total 2 27 5 2" xfId="27811"/>
    <cellStyle name="CALC Amount Total 2 27 5 2 2" xfId="40992"/>
    <cellStyle name="CALC Amount Total 2 27 5 3" xfId="34959"/>
    <cellStyle name="CALC Amount Total 2 27 5 4" xfId="40993"/>
    <cellStyle name="CALC Amount Total 2 27 6" xfId="20459"/>
    <cellStyle name="CALC Amount Total 2 27 6 2" xfId="28781"/>
    <cellStyle name="CALC Amount Total 2 27 6 2 2" xfId="40994"/>
    <cellStyle name="CALC Amount Total 2 27 6 3" xfId="35890"/>
    <cellStyle name="CALC Amount Total 2 27 6 4" xfId="40995"/>
    <cellStyle name="CALC Amount Total 2 27 7" xfId="21920"/>
    <cellStyle name="CALC Amount Total 2 27 7 2" xfId="30221"/>
    <cellStyle name="CALC Amount Total 2 27 7 2 2" xfId="40996"/>
    <cellStyle name="CALC Amount Total 2 27 7 3" xfId="37263"/>
    <cellStyle name="CALC Amount Total 2 27 7 4" xfId="40997"/>
    <cellStyle name="CALC Amount Total 2 27 8" xfId="22848"/>
    <cellStyle name="CALC Amount Total 2 27 8 2" xfId="31144"/>
    <cellStyle name="CALC Amount Total 2 27 8 2 2" xfId="40998"/>
    <cellStyle name="CALC Amount Total 2 27 8 3" xfId="38147"/>
    <cellStyle name="CALC Amount Total 2 27 8 4" xfId="40999"/>
    <cellStyle name="CALC Amount Total 2 27 9" xfId="23790"/>
    <cellStyle name="CALC Amount Total 2 27 9 2" xfId="41000"/>
    <cellStyle name="CALC Amount Total 2 28" xfId="15447"/>
    <cellStyle name="CALC Amount Total 2 28 10" xfId="41001"/>
    <cellStyle name="CALC Amount Total 2 28 11" xfId="41002"/>
    <cellStyle name="CALC Amount Total 2 28 2" xfId="16527"/>
    <cellStyle name="CALC Amount Total 2 28 2 2" xfId="24840"/>
    <cellStyle name="CALC Amount Total 2 28 2 2 2" xfId="41003"/>
    <cellStyle name="CALC Amount Total 2 28 2 3" xfId="32101"/>
    <cellStyle name="CALC Amount Total 2 28 2 4" xfId="41004"/>
    <cellStyle name="CALC Amount Total 2 28 3" xfId="17493"/>
    <cellStyle name="CALC Amount Total 2 28 3 2" xfId="25814"/>
    <cellStyle name="CALC Amount Total 2 28 3 2 2" xfId="41005"/>
    <cellStyle name="CALC Amount Total 2 28 3 3" xfId="33034"/>
    <cellStyle name="CALC Amount Total 2 28 3 4" xfId="41006"/>
    <cellStyle name="CALC Amount Total 2 28 4" xfId="18521"/>
    <cellStyle name="CALC Amount Total 2 28 4 2" xfId="26841"/>
    <cellStyle name="CALC Amount Total 2 28 4 2 2" xfId="41007"/>
    <cellStyle name="CALC Amount Total 2 28 4 3" xfId="34012"/>
    <cellStyle name="CALC Amount Total 2 28 4 4" xfId="41008"/>
    <cellStyle name="CALC Amount Total 2 28 5" xfId="19504"/>
    <cellStyle name="CALC Amount Total 2 28 5 2" xfId="27825"/>
    <cellStyle name="CALC Amount Total 2 28 5 2 2" xfId="41009"/>
    <cellStyle name="CALC Amount Total 2 28 5 3" xfId="34973"/>
    <cellStyle name="CALC Amount Total 2 28 5 4" xfId="41010"/>
    <cellStyle name="CALC Amount Total 2 28 6" xfId="20473"/>
    <cellStyle name="CALC Amount Total 2 28 6 2" xfId="28795"/>
    <cellStyle name="CALC Amount Total 2 28 6 2 2" xfId="41011"/>
    <cellStyle name="CALC Amount Total 2 28 6 3" xfId="35904"/>
    <cellStyle name="CALC Amount Total 2 28 6 4" xfId="41012"/>
    <cellStyle name="CALC Amount Total 2 28 7" xfId="21934"/>
    <cellStyle name="CALC Amount Total 2 28 7 2" xfId="30235"/>
    <cellStyle name="CALC Amount Total 2 28 7 2 2" xfId="41013"/>
    <cellStyle name="CALC Amount Total 2 28 7 3" xfId="37277"/>
    <cellStyle name="CALC Amount Total 2 28 7 4" xfId="41014"/>
    <cellStyle name="CALC Amount Total 2 28 8" xfId="22862"/>
    <cellStyle name="CALC Amount Total 2 28 8 2" xfId="31158"/>
    <cellStyle name="CALC Amount Total 2 28 8 2 2" xfId="41015"/>
    <cellStyle name="CALC Amount Total 2 28 8 3" xfId="38161"/>
    <cellStyle name="CALC Amount Total 2 28 8 4" xfId="41016"/>
    <cellStyle name="CALC Amount Total 2 28 9" xfId="23804"/>
    <cellStyle name="CALC Amount Total 2 28 9 2" xfId="41017"/>
    <cellStyle name="CALC Amount Total 2 29" xfId="15479"/>
    <cellStyle name="CALC Amount Total 2 29 2" xfId="17525"/>
    <cellStyle name="CALC Amount Total 2 29 2 2" xfId="25845"/>
    <cellStyle name="CALC Amount Total 2 29 2 2 2" xfId="41018"/>
    <cellStyle name="CALC Amount Total 2 29 2 3" xfId="33063"/>
    <cellStyle name="CALC Amount Total 2 29 2 4" xfId="41019"/>
    <cellStyle name="CALC Amount Total 2 29 3" xfId="19536"/>
    <cellStyle name="CALC Amount Total 2 29 3 2" xfId="27857"/>
    <cellStyle name="CALC Amount Total 2 29 3 2 2" xfId="41020"/>
    <cellStyle name="CALC Amount Total 2 29 3 3" xfId="35005"/>
    <cellStyle name="CALC Amount Total 2 29 3 4" xfId="41021"/>
    <cellStyle name="CALC Amount Total 2 29 4" xfId="41022"/>
    <cellStyle name="CALC Amount Total 2 29 4 2" xfId="41023"/>
    <cellStyle name="CALC Amount Total 2 3" xfId="14513"/>
    <cellStyle name="CALC Amount Total 2 3 2" xfId="15575"/>
    <cellStyle name="CALC Amount Total 2 3 2 2" xfId="41024"/>
    <cellStyle name="CALC Amount Total 2 3 2 2 2" xfId="41025"/>
    <cellStyle name="CALC Amount Total 2 3 3" xfId="23830"/>
    <cellStyle name="CALC Amount Total 2 3 3 2" xfId="41026"/>
    <cellStyle name="CALC Amount Total 2 30" xfId="41027"/>
    <cellStyle name="CALC Amount Total 2 30 2" xfId="41028"/>
    <cellStyle name="CALC Amount Total 2 4" xfId="14540"/>
    <cellStyle name="CALC Amount Total 2 4 2" xfId="15619"/>
    <cellStyle name="CALC Amount Total 2 4 2 2" xfId="23933"/>
    <cellStyle name="CALC Amount Total 2 4 2 2 2" xfId="41029"/>
    <cellStyle name="CALC Amount Total 2 4 2 3" xfId="41030"/>
    <cellStyle name="CALC Amount Total 2 4 2 4" xfId="41031"/>
    <cellStyle name="CALC Amount Total 2 4 3" xfId="16587"/>
    <cellStyle name="CALC Amount Total 2 4 3 2" xfId="24904"/>
    <cellStyle name="CALC Amount Total 2 4 3 2 2" xfId="41032"/>
    <cellStyle name="CALC Amount Total 2 4 3 3" xfId="32164"/>
    <cellStyle name="CALC Amount Total 2 4 3 4" xfId="41033"/>
    <cellStyle name="CALC Amount Total 2 4 4" xfId="17606"/>
    <cellStyle name="CALC Amount Total 2 4 4 2" xfId="25929"/>
    <cellStyle name="CALC Amount Total 2 4 4 2 2" xfId="41034"/>
    <cellStyle name="CALC Amount Total 2 4 4 3" xfId="33141"/>
    <cellStyle name="CALC Amount Total 2 4 4 4" xfId="41035"/>
    <cellStyle name="CALC Amount Total 2 4 5" xfId="18588"/>
    <cellStyle name="CALC Amount Total 2 4 5 2" xfId="26907"/>
    <cellStyle name="CALC Amount Total 2 4 5 2 2" xfId="41036"/>
    <cellStyle name="CALC Amount Total 2 4 5 3" xfId="34076"/>
    <cellStyle name="CALC Amount Total 2 4 5 4" xfId="41037"/>
    <cellStyle name="CALC Amount Total 2 4 6" xfId="19556"/>
    <cellStyle name="CALC Amount Total 2 4 6 2" xfId="27877"/>
    <cellStyle name="CALC Amount Total 2 4 6 2 2" xfId="41038"/>
    <cellStyle name="CALC Amount Total 2 4 6 3" xfId="35024"/>
    <cellStyle name="CALC Amount Total 2 4 6 4" xfId="41039"/>
    <cellStyle name="CALC Amount Total 2 4 7" xfId="20514"/>
    <cellStyle name="CALC Amount Total 2 4 7 2" xfId="28836"/>
    <cellStyle name="CALC Amount Total 2 4 7 2 2" xfId="41040"/>
    <cellStyle name="CALC Amount Total 2 4 7 3" xfId="35941"/>
    <cellStyle name="CALC Amount Total 2 4 7 4" xfId="41041"/>
    <cellStyle name="CALC Amount Total 2 4 8" xfId="22897"/>
    <cellStyle name="CALC Amount Total 2 4 8 2" xfId="41042"/>
    <cellStyle name="CALC Amount Total 2 5" xfId="14601"/>
    <cellStyle name="CALC Amount Total 2 5 10" xfId="22962"/>
    <cellStyle name="CALC Amount Total 2 5 10 2" xfId="41043"/>
    <cellStyle name="CALC Amount Total 2 5 11" xfId="41044"/>
    <cellStyle name="CALC Amount Total 2 5 2" xfId="15681"/>
    <cellStyle name="CALC Amount Total 2 5 2 2" xfId="23997"/>
    <cellStyle name="CALC Amount Total 2 5 2 2 2" xfId="41045"/>
    <cellStyle name="CALC Amount Total 2 5 2 3" xfId="31292"/>
    <cellStyle name="CALC Amount Total 2 5 2 4" xfId="41046"/>
    <cellStyle name="CALC Amount Total 2 5 3" xfId="16648"/>
    <cellStyle name="CALC Amount Total 2 5 3 2" xfId="24968"/>
    <cellStyle name="CALC Amount Total 2 5 3 2 2" xfId="41047"/>
    <cellStyle name="CALC Amount Total 2 5 3 3" xfId="32225"/>
    <cellStyle name="CALC Amount Total 2 5 3 4" xfId="41048"/>
    <cellStyle name="CALC Amount Total 2 5 4" xfId="17670"/>
    <cellStyle name="CALC Amount Total 2 5 4 2" xfId="25994"/>
    <cellStyle name="CALC Amount Total 2 5 4 2 2" xfId="41049"/>
    <cellStyle name="CALC Amount Total 2 5 4 3" xfId="33202"/>
    <cellStyle name="CALC Amount Total 2 5 4 4" xfId="41050"/>
    <cellStyle name="CALC Amount Total 2 5 5" xfId="18653"/>
    <cellStyle name="CALC Amount Total 2 5 5 2" xfId="26974"/>
    <cellStyle name="CALC Amount Total 2 5 5 2 2" xfId="41051"/>
    <cellStyle name="CALC Amount Total 2 5 5 3" xfId="34140"/>
    <cellStyle name="CALC Amount Total 2 5 5 4" xfId="41052"/>
    <cellStyle name="CALC Amount Total 2 5 6" xfId="19622"/>
    <cellStyle name="CALC Amount Total 2 5 6 2" xfId="27943"/>
    <cellStyle name="CALC Amount Total 2 5 6 2 2" xfId="41053"/>
    <cellStyle name="CALC Amount Total 2 5 6 3" xfId="35086"/>
    <cellStyle name="CALC Amount Total 2 5 6 4" xfId="41054"/>
    <cellStyle name="CALC Amount Total 2 5 7" xfId="20579"/>
    <cellStyle name="CALC Amount Total 2 5 7 2" xfId="28901"/>
    <cellStyle name="CALC Amount Total 2 5 7 2 2" xfId="41055"/>
    <cellStyle name="CALC Amount Total 2 5 7 3" xfId="36002"/>
    <cellStyle name="CALC Amount Total 2 5 7 4" xfId="41056"/>
    <cellStyle name="CALC Amount Total 2 5 8" xfId="17562"/>
    <cellStyle name="CALC Amount Total 2 5 8 2" xfId="25881"/>
    <cellStyle name="CALC Amount Total 2 5 8 2 2" xfId="41057"/>
    <cellStyle name="CALC Amount Total 2 5 8 3" xfId="33096"/>
    <cellStyle name="CALC Amount Total 2 5 8 4" xfId="41058"/>
    <cellStyle name="CALC Amount Total 2 5 9" xfId="22016"/>
    <cellStyle name="CALC Amount Total 2 5 9 2" xfId="30315"/>
    <cellStyle name="CALC Amount Total 2 5 9 2 2" xfId="41059"/>
    <cellStyle name="CALC Amount Total 2 5 9 3" xfId="37353"/>
    <cellStyle name="CALC Amount Total 2 5 9 4" xfId="41060"/>
    <cellStyle name="CALC Amount Total 2 6" xfId="14621"/>
    <cellStyle name="CALC Amount Total 2 6 10" xfId="22983"/>
    <cellStyle name="CALC Amount Total 2 6 10 2" xfId="41061"/>
    <cellStyle name="CALC Amount Total 2 6 11" xfId="41062"/>
    <cellStyle name="CALC Amount Total 2 6 2" xfId="15702"/>
    <cellStyle name="CALC Amount Total 2 6 2 2" xfId="24018"/>
    <cellStyle name="CALC Amount Total 2 6 2 2 2" xfId="41063"/>
    <cellStyle name="CALC Amount Total 2 6 2 3" xfId="31312"/>
    <cellStyle name="CALC Amount Total 2 6 2 4" xfId="41064"/>
    <cellStyle name="CALC Amount Total 2 6 3" xfId="16669"/>
    <cellStyle name="CALC Amount Total 2 6 3 2" xfId="24989"/>
    <cellStyle name="CALC Amount Total 2 6 3 2 2" xfId="41065"/>
    <cellStyle name="CALC Amount Total 2 6 3 3" xfId="32245"/>
    <cellStyle name="CALC Amount Total 2 6 3 4" xfId="41066"/>
    <cellStyle name="CALC Amount Total 2 6 4" xfId="17692"/>
    <cellStyle name="CALC Amount Total 2 6 4 2" xfId="26015"/>
    <cellStyle name="CALC Amount Total 2 6 4 2 2" xfId="41067"/>
    <cellStyle name="CALC Amount Total 2 6 4 3" xfId="33222"/>
    <cellStyle name="CALC Amount Total 2 6 4 4" xfId="41068"/>
    <cellStyle name="CALC Amount Total 2 6 5" xfId="18675"/>
    <cellStyle name="CALC Amount Total 2 6 5 2" xfId="26996"/>
    <cellStyle name="CALC Amount Total 2 6 5 2 2" xfId="41069"/>
    <cellStyle name="CALC Amount Total 2 6 5 3" xfId="34161"/>
    <cellStyle name="CALC Amount Total 2 6 5 4" xfId="41070"/>
    <cellStyle name="CALC Amount Total 2 6 6" xfId="19644"/>
    <cellStyle name="CALC Amount Total 2 6 6 2" xfId="27965"/>
    <cellStyle name="CALC Amount Total 2 6 6 2 2" xfId="41071"/>
    <cellStyle name="CALC Amount Total 2 6 6 3" xfId="35107"/>
    <cellStyle name="CALC Amount Total 2 6 6 4" xfId="41072"/>
    <cellStyle name="CALC Amount Total 2 6 7" xfId="20601"/>
    <cellStyle name="CALC Amount Total 2 6 7 2" xfId="28922"/>
    <cellStyle name="CALC Amount Total 2 6 7 2 2" xfId="41073"/>
    <cellStyle name="CALC Amount Total 2 6 7 3" xfId="36022"/>
    <cellStyle name="CALC Amount Total 2 6 7 4" xfId="41074"/>
    <cellStyle name="CALC Amount Total 2 6 8" xfId="21160"/>
    <cellStyle name="CALC Amount Total 2 6 8 2" xfId="29472"/>
    <cellStyle name="CALC Amount Total 2 6 8 2 2" xfId="41075"/>
    <cellStyle name="CALC Amount Total 2 6 8 3" xfId="36544"/>
    <cellStyle name="CALC Amount Total 2 6 8 4" xfId="41076"/>
    <cellStyle name="CALC Amount Total 2 6 9" xfId="22038"/>
    <cellStyle name="CALC Amount Total 2 6 9 2" xfId="30336"/>
    <cellStyle name="CALC Amount Total 2 6 9 2 2" xfId="41077"/>
    <cellStyle name="CALC Amount Total 2 6 9 3" xfId="37373"/>
    <cellStyle name="CALC Amount Total 2 6 9 4" xfId="41078"/>
    <cellStyle name="CALC Amount Total 2 7" xfId="14640"/>
    <cellStyle name="CALC Amount Total 2 7 10" xfId="23002"/>
    <cellStyle name="CALC Amount Total 2 7 10 2" xfId="41079"/>
    <cellStyle name="CALC Amount Total 2 7 11" xfId="41080"/>
    <cellStyle name="CALC Amount Total 2 7 2" xfId="15721"/>
    <cellStyle name="CALC Amount Total 2 7 2 2" xfId="24037"/>
    <cellStyle name="CALC Amount Total 2 7 2 2 2" xfId="41081"/>
    <cellStyle name="CALC Amount Total 2 7 2 3" xfId="31330"/>
    <cellStyle name="CALC Amount Total 2 7 2 4" xfId="41082"/>
    <cellStyle name="CALC Amount Total 2 7 3" xfId="16687"/>
    <cellStyle name="CALC Amount Total 2 7 3 2" xfId="25008"/>
    <cellStyle name="CALC Amount Total 2 7 3 2 2" xfId="41083"/>
    <cellStyle name="CALC Amount Total 2 7 3 3" xfId="32263"/>
    <cellStyle name="CALC Amount Total 2 7 3 4" xfId="41084"/>
    <cellStyle name="CALC Amount Total 2 7 4" xfId="17711"/>
    <cellStyle name="CALC Amount Total 2 7 4 2" xfId="26034"/>
    <cellStyle name="CALC Amount Total 2 7 4 2 2" xfId="41085"/>
    <cellStyle name="CALC Amount Total 2 7 4 3" xfId="33240"/>
    <cellStyle name="CALC Amount Total 2 7 4 4" xfId="41086"/>
    <cellStyle name="CALC Amount Total 2 7 5" xfId="18694"/>
    <cellStyle name="CALC Amount Total 2 7 5 2" xfId="27015"/>
    <cellStyle name="CALC Amount Total 2 7 5 2 2" xfId="41087"/>
    <cellStyle name="CALC Amount Total 2 7 5 3" xfId="34179"/>
    <cellStyle name="CALC Amount Total 2 7 5 4" xfId="41088"/>
    <cellStyle name="CALC Amount Total 2 7 6" xfId="19663"/>
    <cellStyle name="CALC Amount Total 2 7 6 2" xfId="27984"/>
    <cellStyle name="CALC Amount Total 2 7 6 2 2" xfId="41089"/>
    <cellStyle name="CALC Amount Total 2 7 6 3" xfId="35125"/>
    <cellStyle name="CALC Amount Total 2 7 6 4" xfId="41090"/>
    <cellStyle name="CALC Amount Total 2 7 7" xfId="20620"/>
    <cellStyle name="CALC Amount Total 2 7 7 2" xfId="28941"/>
    <cellStyle name="CALC Amount Total 2 7 7 2 2" xfId="41091"/>
    <cellStyle name="CALC Amount Total 2 7 7 3" xfId="36040"/>
    <cellStyle name="CALC Amount Total 2 7 7 4" xfId="41092"/>
    <cellStyle name="CALC Amount Total 2 7 8" xfId="21318"/>
    <cellStyle name="CALC Amount Total 2 7 8 2" xfId="29624"/>
    <cellStyle name="CALC Amount Total 2 7 8 2 2" xfId="41093"/>
    <cellStyle name="CALC Amount Total 2 7 8 3" xfId="36691"/>
    <cellStyle name="CALC Amount Total 2 7 8 4" xfId="41094"/>
    <cellStyle name="CALC Amount Total 2 7 9" xfId="22057"/>
    <cellStyle name="CALC Amount Total 2 7 9 2" xfId="30355"/>
    <cellStyle name="CALC Amount Total 2 7 9 2 2" xfId="41095"/>
    <cellStyle name="CALC Amount Total 2 7 9 3" xfId="37391"/>
    <cellStyle name="CALC Amount Total 2 7 9 4" xfId="41096"/>
    <cellStyle name="CALC Amount Total 2 8" xfId="14666"/>
    <cellStyle name="CALC Amount Total 2 8 10" xfId="23028"/>
    <cellStyle name="CALC Amount Total 2 8 10 2" xfId="41097"/>
    <cellStyle name="CALC Amount Total 2 8 11" xfId="41098"/>
    <cellStyle name="CALC Amount Total 2 8 2" xfId="15747"/>
    <cellStyle name="CALC Amount Total 2 8 2 2" xfId="24063"/>
    <cellStyle name="CALC Amount Total 2 8 2 2 2" xfId="41099"/>
    <cellStyle name="CALC Amount Total 2 8 2 3" xfId="31355"/>
    <cellStyle name="CALC Amount Total 2 8 2 4" xfId="41100"/>
    <cellStyle name="CALC Amount Total 2 8 3" xfId="16713"/>
    <cellStyle name="CALC Amount Total 2 8 3 2" xfId="25034"/>
    <cellStyle name="CALC Amount Total 2 8 3 2 2" xfId="41101"/>
    <cellStyle name="CALC Amount Total 2 8 3 3" xfId="32288"/>
    <cellStyle name="CALC Amount Total 2 8 3 4" xfId="41102"/>
    <cellStyle name="CALC Amount Total 2 8 4" xfId="17737"/>
    <cellStyle name="CALC Amount Total 2 8 4 2" xfId="26060"/>
    <cellStyle name="CALC Amount Total 2 8 4 2 2" xfId="41103"/>
    <cellStyle name="CALC Amount Total 2 8 4 3" xfId="33265"/>
    <cellStyle name="CALC Amount Total 2 8 4 4" xfId="41104"/>
    <cellStyle name="CALC Amount Total 2 8 5" xfId="18720"/>
    <cellStyle name="CALC Amount Total 2 8 5 2" xfId="27041"/>
    <cellStyle name="CALC Amount Total 2 8 5 2 2" xfId="41105"/>
    <cellStyle name="CALC Amount Total 2 8 5 3" xfId="34204"/>
    <cellStyle name="CALC Amount Total 2 8 5 4" xfId="41106"/>
    <cellStyle name="CALC Amount Total 2 8 6" xfId="19689"/>
    <cellStyle name="CALC Amount Total 2 8 6 2" xfId="28010"/>
    <cellStyle name="CALC Amount Total 2 8 6 2 2" xfId="41107"/>
    <cellStyle name="CALC Amount Total 2 8 6 3" xfId="35150"/>
    <cellStyle name="CALC Amount Total 2 8 6 4" xfId="41108"/>
    <cellStyle name="CALC Amount Total 2 8 7" xfId="20646"/>
    <cellStyle name="CALC Amount Total 2 8 7 2" xfId="28967"/>
    <cellStyle name="CALC Amount Total 2 8 7 2 2" xfId="41109"/>
    <cellStyle name="CALC Amount Total 2 8 7 3" xfId="36065"/>
    <cellStyle name="CALC Amount Total 2 8 7 4" xfId="41110"/>
    <cellStyle name="CALC Amount Total 2 8 8" xfId="21267"/>
    <cellStyle name="CALC Amount Total 2 8 8 2" xfId="29575"/>
    <cellStyle name="CALC Amount Total 2 8 8 2 2" xfId="41111"/>
    <cellStyle name="CALC Amount Total 2 8 8 3" xfId="36642"/>
    <cellStyle name="CALC Amount Total 2 8 8 4" xfId="41112"/>
    <cellStyle name="CALC Amount Total 2 8 9" xfId="22083"/>
    <cellStyle name="CALC Amount Total 2 8 9 2" xfId="30381"/>
    <cellStyle name="CALC Amount Total 2 8 9 2 2" xfId="41113"/>
    <cellStyle name="CALC Amount Total 2 8 9 3" xfId="37416"/>
    <cellStyle name="CALC Amount Total 2 8 9 4" xfId="41114"/>
    <cellStyle name="CALC Amount Total 2 9" xfId="14753"/>
    <cellStyle name="CALC Amount Total 2 9 10" xfId="23117"/>
    <cellStyle name="CALC Amount Total 2 9 10 2" xfId="41115"/>
    <cellStyle name="CALC Amount Total 2 9 11" xfId="41116"/>
    <cellStyle name="CALC Amount Total 2 9 12" xfId="41117"/>
    <cellStyle name="CALC Amount Total 2 9 2" xfId="15834"/>
    <cellStyle name="CALC Amount Total 2 9 2 2" xfId="24152"/>
    <cellStyle name="CALC Amount Total 2 9 2 2 2" xfId="41118"/>
    <cellStyle name="CALC Amount Total 2 9 2 3" xfId="31440"/>
    <cellStyle name="CALC Amount Total 2 9 2 4" xfId="41119"/>
    <cellStyle name="CALC Amount Total 2 9 3" xfId="16800"/>
    <cellStyle name="CALC Amount Total 2 9 3 2" xfId="25124"/>
    <cellStyle name="CALC Amount Total 2 9 3 2 2" xfId="41120"/>
    <cellStyle name="CALC Amount Total 2 9 3 3" xfId="32373"/>
    <cellStyle name="CALC Amount Total 2 9 3 4" xfId="41121"/>
    <cellStyle name="CALC Amount Total 2 9 4" xfId="17826"/>
    <cellStyle name="CALC Amount Total 2 9 4 2" xfId="26150"/>
    <cellStyle name="CALC Amount Total 2 9 4 2 2" xfId="41122"/>
    <cellStyle name="CALC Amount Total 2 9 4 3" xfId="33350"/>
    <cellStyle name="CALC Amount Total 2 9 4 4" xfId="41123"/>
    <cellStyle name="CALC Amount Total 2 9 5" xfId="18810"/>
    <cellStyle name="CALC Amount Total 2 9 5 2" xfId="27131"/>
    <cellStyle name="CALC Amount Total 2 9 5 2 2" xfId="41124"/>
    <cellStyle name="CALC Amount Total 2 9 5 3" xfId="34290"/>
    <cellStyle name="CALC Amount Total 2 9 5 4" xfId="41125"/>
    <cellStyle name="CALC Amount Total 2 9 6" xfId="19778"/>
    <cellStyle name="CALC Amount Total 2 9 6 2" xfId="28100"/>
    <cellStyle name="CALC Amount Total 2 9 6 2 2" xfId="41126"/>
    <cellStyle name="CALC Amount Total 2 9 6 3" xfId="35236"/>
    <cellStyle name="CALC Amount Total 2 9 6 4" xfId="41127"/>
    <cellStyle name="CALC Amount Total 2 9 7" xfId="20736"/>
    <cellStyle name="CALC Amount Total 2 9 7 2" xfId="29057"/>
    <cellStyle name="CALC Amount Total 2 9 7 2 2" xfId="41128"/>
    <cellStyle name="CALC Amount Total 2 9 7 3" xfId="36149"/>
    <cellStyle name="CALC Amount Total 2 9 7 4" xfId="41129"/>
    <cellStyle name="CALC Amount Total 2 9 8" xfId="21090"/>
    <cellStyle name="CALC Amount Total 2 9 8 2" xfId="29407"/>
    <cellStyle name="CALC Amount Total 2 9 8 2 2" xfId="41130"/>
    <cellStyle name="CALC Amount Total 2 9 8 3" xfId="36483"/>
    <cellStyle name="CALC Amount Total 2 9 8 4" xfId="41131"/>
    <cellStyle name="CALC Amount Total 2 9 9" xfId="22172"/>
    <cellStyle name="CALC Amount Total 2 9 9 2" xfId="30470"/>
    <cellStyle name="CALC Amount Total 2 9 9 2 2" xfId="41132"/>
    <cellStyle name="CALC Amount Total 2 9 9 3" xfId="37501"/>
    <cellStyle name="CALC Amount Total 2 9 9 4" xfId="41133"/>
    <cellStyle name="CALC Amount Total 20" xfId="14735"/>
    <cellStyle name="CALC Amount Total 20 10" xfId="23099"/>
    <cellStyle name="CALC Amount Total 20 10 2" xfId="41134"/>
    <cellStyle name="CALC Amount Total 20 11" xfId="41135"/>
    <cellStyle name="CALC Amount Total 20 12" xfId="41136"/>
    <cellStyle name="CALC Amount Total 20 2" xfId="15816"/>
    <cellStyle name="CALC Amount Total 20 2 2" xfId="24134"/>
    <cellStyle name="CALC Amount Total 20 2 2 2" xfId="41137"/>
    <cellStyle name="CALC Amount Total 20 2 3" xfId="31422"/>
    <cellStyle name="CALC Amount Total 20 2 4" xfId="41138"/>
    <cellStyle name="CALC Amount Total 20 3" xfId="16782"/>
    <cellStyle name="CALC Amount Total 20 3 2" xfId="25106"/>
    <cellStyle name="CALC Amount Total 20 3 2 2" xfId="41139"/>
    <cellStyle name="CALC Amount Total 20 3 3" xfId="32355"/>
    <cellStyle name="CALC Amount Total 20 3 4" xfId="41140"/>
    <cellStyle name="CALC Amount Total 20 4" xfId="17808"/>
    <cellStyle name="CALC Amount Total 20 4 2" xfId="26132"/>
    <cellStyle name="CALC Amount Total 20 4 2 2" xfId="41141"/>
    <cellStyle name="CALC Amount Total 20 4 3" xfId="33332"/>
    <cellStyle name="CALC Amount Total 20 4 4" xfId="41142"/>
    <cellStyle name="CALC Amount Total 20 5" xfId="18792"/>
    <cellStyle name="CALC Amount Total 20 5 2" xfId="27113"/>
    <cellStyle name="CALC Amount Total 20 5 2 2" xfId="41143"/>
    <cellStyle name="CALC Amount Total 20 5 3" xfId="34272"/>
    <cellStyle name="CALC Amount Total 20 5 4" xfId="41144"/>
    <cellStyle name="CALC Amount Total 20 6" xfId="19760"/>
    <cellStyle name="CALC Amount Total 20 6 2" xfId="28082"/>
    <cellStyle name="CALC Amount Total 20 6 2 2" xfId="41145"/>
    <cellStyle name="CALC Amount Total 20 6 3" xfId="35218"/>
    <cellStyle name="CALC Amount Total 20 6 4" xfId="41146"/>
    <cellStyle name="CALC Amount Total 20 7" xfId="20718"/>
    <cellStyle name="CALC Amount Total 20 7 2" xfId="29039"/>
    <cellStyle name="CALC Amount Total 20 7 2 2" xfId="41147"/>
    <cellStyle name="CALC Amount Total 20 7 3" xfId="36132"/>
    <cellStyle name="CALC Amount Total 20 7 4" xfId="41148"/>
    <cellStyle name="CALC Amount Total 20 8" xfId="21372"/>
    <cellStyle name="CALC Amount Total 20 8 2" xfId="29675"/>
    <cellStyle name="CALC Amount Total 20 8 2 2" xfId="41149"/>
    <cellStyle name="CALC Amount Total 20 8 3" xfId="36739"/>
    <cellStyle name="CALC Amount Total 20 8 4" xfId="41150"/>
    <cellStyle name="CALC Amount Total 20 9" xfId="22154"/>
    <cellStyle name="CALC Amount Total 20 9 2" xfId="30452"/>
    <cellStyle name="CALC Amount Total 20 9 2 2" xfId="41151"/>
    <cellStyle name="CALC Amount Total 20 9 3" xfId="37483"/>
    <cellStyle name="CALC Amount Total 20 9 4" xfId="41152"/>
    <cellStyle name="CALC Amount Total 21" xfId="14798"/>
    <cellStyle name="CALC Amount Total 21 10" xfId="23162"/>
    <cellStyle name="CALC Amount Total 21 10 2" xfId="41153"/>
    <cellStyle name="CALC Amount Total 21 11" xfId="41154"/>
    <cellStyle name="CALC Amount Total 21 12" xfId="41155"/>
    <cellStyle name="CALC Amount Total 21 2" xfId="15879"/>
    <cellStyle name="CALC Amount Total 21 2 2" xfId="24197"/>
    <cellStyle name="CALC Amount Total 21 2 2 2" xfId="41156"/>
    <cellStyle name="CALC Amount Total 21 2 3" xfId="31483"/>
    <cellStyle name="CALC Amount Total 21 2 4" xfId="41157"/>
    <cellStyle name="CALC Amount Total 21 3" xfId="16845"/>
    <cellStyle name="CALC Amount Total 21 3 2" xfId="25169"/>
    <cellStyle name="CALC Amount Total 21 3 2 2" xfId="41158"/>
    <cellStyle name="CALC Amount Total 21 3 3" xfId="32416"/>
    <cellStyle name="CALC Amount Total 21 3 4" xfId="41159"/>
    <cellStyle name="CALC Amount Total 21 4" xfId="17872"/>
    <cellStyle name="CALC Amount Total 21 4 2" xfId="26195"/>
    <cellStyle name="CALC Amount Total 21 4 2 2" xfId="41160"/>
    <cellStyle name="CALC Amount Total 21 4 3" xfId="33393"/>
    <cellStyle name="CALC Amount Total 21 4 4" xfId="41161"/>
    <cellStyle name="CALC Amount Total 21 5" xfId="18856"/>
    <cellStyle name="CALC Amount Total 21 5 2" xfId="27176"/>
    <cellStyle name="CALC Amount Total 21 5 2 2" xfId="41162"/>
    <cellStyle name="CALC Amount Total 21 5 3" xfId="34333"/>
    <cellStyle name="CALC Amount Total 21 5 4" xfId="41163"/>
    <cellStyle name="CALC Amount Total 21 6" xfId="19824"/>
    <cellStyle name="CALC Amount Total 21 6 2" xfId="28146"/>
    <cellStyle name="CALC Amount Total 21 6 2 2" xfId="41164"/>
    <cellStyle name="CALC Amount Total 21 6 3" xfId="35280"/>
    <cellStyle name="CALC Amount Total 21 6 4" xfId="41165"/>
    <cellStyle name="CALC Amount Total 21 7" xfId="20782"/>
    <cellStyle name="CALC Amount Total 21 7 2" xfId="29102"/>
    <cellStyle name="CALC Amount Total 21 7 2 2" xfId="41166"/>
    <cellStyle name="CALC Amount Total 21 7 3" xfId="36192"/>
    <cellStyle name="CALC Amount Total 21 7 4" xfId="41167"/>
    <cellStyle name="CALC Amount Total 21 8" xfId="21152"/>
    <cellStyle name="CALC Amount Total 21 8 2" xfId="29464"/>
    <cellStyle name="CALC Amount Total 21 8 2 2" xfId="41168"/>
    <cellStyle name="CALC Amount Total 21 8 3" xfId="36536"/>
    <cellStyle name="CALC Amount Total 21 8 4" xfId="41169"/>
    <cellStyle name="CALC Amount Total 21 9" xfId="22218"/>
    <cellStyle name="CALC Amount Total 21 9 2" xfId="30516"/>
    <cellStyle name="CALC Amount Total 21 9 2 2" xfId="41170"/>
    <cellStyle name="CALC Amount Total 21 9 3" xfId="37544"/>
    <cellStyle name="CALC Amount Total 21 9 4" xfId="41171"/>
    <cellStyle name="CALC Amount Total 22" xfId="14748"/>
    <cellStyle name="CALC Amount Total 22 10" xfId="23112"/>
    <cellStyle name="CALC Amount Total 22 10 2" xfId="41172"/>
    <cellStyle name="CALC Amount Total 22 11" xfId="41173"/>
    <cellStyle name="CALC Amount Total 22 12" xfId="41174"/>
    <cellStyle name="CALC Amount Total 22 2" xfId="15829"/>
    <cellStyle name="CALC Amount Total 22 2 2" xfId="24147"/>
    <cellStyle name="CALC Amount Total 22 2 2 2" xfId="41175"/>
    <cellStyle name="CALC Amount Total 22 2 3" xfId="31435"/>
    <cellStyle name="CALC Amount Total 22 2 4" xfId="41176"/>
    <cellStyle name="CALC Amount Total 22 3" xfId="16795"/>
    <cellStyle name="CALC Amount Total 22 3 2" xfId="25119"/>
    <cellStyle name="CALC Amount Total 22 3 2 2" xfId="41177"/>
    <cellStyle name="CALC Amount Total 22 3 3" xfId="32368"/>
    <cellStyle name="CALC Amount Total 22 3 4" xfId="41178"/>
    <cellStyle name="CALC Amount Total 22 4" xfId="17821"/>
    <cellStyle name="CALC Amount Total 22 4 2" xfId="26145"/>
    <cellStyle name="CALC Amount Total 22 4 2 2" xfId="41179"/>
    <cellStyle name="CALC Amount Total 22 4 3" xfId="33345"/>
    <cellStyle name="CALC Amount Total 22 4 4" xfId="41180"/>
    <cellStyle name="CALC Amount Total 22 5" xfId="18805"/>
    <cellStyle name="CALC Amount Total 22 5 2" xfId="27126"/>
    <cellStyle name="CALC Amount Total 22 5 2 2" xfId="41181"/>
    <cellStyle name="CALC Amount Total 22 5 3" xfId="34285"/>
    <cellStyle name="CALC Amount Total 22 5 4" xfId="41182"/>
    <cellStyle name="CALC Amount Total 22 6" xfId="19773"/>
    <cellStyle name="CALC Amount Total 22 6 2" xfId="28095"/>
    <cellStyle name="CALC Amount Total 22 6 2 2" xfId="41183"/>
    <cellStyle name="CALC Amount Total 22 6 3" xfId="35231"/>
    <cellStyle name="CALC Amount Total 22 6 4" xfId="41184"/>
    <cellStyle name="CALC Amount Total 22 7" xfId="20731"/>
    <cellStyle name="CALC Amount Total 22 7 2" xfId="29052"/>
    <cellStyle name="CALC Amount Total 22 7 2 2" xfId="41185"/>
    <cellStyle name="CALC Amount Total 22 7 3" xfId="36144"/>
    <cellStyle name="CALC Amount Total 22 7 4" xfId="41186"/>
    <cellStyle name="CALC Amount Total 22 8" xfId="21130"/>
    <cellStyle name="CALC Amount Total 22 8 2" xfId="29444"/>
    <cellStyle name="CALC Amount Total 22 8 2 2" xfId="41187"/>
    <cellStyle name="CALC Amount Total 22 8 3" xfId="36517"/>
    <cellStyle name="CALC Amount Total 22 8 4" xfId="41188"/>
    <cellStyle name="CALC Amount Total 22 9" xfId="22167"/>
    <cellStyle name="CALC Amount Total 22 9 2" xfId="30465"/>
    <cellStyle name="CALC Amount Total 22 9 2 2" xfId="41189"/>
    <cellStyle name="CALC Amount Total 22 9 3" xfId="37496"/>
    <cellStyle name="CALC Amount Total 22 9 4" xfId="41190"/>
    <cellStyle name="CALC Amount Total 23" xfId="14791"/>
    <cellStyle name="CALC Amount Total 23 10" xfId="23156"/>
    <cellStyle name="CALC Amount Total 23 10 2" xfId="41191"/>
    <cellStyle name="CALC Amount Total 23 11" xfId="41192"/>
    <cellStyle name="CALC Amount Total 23 12" xfId="41193"/>
    <cellStyle name="CALC Amount Total 23 2" xfId="15872"/>
    <cellStyle name="CALC Amount Total 23 2 2" xfId="24191"/>
    <cellStyle name="CALC Amount Total 23 2 2 2" xfId="41194"/>
    <cellStyle name="CALC Amount Total 23 2 3" xfId="31477"/>
    <cellStyle name="CALC Amount Total 23 2 4" xfId="41195"/>
    <cellStyle name="CALC Amount Total 23 3" xfId="16838"/>
    <cellStyle name="CALC Amount Total 23 3 2" xfId="25163"/>
    <cellStyle name="CALC Amount Total 23 3 2 2" xfId="41196"/>
    <cellStyle name="CALC Amount Total 23 3 3" xfId="32410"/>
    <cellStyle name="CALC Amount Total 23 3 4" xfId="41197"/>
    <cellStyle name="CALC Amount Total 23 4" xfId="17865"/>
    <cellStyle name="CALC Amount Total 23 4 2" xfId="26189"/>
    <cellStyle name="CALC Amount Total 23 4 2 2" xfId="41198"/>
    <cellStyle name="CALC Amount Total 23 4 3" xfId="33387"/>
    <cellStyle name="CALC Amount Total 23 4 4" xfId="41199"/>
    <cellStyle name="CALC Amount Total 23 5" xfId="18849"/>
    <cellStyle name="CALC Amount Total 23 5 2" xfId="27170"/>
    <cellStyle name="CALC Amount Total 23 5 2 2" xfId="41200"/>
    <cellStyle name="CALC Amount Total 23 5 3" xfId="34327"/>
    <cellStyle name="CALC Amount Total 23 5 4" xfId="41201"/>
    <cellStyle name="CALC Amount Total 23 6" xfId="19817"/>
    <cellStyle name="CALC Amount Total 23 6 2" xfId="28139"/>
    <cellStyle name="CALC Amount Total 23 6 2 2" xfId="41202"/>
    <cellStyle name="CALC Amount Total 23 6 3" xfId="35273"/>
    <cellStyle name="CALC Amount Total 23 6 4" xfId="41203"/>
    <cellStyle name="CALC Amount Total 23 7" xfId="20775"/>
    <cellStyle name="CALC Amount Total 23 7 2" xfId="29096"/>
    <cellStyle name="CALC Amount Total 23 7 2 2" xfId="41204"/>
    <cellStyle name="CALC Amount Total 23 7 3" xfId="36186"/>
    <cellStyle name="CALC Amount Total 23 7 4" xfId="41205"/>
    <cellStyle name="CALC Amount Total 23 8" xfId="21311"/>
    <cellStyle name="CALC Amount Total 23 8 2" xfId="29617"/>
    <cellStyle name="CALC Amount Total 23 8 2 2" xfId="41206"/>
    <cellStyle name="CALC Amount Total 23 8 3" xfId="36684"/>
    <cellStyle name="CALC Amount Total 23 8 4" xfId="41207"/>
    <cellStyle name="CALC Amount Total 23 9" xfId="22211"/>
    <cellStyle name="CALC Amount Total 23 9 2" xfId="30509"/>
    <cellStyle name="CALC Amount Total 23 9 2 2" xfId="41208"/>
    <cellStyle name="CALC Amount Total 23 9 3" xfId="37538"/>
    <cellStyle name="CALC Amount Total 23 9 4" xfId="41209"/>
    <cellStyle name="CALC Amount Total 24" xfId="14756"/>
    <cellStyle name="CALC Amount Total 24 10" xfId="23120"/>
    <cellStyle name="CALC Amount Total 24 10 2" xfId="41210"/>
    <cellStyle name="CALC Amount Total 24 11" xfId="41211"/>
    <cellStyle name="CALC Amount Total 24 12" xfId="41212"/>
    <cellStyle name="CALC Amount Total 24 2" xfId="15837"/>
    <cellStyle name="CALC Amount Total 24 2 2" xfId="24155"/>
    <cellStyle name="CALC Amount Total 24 2 2 2" xfId="41213"/>
    <cellStyle name="CALC Amount Total 24 2 3" xfId="31443"/>
    <cellStyle name="CALC Amount Total 24 2 4" xfId="41214"/>
    <cellStyle name="CALC Amount Total 24 3" xfId="16803"/>
    <cellStyle name="CALC Amount Total 24 3 2" xfId="25127"/>
    <cellStyle name="CALC Amount Total 24 3 2 2" xfId="41215"/>
    <cellStyle name="CALC Amount Total 24 3 3" xfId="32376"/>
    <cellStyle name="CALC Amount Total 24 3 4" xfId="41216"/>
    <cellStyle name="CALC Amount Total 24 4" xfId="17829"/>
    <cellStyle name="CALC Amount Total 24 4 2" xfId="26153"/>
    <cellStyle name="CALC Amount Total 24 4 2 2" xfId="41217"/>
    <cellStyle name="CALC Amount Total 24 4 3" xfId="33353"/>
    <cellStyle name="CALC Amount Total 24 4 4" xfId="41218"/>
    <cellStyle name="CALC Amount Total 24 5" xfId="18813"/>
    <cellStyle name="CALC Amount Total 24 5 2" xfId="27134"/>
    <cellStyle name="CALC Amount Total 24 5 2 2" xfId="41219"/>
    <cellStyle name="CALC Amount Total 24 5 3" xfId="34293"/>
    <cellStyle name="CALC Amount Total 24 5 4" xfId="41220"/>
    <cellStyle name="CALC Amount Total 24 6" xfId="19781"/>
    <cellStyle name="CALC Amount Total 24 6 2" xfId="28103"/>
    <cellStyle name="CALC Amount Total 24 6 2 2" xfId="41221"/>
    <cellStyle name="CALC Amount Total 24 6 3" xfId="35239"/>
    <cellStyle name="CALC Amount Total 24 6 4" xfId="41222"/>
    <cellStyle name="CALC Amount Total 24 7" xfId="20739"/>
    <cellStyle name="CALC Amount Total 24 7 2" xfId="29060"/>
    <cellStyle name="CALC Amount Total 24 7 2 2" xfId="41223"/>
    <cellStyle name="CALC Amount Total 24 7 3" xfId="36152"/>
    <cellStyle name="CALC Amount Total 24 7 4" xfId="41224"/>
    <cellStyle name="CALC Amount Total 24 8" xfId="15548"/>
    <cellStyle name="CALC Amount Total 24 8 2" xfId="23881"/>
    <cellStyle name="CALC Amount Total 24 8 2 2" xfId="41225"/>
    <cellStyle name="CALC Amount Total 24 8 3" xfId="31225"/>
    <cellStyle name="CALC Amount Total 24 8 4" xfId="41226"/>
    <cellStyle name="CALC Amount Total 24 9" xfId="22175"/>
    <cellStyle name="CALC Amount Total 24 9 2" xfId="30473"/>
    <cellStyle name="CALC Amount Total 24 9 2 2" xfId="41227"/>
    <cellStyle name="CALC Amount Total 24 9 3" xfId="37504"/>
    <cellStyle name="CALC Amount Total 24 9 4" xfId="41228"/>
    <cellStyle name="CALC Amount Total 25" xfId="14807"/>
    <cellStyle name="CALC Amount Total 25 10" xfId="23171"/>
    <cellStyle name="CALC Amount Total 25 10 2" xfId="41229"/>
    <cellStyle name="CALC Amount Total 25 11" xfId="41230"/>
    <cellStyle name="CALC Amount Total 25 12" xfId="41231"/>
    <cellStyle name="CALC Amount Total 25 2" xfId="15888"/>
    <cellStyle name="CALC Amount Total 25 2 2" xfId="24206"/>
    <cellStyle name="CALC Amount Total 25 2 2 2" xfId="41232"/>
    <cellStyle name="CALC Amount Total 25 2 3" xfId="31492"/>
    <cellStyle name="CALC Amount Total 25 2 4" xfId="41233"/>
    <cellStyle name="CALC Amount Total 25 3" xfId="16854"/>
    <cellStyle name="CALC Amount Total 25 3 2" xfId="25178"/>
    <cellStyle name="CALC Amount Total 25 3 2 2" xfId="41234"/>
    <cellStyle name="CALC Amount Total 25 3 3" xfId="32425"/>
    <cellStyle name="CALC Amount Total 25 3 4" xfId="41235"/>
    <cellStyle name="CALC Amount Total 25 4" xfId="17881"/>
    <cellStyle name="CALC Amount Total 25 4 2" xfId="26204"/>
    <cellStyle name="CALC Amount Total 25 4 2 2" xfId="41236"/>
    <cellStyle name="CALC Amount Total 25 4 3" xfId="33402"/>
    <cellStyle name="CALC Amount Total 25 4 4" xfId="41237"/>
    <cellStyle name="CALC Amount Total 25 5" xfId="18865"/>
    <cellStyle name="CALC Amount Total 25 5 2" xfId="27185"/>
    <cellStyle name="CALC Amount Total 25 5 2 2" xfId="41238"/>
    <cellStyle name="CALC Amount Total 25 5 3" xfId="34342"/>
    <cellStyle name="CALC Amount Total 25 5 4" xfId="41239"/>
    <cellStyle name="CALC Amount Total 25 6" xfId="19833"/>
    <cellStyle name="CALC Amount Total 25 6 2" xfId="28155"/>
    <cellStyle name="CALC Amount Total 25 6 2 2" xfId="41240"/>
    <cellStyle name="CALC Amount Total 25 6 3" xfId="35289"/>
    <cellStyle name="CALC Amount Total 25 6 4" xfId="41241"/>
    <cellStyle name="CALC Amount Total 25 7" xfId="20791"/>
    <cellStyle name="CALC Amount Total 25 7 2" xfId="29111"/>
    <cellStyle name="CALC Amount Total 25 7 2 2" xfId="41242"/>
    <cellStyle name="CALC Amount Total 25 7 3" xfId="36200"/>
    <cellStyle name="CALC Amount Total 25 7 4" xfId="41243"/>
    <cellStyle name="CALC Amount Total 25 8" xfId="15560"/>
    <cellStyle name="CALC Amount Total 25 8 2" xfId="23887"/>
    <cellStyle name="CALC Amount Total 25 8 2 2" xfId="41244"/>
    <cellStyle name="CALC Amount Total 25 8 3" xfId="31231"/>
    <cellStyle name="CALC Amount Total 25 8 4" xfId="41245"/>
    <cellStyle name="CALC Amount Total 25 9" xfId="22226"/>
    <cellStyle name="CALC Amount Total 25 9 2" xfId="30525"/>
    <cellStyle name="CALC Amount Total 25 9 2 2" xfId="41246"/>
    <cellStyle name="CALC Amount Total 25 9 3" xfId="37553"/>
    <cellStyle name="CALC Amount Total 25 9 4" xfId="41247"/>
    <cellStyle name="CALC Amount Total 26" xfId="14712"/>
    <cellStyle name="CALC Amount Total 26 10" xfId="23074"/>
    <cellStyle name="CALC Amount Total 26 10 2" xfId="41248"/>
    <cellStyle name="CALC Amount Total 26 11" xfId="41249"/>
    <cellStyle name="CALC Amount Total 26 12" xfId="41250"/>
    <cellStyle name="CALC Amount Total 26 2" xfId="15793"/>
    <cellStyle name="CALC Amount Total 26 2 2" xfId="24109"/>
    <cellStyle name="CALC Amount Total 26 2 2 2" xfId="41251"/>
    <cellStyle name="CALC Amount Total 26 2 3" xfId="31397"/>
    <cellStyle name="CALC Amount Total 26 2 4" xfId="41252"/>
    <cellStyle name="CALC Amount Total 26 3" xfId="16759"/>
    <cellStyle name="CALC Amount Total 26 3 2" xfId="25081"/>
    <cellStyle name="CALC Amount Total 26 3 2 2" xfId="41253"/>
    <cellStyle name="CALC Amount Total 26 3 3" xfId="32330"/>
    <cellStyle name="CALC Amount Total 26 3 4" xfId="41254"/>
    <cellStyle name="CALC Amount Total 26 4" xfId="17783"/>
    <cellStyle name="CALC Amount Total 26 4 2" xfId="26107"/>
    <cellStyle name="CALC Amount Total 26 4 2 2" xfId="41255"/>
    <cellStyle name="CALC Amount Total 26 4 3" xfId="33307"/>
    <cellStyle name="CALC Amount Total 26 4 4" xfId="41256"/>
    <cellStyle name="CALC Amount Total 26 5" xfId="18767"/>
    <cellStyle name="CALC Amount Total 26 5 2" xfId="27088"/>
    <cellStyle name="CALC Amount Total 26 5 2 2" xfId="41257"/>
    <cellStyle name="CALC Amount Total 26 5 3" xfId="34247"/>
    <cellStyle name="CALC Amount Total 26 5 4" xfId="41258"/>
    <cellStyle name="CALC Amount Total 26 6" xfId="19736"/>
    <cellStyle name="CALC Amount Total 26 6 2" xfId="28057"/>
    <cellStyle name="CALC Amount Total 26 6 2 2" xfId="41259"/>
    <cellStyle name="CALC Amount Total 26 6 3" xfId="35193"/>
    <cellStyle name="CALC Amount Total 26 6 4" xfId="41260"/>
    <cellStyle name="CALC Amount Total 26 7" xfId="20693"/>
    <cellStyle name="CALC Amount Total 26 7 2" xfId="29014"/>
    <cellStyle name="CALC Amount Total 26 7 2 2" xfId="41261"/>
    <cellStyle name="CALC Amount Total 26 7 3" xfId="36107"/>
    <cellStyle name="CALC Amount Total 26 7 4" xfId="41262"/>
    <cellStyle name="CALC Amount Total 26 8" xfId="21352"/>
    <cellStyle name="CALC Amount Total 26 8 2" xfId="29655"/>
    <cellStyle name="CALC Amount Total 26 8 2 2" xfId="41263"/>
    <cellStyle name="CALC Amount Total 26 8 3" xfId="36720"/>
    <cellStyle name="CALC Amount Total 26 8 4" xfId="41264"/>
    <cellStyle name="CALC Amount Total 26 9" xfId="22129"/>
    <cellStyle name="CALC Amount Total 26 9 2" xfId="30427"/>
    <cellStyle name="CALC Amount Total 26 9 2 2" xfId="41265"/>
    <cellStyle name="CALC Amount Total 26 9 3" xfId="37458"/>
    <cellStyle name="CALC Amount Total 26 9 4" xfId="41266"/>
    <cellStyle name="CALC Amount Total 27" xfId="14784"/>
    <cellStyle name="CALC Amount Total 27 10" xfId="23149"/>
    <cellStyle name="CALC Amount Total 27 10 2" xfId="41267"/>
    <cellStyle name="CALC Amount Total 27 11" xfId="41268"/>
    <cellStyle name="CALC Amount Total 27 12" xfId="41269"/>
    <cellStyle name="CALC Amount Total 27 2" xfId="15865"/>
    <cellStyle name="CALC Amount Total 27 2 2" xfId="24184"/>
    <cellStyle name="CALC Amount Total 27 2 2 2" xfId="41270"/>
    <cellStyle name="CALC Amount Total 27 2 3" xfId="31471"/>
    <cellStyle name="CALC Amount Total 27 2 4" xfId="41271"/>
    <cellStyle name="CALC Amount Total 27 3" xfId="16831"/>
    <cellStyle name="CALC Amount Total 27 3 2" xfId="25156"/>
    <cellStyle name="CALC Amount Total 27 3 2 2" xfId="41272"/>
    <cellStyle name="CALC Amount Total 27 3 3" xfId="32404"/>
    <cellStyle name="CALC Amount Total 27 3 4" xfId="41273"/>
    <cellStyle name="CALC Amount Total 27 4" xfId="17858"/>
    <cellStyle name="CALC Amount Total 27 4 2" xfId="26182"/>
    <cellStyle name="CALC Amount Total 27 4 2 2" xfId="41274"/>
    <cellStyle name="CALC Amount Total 27 4 3" xfId="33381"/>
    <cellStyle name="CALC Amount Total 27 4 4" xfId="41275"/>
    <cellStyle name="CALC Amount Total 27 5" xfId="18842"/>
    <cellStyle name="CALC Amount Total 27 5 2" xfId="27163"/>
    <cellStyle name="CALC Amount Total 27 5 2 2" xfId="41276"/>
    <cellStyle name="CALC Amount Total 27 5 3" xfId="34321"/>
    <cellStyle name="CALC Amount Total 27 5 4" xfId="41277"/>
    <cellStyle name="CALC Amount Total 27 6" xfId="19810"/>
    <cellStyle name="CALC Amount Total 27 6 2" xfId="28132"/>
    <cellStyle name="CALC Amount Total 27 6 2 2" xfId="41278"/>
    <cellStyle name="CALC Amount Total 27 6 3" xfId="35267"/>
    <cellStyle name="CALC Amount Total 27 6 4" xfId="41279"/>
    <cellStyle name="CALC Amount Total 27 7" xfId="20768"/>
    <cellStyle name="CALC Amount Total 27 7 2" xfId="29089"/>
    <cellStyle name="CALC Amount Total 27 7 2 2" xfId="41280"/>
    <cellStyle name="CALC Amount Total 27 7 3" xfId="36180"/>
    <cellStyle name="CALC Amount Total 27 7 4" xfId="41281"/>
    <cellStyle name="CALC Amount Total 27 8" xfId="21093"/>
    <cellStyle name="CALC Amount Total 27 8 2" xfId="29410"/>
    <cellStyle name="CALC Amount Total 27 8 2 2" xfId="41282"/>
    <cellStyle name="CALC Amount Total 27 8 3" xfId="36485"/>
    <cellStyle name="CALC Amount Total 27 8 4" xfId="41283"/>
    <cellStyle name="CALC Amount Total 27 9" xfId="22204"/>
    <cellStyle name="CALC Amount Total 27 9 2" xfId="30502"/>
    <cellStyle name="CALC Amount Total 27 9 2 2" xfId="41284"/>
    <cellStyle name="CALC Amount Total 27 9 3" xfId="37532"/>
    <cellStyle name="CALC Amount Total 27 9 4" xfId="41285"/>
    <cellStyle name="CALC Amount Total 28" xfId="14810"/>
    <cellStyle name="CALC Amount Total 28 10" xfId="23174"/>
    <cellStyle name="CALC Amount Total 28 10 2" xfId="41286"/>
    <cellStyle name="CALC Amount Total 28 11" xfId="41287"/>
    <cellStyle name="CALC Amount Total 28 12" xfId="41288"/>
    <cellStyle name="CALC Amount Total 28 2" xfId="15891"/>
    <cellStyle name="CALC Amount Total 28 2 2" xfId="24209"/>
    <cellStyle name="CALC Amount Total 28 2 2 2" xfId="41289"/>
    <cellStyle name="CALC Amount Total 28 2 3" xfId="31495"/>
    <cellStyle name="CALC Amount Total 28 2 4" xfId="41290"/>
    <cellStyle name="CALC Amount Total 28 3" xfId="16857"/>
    <cellStyle name="CALC Amount Total 28 3 2" xfId="25181"/>
    <cellStyle name="CALC Amount Total 28 3 2 2" xfId="41291"/>
    <cellStyle name="CALC Amount Total 28 3 3" xfId="32428"/>
    <cellStyle name="CALC Amount Total 28 3 4" xfId="41292"/>
    <cellStyle name="CALC Amount Total 28 4" xfId="17884"/>
    <cellStyle name="CALC Amount Total 28 4 2" xfId="26207"/>
    <cellStyle name="CALC Amount Total 28 4 2 2" xfId="41293"/>
    <cellStyle name="CALC Amount Total 28 4 3" xfId="33405"/>
    <cellStyle name="CALC Amount Total 28 4 4" xfId="41294"/>
    <cellStyle name="CALC Amount Total 28 5" xfId="18868"/>
    <cellStyle name="CALC Amount Total 28 5 2" xfId="27188"/>
    <cellStyle name="CALC Amount Total 28 5 2 2" xfId="41295"/>
    <cellStyle name="CALC Amount Total 28 5 3" xfId="34345"/>
    <cellStyle name="CALC Amount Total 28 5 4" xfId="41296"/>
    <cellStyle name="CALC Amount Total 28 6" xfId="19836"/>
    <cellStyle name="CALC Amount Total 28 6 2" xfId="28158"/>
    <cellStyle name="CALC Amount Total 28 6 2 2" xfId="41297"/>
    <cellStyle name="CALC Amount Total 28 6 3" xfId="35292"/>
    <cellStyle name="CALC Amount Total 28 6 4" xfId="41298"/>
    <cellStyle name="CALC Amount Total 28 7" xfId="20794"/>
    <cellStyle name="CALC Amount Total 28 7 2" xfId="29114"/>
    <cellStyle name="CALC Amount Total 28 7 2 2" xfId="41299"/>
    <cellStyle name="CALC Amount Total 28 7 3" xfId="36203"/>
    <cellStyle name="CALC Amount Total 28 7 4" xfId="41300"/>
    <cellStyle name="CALC Amount Total 28 8" xfId="21338"/>
    <cellStyle name="CALC Amount Total 28 8 2" xfId="29642"/>
    <cellStyle name="CALC Amount Total 28 8 2 2" xfId="41301"/>
    <cellStyle name="CALC Amount Total 28 8 3" xfId="36708"/>
    <cellStyle name="CALC Amount Total 28 8 4" xfId="41302"/>
    <cellStyle name="CALC Amount Total 28 9" xfId="22229"/>
    <cellStyle name="CALC Amount Total 28 9 2" xfId="30528"/>
    <cellStyle name="CALC Amount Total 28 9 2 2" xfId="41303"/>
    <cellStyle name="CALC Amount Total 28 9 3" xfId="37556"/>
    <cellStyle name="CALC Amount Total 28 9 4" xfId="41304"/>
    <cellStyle name="CALC Amount Total 29" xfId="14766"/>
    <cellStyle name="CALC Amount Total 29 10" xfId="23130"/>
    <cellStyle name="CALC Amount Total 29 10 2" xfId="41305"/>
    <cellStyle name="CALC Amount Total 29 11" xfId="41306"/>
    <cellStyle name="CALC Amount Total 29 12" xfId="41307"/>
    <cellStyle name="CALC Amount Total 29 2" xfId="15847"/>
    <cellStyle name="CALC Amount Total 29 2 2" xfId="24165"/>
    <cellStyle name="CALC Amount Total 29 2 2 2" xfId="41308"/>
    <cellStyle name="CALC Amount Total 29 2 3" xfId="31453"/>
    <cellStyle name="CALC Amount Total 29 2 4" xfId="41309"/>
    <cellStyle name="CALC Amount Total 29 3" xfId="16813"/>
    <cellStyle name="CALC Amount Total 29 3 2" xfId="25137"/>
    <cellStyle name="CALC Amount Total 29 3 2 2" xfId="41310"/>
    <cellStyle name="CALC Amount Total 29 3 3" xfId="32386"/>
    <cellStyle name="CALC Amount Total 29 3 4" xfId="41311"/>
    <cellStyle name="CALC Amount Total 29 4" xfId="17839"/>
    <cellStyle name="CALC Amount Total 29 4 2" xfId="26163"/>
    <cellStyle name="CALC Amount Total 29 4 2 2" xfId="41312"/>
    <cellStyle name="CALC Amount Total 29 4 3" xfId="33363"/>
    <cellStyle name="CALC Amount Total 29 4 4" xfId="41313"/>
    <cellStyle name="CALC Amount Total 29 5" xfId="18823"/>
    <cellStyle name="CALC Amount Total 29 5 2" xfId="27144"/>
    <cellStyle name="CALC Amount Total 29 5 2 2" xfId="41314"/>
    <cellStyle name="CALC Amount Total 29 5 3" xfId="34303"/>
    <cellStyle name="CALC Amount Total 29 5 4" xfId="41315"/>
    <cellStyle name="CALC Amount Total 29 6" xfId="19791"/>
    <cellStyle name="CALC Amount Total 29 6 2" xfId="28113"/>
    <cellStyle name="CALC Amount Total 29 6 2 2" xfId="41316"/>
    <cellStyle name="CALC Amount Total 29 6 3" xfId="35249"/>
    <cellStyle name="CALC Amount Total 29 6 4" xfId="41317"/>
    <cellStyle name="CALC Amount Total 29 7" xfId="20749"/>
    <cellStyle name="CALC Amount Total 29 7 2" xfId="29070"/>
    <cellStyle name="CALC Amount Total 29 7 2 2" xfId="41318"/>
    <cellStyle name="CALC Amount Total 29 7 3" xfId="36162"/>
    <cellStyle name="CALC Amount Total 29 7 4" xfId="41319"/>
    <cellStyle name="CALC Amount Total 29 8" xfId="21278"/>
    <cellStyle name="CALC Amount Total 29 8 2" xfId="29586"/>
    <cellStyle name="CALC Amount Total 29 8 2 2" xfId="41320"/>
    <cellStyle name="CALC Amount Total 29 8 3" xfId="36653"/>
    <cellStyle name="CALC Amount Total 29 8 4" xfId="41321"/>
    <cellStyle name="CALC Amount Total 29 9" xfId="22185"/>
    <cellStyle name="CALC Amount Total 29 9 2" xfId="30483"/>
    <cellStyle name="CALC Amount Total 29 9 2 2" xfId="41322"/>
    <cellStyle name="CALC Amount Total 29 9 3" xfId="37514"/>
    <cellStyle name="CALC Amount Total 29 9 4" xfId="41323"/>
    <cellStyle name="CALC Amount Total 3" xfId="14529"/>
    <cellStyle name="CALC Amount Total 3 2" xfId="15605"/>
    <cellStyle name="CALC Amount Total 3 2 2" xfId="23919"/>
    <cellStyle name="CALC Amount Total 3 2 2 2" xfId="41324"/>
    <cellStyle name="CALC Amount Total 3 2 3" xfId="41325"/>
    <cellStyle name="CALC Amount Total 3 2 4" xfId="41326"/>
    <cellStyle name="CALC Amount Total 3 3" xfId="16574"/>
    <cellStyle name="CALC Amount Total 3 3 2" xfId="24890"/>
    <cellStyle name="CALC Amount Total 3 3 2 2" xfId="41327"/>
    <cellStyle name="CALC Amount Total 3 3 3" xfId="32150"/>
    <cellStyle name="CALC Amount Total 3 3 4" xfId="41328"/>
    <cellStyle name="CALC Amount Total 3 4" xfId="17592"/>
    <cellStyle name="CALC Amount Total 3 4 2" xfId="25914"/>
    <cellStyle name="CALC Amount Total 3 4 2 2" xfId="41329"/>
    <cellStyle name="CALC Amount Total 3 4 3" xfId="33127"/>
    <cellStyle name="CALC Amount Total 3 4 4" xfId="41330"/>
    <cellStyle name="CALC Amount Total 3 5" xfId="18573"/>
    <cellStyle name="CALC Amount Total 3 5 2" xfId="26892"/>
    <cellStyle name="CALC Amount Total 3 5 2 2" xfId="41331"/>
    <cellStyle name="CALC Amount Total 3 5 3" xfId="34061"/>
    <cellStyle name="CALC Amount Total 3 5 4" xfId="41332"/>
    <cellStyle name="CALC Amount Total 3 6" xfId="17546"/>
    <cellStyle name="CALC Amount Total 3 6 2" xfId="25865"/>
    <cellStyle name="CALC Amount Total 3 6 2 2" xfId="41333"/>
    <cellStyle name="CALC Amount Total 3 6 3" xfId="33082"/>
    <cellStyle name="CALC Amount Total 3 6 4" xfId="41334"/>
    <cellStyle name="CALC Amount Total 3 7" xfId="19469"/>
    <cellStyle name="CALC Amount Total 3 7 2" xfId="27790"/>
    <cellStyle name="CALC Amount Total 3 7 2 2" xfId="41335"/>
    <cellStyle name="CALC Amount Total 3 7 3" xfId="34938"/>
    <cellStyle name="CALC Amount Total 3 7 4" xfId="41336"/>
    <cellStyle name="CALC Amount Total 3 8" xfId="14423"/>
    <cellStyle name="CALC Amount Total 3 8 2" xfId="41337"/>
    <cellStyle name="CALC Amount Total 30" xfId="14817"/>
    <cellStyle name="CALC Amount Total 30 10" xfId="23181"/>
    <cellStyle name="CALC Amount Total 30 10 2" xfId="41338"/>
    <cellStyle name="CALC Amount Total 30 11" xfId="41339"/>
    <cellStyle name="CALC Amount Total 30 12" xfId="41340"/>
    <cellStyle name="CALC Amount Total 30 2" xfId="15898"/>
    <cellStyle name="CALC Amount Total 30 2 2" xfId="24216"/>
    <cellStyle name="CALC Amount Total 30 2 2 2" xfId="41341"/>
    <cellStyle name="CALC Amount Total 30 2 3" xfId="31502"/>
    <cellStyle name="CALC Amount Total 30 2 4" xfId="41342"/>
    <cellStyle name="CALC Amount Total 30 3" xfId="16864"/>
    <cellStyle name="CALC Amount Total 30 3 2" xfId="25188"/>
    <cellStyle name="CALC Amount Total 30 3 2 2" xfId="41343"/>
    <cellStyle name="CALC Amount Total 30 3 3" xfId="32435"/>
    <cellStyle name="CALC Amount Total 30 3 4" xfId="41344"/>
    <cellStyle name="CALC Amount Total 30 4" xfId="17891"/>
    <cellStyle name="CALC Amount Total 30 4 2" xfId="26214"/>
    <cellStyle name="CALC Amount Total 30 4 2 2" xfId="41345"/>
    <cellStyle name="CALC Amount Total 30 4 3" xfId="33412"/>
    <cellStyle name="CALC Amount Total 30 4 4" xfId="41346"/>
    <cellStyle name="CALC Amount Total 30 5" xfId="18875"/>
    <cellStyle name="CALC Amount Total 30 5 2" xfId="27195"/>
    <cellStyle name="CALC Amount Total 30 5 2 2" xfId="41347"/>
    <cellStyle name="CALC Amount Total 30 5 3" xfId="34352"/>
    <cellStyle name="CALC Amount Total 30 5 4" xfId="41348"/>
    <cellStyle name="CALC Amount Total 30 6" xfId="19843"/>
    <cellStyle name="CALC Amount Total 30 6 2" xfId="28165"/>
    <cellStyle name="CALC Amount Total 30 6 2 2" xfId="41349"/>
    <cellStyle name="CALC Amount Total 30 6 3" xfId="35299"/>
    <cellStyle name="CALC Amount Total 30 6 4" xfId="41350"/>
    <cellStyle name="CALC Amount Total 30 7" xfId="20801"/>
    <cellStyle name="CALC Amount Total 30 7 2" xfId="29121"/>
    <cellStyle name="CALC Amount Total 30 7 2 2" xfId="41351"/>
    <cellStyle name="CALC Amount Total 30 7 3" xfId="36210"/>
    <cellStyle name="CALC Amount Total 30 7 4" xfId="41352"/>
    <cellStyle name="CALC Amount Total 30 8" xfId="21202"/>
    <cellStyle name="CALC Amount Total 30 8 2" xfId="29514"/>
    <cellStyle name="CALC Amount Total 30 8 2 2" xfId="41353"/>
    <cellStyle name="CALC Amount Total 30 8 3" xfId="36584"/>
    <cellStyle name="CALC Amount Total 30 8 4" xfId="41354"/>
    <cellStyle name="CALC Amount Total 30 9" xfId="22236"/>
    <cellStyle name="CALC Amount Total 30 9 2" xfId="30535"/>
    <cellStyle name="CALC Amount Total 30 9 2 2" xfId="41355"/>
    <cellStyle name="CALC Amount Total 30 9 3" xfId="37563"/>
    <cellStyle name="CALC Amount Total 30 9 4" xfId="41356"/>
    <cellStyle name="CALC Amount Total 31" xfId="14776"/>
    <cellStyle name="CALC Amount Total 31 10" xfId="23140"/>
    <cellStyle name="CALC Amount Total 31 10 2" xfId="41357"/>
    <cellStyle name="CALC Amount Total 31 11" xfId="41358"/>
    <cellStyle name="CALC Amount Total 31 12" xfId="41359"/>
    <cellStyle name="CALC Amount Total 31 2" xfId="15857"/>
    <cellStyle name="CALC Amount Total 31 2 2" xfId="24175"/>
    <cellStyle name="CALC Amount Total 31 2 2 2" xfId="41360"/>
    <cellStyle name="CALC Amount Total 31 2 3" xfId="31463"/>
    <cellStyle name="CALC Amount Total 31 2 4" xfId="41361"/>
    <cellStyle name="CALC Amount Total 31 3" xfId="16823"/>
    <cellStyle name="CALC Amount Total 31 3 2" xfId="25147"/>
    <cellStyle name="CALC Amount Total 31 3 2 2" xfId="41362"/>
    <cellStyle name="CALC Amount Total 31 3 3" xfId="32396"/>
    <cellStyle name="CALC Amount Total 31 3 4" xfId="41363"/>
    <cellStyle name="CALC Amount Total 31 4" xfId="17849"/>
    <cellStyle name="CALC Amount Total 31 4 2" xfId="26173"/>
    <cellStyle name="CALC Amount Total 31 4 2 2" xfId="41364"/>
    <cellStyle name="CALC Amount Total 31 4 3" xfId="33373"/>
    <cellStyle name="CALC Amount Total 31 4 4" xfId="41365"/>
    <cellStyle name="CALC Amount Total 31 5" xfId="18833"/>
    <cellStyle name="CALC Amount Total 31 5 2" xfId="27154"/>
    <cellStyle name="CALC Amount Total 31 5 2 2" xfId="41366"/>
    <cellStyle name="CALC Amount Total 31 5 3" xfId="34313"/>
    <cellStyle name="CALC Amount Total 31 5 4" xfId="41367"/>
    <cellStyle name="CALC Amount Total 31 6" xfId="19801"/>
    <cellStyle name="CALC Amount Total 31 6 2" xfId="28123"/>
    <cellStyle name="CALC Amount Total 31 6 2 2" xfId="41368"/>
    <cellStyle name="CALC Amount Total 31 6 3" xfId="35259"/>
    <cellStyle name="CALC Amount Total 31 6 4" xfId="41369"/>
    <cellStyle name="CALC Amount Total 31 7" xfId="20759"/>
    <cellStyle name="CALC Amount Total 31 7 2" xfId="29080"/>
    <cellStyle name="CALC Amount Total 31 7 2 2" xfId="41370"/>
    <cellStyle name="CALC Amount Total 31 7 3" xfId="36172"/>
    <cellStyle name="CALC Amount Total 31 7 4" xfId="41371"/>
    <cellStyle name="CALC Amount Total 31 8" xfId="21194"/>
    <cellStyle name="CALC Amount Total 31 8 2" xfId="29506"/>
    <cellStyle name="CALC Amount Total 31 8 2 2" xfId="41372"/>
    <cellStyle name="CALC Amount Total 31 8 3" xfId="36577"/>
    <cellStyle name="CALC Amount Total 31 8 4" xfId="41373"/>
    <cellStyle name="CALC Amount Total 31 9" xfId="22195"/>
    <cellStyle name="CALC Amount Total 31 9 2" xfId="30493"/>
    <cellStyle name="CALC Amount Total 31 9 2 2" xfId="41374"/>
    <cellStyle name="CALC Amount Total 31 9 3" xfId="37524"/>
    <cellStyle name="CALC Amount Total 31 9 4" xfId="41375"/>
    <cellStyle name="CALC Amount Total 32" xfId="14841"/>
    <cellStyle name="CALC Amount Total 32 10" xfId="23204"/>
    <cellStyle name="CALC Amount Total 32 10 2" xfId="41376"/>
    <cellStyle name="CALC Amount Total 32 11" xfId="41377"/>
    <cellStyle name="CALC Amount Total 32 12" xfId="41378"/>
    <cellStyle name="CALC Amount Total 32 2" xfId="15922"/>
    <cellStyle name="CALC Amount Total 32 2 2" xfId="24239"/>
    <cellStyle name="CALC Amount Total 32 2 2 2" xfId="41379"/>
    <cellStyle name="CALC Amount Total 32 2 3" xfId="31523"/>
    <cellStyle name="CALC Amount Total 32 2 4" xfId="41380"/>
    <cellStyle name="CALC Amount Total 32 3" xfId="16888"/>
    <cellStyle name="CALC Amount Total 32 3 2" xfId="25211"/>
    <cellStyle name="CALC Amount Total 32 3 2 2" xfId="41381"/>
    <cellStyle name="CALC Amount Total 32 3 3" xfId="32456"/>
    <cellStyle name="CALC Amount Total 32 3 4" xfId="41382"/>
    <cellStyle name="CALC Amount Total 32 4" xfId="17915"/>
    <cellStyle name="CALC Amount Total 32 4 2" xfId="26237"/>
    <cellStyle name="CALC Amount Total 32 4 2 2" xfId="41383"/>
    <cellStyle name="CALC Amount Total 32 4 3" xfId="33433"/>
    <cellStyle name="CALC Amount Total 32 4 4" xfId="41384"/>
    <cellStyle name="CALC Amount Total 32 5" xfId="18899"/>
    <cellStyle name="CALC Amount Total 32 5 2" xfId="27219"/>
    <cellStyle name="CALC Amount Total 32 5 2 2" xfId="41385"/>
    <cellStyle name="CALC Amount Total 32 5 3" xfId="34374"/>
    <cellStyle name="CALC Amount Total 32 5 4" xfId="41386"/>
    <cellStyle name="CALC Amount Total 32 6" xfId="19867"/>
    <cellStyle name="CALC Amount Total 32 6 2" xfId="28189"/>
    <cellStyle name="CALC Amount Total 32 6 2 2" xfId="41387"/>
    <cellStyle name="CALC Amount Total 32 6 3" xfId="35321"/>
    <cellStyle name="CALC Amount Total 32 6 4" xfId="41388"/>
    <cellStyle name="CALC Amount Total 32 7" xfId="20825"/>
    <cellStyle name="CALC Amount Total 32 7 2" xfId="29144"/>
    <cellStyle name="CALC Amount Total 32 7 2 2" xfId="41389"/>
    <cellStyle name="CALC Amount Total 32 7 3" xfId="36231"/>
    <cellStyle name="CALC Amount Total 32 7 4" xfId="41390"/>
    <cellStyle name="CALC Amount Total 32 8" xfId="21215"/>
    <cellStyle name="CALC Amount Total 32 8 2" xfId="29526"/>
    <cellStyle name="CALC Amount Total 32 8 2 2" xfId="41391"/>
    <cellStyle name="CALC Amount Total 32 8 3" xfId="36595"/>
    <cellStyle name="CALC Amount Total 32 8 4" xfId="41392"/>
    <cellStyle name="CALC Amount Total 32 9" xfId="22260"/>
    <cellStyle name="CALC Amount Total 32 9 2" xfId="30558"/>
    <cellStyle name="CALC Amount Total 32 9 2 2" xfId="41393"/>
    <cellStyle name="CALC Amount Total 32 9 3" xfId="37584"/>
    <cellStyle name="CALC Amount Total 32 9 4" xfId="41394"/>
    <cellStyle name="CALC Amount Total 33" xfId="14859"/>
    <cellStyle name="CALC Amount Total 33 10" xfId="23222"/>
    <cellStyle name="CALC Amount Total 33 10 2" xfId="41395"/>
    <cellStyle name="CALC Amount Total 33 11" xfId="41396"/>
    <cellStyle name="CALC Amount Total 33 12" xfId="41397"/>
    <cellStyle name="CALC Amount Total 33 2" xfId="15940"/>
    <cellStyle name="CALC Amount Total 33 2 2" xfId="24257"/>
    <cellStyle name="CALC Amount Total 33 2 2 2" xfId="41398"/>
    <cellStyle name="CALC Amount Total 33 2 3" xfId="31541"/>
    <cellStyle name="CALC Amount Total 33 2 4" xfId="41399"/>
    <cellStyle name="CALC Amount Total 33 3" xfId="16906"/>
    <cellStyle name="CALC Amount Total 33 3 2" xfId="25229"/>
    <cellStyle name="CALC Amount Total 33 3 2 2" xfId="41400"/>
    <cellStyle name="CALC Amount Total 33 3 3" xfId="32474"/>
    <cellStyle name="CALC Amount Total 33 3 4" xfId="41401"/>
    <cellStyle name="CALC Amount Total 33 4" xfId="17933"/>
    <cellStyle name="CALC Amount Total 33 4 2" xfId="26255"/>
    <cellStyle name="CALC Amount Total 33 4 2 2" xfId="41402"/>
    <cellStyle name="CALC Amount Total 33 4 3" xfId="33451"/>
    <cellStyle name="CALC Amount Total 33 4 4" xfId="41403"/>
    <cellStyle name="CALC Amount Total 33 5" xfId="18917"/>
    <cellStyle name="CALC Amount Total 33 5 2" xfId="27237"/>
    <cellStyle name="CALC Amount Total 33 5 2 2" xfId="41404"/>
    <cellStyle name="CALC Amount Total 33 5 3" xfId="34392"/>
    <cellStyle name="CALC Amount Total 33 5 4" xfId="41405"/>
    <cellStyle name="CALC Amount Total 33 6" xfId="19885"/>
    <cellStyle name="CALC Amount Total 33 6 2" xfId="28207"/>
    <cellStyle name="CALC Amount Total 33 6 2 2" xfId="41406"/>
    <cellStyle name="CALC Amount Total 33 6 3" xfId="35339"/>
    <cellStyle name="CALC Amount Total 33 6 4" xfId="41407"/>
    <cellStyle name="CALC Amount Total 33 7" xfId="20843"/>
    <cellStyle name="CALC Amount Total 33 7 2" xfId="29162"/>
    <cellStyle name="CALC Amount Total 33 7 2 2" xfId="41408"/>
    <cellStyle name="CALC Amount Total 33 7 3" xfId="36249"/>
    <cellStyle name="CALC Amount Total 33 7 4" xfId="41409"/>
    <cellStyle name="CALC Amount Total 33 8" xfId="15569"/>
    <cellStyle name="CALC Amount Total 33 8 2" xfId="23895"/>
    <cellStyle name="CALC Amount Total 33 8 2 2" xfId="41410"/>
    <cellStyle name="CALC Amount Total 33 8 3" xfId="31239"/>
    <cellStyle name="CALC Amount Total 33 8 4" xfId="41411"/>
    <cellStyle name="CALC Amount Total 33 9" xfId="22278"/>
    <cellStyle name="CALC Amount Total 33 9 2" xfId="30576"/>
    <cellStyle name="CALC Amount Total 33 9 2 2" xfId="41412"/>
    <cellStyle name="CALC Amount Total 33 9 3" xfId="37602"/>
    <cellStyle name="CALC Amount Total 33 9 4" xfId="41413"/>
    <cellStyle name="CALC Amount Total 34" xfId="14855"/>
    <cellStyle name="CALC Amount Total 34 10" xfId="23218"/>
    <cellStyle name="CALC Amount Total 34 10 2" xfId="41414"/>
    <cellStyle name="CALC Amount Total 34 11" xfId="41415"/>
    <cellStyle name="CALC Amount Total 34 12" xfId="41416"/>
    <cellStyle name="CALC Amount Total 34 2" xfId="15936"/>
    <cellStyle name="CALC Amount Total 34 2 2" xfId="24253"/>
    <cellStyle name="CALC Amount Total 34 2 2 2" xfId="41417"/>
    <cellStyle name="CALC Amount Total 34 2 3" xfId="31537"/>
    <cellStyle name="CALC Amount Total 34 2 4" xfId="41418"/>
    <cellStyle name="CALC Amount Total 34 3" xfId="16902"/>
    <cellStyle name="CALC Amount Total 34 3 2" xfId="25225"/>
    <cellStyle name="CALC Amount Total 34 3 2 2" xfId="41419"/>
    <cellStyle name="CALC Amount Total 34 3 3" xfId="32470"/>
    <cellStyle name="CALC Amount Total 34 3 4" xfId="41420"/>
    <cellStyle name="CALC Amount Total 34 4" xfId="17929"/>
    <cellStyle name="CALC Amount Total 34 4 2" xfId="26251"/>
    <cellStyle name="CALC Amount Total 34 4 2 2" xfId="41421"/>
    <cellStyle name="CALC Amount Total 34 4 3" xfId="33447"/>
    <cellStyle name="CALC Amount Total 34 4 4" xfId="41422"/>
    <cellStyle name="CALC Amount Total 34 5" xfId="18913"/>
    <cellStyle name="CALC Amount Total 34 5 2" xfId="27233"/>
    <cellStyle name="CALC Amount Total 34 5 2 2" xfId="41423"/>
    <cellStyle name="CALC Amount Total 34 5 3" xfId="34388"/>
    <cellStyle name="CALC Amount Total 34 5 4" xfId="41424"/>
    <cellStyle name="CALC Amount Total 34 6" xfId="19881"/>
    <cellStyle name="CALC Amount Total 34 6 2" xfId="28203"/>
    <cellStyle name="CALC Amount Total 34 6 2 2" xfId="41425"/>
    <cellStyle name="CALC Amount Total 34 6 3" xfId="35335"/>
    <cellStyle name="CALC Amount Total 34 6 4" xfId="41426"/>
    <cellStyle name="CALC Amount Total 34 7" xfId="20839"/>
    <cellStyle name="CALC Amount Total 34 7 2" xfId="29158"/>
    <cellStyle name="CALC Amount Total 34 7 2 2" xfId="41427"/>
    <cellStyle name="CALC Amount Total 34 7 3" xfId="36245"/>
    <cellStyle name="CALC Amount Total 34 7 4" xfId="41428"/>
    <cellStyle name="CALC Amount Total 34 8" xfId="19980"/>
    <cellStyle name="CALC Amount Total 34 8 2" xfId="28302"/>
    <cellStyle name="CALC Amount Total 34 8 2 2" xfId="41429"/>
    <cellStyle name="CALC Amount Total 34 8 3" xfId="35430"/>
    <cellStyle name="CALC Amount Total 34 8 4" xfId="41430"/>
    <cellStyle name="CALC Amount Total 34 9" xfId="22274"/>
    <cellStyle name="CALC Amount Total 34 9 2" xfId="30572"/>
    <cellStyle name="CALC Amount Total 34 9 2 2" xfId="41431"/>
    <cellStyle name="CALC Amount Total 34 9 3" xfId="37598"/>
    <cellStyle name="CALC Amount Total 34 9 4" xfId="41432"/>
    <cellStyle name="CALC Amount Total 35" xfId="14761"/>
    <cellStyle name="CALC Amount Total 35 10" xfId="23125"/>
    <cellStyle name="CALC Amount Total 35 10 2" xfId="41433"/>
    <cellStyle name="CALC Amount Total 35 11" xfId="41434"/>
    <cellStyle name="CALC Amount Total 35 12" xfId="41435"/>
    <cellStyle name="CALC Amount Total 35 2" xfId="15842"/>
    <cellStyle name="CALC Amount Total 35 2 2" xfId="24160"/>
    <cellStyle name="CALC Amount Total 35 2 2 2" xfId="41436"/>
    <cellStyle name="CALC Amount Total 35 2 3" xfId="31448"/>
    <cellStyle name="CALC Amount Total 35 2 4" xfId="41437"/>
    <cellStyle name="CALC Amount Total 35 3" xfId="16808"/>
    <cellStyle name="CALC Amount Total 35 3 2" xfId="25132"/>
    <cellStyle name="CALC Amount Total 35 3 2 2" xfId="41438"/>
    <cellStyle name="CALC Amount Total 35 3 3" xfId="32381"/>
    <cellStyle name="CALC Amount Total 35 3 4" xfId="41439"/>
    <cellStyle name="CALC Amount Total 35 4" xfId="17834"/>
    <cellStyle name="CALC Amount Total 35 4 2" xfId="26158"/>
    <cellStyle name="CALC Amount Total 35 4 2 2" xfId="41440"/>
    <cellStyle name="CALC Amount Total 35 4 3" xfId="33358"/>
    <cellStyle name="CALC Amount Total 35 4 4" xfId="41441"/>
    <cellStyle name="CALC Amount Total 35 5" xfId="18818"/>
    <cellStyle name="CALC Amount Total 35 5 2" xfId="27139"/>
    <cellStyle name="CALC Amount Total 35 5 2 2" xfId="41442"/>
    <cellStyle name="CALC Amount Total 35 5 3" xfId="34298"/>
    <cellStyle name="CALC Amount Total 35 5 4" xfId="41443"/>
    <cellStyle name="CALC Amount Total 35 6" xfId="19786"/>
    <cellStyle name="CALC Amount Total 35 6 2" xfId="28108"/>
    <cellStyle name="CALC Amount Total 35 6 2 2" xfId="41444"/>
    <cellStyle name="CALC Amount Total 35 6 3" xfId="35244"/>
    <cellStyle name="CALC Amount Total 35 6 4" xfId="41445"/>
    <cellStyle name="CALC Amount Total 35 7" xfId="20744"/>
    <cellStyle name="CALC Amount Total 35 7 2" xfId="29065"/>
    <cellStyle name="CALC Amount Total 35 7 2 2" xfId="41446"/>
    <cellStyle name="CALC Amount Total 35 7 3" xfId="36157"/>
    <cellStyle name="CALC Amount Total 35 7 4" xfId="41447"/>
    <cellStyle name="CALC Amount Total 35 8" xfId="21269"/>
    <cellStyle name="CALC Amount Total 35 8 2" xfId="29577"/>
    <cellStyle name="CALC Amount Total 35 8 2 2" xfId="41448"/>
    <cellStyle name="CALC Amount Total 35 8 3" xfId="36644"/>
    <cellStyle name="CALC Amount Total 35 8 4" xfId="41449"/>
    <cellStyle name="CALC Amount Total 35 9" xfId="22180"/>
    <cellStyle name="CALC Amount Total 35 9 2" xfId="30478"/>
    <cellStyle name="CALC Amount Total 35 9 2 2" xfId="41450"/>
    <cellStyle name="CALC Amount Total 35 9 3" xfId="37509"/>
    <cellStyle name="CALC Amount Total 35 9 4" xfId="41451"/>
    <cellStyle name="CALC Amount Total 36" xfId="14703"/>
    <cellStyle name="CALC Amount Total 36 10" xfId="23065"/>
    <cellStyle name="CALC Amount Total 36 10 2" xfId="41452"/>
    <cellStyle name="CALC Amount Total 36 11" xfId="41453"/>
    <cellStyle name="CALC Amount Total 36 12" xfId="41454"/>
    <cellStyle name="CALC Amount Total 36 2" xfId="15784"/>
    <cellStyle name="CALC Amount Total 36 2 2" xfId="24100"/>
    <cellStyle name="CALC Amount Total 36 2 2 2" xfId="41455"/>
    <cellStyle name="CALC Amount Total 36 2 3" xfId="31389"/>
    <cellStyle name="CALC Amount Total 36 2 4" xfId="41456"/>
    <cellStyle name="CALC Amount Total 36 3" xfId="16750"/>
    <cellStyle name="CALC Amount Total 36 3 2" xfId="25072"/>
    <cellStyle name="CALC Amount Total 36 3 2 2" xfId="41457"/>
    <cellStyle name="CALC Amount Total 36 3 3" xfId="32322"/>
    <cellStyle name="CALC Amount Total 36 3 4" xfId="41458"/>
    <cellStyle name="CALC Amount Total 36 4" xfId="17774"/>
    <cellStyle name="CALC Amount Total 36 4 2" xfId="26098"/>
    <cellStyle name="CALC Amount Total 36 4 2 2" xfId="41459"/>
    <cellStyle name="CALC Amount Total 36 4 3" xfId="33299"/>
    <cellStyle name="CALC Amount Total 36 4 4" xfId="41460"/>
    <cellStyle name="CALC Amount Total 36 5" xfId="18758"/>
    <cellStyle name="CALC Amount Total 36 5 2" xfId="27079"/>
    <cellStyle name="CALC Amount Total 36 5 2 2" xfId="41461"/>
    <cellStyle name="CALC Amount Total 36 5 3" xfId="34239"/>
    <cellStyle name="CALC Amount Total 36 5 4" xfId="41462"/>
    <cellStyle name="CALC Amount Total 36 6" xfId="19727"/>
    <cellStyle name="CALC Amount Total 36 6 2" xfId="28048"/>
    <cellStyle name="CALC Amount Total 36 6 2 2" xfId="41463"/>
    <cellStyle name="CALC Amount Total 36 6 3" xfId="35185"/>
    <cellStyle name="CALC Amount Total 36 6 4" xfId="41464"/>
    <cellStyle name="CALC Amount Total 36 7" xfId="20684"/>
    <cellStyle name="CALC Amount Total 36 7 2" xfId="29005"/>
    <cellStyle name="CALC Amount Total 36 7 2 2" xfId="41465"/>
    <cellStyle name="CALC Amount Total 36 7 3" xfId="36099"/>
    <cellStyle name="CALC Amount Total 36 7 4" xfId="41466"/>
    <cellStyle name="CALC Amount Total 36 8" xfId="21129"/>
    <cellStyle name="CALC Amount Total 36 8 2" xfId="29443"/>
    <cellStyle name="CALC Amount Total 36 8 2 2" xfId="41467"/>
    <cellStyle name="CALC Amount Total 36 8 3" xfId="36516"/>
    <cellStyle name="CALC Amount Total 36 8 4" xfId="41468"/>
    <cellStyle name="CALC Amount Total 36 9" xfId="22120"/>
    <cellStyle name="CALC Amount Total 36 9 2" xfId="30418"/>
    <cellStyle name="CALC Amount Total 36 9 2 2" xfId="41469"/>
    <cellStyle name="CALC Amount Total 36 9 3" xfId="37450"/>
    <cellStyle name="CALC Amount Total 36 9 4" xfId="41470"/>
    <cellStyle name="CALC Amount Total 37" xfId="14854"/>
    <cellStyle name="CALC Amount Total 37 10" xfId="23217"/>
    <cellStyle name="CALC Amount Total 37 10 2" xfId="41471"/>
    <cellStyle name="CALC Amount Total 37 11" xfId="41472"/>
    <cellStyle name="CALC Amount Total 37 12" xfId="41473"/>
    <cellStyle name="CALC Amount Total 37 2" xfId="15935"/>
    <cellStyle name="CALC Amount Total 37 2 2" xfId="24252"/>
    <cellStyle name="CALC Amount Total 37 2 2 2" xfId="41474"/>
    <cellStyle name="CALC Amount Total 37 2 3" xfId="31536"/>
    <cellStyle name="CALC Amount Total 37 2 4" xfId="41475"/>
    <cellStyle name="CALC Amount Total 37 3" xfId="16901"/>
    <cellStyle name="CALC Amount Total 37 3 2" xfId="25224"/>
    <cellStyle name="CALC Amount Total 37 3 2 2" xfId="41476"/>
    <cellStyle name="CALC Amount Total 37 3 3" xfId="32469"/>
    <cellStyle name="CALC Amount Total 37 3 4" xfId="41477"/>
    <cellStyle name="CALC Amount Total 37 4" xfId="17928"/>
    <cellStyle name="CALC Amount Total 37 4 2" xfId="26250"/>
    <cellStyle name="CALC Amount Total 37 4 2 2" xfId="41478"/>
    <cellStyle name="CALC Amount Total 37 4 3" xfId="33446"/>
    <cellStyle name="CALC Amount Total 37 4 4" xfId="41479"/>
    <cellStyle name="CALC Amount Total 37 5" xfId="18912"/>
    <cellStyle name="CALC Amount Total 37 5 2" xfId="27232"/>
    <cellStyle name="CALC Amount Total 37 5 2 2" xfId="41480"/>
    <cellStyle name="CALC Amount Total 37 5 3" xfId="34387"/>
    <cellStyle name="CALC Amount Total 37 5 4" xfId="41481"/>
    <cellStyle name="CALC Amount Total 37 6" xfId="19880"/>
    <cellStyle name="CALC Amount Total 37 6 2" xfId="28202"/>
    <cellStyle name="CALC Amount Total 37 6 2 2" xfId="41482"/>
    <cellStyle name="CALC Amount Total 37 6 3" xfId="35334"/>
    <cellStyle name="CALC Amount Total 37 6 4" xfId="41483"/>
    <cellStyle name="CALC Amount Total 37 7" xfId="20838"/>
    <cellStyle name="CALC Amount Total 37 7 2" xfId="29157"/>
    <cellStyle name="CALC Amount Total 37 7 2 2" xfId="41484"/>
    <cellStyle name="CALC Amount Total 37 7 3" xfId="36244"/>
    <cellStyle name="CALC Amount Total 37 7 4" xfId="41485"/>
    <cellStyle name="CALC Amount Total 37 8" xfId="21096"/>
    <cellStyle name="CALC Amount Total 37 8 2" xfId="29413"/>
    <cellStyle name="CALC Amount Total 37 8 2 2" xfId="41486"/>
    <cellStyle name="CALC Amount Total 37 8 3" xfId="36488"/>
    <cellStyle name="CALC Amount Total 37 8 4" xfId="41487"/>
    <cellStyle name="CALC Amount Total 37 9" xfId="22273"/>
    <cellStyle name="CALC Amount Total 37 9 2" xfId="30571"/>
    <cellStyle name="CALC Amount Total 37 9 2 2" xfId="41488"/>
    <cellStyle name="CALC Amount Total 37 9 3" xfId="37597"/>
    <cellStyle name="CALC Amount Total 37 9 4" xfId="41489"/>
    <cellStyle name="CALC Amount Total 38" xfId="14773"/>
    <cellStyle name="CALC Amount Total 38 10" xfId="23137"/>
    <cellStyle name="CALC Amount Total 38 10 2" xfId="41490"/>
    <cellStyle name="CALC Amount Total 38 11" xfId="41491"/>
    <cellStyle name="CALC Amount Total 38 12" xfId="41492"/>
    <cellStyle name="CALC Amount Total 38 2" xfId="15854"/>
    <cellStyle name="CALC Amount Total 38 2 2" xfId="24172"/>
    <cellStyle name="CALC Amount Total 38 2 2 2" xfId="41493"/>
    <cellStyle name="CALC Amount Total 38 2 3" xfId="31460"/>
    <cellStyle name="CALC Amount Total 38 2 4" xfId="41494"/>
    <cellStyle name="CALC Amount Total 38 3" xfId="16820"/>
    <cellStyle name="CALC Amount Total 38 3 2" xfId="25144"/>
    <cellStyle name="CALC Amount Total 38 3 2 2" xfId="41495"/>
    <cellStyle name="CALC Amount Total 38 3 3" xfId="32393"/>
    <cellStyle name="CALC Amount Total 38 3 4" xfId="41496"/>
    <cellStyle name="CALC Amount Total 38 4" xfId="17846"/>
    <cellStyle name="CALC Amount Total 38 4 2" xfId="26170"/>
    <cellStyle name="CALC Amount Total 38 4 2 2" xfId="41497"/>
    <cellStyle name="CALC Amount Total 38 4 3" xfId="33370"/>
    <cellStyle name="CALC Amount Total 38 4 4" xfId="41498"/>
    <cellStyle name="CALC Amount Total 38 5" xfId="18830"/>
    <cellStyle name="CALC Amount Total 38 5 2" xfId="27151"/>
    <cellStyle name="CALC Amount Total 38 5 2 2" xfId="41499"/>
    <cellStyle name="CALC Amount Total 38 5 3" xfId="34310"/>
    <cellStyle name="CALC Amount Total 38 5 4" xfId="41500"/>
    <cellStyle name="CALC Amount Total 38 6" xfId="19798"/>
    <cellStyle name="CALC Amount Total 38 6 2" xfId="28120"/>
    <cellStyle name="CALC Amount Total 38 6 2 2" xfId="41501"/>
    <cellStyle name="CALC Amount Total 38 6 3" xfId="35256"/>
    <cellStyle name="CALC Amount Total 38 6 4" xfId="41502"/>
    <cellStyle name="CALC Amount Total 38 7" xfId="20756"/>
    <cellStyle name="CALC Amount Total 38 7 2" xfId="29077"/>
    <cellStyle name="CALC Amount Total 38 7 2 2" xfId="41503"/>
    <cellStyle name="CALC Amount Total 38 7 3" xfId="36169"/>
    <cellStyle name="CALC Amount Total 38 7 4" xfId="41504"/>
    <cellStyle name="CALC Amount Total 38 8" xfId="21244"/>
    <cellStyle name="CALC Amount Total 38 8 2" xfId="29553"/>
    <cellStyle name="CALC Amount Total 38 8 2 2" xfId="41505"/>
    <cellStyle name="CALC Amount Total 38 8 3" xfId="36621"/>
    <cellStyle name="CALC Amount Total 38 8 4" xfId="41506"/>
    <cellStyle name="CALC Amount Total 38 9" xfId="22192"/>
    <cellStyle name="CALC Amount Total 38 9 2" xfId="30490"/>
    <cellStyle name="CALC Amount Total 38 9 2 2" xfId="41507"/>
    <cellStyle name="CALC Amount Total 38 9 3" xfId="37521"/>
    <cellStyle name="CALC Amount Total 38 9 4" xfId="41508"/>
    <cellStyle name="CALC Amount Total 39" xfId="14909"/>
    <cellStyle name="CALC Amount Total 39 10" xfId="23272"/>
    <cellStyle name="CALC Amount Total 39 10 2" xfId="41509"/>
    <cellStyle name="CALC Amount Total 39 11" xfId="41510"/>
    <cellStyle name="CALC Amount Total 39 12" xfId="41511"/>
    <cellStyle name="CALC Amount Total 39 2" xfId="15990"/>
    <cellStyle name="CALC Amount Total 39 2 2" xfId="24307"/>
    <cellStyle name="CALC Amount Total 39 2 2 2" xfId="41512"/>
    <cellStyle name="CALC Amount Total 39 2 3" xfId="31587"/>
    <cellStyle name="CALC Amount Total 39 2 4" xfId="41513"/>
    <cellStyle name="CALC Amount Total 39 3" xfId="16956"/>
    <cellStyle name="CALC Amount Total 39 3 2" xfId="25279"/>
    <cellStyle name="CALC Amount Total 39 3 2 2" xfId="41514"/>
    <cellStyle name="CALC Amount Total 39 3 3" xfId="32520"/>
    <cellStyle name="CALC Amount Total 39 3 4" xfId="41515"/>
    <cellStyle name="CALC Amount Total 39 4" xfId="17983"/>
    <cellStyle name="CALC Amount Total 39 4 2" xfId="26305"/>
    <cellStyle name="CALC Amount Total 39 4 2 2" xfId="41516"/>
    <cellStyle name="CALC Amount Total 39 4 3" xfId="33497"/>
    <cellStyle name="CALC Amount Total 39 4 4" xfId="41517"/>
    <cellStyle name="CALC Amount Total 39 5" xfId="18967"/>
    <cellStyle name="CALC Amount Total 39 5 2" xfId="27287"/>
    <cellStyle name="CALC Amount Total 39 5 2 2" xfId="41518"/>
    <cellStyle name="CALC Amount Total 39 5 3" xfId="34438"/>
    <cellStyle name="CALC Amount Total 39 5 4" xfId="41519"/>
    <cellStyle name="CALC Amount Total 39 6" xfId="19935"/>
    <cellStyle name="CALC Amount Total 39 6 2" xfId="28257"/>
    <cellStyle name="CALC Amount Total 39 6 2 2" xfId="41520"/>
    <cellStyle name="CALC Amount Total 39 6 3" xfId="35385"/>
    <cellStyle name="CALC Amount Total 39 6 4" xfId="41521"/>
    <cellStyle name="CALC Amount Total 39 7" xfId="20893"/>
    <cellStyle name="CALC Amount Total 39 7 2" xfId="29212"/>
    <cellStyle name="CALC Amount Total 39 7 2 2" xfId="41522"/>
    <cellStyle name="CALC Amount Total 39 7 3" xfId="36295"/>
    <cellStyle name="CALC Amount Total 39 7 4" xfId="41523"/>
    <cellStyle name="CALC Amount Total 39 8" xfId="21400"/>
    <cellStyle name="CALC Amount Total 39 8 2" xfId="29703"/>
    <cellStyle name="CALC Amount Total 39 8 2 2" xfId="41524"/>
    <cellStyle name="CALC Amount Total 39 8 3" xfId="36765"/>
    <cellStyle name="CALC Amount Total 39 8 4" xfId="41525"/>
    <cellStyle name="CALC Amount Total 39 9" xfId="22328"/>
    <cellStyle name="CALC Amount Total 39 9 2" xfId="30626"/>
    <cellStyle name="CALC Amount Total 39 9 2 2" xfId="41526"/>
    <cellStyle name="CALC Amount Total 39 9 3" xfId="37648"/>
    <cellStyle name="CALC Amount Total 39 9 4" xfId="41527"/>
    <cellStyle name="CALC Amount Total 4" xfId="14576"/>
    <cellStyle name="CALC Amount Total 4 10" xfId="22935"/>
    <cellStyle name="CALC Amount Total 4 10 2" xfId="41528"/>
    <cellStyle name="CALC Amount Total 4 11" xfId="41529"/>
    <cellStyle name="CALC Amount Total 4 2" xfId="15657"/>
    <cellStyle name="CALC Amount Total 4 2 2" xfId="23971"/>
    <cellStyle name="CALC Amount Total 4 2 2 2" xfId="41530"/>
    <cellStyle name="CALC Amount Total 4 2 3" xfId="31268"/>
    <cellStyle name="CALC Amount Total 4 2 4" xfId="41531"/>
    <cellStyle name="CALC Amount Total 4 3" xfId="16624"/>
    <cellStyle name="CALC Amount Total 4 3 2" xfId="24942"/>
    <cellStyle name="CALC Amount Total 4 3 2 2" xfId="41532"/>
    <cellStyle name="CALC Amount Total 4 3 3" xfId="32201"/>
    <cellStyle name="CALC Amount Total 4 3 4" xfId="41533"/>
    <cellStyle name="CALC Amount Total 4 4" xfId="17645"/>
    <cellStyle name="CALC Amount Total 4 4 2" xfId="25968"/>
    <cellStyle name="CALC Amount Total 4 4 2 2" xfId="41534"/>
    <cellStyle name="CALC Amount Total 4 4 3" xfId="33178"/>
    <cellStyle name="CALC Amount Total 4 4 4" xfId="41535"/>
    <cellStyle name="CALC Amount Total 4 5" xfId="18627"/>
    <cellStyle name="CALC Amount Total 4 5 2" xfId="26947"/>
    <cellStyle name="CALC Amount Total 4 5 2 2" xfId="41536"/>
    <cellStyle name="CALC Amount Total 4 5 3" xfId="34115"/>
    <cellStyle name="CALC Amount Total 4 5 4" xfId="41537"/>
    <cellStyle name="CALC Amount Total 4 6" xfId="19596"/>
    <cellStyle name="CALC Amount Total 4 6 2" xfId="27916"/>
    <cellStyle name="CALC Amount Total 4 6 2 2" xfId="41538"/>
    <cellStyle name="CALC Amount Total 4 6 3" xfId="35061"/>
    <cellStyle name="CALC Amount Total 4 6 4" xfId="41539"/>
    <cellStyle name="CALC Amount Total 4 7" xfId="20553"/>
    <cellStyle name="CALC Amount Total 4 7 2" xfId="28875"/>
    <cellStyle name="CALC Amount Total 4 7 2 2" xfId="41540"/>
    <cellStyle name="CALC Amount Total 4 7 3" xfId="35978"/>
    <cellStyle name="CALC Amount Total 4 7 4" xfId="41541"/>
    <cellStyle name="CALC Amount Total 4 8" xfId="21247"/>
    <cellStyle name="CALC Amount Total 4 8 2" xfId="29556"/>
    <cellStyle name="CALC Amount Total 4 8 2 2" xfId="41542"/>
    <cellStyle name="CALC Amount Total 4 8 3" xfId="36624"/>
    <cellStyle name="CALC Amount Total 4 8 4" xfId="41543"/>
    <cellStyle name="CALC Amount Total 4 9" xfId="21989"/>
    <cellStyle name="CALC Amount Total 4 9 2" xfId="30289"/>
    <cellStyle name="CALC Amount Total 4 9 2 2" xfId="41544"/>
    <cellStyle name="CALC Amount Total 4 9 3" xfId="37329"/>
    <cellStyle name="CALC Amount Total 4 9 4" xfId="41545"/>
    <cellStyle name="CALC Amount Total 40" xfId="14917"/>
    <cellStyle name="CALC Amount Total 40 10" xfId="23280"/>
    <cellStyle name="CALC Amount Total 40 10 2" xfId="41546"/>
    <cellStyle name="CALC Amount Total 40 11" xfId="41547"/>
    <cellStyle name="CALC Amount Total 40 12" xfId="41548"/>
    <cellStyle name="CALC Amount Total 40 2" xfId="15998"/>
    <cellStyle name="CALC Amount Total 40 2 2" xfId="24315"/>
    <cellStyle name="CALC Amount Total 40 2 2 2" xfId="41549"/>
    <cellStyle name="CALC Amount Total 40 2 3" xfId="31595"/>
    <cellStyle name="CALC Amount Total 40 2 4" xfId="41550"/>
    <cellStyle name="CALC Amount Total 40 3" xfId="16964"/>
    <cellStyle name="CALC Amount Total 40 3 2" xfId="25287"/>
    <cellStyle name="CALC Amount Total 40 3 2 2" xfId="41551"/>
    <cellStyle name="CALC Amount Total 40 3 3" xfId="32528"/>
    <cellStyle name="CALC Amount Total 40 3 4" xfId="41552"/>
    <cellStyle name="CALC Amount Total 40 4" xfId="17991"/>
    <cellStyle name="CALC Amount Total 40 4 2" xfId="26313"/>
    <cellStyle name="CALC Amount Total 40 4 2 2" xfId="41553"/>
    <cellStyle name="CALC Amount Total 40 4 3" xfId="33505"/>
    <cellStyle name="CALC Amount Total 40 4 4" xfId="41554"/>
    <cellStyle name="CALC Amount Total 40 5" xfId="18975"/>
    <cellStyle name="CALC Amount Total 40 5 2" xfId="27295"/>
    <cellStyle name="CALC Amount Total 40 5 2 2" xfId="41555"/>
    <cellStyle name="CALC Amount Total 40 5 3" xfId="34446"/>
    <cellStyle name="CALC Amount Total 40 5 4" xfId="41556"/>
    <cellStyle name="CALC Amount Total 40 6" xfId="19943"/>
    <cellStyle name="CALC Amount Total 40 6 2" xfId="28265"/>
    <cellStyle name="CALC Amount Total 40 6 2 2" xfId="41557"/>
    <cellStyle name="CALC Amount Total 40 6 3" xfId="35393"/>
    <cellStyle name="CALC Amount Total 40 6 4" xfId="41558"/>
    <cellStyle name="CALC Amount Total 40 7" xfId="20901"/>
    <cellStyle name="CALC Amount Total 40 7 2" xfId="29220"/>
    <cellStyle name="CALC Amount Total 40 7 2 2" xfId="41559"/>
    <cellStyle name="CALC Amount Total 40 7 3" xfId="36303"/>
    <cellStyle name="CALC Amount Total 40 7 4" xfId="41560"/>
    <cellStyle name="CALC Amount Total 40 8" xfId="21408"/>
    <cellStyle name="CALC Amount Total 40 8 2" xfId="29711"/>
    <cellStyle name="CALC Amount Total 40 8 2 2" xfId="41561"/>
    <cellStyle name="CALC Amount Total 40 8 3" xfId="36773"/>
    <cellStyle name="CALC Amount Total 40 8 4" xfId="41562"/>
    <cellStyle name="CALC Amount Total 40 9" xfId="22336"/>
    <cellStyle name="CALC Amount Total 40 9 2" xfId="30634"/>
    <cellStyle name="CALC Amount Total 40 9 2 2" xfId="41563"/>
    <cellStyle name="CALC Amount Total 40 9 3" xfId="37656"/>
    <cellStyle name="CALC Amount Total 40 9 4" xfId="41564"/>
    <cellStyle name="CALC Amount Total 41" xfId="14910"/>
    <cellStyle name="CALC Amount Total 41 10" xfId="23273"/>
    <cellStyle name="CALC Amount Total 41 10 2" xfId="41565"/>
    <cellStyle name="CALC Amount Total 41 11" xfId="41566"/>
    <cellStyle name="CALC Amount Total 41 12" xfId="41567"/>
    <cellStyle name="CALC Amount Total 41 2" xfId="15991"/>
    <cellStyle name="CALC Amount Total 41 2 2" xfId="24308"/>
    <cellStyle name="CALC Amount Total 41 2 2 2" xfId="41568"/>
    <cellStyle name="CALC Amount Total 41 2 3" xfId="31588"/>
    <cellStyle name="CALC Amount Total 41 2 4" xfId="41569"/>
    <cellStyle name="CALC Amount Total 41 3" xfId="16957"/>
    <cellStyle name="CALC Amount Total 41 3 2" xfId="25280"/>
    <cellStyle name="CALC Amount Total 41 3 2 2" xfId="41570"/>
    <cellStyle name="CALC Amount Total 41 3 3" xfId="32521"/>
    <cellStyle name="CALC Amount Total 41 3 4" xfId="41571"/>
    <cellStyle name="CALC Amount Total 41 4" xfId="17984"/>
    <cellStyle name="CALC Amount Total 41 4 2" xfId="26306"/>
    <cellStyle name="CALC Amount Total 41 4 2 2" xfId="41572"/>
    <cellStyle name="CALC Amount Total 41 4 3" xfId="33498"/>
    <cellStyle name="CALC Amount Total 41 4 4" xfId="41573"/>
    <cellStyle name="CALC Amount Total 41 5" xfId="18968"/>
    <cellStyle name="CALC Amount Total 41 5 2" xfId="27288"/>
    <cellStyle name="CALC Amount Total 41 5 2 2" xfId="41574"/>
    <cellStyle name="CALC Amount Total 41 5 3" xfId="34439"/>
    <cellStyle name="CALC Amount Total 41 5 4" xfId="41575"/>
    <cellStyle name="CALC Amount Total 41 6" xfId="19936"/>
    <cellStyle name="CALC Amount Total 41 6 2" xfId="28258"/>
    <cellStyle name="CALC Amount Total 41 6 2 2" xfId="41576"/>
    <cellStyle name="CALC Amount Total 41 6 3" xfId="35386"/>
    <cellStyle name="CALC Amount Total 41 6 4" xfId="41577"/>
    <cellStyle name="CALC Amount Total 41 7" xfId="20894"/>
    <cellStyle name="CALC Amount Total 41 7 2" xfId="29213"/>
    <cellStyle name="CALC Amount Total 41 7 2 2" xfId="41578"/>
    <cellStyle name="CALC Amount Total 41 7 3" xfId="36296"/>
    <cellStyle name="CALC Amount Total 41 7 4" xfId="41579"/>
    <cellStyle name="CALC Amount Total 41 8" xfId="21401"/>
    <cellStyle name="CALC Amount Total 41 8 2" xfId="29704"/>
    <cellStyle name="CALC Amount Total 41 8 2 2" xfId="41580"/>
    <cellStyle name="CALC Amount Total 41 8 3" xfId="36766"/>
    <cellStyle name="CALC Amount Total 41 8 4" xfId="41581"/>
    <cellStyle name="CALC Amount Total 41 9" xfId="22329"/>
    <cellStyle name="CALC Amount Total 41 9 2" xfId="30627"/>
    <cellStyle name="CALC Amount Total 41 9 2 2" xfId="41582"/>
    <cellStyle name="CALC Amount Total 41 9 3" xfId="37649"/>
    <cellStyle name="CALC Amount Total 41 9 4" xfId="41583"/>
    <cellStyle name="CALC Amount Total 42" xfId="14919"/>
    <cellStyle name="CALC Amount Total 42 10" xfId="23282"/>
    <cellStyle name="CALC Amount Total 42 10 2" xfId="41584"/>
    <cellStyle name="CALC Amount Total 42 11" xfId="41585"/>
    <cellStyle name="CALC Amount Total 42 12" xfId="41586"/>
    <cellStyle name="CALC Amount Total 42 2" xfId="16000"/>
    <cellStyle name="CALC Amount Total 42 2 2" xfId="24317"/>
    <cellStyle name="CALC Amount Total 42 2 2 2" xfId="41587"/>
    <cellStyle name="CALC Amount Total 42 2 3" xfId="31597"/>
    <cellStyle name="CALC Amount Total 42 2 4" xfId="41588"/>
    <cellStyle name="CALC Amount Total 42 3" xfId="16966"/>
    <cellStyle name="CALC Amount Total 42 3 2" xfId="25289"/>
    <cellStyle name="CALC Amount Total 42 3 2 2" xfId="41589"/>
    <cellStyle name="CALC Amount Total 42 3 3" xfId="32530"/>
    <cellStyle name="CALC Amount Total 42 3 4" xfId="41590"/>
    <cellStyle name="CALC Amount Total 42 4" xfId="17993"/>
    <cellStyle name="CALC Amount Total 42 4 2" xfId="26315"/>
    <cellStyle name="CALC Amount Total 42 4 2 2" xfId="41591"/>
    <cellStyle name="CALC Amount Total 42 4 3" xfId="33507"/>
    <cellStyle name="CALC Amount Total 42 4 4" xfId="41592"/>
    <cellStyle name="CALC Amount Total 42 5" xfId="18977"/>
    <cellStyle name="CALC Amount Total 42 5 2" xfId="27297"/>
    <cellStyle name="CALC Amount Total 42 5 2 2" xfId="41593"/>
    <cellStyle name="CALC Amount Total 42 5 3" xfId="34448"/>
    <cellStyle name="CALC Amount Total 42 5 4" xfId="41594"/>
    <cellStyle name="CALC Amount Total 42 6" xfId="19945"/>
    <cellStyle name="CALC Amount Total 42 6 2" xfId="28267"/>
    <cellStyle name="CALC Amount Total 42 6 2 2" xfId="41595"/>
    <cellStyle name="CALC Amount Total 42 6 3" xfId="35395"/>
    <cellStyle name="CALC Amount Total 42 6 4" xfId="41596"/>
    <cellStyle name="CALC Amount Total 42 7" xfId="20903"/>
    <cellStyle name="CALC Amount Total 42 7 2" xfId="29222"/>
    <cellStyle name="CALC Amount Total 42 7 2 2" xfId="41597"/>
    <cellStyle name="CALC Amount Total 42 7 3" xfId="36305"/>
    <cellStyle name="CALC Amount Total 42 7 4" xfId="41598"/>
    <cellStyle name="CALC Amount Total 42 8" xfId="21410"/>
    <cellStyle name="CALC Amount Total 42 8 2" xfId="29713"/>
    <cellStyle name="CALC Amount Total 42 8 2 2" xfId="41599"/>
    <cellStyle name="CALC Amount Total 42 8 3" xfId="36775"/>
    <cellStyle name="CALC Amount Total 42 8 4" xfId="41600"/>
    <cellStyle name="CALC Amount Total 42 9" xfId="22338"/>
    <cellStyle name="CALC Amount Total 42 9 2" xfId="30636"/>
    <cellStyle name="CALC Amount Total 42 9 2 2" xfId="41601"/>
    <cellStyle name="CALC Amount Total 42 9 3" xfId="37658"/>
    <cellStyle name="CALC Amount Total 42 9 4" xfId="41602"/>
    <cellStyle name="CALC Amount Total 43" xfId="14862"/>
    <cellStyle name="CALC Amount Total 43 10" xfId="23225"/>
    <cellStyle name="CALC Amount Total 43 10 2" xfId="41603"/>
    <cellStyle name="CALC Amount Total 43 11" xfId="41604"/>
    <cellStyle name="CALC Amount Total 43 12" xfId="41605"/>
    <cellStyle name="CALC Amount Total 43 2" xfId="15943"/>
    <cellStyle name="CALC Amount Total 43 2 2" xfId="24260"/>
    <cellStyle name="CALC Amount Total 43 2 2 2" xfId="41606"/>
    <cellStyle name="CALC Amount Total 43 2 3" xfId="31544"/>
    <cellStyle name="CALC Amount Total 43 2 4" xfId="41607"/>
    <cellStyle name="CALC Amount Total 43 3" xfId="16909"/>
    <cellStyle name="CALC Amount Total 43 3 2" xfId="25232"/>
    <cellStyle name="CALC Amount Total 43 3 2 2" xfId="41608"/>
    <cellStyle name="CALC Amount Total 43 3 3" xfId="32477"/>
    <cellStyle name="CALC Amount Total 43 3 4" xfId="41609"/>
    <cellStyle name="CALC Amount Total 43 4" xfId="17936"/>
    <cellStyle name="CALC Amount Total 43 4 2" xfId="26258"/>
    <cellStyle name="CALC Amount Total 43 4 2 2" xfId="41610"/>
    <cellStyle name="CALC Amount Total 43 4 3" xfId="33454"/>
    <cellStyle name="CALC Amount Total 43 4 4" xfId="41611"/>
    <cellStyle name="CALC Amount Total 43 5" xfId="18920"/>
    <cellStyle name="CALC Amount Total 43 5 2" xfId="27240"/>
    <cellStyle name="CALC Amount Total 43 5 2 2" xfId="41612"/>
    <cellStyle name="CALC Amount Total 43 5 3" xfId="34395"/>
    <cellStyle name="CALC Amount Total 43 5 4" xfId="41613"/>
    <cellStyle name="CALC Amount Total 43 6" xfId="19888"/>
    <cellStyle name="CALC Amount Total 43 6 2" xfId="28210"/>
    <cellStyle name="CALC Amount Total 43 6 2 2" xfId="41614"/>
    <cellStyle name="CALC Amount Total 43 6 3" xfId="35342"/>
    <cellStyle name="CALC Amount Total 43 6 4" xfId="41615"/>
    <cellStyle name="CALC Amount Total 43 7" xfId="20846"/>
    <cellStyle name="CALC Amount Total 43 7 2" xfId="29165"/>
    <cellStyle name="CALC Amount Total 43 7 2 2" xfId="41616"/>
    <cellStyle name="CALC Amount Total 43 7 3" xfId="36252"/>
    <cellStyle name="CALC Amount Total 43 7 4" xfId="41617"/>
    <cellStyle name="CALC Amount Total 43 8" xfId="17571"/>
    <cellStyle name="CALC Amount Total 43 8 2" xfId="25890"/>
    <cellStyle name="CALC Amount Total 43 8 2 2" xfId="41618"/>
    <cellStyle name="CALC Amount Total 43 8 3" xfId="33103"/>
    <cellStyle name="CALC Amount Total 43 8 4" xfId="41619"/>
    <cellStyle name="CALC Amount Total 43 9" xfId="22281"/>
    <cellStyle name="CALC Amount Total 43 9 2" xfId="30579"/>
    <cellStyle name="CALC Amount Total 43 9 2 2" xfId="41620"/>
    <cellStyle name="CALC Amount Total 43 9 3" xfId="37605"/>
    <cellStyle name="CALC Amount Total 43 9 4" xfId="41621"/>
    <cellStyle name="CALC Amount Total 44" xfId="14905"/>
    <cellStyle name="CALC Amount Total 44 10" xfId="23268"/>
    <cellStyle name="CALC Amount Total 44 10 2" xfId="41622"/>
    <cellStyle name="CALC Amount Total 44 11" xfId="41623"/>
    <cellStyle name="CALC Amount Total 44 12" xfId="41624"/>
    <cellStyle name="CALC Amount Total 44 2" xfId="15986"/>
    <cellStyle name="CALC Amount Total 44 2 2" xfId="24303"/>
    <cellStyle name="CALC Amount Total 44 2 2 2" xfId="41625"/>
    <cellStyle name="CALC Amount Total 44 2 3" xfId="31583"/>
    <cellStyle name="CALC Amount Total 44 2 4" xfId="41626"/>
    <cellStyle name="CALC Amount Total 44 3" xfId="16952"/>
    <cellStyle name="CALC Amount Total 44 3 2" xfId="25275"/>
    <cellStyle name="CALC Amount Total 44 3 2 2" xfId="41627"/>
    <cellStyle name="CALC Amount Total 44 3 3" xfId="32516"/>
    <cellStyle name="CALC Amount Total 44 3 4" xfId="41628"/>
    <cellStyle name="CALC Amount Total 44 4" xfId="17979"/>
    <cellStyle name="CALC Amount Total 44 4 2" xfId="26301"/>
    <cellStyle name="CALC Amount Total 44 4 2 2" xfId="41629"/>
    <cellStyle name="CALC Amount Total 44 4 3" xfId="33493"/>
    <cellStyle name="CALC Amount Total 44 4 4" xfId="41630"/>
    <cellStyle name="CALC Amount Total 44 5" xfId="18963"/>
    <cellStyle name="CALC Amount Total 44 5 2" xfId="27283"/>
    <cellStyle name="CALC Amount Total 44 5 2 2" xfId="41631"/>
    <cellStyle name="CALC Amount Total 44 5 3" xfId="34434"/>
    <cellStyle name="CALC Amount Total 44 5 4" xfId="41632"/>
    <cellStyle name="CALC Amount Total 44 6" xfId="19931"/>
    <cellStyle name="CALC Amount Total 44 6 2" xfId="28253"/>
    <cellStyle name="CALC Amount Total 44 6 2 2" xfId="41633"/>
    <cellStyle name="CALC Amount Total 44 6 3" xfId="35381"/>
    <cellStyle name="CALC Amount Total 44 6 4" xfId="41634"/>
    <cellStyle name="CALC Amount Total 44 7" xfId="20889"/>
    <cellStyle name="CALC Amount Total 44 7 2" xfId="29208"/>
    <cellStyle name="CALC Amount Total 44 7 2 2" xfId="41635"/>
    <cellStyle name="CALC Amount Total 44 7 3" xfId="36291"/>
    <cellStyle name="CALC Amount Total 44 7 4" xfId="41636"/>
    <cellStyle name="CALC Amount Total 44 8" xfId="21396"/>
    <cellStyle name="CALC Amount Total 44 8 2" xfId="29699"/>
    <cellStyle name="CALC Amount Total 44 8 2 2" xfId="41637"/>
    <cellStyle name="CALC Amount Total 44 8 3" xfId="36761"/>
    <cellStyle name="CALC Amount Total 44 8 4" xfId="41638"/>
    <cellStyle name="CALC Amount Total 44 9" xfId="22324"/>
    <cellStyle name="CALC Amount Total 44 9 2" xfId="30622"/>
    <cellStyle name="CALC Amount Total 44 9 2 2" xfId="41639"/>
    <cellStyle name="CALC Amount Total 44 9 3" xfId="37644"/>
    <cellStyle name="CALC Amount Total 44 9 4" xfId="41640"/>
    <cellStyle name="CALC Amount Total 45" xfId="14925"/>
    <cellStyle name="CALC Amount Total 45 10" xfId="23288"/>
    <cellStyle name="CALC Amount Total 45 10 2" xfId="41641"/>
    <cellStyle name="CALC Amount Total 45 11" xfId="41642"/>
    <cellStyle name="CALC Amount Total 45 12" xfId="41643"/>
    <cellStyle name="CALC Amount Total 45 2" xfId="16006"/>
    <cellStyle name="CALC Amount Total 45 2 2" xfId="24323"/>
    <cellStyle name="CALC Amount Total 45 2 2 2" xfId="41644"/>
    <cellStyle name="CALC Amount Total 45 2 3" xfId="31603"/>
    <cellStyle name="CALC Amount Total 45 2 4" xfId="41645"/>
    <cellStyle name="CALC Amount Total 45 3" xfId="16972"/>
    <cellStyle name="CALC Amount Total 45 3 2" xfId="25295"/>
    <cellStyle name="CALC Amount Total 45 3 2 2" xfId="41646"/>
    <cellStyle name="CALC Amount Total 45 3 3" xfId="32536"/>
    <cellStyle name="CALC Amount Total 45 3 4" xfId="41647"/>
    <cellStyle name="CALC Amount Total 45 4" xfId="17999"/>
    <cellStyle name="CALC Amount Total 45 4 2" xfId="26321"/>
    <cellStyle name="CALC Amount Total 45 4 2 2" xfId="41648"/>
    <cellStyle name="CALC Amount Total 45 4 3" xfId="33513"/>
    <cellStyle name="CALC Amount Total 45 4 4" xfId="41649"/>
    <cellStyle name="CALC Amount Total 45 5" xfId="18983"/>
    <cellStyle name="CALC Amount Total 45 5 2" xfId="27303"/>
    <cellStyle name="CALC Amount Total 45 5 2 2" xfId="41650"/>
    <cellStyle name="CALC Amount Total 45 5 3" xfId="34454"/>
    <cellStyle name="CALC Amount Total 45 5 4" xfId="41651"/>
    <cellStyle name="CALC Amount Total 45 6" xfId="19951"/>
    <cellStyle name="CALC Amount Total 45 6 2" xfId="28273"/>
    <cellStyle name="CALC Amount Total 45 6 2 2" xfId="41652"/>
    <cellStyle name="CALC Amount Total 45 6 3" xfId="35401"/>
    <cellStyle name="CALC Amount Total 45 6 4" xfId="41653"/>
    <cellStyle name="CALC Amount Total 45 7" xfId="20909"/>
    <cellStyle name="CALC Amount Total 45 7 2" xfId="29228"/>
    <cellStyle name="CALC Amount Total 45 7 2 2" xfId="41654"/>
    <cellStyle name="CALC Amount Total 45 7 3" xfId="36311"/>
    <cellStyle name="CALC Amount Total 45 7 4" xfId="41655"/>
    <cellStyle name="CALC Amount Total 45 8" xfId="21416"/>
    <cellStyle name="CALC Amount Total 45 8 2" xfId="29719"/>
    <cellStyle name="CALC Amount Total 45 8 2 2" xfId="41656"/>
    <cellStyle name="CALC Amount Total 45 8 3" xfId="36781"/>
    <cellStyle name="CALC Amount Total 45 8 4" xfId="41657"/>
    <cellStyle name="CALC Amount Total 45 9" xfId="22344"/>
    <cellStyle name="CALC Amount Total 45 9 2" xfId="30642"/>
    <cellStyle name="CALC Amount Total 45 9 2 2" xfId="41658"/>
    <cellStyle name="CALC Amount Total 45 9 3" xfId="37664"/>
    <cellStyle name="CALC Amount Total 45 9 4" xfId="41659"/>
    <cellStyle name="CALC Amount Total 46" xfId="14906"/>
    <cellStyle name="CALC Amount Total 46 10" xfId="23269"/>
    <cellStyle name="CALC Amount Total 46 10 2" xfId="41660"/>
    <cellStyle name="CALC Amount Total 46 11" xfId="41661"/>
    <cellStyle name="CALC Amount Total 46 12" xfId="41662"/>
    <cellStyle name="CALC Amount Total 46 2" xfId="15987"/>
    <cellStyle name="CALC Amount Total 46 2 2" xfId="24304"/>
    <cellStyle name="CALC Amount Total 46 2 2 2" xfId="41663"/>
    <cellStyle name="CALC Amount Total 46 2 3" xfId="31584"/>
    <cellStyle name="CALC Amount Total 46 2 4" xfId="41664"/>
    <cellStyle name="CALC Amount Total 46 3" xfId="16953"/>
    <cellStyle name="CALC Amount Total 46 3 2" xfId="25276"/>
    <cellStyle name="CALC Amount Total 46 3 2 2" xfId="41665"/>
    <cellStyle name="CALC Amount Total 46 3 3" xfId="32517"/>
    <cellStyle name="CALC Amount Total 46 3 4" xfId="41666"/>
    <cellStyle name="CALC Amount Total 46 4" xfId="17980"/>
    <cellStyle name="CALC Amount Total 46 4 2" xfId="26302"/>
    <cellStyle name="CALC Amount Total 46 4 2 2" xfId="41667"/>
    <cellStyle name="CALC Amount Total 46 4 3" xfId="33494"/>
    <cellStyle name="CALC Amount Total 46 4 4" xfId="41668"/>
    <cellStyle name="CALC Amount Total 46 5" xfId="18964"/>
    <cellStyle name="CALC Amount Total 46 5 2" xfId="27284"/>
    <cellStyle name="CALC Amount Total 46 5 2 2" xfId="41669"/>
    <cellStyle name="CALC Amount Total 46 5 3" xfId="34435"/>
    <cellStyle name="CALC Amount Total 46 5 4" xfId="41670"/>
    <cellStyle name="CALC Amount Total 46 6" xfId="19932"/>
    <cellStyle name="CALC Amount Total 46 6 2" xfId="28254"/>
    <cellStyle name="CALC Amount Total 46 6 2 2" xfId="41671"/>
    <cellStyle name="CALC Amount Total 46 6 3" xfId="35382"/>
    <cellStyle name="CALC Amount Total 46 6 4" xfId="41672"/>
    <cellStyle name="CALC Amount Total 46 7" xfId="20890"/>
    <cellStyle name="CALC Amount Total 46 7 2" xfId="29209"/>
    <cellStyle name="CALC Amount Total 46 7 2 2" xfId="41673"/>
    <cellStyle name="CALC Amount Total 46 7 3" xfId="36292"/>
    <cellStyle name="CALC Amount Total 46 7 4" xfId="41674"/>
    <cellStyle name="CALC Amount Total 46 8" xfId="21397"/>
    <cellStyle name="CALC Amount Total 46 8 2" xfId="29700"/>
    <cellStyle name="CALC Amount Total 46 8 2 2" xfId="41675"/>
    <cellStyle name="CALC Amount Total 46 8 3" xfId="36762"/>
    <cellStyle name="CALC Amount Total 46 8 4" xfId="41676"/>
    <cellStyle name="CALC Amount Total 46 9" xfId="22325"/>
    <cellStyle name="CALC Amount Total 46 9 2" xfId="30623"/>
    <cellStyle name="CALC Amount Total 46 9 2 2" xfId="41677"/>
    <cellStyle name="CALC Amount Total 46 9 3" xfId="37645"/>
    <cellStyle name="CALC Amount Total 46 9 4" xfId="41678"/>
    <cellStyle name="CALC Amount Total 47" xfId="14932"/>
    <cellStyle name="CALC Amount Total 47 10" xfId="23295"/>
    <cellStyle name="CALC Amount Total 47 10 2" xfId="41679"/>
    <cellStyle name="CALC Amount Total 47 11" xfId="41680"/>
    <cellStyle name="CALC Amount Total 47 12" xfId="41681"/>
    <cellStyle name="CALC Amount Total 47 2" xfId="16013"/>
    <cellStyle name="CALC Amount Total 47 2 2" xfId="24330"/>
    <cellStyle name="CALC Amount Total 47 2 2 2" xfId="41682"/>
    <cellStyle name="CALC Amount Total 47 2 3" xfId="31610"/>
    <cellStyle name="CALC Amount Total 47 2 4" xfId="41683"/>
    <cellStyle name="CALC Amount Total 47 3" xfId="16979"/>
    <cellStyle name="CALC Amount Total 47 3 2" xfId="25302"/>
    <cellStyle name="CALC Amount Total 47 3 2 2" xfId="41684"/>
    <cellStyle name="CALC Amount Total 47 3 3" xfId="32543"/>
    <cellStyle name="CALC Amount Total 47 3 4" xfId="41685"/>
    <cellStyle name="CALC Amount Total 47 4" xfId="18006"/>
    <cellStyle name="CALC Amount Total 47 4 2" xfId="26328"/>
    <cellStyle name="CALC Amount Total 47 4 2 2" xfId="41686"/>
    <cellStyle name="CALC Amount Total 47 4 3" xfId="33520"/>
    <cellStyle name="CALC Amount Total 47 4 4" xfId="41687"/>
    <cellStyle name="CALC Amount Total 47 5" xfId="18990"/>
    <cellStyle name="CALC Amount Total 47 5 2" xfId="27310"/>
    <cellStyle name="CALC Amount Total 47 5 2 2" xfId="41688"/>
    <cellStyle name="CALC Amount Total 47 5 3" xfId="34461"/>
    <cellStyle name="CALC Amount Total 47 5 4" xfId="41689"/>
    <cellStyle name="CALC Amount Total 47 6" xfId="19958"/>
    <cellStyle name="CALC Amount Total 47 6 2" xfId="28280"/>
    <cellStyle name="CALC Amount Total 47 6 2 2" xfId="41690"/>
    <cellStyle name="CALC Amount Total 47 6 3" xfId="35408"/>
    <cellStyle name="CALC Amount Total 47 6 4" xfId="41691"/>
    <cellStyle name="CALC Amount Total 47 7" xfId="20916"/>
    <cellStyle name="CALC Amount Total 47 7 2" xfId="29235"/>
    <cellStyle name="CALC Amount Total 47 7 2 2" xfId="41692"/>
    <cellStyle name="CALC Amount Total 47 7 3" xfId="36318"/>
    <cellStyle name="CALC Amount Total 47 7 4" xfId="41693"/>
    <cellStyle name="CALC Amount Total 47 8" xfId="21423"/>
    <cellStyle name="CALC Amount Total 47 8 2" xfId="29726"/>
    <cellStyle name="CALC Amount Total 47 8 2 2" xfId="41694"/>
    <cellStyle name="CALC Amount Total 47 8 3" xfId="36788"/>
    <cellStyle name="CALC Amount Total 47 8 4" xfId="41695"/>
    <cellStyle name="CALC Amount Total 47 9" xfId="22351"/>
    <cellStyle name="CALC Amount Total 47 9 2" xfId="30649"/>
    <cellStyle name="CALC Amount Total 47 9 2 2" xfId="41696"/>
    <cellStyle name="CALC Amount Total 47 9 3" xfId="37671"/>
    <cellStyle name="CALC Amount Total 47 9 4" xfId="41697"/>
    <cellStyle name="CALC Amount Total 48" xfId="14946"/>
    <cellStyle name="CALC Amount Total 48 10" xfId="23309"/>
    <cellStyle name="CALC Amount Total 48 10 2" xfId="41698"/>
    <cellStyle name="CALC Amount Total 48 11" xfId="41699"/>
    <cellStyle name="CALC Amount Total 48 12" xfId="41700"/>
    <cellStyle name="CALC Amount Total 48 2" xfId="16027"/>
    <cellStyle name="CALC Amount Total 48 2 2" xfId="24344"/>
    <cellStyle name="CALC Amount Total 48 2 2 2" xfId="41701"/>
    <cellStyle name="CALC Amount Total 48 2 3" xfId="31624"/>
    <cellStyle name="CALC Amount Total 48 2 4" xfId="41702"/>
    <cellStyle name="CALC Amount Total 48 3" xfId="16993"/>
    <cellStyle name="CALC Amount Total 48 3 2" xfId="25316"/>
    <cellStyle name="CALC Amount Total 48 3 2 2" xfId="41703"/>
    <cellStyle name="CALC Amount Total 48 3 3" xfId="32557"/>
    <cellStyle name="CALC Amount Total 48 3 4" xfId="41704"/>
    <cellStyle name="CALC Amount Total 48 4" xfId="18020"/>
    <cellStyle name="CALC Amount Total 48 4 2" xfId="26342"/>
    <cellStyle name="CALC Amount Total 48 4 2 2" xfId="41705"/>
    <cellStyle name="CALC Amount Total 48 4 3" xfId="33534"/>
    <cellStyle name="CALC Amount Total 48 4 4" xfId="41706"/>
    <cellStyle name="CALC Amount Total 48 5" xfId="19004"/>
    <cellStyle name="CALC Amount Total 48 5 2" xfId="27324"/>
    <cellStyle name="CALC Amount Total 48 5 2 2" xfId="41707"/>
    <cellStyle name="CALC Amount Total 48 5 3" xfId="34475"/>
    <cellStyle name="CALC Amount Total 48 5 4" xfId="41708"/>
    <cellStyle name="CALC Amount Total 48 6" xfId="19972"/>
    <cellStyle name="CALC Amount Total 48 6 2" xfId="28294"/>
    <cellStyle name="CALC Amount Total 48 6 2 2" xfId="41709"/>
    <cellStyle name="CALC Amount Total 48 6 3" xfId="35422"/>
    <cellStyle name="CALC Amount Total 48 6 4" xfId="41710"/>
    <cellStyle name="CALC Amount Total 48 7" xfId="20930"/>
    <cellStyle name="CALC Amount Total 48 7 2" xfId="29249"/>
    <cellStyle name="CALC Amount Total 48 7 2 2" xfId="41711"/>
    <cellStyle name="CALC Amount Total 48 7 3" xfId="36332"/>
    <cellStyle name="CALC Amount Total 48 7 4" xfId="41712"/>
    <cellStyle name="CALC Amount Total 48 8" xfId="21437"/>
    <cellStyle name="CALC Amount Total 48 8 2" xfId="29740"/>
    <cellStyle name="CALC Amount Total 48 8 2 2" xfId="41713"/>
    <cellStyle name="CALC Amount Total 48 8 3" xfId="36802"/>
    <cellStyle name="CALC Amount Total 48 8 4" xfId="41714"/>
    <cellStyle name="CALC Amount Total 48 9" xfId="22365"/>
    <cellStyle name="CALC Amount Total 48 9 2" xfId="30663"/>
    <cellStyle name="CALC Amount Total 48 9 2 2" xfId="41715"/>
    <cellStyle name="CALC Amount Total 48 9 3" xfId="37685"/>
    <cellStyle name="CALC Amount Total 48 9 4" xfId="41716"/>
    <cellStyle name="CALC Amount Total 49" xfId="14866"/>
    <cellStyle name="CALC Amount Total 49 10" xfId="23229"/>
    <cellStyle name="CALC Amount Total 49 10 2" xfId="41717"/>
    <cellStyle name="CALC Amount Total 49 11" xfId="41718"/>
    <cellStyle name="CALC Amount Total 49 12" xfId="41719"/>
    <cellStyle name="CALC Amount Total 49 2" xfId="15947"/>
    <cellStyle name="CALC Amount Total 49 2 2" xfId="24264"/>
    <cellStyle name="CALC Amount Total 49 2 2 2" xfId="41720"/>
    <cellStyle name="CALC Amount Total 49 2 3" xfId="31548"/>
    <cellStyle name="CALC Amount Total 49 2 4" xfId="41721"/>
    <cellStyle name="CALC Amount Total 49 3" xfId="16913"/>
    <cellStyle name="CALC Amount Total 49 3 2" xfId="25236"/>
    <cellStyle name="CALC Amount Total 49 3 2 2" xfId="41722"/>
    <cellStyle name="CALC Amount Total 49 3 3" xfId="32481"/>
    <cellStyle name="CALC Amount Total 49 3 4" xfId="41723"/>
    <cellStyle name="CALC Amount Total 49 4" xfId="17940"/>
    <cellStyle name="CALC Amount Total 49 4 2" xfId="26262"/>
    <cellStyle name="CALC Amount Total 49 4 2 2" xfId="41724"/>
    <cellStyle name="CALC Amount Total 49 4 3" xfId="33458"/>
    <cellStyle name="CALC Amount Total 49 4 4" xfId="41725"/>
    <cellStyle name="CALC Amount Total 49 5" xfId="18924"/>
    <cellStyle name="CALC Amount Total 49 5 2" xfId="27244"/>
    <cellStyle name="CALC Amount Total 49 5 2 2" xfId="41726"/>
    <cellStyle name="CALC Amount Total 49 5 3" xfId="34399"/>
    <cellStyle name="CALC Amount Total 49 5 4" xfId="41727"/>
    <cellStyle name="CALC Amount Total 49 6" xfId="19892"/>
    <cellStyle name="CALC Amount Total 49 6 2" xfId="28214"/>
    <cellStyle name="CALC Amount Total 49 6 2 2" xfId="41728"/>
    <cellStyle name="CALC Amount Total 49 6 3" xfId="35346"/>
    <cellStyle name="CALC Amount Total 49 6 4" xfId="41729"/>
    <cellStyle name="CALC Amount Total 49 7" xfId="20850"/>
    <cellStyle name="CALC Amount Total 49 7 2" xfId="29169"/>
    <cellStyle name="CALC Amount Total 49 7 2 2" xfId="41730"/>
    <cellStyle name="CALC Amount Total 49 7 3" xfId="36256"/>
    <cellStyle name="CALC Amount Total 49 7 4" xfId="41731"/>
    <cellStyle name="CALC Amount Total 49 8" xfId="17572"/>
    <cellStyle name="CALC Amount Total 49 8 2" xfId="25891"/>
    <cellStyle name="CALC Amount Total 49 8 2 2" xfId="41732"/>
    <cellStyle name="CALC Amount Total 49 8 3" xfId="33104"/>
    <cellStyle name="CALC Amount Total 49 8 4" xfId="41733"/>
    <cellStyle name="CALC Amount Total 49 9" xfId="22285"/>
    <cellStyle name="CALC Amount Total 49 9 2" xfId="30583"/>
    <cellStyle name="CALC Amount Total 49 9 2 2" xfId="41734"/>
    <cellStyle name="CALC Amount Total 49 9 3" xfId="37609"/>
    <cellStyle name="CALC Amount Total 49 9 4" xfId="41735"/>
    <cellStyle name="CALC Amount Total 5" xfId="14561"/>
    <cellStyle name="CALC Amount Total 5 10" xfId="22917"/>
    <cellStyle name="CALC Amount Total 5 10 2" xfId="41736"/>
    <cellStyle name="CALC Amount Total 5 11" xfId="41737"/>
    <cellStyle name="CALC Amount Total 5 2" xfId="15640"/>
    <cellStyle name="CALC Amount Total 5 2 2" xfId="23953"/>
    <cellStyle name="CALC Amount Total 5 2 2 2" xfId="41738"/>
    <cellStyle name="CALC Amount Total 5 2 3" xfId="31250"/>
    <cellStyle name="CALC Amount Total 5 2 4" xfId="41739"/>
    <cellStyle name="CALC Amount Total 5 3" xfId="16607"/>
    <cellStyle name="CALC Amount Total 5 3 2" xfId="24924"/>
    <cellStyle name="CALC Amount Total 5 3 2 2" xfId="41740"/>
    <cellStyle name="CALC Amount Total 5 3 3" xfId="32183"/>
    <cellStyle name="CALC Amount Total 5 3 4" xfId="41741"/>
    <cellStyle name="CALC Amount Total 5 4" xfId="17627"/>
    <cellStyle name="CALC Amount Total 5 4 2" xfId="25950"/>
    <cellStyle name="CALC Amount Total 5 4 2 2" xfId="41742"/>
    <cellStyle name="CALC Amount Total 5 4 3" xfId="33160"/>
    <cellStyle name="CALC Amount Total 5 4 4" xfId="41743"/>
    <cellStyle name="CALC Amount Total 5 5" xfId="18609"/>
    <cellStyle name="CALC Amount Total 5 5 2" xfId="26928"/>
    <cellStyle name="CALC Amount Total 5 5 2 2" xfId="41744"/>
    <cellStyle name="CALC Amount Total 5 5 3" xfId="34096"/>
    <cellStyle name="CALC Amount Total 5 5 4" xfId="41745"/>
    <cellStyle name="CALC Amount Total 5 6" xfId="19577"/>
    <cellStyle name="CALC Amount Total 5 6 2" xfId="27898"/>
    <cellStyle name="CALC Amount Total 5 6 2 2" xfId="41746"/>
    <cellStyle name="CALC Amount Total 5 6 3" xfId="35043"/>
    <cellStyle name="CALC Amount Total 5 6 4" xfId="41747"/>
    <cellStyle name="CALC Amount Total 5 7" xfId="20535"/>
    <cellStyle name="CALC Amount Total 5 7 2" xfId="28857"/>
    <cellStyle name="CALC Amount Total 5 7 2 2" xfId="41748"/>
    <cellStyle name="CALC Amount Total 5 7 3" xfId="35960"/>
    <cellStyle name="CALC Amount Total 5 7 4" xfId="41749"/>
    <cellStyle name="CALC Amount Total 5 8" xfId="21111"/>
    <cellStyle name="CALC Amount Total 5 8 2" xfId="29425"/>
    <cellStyle name="CALC Amount Total 5 8 2 2" xfId="41750"/>
    <cellStyle name="CALC Amount Total 5 8 3" xfId="36498"/>
    <cellStyle name="CALC Amount Total 5 8 4" xfId="41751"/>
    <cellStyle name="CALC Amount Total 5 9" xfId="21970"/>
    <cellStyle name="CALC Amount Total 5 9 2" xfId="30271"/>
    <cellStyle name="CALC Amount Total 5 9 2 2" xfId="41752"/>
    <cellStyle name="CALC Amount Total 5 9 3" xfId="37311"/>
    <cellStyle name="CALC Amount Total 5 9 4" xfId="41753"/>
    <cellStyle name="CALC Amount Total 50" xfId="14928"/>
    <cellStyle name="CALC Amount Total 50 10" xfId="23291"/>
    <cellStyle name="CALC Amount Total 50 10 2" xfId="41754"/>
    <cellStyle name="CALC Amount Total 50 11" xfId="41755"/>
    <cellStyle name="CALC Amount Total 50 12" xfId="41756"/>
    <cellStyle name="CALC Amount Total 50 2" xfId="16009"/>
    <cellStyle name="CALC Amount Total 50 2 2" xfId="24326"/>
    <cellStyle name="CALC Amount Total 50 2 2 2" xfId="41757"/>
    <cellStyle name="CALC Amount Total 50 2 3" xfId="31606"/>
    <cellStyle name="CALC Amount Total 50 2 4" xfId="41758"/>
    <cellStyle name="CALC Amount Total 50 3" xfId="16975"/>
    <cellStyle name="CALC Amount Total 50 3 2" xfId="25298"/>
    <cellStyle name="CALC Amount Total 50 3 2 2" xfId="41759"/>
    <cellStyle name="CALC Amount Total 50 3 3" xfId="32539"/>
    <cellStyle name="CALC Amount Total 50 3 4" xfId="41760"/>
    <cellStyle name="CALC Amount Total 50 4" xfId="18002"/>
    <cellStyle name="CALC Amount Total 50 4 2" xfId="26324"/>
    <cellStyle name="CALC Amount Total 50 4 2 2" xfId="41761"/>
    <cellStyle name="CALC Amount Total 50 4 3" xfId="33516"/>
    <cellStyle name="CALC Amount Total 50 4 4" xfId="41762"/>
    <cellStyle name="CALC Amount Total 50 5" xfId="18986"/>
    <cellStyle name="CALC Amount Total 50 5 2" xfId="27306"/>
    <cellStyle name="CALC Amount Total 50 5 2 2" xfId="41763"/>
    <cellStyle name="CALC Amount Total 50 5 3" xfId="34457"/>
    <cellStyle name="CALC Amount Total 50 5 4" xfId="41764"/>
    <cellStyle name="CALC Amount Total 50 6" xfId="19954"/>
    <cellStyle name="CALC Amount Total 50 6 2" xfId="28276"/>
    <cellStyle name="CALC Amount Total 50 6 2 2" xfId="41765"/>
    <cellStyle name="CALC Amount Total 50 6 3" xfId="35404"/>
    <cellStyle name="CALC Amount Total 50 6 4" xfId="41766"/>
    <cellStyle name="CALC Amount Total 50 7" xfId="20912"/>
    <cellStyle name="CALC Amount Total 50 7 2" xfId="29231"/>
    <cellStyle name="CALC Amount Total 50 7 2 2" xfId="41767"/>
    <cellStyle name="CALC Amount Total 50 7 3" xfId="36314"/>
    <cellStyle name="CALC Amount Total 50 7 4" xfId="41768"/>
    <cellStyle name="CALC Amount Total 50 8" xfId="21419"/>
    <cellStyle name="CALC Amount Total 50 8 2" xfId="29722"/>
    <cellStyle name="CALC Amount Total 50 8 2 2" xfId="41769"/>
    <cellStyle name="CALC Amount Total 50 8 3" xfId="36784"/>
    <cellStyle name="CALC Amount Total 50 8 4" xfId="41770"/>
    <cellStyle name="CALC Amount Total 50 9" xfId="22347"/>
    <cellStyle name="CALC Amount Total 50 9 2" xfId="30645"/>
    <cellStyle name="CALC Amount Total 50 9 2 2" xfId="41771"/>
    <cellStyle name="CALC Amount Total 50 9 3" xfId="37667"/>
    <cellStyle name="CALC Amount Total 50 9 4" xfId="41772"/>
    <cellStyle name="CALC Amount Total 51" xfId="14867"/>
    <cellStyle name="CALC Amount Total 51 10" xfId="23230"/>
    <cellStyle name="CALC Amount Total 51 10 2" xfId="41773"/>
    <cellStyle name="CALC Amount Total 51 11" xfId="41774"/>
    <cellStyle name="CALC Amount Total 51 12" xfId="41775"/>
    <cellStyle name="CALC Amount Total 51 2" xfId="15948"/>
    <cellStyle name="CALC Amount Total 51 2 2" xfId="24265"/>
    <cellStyle name="CALC Amount Total 51 2 2 2" xfId="41776"/>
    <cellStyle name="CALC Amount Total 51 2 3" xfId="31549"/>
    <cellStyle name="CALC Amount Total 51 2 4" xfId="41777"/>
    <cellStyle name="CALC Amount Total 51 3" xfId="16914"/>
    <cellStyle name="CALC Amount Total 51 3 2" xfId="25237"/>
    <cellStyle name="CALC Amount Total 51 3 2 2" xfId="41778"/>
    <cellStyle name="CALC Amount Total 51 3 3" xfId="32482"/>
    <cellStyle name="CALC Amount Total 51 3 4" xfId="41779"/>
    <cellStyle name="CALC Amount Total 51 4" xfId="17941"/>
    <cellStyle name="CALC Amount Total 51 4 2" xfId="26263"/>
    <cellStyle name="CALC Amount Total 51 4 2 2" xfId="41780"/>
    <cellStyle name="CALC Amount Total 51 4 3" xfId="33459"/>
    <cellStyle name="CALC Amount Total 51 4 4" xfId="41781"/>
    <cellStyle name="CALC Amount Total 51 5" xfId="18925"/>
    <cellStyle name="CALC Amount Total 51 5 2" xfId="27245"/>
    <cellStyle name="CALC Amount Total 51 5 2 2" xfId="41782"/>
    <cellStyle name="CALC Amount Total 51 5 3" xfId="34400"/>
    <cellStyle name="CALC Amount Total 51 5 4" xfId="41783"/>
    <cellStyle name="CALC Amount Total 51 6" xfId="19893"/>
    <cellStyle name="CALC Amount Total 51 6 2" xfId="28215"/>
    <cellStyle name="CALC Amount Total 51 6 2 2" xfId="41784"/>
    <cellStyle name="CALC Amount Total 51 6 3" xfId="35347"/>
    <cellStyle name="CALC Amount Total 51 6 4" xfId="41785"/>
    <cellStyle name="CALC Amount Total 51 7" xfId="20851"/>
    <cellStyle name="CALC Amount Total 51 7 2" xfId="29170"/>
    <cellStyle name="CALC Amount Total 51 7 2 2" xfId="41786"/>
    <cellStyle name="CALC Amount Total 51 7 3" xfId="36257"/>
    <cellStyle name="CALC Amount Total 51 7 4" xfId="41787"/>
    <cellStyle name="CALC Amount Total 51 8" xfId="18544"/>
    <cellStyle name="CALC Amount Total 51 8 2" xfId="26861"/>
    <cellStyle name="CALC Amount Total 51 8 2 2" xfId="41788"/>
    <cellStyle name="CALC Amount Total 51 8 3" xfId="34031"/>
    <cellStyle name="CALC Amount Total 51 8 4" xfId="41789"/>
    <cellStyle name="CALC Amount Total 51 9" xfId="22286"/>
    <cellStyle name="CALC Amount Total 51 9 2" xfId="30584"/>
    <cellStyle name="CALC Amount Total 51 9 2 2" xfId="41790"/>
    <cellStyle name="CALC Amount Total 51 9 3" xfId="37610"/>
    <cellStyle name="CALC Amount Total 51 9 4" xfId="41791"/>
    <cellStyle name="CALC Amount Total 52" xfId="14970"/>
    <cellStyle name="CALC Amount Total 52 10" xfId="23331"/>
    <cellStyle name="CALC Amount Total 52 10 2" xfId="41792"/>
    <cellStyle name="CALC Amount Total 52 11" xfId="41793"/>
    <cellStyle name="CALC Amount Total 52 12" xfId="41794"/>
    <cellStyle name="CALC Amount Total 52 2" xfId="16051"/>
    <cellStyle name="CALC Amount Total 52 2 2" xfId="24366"/>
    <cellStyle name="CALC Amount Total 52 2 2 2" xfId="41795"/>
    <cellStyle name="CALC Amount Total 52 2 3" xfId="31645"/>
    <cellStyle name="CALC Amount Total 52 2 4" xfId="41796"/>
    <cellStyle name="CALC Amount Total 52 3" xfId="17017"/>
    <cellStyle name="CALC Amount Total 52 3 2" xfId="25338"/>
    <cellStyle name="CALC Amount Total 52 3 2 2" xfId="41797"/>
    <cellStyle name="CALC Amount Total 52 3 3" xfId="32578"/>
    <cellStyle name="CALC Amount Total 52 3 4" xfId="41798"/>
    <cellStyle name="CALC Amount Total 52 4" xfId="18044"/>
    <cellStyle name="CALC Amount Total 52 4 2" xfId="26364"/>
    <cellStyle name="CALC Amount Total 52 4 2 2" xfId="41799"/>
    <cellStyle name="CALC Amount Total 52 4 3" xfId="33555"/>
    <cellStyle name="CALC Amount Total 52 4 4" xfId="41800"/>
    <cellStyle name="CALC Amount Total 52 5" xfId="19028"/>
    <cellStyle name="CALC Amount Total 52 5 2" xfId="27348"/>
    <cellStyle name="CALC Amount Total 52 5 2 2" xfId="41801"/>
    <cellStyle name="CALC Amount Total 52 5 3" xfId="34498"/>
    <cellStyle name="CALC Amount Total 52 5 4" xfId="41802"/>
    <cellStyle name="CALC Amount Total 52 6" xfId="19996"/>
    <cellStyle name="CALC Amount Total 52 6 2" xfId="28318"/>
    <cellStyle name="CALC Amount Total 52 6 2 2" xfId="41803"/>
    <cellStyle name="CALC Amount Total 52 6 3" xfId="35445"/>
    <cellStyle name="CALC Amount Total 52 6 4" xfId="41804"/>
    <cellStyle name="CALC Amount Total 52 7" xfId="20954"/>
    <cellStyle name="CALC Amount Total 52 7 2" xfId="29271"/>
    <cellStyle name="CALC Amount Total 52 7 2 2" xfId="41805"/>
    <cellStyle name="CALC Amount Total 52 7 3" xfId="36353"/>
    <cellStyle name="CALC Amount Total 52 7 4" xfId="41806"/>
    <cellStyle name="CALC Amount Total 52 8" xfId="21461"/>
    <cellStyle name="CALC Amount Total 52 8 2" xfId="29762"/>
    <cellStyle name="CALC Amount Total 52 8 2 2" xfId="41807"/>
    <cellStyle name="CALC Amount Total 52 8 3" xfId="36823"/>
    <cellStyle name="CALC Amount Total 52 8 4" xfId="41808"/>
    <cellStyle name="CALC Amount Total 52 9" xfId="22389"/>
    <cellStyle name="CALC Amount Total 52 9 2" xfId="30685"/>
    <cellStyle name="CALC Amount Total 52 9 2 2" xfId="41809"/>
    <cellStyle name="CALC Amount Total 52 9 3" xfId="37706"/>
    <cellStyle name="CALC Amount Total 52 9 4" xfId="41810"/>
    <cellStyle name="CALC Amount Total 53" xfId="14997"/>
    <cellStyle name="CALC Amount Total 53 10" xfId="23358"/>
    <cellStyle name="CALC Amount Total 53 10 2" xfId="41811"/>
    <cellStyle name="CALC Amount Total 53 11" xfId="41812"/>
    <cellStyle name="CALC Amount Total 53 12" xfId="41813"/>
    <cellStyle name="CALC Amount Total 53 2" xfId="16078"/>
    <cellStyle name="CALC Amount Total 53 2 2" xfId="24393"/>
    <cellStyle name="CALC Amount Total 53 2 2 2" xfId="41814"/>
    <cellStyle name="CALC Amount Total 53 2 3" xfId="31672"/>
    <cellStyle name="CALC Amount Total 53 2 4" xfId="41815"/>
    <cellStyle name="CALC Amount Total 53 3" xfId="17044"/>
    <cellStyle name="CALC Amount Total 53 3 2" xfId="25365"/>
    <cellStyle name="CALC Amount Total 53 3 2 2" xfId="41816"/>
    <cellStyle name="CALC Amount Total 53 3 3" xfId="32605"/>
    <cellStyle name="CALC Amount Total 53 3 4" xfId="41817"/>
    <cellStyle name="CALC Amount Total 53 4" xfId="18071"/>
    <cellStyle name="CALC Amount Total 53 4 2" xfId="26391"/>
    <cellStyle name="CALC Amount Total 53 4 2 2" xfId="41818"/>
    <cellStyle name="CALC Amount Total 53 4 3" xfId="33582"/>
    <cellStyle name="CALC Amount Total 53 4 4" xfId="41819"/>
    <cellStyle name="CALC Amount Total 53 5" xfId="19055"/>
    <cellStyle name="CALC Amount Total 53 5 2" xfId="27375"/>
    <cellStyle name="CALC Amount Total 53 5 2 2" xfId="41820"/>
    <cellStyle name="CALC Amount Total 53 5 3" xfId="34525"/>
    <cellStyle name="CALC Amount Total 53 5 4" xfId="41821"/>
    <cellStyle name="CALC Amount Total 53 6" xfId="20023"/>
    <cellStyle name="CALC Amount Total 53 6 2" xfId="28345"/>
    <cellStyle name="CALC Amount Total 53 6 2 2" xfId="41822"/>
    <cellStyle name="CALC Amount Total 53 6 3" xfId="35472"/>
    <cellStyle name="CALC Amount Total 53 6 4" xfId="41823"/>
    <cellStyle name="CALC Amount Total 53 7" xfId="20981"/>
    <cellStyle name="CALC Amount Total 53 7 2" xfId="29298"/>
    <cellStyle name="CALC Amount Total 53 7 2 2" xfId="41824"/>
    <cellStyle name="CALC Amount Total 53 7 3" xfId="36380"/>
    <cellStyle name="CALC Amount Total 53 7 4" xfId="41825"/>
    <cellStyle name="CALC Amount Total 53 8" xfId="21488"/>
    <cellStyle name="CALC Amount Total 53 8 2" xfId="29789"/>
    <cellStyle name="CALC Amount Total 53 8 2 2" xfId="41826"/>
    <cellStyle name="CALC Amount Total 53 8 3" xfId="36850"/>
    <cellStyle name="CALC Amount Total 53 8 4" xfId="41827"/>
    <cellStyle name="CALC Amount Total 53 9" xfId="22416"/>
    <cellStyle name="CALC Amount Total 53 9 2" xfId="30712"/>
    <cellStyle name="CALC Amount Total 53 9 2 2" xfId="41828"/>
    <cellStyle name="CALC Amount Total 53 9 3" xfId="37733"/>
    <cellStyle name="CALC Amount Total 53 9 4" xfId="41829"/>
    <cellStyle name="CALC Amount Total 54" xfId="15007"/>
    <cellStyle name="CALC Amount Total 54 10" xfId="23368"/>
    <cellStyle name="CALC Amount Total 54 10 2" xfId="41830"/>
    <cellStyle name="CALC Amount Total 54 11" xfId="41831"/>
    <cellStyle name="CALC Amount Total 54 12" xfId="41832"/>
    <cellStyle name="CALC Amount Total 54 2" xfId="16088"/>
    <cellStyle name="CALC Amount Total 54 2 2" xfId="24403"/>
    <cellStyle name="CALC Amount Total 54 2 2 2" xfId="41833"/>
    <cellStyle name="CALC Amount Total 54 2 3" xfId="31682"/>
    <cellStyle name="CALC Amount Total 54 2 4" xfId="41834"/>
    <cellStyle name="CALC Amount Total 54 3" xfId="17054"/>
    <cellStyle name="CALC Amount Total 54 3 2" xfId="25375"/>
    <cellStyle name="CALC Amount Total 54 3 2 2" xfId="41835"/>
    <cellStyle name="CALC Amount Total 54 3 3" xfId="32615"/>
    <cellStyle name="CALC Amount Total 54 3 4" xfId="41836"/>
    <cellStyle name="CALC Amount Total 54 4" xfId="18081"/>
    <cellStyle name="CALC Amount Total 54 4 2" xfId="26401"/>
    <cellStyle name="CALC Amount Total 54 4 2 2" xfId="41837"/>
    <cellStyle name="CALC Amount Total 54 4 3" xfId="33592"/>
    <cellStyle name="CALC Amount Total 54 4 4" xfId="41838"/>
    <cellStyle name="CALC Amount Total 54 5" xfId="19065"/>
    <cellStyle name="CALC Amount Total 54 5 2" xfId="27385"/>
    <cellStyle name="CALC Amount Total 54 5 2 2" xfId="41839"/>
    <cellStyle name="CALC Amount Total 54 5 3" xfId="34535"/>
    <cellStyle name="CALC Amount Total 54 5 4" xfId="41840"/>
    <cellStyle name="CALC Amount Total 54 6" xfId="20033"/>
    <cellStyle name="CALC Amount Total 54 6 2" xfId="28355"/>
    <cellStyle name="CALC Amount Total 54 6 2 2" xfId="41841"/>
    <cellStyle name="CALC Amount Total 54 6 3" xfId="35482"/>
    <cellStyle name="CALC Amount Total 54 6 4" xfId="41842"/>
    <cellStyle name="CALC Amount Total 54 7" xfId="20991"/>
    <cellStyle name="CALC Amount Total 54 7 2" xfId="29308"/>
    <cellStyle name="CALC Amount Total 54 7 2 2" xfId="41843"/>
    <cellStyle name="CALC Amount Total 54 7 3" xfId="36390"/>
    <cellStyle name="CALC Amount Total 54 7 4" xfId="41844"/>
    <cellStyle name="CALC Amount Total 54 8" xfId="21498"/>
    <cellStyle name="CALC Amount Total 54 8 2" xfId="29799"/>
    <cellStyle name="CALC Amount Total 54 8 2 2" xfId="41845"/>
    <cellStyle name="CALC Amount Total 54 8 3" xfId="36860"/>
    <cellStyle name="CALC Amount Total 54 8 4" xfId="41846"/>
    <cellStyle name="CALC Amount Total 54 9" xfId="22426"/>
    <cellStyle name="CALC Amount Total 54 9 2" xfId="30722"/>
    <cellStyle name="CALC Amount Total 54 9 2 2" xfId="41847"/>
    <cellStyle name="CALC Amount Total 54 9 3" xfId="37743"/>
    <cellStyle name="CALC Amount Total 54 9 4" xfId="41848"/>
    <cellStyle name="CALC Amount Total 55" xfId="15001"/>
    <cellStyle name="CALC Amount Total 55 10" xfId="23362"/>
    <cellStyle name="CALC Amount Total 55 10 2" xfId="41849"/>
    <cellStyle name="CALC Amount Total 55 11" xfId="41850"/>
    <cellStyle name="CALC Amount Total 55 12" xfId="41851"/>
    <cellStyle name="CALC Amount Total 55 2" xfId="16082"/>
    <cellStyle name="CALC Amount Total 55 2 2" xfId="24397"/>
    <cellStyle name="CALC Amount Total 55 2 2 2" xfId="41852"/>
    <cellStyle name="CALC Amount Total 55 2 3" xfId="31676"/>
    <cellStyle name="CALC Amount Total 55 2 4" xfId="41853"/>
    <cellStyle name="CALC Amount Total 55 3" xfId="17048"/>
    <cellStyle name="CALC Amount Total 55 3 2" xfId="25369"/>
    <cellStyle name="CALC Amount Total 55 3 2 2" xfId="41854"/>
    <cellStyle name="CALC Amount Total 55 3 3" xfId="32609"/>
    <cellStyle name="CALC Amount Total 55 3 4" xfId="41855"/>
    <cellStyle name="CALC Amount Total 55 4" xfId="18075"/>
    <cellStyle name="CALC Amount Total 55 4 2" xfId="26395"/>
    <cellStyle name="CALC Amount Total 55 4 2 2" xfId="41856"/>
    <cellStyle name="CALC Amount Total 55 4 3" xfId="33586"/>
    <cellStyle name="CALC Amount Total 55 4 4" xfId="41857"/>
    <cellStyle name="CALC Amount Total 55 5" xfId="19059"/>
    <cellStyle name="CALC Amount Total 55 5 2" xfId="27379"/>
    <cellStyle name="CALC Amount Total 55 5 2 2" xfId="41858"/>
    <cellStyle name="CALC Amount Total 55 5 3" xfId="34529"/>
    <cellStyle name="CALC Amount Total 55 5 4" xfId="41859"/>
    <cellStyle name="CALC Amount Total 55 6" xfId="20027"/>
    <cellStyle name="CALC Amount Total 55 6 2" xfId="28349"/>
    <cellStyle name="CALC Amount Total 55 6 2 2" xfId="41860"/>
    <cellStyle name="CALC Amount Total 55 6 3" xfId="35476"/>
    <cellStyle name="CALC Amount Total 55 6 4" xfId="41861"/>
    <cellStyle name="CALC Amount Total 55 7" xfId="20985"/>
    <cellStyle name="CALC Amount Total 55 7 2" xfId="29302"/>
    <cellStyle name="CALC Amount Total 55 7 2 2" xfId="41862"/>
    <cellStyle name="CALC Amount Total 55 7 3" xfId="36384"/>
    <cellStyle name="CALC Amount Total 55 7 4" xfId="41863"/>
    <cellStyle name="CALC Amount Total 55 8" xfId="21492"/>
    <cellStyle name="CALC Amount Total 55 8 2" xfId="29793"/>
    <cellStyle name="CALC Amount Total 55 8 2 2" xfId="41864"/>
    <cellStyle name="CALC Amount Total 55 8 3" xfId="36854"/>
    <cellStyle name="CALC Amount Total 55 8 4" xfId="41865"/>
    <cellStyle name="CALC Amount Total 55 9" xfId="22420"/>
    <cellStyle name="CALC Amount Total 55 9 2" xfId="30716"/>
    <cellStyle name="CALC Amount Total 55 9 2 2" xfId="41866"/>
    <cellStyle name="CALC Amount Total 55 9 3" xfId="37737"/>
    <cellStyle name="CALC Amount Total 55 9 4" xfId="41867"/>
    <cellStyle name="CALC Amount Total 56" xfId="15026"/>
    <cellStyle name="CALC Amount Total 56 10" xfId="23386"/>
    <cellStyle name="CALC Amount Total 56 10 2" xfId="41868"/>
    <cellStyle name="CALC Amount Total 56 11" xfId="41869"/>
    <cellStyle name="CALC Amount Total 56 12" xfId="41870"/>
    <cellStyle name="CALC Amount Total 56 2" xfId="16106"/>
    <cellStyle name="CALC Amount Total 56 2 2" xfId="24421"/>
    <cellStyle name="CALC Amount Total 56 2 2 2" xfId="41871"/>
    <cellStyle name="CALC Amount Total 56 2 3" xfId="31699"/>
    <cellStyle name="CALC Amount Total 56 2 4" xfId="41872"/>
    <cellStyle name="CALC Amount Total 56 3" xfId="17073"/>
    <cellStyle name="CALC Amount Total 56 3 2" xfId="25394"/>
    <cellStyle name="CALC Amount Total 56 3 2 2" xfId="41873"/>
    <cellStyle name="CALC Amount Total 56 3 3" xfId="32633"/>
    <cellStyle name="CALC Amount Total 56 3 4" xfId="41874"/>
    <cellStyle name="CALC Amount Total 56 4" xfId="18100"/>
    <cellStyle name="CALC Amount Total 56 4 2" xfId="26420"/>
    <cellStyle name="CALC Amount Total 56 4 2 2" xfId="41875"/>
    <cellStyle name="CALC Amount Total 56 4 3" xfId="33610"/>
    <cellStyle name="CALC Amount Total 56 4 4" xfId="41876"/>
    <cellStyle name="CALC Amount Total 56 5" xfId="19084"/>
    <cellStyle name="CALC Amount Total 56 5 2" xfId="27404"/>
    <cellStyle name="CALC Amount Total 56 5 2 2" xfId="41877"/>
    <cellStyle name="CALC Amount Total 56 5 3" xfId="34553"/>
    <cellStyle name="CALC Amount Total 56 5 4" xfId="41878"/>
    <cellStyle name="CALC Amount Total 56 6" xfId="20052"/>
    <cellStyle name="CALC Amount Total 56 6 2" xfId="28374"/>
    <cellStyle name="CALC Amount Total 56 6 2 2" xfId="41879"/>
    <cellStyle name="CALC Amount Total 56 6 3" xfId="35500"/>
    <cellStyle name="CALC Amount Total 56 6 4" xfId="41880"/>
    <cellStyle name="CALC Amount Total 56 7" xfId="21009"/>
    <cellStyle name="CALC Amount Total 56 7 2" xfId="29326"/>
    <cellStyle name="CALC Amount Total 56 7 2 2" xfId="41881"/>
    <cellStyle name="CALC Amount Total 56 7 3" xfId="36407"/>
    <cellStyle name="CALC Amount Total 56 7 4" xfId="41882"/>
    <cellStyle name="CALC Amount Total 56 8" xfId="21516"/>
    <cellStyle name="CALC Amount Total 56 8 2" xfId="29817"/>
    <cellStyle name="CALC Amount Total 56 8 2 2" xfId="41883"/>
    <cellStyle name="CALC Amount Total 56 8 3" xfId="36877"/>
    <cellStyle name="CALC Amount Total 56 8 4" xfId="41884"/>
    <cellStyle name="CALC Amount Total 56 9" xfId="22444"/>
    <cellStyle name="CALC Amount Total 56 9 2" xfId="30740"/>
    <cellStyle name="CALC Amount Total 56 9 2 2" xfId="41885"/>
    <cellStyle name="CALC Amount Total 56 9 3" xfId="37760"/>
    <cellStyle name="CALC Amount Total 56 9 4" xfId="41886"/>
    <cellStyle name="CALC Amount Total 57" xfId="14993"/>
    <cellStyle name="CALC Amount Total 57 10" xfId="23354"/>
    <cellStyle name="CALC Amount Total 57 10 2" xfId="41887"/>
    <cellStyle name="CALC Amount Total 57 11" xfId="41888"/>
    <cellStyle name="CALC Amount Total 57 12" xfId="41889"/>
    <cellStyle name="CALC Amount Total 57 2" xfId="16074"/>
    <cellStyle name="CALC Amount Total 57 2 2" xfId="24389"/>
    <cellStyle name="CALC Amount Total 57 2 2 2" xfId="41890"/>
    <cellStyle name="CALC Amount Total 57 2 3" xfId="31668"/>
    <cellStyle name="CALC Amount Total 57 2 4" xfId="41891"/>
    <cellStyle name="CALC Amount Total 57 3" xfId="17040"/>
    <cellStyle name="CALC Amount Total 57 3 2" xfId="25361"/>
    <cellStyle name="CALC Amount Total 57 3 2 2" xfId="41892"/>
    <cellStyle name="CALC Amount Total 57 3 3" xfId="32601"/>
    <cellStyle name="CALC Amount Total 57 3 4" xfId="41893"/>
    <cellStyle name="CALC Amount Total 57 4" xfId="18067"/>
    <cellStyle name="CALC Amount Total 57 4 2" xfId="26387"/>
    <cellStyle name="CALC Amount Total 57 4 2 2" xfId="41894"/>
    <cellStyle name="CALC Amount Total 57 4 3" xfId="33578"/>
    <cellStyle name="CALC Amount Total 57 4 4" xfId="41895"/>
    <cellStyle name="CALC Amount Total 57 5" xfId="19051"/>
    <cellStyle name="CALC Amount Total 57 5 2" xfId="27371"/>
    <cellStyle name="CALC Amount Total 57 5 2 2" xfId="41896"/>
    <cellStyle name="CALC Amount Total 57 5 3" xfId="34521"/>
    <cellStyle name="CALC Amount Total 57 5 4" xfId="41897"/>
    <cellStyle name="CALC Amount Total 57 6" xfId="20019"/>
    <cellStyle name="CALC Amount Total 57 6 2" xfId="28341"/>
    <cellStyle name="CALC Amount Total 57 6 2 2" xfId="41898"/>
    <cellStyle name="CALC Amount Total 57 6 3" xfId="35468"/>
    <cellStyle name="CALC Amount Total 57 6 4" xfId="41899"/>
    <cellStyle name="CALC Amount Total 57 7" xfId="20977"/>
    <cellStyle name="CALC Amount Total 57 7 2" xfId="29294"/>
    <cellStyle name="CALC Amount Total 57 7 2 2" xfId="41900"/>
    <cellStyle name="CALC Amount Total 57 7 3" xfId="36376"/>
    <cellStyle name="CALC Amount Total 57 7 4" xfId="41901"/>
    <cellStyle name="CALC Amount Total 57 8" xfId="21484"/>
    <cellStyle name="CALC Amount Total 57 8 2" xfId="29785"/>
    <cellStyle name="CALC Amount Total 57 8 2 2" xfId="41902"/>
    <cellStyle name="CALC Amount Total 57 8 3" xfId="36846"/>
    <cellStyle name="CALC Amount Total 57 8 4" xfId="41903"/>
    <cellStyle name="CALC Amount Total 57 9" xfId="22412"/>
    <cellStyle name="CALC Amount Total 57 9 2" xfId="30708"/>
    <cellStyle name="CALC Amount Total 57 9 2 2" xfId="41904"/>
    <cellStyle name="CALC Amount Total 57 9 3" xfId="37729"/>
    <cellStyle name="CALC Amount Total 57 9 4" xfId="41905"/>
    <cellStyle name="CALC Amount Total 58" xfId="15049"/>
    <cellStyle name="CALC Amount Total 58 10" xfId="23409"/>
    <cellStyle name="CALC Amount Total 58 10 2" xfId="41906"/>
    <cellStyle name="CALC Amount Total 58 11" xfId="41907"/>
    <cellStyle name="CALC Amount Total 58 12" xfId="41908"/>
    <cellStyle name="CALC Amount Total 58 2" xfId="16129"/>
    <cellStyle name="CALC Amount Total 58 2 2" xfId="24444"/>
    <cellStyle name="CALC Amount Total 58 2 2 2" xfId="41909"/>
    <cellStyle name="CALC Amount Total 58 2 3" xfId="31721"/>
    <cellStyle name="CALC Amount Total 58 2 4" xfId="41910"/>
    <cellStyle name="CALC Amount Total 58 3" xfId="17096"/>
    <cellStyle name="CALC Amount Total 58 3 2" xfId="25417"/>
    <cellStyle name="CALC Amount Total 58 3 2 2" xfId="41911"/>
    <cellStyle name="CALC Amount Total 58 3 3" xfId="32655"/>
    <cellStyle name="CALC Amount Total 58 3 4" xfId="41912"/>
    <cellStyle name="CALC Amount Total 58 4" xfId="18123"/>
    <cellStyle name="CALC Amount Total 58 4 2" xfId="26443"/>
    <cellStyle name="CALC Amount Total 58 4 2 2" xfId="41913"/>
    <cellStyle name="CALC Amount Total 58 4 3" xfId="33632"/>
    <cellStyle name="CALC Amount Total 58 4 4" xfId="41914"/>
    <cellStyle name="CALC Amount Total 58 5" xfId="19107"/>
    <cellStyle name="CALC Amount Total 58 5 2" xfId="27427"/>
    <cellStyle name="CALC Amount Total 58 5 2 2" xfId="41915"/>
    <cellStyle name="CALC Amount Total 58 5 3" xfId="34575"/>
    <cellStyle name="CALC Amount Total 58 5 4" xfId="41916"/>
    <cellStyle name="CALC Amount Total 58 6" xfId="20075"/>
    <cellStyle name="CALC Amount Total 58 6 2" xfId="28397"/>
    <cellStyle name="CALC Amount Total 58 6 2 2" xfId="41917"/>
    <cellStyle name="CALC Amount Total 58 6 3" xfId="35522"/>
    <cellStyle name="CALC Amount Total 58 6 4" xfId="41918"/>
    <cellStyle name="CALC Amount Total 58 7" xfId="21032"/>
    <cellStyle name="CALC Amount Total 58 7 2" xfId="29349"/>
    <cellStyle name="CALC Amount Total 58 7 2 2" xfId="41919"/>
    <cellStyle name="CALC Amount Total 58 7 3" xfId="36429"/>
    <cellStyle name="CALC Amount Total 58 7 4" xfId="41920"/>
    <cellStyle name="CALC Amount Total 58 8" xfId="21539"/>
    <cellStyle name="CALC Amount Total 58 8 2" xfId="29840"/>
    <cellStyle name="CALC Amount Total 58 8 2 2" xfId="41921"/>
    <cellStyle name="CALC Amount Total 58 8 3" xfId="36899"/>
    <cellStyle name="CALC Amount Total 58 8 4" xfId="41922"/>
    <cellStyle name="CALC Amount Total 58 9" xfId="22467"/>
    <cellStyle name="CALC Amount Total 58 9 2" xfId="30763"/>
    <cellStyle name="CALC Amount Total 58 9 2 2" xfId="41923"/>
    <cellStyle name="CALC Amount Total 58 9 3" xfId="37782"/>
    <cellStyle name="CALC Amount Total 58 9 4" xfId="41924"/>
    <cellStyle name="CALC Amount Total 59" xfId="14988"/>
    <cellStyle name="CALC Amount Total 59 10" xfId="23349"/>
    <cellStyle name="CALC Amount Total 59 10 2" xfId="41925"/>
    <cellStyle name="CALC Amount Total 59 11" xfId="41926"/>
    <cellStyle name="CALC Amount Total 59 12" xfId="41927"/>
    <cellStyle name="CALC Amount Total 59 2" xfId="16069"/>
    <cellStyle name="CALC Amount Total 59 2 2" xfId="24384"/>
    <cellStyle name="CALC Amount Total 59 2 2 2" xfId="41928"/>
    <cellStyle name="CALC Amount Total 59 2 3" xfId="31663"/>
    <cellStyle name="CALC Amount Total 59 2 4" xfId="41929"/>
    <cellStyle name="CALC Amount Total 59 3" xfId="17035"/>
    <cellStyle name="CALC Amount Total 59 3 2" xfId="25356"/>
    <cellStyle name="CALC Amount Total 59 3 2 2" xfId="41930"/>
    <cellStyle name="CALC Amount Total 59 3 3" xfId="32596"/>
    <cellStyle name="CALC Amount Total 59 3 4" xfId="41931"/>
    <cellStyle name="CALC Amount Total 59 4" xfId="18062"/>
    <cellStyle name="CALC Amount Total 59 4 2" xfId="26382"/>
    <cellStyle name="CALC Amount Total 59 4 2 2" xfId="41932"/>
    <cellStyle name="CALC Amount Total 59 4 3" xfId="33573"/>
    <cellStyle name="CALC Amount Total 59 4 4" xfId="41933"/>
    <cellStyle name="CALC Amount Total 59 5" xfId="19046"/>
    <cellStyle name="CALC Amount Total 59 5 2" xfId="27366"/>
    <cellStyle name="CALC Amount Total 59 5 2 2" xfId="41934"/>
    <cellStyle name="CALC Amount Total 59 5 3" xfId="34516"/>
    <cellStyle name="CALC Amount Total 59 5 4" xfId="41935"/>
    <cellStyle name="CALC Amount Total 59 6" xfId="20014"/>
    <cellStyle name="CALC Amount Total 59 6 2" xfId="28336"/>
    <cellStyle name="CALC Amount Total 59 6 2 2" xfId="41936"/>
    <cellStyle name="CALC Amount Total 59 6 3" xfId="35463"/>
    <cellStyle name="CALC Amount Total 59 6 4" xfId="41937"/>
    <cellStyle name="CALC Amount Total 59 7" xfId="20972"/>
    <cellStyle name="CALC Amount Total 59 7 2" xfId="29289"/>
    <cellStyle name="CALC Amount Total 59 7 2 2" xfId="41938"/>
    <cellStyle name="CALC Amount Total 59 7 3" xfId="36371"/>
    <cellStyle name="CALC Amount Total 59 7 4" xfId="41939"/>
    <cellStyle name="CALC Amount Total 59 8" xfId="21479"/>
    <cellStyle name="CALC Amount Total 59 8 2" xfId="29780"/>
    <cellStyle name="CALC Amount Total 59 8 2 2" xfId="41940"/>
    <cellStyle name="CALC Amount Total 59 8 3" xfId="36841"/>
    <cellStyle name="CALC Amount Total 59 8 4" xfId="41941"/>
    <cellStyle name="CALC Amount Total 59 9" xfId="22407"/>
    <cellStyle name="CALC Amount Total 59 9 2" xfId="30703"/>
    <cellStyle name="CALC Amount Total 59 9 2 2" xfId="41942"/>
    <cellStyle name="CALC Amount Total 59 9 3" xfId="37724"/>
    <cellStyle name="CALC Amount Total 59 9 4" xfId="41943"/>
    <cellStyle name="CALC Amount Total 6" xfId="14557"/>
    <cellStyle name="CALC Amount Total 6 10" xfId="22913"/>
    <cellStyle name="CALC Amount Total 6 10 2" xfId="41944"/>
    <cellStyle name="CALC Amount Total 6 11" xfId="41945"/>
    <cellStyle name="CALC Amount Total 6 2" xfId="15636"/>
    <cellStyle name="CALC Amount Total 6 2 2" xfId="23949"/>
    <cellStyle name="CALC Amount Total 6 2 2 2" xfId="41946"/>
    <cellStyle name="CALC Amount Total 6 2 3" xfId="31246"/>
    <cellStyle name="CALC Amount Total 6 2 4" xfId="41947"/>
    <cellStyle name="CALC Amount Total 6 3" xfId="16603"/>
    <cellStyle name="CALC Amount Total 6 3 2" xfId="24920"/>
    <cellStyle name="CALC Amount Total 6 3 2 2" xfId="41948"/>
    <cellStyle name="CALC Amount Total 6 3 3" xfId="32179"/>
    <cellStyle name="CALC Amount Total 6 3 4" xfId="41949"/>
    <cellStyle name="CALC Amount Total 6 4" xfId="17623"/>
    <cellStyle name="CALC Amount Total 6 4 2" xfId="25946"/>
    <cellStyle name="CALC Amount Total 6 4 2 2" xfId="41950"/>
    <cellStyle name="CALC Amount Total 6 4 3" xfId="33156"/>
    <cellStyle name="CALC Amount Total 6 4 4" xfId="41951"/>
    <cellStyle name="CALC Amount Total 6 5" xfId="18605"/>
    <cellStyle name="CALC Amount Total 6 5 2" xfId="26924"/>
    <cellStyle name="CALC Amount Total 6 5 2 2" xfId="41952"/>
    <cellStyle name="CALC Amount Total 6 5 3" xfId="34092"/>
    <cellStyle name="CALC Amount Total 6 5 4" xfId="41953"/>
    <cellStyle name="CALC Amount Total 6 6" xfId="19573"/>
    <cellStyle name="CALC Amount Total 6 6 2" xfId="27894"/>
    <cellStyle name="CALC Amount Total 6 6 2 2" xfId="41954"/>
    <cellStyle name="CALC Amount Total 6 6 3" xfId="35039"/>
    <cellStyle name="CALC Amount Total 6 6 4" xfId="41955"/>
    <cellStyle name="CALC Amount Total 6 7" xfId="20531"/>
    <cellStyle name="CALC Amount Total 6 7 2" xfId="28853"/>
    <cellStyle name="CALC Amount Total 6 7 2 2" xfId="41956"/>
    <cellStyle name="CALC Amount Total 6 7 3" xfId="35956"/>
    <cellStyle name="CALC Amount Total 6 7 4" xfId="41957"/>
    <cellStyle name="CALC Amount Total 6 8" xfId="21150"/>
    <cellStyle name="CALC Amount Total 6 8 2" xfId="29462"/>
    <cellStyle name="CALC Amount Total 6 8 2 2" xfId="41958"/>
    <cellStyle name="CALC Amount Total 6 8 3" xfId="36534"/>
    <cellStyle name="CALC Amount Total 6 8 4" xfId="41959"/>
    <cellStyle name="CALC Amount Total 6 9" xfId="21966"/>
    <cellStyle name="CALC Amount Total 6 9 2" xfId="30267"/>
    <cellStyle name="CALC Amount Total 6 9 2 2" xfId="41960"/>
    <cellStyle name="CALC Amount Total 6 9 3" xfId="37307"/>
    <cellStyle name="CALC Amount Total 6 9 4" xfId="41961"/>
    <cellStyle name="CALC Amount Total 60" xfId="14973"/>
    <cellStyle name="CALC Amount Total 60 10" xfId="23334"/>
    <cellStyle name="CALC Amount Total 60 10 2" xfId="41962"/>
    <cellStyle name="CALC Amount Total 60 11" xfId="41963"/>
    <cellStyle name="CALC Amount Total 60 12" xfId="41964"/>
    <cellStyle name="CALC Amount Total 60 2" xfId="16054"/>
    <cellStyle name="CALC Amount Total 60 2 2" xfId="24369"/>
    <cellStyle name="CALC Amount Total 60 2 2 2" xfId="41965"/>
    <cellStyle name="CALC Amount Total 60 2 3" xfId="31648"/>
    <cellStyle name="CALC Amount Total 60 2 4" xfId="41966"/>
    <cellStyle name="CALC Amount Total 60 3" xfId="17020"/>
    <cellStyle name="CALC Amount Total 60 3 2" xfId="25341"/>
    <cellStyle name="CALC Amount Total 60 3 2 2" xfId="41967"/>
    <cellStyle name="CALC Amount Total 60 3 3" xfId="32581"/>
    <cellStyle name="CALC Amount Total 60 3 4" xfId="41968"/>
    <cellStyle name="CALC Amount Total 60 4" xfId="18047"/>
    <cellStyle name="CALC Amount Total 60 4 2" xfId="26367"/>
    <cellStyle name="CALC Amount Total 60 4 2 2" xfId="41969"/>
    <cellStyle name="CALC Amount Total 60 4 3" xfId="33558"/>
    <cellStyle name="CALC Amount Total 60 4 4" xfId="41970"/>
    <cellStyle name="CALC Amount Total 60 5" xfId="19031"/>
    <cellStyle name="CALC Amount Total 60 5 2" xfId="27351"/>
    <cellStyle name="CALC Amount Total 60 5 2 2" xfId="41971"/>
    <cellStyle name="CALC Amount Total 60 5 3" xfId="34501"/>
    <cellStyle name="CALC Amount Total 60 5 4" xfId="41972"/>
    <cellStyle name="CALC Amount Total 60 6" xfId="19999"/>
    <cellStyle name="CALC Amount Total 60 6 2" xfId="28321"/>
    <cellStyle name="CALC Amount Total 60 6 2 2" xfId="41973"/>
    <cellStyle name="CALC Amount Total 60 6 3" xfId="35448"/>
    <cellStyle name="CALC Amount Total 60 6 4" xfId="41974"/>
    <cellStyle name="CALC Amount Total 60 7" xfId="20957"/>
    <cellStyle name="CALC Amount Total 60 7 2" xfId="29274"/>
    <cellStyle name="CALC Amount Total 60 7 2 2" xfId="41975"/>
    <cellStyle name="CALC Amount Total 60 7 3" xfId="36356"/>
    <cellStyle name="CALC Amount Total 60 7 4" xfId="41976"/>
    <cellStyle name="CALC Amount Total 60 8" xfId="21464"/>
    <cellStyle name="CALC Amount Total 60 8 2" xfId="29765"/>
    <cellStyle name="CALC Amount Total 60 8 2 2" xfId="41977"/>
    <cellStyle name="CALC Amount Total 60 8 3" xfId="36826"/>
    <cellStyle name="CALC Amount Total 60 8 4" xfId="41978"/>
    <cellStyle name="CALC Amount Total 60 9" xfId="22392"/>
    <cellStyle name="CALC Amount Total 60 9 2" xfId="30688"/>
    <cellStyle name="CALC Amount Total 60 9 2 2" xfId="41979"/>
    <cellStyle name="CALC Amount Total 60 9 3" xfId="37709"/>
    <cellStyle name="CALC Amount Total 60 9 4" xfId="41980"/>
    <cellStyle name="CALC Amount Total 61" xfId="15018"/>
    <cellStyle name="CALC Amount Total 61 10" xfId="23378"/>
    <cellStyle name="CALC Amount Total 61 10 2" xfId="41981"/>
    <cellStyle name="CALC Amount Total 61 11" xfId="41982"/>
    <cellStyle name="CALC Amount Total 61 12" xfId="41983"/>
    <cellStyle name="CALC Amount Total 61 2" xfId="16098"/>
    <cellStyle name="CALC Amount Total 61 2 2" xfId="24413"/>
    <cellStyle name="CALC Amount Total 61 2 2 2" xfId="41984"/>
    <cellStyle name="CALC Amount Total 61 2 3" xfId="31691"/>
    <cellStyle name="CALC Amount Total 61 2 4" xfId="41985"/>
    <cellStyle name="CALC Amount Total 61 3" xfId="17065"/>
    <cellStyle name="CALC Amount Total 61 3 2" xfId="25386"/>
    <cellStyle name="CALC Amount Total 61 3 2 2" xfId="41986"/>
    <cellStyle name="CALC Amount Total 61 3 3" xfId="32625"/>
    <cellStyle name="CALC Amount Total 61 3 4" xfId="41987"/>
    <cellStyle name="CALC Amount Total 61 4" xfId="18092"/>
    <cellStyle name="CALC Amount Total 61 4 2" xfId="26412"/>
    <cellStyle name="CALC Amount Total 61 4 2 2" xfId="41988"/>
    <cellStyle name="CALC Amount Total 61 4 3" xfId="33602"/>
    <cellStyle name="CALC Amount Total 61 4 4" xfId="41989"/>
    <cellStyle name="CALC Amount Total 61 5" xfId="19076"/>
    <cellStyle name="CALC Amount Total 61 5 2" xfId="27396"/>
    <cellStyle name="CALC Amount Total 61 5 2 2" xfId="41990"/>
    <cellStyle name="CALC Amount Total 61 5 3" xfId="34545"/>
    <cellStyle name="CALC Amount Total 61 5 4" xfId="41991"/>
    <cellStyle name="CALC Amount Total 61 6" xfId="20044"/>
    <cellStyle name="CALC Amount Total 61 6 2" xfId="28366"/>
    <cellStyle name="CALC Amount Total 61 6 2 2" xfId="41992"/>
    <cellStyle name="CALC Amount Total 61 6 3" xfId="35492"/>
    <cellStyle name="CALC Amount Total 61 6 4" xfId="41993"/>
    <cellStyle name="CALC Amount Total 61 7" xfId="21001"/>
    <cellStyle name="CALC Amount Total 61 7 2" xfId="29318"/>
    <cellStyle name="CALC Amount Total 61 7 2 2" xfId="41994"/>
    <cellStyle name="CALC Amount Total 61 7 3" xfId="36399"/>
    <cellStyle name="CALC Amount Total 61 7 4" xfId="41995"/>
    <cellStyle name="CALC Amount Total 61 8" xfId="21508"/>
    <cellStyle name="CALC Amount Total 61 8 2" xfId="29809"/>
    <cellStyle name="CALC Amount Total 61 8 2 2" xfId="41996"/>
    <cellStyle name="CALC Amount Total 61 8 3" xfId="36869"/>
    <cellStyle name="CALC Amount Total 61 8 4" xfId="41997"/>
    <cellStyle name="CALC Amount Total 61 9" xfId="22436"/>
    <cellStyle name="CALC Amount Total 61 9 2" xfId="30732"/>
    <cellStyle name="CALC Amount Total 61 9 2 2" xfId="41998"/>
    <cellStyle name="CALC Amount Total 61 9 3" xfId="37752"/>
    <cellStyle name="CALC Amount Total 61 9 4" xfId="41999"/>
    <cellStyle name="CALC Amount Total 62" xfId="14986"/>
    <cellStyle name="CALC Amount Total 62 10" xfId="23347"/>
    <cellStyle name="CALC Amount Total 62 10 2" xfId="42000"/>
    <cellStyle name="CALC Amount Total 62 11" xfId="42001"/>
    <cellStyle name="CALC Amount Total 62 12" xfId="42002"/>
    <cellStyle name="CALC Amount Total 62 2" xfId="16067"/>
    <cellStyle name="CALC Amount Total 62 2 2" xfId="24382"/>
    <cellStyle name="CALC Amount Total 62 2 2 2" xfId="42003"/>
    <cellStyle name="CALC Amount Total 62 2 3" xfId="31661"/>
    <cellStyle name="CALC Amount Total 62 2 4" xfId="42004"/>
    <cellStyle name="CALC Amount Total 62 3" xfId="17033"/>
    <cellStyle name="CALC Amount Total 62 3 2" xfId="25354"/>
    <cellStyle name="CALC Amount Total 62 3 2 2" xfId="42005"/>
    <cellStyle name="CALC Amount Total 62 3 3" xfId="32594"/>
    <cellStyle name="CALC Amount Total 62 3 4" xfId="42006"/>
    <cellStyle name="CALC Amount Total 62 4" xfId="18060"/>
    <cellStyle name="CALC Amount Total 62 4 2" xfId="26380"/>
    <cellStyle name="CALC Amount Total 62 4 2 2" xfId="42007"/>
    <cellStyle name="CALC Amount Total 62 4 3" xfId="33571"/>
    <cellStyle name="CALC Amount Total 62 4 4" xfId="42008"/>
    <cellStyle name="CALC Amount Total 62 5" xfId="19044"/>
    <cellStyle name="CALC Amount Total 62 5 2" xfId="27364"/>
    <cellStyle name="CALC Amount Total 62 5 2 2" xfId="42009"/>
    <cellStyle name="CALC Amount Total 62 5 3" xfId="34514"/>
    <cellStyle name="CALC Amount Total 62 5 4" xfId="42010"/>
    <cellStyle name="CALC Amount Total 62 6" xfId="20012"/>
    <cellStyle name="CALC Amount Total 62 6 2" xfId="28334"/>
    <cellStyle name="CALC Amount Total 62 6 2 2" xfId="42011"/>
    <cellStyle name="CALC Amount Total 62 6 3" xfId="35461"/>
    <cellStyle name="CALC Amount Total 62 6 4" xfId="42012"/>
    <cellStyle name="CALC Amount Total 62 7" xfId="20970"/>
    <cellStyle name="CALC Amount Total 62 7 2" xfId="29287"/>
    <cellStyle name="CALC Amount Total 62 7 2 2" xfId="42013"/>
    <cellStyle name="CALC Amount Total 62 7 3" xfId="36369"/>
    <cellStyle name="CALC Amount Total 62 7 4" xfId="42014"/>
    <cellStyle name="CALC Amount Total 62 8" xfId="21477"/>
    <cellStyle name="CALC Amount Total 62 8 2" xfId="29778"/>
    <cellStyle name="CALC Amount Total 62 8 2 2" xfId="42015"/>
    <cellStyle name="CALC Amount Total 62 8 3" xfId="36839"/>
    <cellStyle name="CALC Amount Total 62 8 4" xfId="42016"/>
    <cellStyle name="CALC Amount Total 62 9" xfId="22405"/>
    <cellStyle name="CALC Amount Total 62 9 2" xfId="30701"/>
    <cellStyle name="CALC Amount Total 62 9 2 2" xfId="42017"/>
    <cellStyle name="CALC Amount Total 62 9 3" xfId="37722"/>
    <cellStyle name="CALC Amount Total 62 9 4" xfId="42018"/>
    <cellStyle name="CALC Amount Total 63" xfId="15046"/>
    <cellStyle name="CALC Amount Total 63 10" xfId="23406"/>
    <cellStyle name="CALC Amount Total 63 10 2" xfId="42019"/>
    <cellStyle name="CALC Amount Total 63 11" xfId="42020"/>
    <cellStyle name="CALC Amount Total 63 12" xfId="42021"/>
    <cellStyle name="CALC Amount Total 63 2" xfId="16126"/>
    <cellStyle name="CALC Amount Total 63 2 2" xfId="24441"/>
    <cellStyle name="CALC Amount Total 63 2 2 2" xfId="42022"/>
    <cellStyle name="CALC Amount Total 63 2 3" xfId="31718"/>
    <cellStyle name="CALC Amount Total 63 2 4" xfId="42023"/>
    <cellStyle name="CALC Amount Total 63 3" xfId="17093"/>
    <cellStyle name="CALC Amount Total 63 3 2" xfId="25414"/>
    <cellStyle name="CALC Amount Total 63 3 2 2" xfId="42024"/>
    <cellStyle name="CALC Amount Total 63 3 3" xfId="32652"/>
    <cellStyle name="CALC Amount Total 63 3 4" xfId="42025"/>
    <cellStyle name="CALC Amount Total 63 4" xfId="18120"/>
    <cellStyle name="CALC Amount Total 63 4 2" xfId="26440"/>
    <cellStyle name="CALC Amount Total 63 4 2 2" xfId="42026"/>
    <cellStyle name="CALC Amount Total 63 4 3" xfId="33629"/>
    <cellStyle name="CALC Amount Total 63 4 4" xfId="42027"/>
    <cellStyle name="CALC Amount Total 63 5" xfId="19104"/>
    <cellStyle name="CALC Amount Total 63 5 2" xfId="27424"/>
    <cellStyle name="CALC Amount Total 63 5 2 2" xfId="42028"/>
    <cellStyle name="CALC Amount Total 63 5 3" xfId="34572"/>
    <cellStyle name="CALC Amount Total 63 5 4" xfId="42029"/>
    <cellStyle name="CALC Amount Total 63 6" xfId="20072"/>
    <cellStyle name="CALC Amount Total 63 6 2" xfId="28394"/>
    <cellStyle name="CALC Amount Total 63 6 2 2" xfId="42030"/>
    <cellStyle name="CALC Amount Total 63 6 3" xfId="35519"/>
    <cellStyle name="CALC Amount Total 63 6 4" xfId="42031"/>
    <cellStyle name="CALC Amount Total 63 7" xfId="21029"/>
    <cellStyle name="CALC Amount Total 63 7 2" xfId="29346"/>
    <cellStyle name="CALC Amount Total 63 7 2 2" xfId="42032"/>
    <cellStyle name="CALC Amount Total 63 7 3" xfId="36426"/>
    <cellStyle name="CALC Amount Total 63 7 4" xfId="42033"/>
    <cellStyle name="CALC Amount Total 63 8" xfId="21536"/>
    <cellStyle name="CALC Amount Total 63 8 2" xfId="29837"/>
    <cellStyle name="CALC Amount Total 63 8 2 2" xfId="42034"/>
    <cellStyle name="CALC Amount Total 63 8 3" xfId="36896"/>
    <cellStyle name="CALC Amount Total 63 8 4" xfId="42035"/>
    <cellStyle name="CALC Amount Total 63 9" xfId="22464"/>
    <cellStyle name="CALC Amount Total 63 9 2" xfId="30760"/>
    <cellStyle name="CALC Amount Total 63 9 2 2" xfId="42036"/>
    <cellStyle name="CALC Amount Total 63 9 3" xfId="37779"/>
    <cellStyle name="CALC Amount Total 63 9 4" xfId="42037"/>
    <cellStyle name="CALC Amount Total 64" xfId="15020"/>
    <cellStyle name="CALC Amount Total 64 10" xfId="23380"/>
    <cellStyle name="CALC Amount Total 64 10 2" xfId="42038"/>
    <cellStyle name="CALC Amount Total 64 11" xfId="42039"/>
    <cellStyle name="CALC Amount Total 64 12" xfId="42040"/>
    <cellStyle name="CALC Amount Total 64 2" xfId="16100"/>
    <cellStyle name="CALC Amount Total 64 2 2" xfId="24415"/>
    <cellStyle name="CALC Amount Total 64 2 2 2" xfId="42041"/>
    <cellStyle name="CALC Amount Total 64 2 3" xfId="31693"/>
    <cellStyle name="CALC Amount Total 64 2 4" xfId="42042"/>
    <cellStyle name="CALC Amount Total 64 3" xfId="17067"/>
    <cellStyle name="CALC Amount Total 64 3 2" xfId="25388"/>
    <cellStyle name="CALC Amount Total 64 3 2 2" xfId="42043"/>
    <cellStyle name="CALC Amount Total 64 3 3" xfId="32627"/>
    <cellStyle name="CALC Amount Total 64 3 4" xfId="42044"/>
    <cellStyle name="CALC Amount Total 64 4" xfId="18094"/>
    <cellStyle name="CALC Amount Total 64 4 2" xfId="26414"/>
    <cellStyle name="CALC Amount Total 64 4 2 2" xfId="42045"/>
    <cellStyle name="CALC Amount Total 64 4 3" xfId="33604"/>
    <cellStyle name="CALC Amount Total 64 4 4" xfId="42046"/>
    <cellStyle name="CALC Amount Total 64 5" xfId="19078"/>
    <cellStyle name="CALC Amount Total 64 5 2" xfId="27398"/>
    <cellStyle name="CALC Amount Total 64 5 2 2" xfId="42047"/>
    <cellStyle name="CALC Amount Total 64 5 3" xfId="34547"/>
    <cellStyle name="CALC Amount Total 64 5 4" xfId="42048"/>
    <cellStyle name="CALC Amount Total 64 6" xfId="20046"/>
    <cellStyle name="CALC Amount Total 64 6 2" xfId="28368"/>
    <cellStyle name="CALC Amount Total 64 6 2 2" xfId="42049"/>
    <cellStyle name="CALC Amount Total 64 6 3" xfId="35494"/>
    <cellStyle name="CALC Amount Total 64 6 4" xfId="42050"/>
    <cellStyle name="CALC Amount Total 64 7" xfId="21003"/>
    <cellStyle name="CALC Amount Total 64 7 2" xfId="29320"/>
    <cellStyle name="CALC Amount Total 64 7 2 2" xfId="42051"/>
    <cellStyle name="CALC Amount Total 64 7 3" xfId="36401"/>
    <cellStyle name="CALC Amount Total 64 7 4" xfId="42052"/>
    <cellStyle name="CALC Amount Total 64 8" xfId="21510"/>
    <cellStyle name="CALC Amount Total 64 8 2" xfId="29811"/>
    <cellStyle name="CALC Amount Total 64 8 2 2" xfId="42053"/>
    <cellStyle name="CALC Amount Total 64 8 3" xfId="36871"/>
    <cellStyle name="CALC Amount Total 64 8 4" xfId="42054"/>
    <cellStyle name="CALC Amount Total 64 9" xfId="22438"/>
    <cellStyle name="CALC Amount Total 64 9 2" xfId="30734"/>
    <cellStyle name="CALC Amount Total 64 9 2 2" xfId="42055"/>
    <cellStyle name="CALC Amount Total 64 9 3" xfId="37754"/>
    <cellStyle name="CALC Amount Total 64 9 4" xfId="42056"/>
    <cellStyle name="CALC Amount Total 65" xfId="15072"/>
    <cellStyle name="CALC Amount Total 65 10" xfId="23432"/>
    <cellStyle name="CALC Amount Total 65 10 2" xfId="42057"/>
    <cellStyle name="CALC Amount Total 65 11" xfId="42058"/>
    <cellStyle name="CALC Amount Total 65 12" xfId="42059"/>
    <cellStyle name="CALC Amount Total 65 2" xfId="16152"/>
    <cellStyle name="CALC Amount Total 65 2 2" xfId="24467"/>
    <cellStyle name="CALC Amount Total 65 2 2 2" xfId="42060"/>
    <cellStyle name="CALC Amount Total 65 2 3" xfId="31744"/>
    <cellStyle name="CALC Amount Total 65 2 4" xfId="42061"/>
    <cellStyle name="CALC Amount Total 65 3" xfId="17119"/>
    <cellStyle name="CALC Amount Total 65 3 2" xfId="25440"/>
    <cellStyle name="CALC Amount Total 65 3 2 2" xfId="42062"/>
    <cellStyle name="CALC Amount Total 65 3 3" xfId="32678"/>
    <cellStyle name="CALC Amount Total 65 3 4" xfId="42063"/>
    <cellStyle name="CALC Amount Total 65 4" xfId="18146"/>
    <cellStyle name="CALC Amount Total 65 4 2" xfId="26466"/>
    <cellStyle name="CALC Amount Total 65 4 2 2" xfId="42064"/>
    <cellStyle name="CALC Amount Total 65 4 3" xfId="33655"/>
    <cellStyle name="CALC Amount Total 65 4 4" xfId="42065"/>
    <cellStyle name="CALC Amount Total 65 5" xfId="19130"/>
    <cellStyle name="CALC Amount Total 65 5 2" xfId="27450"/>
    <cellStyle name="CALC Amount Total 65 5 2 2" xfId="42066"/>
    <cellStyle name="CALC Amount Total 65 5 3" xfId="34598"/>
    <cellStyle name="CALC Amount Total 65 5 4" xfId="42067"/>
    <cellStyle name="CALC Amount Total 65 6" xfId="20098"/>
    <cellStyle name="CALC Amount Total 65 6 2" xfId="28420"/>
    <cellStyle name="CALC Amount Total 65 6 2 2" xfId="42068"/>
    <cellStyle name="CALC Amount Total 65 6 3" xfId="35545"/>
    <cellStyle name="CALC Amount Total 65 6 4" xfId="42069"/>
    <cellStyle name="CALC Amount Total 65 7" xfId="21055"/>
    <cellStyle name="CALC Amount Total 65 7 2" xfId="29372"/>
    <cellStyle name="CALC Amount Total 65 7 2 2" xfId="42070"/>
    <cellStyle name="CALC Amount Total 65 7 3" xfId="36452"/>
    <cellStyle name="CALC Amount Total 65 7 4" xfId="42071"/>
    <cellStyle name="CALC Amount Total 65 8" xfId="21562"/>
    <cellStyle name="CALC Amount Total 65 8 2" xfId="29863"/>
    <cellStyle name="CALC Amount Total 65 8 2 2" xfId="42072"/>
    <cellStyle name="CALC Amount Total 65 8 3" xfId="36922"/>
    <cellStyle name="CALC Amount Total 65 8 4" xfId="42073"/>
    <cellStyle name="CALC Amount Total 65 9" xfId="22490"/>
    <cellStyle name="CALC Amount Total 65 9 2" xfId="30786"/>
    <cellStyle name="CALC Amount Total 65 9 2 2" xfId="42074"/>
    <cellStyle name="CALC Amount Total 65 9 3" xfId="37805"/>
    <cellStyle name="CALC Amount Total 65 9 4" xfId="42075"/>
    <cellStyle name="CALC Amount Total 66" xfId="14981"/>
    <cellStyle name="CALC Amount Total 66 10" xfId="23342"/>
    <cellStyle name="CALC Amount Total 66 10 2" xfId="42076"/>
    <cellStyle name="CALC Amount Total 66 11" xfId="42077"/>
    <cellStyle name="CALC Amount Total 66 12" xfId="42078"/>
    <cellStyle name="CALC Amount Total 66 2" xfId="16062"/>
    <cellStyle name="CALC Amount Total 66 2 2" xfId="24377"/>
    <cellStyle name="CALC Amount Total 66 2 2 2" xfId="42079"/>
    <cellStyle name="CALC Amount Total 66 2 3" xfId="31656"/>
    <cellStyle name="CALC Amount Total 66 2 4" xfId="42080"/>
    <cellStyle name="CALC Amount Total 66 3" xfId="17028"/>
    <cellStyle name="CALC Amount Total 66 3 2" xfId="25349"/>
    <cellStyle name="CALC Amount Total 66 3 2 2" xfId="42081"/>
    <cellStyle name="CALC Amount Total 66 3 3" xfId="32589"/>
    <cellStyle name="CALC Amount Total 66 3 4" xfId="42082"/>
    <cellStyle name="CALC Amount Total 66 4" xfId="18055"/>
    <cellStyle name="CALC Amount Total 66 4 2" xfId="26375"/>
    <cellStyle name="CALC Amount Total 66 4 2 2" xfId="42083"/>
    <cellStyle name="CALC Amount Total 66 4 3" xfId="33566"/>
    <cellStyle name="CALC Amount Total 66 4 4" xfId="42084"/>
    <cellStyle name="CALC Amount Total 66 5" xfId="19039"/>
    <cellStyle name="CALC Amount Total 66 5 2" xfId="27359"/>
    <cellStyle name="CALC Amount Total 66 5 2 2" xfId="42085"/>
    <cellStyle name="CALC Amount Total 66 5 3" xfId="34509"/>
    <cellStyle name="CALC Amount Total 66 5 4" xfId="42086"/>
    <cellStyle name="CALC Amount Total 66 6" xfId="20007"/>
    <cellStyle name="CALC Amount Total 66 6 2" xfId="28329"/>
    <cellStyle name="CALC Amount Total 66 6 2 2" xfId="42087"/>
    <cellStyle name="CALC Amount Total 66 6 3" xfId="35456"/>
    <cellStyle name="CALC Amount Total 66 6 4" xfId="42088"/>
    <cellStyle name="CALC Amount Total 66 7" xfId="20965"/>
    <cellStyle name="CALC Amount Total 66 7 2" xfId="29282"/>
    <cellStyle name="CALC Amount Total 66 7 2 2" xfId="42089"/>
    <cellStyle name="CALC Amount Total 66 7 3" xfId="36364"/>
    <cellStyle name="CALC Amount Total 66 7 4" xfId="42090"/>
    <cellStyle name="CALC Amount Total 66 8" xfId="21472"/>
    <cellStyle name="CALC Amount Total 66 8 2" xfId="29773"/>
    <cellStyle name="CALC Amount Total 66 8 2 2" xfId="42091"/>
    <cellStyle name="CALC Amount Total 66 8 3" xfId="36834"/>
    <cellStyle name="CALC Amount Total 66 8 4" xfId="42092"/>
    <cellStyle name="CALC Amount Total 66 9" xfId="22400"/>
    <cellStyle name="CALC Amount Total 66 9 2" xfId="30696"/>
    <cellStyle name="CALC Amount Total 66 9 2 2" xfId="42093"/>
    <cellStyle name="CALC Amount Total 66 9 3" xfId="37717"/>
    <cellStyle name="CALC Amount Total 66 9 4" xfId="42094"/>
    <cellStyle name="CALC Amount Total 67" xfId="15033"/>
    <cellStyle name="CALC Amount Total 67 10" xfId="23393"/>
    <cellStyle name="CALC Amount Total 67 10 2" xfId="42095"/>
    <cellStyle name="CALC Amount Total 67 11" xfId="42096"/>
    <cellStyle name="CALC Amount Total 67 12" xfId="42097"/>
    <cellStyle name="CALC Amount Total 67 2" xfId="16113"/>
    <cellStyle name="CALC Amount Total 67 2 2" xfId="24428"/>
    <cellStyle name="CALC Amount Total 67 2 2 2" xfId="42098"/>
    <cellStyle name="CALC Amount Total 67 2 3" xfId="31706"/>
    <cellStyle name="CALC Amount Total 67 2 4" xfId="42099"/>
    <cellStyle name="CALC Amount Total 67 3" xfId="17080"/>
    <cellStyle name="CALC Amount Total 67 3 2" xfId="25401"/>
    <cellStyle name="CALC Amount Total 67 3 2 2" xfId="42100"/>
    <cellStyle name="CALC Amount Total 67 3 3" xfId="32640"/>
    <cellStyle name="CALC Amount Total 67 3 4" xfId="42101"/>
    <cellStyle name="CALC Amount Total 67 4" xfId="18107"/>
    <cellStyle name="CALC Amount Total 67 4 2" xfId="26427"/>
    <cellStyle name="CALC Amount Total 67 4 2 2" xfId="42102"/>
    <cellStyle name="CALC Amount Total 67 4 3" xfId="33617"/>
    <cellStyle name="CALC Amount Total 67 4 4" xfId="42103"/>
    <cellStyle name="CALC Amount Total 67 5" xfId="19091"/>
    <cellStyle name="CALC Amount Total 67 5 2" xfId="27411"/>
    <cellStyle name="CALC Amount Total 67 5 2 2" xfId="42104"/>
    <cellStyle name="CALC Amount Total 67 5 3" xfId="34560"/>
    <cellStyle name="CALC Amount Total 67 5 4" xfId="42105"/>
    <cellStyle name="CALC Amount Total 67 6" xfId="20059"/>
    <cellStyle name="CALC Amount Total 67 6 2" xfId="28381"/>
    <cellStyle name="CALC Amount Total 67 6 2 2" xfId="42106"/>
    <cellStyle name="CALC Amount Total 67 6 3" xfId="35507"/>
    <cellStyle name="CALC Amount Total 67 6 4" xfId="42107"/>
    <cellStyle name="CALC Amount Total 67 7" xfId="21016"/>
    <cellStyle name="CALC Amount Total 67 7 2" xfId="29333"/>
    <cellStyle name="CALC Amount Total 67 7 2 2" xfId="42108"/>
    <cellStyle name="CALC Amount Total 67 7 3" xfId="36414"/>
    <cellStyle name="CALC Amount Total 67 7 4" xfId="42109"/>
    <cellStyle name="CALC Amount Total 67 8" xfId="21523"/>
    <cellStyle name="CALC Amount Total 67 8 2" xfId="29824"/>
    <cellStyle name="CALC Amount Total 67 8 2 2" xfId="42110"/>
    <cellStyle name="CALC Amount Total 67 8 3" xfId="36884"/>
    <cellStyle name="CALC Amount Total 67 8 4" xfId="42111"/>
    <cellStyle name="CALC Amount Total 67 9" xfId="22451"/>
    <cellStyle name="CALC Amount Total 67 9 2" xfId="30747"/>
    <cellStyle name="CALC Amount Total 67 9 2 2" xfId="42112"/>
    <cellStyle name="CALC Amount Total 67 9 3" xfId="37767"/>
    <cellStyle name="CALC Amount Total 67 9 4" xfId="42113"/>
    <cellStyle name="CALC Amount Total 68" xfId="15067"/>
    <cellStyle name="CALC Amount Total 68 10" xfId="23427"/>
    <cellStyle name="CALC Amount Total 68 10 2" xfId="42114"/>
    <cellStyle name="CALC Amount Total 68 11" xfId="42115"/>
    <cellStyle name="CALC Amount Total 68 12" xfId="42116"/>
    <cellStyle name="CALC Amount Total 68 2" xfId="16147"/>
    <cellStyle name="CALC Amount Total 68 2 2" xfId="24462"/>
    <cellStyle name="CALC Amount Total 68 2 2 2" xfId="42117"/>
    <cellStyle name="CALC Amount Total 68 2 3" xfId="31739"/>
    <cellStyle name="CALC Amount Total 68 2 4" xfId="42118"/>
    <cellStyle name="CALC Amount Total 68 3" xfId="17114"/>
    <cellStyle name="CALC Amount Total 68 3 2" xfId="25435"/>
    <cellStyle name="CALC Amount Total 68 3 2 2" xfId="42119"/>
    <cellStyle name="CALC Amount Total 68 3 3" xfId="32673"/>
    <cellStyle name="CALC Amount Total 68 3 4" xfId="42120"/>
    <cellStyle name="CALC Amount Total 68 4" xfId="18141"/>
    <cellStyle name="CALC Amount Total 68 4 2" xfId="26461"/>
    <cellStyle name="CALC Amount Total 68 4 2 2" xfId="42121"/>
    <cellStyle name="CALC Amount Total 68 4 3" xfId="33650"/>
    <cellStyle name="CALC Amount Total 68 4 4" xfId="42122"/>
    <cellStyle name="CALC Amount Total 68 5" xfId="19125"/>
    <cellStyle name="CALC Amount Total 68 5 2" xfId="27445"/>
    <cellStyle name="CALC Amount Total 68 5 2 2" xfId="42123"/>
    <cellStyle name="CALC Amount Total 68 5 3" xfId="34593"/>
    <cellStyle name="CALC Amount Total 68 5 4" xfId="42124"/>
    <cellStyle name="CALC Amount Total 68 6" xfId="20093"/>
    <cellStyle name="CALC Amount Total 68 6 2" xfId="28415"/>
    <cellStyle name="CALC Amount Total 68 6 2 2" xfId="42125"/>
    <cellStyle name="CALC Amount Total 68 6 3" xfId="35540"/>
    <cellStyle name="CALC Amount Total 68 6 4" xfId="42126"/>
    <cellStyle name="CALC Amount Total 68 7" xfId="21050"/>
    <cellStyle name="CALC Amount Total 68 7 2" xfId="29367"/>
    <cellStyle name="CALC Amount Total 68 7 2 2" xfId="42127"/>
    <cellStyle name="CALC Amount Total 68 7 3" xfId="36447"/>
    <cellStyle name="CALC Amount Total 68 7 4" xfId="42128"/>
    <cellStyle name="CALC Amount Total 68 8" xfId="21557"/>
    <cellStyle name="CALC Amount Total 68 8 2" xfId="29858"/>
    <cellStyle name="CALC Amount Total 68 8 2 2" xfId="42129"/>
    <cellStyle name="CALC Amount Total 68 8 3" xfId="36917"/>
    <cellStyle name="CALC Amount Total 68 8 4" xfId="42130"/>
    <cellStyle name="CALC Amount Total 68 9" xfId="22485"/>
    <cellStyle name="CALC Amount Total 68 9 2" xfId="30781"/>
    <cellStyle name="CALC Amount Total 68 9 2 2" xfId="42131"/>
    <cellStyle name="CALC Amount Total 68 9 3" xfId="37800"/>
    <cellStyle name="CALC Amount Total 68 9 4" xfId="42132"/>
    <cellStyle name="CALC Amount Total 69" xfId="15054"/>
    <cellStyle name="CALC Amount Total 69 10" xfId="23414"/>
    <cellStyle name="CALC Amount Total 69 10 2" xfId="42133"/>
    <cellStyle name="CALC Amount Total 69 11" xfId="42134"/>
    <cellStyle name="CALC Amount Total 69 12" xfId="42135"/>
    <cellStyle name="CALC Amount Total 69 2" xfId="16134"/>
    <cellStyle name="CALC Amount Total 69 2 2" xfId="24449"/>
    <cellStyle name="CALC Amount Total 69 2 2 2" xfId="42136"/>
    <cellStyle name="CALC Amount Total 69 2 3" xfId="31726"/>
    <cellStyle name="CALC Amount Total 69 2 4" xfId="42137"/>
    <cellStyle name="CALC Amount Total 69 3" xfId="17101"/>
    <cellStyle name="CALC Amount Total 69 3 2" xfId="25422"/>
    <cellStyle name="CALC Amount Total 69 3 2 2" xfId="42138"/>
    <cellStyle name="CALC Amount Total 69 3 3" xfId="32660"/>
    <cellStyle name="CALC Amount Total 69 3 4" xfId="42139"/>
    <cellStyle name="CALC Amount Total 69 4" xfId="18128"/>
    <cellStyle name="CALC Amount Total 69 4 2" xfId="26448"/>
    <cellStyle name="CALC Amount Total 69 4 2 2" xfId="42140"/>
    <cellStyle name="CALC Amount Total 69 4 3" xfId="33637"/>
    <cellStyle name="CALC Amount Total 69 4 4" xfId="42141"/>
    <cellStyle name="CALC Amount Total 69 5" xfId="19112"/>
    <cellStyle name="CALC Amount Total 69 5 2" xfId="27432"/>
    <cellStyle name="CALC Amount Total 69 5 2 2" xfId="42142"/>
    <cellStyle name="CALC Amount Total 69 5 3" xfId="34580"/>
    <cellStyle name="CALC Amount Total 69 5 4" xfId="42143"/>
    <cellStyle name="CALC Amount Total 69 6" xfId="20080"/>
    <cellStyle name="CALC Amount Total 69 6 2" xfId="28402"/>
    <cellStyle name="CALC Amount Total 69 6 2 2" xfId="42144"/>
    <cellStyle name="CALC Amount Total 69 6 3" xfId="35527"/>
    <cellStyle name="CALC Amount Total 69 6 4" xfId="42145"/>
    <cellStyle name="CALC Amount Total 69 7" xfId="21037"/>
    <cellStyle name="CALC Amount Total 69 7 2" xfId="29354"/>
    <cellStyle name="CALC Amount Total 69 7 2 2" xfId="42146"/>
    <cellStyle name="CALC Amount Total 69 7 3" xfId="36434"/>
    <cellStyle name="CALC Amount Total 69 7 4" xfId="42147"/>
    <cellStyle name="CALC Amount Total 69 8" xfId="21544"/>
    <cellStyle name="CALC Amount Total 69 8 2" xfId="29845"/>
    <cellStyle name="CALC Amount Total 69 8 2 2" xfId="42148"/>
    <cellStyle name="CALC Amount Total 69 8 3" xfId="36904"/>
    <cellStyle name="CALC Amount Total 69 8 4" xfId="42149"/>
    <cellStyle name="CALC Amount Total 69 9" xfId="22472"/>
    <cellStyle name="CALC Amount Total 69 9 2" xfId="30768"/>
    <cellStyle name="CALC Amount Total 69 9 2 2" xfId="42150"/>
    <cellStyle name="CALC Amount Total 69 9 3" xfId="37787"/>
    <cellStyle name="CALC Amount Total 69 9 4" xfId="42151"/>
    <cellStyle name="CALC Amount Total 7" xfId="14589"/>
    <cellStyle name="CALC Amount Total 7 10" xfId="22948"/>
    <cellStyle name="CALC Amount Total 7 10 2" xfId="42152"/>
    <cellStyle name="CALC Amount Total 7 11" xfId="42153"/>
    <cellStyle name="CALC Amount Total 7 2" xfId="15669"/>
    <cellStyle name="CALC Amount Total 7 2 2" xfId="23983"/>
    <cellStyle name="CALC Amount Total 7 2 2 2" xfId="42154"/>
    <cellStyle name="CALC Amount Total 7 2 3" xfId="31280"/>
    <cellStyle name="CALC Amount Total 7 2 4" xfId="42155"/>
    <cellStyle name="CALC Amount Total 7 3" xfId="16636"/>
    <cellStyle name="CALC Amount Total 7 3 2" xfId="24954"/>
    <cellStyle name="CALC Amount Total 7 3 2 2" xfId="42156"/>
    <cellStyle name="CALC Amount Total 7 3 3" xfId="32213"/>
    <cellStyle name="CALC Amount Total 7 3 4" xfId="42157"/>
    <cellStyle name="CALC Amount Total 7 4" xfId="17657"/>
    <cellStyle name="CALC Amount Total 7 4 2" xfId="25980"/>
    <cellStyle name="CALC Amount Total 7 4 2 2" xfId="42158"/>
    <cellStyle name="CALC Amount Total 7 4 3" xfId="33190"/>
    <cellStyle name="CALC Amount Total 7 4 4" xfId="42159"/>
    <cellStyle name="CALC Amount Total 7 5" xfId="18640"/>
    <cellStyle name="CALC Amount Total 7 5 2" xfId="26960"/>
    <cellStyle name="CALC Amount Total 7 5 2 2" xfId="42160"/>
    <cellStyle name="CALC Amount Total 7 5 3" xfId="34128"/>
    <cellStyle name="CALC Amount Total 7 5 4" xfId="42161"/>
    <cellStyle name="CALC Amount Total 7 6" xfId="19609"/>
    <cellStyle name="CALC Amount Total 7 6 2" xfId="27929"/>
    <cellStyle name="CALC Amount Total 7 6 2 2" xfId="42162"/>
    <cellStyle name="CALC Amount Total 7 6 3" xfId="35074"/>
    <cellStyle name="CALC Amount Total 7 6 4" xfId="42163"/>
    <cellStyle name="CALC Amount Total 7 7" xfId="20566"/>
    <cellStyle name="CALC Amount Total 7 7 2" xfId="28887"/>
    <cellStyle name="CALC Amount Total 7 7 2 2" xfId="42164"/>
    <cellStyle name="CALC Amount Total 7 7 3" xfId="35990"/>
    <cellStyle name="CALC Amount Total 7 7 4" xfId="42165"/>
    <cellStyle name="CALC Amount Total 7 8" xfId="21135"/>
    <cellStyle name="CALC Amount Total 7 8 2" xfId="29449"/>
    <cellStyle name="CALC Amount Total 7 8 2 2" xfId="42166"/>
    <cellStyle name="CALC Amount Total 7 8 3" xfId="36521"/>
    <cellStyle name="CALC Amount Total 7 8 4" xfId="42167"/>
    <cellStyle name="CALC Amount Total 7 9" xfId="22002"/>
    <cellStyle name="CALC Amount Total 7 9 2" xfId="30301"/>
    <cellStyle name="CALC Amount Total 7 9 2 2" xfId="42168"/>
    <cellStyle name="CALC Amount Total 7 9 3" xfId="37341"/>
    <cellStyle name="CALC Amount Total 7 9 4" xfId="42169"/>
    <cellStyle name="CALC Amount Total 70" xfId="15073"/>
    <cellStyle name="CALC Amount Total 70 10" xfId="23433"/>
    <cellStyle name="CALC Amount Total 70 10 2" xfId="42170"/>
    <cellStyle name="CALC Amount Total 70 11" xfId="42171"/>
    <cellStyle name="CALC Amount Total 70 12" xfId="42172"/>
    <cellStyle name="CALC Amount Total 70 2" xfId="16153"/>
    <cellStyle name="CALC Amount Total 70 2 2" xfId="24468"/>
    <cellStyle name="CALC Amount Total 70 2 2 2" xfId="42173"/>
    <cellStyle name="CALC Amount Total 70 2 3" xfId="31745"/>
    <cellStyle name="CALC Amount Total 70 2 4" xfId="42174"/>
    <cellStyle name="CALC Amount Total 70 3" xfId="17120"/>
    <cellStyle name="CALC Amount Total 70 3 2" xfId="25441"/>
    <cellStyle name="CALC Amount Total 70 3 2 2" xfId="42175"/>
    <cellStyle name="CALC Amount Total 70 3 3" xfId="32679"/>
    <cellStyle name="CALC Amount Total 70 3 4" xfId="42176"/>
    <cellStyle name="CALC Amount Total 70 4" xfId="18147"/>
    <cellStyle name="CALC Amount Total 70 4 2" xfId="26467"/>
    <cellStyle name="CALC Amount Total 70 4 2 2" xfId="42177"/>
    <cellStyle name="CALC Amount Total 70 4 3" xfId="33656"/>
    <cellStyle name="CALC Amount Total 70 4 4" xfId="42178"/>
    <cellStyle name="CALC Amount Total 70 5" xfId="19131"/>
    <cellStyle name="CALC Amount Total 70 5 2" xfId="27451"/>
    <cellStyle name="CALC Amount Total 70 5 2 2" xfId="42179"/>
    <cellStyle name="CALC Amount Total 70 5 3" xfId="34599"/>
    <cellStyle name="CALC Amount Total 70 5 4" xfId="42180"/>
    <cellStyle name="CALC Amount Total 70 6" xfId="20099"/>
    <cellStyle name="CALC Amount Total 70 6 2" xfId="28421"/>
    <cellStyle name="CALC Amount Total 70 6 2 2" xfId="42181"/>
    <cellStyle name="CALC Amount Total 70 6 3" xfId="35546"/>
    <cellStyle name="CALC Amount Total 70 6 4" xfId="42182"/>
    <cellStyle name="CALC Amount Total 70 7" xfId="21056"/>
    <cellStyle name="CALC Amount Total 70 7 2" xfId="29373"/>
    <cellStyle name="CALC Amount Total 70 7 2 2" xfId="42183"/>
    <cellStyle name="CALC Amount Total 70 7 3" xfId="36453"/>
    <cellStyle name="CALC Amount Total 70 7 4" xfId="42184"/>
    <cellStyle name="CALC Amount Total 70 8" xfId="21563"/>
    <cellStyle name="CALC Amount Total 70 8 2" xfId="29864"/>
    <cellStyle name="CALC Amount Total 70 8 2 2" xfId="42185"/>
    <cellStyle name="CALC Amount Total 70 8 3" xfId="36923"/>
    <cellStyle name="CALC Amount Total 70 8 4" xfId="42186"/>
    <cellStyle name="CALC Amount Total 70 9" xfId="22491"/>
    <cellStyle name="CALC Amount Total 70 9 2" xfId="30787"/>
    <cellStyle name="CALC Amount Total 70 9 2 2" xfId="42187"/>
    <cellStyle name="CALC Amount Total 70 9 3" xfId="37806"/>
    <cellStyle name="CALC Amount Total 70 9 4" xfId="42188"/>
    <cellStyle name="CALC Amount Total 71" xfId="15040"/>
    <cellStyle name="CALC Amount Total 71 10" xfId="23400"/>
    <cellStyle name="CALC Amount Total 71 10 2" xfId="42189"/>
    <cellStyle name="CALC Amount Total 71 11" xfId="42190"/>
    <cellStyle name="CALC Amount Total 71 12" xfId="42191"/>
    <cellStyle name="CALC Amount Total 71 2" xfId="16120"/>
    <cellStyle name="CALC Amount Total 71 2 2" xfId="24435"/>
    <cellStyle name="CALC Amount Total 71 2 2 2" xfId="42192"/>
    <cellStyle name="CALC Amount Total 71 2 3" xfId="31712"/>
    <cellStyle name="CALC Amount Total 71 2 4" xfId="42193"/>
    <cellStyle name="CALC Amount Total 71 3" xfId="17087"/>
    <cellStyle name="CALC Amount Total 71 3 2" xfId="25408"/>
    <cellStyle name="CALC Amount Total 71 3 2 2" xfId="42194"/>
    <cellStyle name="CALC Amount Total 71 3 3" xfId="32646"/>
    <cellStyle name="CALC Amount Total 71 3 4" xfId="42195"/>
    <cellStyle name="CALC Amount Total 71 4" xfId="18114"/>
    <cellStyle name="CALC Amount Total 71 4 2" xfId="26434"/>
    <cellStyle name="CALC Amount Total 71 4 2 2" xfId="42196"/>
    <cellStyle name="CALC Amount Total 71 4 3" xfId="33623"/>
    <cellStyle name="CALC Amount Total 71 4 4" xfId="42197"/>
    <cellStyle name="CALC Amount Total 71 5" xfId="19098"/>
    <cellStyle name="CALC Amount Total 71 5 2" xfId="27418"/>
    <cellStyle name="CALC Amount Total 71 5 2 2" xfId="42198"/>
    <cellStyle name="CALC Amount Total 71 5 3" xfId="34566"/>
    <cellStyle name="CALC Amount Total 71 5 4" xfId="42199"/>
    <cellStyle name="CALC Amount Total 71 6" xfId="20066"/>
    <cellStyle name="CALC Amount Total 71 6 2" xfId="28388"/>
    <cellStyle name="CALC Amount Total 71 6 2 2" xfId="42200"/>
    <cellStyle name="CALC Amount Total 71 6 3" xfId="35513"/>
    <cellStyle name="CALC Amount Total 71 6 4" xfId="42201"/>
    <cellStyle name="CALC Amount Total 71 7" xfId="21023"/>
    <cellStyle name="CALC Amount Total 71 7 2" xfId="29340"/>
    <cellStyle name="CALC Amount Total 71 7 2 2" xfId="42202"/>
    <cellStyle name="CALC Amount Total 71 7 3" xfId="36420"/>
    <cellStyle name="CALC Amount Total 71 7 4" xfId="42203"/>
    <cellStyle name="CALC Amount Total 71 8" xfId="21530"/>
    <cellStyle name="CALC Amount Total 71 8 2" xfId="29831"/>
    <cellStyle name="CALC Amount Total 71 8 2 2" xfId="42204"/>
    <cellStyle name="CALC Amount Total 71 8 3" xfId="36890"/>
    <cellStyle name="CALC Amount Total 71 8 4" xfId="42205"/>
    <cellStyle name="CALC Amount Total 71 9" xfId="22458"/>
    <cellStyle name="CALC Amount Total 71 9 2" xfId="30754"/>
    <cellStyle name="CALC Amount Total 71 9 2 2" xfId="42206"/>
    <cellStyle name="CALC Amount Total 71 9 3" xfId="37773"/>
    <cellStyle name="CALC Amount Total 71 9 4" xfId="42207"/>
    <cellStyle name="CALC Amount Total 72" xfId="15074"/>
    <cellStyle name="CALC Amount Total 72 10" xfId="23434"/>
    <cellStyle name="CALC Amount Total 72 10 2" xfId="42208"/>
    <cellStyle name="CALC Amount Total 72 11" xfId="42209"/>
    <cellStyle name="CALC Amount Total 72 12" xfId="42210"/>
    <cellStyle name="CALC Amount Total 72 2" xfId="16154"/>
    <cellStyle name="CALC Amount Total 72 2 2" xfId="24469"/>
    <cellStyle name="CALC Amount Total 72 2 2 2" xfId="42211"/>
    <cellStyle name="CALC Amount Total 72 2 3" xfId="31746"/>
    <cellStyle name="CALC Amount Total 72 2 4" xfId="42212"/>
    <cellStyle name="CALC Amount Total 72 3" xfId="17121"/>
    <cellStyle name="CALC Amount Total 72 3 2" xfId="25442"/>
    <cellStyle name="CALC Amount Total 72 3 2 2" xfId="42213"/>
    <cellStyle name="CALC Amount Total 72 3 3" xfId="32680"/>
    <cellStyle name="CALC Amount Total 72 3 4" xfId="42214"/>
    <cellStyle name="CALC Amount Total 72 4" xfId="18148"/>
    <cellStyle name="CALC Amount Total 72 4 2" xfId="26468"/>
    <cellStyle name="CALC Amount Total 72 4 2 2" xfId="42215"/>
    <cellStyle name="CALC Amount Total 72 4 3" xfId="33657"/>
    <cellStyle name="CALC Amount Total 72 4 4" xfId="42216"/>
    <cellStyle name="CALC Amount Total 72 5" xfId="19132"/>
    <cellStyle name="CALC Amount Total 72 5 2" xfId="27452"/>
    <cellStyle name="CALC Amount Total 72 5 2 2" xfId="42217"/>
    <cellStyle name="CALC Amount Total 72 5 3" xfId="34600"/>
    <cellStyle name="CALC Amount Total 72 5 4" xfId="42218"/>
    <cellStyle name="CALC Amount Total 72 6" xfId="20100"/>
    <cellStyle name="CALC Amount Total 72 6 2" xfId="28422"/>
    <cellStyle name="CALC Amount Total 72 6 2 2" xfId="42219"/>
    <cellStyle name="CALC Amount Total 72 6 3" xfId="35547"/>
    <cellStyle name="CALC Amount Total 72 6 4" xfId="42220"/>
    <cellStyle name="CALC Amount Total 72 7" xfId="21057"/>
    <cellStyle name="CALC Amount Total 72 7 2" xfId="29374"/>
    <cellStyle name="CALC Amount Total 72 7 2 2" xfId="42221"/>
    <cellStyle name="CALC Amount Total 72 7 3" xfId="36454"/>
    <cellStyle name="CALC Amount Total 72 7 4" xfId="42222"/>
    <cellStyle name="CALC Amount Total 72 8" xfId="21564"/>
    <cellStyle name="CALC Amount Total 72 8 2" xfId="29865"/>
    <cellStyle name="CALC Amount Total 72 8 2 2" xfId="42223"/>
    <cellStyle name="CALC Amount Total 72 8 3" xfId="36924"/>
    <cellStyle name="CALC Amount Total 72 8 4" xfId="42224"/>
    <cellStyle name="CALC Amount Total 72 9" xfId="22492"/>
    <cellStyle name="CALC Amount Total 72 9 2" xfId="30788"/>
    <cellStyle name="CALC Amount Total 72 9 2 2" xfId="42225"/>
    <cellStyle name="CALC Amount Total 72 9 3" xfId="37807"/>
    <cellStyle name="CALC Amount Total 72 9 4" xfId="42226"/>
    <cellStyle name="CALC Amount Total 73" xfId="15115"/>
    <cellStyle name="CALC Amount Total 73 10" xfId="42227"/>
    <cellStyle name="CALC Amount Total 73 11" xfId="42228"/>
    <cellStyle name="CALC Amount Total 73 2" xfId="16195"/>
    <cellStyle name="CALC Amount Total 73 2 2" xfId="24508"/>
    <cellStyle name="CALC Amount Total 73 2 2 2" xfId="42229"/>
    <cellStyle name="CALC Amount Total 73 2 3" xfId="31785"/>
    <cellStyle name="CALC Amount Total 73 2 4" xfId="42230"/>
    <cellStyle name="CALC Amount Total 73 3" xfId="17161"/>
    <cellStyle name="CALC Amount Total 73 3 2" xfId="25482"/>
    <cellStyle name="CALC Amount Total 73 3 2 2" xfId="42231"/>
    <cellStyle name="CALC Amount Total 73 3 3" xfId="32718"/>
    <cellStyle name="CALC Amount Total 73 3 4" xfId="42232"/>
    <cellStyle name="CALC Amount Total 73 4" xfId="18189"/>
    <cellStyle name="CALC Amount Total 73 4 2" xfId="26509"/>
    <cellStyle name="CALC Amount Total 73 4 2 2" xfId="42233"/>
    <cellStyle name="CALC Amount Total 73 4 3" xfId="33696"/>
    <cellStyle name="CALC Amount Total 73 4 4" xfId="42234"/>
    <cellStyle name="CALC Amount Total 73 5" xfId="19173"/>
    <cellStyle name="CALC Amount Total 73 5 2" xfId="27493"/>
    <cellStyle name="CALC Amount Total 73 5 2 2" xfId="42235"/>
    <cellStyle name="CALC Amount Total 73 5 3" xfId="34641"/>
    <cellStyle name="CALC Amount Total 73 5 4" xfId="42236"/>
    <cellStyle name="CALC Amount Total 73 6" xfId="20141"/>
    <cellStyle name="CALC Amount Total 73 6 2" xfId="28463"/>
    <cellStyle name="CALC Amount Total 73 6 2 2" xfId="42237"/>
    <cellStyle name="CALC Amount Total 73 6 3" xfId="35588"/>
    <cellStyle name="CALC Amount Total 73 6 4" xfId="42238"/>
    <cellStyle name="CALC Amount Total 73 7" xfId="21602"/>
    <cellStyle name="CALC Amount Total 73 7 2" xfId="29903"/>
    <cellStyle name="CALC Amount Total 73 7 2 2" xfId="42239"/>
    <cellStyle name="CALC Amount Total 73 7 3" xfId="36962"/>
    <cellStyle name="CALC Amount Total 73 7 4" xfId="42240"/>
    <cellStyle name="CALC Amount Total 73 8" xfId="22530"/>
    <cellStyle name="CALC Amount Total 73 8 2" xfId="30826"/>
    <cellStyle name="CALC Amount Total 73 8 2 2" xfId="42241"/>
    <cellStyle name="CALC Amount Total 73 8 3" xfId="37845"/>
    <cellStyle name="CALC Amount Total 73 8 4" xfId="42242"/>
    <cellStyle name="CALC Amount Total 73 9" xfId="23472"/>
    <cellStyle name="CALC Amount Total 73 9 2" xfId="42243"/>
    <cellStyle name="CALC Amount Total 74" xfId="15113"/>
    <cellStyle name="CALC Amount Total 74 10" xfId="42244"/>
    <cellStyle name="CALC Amount Total 74 11" xfId="42245"/>
    <cellStyle name="CALC Amount Total 74 2" xfId="16193"/>
    <cellStyle name="CALC Amount Total 74 2 2" xfId="24506"/>
    <cellStyle name="CALC Amount Total 74 2 2 2" xfId="42246"/>
    <cellStyle name="CALC Amount Total 74 2 3" xfId="31783"/>
    <cellStyle name="CALC Amount Total 74 2 4" xfId="42247"/>
    <cellStyle name="CALC Amount Total 74 3" xfId="17159"/>
    <cellStyle name="CALC Amount Total 74 3 2" xfId="25480"/>
    <cellStyle name="CALC Amount Total 74 3 2 2" xfId="42248"/>
    <cellStyle name="CALC Amount Total 74 3 3" xfId="32716"/>
    <cellStyle name="CALC Amount Total 74 3 4" xfId="42249"/>
    <cellStyle name="CALC Amount Total 74 4" xfId="18187"/>
    <cellStyle name="CALC Amount Total 74 4 2" xfId="26507"/>
    <cellStyle name="CALC Amount Total 74 4 2 2" xfId="42250"/>
    <cellStyle name="CALC Amount Total 74 4 3" xfId="33694"/>
    <cellStyle name="CALC Amount Total 74 4 4" xfId="42251"/>
    <cellStyle name="CALC Amount Total 74 5" xfId="19171"/>
    <cellStyle name="CALC Amount Total 74 5 2" xfId="27491"/>
    <cellStyle name="CALC Amount Total 74 5 2 2" xfId="42252"/>
    <cellStyle name="CALC Amount Total 74 5 3" xfId="34639"/>
    <cellStyle name="CALC Amount Total 74 5 4" xfId="42253"/>
    <cellStyle name="CALC Amount Total 74 6" xfId="20139"/>
    <cellStyle name="CALC Amount Total 74 6 2" xfId="28461"/>
    <cellStyle name="CALC Amount Total 74 6 2 2" xfId="42254"/>
    <cellStyle name="CALC Amount Total 74 6 3" xfId="35586"/>
    <cellStyle name="CALC Amount Total 74 6 4" xfId="42255"/>
    <cellStyle name="CALC Amount Total 74 7" xfId="21600"/>
    <cellStyle name="CALC Amount Total 74 7 2" xfId="29901"/>
    <cellStyle name="CALC Amount Total 74 7 2 2" xfId="42256"/>
    <cellStyle name="CALC Amount Total 74 7 3" xfId="36960"/>
    <cellStyle name="CALC Amount Total 74 7 4" xfId="42257"/>
    <cellStyle name="CALC Amount Total 74 8" xfId="22528"/>
    <cellStyle name="CALC Amount Total 74 8 2" xfId="30824"/>
    <cellStyle name="CALC Amount Total 74 8 2 2" xfId="42258"/>
    <cellStyle name="CALC Amount Total 74 8 3" xfId="37843"/>
    <cellStyle name="CALC Amount Total 74 8 4" xfId="42259"/>
    <cellStyle name="CALC Amount Total 74 9" xfId="23470"/>
    <cellStyle name="CALC Amount Total 74 9 2" xfId="42260"/>
    <cellStyle name="CALC Amount Total 75" xfId="15087"/>
    <cellStyle name="CALC Amount Total 75 10" xfId="42261"/>
    <cellStyle name="CALC Amount Total 75 11" xfId="42262"/>
    <cellStyle name="CALC Amount Total 75 2" xfId="16167"/>
    <cellStyle name="CALC Amount Total 75 2 2" xfId="24480"/>
    <cellStyle name="CALC Amount Total 75 2 2 2" xfId="42263"/>
    <cellStyle name="CALC Amount Total 75 2 3" xfId="31757"/>
    <cellStyle name="CALC Amount Total 75 2 4" xfId="42264"/>
    <cellStyle name="CALC Amount Total 75 3" xfId="17133"/>
    <cellStyle name="CALC Amount Total 75 3 2" xfId="25454"/>
    <cellStyle name="CALC Amount Total 75 3 2 2" xfId="42265"/>
    <cellStyle name="CALC Amount Total 75 3 3" xfId="32690"/>
    <cellStyle name="CALC Amount Total 75 3 4" xfId="42266"/>
    <cellStyle name="CALC Amount Total 75 4" xfId="18161"/>
    <cellStyle name="CALC Amount Total 75 4 2" xfId="26481"/>
    <cellStyle name="CALC Amount Total 75 4 2 2" xfId="42267"/>
    <cellStyle name="CALC Amount Total 75 4 3" xfId="33668"/>
    <cellStyle name="CALC Amount Total 75 4 4" xfId="42268"/>
    <cellStyle name="CALC Amount Total 75 5" xfId="19145"/>
    <cellStyle name="CALC Amount Total 75 5 2" xfId="27465"/>
    <cellStyle name="CALC Amount Total 75 5 2 2" xfId="42269"/>
    <cellStyle name="CALC Amount Total 75 5 3" xfId="34613"/>
    <cellStyle name="CALC Amount Total 75 5 4" xfId="42270"/>
    <cellStyle name="CALC Amount Total 75 6" xfId="20113"/>
    <cellStyle name="CALC Amount Total 75 6 2" xfId="28435"/>
    <cellStyle name="CALC Amount Total 75 6 2 2" xfId="42271"/>
    <cellStyle name="CALC Amount Total 75 6 3" xfId="35560"/>
    <cellStyle name="CALC Amount Total 75 6 4" xfId="42272"/>
    <cellStyle name="CALC Amount Total 75 7" xfId="21574"/>
    <cellStyle name="CALC Amount Total 75 7 2" xfId="29875"/>
    <cellStyle name="CALC Amount Total 75 7 2 2" xfId="42273"/>
    <cellStyle name="CALC Amount Total 75 7 3" xfId="36934"/>
    <cellStyle name="CALC Amount Total 75 7 4" xfId="42274"/>
    <cellStyle name="CALC Amount Total 75 8" xfId="22502"/>
    <cellStyle name="CALC Amount Total 75 8 2" xfId="30798"/>
    <cellStyle name="CALC Amount Total 75 8 2 2" xfId="42275"/>
    <cellStyle name="CALC Amount Total 75 8 3" xfId="37817"/>
    <cellStyle name="CALC Amount Total 75 8 4" xfId="42276"/>
    <cellStyle name="CALC Amount Total 75 9" xfId="23444"/>
    <cellStyle name="CALC Amount Total 75 9 2" xfId="42277"/>
    <cellStyle name="CALC Amount Total 76" xfId="15106"/>
    <cellStyle name="CALC Amount Total 76 10" xfId="42278"/>
    <cellStyle name="CALC Amount Total 76 11" xfId="42279"/>
    <cellStyle name="CALC Amount Total 76 2" xfId="16186"/>
    <cellStyle name="CALC Amount Total 76 2 2" xfId="24499"/>
    <cellStyle name="CALC Amount Total 76 2 2 2" xfId="42280"/>
    <cellStyle name="CALC Amount Total 76 2 3" xfId="31776"/>
    <cellStyle name="CALC Amount Total 76 2 4" xfId="42281"/>
    <cellStyle name="CALC Amount Total 76 3" xfId="17152"/>
    <cellStyle name="CALC Amount Total 76 3 2" xfId="25473"/>
    <cellStyle name="CALC Amount Total 76 3 2 2" xfId="42282"/>
    <cellStyle name="CALC Amount Total 76 3 3" xfId="32709"/>
    <cellStyle name="CALC Amount Total 76 3 4" xfId="42283"/>
    <cellStyle name="CALC Amount Total 76 4" xfId="18180"/>
    <cellStyle name="CALC Amount Total 76 4 2" xfId="26500"/>
    <cellStyle name="CALC Amount Total 76 4 2 2" xfId="42284"/>
    <cellStyle name="CALC Amount Total 76 4 3" xfId="33687"/>
    <cellStyle name="CALC Amount Total 76 4 4" xfId="42285"/>
    <cellStyle name="CALC Amount Total 76 5" xfId="19164"/>
    <cellStyle name="CALC Amount Total 76 5 2" xfId="27484"/>
    <cellStyle name="CALC Amount Total 76 5 2 2" xfId="42286"/>
    <cellStyle name="CALC Amount Total 76 5 3" xfId="34632"/>
    <cellStyle name="CALC Amount Total 76 5 4" xfId="42287"/>
    <cellStyle name="CALC Amount Total 76 6" xfId="20132"/>
    <cellStyle name="CALC Amount Total 76 6 2" xfId="28454"/>
    <cellStyle name="CALC Amount Total 76 6 2 2" xfId="42288"/>
    <cellStyle name="CALC Amount Total 76 6 3" xfId="35579"/>
    <cellStyle name="CALC Amount Total 76 6 4" xfId="42289"/>
    <cellStyle name="CALC Amount Total 76 7" xfId="21593"/>
    <cellStyle name="CALC Amount Total 76 7 2" xfId="29894"/>
    <cellStyle name="CALC Amount Total 76 7 2 2" xfId="42290"/>
    <cellStyle name="CALC Amount Total 76 7 3" xfId="36953"/>
    <cellStyle name="CALC Amount Total 76 7 4" xfId="42291"/>
    <cellStyle name="CALC Amount Total 76 8" xfId="22521"/>
    <cellStyle name="CALC Amount Total 76 8 2" xfId="30817"/>
    <cellStyle name="CALC Amount Total 76 8 2 2" xfId="42292"/>
    <cellStyle name="CALC Amount Total 76 8 3" xfId="37836"/>
    <cellStyle name="CALC Amount Total 76 8 4" xfId="42293"/>
    <cellStyle name="CALC Amount Total 76 9" xfId="23463"/>
    <cellStyle name="CALC Amount Total 76 9 2" xfId="42294"/>
    <cellStyle name="CALC Amount Total 77" xfId="15093"/>
    <cellStyle name="CALC Amount Total 77 10" xfId="42295"/>
    <cellStyle name="CALC Amount Total 77 11" xfId="42296"/>
    <cellStyle name="CALC Amount Total 77 2" xfId="16173"/>
    <cellStyle name="CALC Amount Total 77 2 2" xfId="24486"/>
    <cellStyle name="CALC Amount Total 77 2 2 2" xfId="42297"/>
    <cellStyle name="CALC Amount Total 77 2 3" xfId="31763"/>
    <cellStyle name="CALC Amount Total 77 2 4" xfId="42298"/>
    <cellStyle name="CALC Amount Total 77 3" xfId="17139"/>
    <cellStyle name="CALC Amount Total 77 3 2" xfId="25460"/>
    <cellStyle name="CALC Amount Total 77 3 2 2" xfId="42299"/>
    <cellStyle name="CALC Amount Total 77 3 3" xfId="32696"/>
    <cellStyle name="CALC Amount Total 77 3 4" xfId="42300"/>
    <cellStyle name="CALC Amount Total 77 4" xfId="18167"/>
    <cellStyle name="CALC Amount Total 77 4 2" xfId="26487"/>
    <cellStyle name="CALC Amount Total 77 4 2 2" xfId="42301"/>
    <cellStyle name="CALC Amount Total 77 4 3" xfId="33674"/>
    <cellStyle name="CALC Amount Total 77 4 4" xfId="42302"/>
    <cellStyle name="CALC Amount Total 77 5" xfId="19151"/>
    <cellStyle name="CALC Amount Total 77 5 2" xfId="27471"/>
    <cellStyle name="CALC Amount Total 77 5 2 2" xfId="42303"/>
    <cellStyle name="CALC Amount Total 77 5 3" xfId="34619"/>
    <cellStyle name="CALC Amount Total 77 5 4" xfId="42304"/>
    <cellStyle name="CALC Amount Total 77 6" xfId="20119"/>
    <cellStyle name="CALC Amount Total 77 6 2" xfId="28441"/>
    <cellStyle name="CALC Amount Total 77 6 2 2" xfId="42305"/>
    <cellStyle name="CALC Amount Total 77 6 3" xfId="35566"/>
    <cellStyle name="CALC Amount Total 77 6 4" xfId="42306"/>
    <cellStyle name="CALC Amount Total 77 7" xfId="21580"/>
    <cellStyle name="CALC Amount Total 77 7 2" xfId="29881"/>
    <cellStyle name="CALC Amount Total 77 7 2 2" xfId="42307"/>
    <cellStyle name="CALC Amount Total 77 7 3" xfId="36940"/>
    <cellStyle name="CALC Amount Total 77 7 4" xfId="42308"/>
    <cellStyle name="CALC Amount Total 77 8" xfId="22508"/>
    <cellStyle name="CALC Amount Total 77 8 2" xfId="30804"/>
    <cellStyle name="CALC Amount Total 77 8 2 2" xfId="42309"/>
    <cellStyle name="CALC Amount Total 77 8 3" xfId="37823"/>
    <cellStyle name="CALC Amount Total 77 8 4" xfId="42310"/>
    <cellStyle name="CALC Amount Total 77 9" xfId="23450"/>
    <cellStyle name="CALC Amount Total 77 9 2" xfId="42311"/>
    <cellStyle name="CALC Amount Total 78" xfId="15235"/>
    <cellStyle name="CALC Amount Total 78 10" xfId="42312"/>
    <cellStyle name="CALC Amount Total 78 11" xfId="42313"/>
    <cellStyle name="CALC Amount Total 78 2" xfId="16315"/>
    <cellStyle name="CALC Amount Total 78 2 2" xfId="24628"/>
    <cellStyle name="CALC Amount Total 78 2 2 2" xfId="42314"/>
    <cellStyle name="CALC Amount Total 78 2 3" xfId="31895"/>
    <cellStyle name="CALC Amount Total 78 2 4" xfId="42315"/>
    <cellStyle name="CALC Amount Total 78 3" xfId="17281"/>
    <cellStyle name="CALC Amount Total 78 3 2" xfId="25602"/>
    <cellStyle name="CALC Amount Total 78 3 2 2" xfId="42316"/>
    <cellStyle name="CALC Amount Total 78 3 3" xfId="32828"/>
    <cellStyle name="CALC Amount Total 78 3 4" xfId="42317"/>
    <cellStyle name="CALC Amount Total 78 4" xfId="18309"/>
    <cellStyle name="CALC Amount Total 78 4 2" xfId="26629"/>
    <cellStyle name="CALC Amount Total 78 4 2 2" xfId="42318"/>
    <cellStyle name="CALC Amount Total 78 4 3" xfId="33806"/>
    <cellStyle name="CALC Amount Total 78 4 4" xfId="42319"/>
    <cellStyle name="CALC Amount Total 78 5" xfId="19293"/>
    <cellStyle name="CALC Amount Total 78 5 2" xfId="27613"/>
    <cellStyle name="CALC Amount Total 78 5 2 2" xfId="42320"/>
    <cellStyle name="CALC Amount Total 78 5 3" xfId="34761"/>
    <cellStyle name="CALC Amount Total 78 5 4" xfId="42321"/>
    <cellStyle name="CALC Amount Total 78 6" xfId="20261"/>
    <cellStyle name="CALC Amount Total 78 6 2" xfId="28583"/>
    <cellStyle name="CALC Amount Total 78 6 2 2" xfId="42322"/>
    <cellStyle name="CALC Amount Total 78 6 3" xfId="35698"/>
    <cellStyle name="CALC Amount Total 78 6 4" xfId="42323"/>
    <cellStyle name="CALC Amount Total 78 7" xfId="21722"/>
    <cellStyle name="CALC Amount Total 78 7 2" xfId="30023"/>
    <cellStyle name="CALC Amount Total 78 7 2 2" xfId="42324"/>
    <cellStyle name="CALC Amount Total 78 7 3" xfId="37072"/>
    <cellStyle name="CALC Amount Total 78 7 4" xfId="42325"/>
    <cellStyle name="CALC Amount Total 78 8" xfId="22650"/>
    <cellStyle name="CALC Amount Total 78 8 2" xfId="30946"/>
    <cellStyle name="CALC Amount Total 78 8 2 2" xfId="42326"/>
    <cellStyle name="CALC Amount Total 78 8 3" xfId="37955"/>
    <cellStyle name="CALC Amount Total 78 8 4" xfId="42327"/>
    <cellStyle name="CALC Amount Total 78 9" xfId="23592"/>
    <cellStyle name="CALC Amount Total 78 9 2" xfId="42328"/>
    <cellStyle name="CALC Amount Total 79" xfId="15242"/>
    <cellStyle name="CALC Amount Total 79 10" xfId="42329"/>
    <cellStyle name="CALC Amount Total 79 11" xfId="42330"/>
    <cellStyle name="CALC Amount Total 79 2" xfId="16322"/>
    <cellStyle name="CALC Amount Total 79 2 2" xfId="24635"/>
    <cellStyle name="CALC Amount Total 79 2 2 2" xfId="42331"/>
    <cellStyle name="CALC Amount Total 79 2 3" xfId="31902"/>
    <cellStyle name="CALC Amount Total 79 2 4" xfId="42332"/>
    <cellStyle name="CALC Amount Total 79 3" xfId="17288"/>
    <cellStyle name="CALC Amount Total 79 3 2" xfId="25609"/>
    <cellStyle name="CALC Amount Total 79 3 2 2" xfId="42333"/>
    <cellStyle name="CALC Amount Total 79 3 3" xfId="32835"/>
    <cellStyle name="CALC Amount Total 79 3 4" xfId="42334"/>
    <cellStyle name="CALC Amount Total 79 4" xfId="18316"/>
    <cellStyle name="CALC Amount Total 79 4 2" xfId="26636"/>
    <cellStyle name="CALC Amount Total 79 4 2 2" xfId="42335"/>
    <cellStyle name="CALC Amount Total 79 4 3" xfId="33813"/>
    <cellStyle name="CALC Amount Total 79 4 4" xfId="42336"/>
    <cellStyle name="CALC Amount Total 79 5" xfId="19300"/>
    <cellStyle name="CALC Amount Total 79 5 2" xfId="27620"/>
    <cellStyle name="CALC Amount Total 79 5 2 2" xfId="42337"/>
    <cellStyle name="CALC Amount Total 79 5 3" xfId="34768"/>
    <cellStyle name="CALC Amount Total 79 5 4" xfId="42338"/>
    <cellStyle name="CALC Amount Total 79 6" xfId="20268"/>
    <cellStyle name="CALC Amount Total 79 6 2" xfId="28590"/>
    <cellStyle name="CALC Amount Total 79 6 2 2" xfId="42339"/>
    <cellStyle name="CALC Amount Total 79 6 3" xfId="35705"/>
    <cellStyle name="CALC Amount Total 79 6 4" xfId="42340"/>
    <cellStyle name="CALC Amount Total 79 7" xfId="21729"/>
    <cellStyle name="CALC Amount Total 79 7 2" xfId="30030"/>
    <cellStyle name="CALC Amount Total 79 7 2 2" xfId="42341"/>
    <cellStyle name="CALC Amount Total 79 7 3" xfId="37079"/>
    <cellStyle name="CALC Amount Total 79 7 4" xfId="42342"/>
    <cellStyle name="CALC Amount Total 79 8" xfId="22657"/>
    <cellStyle name="CALC Amount Total 79 8 2" xfId="30953"/>
    <cellStyle name="CALC Amount Total 79 8 2 2" xfId="42343"/>
    <cellStyle name="CALC Amount Total 79 8 3" xfId="37962"/>
    <cellStyle name="CALC Amount Total 79 8 4" xfId="42344"/>
    <cellStyle name="CALC Amount Total 79 9" xfId="23599"/>
    <cellStyle name="CALC Amount Total 79 9 2" xfId="42345"/>
    <cellStyle name="CALC Amount Total 8" xfId="14637"/>
    <cellStyle name="CALC Amount Total 8 10" xfId="22999"/>
    <cellStyle name="CALC Amount Total 8 10 2" xfId="42346"/>
    <cellStyle name="CALC Amount Total 8 11" xfId="42347"/>
    <cellStyle name="CALC Amount Total 8 2" xfId="15718"/>
    <cellStyle name="CALC Amount Total 8 2 2" xfId="24034"/>
    <cellStyle name="CALC Amount Total 8 2 2 2" xfId="42348"/>
    <cellStyle name="CALC Amount Total 8 2 3" xfId="31327"/>
    <cellStyle name="CALC Amount Total 8 2 4" xfId="42349"/>
    <cellStyle name="CALC Amount Total 8 3" xfId="16684"/>
    <cellStyle name="CALC Amount Total 8 3 2" xfId="25005"/>
    <cellStyle name="CALC Amount Total 8 3 2 2" xfId="42350"/>
    <cellStyle name="CALC Amount Total 8 3 3" xfId="32260"/>
    <cellStyle name="CALC Amount Total 8 3 4" xfId="42351"/>
    <cellStyle name="CALC Amount Total 8 4" xfId="17708"/>
    <cellStyle name="CALC Amount Total 8 4 2" xfId="26031"/>
    <cellStyle name="CALC Amount Total 8 4 2 2" xfId="42352"/>
    <cellStyle name="CALC Amount Total 8 4 3" xfId="33237"/>
    <cellStyle name="CALC Amount Total 8 4 4" xfId="42353"/>
    <cellStyle name="CALC Amount Total 8 5" xfId="18691"/>
    <cellStyle name="CALC Amount Total 8 5 2" xfId="27012"/>
    <cellStyle name="CALC Amount Total 8 5 2 2" xfId="42354"/>
    <cellStyle name="CALC Amount Total 8 5 3" xfId="34176"/>
    <cellStyle name="CALC Amount Total 8 5 4" xfId="42355"/>
    <cellStyle name="CALC Amount Total 8 6" xfId="19660"/>
    <cellStyle name="CALC Amount Total 8 6 2" xfId="27981"/>
    <cellStyle name="CALC Amount Total 8 6 2 2" xfId="42356"/>
    <cellStyle name="CALC Amount Total 8 6 3" xfId="35122"/>
    <cellStyle name="CALC Amount Total 8 6 4" xfId="42357"/>
    <cellStyle name="CALC Amount Total 8 7" xfId="20617"/>
    <cellStyle name="CALC Amount Total 8 7 2" xfId="28938"/>
    <cellStyle name="CALC Amount Total 8 7 2 2" xfId="42358"/>
    <cellStyle name="CALC Amount Total 8 7 3" xfId="36037"/>
    <cellStyle name="CALC Amount Total 8 7 4" xfId="42359"/>
    <cellStyle name="CALC Amount Total 8 8" xfId="21354"/>
    <cellStyle name="CALC Amount Total 8 8 2" xfId="29657"/>
    <cellStyle name="CALC Amount Total 8 8 2 2" xfId="42360"/>
    <cellStyle name="CALC Amount Total 8 8 3" xfId="36722"/>
    <cellStyle name="CALC Amount Total 8 8 4" xfId="42361"/>
    <cellStyle name="CALC Amount Total 8 9" xfId="22054"/>
    <cellStyle name="CALC Amount Total 8 9 2" xfId="30352"/>
    <cellStyle name="CALC Amount Total 8 9 2 2" xfId="42362"/>
    <cellStyle name="CALC Amount Total 8 9 3" xfId="37388"/>
    <cellStyle name="CALC Amount Total 8 9 4" xfId="42363"/>
    <cellStyle name="CALC Amount Total 80" xfId="15219"/>
    <cellStyle name="CALC Amount Total 80 10" xfId="42364"/>
    <cellStyle name="CALC Amount Total 80 11" xfId="42365"/>
    <cellStyle name="CALC Amount Total 80 2" xfId="16299"/>
    <cellStyle name="CALC Amount Total 80 2 2" xfId="24612"/>
    <cellStyle name="CALC Amount Total 80 2 2 2" xfId="42366"/>
    <cellStyle name="CALC Amount Total 80 2 3" xfId="31881"/>
    <cellStyle name="CALC Amount Total 80 2 4" xfId="42367"/>
    <cellStyle name="CALC Amount Total 80 3" xfId="17265"/>
    <cellStyle name="CALC Amount Total 80 3 2" xfId="25586"/>
    <cellStyle name="CALC Amount Total 80 3 2 2" xfId="42368"/>
    <cellStyle name="CALC Amount Total 80 3 3" xfId="32814"/>
    <cellStyle name="CALC Amount Total 80 3 4" xfId="42369"/>
    <cellStyle name="CALC Amount Total 80 4" xfId="18293"/>
    <cellStyle name="CALC Amount Total 80 4 2" xfId="26613"/>
    <cellStyle name="CALC Amount Total 80 4 2 2" xfId="42370"/>
    <cellStyle name="CALC Amount Total 80 4 3" xfId="33792"/>
    <cellStyle name="CALC Amount Total 80 4 4" xfId="42371"/>
    <cellStyle name="CALC Amount Total 80 5" xfId="19277"/>
    <cellStyle name="CALC Amount Total 80 5 2" xfId="27597"/>
    <cellStyle name="CALC Amount Total 80 5 2 2" xfId="42372"/>
    <cellStyle name="CALC Amount Total 80 5 3" xfId="34745"/>
    <cellStyle name="CALC Amount Total 80 5 4" xfId="42373"/>
    <cellStyle name="CALC Amount Total 80 6" xfId="20245"/>
    <cellStyle name="CALC Amount Total 80 6 2" xfId="28567"/>
    <cellStyle name="CALC Amount Total 80 6 2 2" xfId="42374"/>
    <cellStyle name="CALC Amount Total 80 6 3" xfId="35684"/>
    <cellStyle name="CALC Amount Total 80 6 4" xfId="42375"/>
    <cellStyle name="CALC Amount Total 80 7" xfId="21706"/>
    <cellStyle name="CALC Amount Total 80 7 2" xfId="30007"/>
    <cellStyle name="CALC Amount Total 80 7 2 2" xfId="42376"/>
    <cellStyle name="CALC Amount Total 80 7 3" xfId="37058"/>
    <cellStyle name="CALC Amount Total 80 7 4" xfId="42377"/>
    <cellStyle name="CALC Amount Total 80 8" xfId="22634"/>
    <cellStyle name="CALC Amount Total 80 8 2" xfId="30930"/>
    <cellStyle name="CALC Amount Total 80 8 2 2" xfId="42378"/>
    <cellStyle name="CALC Amount Total 80 8 3" xfId="37941"/>
    <cellStyle name="CALC Amount Total 80 8 4" xfId="42379"/>
    <cellStyle name="CALC Amount Total 80 9" xfId="23576"/>
    <cellStyle name="CALC Amount Total 80 9 2" xfId="42380"/>
    <cellStyle name="CALC Amount Total 81" xfId="15251"/>
    <cellStyle name="CALC Amount Total 81 10" xfId="42381"/>
    <cellStyle name="CALC Amount Total 81 11" xfId="42382"/>
    <cellStyle name="CALC Amount Total 81 2" xfId="16331"/>
    <cellStyle name="CALC Amount Total 81 2 2" xfId="24644"/>
    <cellStyle name="CALC Amount Total 81 2 2 2" xfId="42383"/>
    <cellStyle name="CALC Amount Total 81 2 3" xfId="31911"/>
    <cellStyle name="CALC Amount Total 81 2 4" xfId="42384"/>
    <cellStyle name="CALC Amount Total 81 3" xfId="17297"/>
    <cellStyle name="CALC Amount Total 81 3 2" xfId="25618"/>
    <cellStyle name="CALC Amount Total 81 3 2 2" xfId="42385"/>
    <cellStyle name="CALC Amount Total 81 3 3" xfId="32844"/>
    <cellStyle name="CALC Amount Total 81 3 4" xfId="42386"/>
    <cellStyle name="CALC Amount Total 81 4" xfId="18325"/>
    <cellStyle name="CALC Amount Total 81 4 2" xfId="26645"/>
    <cellStyle name="CALC Amount Total 81 4 2 2" xfId="42387"/>
    <cellStyle name="CALC Amount Total 81 4 3" xfId="33822"/>
    <cellStyle name="CALC Amount Total 81 4 4" xfId="42388"/>
    <cellStyle name="CALC Amount Total 81 5" xfId="19309"/>
    <cellStyle name="CALC Amount Total 81 5 2" xfId="27629"/>
    <cellStyle name="CALC Amount Total 81 5 2 2" xfId="42389"/>
    <cellStyle name="CALC Amount Total 81 5 3" xfId="34777"/>
    <cellStyle name="CALC Amount Total 81 5 4" xfId="42390"/>
    <cellStyle name="CALC Amount Total 81 6" xfId="20277"/>
    <cellStyle name="CALC Amount Total 81 6 2" xfId="28599"/>
    <cellStyle name="CALC Amount Total 81 6 2 2" xfId="42391"/>
    <cellStyle name="CALC Amount Total 81 6 3" xfId="35714"/>
    <cellStyle name="CALC Amount Total 81 6 4" xfId="42392"/>
    <cellStyle name="CALC Amount Total 81 7" xfId="21738"/>
    <cellStyle name="CALC Amount Total 81 7 2" xfId="30039"/>
    <cellStyle name="CALC Amount Total 81 7 2 2" xfId="42393"/>
    <cellStyle name="CALC Amount Total 81 7 3" xfId="37088"/>
    <cellStyle name="CALC Amount Total 81 7 4" xfId="42394"/>
    <cellStyle name="CALC Amount Total 81 8" xfId="22666"/>
    <cellStyle name="CALC Amount Total 81 8 2" xfId="30962"/>
    <cellStyle name="CALC Amount Total 81 8 2 2" xfId="42395"/>
    <cellStyle name="CALC Amount Total 81 8 3" xfId="37971"/>
    <cellStyle name="CALC Amount Total 81 8 4" xfId="42396"/>
    <cellStyle name="CALC Amount Total 81 9" xfId="23608"/>
    <cellStyle name="CALC Amount Total 81 9 2" xfId="42397"/>
    <cellStyle name="CALC Amount Total 82" xfId="15249"/>
    <cellStyle name="CALC Amount Total 82 10" xfId="42398"/>
    <cellStyle name="CALC Amount Total 82 11" xfId="42399"/>
    <cellStyle name="CALC Amount Total 82 2" xfId="16329"/>
    <cellStyle name="CALC Amount Total 82 2 2" xfId="24642"/>
    <cellStyle name="CALC Amount Total 82 2 2 2" xfId="42400"/>
    <cellStyle name="CALC Amount Total 82 2 3" xfId="31909"/>
    <cellStyle name="CALC Amount Total 82 2 4" xfId="42401"/>
    <cellStyle name="CALC Amount Total 82 3" xfId="17295"/>
    <cellStyle name="CALC Amount Total 82 3 2" xfId="25616"/>
    <cellStyle name="CALC Amount Total 82 3 2 2" xfId="42402"/>
    <cellStyle name="CALC Amount Total 82 3 3" xfId="32842"/>
    <cellStyle name="CALC Amount Total 82 3 4" xfId="42403"/>
    <cellStyle name="CALC Amount Total 82 4" xfId="18323"/>
    <cellStyle name="CALC Amount Total 82 4 2" xfId="26643"/>
    <cellStyle name="CALC Amount Total 82 4 2 2" xfId="42404"/>
    <cellStyle name="CALC Amount Total 82 4 3" xfId="33820"/>
    <cellStyle name="CALC Amount Total 82 4 4" xfId="42405"/>
    <cellStyle name="CALC Amount Total 82 5" xfId="19307"/>
    <cellStyle name="CALC Amount Total 82 5 2" xfId="27627"/>
    <cellStyle name="CALC Amount Total 82 5 2 2" xfId="42406"/>
    <cellStyle name="CALC Amount Total 82 5 3" xfId="34775"/>
    <cellStyle name="CALC Amount Total 82 5 4" xfId="42407"/>
    <cellStyle name="CALC Amount Total 82 6" xfId="20275"/>
    <cellStyle name="CALC Amount Total 82 6 2" xfId="28597"/>
    <cellStyle name="CALC Amount Total 82 6 2 2" xfId="42408"/>
    <cellStyle name="CALC Amount Total 82 6 3" xfId="35712"/>
    <cellStyle name="CALC Amount Total 82 6 4" xfId="42409"/>
    <cellStyle name="CALC Amount Total 82 7" xfId="21736"/>
    <cellStyle name="CALC Amount Total 82 7 2" xfId="30037"/>
    <cellStyle name="CALC Amount Total 82 7 2 2" xfId="42410"/>
    <cellStyle name="CALC Amount Total 82 7 3" xfId="37086"/>
    <cellStyle name="CALC Amount Total 82 7 4" xfId="42411"/>
    <cellStyle name="CALC Amount Total 82 8" xfId="22664"/>
    <cellStyle name="CALC Amount Total 82 8 2" xfId="30960"/>
    <cellStyle name="CALC Amount Total 82 8 2 2" xfId="42412"/>
    <cellStyle name="CALC Amount Total 82 8 3" xfId="37969"/>
    <cellStyle name="CALC Amount Total 82 8 4" xfId="42413"/>
    <cellStyle name="CALC Amount Total 82 9" xfId="23606"/>
    <cellStyle name="CALC Amount Total 82 9 2" xfId="42414"/>
    <cellStyle name="CALC Amount Total 83" xfId="15252"/>
    <cellStyle name="CALC Amount Total 83 10" xfId="42415"/>
    <cellStyle name="CALC Amount Total 83 11" xfId="42416"/>
    <cellStyle name="CALC Amount Total 83 2" xfId="16332"/>
    <cellStyle name="CALC Amount Total 83 2 2" xfId="24645"/>
    <cellStyle name="CALC Amount Total 83 2 2 2" xfId="42417"/>
    <cellStyle name="CALC Amount Total 83 2 3" xfId="31912"/>
    <cellStyle name="CALC Amount Total 83 2 4" xfId="42418"/>
    <cellStyle name="CALC Amount Total 83 3" xfId="17298"/>
    <cellStyle name="CALC Amount Total 83 3 2" xfId="25619"/>
    <cellStyle name="CALC Amount Total 83 3 2 2" xfId="42419"/>
    <cellStyle name="CALC Amount Total 83 3 3" xfId="32845"/>
    <cellStyle name="CALC Amount Total 83 3 4" xfId="42420"/>
    <cellStyle name="CALC Amount Total 83 4" xfId="18326"/>
    <cellStyle name="CALC Amount Total 83 4 2" xfId="26646"/>
    <cellStyle name="CALC Amount Total 83 4 2 2" xfId="42421"/>
    <cellStyle name="CALC Amount Total 83 4 3" xfId="33823"/>
    <cellStyle name="CALC Amount Total 83 4 4" xfId="42422"/>
    <cellStyle name="CALC Amount Total 83 5" xfId="19310"/>
    <cellStyle name="CALC Amount Total 83 5 2" xfId="27630"/>
    <cellStyle name="CALC Amount Total 83 5 2 2" xfId="42423"/>
    <cellStyle name="CALC Amount Total 83 5 3" xfId="34778"/>
    <cellStyle name="CALC Amount Total 83 5 4" xfId="42424"/>
    <cellStyle name="CALC Amount Total 83 6" xfId="20278"/>
    <cellStyle name="CALC Amount Total 83 6 2" xfId="28600"/>
    <cellStyle name="CALC Amount Total 83 6 2 2" xfId="42425"/>
    <cellStyle name="CALC Amount Total 83 6 3" xfId="35715"/>
    <cellStyle name="CALC Amount Total 83 6 4" xfId="42426"/>
    <cellStyle name="CALC Amount Total 83 7" xfId="21739"/>
    <cellStyle name="CALC Amount Total 83 7 2" xfId="30040"/>
    <cellStyle name="CALC Amount Total 83 7 2 2" xfId="42427"/>
    <cellStyle name="CALC Amount Total 83 7 3" xfId="37089"/>
    <cellStyle name="CALC Amount Total 83 7 4" xfId="42428"/>
    <cellStyle name="CALC Amount Total 83 8" xfId="22667"/>
    <cellStyle name="CALC Amount Total 83 8 2" xfId="30963"/>
    <cellStyle name="CALC Amount Total 83 8 2 2" xfId="42429"/>
    <cellStyle name="CALC Amount Total 83 8 3" xfId="37972"/>
    <cellStyle name="CALC Amount Total 83 8 4" xfId="42430"/>
    <cellStyle name="CALC Amount Total 83 9" xfId="23609"/>
    <cellStyle name="CALC Amount Total 83 9 2" xfId="42431"/>
    <cellStyle name="CALC Amount Total 84" xfId="15230"/>
    <cellStyle name="CALC Amount Total 84 10" xfId="42432"/>
    <cellStyle name="CALC Amount Total 84 11" xfId="42433"/>
    <cellStyle name="CALC Amount Total 84 2" xfId="16310"/>
    <cellStyle name="CALC Amount Total 84 2 2" xfId="24623"/>
    <cellStyle name="CALC Amount Total 84 2 2 2" xfId="42434"/>
    <cellStyle name="CALC Amount Total 84 2 3" xfId="31890"/>
    <cellStyle name="CALC Amount Total 84 2 4" xfId="42435"/>
    <cellStyle name="CALC Amount Total 84 3" xfId="17276"/>
    <cellStyle name="CALC Amount Total 84 3 2" xfId="25597"/>
    <cellStyle name="CALC Amount Total 84 3 2 2" xfId="42436"/>
    <cellStyle name="CALC Amount Total 84 3 3" xfId="32823"/>
    <cellStyle name="CALC Amount Total 84 3 4" xfId="42437"/>
    <cellStyle name="CALC Amount Total 84 4" xfId="18304"/>
    <cellStyle name="CALC Amount Total 84 4 2" xfId="26624"/>
    <cellStyle name="CALC Amount Total 84 4 2 2" xfId="42438"/>
    <cellStyle name="CALC Amount Total 84 4 3" xfId="33801"/>
    <cellStyle name="CALC Amount Total 84 4 4" xfId="42439"/>
    <cellStyle name="CALC Amount Total 84 5" xfId="19288"/>
    <cellStyle name="CALC Amount Total 84 5 2" xfId="27608"/>
    <cellStyle name="CALC Amount Total 84 5 2 2" xfId="42440"/>
    <cellStyle name="CALC Amount Total 84 5 3" xfId="34756"/>
    <cellStyle name="CALC Amount Total 84 5 4" xfId="42441"/>
    <cellStyle name="CALC Amount Total 84 6" xfId="20256"/>
    <cellStyle name="CALC Amount Total 84 6 2" xfId="28578"/>
    <cellStyle name="CALC Amount Total 84 6 2 2" xfId="42442"/>
    <cellStyle name="CALC Amount Total 84 6 3" xfId="35693"/>
    <cellStyle name="CALC Amount Total 84 6 4" xfId="42443"/>
    <cellStyle name="CALC Amount Total 84 7" xfId="21717"/>
    <cellStyle name="CALC Amount Total 84 7 2" xfId="30018"/>
    <cellStyle name="CALC Amount Total 84 7 2 2" xfId="42444"/>
    <cellStyle name="CALC Amount Total 84 7 3" xfId="37067"/>
    <cellStyle name="CALC Amount Total 84 7 4" xfId="42445"/>
    <cellStyle name="CALC Amount Total 84 8" xfId="22645"/>
    <cellStyle name="CALC Amount Total 84 8 2" xfId="30941"/>
    <cellStyle name="CALC Amount Total 84 8 2 2" xfId="42446"/>
    <cellStyle name="CALC Amount Total 84 8 3" xfId="37950"/>
    <cellStyle name="CALC Amount Total 84 8 4" xfId="42447"/>
    <cellStyle name="CALC Amount Total 84 9" xfId="23587"/>
    <cellStyle name="CALC Amount Total 84 9 2" xfId="42448"/>
    <cellStyle name="CALC Amount Total 85" xfId="15229"/>
    <cellStyle name="CALC Amount Total 85 10" xfId="42449"/>
    <cellStyle name="CALC Amount Total 85 11" xfId="42450"/>
    <cellStyle name="CALC Amount Total 85 2" xfId="16309"/>
    <cellStyle name="CALC Amount Total 85 2 2" xfId="24622"/>
    <cellStyle name="CALC Amount Total 85 2 2 2" xfId="42451"/>
    <cellStyle name="CALC Amount Total 85 2 3" xfId="31889"/>
    <cellStyle name="CALC Amount Total 85 2 4" xfId="42452"/>
    <cellStyle name="CALC Amount Total 85 3" xfId="17275"/>
    <cellStyle name="CALC Amount Total 85 3 2" xfId="25596"/>
    <cellStyle name="CALC Amount Total 85 3 2 2" xfId="42453"/>
    <cellStyle name="CALC Amount Total 85 3 3" xfId="32822"/>
    <cellStyle name="CALC Amount Total 85 3 4" xfId="42454"/>
    <cellStyle name="CALC Amount Total 85 4" xfId="18303"/>
    <cellStyle name="CALC Amount Total 85 4 2" xfId="26623"/>
    <cellStyle name="CALC Amount Total 85 4 2 2" xfId="42455"/>
    <cellStyle name="CALC Amount Total 85 4 3" xfId="33800"/>
    <cellStyle name="CALC Amount Total 85 4 4" xfId="42456"/>
    <cellStyle name="CALC Amount Total 85 5" xfId="19287"/>
    <cellStyle name="CALC Amount Total 85 5 2" xfId="27607"/>
    <cellStyle name="CALC Amount Total 85 5 2 2" xfId="42457"/>
    <cellStyle name="CALC Amount Total 85 5 3" xfId="34755"/>
    <cellStyle name="CALC Amount Total 85 5 4" xfId="42458"/>
    <cellStyle name="CALC Amount Total 85 6" xfId="20255"/>
    <cellStyle name="CALC Amount Total 85 6 2" xfId="28577"/>
    <cellStyle name="CALC Amount Total 85 6 2 2" xfId="42459"/>
    <cellStyle name="CALC Amount Total 85 6 3" xfId="35692"/>
    <cellStyle name="CALC Amount Total 85 6 4" xfId="42460"/>
    <cellStyle name="CALC Amount Total 85 7" xfId="21716"/>
    <cellStyle name="CALC Amount Total 85 7 2" xfId="30017"/>
    <cellStyle name="CALC Amount Total 85 7 2 2" xfId="42461"/>
    <cellStyle name="CALC Amount Total 85 7 3" xfId="37066"/>
    <cellStyle name="CALC Amount Total 85 7 4" xfId="42462"/>
    <cellStyle name="CALC Amount Total 85 8" xfId="22644"/>
    <cellStyle name="CALC Amount Total 85 8 2" xfId="30940"/>
    <cellStyle name="CALC Amount Total 85 8 2 2" xfId="42463"/>
    <cellStyle name="CALC Amount Total 85 8 3" xfId="37949"/>
    <cellStyle name="CALC Amount Total 85 8 4" xfId="42464"/>
    <cellStyle name="CALC Amount Total 85 9" xfId="23586"/>
    <cellStyle name="CALC Amount Total 85 9 2" xfId="42465"/>
    <cellStyle name="CALC Amount Total 86" xfId="15314"/>
    <cellStyle name="CALC Amount Total 86 10" xfId="42466"/>
    <cellStyle name="CALC Amount Total 86 11" xfId="42467"/>
    <cellStyle name="CALC Amount Total 86 2" xfId="16394"/>
    <cellStyle name="CALC Amount Total 86 2 2" xfId="24707"/>
    <cellStyle name="CALC Amount Total 86 2 2 2" xfId="42468"/>
    <cellStyle name="CALC Amount Total 86 2 3" xfId="31972"/>
    <cellStyle name="CALC Amount Total 86 2 4" xfId="42469"/>
    <cellStyle name="CALC Amount Total 86 3" xfId="17360"/>
    <cellStyle name="CALC Amount Total 86 3 2" xfId="25681"/>
    <cellStyle name="CALC Amount Total 86 3 2 2" xfId="42470"/>
    <cellStyle name="CALC Amount Total 86 3 3" xfId="32905"/>
    <cellStyle name="CALC Amount Total 86 3 4" xfId="42471"/>
    <cellStyle name="CALC Amount Total 86 4" xfId="18388"/>
    <cellStyle name="CALC Amount Total 86 4 2" xfId="26708"/>
    <cellStyle name="CALC Amount Total 86 4 2 2" xfId="42472"/>
    <cellStyle name="CALC Amount Total 86 4 3" xfId="33883"/>
    <cellStyle name="CALC Amount Total 86 4 4" xfId="42473"/>
    <cellStyle name="CALC Amount Total 86 5" xfId="19371"/>
    <cellStyle name="CALC Amount Total 86 5 2" xfId="27692"/>
    <cellStyle name="CALC Amount Total 86 5 2 2" xfId="42474"/>
    <cellStyle name="CALC Amount Total 86 5 3" xfId="34840"/>
    <cellStyle name="CALC Amount Total 86 5 4" xfId="42475"/>
    <cellStyle name="CALC Amount Total 86 6" xfId="20340"/>
    <cellStyle name="CALC Amount Total 86 6 2" xfId="28662"/>
    <cellStyle name="CALC Amount Total 86 6 2 2" xfId="42476"/>
    <cellStyle name="CALC Amount Total 86 6 3" xfId="35775"/>
    <cellStyle name="CALC Amount Total 86 6 4" xfId="42477"/>
    <cellStyle name="CALC Amount Total 86 7" xfId="21801"/>
    <cellStyle name="CALC Amount Total 86 7 2" xfId="30102"/>
    <cellStyle name="CALC Amount Total 86 7 2 2" xfId="42478"/>
    <cellStyle name="CALC Amount Total 86 7 3" xfId="37149"/>
    <cellStyle name="CALC Amount Total 86 7 4" xfId="42479"/>
    <cellStyle name="CALC Amount Total 86 8" xfId="22729"/>
    <cellStyle name="CALC Amount Total 86 8 2" xfId="31025"/>
    <cellStyle name="CALC Amount Total 86 8 2 2" xfId="42480"/>
    <cellStyle name="CALC Amount Total 86 8 3" xfId="38032"/>
    <cellStyle name="CALC Amount Total 86 8 4" xfId="42481"/>
    <cellStyle name="CALC Amount Total 86 9" xfId="23671"/>
    <cellStyle name="CALC Amount Total 86 9 2" xfId="42482"/>
    <cellStyle name="CALC Amount Total 87" xfId="15319"/>
    <cellStyle name="CALC Amount Total 87 10" xfId="42483"/>
    <cellStyle name="CALC Amount Total 87 11" xfId="42484"/>
    <cellStyle name="CALC Amount Total 87 2" xfId="16399"/>
    <cellStyle name="CALC Amount Total 87 2 2" xfId="24712"/>
    <cellStyle name="CALC Amount Total 87 2 2 2" xfId="42485"/>
    <cellStyle name="CALC Amount Total 87 2 3" xfId="31977"/>
    <cellStyle name="CALC Amount Total 87 2 4" xfId="42486"/>
    <cellStyle name="CALC Amount Total 87 3" xfId="17365"/>
    <cellStyle name="CALC Amount Total 87 3 2" xfId="25686"/>
    <cellStyle name="CALC Amount Total 87 3 2 2" xfId="42487"/>
    <cellStyle name="CALC Amount Total 87 3 3" xfId="32910"/>
    <cellStyle name="CALC Amount Total 87 3 4" xfId="42488"/>
    <cellStyle name="CALC Amount Total 87 4" xfId="18393"/>
    <cellStyle name="CALC Amount Total 87 4 2" xfId="26713"/>
    <cellStyle name="CALC Amount Total 87 4 2 2" xfId="42489"/>
    <cellStyle name="CALC Amount Total 87 4 3" xfId="33888"/>
    <cellStyle name="CALC Amount Total 87 4 4" xfId="42490"/>
    <cellStyle name="CALC Amount Total 87 5" xfId="19376"/>
    <cellStyle name="CALC Amount Total 87 5 2" xfId="27697"/>
    <cellStyle name="CALC Amount Total 87 5 2 2" xfId="42491"/>
    <cellStyle name="CALC Amount Total 87 5 3" xfId="34845"/>
    <cellStyle name="CALC Amount Total 87 5 4" xfId="42492"/>
    <cellStyle name="CALC Amount Total 87 6" xfId="20345"/>
    <cellStyle name="CALC Amount Total 87 6 2" xfId="28667"/>
    <cellStyle name="CALC Amount Total 87 6 2 2" xfId="42493"/>
    <cellStyle name="CALC Amount Total 87 6 3" xfId="35780"/>
    <cellStyle name="CALC Amount Total 87 6 4" xfId="42494"/>
    <cellStyle name="CALC Amount Total 87 7" xfId="21806"/>
    <cellStyle name="CALC Amount Total 87 7 2" xfId="30107"/>
    <cellStyle name="CALC Amount Total 87 7 2 2" xfId="42495"/>
    <cellStyle name="CALC Amount Total 87 7 3" xfId="37154"/>
    <cellStyle name="CALC Amount Total 87 7 4" xfId="42496"/>
    <cellStyle name="CALC Amount Total 87 8" xfId="22734"/>
    <cellStyle name="CALC Amount Total 87 8 2" xfId="31030"/>
    <cellStyle name="CALC Amount Total 87 8 2 2" xfId="42497"/>
    <cellStyle name="CALC Amount Total 87 8 3" xfId="38037"/>
    <cellStyle name="CALC Amount Total 87 8 4" xfId="42498"/>
    <cellStyle name="CALC Amount Total 87 9" xfId="23676"/>
    <cellStyle name="CALC Amount Total 87 9 2" xfId="42499"/>
    <cellStyle name="CALC Amount Total 88" xfId="15323"/>
    <cellStyle name="CALC Amount Total 88 10" xfId="42500"/>
    <cellStyle name="CALC Amount Total 88 11" xfId="42501"/>
    <cellStyle name="CALC Amount Total 88 2" xfId="16403"/>
    <cellStyle name="CALC Amount Total 88 2 2" xfId="24716"/>
    <cellStyle name="CALC Amount Total 88 2 2 2" xfId="42502"/>
    <cellStyle name="CALC Amount Total 88 2 3" xfId="31981"/>
    <cellStyle name="CALC Amount Total 88 2 4" xfId="42503"/>
    <cellStyle name="CALC Amount Total 88 3" xfId="17369"/>
    <cellStyle name="CALC Amount Total 88 3 2" xfId="25690"/>
    <cellStyle name="CALC Amount Total 88 3 2 2" xfId="42504"/>
    <cellStyle name="CALC Amount Total 88 3 3" xfId="32914"/>
    <cellStyle name="CALC Amount Total 88 3 4" xfId="42505"/>
    <cellStyle name="CALC Amount Total 88 4" xfId="18397"/>
    <cellStyle name="CALC Amount Total 88 4 2" xfId="26717"/>
    <cellStyle name="CALC Amount Total 88 4 2 2" xfId="42506"/>
    <cellStyle name="CALC Amount Total 88 4 3" xfId="33892"/>
    <cellStyle name="CALC Amount Total 88 4 4" xfId="42507"/>
    <cellStyle name="CALC Amount Total 88 5" xfId="19380"/>
    <cellStyle name="CALC Amount Total 88 5 2" xfId="27701"/>
    <cellStyle name="CALC Amount Total 88 5 2 2" xfId="42508"/>
    <cellStyle name="CALC Amount Total 88 5 3" xfId="34849"/>
    <cellStyle name="CALC Amount Total 88 5 4" xfId="42509"/>
    <cellStyle name="CALC Amount Total 88 6" xfId="20349"/>
    <cellStyle name="CALC Amount Total 88 6 2" xfId="28671"/>
    <cellStyle name="CALC Amount Total 88 6 2 2" xfId="42510"/>
    <cellStyle name="CALC Amount Total 88 6 3" xfId="35784"/>
    <cellStyle name="CALC Amount Total 88 6 4" xfId="42511"/>
    <cellStyle name="CALC Amount Total 88 7" xfId="21810"/>
    <cellStyle name="CALC Amount Total 88 7 2" xfId="30111"/>
    <cellStyle name="CALC Amount Total 88 7 2 2" xfId="42512"/>
    <cellStyle name="CALC Amount Total 88 7 3" xfId="37158"/>
    <cellStyle name="CALC Amount Total 88 7 4" xfId="42513"/>
    <cellStyle name="CALC Amount Total 88 8" xfId="22738"/>
    <cellStyle name="CALC Amount Total 88 8 2" xfId="31034"/>
    <cellStyle name="CALC Amount Total 88 8 2 2" xfId="42514"/>
    <cellStyle name="CALC Amount Total 88 8 3" xfId="38041"/>
    <cellStyle name="CALC Amount Total 88 8 4" xfId="42515"/>
    <cellStyle name="CALC Amount Total 88 9" xfId="23680"/>
    <cellStyle name="CALC Amount Total 88 9 2" xfId="42516"/>
    <cellStyle name="CALC Amount Total 89" xfId="15324"/>
    <cellStyle name="CALC Amount Total 89 10" xfId="42517"/>
    <cellStyle name="CALC Amount Total 89 11" xfId="42518"/>
    <cellStyle name="CALC Amount Total 89 2" xfId="16404"/>
    <cellStyle name="CALC Amount Total 89 2 2" xfId="24717"/>
    <cellStyle name="CALC Amount Total 89 2 2 2" xfId="42519"/>
    <cellStyle name="CALC Amount Total 89 2 3" xfId="31982"/>
    <cellStyle name="CALC Amount Total 89 2 4" xfId="42520"/>
    <cellStyle name="CALC Amount Total 89 3" xfId="17370"/>
    <cellStyle name="CALC Amount Total 89 3 2" xfId="25691"/>
    <cellStyle name="CALC Amount Total 89 3 2 2" xfId="42521"/>
    <cellStyle name="CALC Amount Total 89 3 3" xfId="32915"/>
    <cellStyle name="CALC Amount Total 89 3 4" xfId="42522"/>
    <cellStyle name="CALC Amount Total 89 4" xfId="18398"/>
    <cellStyle name="CALC Amount Total 89 4 2" xfId="26718"/>
    <cellStyle name="CALC Amount Total 89 4 2 2" xfId="42523"/>
    <cellStyle name="CALC Amount Total 89 4 3" xfId="33893"/>
    <cellStyle name="CALC Amount Total 89 4 4" xfId="42524"/>
    <cellStyle name="CALC Amount Total 89 5" xfId="19381"/>
    <cellStyle name="CALC Amount Total 89 5 2" xfId="27702"/>
    <cellStyle name="CALC Amount Total 89 5 2 2" xfId="42525"/>
    <cellStyle name="CALC Amount Total 89 5 3" xfId="34850"/>
    <cellStyle name="CALC Amount Total 89 5 4" xfId="42526"/>
    <cellStyle name="CALC Amount Total 89 6" xfId="20350"/>
    <cellStyle name="CALC Amount Total 89 6 2" xfId="28672"/>
    <cellStyle name="CALC Amount Total 89 6 2 2" xfId="42527"/>
    <cellStyle name="CALC Amount Total 89 6 3" xfId="35785"/>
    <cellStyle name="CALC Amount Total 89 6 4" xfId="42528"/>
    <cellStyle name="CALC Amount Total 89 7" xfId="21811"/>
    <cellStyle name="CALC Amount Total 89 7 2" xfId="30112"/>
    <cellStyle name="CALC Amount Total 89 7 2 2" xfId="42529"/>
    <cellStyle name="CALC Amount Total 89 7 3" xfId="37159"/>
    <cellStyle name="CALC Amount Total 89 7 4" xfId="42530"/>
    <cellStyle name="CALC Amount Total 89 8" xfId="22739"/>
    <cellStyle name="CALC Amount Total 89 8 2" xfId="31035"/>
    <cellStyle name="CALC Amount Total 89 8 2 2" xfId="42531"/>
    <cellStyle name="CALC Amount Total 89 8 3" xfId="38042"/>
    <cellStyle name="CALC Amount Total 89 8 4" xfId="42532"/>
    <cellStyle name="CALC Amount Total 89 9" xfId="23681"/>
    <cellStyle name="CALC Amount Total 89 9 2" xfId="42533"/>
    <cellStyle name="CALC Amount Total 9" xfId="14650"/>
    <cellStyle name="CALC Amount Total 9 10" xfId="23012"/>
    <cellStyle name="CALC Amount Total 9 10 2" xfId="42534"/>
    <cellStyle name="CALC Amount Total 9 11" xfId="42535"/>
    <cellStyle name="CALC Amount Total 9 2" xfId="15731"/>
    <cellStyle name="CALC Amount Total 9 2 2" xfId="24047"/>
    <cellStyle name="CALC Amount Total 9 2 2 2" xfId="42536"/>
    <cellStyle name="CALC Amount Total 9 2 3" xfId="31339"/>
    <cellStyle name="CALC Amount Total 9 2 4" xfId="42537"/>
    <cellStyle name="CALC Amount Total 9 3" xfId="16697"/>
    <cellStyle name="CALC Amount Total 9 3 2" xfId="25018"/>
    <cellStyle name="CALC Amount Total 9 3 2 2" xfId="42538"/>
    <cellStyle name="CALC Amount Total 9 3 3" xfId="32272"/>
    <cellStyle name="CALC Amount Total 9 3 4" xfId="42539"/>
    <cellStyle name="CALC Amount Total 9 4" xfId="17721"/>
    <cellStyle name="CALC Amount Total 9 4 2" xfId="26044"/>
    <cellStyle name="CALC Amount Total 9 4 2 2" xfId="42540"/>
    <cellStyle name="CALC Amount Total 9 4 3" xfId="33249"/>
    <cellStyle name="CALC Amount Total 9 4 4" xfId="42541"/>
    <cellStyle name="CALC Amount Total 9 5" xfId="18704"/>
    <cellStyle name="CALC Amount Total 9 5 2" xfId="27025"/>
    <cellStyle name="CALC Amount Total 9 5 2 2" xfId="42542"/>
    <cellStyle name="CALC Amount Total 9 5 3" xfId="34188"/>
    <cellStyle name="CALC Amount Total 9 5 4" xfId="42543"/>
    <cellStyle name="CALC Amount Total 9 6" xfId="19673"/>
    <cellStyle name="CALC Amount Total 9 6 2" xfId="27994"/>
    <cellStyle name="CALC Amount Total 9 6 2 2" xfId="42544"/>
    <cellStyle name="CALC Amount Total 9 6 3" xfId="35134"/>
    <cellStyle name="CALC Amount Total 9 6 4" xfId="42545"/>
    <cellStyle name="CALC Amount Total 9 7" xfId="20630"/>
    <cellStyle name="CALC Amount Total 9 7 2" xfId="28951"/>
    <cellStyle name="CALC Amount Total 9 7 2 2" xfId="42546"/>
    <cellStyle name="CALC Amount Total 9 7 3" xfId="36049"/>
    <cellStyle name="CALC Amount Total 9 7 4" xfId="42547"/>
    <cellStyle name="CALC Amount Total 9 8" xfId="21120"/>
    <cellStyle name="CALC Amount Total 9 8 2" xfId="29434"/>
    <cellStyle name="CALC Amount Total 9 8 2 2" xfId="42548"/>
    <cellStyle name="CALC Amount Total 9 8 3" xfId="36507"/>
    <cellStyle name="CALC Amount Total 9 8 4" xfId="42549"/>
    <cellStyle name="CALC Amount Total 9 9" xfId="22067"/>
    <cellStyle name="CALC Amount Total 9 9 2" xfId="30365"/>
    <cellStyle name="CALC Amount Total 9 9 2 2" xfId="42550"/>
    <cellStyle name="CALC Amount Total 9 9 3" xfId="37400"/>
    <cellStyle name="CALC Amount Total 9 9 4" xfId="42551"/>
    <cellStyle name="CALC Amount Total 90" xfId="15255"/>
    <cellStyle name="CALC Amount Total 90 10" xfId="42552"/>
    <cellStyle name="CALC Amount Total 90 11" xfId="42553"/>
    <cellStyle name="CALC Amount Total 90 2" xfId="16335"/>
    <cellStyle name="CALC Amount Total 90 2 2" xfId="24648"/>
    <cellStyle name="CALC Amount Total 90 2 2 2" xfId="42554"/>
    <cellStyle name="CALC Amount Total 90 2 3" xfId="31915"/>
    <cellStyle name="CALC Amount Total 90 2 4" xfId="42555"/>
    <cellStyle name="CALC Amount Total 90 3" xfId="17301"/>
    <cellStyle name="CALC Amount Total 90 3 2" xfId="25622"/>
    <cellStyle name="CALC Amount Total 90 3 2 2" xfId="42556"/>
    <cellStyle name="CALC Amount Total 90 3 3" xfId="32848"/>
    <cellStyle name="CALC Amount Total 90 3 4" xfId="42557"/>
    <cellStyle name="CALC Amount Total 90 4" xfId="18329"/>
    <cellStyle name="CALC Amount Total 90 4 2" xfId="26649"/>
    <cellStyle name="CALC Amount Total 90 4 2 2" xfId="42558"/>
    <cellStyle name="CALC Amount Total 90 4 3" xfId="33826"/>
    <cellStyle name="CALC Amount Total 90 4 4" xfId="42559"/>
    <cellStyle name="CALC Amount Total 90 5" xfId="19313"/>
    <cellStyle name="CALC Amount Total 90 5 2" xfId="27633"/>
    <cellStyle name="CALC Amount Total 90 5 2 2" xfId="42560"/>
    <cellStyle name="CALC Amount Total 90 5 3" xfId="34781"/>
    <cellStyle name="CALC Amount Total 90 5 4" xfId="42561"/>
    <cellStyle name="CALC Amount Total 90 6" xfId="20281"/>
    <cellStyle name="CALC Amount Total 90 6 2" xfId="28603"/>
    <cellStyle name="CALC Amount Total 90 6 2 2" xfId="42562"/>
    <cellStyle name="CALC Amount Total 90 6 3" xfId="35718"/>
    <cellStyle name="CALC Amount Total 90 6 4" xfId="42563"/>
    <cellStyle name="CALC Amount Total 90 7" xfId="21742"/>
    <cellStyle name="CALC Amount Total 90 7 2" xfId="30043"/>
    <cellStyle name="CALC Amount Total 90 7 2 2" xfId="42564"/>
    <cellStyle name="CALC Amount Total 90 7 3" xfId="37092"/>
    <cellStyle name="CALC Amount Total 90 7 4" xfId="42565"/>
    <cellStyle name="CALC Amount Total 90 8" xfId="22670"/>
    <cellStyle name="CALC Amount Total 90 8 2" xfId="30966"/>
    <cellStyle name="CALC Amount Total 90 8 2 2" xfId="42566"/>
    <cellStyle name="CALC Amount Total 90 8 3" xfId="37975"/>
    <cellStyle name="CALC Amount Total 90 8 4" xfId="42567"/>
    <cellStyle name="CALC Amount Total 90 9" xfId="23612"/>
    <cellStyle name="CALC Amount Total 90 9 2" xfId="42568"/>
    <cellStyle name="CALC Amount Total 91" xfId="15354"/>
    <cellStyle name="CALC Amount Total 91 10" xfId="42569"/>
    <cellStyle name="CALC Amount Total 91 11" xfId="42570"/>
    <cellStyle name="CALC Amount Total 91 2" xfId="16434"/>
    <cellStyle name="CALC Amount Total 91 2 2" xfId="24747"/>
    <cellStyle name="CALC Amount Total 91 2 2 2" xfId="42571"/>
    <cellStyle name="CALC Amount Total 91 2 3" xfId="32011"/>
    <cellStyle name="CALC Amount Total 91 2 4" xfId="42572"/>
    <cellStyle name="CALC Amount Total 91 3" xfId="17400"/>
    <cellStyle name="CALC Amount Total 91 3 2" xfId="25721"/>
    <cellStyle name="CALC Amount Total 91 3 2 2" xfId="42573"/>
    <cellStyle name="CALC Amount Total 91 3 3" xfId="32944"/>
    <cellStyle name="CALC Amount Total 91 3 4" xfId="42574"/>
    <cellStyle name="CALC Amount Total 91 4" xfId="18428"/>
    <cellStyle name="CALC Amount Total 91 4 2" xfId="26748"/>
    <cellStyle name="CALC Amount Total 91 4 2 2" xfId="42575"/>
    <cellStyle name="CALC Amount Total 91 4 3" xfId="33922"/>
    <cellStyle name="CALC Amount Total 91 4 4" xfId="42576"/>
    <cellStyle name="CALC Amount Total 91 5" xfId="19411"/>
    <cellStyle name="CALC Amount Total 91 5 2" xfId="27732"/>
    <cellStyle name="CALC Amount Total 91 5 2 2" xfId="42577"/>
    <cellStyle name="CALC Amount Total 91 5 3" xfId="34880"/>
    <cellStyle name="CALC Amount Total 91 5 4" xfId="42578"/>
    <cellStyle name="CALC Amount Total 91 6" xfId="20380"/>
    <cellStyle name="CALC Amount Total 91 6 2" xfId="28702"/>
    <cellStyle name="CALC Amount Total 91 6 2 2" xfId="42579"/>
    <cellStyle name="CALC Amount Total 91 6 3" xfId="35814"/>
    <cellStyle name="CALC Amount Total 91 6 4" xfId="42580"/>
    <cellStyle name="CALC Amount Total 91 7" xfId="21841"/>
    <cellStyle name="CALC Amount Total 91 7 2" xfId="30142"/>
    <cellStyle name="CALC Amount Total 91 7 2 2" xfId="42581"/>
    <cellStyle name="CALC Amount Total 91 7 3" xfId="37188"/>
    <cellStyle name="CALC Amount Total 91 7 4" xfId="42582"/>
    <cellStyle name="CALC Amount Total 91 8" xfId="22769"/>
    <cellStyle name="CALC Amount Total 91 8 2" xfId="31065"/>
    <cellStyle name="CALC Amount Total 91 8 2 2" xfId="42583"/>
    <cellStyle name="CALC Amount Total 91 8 3" xfId="38071"/>
    <cellStyle name="CALC Amount Total 91 8 4" xfId="42584"/>
    <cellStyle name="CALC Amount Total 91 9" xfId="23711"/>
    <cellStyle name="CALC Amount Total 91 9 2" xfId="42585"/>
    <cellStyle name="CALC Amount Total 92" xfId="15362"/>
    <cellStyle name="CALC Amount Total 92 10" xfId="42586"/>
    <cellStyle name="CALC Amount Total 92 11" xfId="42587"/>
    <cellStyle name="CALC Amount Total 92 2" xfId="16442"/>
    <cellStyle name="CALC Amount Total 92 2 2" xfId="24755"/>
    <cellStyle name="CALC Amount Total 92 2 2 2" xfId="42588"/>
    <cellStyle name="CALC Amount Total 92 2 3" xfId="32019"/>
    <cellStyle name="CALC Amount Total 92 2 4" xfId="42589"/>
    <cellStyle name="CALC Amount Total 92 3" xfId="17408"/>
    <cellStyle name="CALC Amount Total 92 3 2" xfId="25729"/>
    <cellStyle name="CALC Amount Total 92 3 2 2" xfId="42590"/>
    <cellStyle name="CALC Amount Total 92 3 3" xfId="32952"/>
    <cellStyle name="CALC Amount Total 92 3 4" xfId="42591"/>
    <cellStyle name="CALC Amount Total 92 4" xfId="18436"/>
    <cellStyle name="CALC Amount Total 92 4 2" xfId="26756"/>
    <cellStyle name="CALC Amount Total 92 4 2 2" xfId="42592"/>
    <cellStyle name="CALC Amount Total 92 4 3" xfId="33930"/>
    <cellStyle name="CALC Amount Total 92 4 4" xfId="42593"/>
    <cellStyle name="CALC Amount Total 92 5" xfId="19419"/>
    <cellStyle name="CALC Amount Total 92 5 2" xfId="27740"/>
    <cellStyle name="CALC Amount Total 92 5 2 2" xfId="42594"/>
    <cellStyle name="CALC Amount Total 92 5 3" xfId="34888"/>
    <cellStyle name="CALC Amount Total 92 5 4" xfId="42595"/>
    <cellStyle name="CALC Amount Total 92 6" xfId="20388"/>
    <cellStyle name="CALC Amount Total 92 6 2" xfId="28710"/>
    <cellStyle name="CALC Amount Total 92 6 2 2" xfId="42596"/>
    <cellStyle name="CALC Amount Total 92 6 3" xfId="35822"/>
    <cellStyle name="CALC Amount Total 92 6 4" xfId="42597"/>
    <cellStyle name="CALC Amount Total 92 7" xfId="21849"/>
    <cellStyle name="CALC Amount Total 92 7 2" xfId="30150"/>
    <cellStyle name="CALC Amount Total 92 7 2 2" xfId="42598"/>
    <cellStyle name="CALC Amount Total 92 7 3" xfId="37195"/>
    <cellStyle name="CALC Amount Total 92 7 4" xfId="42599"/>
    <cellStyle name="CALC Amount Total 92 8" xfId="22777"/>
    <cellStyle name="CALC Amount Total 92 8 2" xfId="31073"/>
    <cellStyle name="CALC Amount Total 92 8 2 2" xfId="42600"/>
    <cellStyle name="CALC Amount Total 92 8 3" xfId="38079"/>
    <cellStyle name="CALC Amount Total 92 8 4" xfId="42601"/>
    <cellStyle name="CALC Amount Total 92 9" xfId="23719"/>
    <cellStyle name="CALC Amount Total 92 9 2" xfId="42602"/>
    <cellStyle name="CALC Amount Total 93" xfId="15357"/>
    <cellStyle name="CALC Amount Total 93 10" xfId="42603"/>
    <cellStyle name="CALC Amount Total 93 11" xfId="42604"/>
    <cellStyle name="CALC Amount Total 93 2" xfId="16437"/>
    <cellStyle name="CALC Amount Total 93 2 2" xfId="24750"/>
    <cellStyle name="CALC Amount Total 93 2 2 2" xfId="42605"/>
    <cellStyle name="CALC Amount Total 93 2 3" xfId="32014"/>
    <cellStyle name="CALC Amount Total 93 2 4" xfId="42606"/>
    <cellStyle name="CALC Amount Total 93 3" xfId="17403"/>
    <cellStyle name="CALC Amount Total 93 3 2" xfId="25724"/>
    <cellStyle name="CALC Amount Total 93 3 2 2" xfId="42607"/>
    <cellStyle name="CALC Amount Total 93 3 3" xfId="32947"/>
    <cellStyle name="CALC Amount Total 93 3 4" xfId="42608"/>
    <cellStyle name="CALC Amount Total 93 4" xfId="18431"/>
    <cellStyle name="CALC Amount Total 93 4 2" xfId="26751"/>
    <cellStyle name="CALC Amount Total 93 4 2 2" xfId="42609"/>
    <cellStyle name="CALC Amount Total 93 4 3" xfId="33925"/>
    <cellStyle name="CALC Amount Total 93 4 4" xfId="42610"/>
    <cellStyle name="CALC Amount Total 93 5" xfId="19414"/>
    <cellStyle name="CALC Amount Total 93 5 2" xfId="27735"/>
    <cellStyle name="CALC Amount Total 93 5 2 2" xfId="42611"/>
    <cellStyle name="CALC Amount Total 93 5 3" xfId="34883"/>
    <cellStyle name="CALC Amount Total 93 5 4" xfId="42612"/>
    <cellStyle name="CALC Amount Total 93 6" xfId="20383"/>
    <cellStyle name="CALC Amount Total 93 6 2" xfId="28705"/>
    <cellStyle name="CALC Amount Total 93 6 2 2" xfId="42613"/>
    <cellStyle name="CALC Amount Total 93 6 3" xfId="35817"/>
    <cellStyle name="CALC Amount Total 93 6 4" xfId="42614"/>
    <cellStyle name="CALC Amount Total 93 7" xfId="21844"/>
    <cellStyle name="CALC Amount Total 93 7 2" xfId="30145"/>
    <cellStyle name="CALC Amount Total 93 7 2 2" xfId="42615"/>
    <cellStyle name="CALC Amount Total 93 7 3" xfId="37191"/>
    <cellStyle name="CALC Amount Total 93 7 4" xfId="42616"/>
    <cellStyle name="CALC Amount Total 93 8" xfId="22772"/>
    <cellStyle name="CALC Amount Total 93 8 2" xfId="31068"/>
    <cellStyle name="CALC Amount Total 93 8 2 2" xfId="42617"/>
    <cellStyle name="CALC Amount Total 93 8 3" xfId="38074"/>
    <cellStyle name="CALC Amount Total 93 8 4" xfId="42618"/>
    <cellStyle name="CALC Amount Total 93 9" xfId="23714"/>
    <cellStyle name="CALC Amount Total 93 9 2" xfId="42619"/>
    <cellStyle name="CALC Amount Total 94" xfId="15359"/>
    <cellStyle name="CALC Amount Total 94 10" xfId="42620"/>
    <cellStyle name="CALC Amount Total 94 11" xfId="42621"/>
    <cellStyle name="CALC Amount Total 94 2" xfId="16439"/>
    <cellStyle name="CALC Amount Total 94 2 2" xfId="24752"/>
    <cellStyle name="CALC Amount Total 94 2 2 2" xfId="42622"/>
    <cellStyle name="CALC Amount Total 94 2 3" xfId="32016"/>
    <cellStyle name="CALC Amount Total 94 2 4" xfId="42623"/>
    <cellStyle name="CALC Amount Total 94 3" xfId="17405"/>
    <cellStyle name="CALC Amount Total 94 3 2" xfId="25726"/>
    <cellStyle name="CALC Amount Total 94 3 2 2" xfId="42624"/>
    <cellStyle name="CALC Amount Total 94 3 3" xfId="32949"/>
    <cellStyle name="CALC Amount Total 94 3 4" xfId="42625"/>
    <cellStyle name="CALC Amount Total 94 4" xfId="18433"/>
    <cellStyle name="CALC Amount Total 94 4 2" xfId="26753"/>
    <cellStyle name="CALC Amount Total 94 4 2 2" xfId="42626"/>
    <cellStyle name="CALC Amount Total 94 4 3" xfId="33927"/>
    <cellStyle name="CALC Amount Total 94 4 4" xfId="42627"/>
    <cellStyle name="CALC Amount Total 94 5" xfId="19416"/>
    <cellStyle name="CALC Amount Total 94 5 2" xfId="27737"/>
    <cellStyle name="CALC Amount Total 94 5 2 2" xfId="42628"/>
    <cellStyle name="CALC Amount Total 94 5 3" xfId="34885"/>
    <cellStyle name="CALC Amount Total 94 5 4" xfId="42629"/>
    <cellStyle name="CALC Amount Total 94 6" xfId="20385"/>
    <cellStyle name="CALC Amount Total 94 6 2" xfId="28707"/>
    <cellStyle name="CALC Amount Total 94 6 2 2" xfId="42630"/>
    <cellStyle name="CALC Amount Total 94 6 3" xfId="35819"/>
    <cellStyle name="CALC Amount Total 94 6 4" xfId="42631"/>
    <cellStyle name="CALC Amount Total 94 7" xfId="21846"/>
    <cellStyle name="CALC Amount Total 94 7 2" xfId="30147"/>
    <cellStyle name="CALC Amount Total 94 7 2 2" xfId="42632"/>
    <cellStyle name="CALC Amount Total 94 7 3" xfId="37192"/>
    <cellStyle name="CALC Amount Total 94 7 4" xfId="42633"/>
    <cellStyle name="CALC Amount Total 94 8" xfId="22774"/>
    <cellStyle name="CALC Amount Total 94 8 2" xfId="31070"/>
    <cellStyle name="CALC Amount Total 94 8 2 2" xfId="42634"/>
    <cellStyle name="CALC Amount Total 94 8 3" xfId="38076"/>
    <cellStyle name="CALC Amount Total 94 8 4" xfId="42635"/>
    <cellStyle name="CALC Amount Total 94 9" xfId="23716"/>
    <cellStyle name="CALC Amount Total 94 9 2" xfId="42636"/>
    <cellStyle name="CALC Amount Total 95" xfId="15340"/>
    <cellStyle name="CALC Amount Total 95 10" xfId="42637"/>
    <cellStyle name="CALC Amount Total 95 11" xfId="42638"/>
    <cellStyle name="CALC Amount Total 95 2" xfId="16420"/>
    <cellStyle name="CALC Amount Total 95 2 2" xfId="24733"/>
    <cellStyle name="CALC Amount Total 95 2 2 2" xfId="42639"/>
    <cellStyle name="CALC Amount Total 95 2 3" xfId="31998"/>
    <cellStyle name="CALC Amount Total 95 2 4" xfId="42640"/>
    <cellStyle name="CALC Amount Total 95 3" xfId="17386"/>
    <cellStyle name="CALC Amount Total 95 3 2" xfId="25707"/>
    <cellStyle name="CALC Amount Total 95 3 2 2" xfId="42641"/>
    <cellStyle name="CALC Amount Total 95 3 3" xfId="32931"/>
    <cellStyle name="CALC Amount Total 95 3 4" xfId="42642"/>
    <cellStyle name="CALC Amount Total 95 4" xfId="18414"/>
    <cellStyle name="CALC Amount Total 95 4 2" xfId="26734"/>
    <cellStyle name="CALC Amount Total 95 4 2 2" xfId="42643"/>
    <cellStyle name="CALC Amount Total 95 4 3" xfId="33909"/>
    <cellStyle name="CALC Amount Total 95 4 4" xfId="42644"/>
    <cellStyle name="CALC Amount Total 95 5" xfId="19397"/>
    <cellStyle name="CALC Amount Total 95 5 2" xfId="27718"/>
    <cellStyle name="CALC Amount Total 95 5 2 2" xfId="42645"/>
    <cellStyle name="CALC Amount Total 95 5 3" xfId="34866"/>
    <cellStyle name="CALC Amount Total 95 5 4" xfId="42646"/>
    <cellStyle name="CALC Amount Total 95 6" xfId="20366"/>
    <cellStyle name="CALC Amount Total 95 6 2" xfId="28688"/>
    <cellStyle name="CALC Amount Total 95 6 2 2" xfId="42647"/>
    <cellStyle name="CALC Amount Total 95 6 3" xfId="35801"/>
    <cellStyle name="CALC Amount Total 95 6 4" xfId="42648"/>
    <cellStyle name="CALC Amount Total 95 7" xfId="21827"/>
    <cellStyle name="CALC Amount Total 95 7 2" xfId="30128"/>
    <cellStyle name="CALC Amount Total 95 7 2 2" xfId="42649"/>
    <cellStyle name="CALC Amount Total 95 7 3" xfId="37175"/>
    <cellStyle name="CALC Amount Total 95 7 4" xfId="42650"/>
    <cellStyle name="CALC Amount Total 95 8" xfId="22755"/>
    <cellStyle name="CALC Amount Total 95 8 2" xfId="31051"/>
    <cellStyle name="CALC Amount Total 95 8 2 2" xfId="42651"/>
    <cellStyle name="CALC Amount Total 95 8 3" xfId="38058"/>
    <cellStyle name="CALC Amount Total 95 8 4" xfId="42652"/>
    <cellStyle name="CALC Amount Total 95 9" xfId="23697"/>
    <cellStyle name="CALC Amount Total 95 9 2" xfId="42653"/>
    <cellStyle name="CALC Amount Total 96" xfId="15368"/>
    <cellStyle name="CALC Amount Total 96 10" xfId="42654"/>
    <cellStyle name="CALC Amount Total 96 11" xfId="42655"/>
    <cellStyle name="CALC Amount Total 96 2" xfId="16448"/>
    <cellStyle name="CALC Amount Total 96 2 2" xfId="24761"/>
    <cellStyle name="CALC Amount Total 96 2 2 2" xfId="42656"/>
    <cellStyle name="CALC Amount Total 96 2 3" xfId="32025"/>
    <cellStyle name="CALC Amount Total 96 2 4" xfId="42657"/>
    <cellStyle name="CALC Amount Total 96 3" xfId="17414"/>
    <cellStyle name="CALC Amount Total 96 3 2" xfId="25735"/>
    <cellStyle name="CALC Amount Total 96 3 2 2" xfId="42658"/>
    <cellStyle name="CALC Amount Total 96 3 3" xfId="32958"/>
    <cellStyle name="CALC Amount Total 96 3 4" xfId="42659"/>
    <cellStyle name="CALC Amount Total 96 4" xfId="18442"/>
    <cellStyle name="CALC Amount Total 96 4 2" xfId="26762"/>
    <cellStyle name="CALC Amount Total 96 4 2 2" xfId="42660"/>
    <cellStyle name="CALC Amount Total 96 4 3" xfId="33936"/>
    <cellStyle name="CALC Amount Total 96 4 4" xfId="42661"/>
    <cellStyle name="CALC Amount Total 96 5" xfId="19425"/>
    <cellStyle name="CALC Amount Total 96 5 2" xfId="27746"/>
    <cellStyle name="CALC Amount Total 96 5 2 2" xfId="42662"/>
    <cellStyle name="CALC Amount Total 96 5 3" xfId="34894"/>
    <cellStyle name="CALC Amount Total 96 5 4" xfId="42663"/>
    <cellStyle name="CALC Amount Total 96 6" xfId="20394"/>
    <cellStyle name="CALC Amount Total 96 6 2" xfId="28716"/>
    <cellStyle name="CALC Amount Total 96 6 2 2" xfId="42664"/>
    <cellStyle name="CALC Amount Total 96 6 3" xfId="35828"/>
    <cellStyle name="CALC Amount Total 96 6 4" xfId="42665"/>
    <cellStyle name="CALC Amount Total 96 7" xfId="21855"/>
    <cellStyle name="CALC Amount Total 96 7 2" xfId="30156"/>
    <cellStyle name="CALC Amount Total 96 7 2 2" xfId="42666"/>
    <cellStyle name="CALC Amount Total 96 7 3" xfId="37201"/>
    <cellStyle name="CALC Amount Total 96 7 4" xfId="42667"/>
    <cellStyle name="CALC Amount Total 96 8" xfId="22783"/>
    <cellStyle name="CALC Amount Total 96 8 2" xfId="31079"/>
    <cellStyle name="CALC Amount Total 96 8 2 2" xfId="42668"/>
    <cellStyle name="CALC Amount Total 96 8 3" xfId="38085"/>
    <cellStyle name="CALC Amount Total 96 8 4" xfId="42669"/>
    <cellStyle name="CALC Amount Total 96 9" xfId="23725"/>
    <cellStyle name="CALC Amount Total 96 9 2" xfId="42670"/>
    <cellStyle name="CALC Amount Total 97" xfId="15339"/>
    <cellStyle name="CALC Amount Total 97 10" xfId="42671"/>
    <cellStyle name="CALC Amount Total 97 11" xfId="42672"/>
    <cellStyle name="CALC Amount Total 97 2" xfId="16419"/>
    <cellStyle name="CALC Amount Total 97 2 2" xfId="24732"/>
    <cellStyle name="CALC Amount Total 97 2 2 2" xfId="42673"/>
    <cellStyle name="CALC Amount Total 97 2 3" xfId="31997"/>
    <cellStyle name="CALC Amount Total 97 2 4" xfId="42674"/>
    <cellStyle name="CALC Amount Total 97 3" xfId="17385"/>
    <cellStyle name="CALC Amount Total 97 3 2" xfId="25706"/>
    <cellStyle name="CALC Amount Total 97 3 2 2" xfId="42675"/>
    <cellStyle name="CALC Amount Total 97 3 3" xfId="32930"/>
    <cellStyle name="CALC Amount Total 97 3 4" xfId="42676"/>
    <cellStyle name="CALC Amount Total 97 4" xfId="18413"/>
    <cellStyle name="CALC Amount Total 97 4 2" xfId="26733"/>
    <cellStyle name="CALC Amount Total 97 4 2 2" xfId="42677"/>
    <cellStyle name="CALC Amount Total 97 4 3" xfId="33908"/>
    <cellStyle name="CALC Amount Total 97 4 4" xfId="42678"/>
    <cellStyle name="CALC Amount Total 97 5" xfId="19396"/>
    <cellStyle name="CALC Amount Total 97 5 2" xfId="27717"/>
    <cellStyle name="CALC Amount Total 97 5 2 2" xfId="42679"/>
    <cellStyle name="CALC Amount Total 97 5 3" xfId="34865"/>
    <cellStyle name="CALC Amount Total 97 5 4" xfId="42680"/>
    <cellStyle name="CALC Amount Total 97 6" xfId="20365"/>
    <cellStyle name="CALC Amount Total 97 6 2" xfId="28687"/>
    <cellStyle name="CALC Amount Total 97 6 2 2" xfId="42681"/>
    <cellStyle name="CALC Amount Total 97 6 3" xfId="35800"/>
    <cellStyle name="CALC Amount Total 97 6 4" xfId="42682"/>
    <cellStyle name="CALC Amount Total 97 7" xfId="21826"/>
    <cellStyle name="CALC Amount Total 97 7 2" xfId="30127"/>
    <cellStyle name="CALC Amount Total 97 7 2 2" xfId="42683"/>
    <cellStyle name="CALC Amount Total 97 7 3" xfId="37174"/>
    <cellStyle name="CALC Amount Total 97 7 4" xfId="42684"/>
    <cellStyle name="CALC Amount Total 97 8" xfId="22754"/>
    <cellStyle name="CALC Amount Total 97 8 2" xfId="31050"/>
    <cellStyle name="CALC Amount Total 97 8 2 2" xfId="42685"/>
    <cellStyle name="CALC Amount Total 97 8 3" xfId="38057"/>
    <cellStyle name="CALC Amount Total 97 8 4" xfId="42686"/>
    <cellStyle name="CALC Amount Total 97 9" xfId="23696"/>
    <cellStyle name="CALC Amount Total 97 9 2" xfId="42687"/>
    <cellStyle name="CALC Amount Total 98" xfId="15343"/>
    <cellStyle name="CALC Amount Total 98 10" xfId="42688"/>
    <cellStyle name="CALC Amount Total 98 11" xfId="42689"/>
    <cellStyle name="CALC Amount Total 98 2" xfId="16423"/>
    <cellStyle name="CALC Amount Total 98 2 2" xfId="24736"/>
    <cellStyle name="CALC Amount Total 98 2 2 2" xfId="42690"/>
    <cellStyle name="CALC Amount Total 98 2 3" xfId="32001"/>
    <cellStyle name="CALC Amount Total 98 2 4" xfId="42691"/>
    <cellStyle name="CALC Amount Total 98 3" xfId="17389"/>
    <cellStyle name="CALC Amount Total 98 3 2" xfId="25710"/>
    <cellStyle name="CALC Amount Total 98 3 2 2" xfId="42692"/>
    <cellStyle name="CALC Amount Total 98 3 3" xfId="32934"/>
    <cellStyle name="CALC Amount Total 98 3 4" xfId="42693"/>
    <cellStyle name="CALC Amount Total 98 4" xfId="18417"/>
    <cellStyle name="CALC Amount Total 98 4 2" xfId="26737"/>
    <cellStyle name="CALC Amount Total 98 4 2 2" xfId="42694"/>
    <cellStyle name="CALC Amount Total 98 4 3" xfId="33912"/>
    <cellStyle name="CALC Amount Total 98 4 4" xfId="42695"/>
    <cellStyle name="CALC Amount Total 98 5" xfId="19400"/>
    <cellStyle name="CALC Amount Total 98 5 2" xfId="27721"/>
    <cellStyle name="CALC Amount Total 98 5 2 2" xfId="42696"/>
    <cellStyle name="CALC Amount Total 98 5 3" xfId="34869"/>
    <cellStyle name="CALC Amount Total 98 5 4" xfId="42697"/>
    <cellStyle name="CALC Amount Total 98 6" xfId="20369"/>
    <cellStyle name="CALC Amount Total 98 6 2" xfId="28691"/>
    <cellStyle name="CALC Amount Total 98 6 2 2" xfId="42698"/>
    <cellStyle name="CALC Amount Total 98 6 3" xfId="35804"/>
    <cellStyle name="CALC Amount Total 98 6 4" xfId="42699"/>
    <cellStyle name="CALC Amount Total 98 7" xfId="21830"/>
    <cellStyle name="CALC Amount Total 98 7 2" xfId="30131"/>
    <cellStyle name="CALC Amount Total 98 7 2 2" xfId="42700"/>
    <cellStyle name="CALC Amount Total 98 7 3" xfId="37178"/>
    <cellStyle name="CALC Amount Total 98 7 4" xfId="42701"/>
    <cellStyle name="CALC Amount Total 98 8" xfId="22758"/>
    <cellStyle name="CALC Amount Total 98 8 2" xfId="31054"/>
    <cellStyle name="CALC Amount Total 98 8 2 2" xfId="42702"/>
    <cellStyle name="CALC Amount Total 98 8 3" xfId="38061"/>
    <cellStyle name="CALC Amount Total 98 8 4" xfId="42703"/>
    <cellStyle name="CALC Amount Total 98 9" xfId="23700"/>
    <cellStyle name="CALC Amount Total 98 9 2" xfId="42704"/>
    <cellStyle name="CALC Amount Total 99" xfId="15413"/>
    <cellStyle name="CALC Amount Total 99 10" xfId="42705"/>
    <cellStyle name="CALC Amount Total 99 11" xfId="42706"/>
    <cellStyle name="CALC Amount Total 99 2" xfId="16493"/>
    <cellStyle name="CALC Amount Total 99 2 2" xfId="24806"/>
    <cellStyle name="CALC Amount Total 99 2 2 2" xfId="42707"/>
    <cellStyle name="CALC Amount Total 99 2 3" xfId="32067"/>
    <cellStyle name="CALC Amount Total 99 2 4" xfId="42708"/>
    <cellStyle name="CALC Amount Total 99 3" xfId="17459"/>
    <cellStyle name="CALC Amount Total 99 3 2" xfId="25780"/>
    <cellStyle name="CALC Amount Total 99 3 2 2" xfId="42709"/>
    <cellStyle name="CALC Amount Total 99 3 3" xfId="33000"/>
    <cellStyle name="CALC Amount Total 99 3 4" xfId="42710"/>
    <cellStyle name="CALC Amount Total 99 4" xfId="18487"/>
    <cellStyle name="CALC Amount Total 99 4 2" xfId="26807"/>
    <cellStyle name="CALC Amount Total 99 4 2 2" xfId="42711"/>
    <cellStyle name="CALC Amount Total 99 4 3" xfId="33978"/>
    <cellStyle name="CALC Amount Total 99 4 4" xfId="42712"/>
    <cellStyle name="CALC Amount Total 99 5" xfId="19470"/>
    <cellStyle name="CALC Amount Total 99 5 2" xfId="27791"/>
    <cellStyle name="CALC Amount Total 99 5 2 2" xfId="42713"/>
    <cellStyle name="CALC Amount Total 99 5 3" xfId="34939"/>
    <cellStyle name="CALC Amount Total 99 5 4" xfId="42714"/>
    <cellStyle name="CALC Amount Total 99 6" xfId="20439"/>
    <cellStyle name="CALC Amount Total 99 6 2" xfId="28761"/>
    <cellStyle name="CALC Amount Total 99 6 2 2" xfId="42715"/>
    <cellStyle name="CALC Amount Total 99 6 3" xfId="35870"/>
    <cellStyle name="CALC Amount Total 99 6 4" xfId="42716"/>
    <cellStyle name="CALC Amount Total 99 7" xfId="21900"/>
    <cellStyle name="CALC Amount Total 99 7 2" xfId="30201"/>
    <cellStyle name="CALC Amount Total 99 7 2 2" xfId="42717"/>
    <cellStyle name="CALC Amount Total 99 7 3" xfId="37243"/>
    <cellStyle name="CALC Amount Total 99 7 4" xfId="42718"/>
    <cellStyle name="CALC Amount Total 99 8" xfId="22828"/>
    <cellStyle name="CALC Amount Total 99 8 2" xfId="31124"/>
    <cellStyle name="CALC Amount Total 99 8 2 2" xfId="42719"/>
    <cellStyle name="CALC Amount Total 99 8 3" xfId="38127"/>
    <cellStyle name="CALC Amount Total 99 8 4" xfId="42720"/>
    <cellStyle name="CALC Amount Total 99 9" xfId="23770"/>
    <cellStyle name="CALC Amount Total 99 9 2" xfId="42721"/>
    <cellStyle name="CALC Currency" xfId="14457"/>
    <cellStyle name="CALC Currency [1]" xfId="14458"/>
    <cellStyle name="CALC Currency [2]" xfId="14459"/>
    <cellStyle name="CALC Currency Total" xfId="14460"/>
    <cellStyle name="CALC Currency Total [1]" xfId="14461"/>
    <cellStyle name="CALC Currency Total [1] 10" xfId="14716"/>
    <cellStyle name="CALC Currency Total [1] 10 10" xfId="23078"/>
    <cellStyle name="CALC Currency Total [1] 10 10 2" xfId="42722"/>
    <cellStyle name="CALC Currency Total [1] 10 11" xfId="42723"/>
    <cellStyle name="CALC Currency Total [1] 10 12" xfId="42724"/>
    <cellStyle name="CALC Currency Total [1] 10 2" xfId="15797"/>
    <cellStyle name="CALC Currency Total [1] 10 2 2" xfId="24113"/>
    <cellStyle name="CALC Currency Total [1] 10 2 2 2" xfId="42725"/>
    <cellStyle name="CALC Currency Total [1] 10 2 3" xfId="31401"/>
    <cellStyle name="CALC Currency Total [1] 10 2 4" xfId="42726"/>
    <cellStyle name="CALC Currency Total [1] 10 3" xfId="16763"/>
    <cellStyle name="CALC Currency Total [1] 10 3 2" xfId="25085"/>
    <cellStyle name="CALC Currency Total [1] 10 3 2 2" xfId="42727"/>
    <cellStyle name="CALC Currency Total [1] 10 3 3" xfId="32334"/>
    <cellStyle name="CALC Currency Total [1] 10 3 4" xfId="42728"/>
    <cellStyle name="CALC Currency Total [1] 10 4" xfId="17787"/>
    <cellStyle name="CALC Currency Total [1] 10 4 2" xfId="26111"/>
    <cellStyle name="CALC Currency Total [1] 10 4 2 2" xfId="42729"/>
    <cellStyle name="CALC Currency Total [1] 10 4 3" xfId="33311"/>
    <cellStyle name="CALC Currency Total [1] 10 4 4" xfId="42730"/>
    <cellStyle name="CALC Currency Total [1] 10 5" xfId="18771"/>
    <cellStyle name="CALC Currency Total [1] 10 5 2" xfId="27092"/>
    <cellStyle name="CALC Currency Total [1] 10 5 2 2" xfId="42731"/>
    <cellStyle name="CALC Currency Total [1] 10 5 3" xfId="34251"/>
    <cellStyle name="CALC Currency Total [1] 10 5 4" xfId="42732"/>
    <cellStyle name="CALC Currency Total [1] 10 6" xfId="19740"/>
    <cellStyle name="CALC Currency Total [1] 10 6 2" xfId="28061"/>
    <cellStyle name="CALC Currency Total [1] 10 6 2 2" xfId="42733"/>
    <cellStyle name="CALC Currency Total [1] 10 6 3" xfId="35197"/>
    <cellStyle name="CALC Currency Total [1] 10 6 4" xfId="42734"/>
    <cellStyle name="CALC Currency Total [1] 10 7" xfId="20697"/>
    <cellStyle name="CALC Currency Total [1] 10 7 2" xfId="29018"/>
    <cellStyle name="CALC Currency Total [1] 10 7 2 2" xfId="42735"/>
    <cellStyle name="CALC Currency Total [1] 10 7 3" xfId="36111"/>
    <cellStyle name="CALC Currency Total [1] 10 7 4" xfId="42736"/>
    <cellStyle name="CALC Currency Total [1] 10 8" xfId="21305"/>
    <cellStyle name="CALC Currency Total [1] 10 8 2" xfId="29612"/>
    <cellStyle name="CALC Currency Total [1] 10 8 2 2" xfId="42737"/>
    <cellStyle name="CALC Currency Total [1] 10 8 3" xfId="36679"/>
    <cellStyle name="CALC Currency Total [1] 10 8 4" xfId="42738"/>
    <cellStyle name="CALC Currency Total [1] 10 9" xfId="22133"/>
    <cellStyle name="CALC Currency Total [1] 10 9 2" xfId="30431"/>
    <cellStyle name="CALC Currency Total [1] 10 9 2 2" xfId="42739"/>
    <cellStyle name="CALC Currency Total [1] 10 9 3" xfId="37462"/>
    <cellStyle name="CALC Currency Total [1] 10 9 4" xfId="42740"/>
    <cellStyle name="CALC Currency Total [1] 11" xfId="14857"/>
    <cellStyle name="CALC Currency Total [1] 11 10" xfId="23220"/>
    <cellStyle name="CALC Currency Total [1] 11 10 2" xfId="42741"/>
    <cellStyle name="CALC Currency Total [1] 11 11" xfId="42742"/>
    <cellStyle name="CALC Currency Total [1] 11 12" xfId="42743"/>
    <cellStyle name="CALC Currency Total [1] 11 2" xfId="15938"/>
    <cellStyle name="CALC Currency Total [1] 11 2 2" xfId="24255"/>
    <cellStyle name="CALC Currency Total [1] 11 2 2 2" xfId="42744"/>
    <cellStyle name="CALC Currency Total [1] 11 2 3" xfId="31539"/>
    <cellStyle name="CALC Currency Total [1] 11 2 4" xfId="42745"/>
    <cellStyle name="CALC Currency Total [1] 11 3" xfId="16904"/>
    <cellStyle name="CALC Currency Total [1] 11 3 2" xfId="25227"/>
    <cellStyle name="CALC Currency Total [1] 11 3 2 2" xfId="42746"/>
    <cellStyle name="CALC Currency Total [1] 11 3 3" xfId="32472"/>
    <cellStyle name="CALC Currency Total [1] 11 3 4" xfId="42747"/>
    <cellStyle name="CALC Currency Total [1] 11 4" xfId="17931"/>
    <cellStyle name="CALC Currency Total [1] 11 4 2" xfId="26253"/>
    <cellStyle name="CALC Currency Total [1] 11 4 2 2" xfId="42748"/>
    <cellStyle name="CALC Currency Total [1] 11 4 3" xfId="33449"/>
    <cellStyle name="CALC Currency Total [1] 11 4 4" xfId="42749"/>
    <cellStyle name="CALC Currency Total [1] 11 5" xfId="18915"/>
    <cellStyle name="CALC Currency Total [1] 11 5 2" xfId="27235"/>
    <cellStyle name="CALC Currency Total [1] 11 5 2 2" xfId="42750"/>
    <cellStyle name="CALC Currency Total [1] 11 5 3" xfId="34390"/>
    <cellStyle name="CALC Currency Total [1] 11 5 4" xfId="42751"/>
    <cellStyle name="CALC Currency Total [1] 11 6" xfId="19883"/>
    <cellStyle name="CALC Currency Total [1] 11 6 2" xfId="28205"/>
    <cellStyle name="CALC Currency Total [1] 11 6 2 2" xfId="42752"/>
    <cellStyle name="CALC Currency Total [1] 11 6 3" xfId="35337"/>
    <cellStyle name="CALC Currency Total [1] 11 6 4" xfId="42753"/>
    <cellStyle name="CALC Currency Total [1] 11 7" xfId="20841"/>
    <cellStyle name="CALC Currency Total [1] 11 7 2" xfId="29160"/>
    <cellStyle name="CALC Currency Total [1] 11 7 2 2" xfId="42754"/>
    <cellStyle name="CALC Currency Total [1] 11 7 3" xfId="36247"/>
    <cellStyle name="CALC Currency Total [1] 11 7 4" xfId="42755"/>
    <cellStyle name="CALC Currency Total [1] 11 8" xfId="19857"/>
    <cellStyle name="CALC Currency Total [1] 11 8 2" xfId="28179"/>
    <cellStyle name="CALC Currency Total [1] 11 8 2 2" xfId="42756"/>
    <cellStyle name="CALC Currency Total [1] 11 8 3" xfId="35311"/>
    <cellStyle name="CALC Currency Total [1] 11 8 4" xfId="42757"/>
    <cellStyle name="CALC Currency Total [1] 11 9" xfId="22276"/>
    <cellStyle name="CALC Currency Total [1] 11 9 2" xfId="30574"/>
    <cellStyle name="CALC Currency Total [1] 11 9 2 2" xfId="42758"/>
    <cellStyle name="CALC Currency Total [1] 11 9 3" xfId="37600"/>
    <cellStyle name="CALC Currency Total [1] 11 9 4" xfId="42759"/>
    <cellStyle name="CALC Currency Total [1] 12" xfId="14951"/>
    <cellStyle name="CALC Currency Total [1] 12 10" xfId="23314"/>
    <cellStyle name="CALC Currency Total [1] 12 10 2" xfId="42760"/>
    <cellStyle name="CALC Currency Total [1] 12 11" xfId="42761"/>
    <cellStyle name="CALC Currency Total [1] 12 12" xfId="42762"/>
    <cellStyle name="CALC Currency Total [1] 12 2" xfId="16032"/>
    <cellStyle name="CALC Currency Total [1] 12 2 2" xfId="24349"/>
    <cellStyle name="CALC Currency Total [1] 12 2 2 2" xfId="42763"/>
    <cellStyle name="CALC Currency Total [1] 12 2 3" xfId="31629"/>
    <cellStyle name="CALC Currency Total [1] 12 2 4" xfId="42764"/>
    <cellStyle name="CALC Currency Total [1] 12 3" xfId="16998"/>
    <cellStyle name="CALC Currency Total [1] 12 3 2" xfId="25321"/>
    <cellStyle name="CALC Currency Total [1] 12 3 2 2" xfId="42765"/>
    <cellStyle name="CALC Currency Total [1] 12 3 3" xfId="32562"/>
    <cellStyle name="CALC Currency Total [1] 12 3 4" xfId="42766"/>
    <cellStyle name="CALC Currency Total [1] 12 4" xfId="18025"/>
    <cellStyle name="CALC Currency Total [1] 12 4 2" xfId="26347"/>
    <cellStyle name="CALC Currency Total [1] 12 4 2 2" xfId="42767"/>
    <cellStyle name="CALC Currency Total [1] 12 4 3" xfId="33539"/>
    <cellStyle name="CALC Currency Total [1] 12 4 4" xfId="42768"/>
    <cellStyle name="CALC Currency Total [1] 12 5" xfId="19009"/>
    <cellStyle name="CALC Currency Total [1] 12 5 2" xfId="27329"/>
    <cellStyle name="CALC Currency Total [1] 12 5 2 2" xfId="42769"/>
    <cellStyle name="CALC Currency Total [1] 12 5 3" xfId="34480"/>
    <cellStyle name="CALC Currency Total [1] 12 5 4" xfId="42770"/>
    <cellStyle name="CALC Currency Total [1] 12 6" xfId="19977"/>
    <cellStyle name="CALC Currency Total [1] 12 6 2" xfId="28299"/>
    <cellStyle name="CALC Currency Total [1] 12 6 2 2" xfId="42771"/>
    <cellStyle name="CALC Currency Total [1] 12 6 3" xfId="35427"/>
    <cellStyle name="CALC Currency Total [1] 12 6 4" xfId="42772"/>
    <cellStyle name="CALC Currency Total [1] 12 7" xfId="20935"/>
    <cellStyle name="CALC Currency Total [1] 12 7 2" xfId="29254"/>
    <cellStyle name="CALC Currency Total [1] 12 7 2 2" xfId="42773"/>
    <cellStyle name="CALC Currency Total [1] 12 7 3" xfId="36337"/>
    <cellStyle name="CALC Currency Total [1] 12 7 4" xfId="42774"/>
    <cellStyle name="CALC Currency Total [1] 12 8" xfId="21442"/>
    <cellStyle name="CALC Currency Total [1] 12 8 2" xfId="29745"/>
    <cellStyle name="CALC Currency Total [1] 12 8 2 2" xfId="42775"/>
    <cellStyle name="CALC Currency Total [1] 12 8 3" xfId="36807"/>
    <cellStyle name="CALC Currency Total [1] 12 8 4" xfId="42776"/>
    <cellStyle name="CALC Currency Total [1] 12 9" xfId="22370"/>
    <cellStyle name="CALC Currency Total [1] 12 9 2" xfId="30668"/>
    <cellStyle name="CALC Currency Total [1] 12 9 2 2" xfId="42777"/>
    <cellStyle name="CALC Currency Total [1] 12 9 3" xfId="37690"/>
    <cellStyle name="CALC Currency Total [1] 12 9 4" xfId="42778"/>
    <cellStyle name="CALC Currency Total [1] 13" xfId="15003"/>
    <cellStyle name="CALC Currency Total [1] 13 10" xfId="23364"/>
    <cellStyle name="CALC Currency Total [1] 13 10 2" xfId="42779"/>
    <cellStyle name="CALC Currency Total [1] 13 11" xfId="42780"/>
    <cellStyle name="CALC Currency Total [1] 13 12" xfId="42781"/>
    <cellStyle name="CALC Currency Total [1] 13 2" xfId="16084"/>
    <cellStyle name="CALC Currency Total [1] 13 2 2" xfId="24399"/>
    <cellStyle name="CALC Currency Total [1] 13 2 2 2" xfId="42782"/>
    <cellStyle name="CALC Currency Total [1] 13 2 3" xfId="31678"/>
    <cellStyle name="CALC Currency Total [1] 13 2 4" xfId="42783"/>
    <cellStyle name="CALC Currency Total [1] 13 3" xfId="17050"/>
    <cellStyle name="CALC Currency Total [1] 13 3 2" xfId="25371"/>
    <cellStyle name="CALC Currency Total [1] 13 3 2 2" xfId="42784"/>
    <cellStyle name="CALC Currency Total [1] 13 3 3" xfId="32611"/>
    <cellStyle name="CALC Currency Total [1] 13 3 4" xfId="42785"/>
    <cellStyle name="CALC Currency Total [1] 13 4" xfId="18077"/>
    <cellStyle name="CALC Currency Total [1] 13 4 2" xfId="26397"/>
    <cellStyle name="CALC Currency Total [1] 13 4 2 2" xfId="42786"/>
    <cellStyle name="CALC Currency Total [1] 13 4 3" xfId="33588"/>
    <cellStyle name="CALC Currency Total [1] 13 4 4" xfId="42787"/>
    <cellStyle name="CALC Currency Total [1] 13 5" xfId="19061"/>
    <cellStyle name="CALC Currency Total [1] 13 5 2" xfId="27381"/>
    <cellStyle name="CALC Currency Total [1] 13 5 2 2" xfId="42788"/>
    <cellStyle name="CALC Currency Total [1] 13 5 3" xfId="34531"/>
    <cellStyle name="CALC Currency Total [1] 13 5 4" xfId="42789"/>
    <cellStyle name="CALC Currency Total [1] 13 6" xfId="20029"/>
    <cellStyle name="CALC Currency Total [1] 13 6 2" xfId="28351"/>
    <cellStyle name="CALC Currency Total [1] 13 6 2 2" xfId="42790"/>
    <cellStyle name="CALC Currency Total [1] 13 6 3" xfId="35478"/>
    <cellStyle name="CALC Currency Total [1] 13 6 4" xfId="42791"/>
    <cellStyle name="CALC Currency Total [1] 13 7" xfId="20987"/>
    <cellStyle name="CALC Currency Total [1] 13 7 2" xfId="29304"/>
    <cellStyle name="CALC Currency Total [1] 13 7 2 2" xfId="42792"/>
    <cellStyle name="CALC Currency Total [1] 13 7 3" xfId="36386"/>
    <cellStyle name="CALC Currency Total [1] 13 7 4" xfId="42793"/>
    <cellStyle name="CALC Currency Total [1] 13 8" xfId="21494"/>
    <cellStyle name="CALC Currency Total [1] 13 8 2" xfId="29795"/>
    <cellStyle name="CALC Currency Total [1] 13 8 2 2" xfId="42794"/>
    <cellStyle name="CALC Currency Total [1] 13 8 3" xfId="36856"/>
    <cellStyle name="CALC Currency Total [1] 13 8 4" xfId="42795"/>
    <cellStyle name="CALC Currency Total [1] 13 9" xfId="22422"/>
    <cellStyle name="CALC Currency Total [1] 13 9 2" xfId="30718"/>
    <cellStyle name="CALC Currency Total [1] 13 9 2 2" xfId="42796"/>
    <cellStyle name="CALC Currency Total [1] 13 9 3" xfId="37739"/>
    <cellStyle name="CALC Currency Total [1] 13 9 4" xfId="42797"/>
    <cellStyle name="CALC Currency Total [1] 14" xfId="15014"/>
    <cellStyle name="CALC Currency Total [1] 14 10" xfId="23374"/>
    <cellStyle name="CALC Currency Total [1] 14 10 2" xfId="42798"/>
    <cellStyle name="CALC Currency Total [1] 14 11" xfId="42799"/>
    <cellStyle name="CALC Currency Total [1] 14 12" xfId="42800"/>
    <cellStyle name="CALC Currency Total [1] 14 2" xfId="16094"/>
    <cellStyle name="CALC Currency Total [1] 14 2 2" xfId="24409"/>
    <cellStyle name="CALC Currency Total [1] 14 2 2 2" xfId="42801"/>
    <cellStyle name="CALC Currency Total [1] 14 2 3" xfId="31687"/>
    <cellStyle name="CALC Currency Total [1] 14 2 4" xfId="42802"/>
    <cellStyle name="CALC Currency Total [1] 14 3" xfId="17061"/>
    <cellStyle name="CALC Currency Total [1] 14 3 2" xfId="25382"/>
    <cellStyle name="CALC Currency Total [1] 14 3 2 2" xfId="42803"/>
    <cellStyle name="CALC Currency Total [1] 14 3 3" xfId="32621"/>
    <cellStyle name="CALC Currency Total [1] 14 3 4" xfId="42804"/>
    <cellStyle name="CALC Currency Total [1] 14 4" xfId="18088"/>
    <cellStyle name="CALC Currency Total [1] 14 4 2" xfId="26408"/>
    <cellStyle name="CALC Currency Total [1] 14 4 2 2" xfId="42805"/>
    <cellStyle name="CALC Currency Total [1] 14 4 3" xfId="33598"/>
    <cellStyle name="CALC Currency Total [1] 14 4 4" xfId="42806"/>
    <cellStyle name="CALC Currency Total [1] 14 5" xfId="19072"/>
    <cellStyle name="CALC Currency Total [1] 14 5 2" xfId="27392"/>
    <cellStyle name="CALC Currency Total [1] 14 5 2 2" xfId="42807"/>
    <cellStyle name="CALC Currency Total [1] 14 5 3" xfId="34541"/>
    <cellStyle name="CALC Currency Total [1] 14 5 4" xfId="42808"/>
    <cellStyle name="CALC Currency Total [1] 14 6" xfId="20040"/>
    <cellStyle name="CALC Currency Total [1] 14 6 2" xfId="28362"/>
    <cellStyle name="CALC Currency Total [1] 14 6 2 2" xfId="42809"/>
    <cellStyle name="CALC Currency Total [1] 14 6 3" xfId="35488"/>
    <cellStyle name="CALC Currency Total [1] 14 6 4" xfId="42810"/>
    <cellStyle name="CALC Currency Total [1] 14 7" xfId="20997"/>
    <cellStyle name="CALC Currency Total [1] 14 7 2" xfId="29314"/>
    <cellStyle name="CALC Currency Total [1] 14 7 2 2" xfId="42811"/>
    <cellStyle name="CALC Currency Total [1] 14 7 3" xfId="36395"/>
    <cellStyle name="CALC Currency Total [1] 14 7 4" xfId="42812"/>
    <cellStyle name="CALC Currency Total [1] 14 8" xfId="21504"/>
    <cellStyle name="CALC Currency Total [1] 14 8 2" xfId="29805"/>
    <cellStyle name="CALC Currency Total [1] 14 8 2 2" xfId="42813"/>
    <cellStyle name="CALC Currency Total [1] 14 8 3" xfId="36865"/>
    <cellStyle name="CALC Currency Total [1] 14 8 4" xfId="42814"/>
    <cellStyle name="CALC Currency Total [1] 14 9" xfId="22432"/>
    <cellStyle name="CALC Currency Total [1] 14 9 2" xfId="30728"/>
    <cellStyle name="CALC Currency Total [1] 14 9 2 2" xfId="42815"/>
    <cellStyle name="CALC Currency Total [1] 14 9 3" xfId="37748"/>
    <cellStyle name="CALC Currency Total [1] 14 9 4" xfId="42816"/>
    <cellStyle name="CALC Currency Total [1] 15" xfId="15119"/>
    <cellStyle name="CALC Currency Total [1] 15 10" xfId="42817"/>
    <cellStyle name="CALC Currency Total [1] 15 11" xfId="42818"/>
    <cellStyle name="CALC Currency Total [1] 15 2" xfId="16199"/>
    <cellStyle name="CALC Currency Total [1] 15 2 2" xfId="24512"/>
    <cellStyle name="CALC Currency Total [1] 15 2 2 2" xfId="42819"/>
    <cellStyle name="CALC Currency Total [1] 15 2 3" xfId="31789"/>
    <cellStyle name="CALC Currency Total [1] 15 2 4" xfId="42820"/>
    <cellStyle name="CALC Currency Total [1] 15 3" xfId="17165"/>
    <cellStyle name="CALC Currency Total [1] 15 3 2" xfId="25486"/>
    <cellStyle name="CALC Currency Total [1] 15 3 2 2" xfId="42821"/>
    <cellStyle name="CALC Currency Total [1] 15 3 3" xfId="32722"/>
    <cellStyle name="CALC Currency Total [1] 15 3 4" xfId="42822"/>
    <cellStyle name="CALC Currency Total [1] 15 4" xfId="18193"/>
    <cellStyle name="CALC Currency Total [1] 15 4 2" xfId="26513"/>
    <cellStyle name="CALC Currency Total [1] 15 4 2 2" xfId="42823"/>
    <cellStyle name="CALC Currency Total [1] 15 4 3" xfId="33700"/>
    <cellStyle name="CALC Currency Total [1] 15 4 4" xfId="42824"/>
    <cellStyle name="CALC Currency Total [1] 15 5" xfId="19177"/>
    <cellStyle name="CALC Currency Total [1] 15 5 2" xfId="27497"/>
    <cellStyle name="CALC Currency Total [1] 15 5 2 2" xfId="42825"/>
    <cellStyle name="CALC Currency Total [1] 15 5 3" xfId="34645"/>
    <cellStyle name="CALC Currency Total [1] 15 5 4" xfId="42826"/>
    <cellStyle name="CALC Currency Total [1] 15 6" xfId="20145"/>
    <cellStyle name="CALC Currency Total [1] 15 6 2" xfId="28467"/>
    <cellStyle name="CALC Currency Total [1] 15 6 2 2" xfId="42827"/>
    <cellStyle name="CALC Currency Total [1] 15 6 3" xfId="35592"/>
    <cellStyle name="CALC Currency Total [1] 15 6 4" xfId="42828"/>
    <cellStyle name="CALC Currency Total [1] 15 7" xfId="21606"/>
    <cellStyle name="CALC Currency Total [1] 15 7 2" xfId="29907"/>
    <cellStyle name="CALC Currency Total [1] 15 7 2 2" xfId="42829"/>
    <cellStyle name="CALC Currency Total [1] 15 7 3" xfId="36966"/>
    <cellStyle name="CALC Currency Total [1] 15 7 4" xfId="42830"/>
    <cellStyle name="CALC Currency Total [1] 15 8" xfId="22534"/>
    <cellStyle name="CALC Currency Total [1] 15 8 2" xfId="30830"/>
    <cellStyle name="CALC Currency Total [1] 15 8 2 2" xfId="42831"/>
    <cellStyle name="CALC Currency Total [1] 15 8 3" xfId="37849"/>
    <cellStyle name="CALC Currency Total [1] 15 8 4" xfId="42832"/>
    <cellStyle name="CALC Currency Total [1] 15 9" xfId="23476"/>
    <cellStyle name="CALC Currency Total [1] 15 9 2" xfId="42833"/>
    <cellStyle name="CALC Currency Total [1] 16" xfId="15096"/>
    <cellStyle name="CALC Currency Total [1] 16 10" xfId="42834"/>
    <cellStyle name="CALC Currency Total [1] 16 11" xfId="42835"/>
    <cellStyle name="CALC Currency Total [1] 16 2" xfId="16176"/>
    <cellStyle name="CALC Currency Total [1] 16 2 2" xfId="24489"/>
    <cellStyle name="CALC Currency Total [1] 16 2 2 2" xfId="42836"/>
    <cellStyle name="CALC Currency Total [1] 16 2 3" xfId="31766"/>
    <cellStyle name="CALC Currency Total [1] 16 2 4" xfId="42837"/>
    <cellStyle name="CALC Currency Total [1] 16 3" xfId="17142"/>
    <cellStyle name="CALC Currency Total [1] 16 3 2" xfId="25463"/>
    <cellStyle name="CALC Currency Total [1] 16 3 2 2" xfId="42838"/>
    <cellStyle name="CALC Currency Total [1] 16 3 3" xfId="32699"/>
    <cellStyle name="CALC Currency Total [1] 16 3 4" xfId="42839"/>
    <cellStyle name="CALC Currency Total [1] 16 4" xfId="18170"/>
    <cellStyle name="CALC Currency Total [1] 16 4 2" xfId="26490"/>
    <cellStyle name="CALC Currency Total [1] 16 4 2 2" xfId="42840"/>
    <cellStyle name="CALC Currency Total [1] 16 4 3" xfId="33677"/>
    <cellStyle name="CALC Currency Total [1] 16 4 4" xfId="42841"/>
    <cellStyle name="CALC Currency Total [1] 16 5" xfId="19154"/>
    <cellStyle name="CALC Currency Total [1] 16 5 2" xfId="27474"/>
    <cellStyle name="CALC Currency Total [1] 16 5 2 2" xfId="42842"/>
    <cellStyle name="CALC Currency Total [1] 16 5 3" xfId="34622"/>
    <cellStyle name="CALC Currency Total [1] 16 5 4" xfId="42843"/>
    <cellStyle name="CALC Currency Total [1] 16 6" xfId="20122"/>
    <cellStyle name="CALC Currency Total [1] 16 6 2" xfId="28444"/>
    <cellStyle name="CALC Currency Total [1] 16 6 2 2" xfId="42844"/>
    <cellStyle name="CALC Currency Total [1] 16 6 3" xfId="35569"/>
    <cellStyle name="CALC Currency Total [1] 16 6 4" xfId="42845"/>
    <cellStyle name="CALC Currency Total [1] 16 7" xfId="21583"/>
    <cellStyle name="CALC Currency Total [1] 16 7 2" xfId="29884"/>
    <cellStyle name="CALC Currency Total [1] 16 7 2 2" xfId="42846"/>
    <cellStyle name="CALC Currency Total [1] 16 7 3" xfId="36943"/>
    <cellStyle name="CALC Currency Total [1] 16 7 4" xfId="42847"/>
    <cellStyle name="CALC Currency Total [1] 16 8" xfId="22511"/>
    <cellStyle name="CALC Currency Total [1] 16 8 2" xfId="30807"/>
    <cellStyle name="CALC Currency Total [1] 16 8 2 2" xfId="42848"/>
    <cellStyle name="CALC Currency Total [1] 16 8 3" xfId="37826"/>
    <cellStyle name="CALC Currency Total [1] 16 8 4" xfId="42849"/>
    <cellStyle name="CALC Currency Total [1] 16 9" xfId="23453"/>
    <cellStyle name="CALC Currency Total [1] 16 9 2" xfId="42850"/>
    <cellStyle name="CALC Currency Total [1] 17" xfId="15110"/>
    <cellStyle name="CALC Currency Total [1] 17 10" xfId="42851"/>
    <cellStyle name="CALC Currency Total [1] 17 11" xfId="42852"/>
    <cellStyle name="CALC Currency Total [1] 17 2" xfId="16190"/>
    <cellStyle name="CALC Currency Total [1] 17 2 2" xfId="24503"/>
    <cellStyle name="CALC Currency Total [1] 17 2 2 2" xfId="42853"/>
    <cellStyle name="CALC Currency Total [1] 17 2 3" xfId="31780"/>
    <cellStyle name="CALC Currency Total [1] 17 2 4" xfId="42854"/>
    <cellStyle name="CALC Currency Total [1] 17 3" xfId="17156"/>
    <cellStyle name="CALC Currency Total [1] 17 3 2" xfId="25477"/>
    <cellStyle name="CALC Currency Total [1] 17 3 2 2" xfId="42855"/>
    <cellStyle name="CALC Currency Total [1] 17 3 3" xfId="32713"/>
    <cellStyle name="CALC Currency Total [1] 17 3 4" xfId="42856"/>
    <cellStyle name="CALC Currency Total [1] 17 4" xfId="18184"/>
    <cellStyle name="CALC Currency Total [1] 17 4 2" xfId="26504"/>
    <cellStyle name="CALC Currency Total [1] 17 4 2 2" xfId="42857"/>
    <cellStyle name="CALC Currency Total [1] 17 4 3" xfId="33691"/>
    <cellStyle name="CALC Currency Total [1] 17 4 4" xfId="42858"/>
    <cellStyle name="CALC Currency Total [1] 17 5" xfId="19168"/>
    <cellStyle name="CALC Currency Total [1] 17 5 2" xfId="27488"/>
    <cellStyle name="CALC Currency Total [1] 17 5 2 2" xfId="42859"/>
    <cellStyle name="CALC Currency Total [1] 17 5 3" xfId="34636"/>
    <cellStyle name="CALC Currency Total [1] 17 5 4" xfId="42860"/>
    <cellStyle name="CALC Currency Total [1] 17 6" xfId="20136"/>
    <cellStyle name="CALC Currency Total [1] 17 6 2" xfId="28458"/>
    <cellStyle name="CALC Currency Total [1] 17 6 2 2" xfId="42861"/>
    <cellStyle name="CALC Currency Total [1] 17 6 3" xfId="35583"/>
    <cellStyle name="CALC Currency Total [1] 17 6 4" xfId="42862"/>
    <cellStyle name="CALC Currency Total [1] 17 7" xfId="21597"/>
    <cellStyle name="CALC Currency Total [1] 17 7 2" xfId="29898"/>
    <cellStyle name="CALC Currency Total [1] 17 7 2 2" xfId="42863"/>
    <cellStyle name="CALC Currency Total [1] 17 7 3" xfId="36957"/>
    <cellStyle name="CALC Currency Total [1] 17 7 4" xfId="42864"/>
    <cellStyle name="CALC Currency Total [1] 17 8" xfId="22525"/>
    <cellStyle name="CALC Currency Total [1] 17 8 2" xfId="30821"/>
    <cellStyle name="CALC Currency Total [1] 17 8 2 2" xfId="42865"/>
    <cellStyle name="CALC Currency Total [1] 17 8 3" xfId="37840"/>
    <cellStyle name="CALC Currency Total [1] 17 8 4" xfId="42866"/>
    <cellStyle name="CALC Currency Total [1] 17 9" xfId="23467"/>
    <cellStyle name="CALC Currency Total [1] 17 9 2" xfId="42867"/>
    <cellStyle name="CALC Currency Total [1] 18" xfId="15094"/>
    <cellStyle name="CALC Currency Total [1] 18 10" xfId="42868"/>
    <cellStyle name="CALC Currency Total [1] 18 11" xfId="42869"/>
    <cellStyle name="CALC Currency Total [1] 18 2" xfId="16174"/>
    <cellStyle name="CALC Currency Total [1] 18 2 2" xfId="24487"/>
    <cellStyle name="CALC Currency Total [1] 18 2 2 2" xfId="42870"/>
    <cellStyle name="CALC Currency Total [1] 18 2 3" xfId="31764"/>
    <cellStyle name="CALC Currency Total [1] 18 2 4" xfId="42871"/>
    <cellStyle name="CALC Currency Total [1] 18 3" xfId="17140"/>
    <cellStyle name="CALC Currency Total [1] 18 3 2" xfId="25461"/>
    <cellStyle name="CALC Currency Total [1] 18 3 2 2" xfId="42872"/>
    <cellStyle name="CALC Currency Total [1] 18 3 3" xfId="32697"/>
    <cellStyle name="CALC Currency Total [1] 18 3 4" xfId="42873"/>
    <cellStyle name="CALC Currency Total [1] 18 4" xfId="18168"/>
    <cellStyle name="CALC Currency Total [1] 18 4 2" xfId="26488"/>
    <cellStyle name="CALC Currency Total [1] 18 4 2 2" xfId="42874"/>
    <cellStyle name="CALC Currency Total [1] 18 4 3" xfId="33675"/>
    <cellStyle name="CALC Currency Total [1] 18 4 4" xfId="42875"/>
    <cellStyle name="CALC Currency Total [1] 18 5" xfId="19152"/>
    <cellStyle name="CALC Currency Total [1] 18 5 2" xfId="27472"/>
    <cellStyle name="CALC Currency Total [1] 18 5 2 2" xfId="42876"/>
    <cellStyle name="CALC Currency Total [1] 18 5 3" xfId="34620"/>
    <cellStyle name="CALC Currency Total [1] 18 5 4" xfId="42877"/>
    <cellStyle name="CALC Currency Total [1] 18 6" xfId="20120"/>
    <cellStyle name="CALC Currency Total [1] 18 6 2" xfId="28442"/>
    <cellStyle name="CALC Currency Total [1] 18 6 2 2" xfId="42878"/>
    <cellStyle name="CALC Currency Total [1] 18 6 3" xfId="35567"/>
    <cellStyle name="CALC Currency Total [1] 18 6 4" xfId="42879"/>
    <cellStyle name="CALC Currency Total [1] 18 7" xfId="21581"/>
    <cellStyle name="CALC Currency Total [1] 18 7 2" xfId="29882"/>
    <cellStyle name="CALC Currency Total [1] 18 7 2 2" xfId="42880"/>
    <cellStyle name="CALC Currency Total [1] 18 7 3" xfId="36941"/>
    <cellStyle name="CALC Currency Total [1] 18 7 4" xfId="42881"/>
    <cellStyle name="CALC Currency Total [1] 18 8" xfId="22509"/>
    <cellStyle name="CALC Currency Total [1] 18 8 2" xfId="30805"/>
    <cellStyle name="CALC Currency Total [1] 18 8 2 2" xfId="42882"/>
    <cellStyle name="CALC Currency Total [1] 18 8 3" xfId="37824"/>
    <cellStyle name="CALC Currency Total [1] 18 8 4" xfId="42883"/>
    <cellStyle name="CALC Currency Total [1] 18 9" xfId="23451"/>
    <cellStyle name="CALC Currency Total [1] 18 9 2" xfId="42884"/>
    <cellStyle name="CALC Currency Total [1] 19" xfId="15237"/>
    <cellStyle name="CALC Currency Total [1] 19 10" xfId="42885"/>
    <cellStyle name="CALC Currency Total [1] 19 11" xfId="42886"/>
    <cellStyle name="CALC Currency Total [1] 19 2" xfId="16317"/>
    <cellStyle name="CALC Currency Total [1] 19 2 2" xfId="24630"/>
    <cellStyle name="CALC Currency Total [1] 19 2 2 2" xfId="42887"/>
    <cellStyle name="CALC Currency Total [1] 19 2 3" xfId="31897"/>
    <cellStyle name="CALC Currency Total [1] 19 2 4" xfId="42888"/>
    <cellStyle name="CALC Currency Total [1] 19 3" xfId="17283"/>
    <cellStyle name="CALC Currency Total [1] 19 3 2" xfId="25604"/>
    <cellStyle name="CALC Currency Total [1] 19 3 2 2" xfId="42889"/>
    <cellStyle name="CALC Currency Total [1] 19 3 3" xfId="32830"/>
    <cellStyle name="CALC Currency Total [1] 19 3 4" xfId="42890"/>
    <cellStyle name="CALC Currency Total [1] 19 4" xfId="18311"/>
    <cellStyle name="CALC Currency Total [1] 19 4 2" xfId="26631"/>
    <cellStyle name="CALC Currency Total [1] 19 4 2 2" xfId="42891"/>
    <cellStyle name="CALC Currency Total [1] 19 4 3" xfId="33808"/>
    <cellStyle name="CALC Currency Total [1] 19 4 4" xfId="42892"/>
    <cellStyle name="CALC Currency Total [1] 19 5" xfId="19295"/>
    <cellStyle name="CALC Currency Total [1] 19 5 2" xfId="27615"/>
    <cellStyle name="CALC Currency Total [1] 19 5 2 2" xfId="42893"/>
    <cellStyle name="CALC Currency Total [1] 19 5 3" xfId="34763"/>
    <cellStyle name="CALC Currency Total [1] 19 5 4" xfId="42894"/>
    <cellStyle name="CALC Currency Total [1] 19 6" xfId="20263"/>
    <cellStyle name="CALC Currency Total [1] 19 6 2" xfId="28585"/>
    <cellStyle name="CALC Currency Total [1] 19 6 2 2" xfId="42895"/>
    <cellStyle name="CALC Currency Total [1] 19 6 3" xfId="35700"/>
    <cellStyle name="CALC Currency Total [1] 19 6 4" xfId="42896"/>
    <cellStyle name="CALC Currency Total [1] 19 7" xfId="21724"/>
    <cellStyle name="CALC Currency Total [1] 19 7 2" xfId="30025"/>
    <cellStyle name="CALC Currency Total [1] 19 7 2 2" xfId="42897"/>
    <cellStyle name="CALC Currency Total [1] 19 7 3" xfId="37074"/>
    <cellStyle name="CALC Currency Total [1] 19 7 4" xfId="42898"/>
    <cellStyle name="CALC Currency Total [1] 19 8" xfId="22652"/>
    <cellStyle name="CALC Currency Total [1] 19 8 2" xfId="30948"/>
    <cellStyle name="CALC Currency Total [1] 19 8 2 2" xfId="42899"/>
    <cellStyle name="CALC Currency Total [1] 19 8 3" xfId="37957"/>
    <cellStyle name="CALC Currency Total [1] 19 8 4" xfId="42900"/>
    <cellStyle name="CALC Currency Total [1] 19 9" xfId="23594"/>
    <cellStyle name="CALC Currency Total [1] 19 9 2" xfId="42901"/>
    <cellStyle name="CALC Currency Total [1] 2" xfId="14462"/>
    <cellStyle name="CALC Currency Total [1] 2 10" xfId="14822"/>
    <cellStyle name="CALC Currency Total [1] 2 10 10" xfId="23186"/>
    <cellStyle name="CALC Currency Total [1] 2 10 10 2" xfId="42902"/>
    <cellStyle name="CALC Currency Total [1] 2 10 11" xfId="42903"/>
    <cellStyle name="CALC Currency Total [1] 2 10 12" xfId="42904"/>
    <cellStyle name="CALC Currency Total [1] 2 10 2" xfId="15903"/>
    <cellStyle name="CALC Currency Total [1] 2 10 2 2" xfId="24221"/>
    <cellStyle name="CALC Currency Total [1] 2 10 2 2 2" xfId="42905"/>
    <cellStyle name="CALC Currency Total [1] 2 10 2 3" xfId="31507"/>
    <cellStyle name="CALC Currency Total [1] 2 10 2 4" xfId="42906"/>
    <cellStyle name="CALC Currency Total [1] 2 10 3" xfId="16869"/>
    <cellStyle name="CALC Currency Total [1] 2 10 3 2" xfId="25193"/>
    <cellStyle name="CALC Currency Total [1] 2 10 3 2 2" xfId="42907"/>
    <cellStyle name="CALC Currency Total [1] 2 10 3 3" xfId="32440"/>
    <cellStyle name="CALC Currency Total [1] 2 10 3 4" xfId="42908"/>
    <cellStyle name="CALC Currency Total [1] 2 10 4" xfId="17896"/>
    <cellStyle name="CALC Currency Total [1] 2 10 4 2" xfId="26219"/>
    <cellStyle name="CALC Currency Total [1] 2 10 4 2 2" xfId="42909"/>
    <cellStyle name="CALC Currency Total [1] 2 10 4 3" xfId="33417"/>
    <cellStyle name="CALC Currency Total [1] 2 10 4 4" xfId="42910"/>
    <cellStyle name="CALC Currency Total [1] 2 10 5" xfId="18880"/>
    <cellStyle name="CALC Currency Total [1] 2 10 5 2" xfId="27200"/>
    <cellStyle name="CALC Currency Total [1] 2 10 5 2 2" xfId="42911"/>
    <cellStyle name="CALC Currency Total [1] 2 10 5 3" xfId="34357"/>
    <cellStyle name="CALC Currency Total [1] 2 10 5 4" xfId="42912"/>
    <cellStyle name="CALC Currency Total [1] 2 10 6" xfId="19848"/>
    <cellStyle name="CALC Currency Total [1] 2 10 6 2" xfId="28170"/>
    <cellStyle name="CALC Currency Total [1] 2 10 6 2 2" xfId="42913"/>
    <cellStyle name="CALC Currency Total [1] 2 10 6 3" xfId="35304"/>
    <cellStyle name="CALC Currency Total [1] 2 10 6 4" xfId="42914"/>
    <cellStyle name="CALC Currency Total [1] 2 10 7" xfId="20806"/>
    <cellStyle name="CALC Currency Total [1] 2 10 7 2" xfId="29126"/>
    <cellStyle name="CALC Currency Total [1] 2 10 7 2 2" xfId="42915"/>
    <cellStyle name="CALC Currency Total [1] 2 10 7 3" xfId="36215"/>
    <cellStyle name="CALC Currency Total [1] 2 10 7 4" xfId="42916"/>
    <cellStyle name="CALC Currency Total [1] 2 10 8" xfId="21115"/>
    <cellStyle name="CALC Currency Total [1] 2 10 8 2" xfId="29429"/>
    <cellStyle name="CALC Currency Total [1] 2 10 8 2 2" xfId="42917"/>
    <cellStyle name="CALC Currency Total [1] 2 10 8 3" xfId="36502"/>
    <cellStyle name="CALC Currency Total [1] 2 10 8 4" xfId="42918"/>
    <cellStyle name="CALC Currency Total [1] 2 10 9" xfId="22241"/>
    <cellStyle name="CALC Currency Total [1] 2 10 9 2" xfId="30540"/>
    <cellStyle name="CALC Currency Total [1] 2 10 9 2 2" xfId="42919"/>
    <cellStyle name="CALC Currency Total [1] 2 10 9 3" xfId="37568"/>
    <cellStyle name="CALC Currency Total [1] 2 10 9 4" xfId="42920"/>
    <cellStyle name="CALC Currency Total [1] 2 11" xfId="14880"/>
    <cellStyle name="CALC Currency Total [1] 2 11 10" xfId="23243"/>
    <cellStyle name="CALC Currency Total [1] 2 11 10 2" xfId="42921"/>
    <cellStyle name="CALC Currency Total [1] 2 11 11" xfId="42922"/>
    <cellStyle name="CALC Currency Total [1] 2 11 12" xfId="42923"/>
    <cellStyle name="CALC Currency Total [1] 2 11 2" xfId="15961"/>
    <cellStyle name="CALC Currency Total [1] 2 11 2 2" xfId="24278"/>
    <cellStyle name="CALC Currency Total [1] 2 11 2 2 2" xfId="42924"/>
    <cellStyle name="CALC Currency Total [1] 2 11 2 3" xfId="31561"/>
    <cellStyle name="CALC Currency Total [1] 2 11 2 4" xfId="42925"/>
    <cellStyle name="CALC Currency Total [1] 2 11 3" xfId="16927"/>
    <cellStyle name="CALC Currency Total [1] 2 11 3 2" xfId="25250"/>
    <cellStyle name="CALC Currency Total [1] 2 11 3 2 2" xfId="42926"/>
    <cellStyle name="CALC Currency Total [1] 2 11 3 3" xfId="32494"/>
    <cellStyle name="CALC Currency Total [1] 2 11 3 4" xfId="42927"/>
    <cellStyle name="CALC Currency Total [1] 2 11 4" xfId="17954"/>
    <cellStyle name="CALC Currency Total [1] 2 11 4 2" xfId="26276"/>
    <cellStyle name="CALC Currency Total [1] 2 11 4 2 2" xfId="42928"/>
    <cellStyle name="CALC Currency Total [1] 2 11 4 3" xfId="33471"/>
    <cellStyle name="CALC Currency Total [1] 2 11 4 4" xfId="42929"/>
    <cellStyle name="CALC Currency Total [1] 2 11 5" xfId="18938"/>
    <cellStyle name="CALC Currency Total [1] 2 11 5 2" xfId="27258"/>
    <cellStyle name="CALC Currency Total [1] 2 11 5 2 2" xfId="42930"/>
    <cellStyle name="CALC Currency Total [1] 2 11 5 3" xfId="34412"/>
    <cellStyle name="CALC Currency Total [1] 2 11 5 4" xfId="42931"/>
    <cellStyle name="CALC Currency Total [1] 2 11 6" xfId="19906"/>
    <cellStyle name="CALC Currency Total [1] 2 11 6 2" xfId="28228"/>
    <cellStyle name="CALC Currency Total [1] 2 11 6 2 2" xfId="42932"/>
    <cellStyle name="CALC Currency Total [1] 2 11 6 3" xfId="35359"/>
    <cellStyle name="CALC Currency Total [1] 2 11 6 4" xfId="42933"/>
    <cellStyle name="CALC Currency Total [1] 2 11 7" xfId="20864"/>
    <cellStyle name="CALC Currency Total [1] 2 11 7 2" xfId="29183"/>
    <cellStyle name="CALC Currency Total [1] 2 11 7 2 2" xfId="42934"/>
    <cellStyle name="CALC Currency Total [1] 2 11 7 3" xfId="36269"/>
    <cellStyle name="CALC Currency Total [1] 2 11 7 4" xfId="42935"/>
    <cellStyle name="CALC Currency Total [1] 2 11 8" xfId="15496"/>
    <cellStyle name="CALC Currency Total [1] 2 11 8 2" xfId="23836"/>
    <cellStyle name="CALC Currency Total [1] 2 11 8 2 2" xfId="42936"/>
    <cellStyle name="CALC Currency Total [1] 2 11 8 3" xfId="31185"/>
    <cellStyle name="CALC Currency Total [1] 2 11 8 4" xfId="42937"/>
    <cellStyle name="CALC Currency Total [1] 2 11 9" xfId="22299"/>
    <cellStyle name="CALC Currency Total [1] 2 11 9 2" xfId="30597"/>
    <cellStyle name="CALC Currency Total [1] 2 11 9 2 2" xfId="42938"/>
    <cellStyle name="CALC Currency Total [1] 2 11 9 3" xfId="37622"/>
    <cellStyle name="CALC Currency Total [1] 2 11 9 4" xfId="42939"/>
    <cellStyle name="CALC Currency Total [1] 2 12" xfId="14896"/>
    <cellStyle name="CALC Currency Total [1] 2 12 10" xfId="23259"/>
    <cellStyle name="CALC Currency Total [1] 2 12 10 2" xfId="42940"/>
    <cellStyle name="CALC Currency Total [1] 2 12 11" xfId="42941"/>
    <cellStyle name="CALC Currency Total [1] 2 12 12" xfId="42942"/>
    <cellStyle name="CALC Currency Total [1] 2 12 2" xfId="15977"/>
    <cellStyle name="CALC Currency Total [1] 2 12 2 2" xfId="24294"/>
    <cellStyle name="CALC Currency Total [1] 2 12 2 2 2" xfId="42943"/>
    <cellStyle name="CALC Currency Total [1] 2 12 2 3" xfId="31575"/>
    <cellStyle name="CALC Currency Total [1] 2 12 2 4" xfId="42944"/>
    <cellStyle name="CALC Currency Total [1] 2 12 3" xfId="16943"/>
    <cellStyle name="CALC Currency Total [1] 2 12 3 2" xfId="25266"/>
    <cellStyle name="CALC Currency Total [1] 2 12 3 2 2" xfId="42945"/>
    <cellStyle name="CALC Currency Total [1] 2 12 3 3" xfId="32508"/>
    <cellStyle name="CALC Currency Total [1] 2 12 3 4" xfId="42946"/>
    <cellStyle name="CALC Currency Total [1] 2 12 4" xfId="17970"/>
    <cellStyle name="CALC Currency Total [1] 2 12 4 2" xfId="26292"/>
    <cellStyle name="CALC Currency Total [1] 2 12 4 2 2" xfId="42947"/>
    <cellStyle name="CALC Currency Total [1] 2 12 4 3" xfId="33485"/>
    <cellStyle name="CALC Currency Total [1] 2 12 4 4" xfId="42948"/>
    <cellStyle name="CALC Currency Total [1] 2 12 5" xfId="18954"/>
    <cellStyle name="CALC Currency Total [1] 2 12 5 2" xfId="27274"/>
    <cellStyle name="CALC Currency Total [1] 2 12 5 2 2" xfId="42949"/>
    <cellStyle name="CALC Currency Total [1] 2 12 5 3" xfId="34426"/>
    <cellStyle name="CALC Currency Total [1] 2 12 5 4" xfId="42950"/>
    <cellStyle name="CALC Currency Total [1] 2 12 6" xfId="19922"/>
    <cellStyle name="CALC Currency Total [1] 2 12 6 2" xfId="28244"/>
    <cellStyle name="CALC Currency Total [1] 2 12 6 2 2" xfId="42951"/>
    <cellStyle name="CALC Currency Total [1] 2 12 6 3" xfId="35373"/>
    <cellStyle name="CALC Currency Total [1] 2 12 6 4" xfId="42952"/>
    <cellStyle name="CALC Currency Total [1] 2 12 7" xfId="20880"/>
    <cellStyle name="CALC Currency Total [1] 2 12 7 2" xfId="29199"/>
    <cellStyle name="CALC Currency Total [1] 2 12 7 2 2" xfId="42953"/>
    <cellStyle name="CALC Currency Total [1] 2 12 7 3" xfId="36283"/>
    <cellStyle name="CALC Currency Total [1] 2 12 7 4" xfId="42954"/>
    <cellStyle name="CALC Currency Total [1] 2 12 8" xfId="21387"/>
    <cellStyle name="CALC Currency Total [1] 2 12 8 2" xfId="29690"/>
    <cellStyle name="CALC Currency Total [1] 2 12 8 2 2" xfId="42955"/>
    <cellStyle name="CALC Currency Total [1] 2 12 8 3" xfId="36753"/>
    <cellStyle name="CALC Currency Total [1] 2 12 8 4" xfId="42956"/>
    <cellStyle name="CALC Currency Total [1] 2 12 9" xfId="22315"/>
    <cellStyle name="CALC Currency Total [1] 2 12 9 2" xfId="30613"/>
    <cellStyle name="CALC Currency Total [1] 2 12 9 2 2" xfId="42957"/>
    <cellStyle name="CALC Currency Total [1] 2 12 9 3" xfId="37636"/>
    <cellStyle name="CALC Currency Total [1] 2 12 9 4" xfId="42958"/>
    <cellStyle name="CALC Currency Total [1] 2 13" xfId="14903"/>
    <cellStyle name="CALC Currency Total [1] 2 13 10" xfId="23266"/>
    <cellStyle name="CALC Currency Total [1] 2 13 10 2" xfId="42959"/>
    <cellStyle name="CALC Currency Total [1] 2 13 11" xfId="42960"/>
    <cellStyle name="CALC Currency Total [1] 2 13 12" xfId="42961"/>
    <cellStyle name="CALC Currency Total [1] 2 13 2" xfId="15984"/>
    <cellStyle name="CALC Currency Total [1] 2 13 2 2" xfId="24301"/>
    <cellStyle name="CALC Currency Total [1] 2 13 2 2 2" xfId="42962"/>
    <cellStyle name="CALC Currency Total [1] 2 13 2 3" xfId="31581"/>
    <cellStyle name="CALC Currency Total [1] 2 13 2 4" xfId="42963"/>
    <cellStyle name="CALC Currency Total [1] 2 13 3" xfId="16950"/>
    <cellStyle name="CALC Currency Total [1] 2 13 3 2" xfId="25273"/>
    <cellStyle name="CALC Currency Total [1] 2 13 3 2 2" xfId="42964"/>
    <cellStyle name="CALC Currency Total [1] 2 13 3 3" xfId="32514"/>
    <cellStyle name="CALC Currency Total [1] 2 13 3 4" xfId="42965"/>
    <cellStyle name="CALC Currency Total [1] 2 13 4" xfId="17977"/>
    <cellStyle name="CALC Currency Total [1] 2 13 4 2" xfId="26299"/>
    <cellStyle name="CALC Currency Total [1] 2 13 4 2 2" xfId="42966"/>
    <cellStyle name="CALC Currency Total [1] 2 13 4 3" xfId="33491"/>
    <cellStyle name="CALC Currency Total [1] 2 13 4 4" xfId="42967"/>
    <cellStyle name="CALC Currency Total [1] 2 13 5" xfId="18961"/>
    <cellStyle name="CALC Currency Total [1] 2 13 5 2" xfId="27281"/>
    <cellStyle name="CALC Currency Total [1] 2 13 5 2 2" xfId="42968"/>
    <cellStyle name="CALC Currency Total [1] 2 13 5 3" xfId="34432"/>
    <cellStyle name="CALC Currency Total [1] 2 13 5 4" xfId="42969"/>
    <cellStyle name="CALC Currency Total [1] 2 13 6" xfId="19929"/>
    <cellStyle name="CALC Currency Total [1] 2 13 6 2" xfId="28251"/>
    <cellStyle name="CALC Currency Total [1] 2 13 6 2 2" xfId="42970"/>
    <cellStyle name="CALC Currency Total [1] 2 13 6 3" xfId="35379"/>
    <cellStyle name="CALC Currency Total [1] 2 13 6 4" xfId="42971"/>
    <cellStyle name="CALC Currency Total [1] 2 13 7" xfId="20887"/>
    <cellStyle name="CALC Currency Total [1] 2 13 7 2" xfId="29206"/>
    <cellStyle name="CALC Currency Total [1] 2 13 7 2 2" xfId="42972"/>
    <cellStyle name="CALC Currency Total [1] 2 13 7 3" xfId="36289"/>
    <cellStyle name="CALC Currency Total [1] 2 13 7 4" xfId="42973"/>
    <cellStyle name="CALC Currency Total [1] 2 13 8" xfId="21394"/>
    <cellStyle name="CALC Currency Total [1] 2 13 8 2" xfId="29697"/>
    <cellStyle name="CALC Currency Total [1] 2 13 8 2 2" xfId="42974"/>
    <cellStyle name="CALC Currency Total [1] 2 13 8 3" xfId="36759"/>
    <cellStyle name="CALC Currency Total [1] 2 13 8 4" xfId="42975"/>
    <cellStyle name="CALC Currency Total [1] 2 13 9" xfId="22322"/>
    <cellStyle name="CALC Currency Total [1] 2 13 9 2" xfId="30620"/>
    <cellStyle name="CALC Currency Total [1] 2 13 9 2 2" xfId="42976"/>
    <cellStyle name="CALC Currency Total [1] 2 13 9 3" xfId="37642"/>
    <cellStyle name="CALC Currency Total [1] 2 13 9 4" xfId="42977"/>
    <cellStyle name="CALC Currency Total [1] 2 14" xfId="14991"/>
    <cellStyle name="CALC Currency Total [1] 2 14 10" xfId="23352"/>
    <cellStyle name="CALC Currency Total [1] 2 14 10 2" xfId="42978"/>
    <cellStyle name="CALC Currency Total [1] 2 14 11" xfId="42979"/>
    <cellStyle name="CALC Currency Total [1] 2 14 12" xfId="42980"/>
    <cellStyle name="CALC Currency Total [1] 2 14 2" xfId="16072"/>
    <cellStyle name="CALC Currency Total [1] 2 14 2 2" xfId="24387"/>
    <cellStyle name="CALC Currency Total [1] 2 14 2 2 2" xfId="42981"/>
    <cellStyle name="CALC Currency Total [1] 2 14 2 3" xfId="31666"/>
    <cellStyle name="CALC Currency Total [1] 2 14 2 4" xfId="42982"/>
    <cellStyle name="CALC Currency Total [1] 2 14 3" xfId="17038"/>
    <cellStyle name="CALC Currency Total [1] 2 14 3 2" xfId="25359"/>
    <cellStyle name="CALC Currency Total [1] 2 14 3 2 2" xfId="42983"/>
    <cellStyle name="CALC Currency Total [1] 2 14 3 3" xfId="32599"/>
    <cellStyle name="CALC Currency Total [1] 2 14 3 4" xfId="42984"/>
    <cellStyle name="CALC Currency Total [1] 2 14 4" xfId="18065"/>
    <cellStyle name="CALC Currency Total [1] 2 14 4 2" xfId="26385"/>
    <cellStyle name="CALC Currency Total [1] 2 14 4 2 2" xfId="42985"/>
    <cellStyle name="CALC Currency Total [1] 2 14 4 3" xfId="33576"/>
    <cellStyle name="CALC Currency Total [1] 2 14 4 4" xfId="42986"/>
    <cellStyle name="CALC Currency Total [1] 2 14 5" xfId="19049"/>
    <cellStyle name="CALC Currency Total [1] 2 14 5 2" xfId="27369"/>
    <cellStyle name="CALC Currency Total [1] 2 14 5 2 2" xfId="42987"/>
    <cellStyle name="CALC Currency Total [1] 2 14 5 3" xfId="34519"/>
    <cellStyle name="CALC Currency Total [1] 2 14 5 4" xfId="42988"/>
    <cellStyle name="CALC Currency Total [1] 2 14 6" xfId="20017"/>
    <cellStyle name="CALC Currency Total [1] 2 14 6 2" xfId="28339"/>
    <cellStyle name="CALC Currency Total [1] 2 14 6 2 2" xfId="42989"/>
    <cellStyle name="CALC Currency Total [1] 2 14 6 3" xfId="35466"/>
    <cellStyle name="CALC Currency Total [1] 2 14 6 4" xfId="42990"/>
    <cellStyle name="CALC Currency Total [1] 2 14 7" xfId="20975"/>
    <cellStyle name="CALC Currency Total [1] 2 14 7 2" xfId="29292"/>
    <cellStyle name="CALC Currency Total [1] 2 14 7 2 2" xfId="42991"/>
    <cellStyle name="CALC Currency Total [1] 2 14 7 3" xfId="36374"/>
    <cellStyle name="CALC Currency Total [1] 2 14 7 4" xfId="42992"/>
    <cellStyle name="CALC Currency Total [1] 2 14 8" xfId="21482"/>
    <cellStyle name="CALC Currency Total [1] 2 14 8 2" xfId="29783"/>
    <cellStyle name="CALC Currency Total [1] 2 14 8 2 2" xfId="42993"/>
    <cellStyle name="CALC Currency Total [1] 2 14 8 3" xfId="36844"/>
    <cellStyle name="CALC Currency Total [1] 2 14 8 4" xfId="42994"/>
    <cellStyle name="CALC Currency Total [1] 2 14 9" xfId="22410"/>
    <cellStyle name="CALC Currency Total [1] 2 14 9 2" xfId="30706"/>
    <cellStyle name="CALC Currency Total [1] 2 14 9 2 2" xfId="42995"/>
    <cellStyle name="CALC Currency Total [1] 2 14 9 3" xfId="37727"/>
    <cellStyle name="CALC Currency Total [1] 2 14 9 4" xfId="42996"/>
    <cellStyle name="CALC Currency Total [1] 2 15" xfId="15060"/>
    <cellStyle name="CALC Currency Total [1] 2 15 10" xfId="23420"/>
    <cellStyle name="CALC Currency Total [1] 2 15 10 2" xfId="42997"/>
    <cellStyle name="CALC Currency Total [1] 2 15 11" xfId="42998"/>
    <cellStyle name="CALC Currency Total [1] 2 15 12" xfId="42999"/>
    <cellStyle name="CALC Currency Total [1] 2 15 2" xfId="16140"/>
    <cellStyle name="CALC Currency Total [1] 2 15 2 2" xfId="24455"/>
    <cellStyle name="CALC Currency Total [1] 2 15 2 2 2" xfId="43000"/>
    <cellStyle name="CALC Currency Total [1] 2 15 2 3" xfId="31732"/>
    <cellStyle name="CALC Currency Total [1] 2 15 2 4" xfId="43001"/>
    <cellStyle name="CALC Currency Total [1] 2 15 3" xfId="17107"/>
    <cellStyle name="CALC Currency Total [1] 2 15 3 2" xfId="25428"/>
    <cellStyle name="CALC Currency Total [1] 2 15 3 2 2" xfId="43002"/>
    <cellStyle name="CALC Currency Total [1] 2 15 3 3" xfId="32666"/>
    <cellStyle name="CALC Currency Total [1] 2 15 3 4" xfId="43003"/>
    <cellStyle name="CALC Currency Total [1] 2 15 4" xfId="18134"/>
    <cellStyle name="CALC Currency Total [1] 2 15 4 2" xfId="26454"/>
    <cellStyle name="CALC Currency Total [1] 2 15 4 2 2" xfId="43004"/>
    <cellStyle name="CALC Currency Total [1] 2 15 4 3" xfId="33643"/>
    <cellStyle name="CALC Currency Total [1] 2 15 4 4" xfId="43005"/>
    <cellStyle name="CALC Currency Total [1] 2 15 5" xfId="19118"/>
    <cellStyle name="CALC Currency Total [1] 2 15 5 2" xfId="27438"/>
    <cellStyle name="CALC Currency Total [1] 2 15 5 2 2" xfId="43006"/>
    <cellStyle name="CALC Currency Total [1] 2 15 5 3" xfId="34586"/>
    <cellStyle name="CALC Currency Total [1] 2 15 5 4" xfId="43007"/>
    <cellStyle name="CALC Currency Total [1] 2 15 6" xfId="20086"/>
    <cellStyle name="CALC Currency Total [1] 2 15 6 2" xfId="28408"/>
    <cellStyle name="CALC Currency Total [1] 2 15 6 2 2" xfId="43008"/>
    <cellStyle name="CALC Currency Total [1] 2 15 6 3" xfId="35533"/>
    <cellStyle name="CALC Currency Total [1] 2 15 6 4" xfId="43009"/>
    <cellStyle name="CALC Currency Total [1] 2 15 7" xfId="21043"/>
    <cellStyle name="CALC Currency Total [1] 2 15 7 2" xfId="29360"/>
    <cellStyle name="CALC Currency Total [1] 2 15 7 2 2" xfId="43010"/>
    <cellStyle name="CALC Currency Total [1] 2 15 7 3" xfId="36440"/>
    <cellStyle name="CALC Currency Total [1] 2 15 7 4" xfId="43011"/>
    <cellStyle name="CALC Currency Total [1] 2 15 8" xfId="21550"/>
    <cellStyle name="CALC Currency Total [1] 2 15 8 2" xfId="29851"/>
    <cellStyle name="CALC Currency Total [1] 2 15 8 2 2" xfId="43012"/>
    <cellStyle name="CALC Currency Total [1] 2 15 8 3" xfId="36910"/>
    <cellStyle name="CALC Currency Total [1] 2 15 8 4" xfId="43013"/>
    <cellStyle name="CALC Currency Total [1] 2 15 9" xfId="22478"/>
    <cellStyle name="CALC Currency Total [1] 2 15 9 2" xfId="30774"/>
    <cellStyle name="CALC Currency Total [1] 2 15 9 2 2" xfId="43014"/>
    <cellStyle name="CALC Currency Total [1] 2 15 9 3" xfId="37793"/>
    <cellStyle name="CALC Currency Total [1] 2 15 9 4" xfId="43015"/>
    <cellStyle name="CALC Currency Total [1] 2 16" xfId="15145"/>
    <cellStyle name="CALC Currency Total [1] 2 16 10" xfId="43016"/>
    <cellStyle name="CALC Currency Total [1] 2 16 11" xfId="43017"/>
    <cellStyle name="CALC Currency Total [1] 2 16 2" xfId="16225"/>
    <cellStyle name="CALC Currency Total [1] 2 16 2 2" xfId="24538"/>
    <cellStyle name="CALC Currency Total [1] 2 16 2 2 2" xfId="43018"/>
    <cellStyle name="CALC Currency Total [1] 2 16 2 3" xfId="31813"/>
    <cellStyle name="CALC Currency Total [1] 2 16 2 4" xfId="43019"/>
    <cellStyle name="CALC Currency Total [1] 2 16 3" xfId="17191"/>
    <cellStyle name="CALC Currency Total [1] 2 16 3 2" xfId="25512"/>
    <cellStyle name="CALC Currency Total [1] 2 16 3 2 2" xfId="43020"/>
    <cellStyle name="CALC Currency Total [1] 2 16 3 3" xfId="32746"/>
    <cellStyle name="CALC Currency Total [1] 2 16 3 4" xfId="43021"/>
    <cellStyle name="CALC Currency Total [1] 2 16 4" xfId="18219"/>
    <cellStyle name="CALC Currency Total [1] 2 16 4 2" xfId="26539"/>
    <cellStyle name="CALC Currency Total [1] 2 16 4 2 2" xfId="43022"/>
    <cellStyle name="CALC Currency Total [1] 2 16 4 3" xfId="33724"/>
    <cellStyle name="CALC Currency Total [1] 2 16 4 4" xfId="43023"/>
    <cellStyle name="CALC Currency Total [1] 2 16 5" xfId="19203"/>
    <cellStyle name="CALC Currency Total [1] 2 16 5 2" xfId="27523"/>
    <cellStyle name="CALC Currency Total [1] 2 16 5 2 2" xfId="43024"/>
    <cellStyle name="CALC Currency Total [1] 2 16 5 3" xfId="34671"/>
    <cellStyle name="CALC Currency Total [1] 2 16 5 4" xfId="43025"/>
    <cellStyle name="CALC Currency Total [1] 2 16 6" xfId="20171"/>
    <cellStyle name="CALC Currency Total [1] 2 16 6 2" xfId="28493"/>
    <cellStyle name="CALC Currency Total [1] 2 16 6 2 2" xfId="43026"/>
    <cellStyle name="CALC Currency Total [1] 2 16 6 3" xfId="35616"/>
    <cellStyle name="CALC Currency Total [1] 2 16 6 4" xfId="43027"/>
    <cellStyle name="CALC Currency Total [1] 2 16 7" xfId="21632"/>
    <cellStyle name="CALC Currency Total [1] 2 16 7 2" xfId="29933"/>
    <cellStyle name="CALC Currency Total [1] 2 16 7 2 2" xfId="43028"/>
    <cellStyle name="CALC Currency Total [1] 2 16 7 3" xfId="36990"/>
    <cellStyle name="CALC Currency Total [1] 2 16 7 4" xfId="43029"/>
    <cellStyle name="CALC Currency Total [1] 2 16 8" xfId="22560"/>
    <cellStyle name="CALC Currency Total [1] 2 16 8 2" xfId="30856"/>
    <cellStyle name="CALC Currency Total [1] 2 16 8 2 2" xfId="43030"/>
    <cellStyle name="CALC Currency Total [1] 2 16 8 3" xfId="37873"/>
    <cellStyle name="CALC Currency Total [1] 2 16 8 4" xfId="43031"/>
    <cellStyle name="CALC Currency Total [1] 2 16 9" xfId="23502"/>
    <cellStyle name="CALC Currency Total [1] 2 16 9 2" xfId="43032"/>
    <cellStyle name="CALC Currency Total [1] 2 17" xfId="15165"/>
    <cellStyle name="CALC Currency Total [1] 2 17 10" xfId="43033"/>
    <cellStyle name="CALC Currency Total [1] 2 17 11" xfId="43034"/>
    <cellStyle name="CALC Currency Total [1] 2 17 2" xfId="16245"/>
    <cellStyle name="CALC Currency Total [1] 2 17 2 2" xfId="24558"/>
    <cellStyle name="CALC Currency Total [1] 2 17 2 2 2" xfId="43035"/>
    <cellStyle name="CALC Currency Total [1] 2 17 2 3" xfId="31831"/>
    <cellStyle name="CALC Currency Total [1] 2 17 2 4" xfId="43036"/>
    <cellStyle name="CALC Currency Total [1] 2 17 3" xfId="17211"/>
    <cellStyle name="CALC Currency Total [1] 2 17 3 2" xfId="25532"/>
    <cellStyle name="CALC Currency Total [1] 2 17 3 2 2" xfId="43037"/>
    <cellStyle name="CALC Currency Total [1] 2 17 3 3" xfId="32764"/>
    <cellStyle name="CALC Currency Total [1] 2 17 3 4" xfId="43038"/>
    <cellStyle name="CALC Currency Total [1] 2 17 4" xfId="18239"/>
    <cellStyle name="CALC Currency Total [1] 2 17 4 2" xfId="26559"/>
    <cellStyle name="CALC Currency Total [1] 2 17 4 2 2" xfId="43039"/>
    <cellStyle name="CALC Currency Total [1] 2 17 4 3" xfId="33742"/>
    <cellStyle name="CALC Currency Total [1] 2 17 4 4" xfId="43040"/>
    <cellStyle name="CALC Currency Total [1] 2 17 5" xfId="19223"/>
    <cellStyle name="CALC Currency Total [1] 2 17 5 2" xfId="27543"/>
    <cellStyle name="CALC Currency Total [1] 2 17 5 2 2" xfId="43041"/>
    <cellStyle name="CALC Currency Total [1] 2 17 5 3" xfId="34691"/>
    <cellStyle name="CALC Currency Total [1] 2 17 5 4" xfId="43042"/>
    <cellStyle name="CALC Currency Total [1] 2 17 6" xfId="20191"/>
    <cellStyle name="CALC Currency Total [1] 2 17 6 2" xfId="28513"/>
    <cellStyle name="CALC Currency Total [1] 2 17 6 2 2" xfId="43043"/>
    <cellStyle name="CALC Currency Total [1] 2 17 6 3" xfId="35634"/>
    <cellStyle name="CALC Currency Total [1] 2 17 6 4" xfId="43044"/>
    <cellStyle name="CALC Currency Total [1] 2 17 7" xfId="21652"/>
    <cellStyle name="CALC Currency Total [1] 2 17 7 2" xfId="29953"/>
    <cellStyle name="CALC Currency Total [1] 2 17 7 2 2" xfId="43045"/>
    <cellStyle name="CALC Currency Total [1] 2 17 7 3" xfId="37008"/>
    <cellStyle name="CALC Currency Total [1] 2 17 7 4" xfId="43046"/>
    <cellStyle name="CALC Currency Total [1] 2 17 8" xfId="22580"/>
    <cellStyle name="CALC Currency Total [1] 2 17 8 2" xfId="30876"/>
    <cellStyle name="CALC Currency Total [1] 2 17 8 2 2" xfId="43047"/>
    <cellStyle name="CALC Currency Total [1] 2 17 8 3" xfId="37891"/>
    <cellStyle name="CALC Currency Total [1] 2 17 8 4" xfId="43048"/>
    <cellStyle name="CALC Currency Total [1] 2 17 9" xfId="23522"/>
    <cellStyle name="CALC Currency Total [1] 2 17 9 2" xfId="43049"/>
    <cellStyle name="CALC Currency Total [1] 2 18" xfId="15187"/>
    <cellStyle name="CALC Currency Total [1] 2 18 10" xfId="43050"/>
    <cellStyle name="CALC Currency Total [1] 2 18 11" xfId="43051"/>
    <cellStyle name="CALC Currency Total [1] 2 18 2" xfId="16267"/>
    <cellStyle name="CALC Currency Total [1] 2 18 2 2" xfId="24580"/>
    <cellStyle name="CALC Currency Total [1] 2 18 2 2 2" xfId="43052"/>
    <cellStyle name="CALC Currency Total [1] 2 18 2 3" xfId="31852"/>
    <cellStyle name="CALC Currency Total [1] 2 18 2 4" xfId="43053"/>
    <cellStyle name="CALC Currency Total [1] 2 18 3" xfId="17233"/>
    <cellStyle name="CALC Currency Total [1] 2 18 3 2" xfId="25554"/>
    <cellStyle name="CALC Currency Total [1] 2 18 3 2 2" xfId="43054"/>
    <cellStyle name="CALC Currency Total [1] 2 18 3 3" xfId="32785"/>
    <cellStyle name="CALC Currency Total [1] 2 18 3 4" xfId="43055"/>
    <cellStyle name="CALC Currency Total [1] 2 18 4" xfId="18261"/>
    <cellStyle name="CALC Currency Total [1] 2 18 4 2" xfId="26581"/>
    <cellStyle name="CALC Currency Total [1] 2 18 4 2 2" xfId="43056"/>
    <cellStyle name="CALC Currency Total [1] 2 18 4 3" xfId="33763"/>
    <cellStyle name="CALC Currency Total [1] 2 18 4 4" xfId="43057"/>
    <cellStyle name="CALC Currency Total [1] 2 18 5" xfId="19245"/>
    <cellStyle name="CALC Currency Total [1] 2 18 5 2" xfId="27565"/>
    <cellStyle name="CALC Currency Total [1] 2 18 5 2 2" xfId="43058"/>
    <cellStyle name="CALC Currency Total [1] 2 18 5 3" xfId="34713"/>
    <cellStyle name="CALC Currency Total [1] 2 18 5 4" xfId="43059"/>
    <cellStyle name="CALC Currency Total [1] 2 18 6" xfId="20213"/>
    <cellStyle name="CALC Currency Total [1] 2 18 6 2" xfId="28535"/>
    <cellStyle name="CALC Currency Total [1] 2 18 6 2 2" xfId="43060"/>
    <cellStyle name="CALC Currency Total [1] 2 18 6 3" xfId="35655"/>
    <cellStyle name="CALC Currency Total [1] 2 18 6 4" xfId="43061"/>
    <cellStyle name="CALC Currency Total [1] 2 18 7" xfId="21674"/>
    <cellStyle name="CALC Currency Total [1] 2 18 7 2" xfId="29975"/>
    <cellStyle name="CALC Currency Total [1] 2 18 7 2 2" xfId="43062"/>
    <cellStyle name="CALC Currency Total [1] 2 18 7 3" xfId="37029"/>
    <cellStyle name="CALC Currency Total [1] 2 18 7 4" xfId="43063"/>
    <cellStyle name="CALC Currency Total [1] 2 18 8" xfId="22602"/>
    <cellStyle name="CALC Currency Total [1] 2 18 8 2" xfId="30898"/>
    <cellStyle name="CALC Currency Total [1] 2 18 8 2 2" xfId="43064"/>
    <cellStyle name="CALC Currency Total [1] 2 18 8 3" xfId="37912"/>
    <cellStyle name="CALC Currency Total [1] 2 18 8 4" xfId="43065"/>
    <cellStyle name="CALC Currency Total [1] 2 18 9" xfId="23544"/>
    <cellStyle name="CALC Currency Total [1] 2 18 9 2" xfId="43066"/>
    <cellStyle name="CALC Currency Total [1] 2 19" xfId="15203"/>
    <cellStyle name="CALC Currency Total [1] 2 19 10" xfId="43067"/>
    <cellStyle name="CALC Currency Total [1] 2 19 11" xfId="43068"/>
    <cellStyle name="CALC Currency Total [1] 2 19 2" xfId="16283"/>
    <cellStyle name="CALC Currency Total [1] 2 19 2 2" xfId="24596"/>
    <cellStyle name="CALC Currency Total [1] 2 19 2 2 2" xfId="43069"/>
    <cellStyle name="CALC Currency Total [1] 2 19 2 3" xfId="31866"/>
    <cellStyle name="CALC Currency Total [1] 2 19 2 4" xfId="43070"/>
    <cellStyle name="CALC Currency Total [1] 2 19 3" xfId="17249"/>
    <cellStyle name="CALC Currency Total [1] 2 19 3 2" xfId="25570"/>
    <cellStyle name="CALC Currency Total [1] 2 19 3 2 2" xfId="43071"/>
    <cellStyle name="CALC Currency Total [1] 2 19 3 3" xfId="32799"/>
    <cellStyle name="CALC Currency Total [1] 2 19 3 4" xfId="43072"/>
    <cellStyle name="CALC Currency Total [1] 2 19 4" xfId="18277"/>
    <cellStyle name="CALC Currency Total [1] 2 19 4 2" xfId="26597"/>
    <cellStyle name="CALC Currency Total [1] 2 19 4 2 2" xfId="43073"/>
    <cellStyle name="CALC Currency Total [1] 2 19 4 3" xfId="33777"/>
    <cellStyle name="CALC Currency Total [1] 2 19 4 4" xfId="43074"/>
    <cellStyle name="CALC Currency Total [1] 2 19 5" xfId="19261"/>
    <cellStyle name="CALC Currency Total [1] 2 19 5 2" xfId="27581"/>
    <cellStyle name="CALC Currency Total [1] 2 19 5 2 2" xfId="43075"/>
    <cellStyle name="CALC Currency Total [1] 2 19 5 3" xfId="34729"/>
    <cellStyle name="CALC Currency Total [1] 2 19 5 4" xfId="43076"/>
    <cellStyle name="CALC Currency Total [1] 2 19 6" xfId="20229"/>
    <cellStyle name="CALC Currency Total [1] 2 19 6 2" xfId="28551"/>
    <cellStyle name="CALC Currency Total [1] 2 19 6 2 2" xfId="43077"/>
    <cellStyle name="CALC Currency Total [1] 2 19 6 3" xfId="35669"/>
    <cellStyle name="CALC Currency Total [1] 2 19 6 4" xfId="43078"/>
    <cellStyle name="CALC Currency Total [1] 2 19 7" xfId="21690"/>
    <cellStyle name="CALC Currency Total [1] 2 19 7 2" xfId="29991"/>
    <cellStyle name="CALC Currency Total [1] 2 19 7 2 2" xfId="43079"/>
    <cellStyle name="CALC Currency Total [1] 2 19 7 3" xfId="37043"/>
    <cellStyle name="CALC Currency Total [1] 2 19 7 4" xfId="43080"/>
    <cellStyle name="CALC Currency Total [1] 2 19 8" xfId="22618"/>
    <cellStyle name="CALC Currency Total [1] 2 19 8 2" xfId="30914"/>
    <cellStyle name="CALC Currency Total [1] 2 19 8 2 2" xfId="43081"/>
    <cellStyle name="CALC Currency Total [1] 2 19 8 3" xfId="37926"/>
    <cellStyle name="CALC Currency Total [1] 2 19 8 4" xfId="43082"/>
    <cellStyle name="CALC Currency Total [1] 2 19 9" xfId="23560"/>
    <cellStyle name="CALC Currency Total [1] 2 19 9 2" xfId="43083"/>
    <cellStyle name="CALC Currency Total [1] 2 2" xfId="14514"/>
    <cellStyle name="CALC Currency Total [1] 2 2 2" xfId="15576"/>
    <cellStyle name="CALC Currency Total [1] 2 2 2 2" xfId="43084"/>
    <cellStyle name="CALC Currency Total [1] 2 2 2 2 2" xfId="43085"/>
    <cellStyle name="CALC Currency Total [1] 2 2 3" xfId="23898"/>
    <cellStyle name="CALC Currency Total [1] 2 2 3 2" xfId="43086"/>
    <cellStyle name="CALC Currency Total [1] 2 20" xfId="15268"/>
    <cellStyle name="CALC Currency Total [1] 2 20 10" xfId="43087"/>
    <cellStyle name="CALC Currency Total [1] 2 20 11" xfId="43088"/>
    <cellStyle name="CALC Currency Total [1] 2 20 2" xfId="16348"/>
    <cellStyle name="CALC Currency Total [1] 2 20 2 2" xfId="24661"/>
    <cellStyle name="CALC Currency Total [1] 2 20 2 2 2" xfId="43089"/>
    <cellStyle name="CALC Currency Total [1] 2 20 2 3" xfId="31928"/>
    <cellStyle name="CALC Currency Total [1] 2 20 2 4" xfId="43090"/>
    <cellStyle name="CALC Currency Total [1] 2 20 3" xfId="17314"/>
    <cellStyle name="CALC Currency Total [1] 2 20 3 2" xfId="25635"/>
    <cellStyle name="CALC Currency Total [1] 2 20 3 2 2" xfId="43091"/>
    <cellStyle name="CALC Currency Total [1] 2 20 3 3" xfId="32861"/>
    <cellStyle name="CALC Currency Total [1] 2 20 3 4" xfId="43092"/>
    <cellStyle name="CALC Currency Total [1] 2 20 4" xfId="18342"/>
    <cellStyle name="CALC Currency Total [1] 2 20 4 2" xfId="26662"/>
    <cellStyle name="CALC Currency Total [1] 2 20 4 2 2" xfId="43093"/>
    <cellStyle name="CALC Currency Total [1] 2 20 4 3" xfId="33839"/>
    <cellStyle name="CALC Currency Total [1] 2 20 4 4" xfId="43094"/>
    <cellStyle name="CALC Currency Total [1] 2 20 5" xfId="19326"/>
    <cellStyle name="CALC Currency Total [1] 2 20 5 2" xfId="27646"/>
    <cellStyle name="CALC Currency Total [1] 2 20 5 2 2" xfId="43095"/>
    <cellStyle name="CALC Currency Total [1] 2 20 5 3" xfId="34794"/>
    <cellStyle name="CALC Currency Total [1] 2 20 5 4" xfId="43096"/>
    <cellStyle name="CALC Currency Total [1] 2 20 6" xfId="20294"/>
    <cellStyle name="CALC Currency Total [1] 2 20 6 2" xfId="28616"/>
    <cellStyle name="CALC Currency Total [1] 2 20 6 2 2" xfId="43097"/>
    <cellStyle name="CALC Currency Total [1] 2 20 6 3" xfId="35731"/>
    <cellStyle name="CALC Currency Total [1] 2 20 6 4" xfId="43098"/>
    <cellStyle name="CALC Currency Total [1] 2 20 7" xfId="21755"/>
    <cellStyle name="CALC Currency Total [1] 2 20 7 2" xfId="30056"/>
    <cellStyle name="CALC Currency Total [1] 2 20 7 2 2" xfId="43099"/>
    <cellStyle name="CALC Currency Total [1] 2 20 7 3" xfId="37105"/>
    <cellStyle name="CALC Currency Total [1] 2 20 7 4" xfId="43100"/>
    <cellStyle name="CALC Currency Total [1] 2 20 8" xfId="22683"/>
    <cellStyle name="CALC Currency Total [1] 2 20 8 2" xfId="30979"/>
    <cellStyle name="CALC Currency Total [1] 2 20 8 2 2" xfId="43101"/>
    <cellStyle name="CALC Currency Total [1] 2 20 8 3" xfId="37988"/>
    <cellStyle name="CALC Currency Total [1] 2 20 8 4" xfId="43102"/>
    <cellStyle name="CALC Currency Total [1] 2 20 9" xfId="23625"/>
    <cellStyle name="CALC Currency Total [1] 2 20 9 2" xfId="43103"/>
    <cellStyle name="CALC Currency Total [1] 2 21" xfId="15284"/>
    <cellStyle name="CALC Currency Total [1] 2 21 10" xfId="43104"/>
    <cellStyle name="CALC Currency Total [1] 2 21 11" xfId="43105"/>
    <cellStyle name="CALC Currency Total [1] 2 21 2" xfId="16364"/>
    <cellStyle name="CALC Currency Total [1] 2 21 2 2" xfId="24677"/>
    <cellStyle name="CALC Currency Total [1] 2 21 2 2 2" xfId="43106"/>
    <cellStyle name="CALC Currency Total [1] 2 21 2 3" xfId="31944"/>
    <cellStyle name="CALC Currency Total [1] 2 21 2 4" xfId="43107"/>
    <cellStyle name="CALC Currency Total [1] 2 21 3" xfId="17330"/>
    <cellStyle name="CALC Currency Total [1] 2 21 3 2" xfId="25651"/>
    <cellStyle name="CALC Currency Total [1] 2 21 3 2 2" xfId="43108"/>
    <cellStyle name="CALC Currency Total [1] 2 21 3 3" xfId="32877"/>
    <cellStyle name="CALC Currency Total [1] 2 21 3 4" xfId="43109"/>
    <cellStyle name="CALC Currency Total [1] 2 21 4" xfId="18358"/>
    <cellStyle name="CALC Currency Total [1] 2 21 4 2" xfId="26678"/>
    <cellStyle name="CALC Currency Total [1] 2 21 4 2 2" xfId="43110"/>
    <cellStyle name="CALC Currency Total [1] 2 21 4 3" xfId="33855"/>
    <cellStyle name="CALC Currency Total [1] 2 21 4 4" xfId="43111"/>
    <cellStyle name="CALC Currency Total [1] 2 21 5" xfId="19342"/>
    <cellStyle name="CALC Currency Total [1] 2 21 5 2" xfId="27662"/>
    <cellStyle name="CALC Currency Total [1] 2 21 5 2 2" xfId="43112"/>
    <cellStyle name="CALC Currency Total [1] 2 21 5 3" xfId="34810"/>
    <cellStyle name="CALC Currency Total [1] 2 21 5 4" xfId="43113"/>
    <cellStyle name="CALC Currency Total [1] 2 21 6" xfId="20310"/>
    <cellStyle name="CALC Currency Total [1] 2 21 6 2" xfId="28632"/>
    <cellStyle name="CALC Currency Total [1] 2 21 6 2 2" xfId="43114"/>
    <cellStyle name="CALC Currency Total [1] 2 21 6 3" xfId="35747"/>
    <cellStyle name="CALC Currency Total [1] 2 21 6 4" xfId="43115"/>
    <cellStyle name="CALC Currency Total [1] 2 21 7" xfId="21771"/>
    <cellStyle name="CALC Currency Total [1] 2 21 7 2" xfId="30072"/>
    <cellStyle name="CALC Currency Total [1] 2 21 7 2 2" xfId="43116"/>
    <cellStyle name="CALC Currency Total [1] 2 21 7 3" xfId="37121"/>
    <cellStyle name="CALC Currency Total [1] 2 21 7 4" xfId="43117"/>
    <cellStyle name="CALC Currency Total [1] 2 21 8" xfId="22699"/>
    <cellStyle name="CALC Currency Total [1] 2 21 8 2" xfId="30995"/>
    <cellStyle name="CALC Currency Total [1] 2 21 8 2 2" xfId="43118"/>
    <cellStyle name="CALC Currency Total [1] 2 21 8 3" xfId="38004"/>
    <cellStyle name="CALC Currency Total [1] 2 21 8 4" xfId="43119"/>
    <cellStyle name="CALC Currency Total [1] 2 21 9" xfId="23641"/>
    <cellStyle name="CALC Currency Total [1] 2 21 9 2" xfId="43120"/>
    <cellStyle name="CALC Currency Total [1] 2 22" xfId="15292"/>
    <cellStyle name="CALC Currency Total [1] 2 22 10" xfId="43121"/>
    <cellStyle name="CALC Currency Total [1] 2 22 11" xfId="43122"/>
    <cellStyle name="CALC Currency Total [1] 2 22 2" xfId="16372"/>
    <cellStyle name="CALC Currency Total [1] 2 22 2 2" xfId="24685"/>
    <cellStyle name="CALC Currency Total [1] 2 22 2 2 2" xfId="43123"/>
    <cellStyle name="CALC Currency Total [1] 2 22 2 3" xfId="31951"/>
    <cellStyle name="CALC Currency Total [1] 2 22 2 4" xfId="43124"/>
    <cellStyle name="CALC Currency Total [1] 2 22 3" xfId="17338"/>
    <cellStyle name="CALC Currency Total [1] 2 22 3 2" xfId="25659"/>
    <cellStyle name="CALC Currency Total [1] 2 22 3 2 2" xfId="43125"/>
    <cellStyle name="CALC Currency Total [1] 2 22 3 3" xfId="32884"/>
    <cellStyle name="CALC Currency Total [1] 2 22 3 4" xfId="43126"/>
    <cellStyle name="CALC Currency Total [1] 2 22 4" xfId="18366"/>
    <cellStyle name="CALC Currency Total [1] 2 22 4 2" xfId="26686"/>
    <cellStyle name="CALC Currency Total [1] 2 22 4 2 2" xfId="43127"/>
    <cellStyle name="CALC Currency Total [1] 2 22 4 3" xfId="33862"/>
    <cellStyle name="CALC Currency Total [1] 2 22 4 4" xfId="43128"/>
    <cellStyle name="CALC Currency Total [1] 2 22 5" xfId="19349"/>
    <cellStyle name="CALC Currency Total [1] 2 22 5 2" xfId="27670"/>
    <cellStyle name="CALC Currency Total [1] 2 22 5 2 2" xfId="43129"/>
    <cellStyle name="CALC Currency Total [1] 2 22 5 3" xfId="34818"/>
    <cellStyle name="CALC Currency Total [1] 2 22 5 4" xfId="43130"/>
    <cellStyle name="CALC Currency Total [1] 2 22 6" xfId="20318"/>
    <cellStyle name="CALC Currency Total [1] 2 22 6 2" xfId="28640"/>
    <cellStyle name="CALC Currency Total [1] 2 22 6 2 2" xfId="43131"/>
    <cellStyle name="CALC Currency Total [1] 2 22 6 3" xfId="35754"/>
    <cellStyle name="CALC Currency Total [1] 2 22 6 4" xfId="43132"/>
    <cellStyle name="CALC Currency Total [1] 2 22 7" xfId="21779"/>
    <cellStyle name="CALC Currency Total [1] 2 22 7 2" xfId="30080"/>
    <cellStyle name="CALC Currency Total [1] 2 22 7 2 2" xfId="43133"/>
    <cellStyle name="CALC Currency Total [1] 2 22 7 3" xfId="37128"/>
    <cellStyle name="CALC Currency Total [1] 2 22 7 4" xfId="43134"/>
    <cellStyle name="CALC Currency Total [1] 2 22 8" xfId="22707"/>
    <cellStyle name="CALC Currency Total [1] 2 22 8 2" xfId="31003"/>
    <cellStyle name="CALC Currency Total [1] 2 22 8 2 2" xfId="43135"/>
    <cellStyle name="CALC Currency Total [1] 2 22 8 3" xfId="38011"/>
    <cellStyle name="CALC Currency Total [1] 2 22 8 4" xfId="43136"/>
    <cellStyle name="CALC Currency Total [1] 2 22 9" xfId="23649"/>
    <cellStyle name="CALC Currency Total [1] 2 22 9 2" xfId="43137"/>
    <cellStyle name="CALC Currency Total [1] 2 23" xfId="15326"/>
    <cellStyle name="CALC Currency Total [1] 2 23 10" xfId="43138"/>
    <cellStyle name="CALC Currency Total [1] 2 23 11" xfId="43139"/>
    <cellStyle name="CALC Currency Total [1] 2 23 2" xfId="16406"/>
    <cellStyle name="CALC Currency Total [1] 2 23 2 2" xfId="24719"/>
    <cellStyle name="CALC Currency Total [1] 2 23 2 2 2" xfId="43140"/>
    <cellStyle name="CALC Currency Total [1] 2 23 2 3" xfId="31984"/>
    <cellStyle name="CALC Currency Total [1] 2 23 2 4" xfId="43141"/>
    <cellStyle name="CALC Currency Total [1] 2 23 3" xfId="17372"/>
    <cellStyle name="CALC Currency Total [1] 2 23 3 2" xfId="25693"/>
    <cellStyle name="CALC Currency Total [1] 2 23 3 2 2" xfId="43142"/>
    <cellStyle name="CALC Currency Total [1] 2 23 3 3" xfId="32917"/>
    <cellStyle name="CALC Currency Total [1] 2 23 3 4" xfId="43143"/>
    <cellStyle name="CALC Currency Total [1] 2 23 4" xfId="18400"/>
    <cellStyle name="CALC Currency Total [1] 2 23 4 2" xfId="26720"/>
    <cellStyle name="CALC Currency Total [1] 2 23 4 2 2" xfId="43144"/>
    <cellStyle name="CALC Currency Total [1] 2 23 4 3" xfId="33895"/>
    <cellStyle name="CALC Currency Total [1] 2 23 4 4" xfId="43145"/>
    <cellStyle name="CALC Currency Total [1] 2 23 5" xfId="19383"/>
    <cellStyle name="CALC Currency Total [1] 2 23 5 2" xfId="27704"/>
    <cellStyle name="CALC Currency Total [1] 2 23 5 2 2" xfId="43146"/>
    <cellStyle name="CALC Currency Total [1] 2 23 5 3" xfId="34852"/>
    <cellStyle name="CALC Currency Total [1] 2 23 5 4" xfId="43147"/>
    <cellStyle name="CALC Currency Total [1] 2 23 6" xfId="20352"/>
    <cellStyle name="CALC Currency Total [1] 2 23 6 2" xfId="28674"/>
    <cellStyle name="CALC Currency Total [1] 2 23 6 2 2" xfId="43148"/>
    <cellStyle name="CALC Currency Total [1] 2 23 6 3" xfId="35787"/>
    <cellStyle name="CALC Currency Total [1] 2 23 6 4" xfId="43149"/>
    <cellStyle name="CALC Currency Total [1] 2 23 7" xfId="21813"/>
    <cellStyle name="CALC Currency Total [1] 2 23 7 2" xfId="30114"/>
    <cellStyle name="CALC Currency Total [1] 2 23 7 2 2" xfId="43150"/>
    <cellStyle name="CALC Currency Total [1] 2 23 7 3" xfId="37161"/>
    <cellStyle name="CALC Currency Total [1] 2 23 7 4" xfId="43151"/>
    <cellStyle name="CALC Currency Total [1] 2 23 8" xfId="22741"/>
    <cellStyle name="CALC Currency Total [1] 2 23 8 2" xfId="31037"/>
    <cellStyle name="CALC Currency Total [1] 2 23 8 2 2" xfId="43152"/>
    <cellStyle name="CALC Currency Total [1] 2 23 8 3" xfId="38044"/>
    <cellStyle name="CALC Currency Total [1] 2 23 8 4" xfId="43153"/>
    <cellStyle name="CALC Currency Total [1] 2 23 9" xfId="23683"/>
    <cellStyle name="CALC Currency Total [1] 2 23 9 2" xfId="43154"/>
    <cellStyle name="CALC Currency Total [1] 2 24" xfId="15391"/>
    <cellStyle name="CALC Currency Total [1] 2 24 10" xfId="43155"/>
    <cellStyle name="CALC Currency Total [1] 2 24 11" xfId="43156"/>
    <cellStyle name="CALC Currency Total [1] 2 24 2" xfId="16471"/>
    <cellStyle name="CALC Currency Total [1] 2 24 2 2" xfId="24784"/>
    <cellStyle name="CALC Currency Total [1] 2 24 2 2 2" xfId="43157"/>
    <cellStyle name="CALC Currency Total [1] 2 24 2 3" xfId="32048"/>
    <cellStyle name="CALC Currency Total [1] 2 24 2 4" xfId="43158"/>
    <cellStyle name="CALC Currency Total [1] 2 24 3" xfId="17437"/>
    <cellStyle name="CALC Currency Total [1] 2 24 3 2" xfId="25758"/>
    <cellStyle name="CALC Currency Total [1] 2 24 3 2 2" xfId="43159"/>
    <cellStyle name="CALC Currency Total [1] 2 24 3 3" xfId="32981"/>
    <cellStyle name="CALC Currency Total [1] 2 24 3 4" xfId="43160"/>
    <cellStyle name="CALC Currency Total [1] 2 24 4" xfId="18465"/>
    <cellStyle name="CALC Currency Total [1] 2 24 4 2" xfId="26785"/>
    <cellStyle name="CALC Currency Total [1] 2 24 4 2 2" xfId="43161"/>
    <cellStyle name="CALC Currency Total [1] 2 24 4 3" xfId="33959"/>
    <cellStyle name="CALC Currency Total [1] 2 24 4 4" xfId="43162"/>
    <cellStyle name="CALC Currency Total [1] 2 24 5" xfId="19448"/>
    <cellStyle name="CALC Currency Total [1] 2 24 5 2" xfId="27769"/>
    <cellStyle name="CALC Currency Total [1] 2 24 5 2 2" xfId="43163"/>
    <cellStyle name="CALC Currency Total [1] 2 24 5 3" xfId="34917"/>
    <cellStyle name="CALC Currency Total [1] 2 24 5 4" xfId="43164"/>
    <cellStyle name="CALC Currency Total [1] 2 24 6" xfId="20417"/>
    <cellStyle name="CALC Currency Total [1] 2 24 6 2" xfId="28739"/>
    <cellStyle name="CALC Currency Total [1] 2 24 6 2 2" xfId="43165"/>
    <cellStyle name="CALC Currency Total [1] 2 24 6 3" xfId="35851"/>
    <cellStyle name="CALC Currency Total [1] 2 24 6 4" xfId="43166"/>
    <cellStyle name="CALC Currency Total [1] 2 24 7" xfId="21878"/>
    <cellStyle name="CALC Currency Total [1] 2 24 7 2" xfId="30179"/>
    <cellStyle name="CALC Currency Total [1] 2 24 7 2 2" xfId="43167"/>
    <cellStyle name="CALC Currency Total [1] 2 24 7 3" xfId="37224"/>
    <cellStyle name="CALC Currency Total [1] 2 24 7 4" xfId="43168"/>
    <cellStyle name="CALC Currency Total [1] 2 24 8" xfId="22806"/>
    <cellStyle name="CALC Currency Total [1] 2 24 8 2" xfId="31102"/>
    <cellStyle name="CALC Currency Total [1] 2 24 8 2 2" xfId="43169"/>
    <cellStyle name="CALC Currency Total [1] 2 24 8 3" xfId="38108"/>
    <cellStyle name="CALC Currency Total [1] 2 24 8 4" xfId="43170"/>
    <cellStyle name="CALC Currency Total [1] 2 24 9" xfId="23748"/>
    <cellStyle name="CALC Currency Total [1] 2 24 9 2" xfId="43171"/>
    <cellStyle name="CALC Currency Total [1] 2 25" xfId="15407"/>
    <cellStyle name="CALC Currency Total [1] 2 25 10" xfId="43172"/>
    <cellStyle name="CALC Currency Total [1] 2 25 11" xfId="43173"/>
    <cellStyle name="CALC Currency Total [1] 2 25 2" xfId="16487"/>
    <cellStyle name="CALC Currency Total [1] 2 25 2 2" xfId="24800"/>
    <cellStyle name="CALC Currency Total [1] 2 25 2 2 2" xfId="43174"/>
    <cellStyle name="CALC Currency Total [1] 2 25 2 3" xfId="32062"/>
    <cellStyle name="CALC Currency Total [1] 2 25 2 4" xfId="43175"/>
    <cellStyle name="CALC Currency Total [1] 2 25 3" xfId="17453"/>
    <cellStyle name="CALC Currency Total [1] 2 25 3 2" xfId="25774"/>
    <cellStyle name="CALC Currency Total [1] 2 25 3 2 2" xfId="43176"/>
    <cellStyle name="CALC Currency Total [1] 2 25 3 3" xfId="32995"/>
    <cellStyle name="CALC Currency Total [1] 2 25 3 4" xfId="43177"/>
    <cellStyle name="CALC Currency Total [1] 2 25 4" xfId="18481"/>
    <cellStyle name="CALC Currency Total [1] 2 25 4 2" xfId="26801"/>
    <cellStyle name="CALC Currency Total [1] 2 25 4 2 2" xfId="43178"/>
    <cellStyle name="CALC Currency Total [1] 2 25 4 3" xfId="33973"/>
    <cellStyle name="CALC Currency Total [1] 2 25 4 4" xfId="43179"/>
    <cellStyle name="CALC Currency Total [1] 2 25 5" xfId="19464"/>
    <cellStyle name="CALC Currency Total [1] 2 25 5 2" xfId="27785"/>
    <cellStyle name="CALC Currency Total [1] 2 25 5 2 2" xfId="43180"/>
    <cellStyle name="CALC Currency Total [1] 2 25 5 3" xfId="34933"/>
    <cellStyle name="CALC Currency Total [1] 2 25 5 4" xfId="43181"/>
    <cellStyle name="CALC Currency Total [1] 2 25 6" xfId="20433"/>
    <cellStyle name="CALC Currency Total [1] 2 25 6 2" xfId="28755"/>
    <cellStyle name="CALC Currency Total [1] 2 25 6 2 2" xfId="43182"/>
    <cellStyle name="CALC Currency Total [1] 2 25 6 3" xfId="35865"/>
    <cellStyle name="CALC Currency Total [1] 2 25 6 4" xfId="43183"/>
    <cellStyle name="CALC Currency Total [1] 2 25 7" xfId="21894"/>
    <cellStyle name="CALC Currency Total [1] 2 25 7 2" xfId="30195"/>
    <cellStyle name="CALC Currency Total [1] 2 25 7 2 2" xfId="43184"/>
    <cellStyle name="CALC Currency Total [1] 2 25 7 3" xfId="37238"/>
    <cellStyle name="CALC Currency Total [1] 2 25 7 4" xfId="43185"/>
    <cellStyle name="CALC Currency Total [1] 2 25 8" xfId="22822"/>
    <cellStyle name="CALC Currency Total [1] 2 25 8 2" xfId="31118"/>
    <cellStyle name="CALC Currency Total [1] 2 25 8 2 2" xfId="43186"/>
    <cellStyle name="CALC Currency Total [1] 2 25 8 3" xfId="38122"/>
    <cellStyle name="CALC Currency Total [1] 2 25 8 4" xfId="43187"/>
    <cellStyle name="CALC Currency Total [1] 2 25 9" xfId="23764"/>
    <cellStyle name="CALC Currency Total [1] 2 25 9 2" xfId="43188"/>
    <cellStyle name="CALC Currency Total [1] 2 26" xfId="15423"/>
    <cellStyle name="CALC Currency Total [1] 2 26 10" xfId="43189"/>
    <cellStyle name="CALC Currency Total [1] 2 26 11" xfId="43190"/>
    <cellStyle name="CALC Currency Total [1] 2 26 2" xfId="16503"/>
    <cellStyle name="CALC Currency Total [1] 2 26 2 2" xfId="24816"/>
    <cellStyle name="CALC Currency Total [1] 2 26 2 2 2" xfId="43191"/>
    <cellStyle name="CALC Currency Total [1] 2 26 2 3" xfId="32077"/>
    <cellStyle name="CALC Currency Total [1] 2 26 2 4" xfId="43192"/>
    <cellStyle name="CALC Currency Total [1] 2 26 3" xfId="17469"/>
    <cellStyle name="CALC Currency Total [1] 2 26 3 2" xfId="25790"/>
    <cellStyle name="CALC Currency Total [1] 2 26 3 2 2" xfId="43193"/>
    <cellStyle name="CALC Currency Total [1] 2 26 3 3" xfId="33010"/>
    <cellStyle name="CALC Currency Total [1] 2 26 3 4" xfId="43194"/>
    <cellStyle name="CALC Currency Total [1] 2 26 4" xfId="18497"/>
    <cellStyle name="CALC Currency Total [1] 2 26 4 2" xfId="26817"/>
    <cellStyle name="CALC Currency Total [1] 2 26 4 2 2" xfId="43195"/>
    <cellStyle name="CALC Currency Total [1] 2 26 4 3" xfId="33988"/>
    <cellStyle name="CALC Currency Total [1] 2 26 4 4" xfId="43196"/>
    <cellStyle name="CALC Currency Total [1] 2 26 5" xfId="19480"/>
    <cellStyle name="CALC Currency Total [1] 2 26 5 2" xfId="27801"/>
    <cellStyle name="CALC Currency Total [1] 2 26 5 2 2" xfId="43197"/>
    <cellStyle name="CALC Currency Total [1] 2 26 5 3" xfId="34949"/>
    <cellStyle name="CALC Currency Total [1] 2 26 5 4" xfId="43198"/>
    <cellStyle name="CALC Currency Total [1] 2 26 6" xfId="20449"/>
    <cellStyle name="CALC Currency Total [1] 2 26 6 2" xfId="28771"/>
    <cellStyle name="CALC Currency Total [1] 2 26 6 2 2" xfId="43199"/>
    <cellStyle name="CALC Currency Total [1] 2 26 6 3" xfId="35880"/>
    <cellStyle name="CALC Currency Total [1] 2 26 6 4" xfId="43200"/>
    <cellStyle name="CALC Currency Total [1] 2 26 7" xfId="21910"/>
    <cellStyle name="CALC Currency Total [1] 2 26 7 2" xfId="30211"/>
    <cellStyle name="CALC Currency Total [1] 2 26 7 2 2" xfId="43201"/>
    <cellStyle name="CALC Currency Total [1] 2 26 7 3" xfId="37253"/>
    <cellStyle name="CALC Currency Total [1] 2 26 7 4" xfId="43202"/>
    <cellStyle name="CALC Currency Total [1] 2 26 8" xfId="22838"/>
    <cellStyle name="CALC Currency Total [1] 2 26 8 2" xfId="31134"/>
    <cellStyle name="CALC Currency Total [1] 2 26 8 2 2" xfId="43203"/>
    <cellStyle name="CALC Currency Total [1] 2 26 8 3" xfId="38137"/>
    <cellStyle name="CALC Currency Total [1] 2 26 8 4" xfId="43204"/>
    <cellStyle name="CALC Currency Total [1] 2 26 9" xfId="23780"/>
    <cellStyle name="CALC Currency Total [1] 2 26 9 2" xfId="43205"/>
    <cellStyle name="CALC Currency Total [1] 2 27" xfId="15437"/>
    <cellStyle name="CALC Currency Total [1] 2 27 10" xfId="43206"/>
    <cellStyle name="CALC Currency Total [1] 2 27 11" xfId="43207"/>
    <cellStyle name="CALC Currency Total [1] 2 27 2" xfId="16517"/>
    <cellStyle name="CALC Currency Total [1] 2 27 2 2" xfId="24830"/>
    <cellStyle name="CALC Currency Total [1] 2 27 2 2 2" xfId="43208"/>
    <cellStyle name="CALC Currency Total [1] 2 27 2 3" xfId="32091"/>
    <cellStyle name="CALC Currency Total [1] 2 27 2 4" xfId="43209"/>
    <cellStyle name="CALC Currency Total [1] 2 27 3" xfId="17483"/>
    <cellStyle name="CALC Currency Total [1] 2 27 3 2" xfId="25804"/>
    <cellStyle name="CALC Currency Total [1] 2 27 3 2 2" xfId="43210"/>
    <cellStyle name="CALC Currency Total [1] 2 27 3 3" xfId="33024"/>
    <cellStyle name="CALC Currency Total [1] 2 27 3 4" xfId="43211"/>
    <cellStyle name="CALC Currency Total [1] 2 27 4" xfId="18511"/>
    <cellStyle name="CALC Currency Total [1] 2 27 4 2" xfId="26831"/>
    <cellStyle name="CALC Currency Total [1] 2 27 4 2 2" xfId="43212"/>
    <cellStyle name="CALC Currency Total [1] 2 27 4 3" xfId="34002"/>
    <cellStyle name="CALC Currency Total [1] 2 27 4 4" xfId="43213"/>
    <cellStyle name="CALC Currency Total [1] 2 27 5" xfId="19494"/>
    <cellStyle name="CALC Currency Total [1] 2 27 5 2" xfId="27815"/>
    <cellStyle name="CALC Currency Total [1] 2 27 5 2 2" xfId="43214"/>
    <cellStyle name="CALC Currency Total [1] 2 27 5 3" xfId="34963"/>
    <cellStyle name="CALC Currency Total [1] 2 27 5 4" xfId="43215"/>
    <cellStyle name="CALC Currency Total [1] 2 27 6" xfId="20463"/>
    <cellStyle name="CALC Currency Total [1] 2 27 6 2" xfId="28785"/>
    <cellStyle name="CALC Currency Total [1] 2 27 6 2 2" xfId="43216"/>
    <cellStyle name="CALC Currency Total [1] 2 27 6 3" xfId="35894"/>
    <cellStyle name="CALC Currency Total [1] 2 27 6 4" xfId="43217"/>
    <cellStyle name="CALC Currency Total [1] 2 27 7" xfId="21924"/>
    <cellStyle name="CALC Currency Total [1] 2 27 7 2" xfId="30225"/>
    <cellStyle name="CALC Currency Total [1] 2 27 7 2 2" xfId="43218"/>
    <cellStyle name="CALC Currency Total [1] 2 27 7 3" xfId="37267"/>
    <cellStyle name="CALC Currency Total [1] 2 27 7 4" xfId="43219"/>
    <cellStyle name="CALC Currency Total [1] 2 27 8" xfId="22852"/>
    <cellStyle name="CALC Currency Total [1] 2 27 8 2" xfId="31148"/>
    <cellStyle name="CALC Currency Total [1] 2 27 8 2 2" xfId="43220"/>
    <cellStyle name="CALC Currency Total [1] 2 27 8 3" xfId="38151"/>
    <cellStyle name="CALC Currency Total [1] 2 27 8 4" xfId="43221"/>
    <cellStyle name="CALC Currency Total [1] 2 27 9" xfId="23794"/>
    <cellStyle name="CALC Currency Total [1] 2 27 9 2" xfId="43222"/>
    <cellStyle name="CALC Currency Total [1] 2 28" xfId="15451"/>
    <cellStyle name="CALC Currency Total [1] 2 28 10" xfId="43223"/>
    <cellStyle name="CALC Currency Total [1] 2 28 11" xfId="43224"/>
    <cellStyle name="CALC Currency Total [1] 2 28 2" xfId="16531"/>
    <cellStyle name="CALC Currency Total [1] 2 28 2 2" xfId="24844"/>
    <cellStyle name="CALC Currency Total [1] 2 28 2 2 2" xfId="43225"/>
    <cellStyle name="CALC Currency Total [1] 2 28 2 3" xfId="32105"/>
    <cellStyle name="CALC Currency Total [1] 2 28 2 4" xfId="43226"/>
    <cellStyle name="CALC Currency Total [1] 2 28 3" xfId="17497"/>
    <cellStyle name="CALC Currency Total [1] 2 28 3 2" xfId="25818"/>
    <cellStyle name="CALC Currency Total [1] 2 28 3 2 2" xfId="43227"/>
    <cellStyle name="CALC Currency Total [1] 2 28 3 3" xfId="33038"/>
    <cellStyle name="CALC Currency Total [1] 2 28 3 4" xfId="43228"/>
    <cellStyle name="CALC Currency Total [1] 2 28 4" xfId="18525"/>
    <cellStyle name="CALC Currency Total [1] 2 28 4 2" xfId="26845"/>
    <cellStyle name="CALC Currency Total [1] 2 28 4 2 2" xfId="43229"/>
    <cellStyle name="CALC Currency Total [1] 2 28 4 3" xfId="34016"/>
    <cellStyle name="CALC Currency Total [1] 2 28 4 4" xfId="43230"/>
    <cellStyle name="CALC Currency Total [1] 2 28 5" xfId="19508"/>
    <cellStyle name="CALC Currency Total [1] 2 28 5 2" xfId="27829"/>
    <cellStyle name="CALC Currency Total [1] 2 28 5 2 2" xfId="43231"/>
    <cellStyle name="CALC Currency Total [1] 2 28 5 3" xfId="34977"/>
    <cellStyle name="CALC Currency Total [1] 2 28 5 4" xfId="43232"/>
    <cellStyle name="CALC Currency Total [1] 2 28 6" xfId="20477"/>
    <cellStyle name="CALC Currency Total [1] 2 28 6 2" xfId="28799"/>
    <cellStyle name="CALC Currency Total [1] 2 28 6 2 2" xfId="43233"/>
    <cellStyle name="CALC Currency Total [1] 2 28 6 3" xfId="35908"/>
    <cellStyle name="CALC Currency Total [1] 2 28 6 4" xfId="43234"/>
    <cellStyle name="CALC Currency Total [1] 2 28 7" xfId="21938"/>
    <cellStyle name="CALC Currency Total [1] 2 28 7 2" xfId="30239"/>
    <cellStyle name="CALC Currency Total [1] 2 28 7 2 2" xfId="43235"/>
    <cellStyle name="CALC Currency Total [1] 2 28 7 3" xfId="37281"/>
    <cellStyle name="CALC Currency Total [1] 2 28 7 4" xfId="43236"/>
    <cellStyle name="CALC Currency Total [1] 2 28 8" xfId="22866"/>
    <cellStyle name="CALC Currency Total [1] 2 28 8 2" xfId="31162"/>
    <cellStyle name="CALC Currency Total [1] 2 28 8 2 2" xfId="43237"/>
    <cellStyle name="CALC Currency Total [1] 2 28 8 3" xfId="38165"/>
    <cellStyle name="CALC Currency Total [1] 2 28 8 4" xfId="43238"/>
    <cellStyle name="CALC Currency Total [1] 2 28 9" xfId="23808"/>
    <cellStyle name="CALC Currency Total [1] 2 28 9 2" xfId="43239"/>
    <cellStyle name="CALC Currency Total [1] 2 29" xfId="15483"/>
    <cellStyle name="CALC Currency Total [1] 2 29 2" xfId="17529"/>
    <cellStyle name="CALC Currency Total [1] 2 29 2 2" xfId="25849"/>
    <cellStyle name="CALC Currency Total [1] 2 29 2 2 2" xfId="43240"/>
    <cellStyle name="CALC Currency Total [1] 2 29 2 3" xfId="33067"/>
    <cellStyle name="CALC Currency Total [1] 2 29 2 4" xfId="43241"/>
    <cellStyle name="CALC Currency Total [1] 2 29 3" xfId="19540"/>
    <cellStyle name="CALC Currency Total [1] 2 29 3 2" xfId="27861"/>
    <cellStyle name="CALC Currency Total [1] 2 29 3 2 2" xfId="43242"/>
    <cellStyle name="CALC Currency Total [1] 2 29 3 3" xfId="35009"/>
    <cellStyle name="CALC Currency Total [1] 2 29 3 4" xfId="43243"/>
    <cellStyle name="CALC Currency Total [1] 2 29 4" xfId="43244"/>
    <cellStyle name="CALC Currency Total [1] 2 29 4 2" xfId="43245"/>
    <cellStyle name="CALC Currency Total [1] 2 3" xfId="14515"/>
    <cellStyle name="CALC Currency Total [1] 2 3 2" xfId="15577"/>
    <cellStyle name="CALC Currency Total [1] 2 3 2 2" xfId="43246"/>
    <cellStyle name="CALC Currency Total [1] 2 3 2 2 2" xfId="43247"/>
    <cellStyle name="CALC Currency Total [1] 2 3 3" xfId="14445"/>
    <cellStyle name="CALC Currency Total [1] 2 3 3 2" xfId="43248"/>
    <cellStyle name="CALC Currency Total [1] 2 30" xfId="43249"/>
    <cellStyle name="CALC Currency Total [1] 2 30 2" xfId="43250"/>
    <cellStyle name="CALC Currency Total [1] 2 4" xfId="14544"/>
    <cellStyle name="CALC Currency Total [1] 2 4 2" xfId="15623"/>
    <cellStyle name="CALC Currency Total [1] 2 4 2 2" xfId="23937"/>
    <cellStyle name="CALC Currency Total [1] 2 4 2 2 2" xfId="43251"/>
    <cellStyle name="CALC Currency Total [1] 2 4 2 3" xfId="43252"/>
    <cellStyle name="CALC Currency Total [1] 2 4 2 4" xfId="43253"/>
    <cellStyle name="CALC Currency Total [1] 2 4 3" xfId="16591"/>
    <cellStyle name="CALC Currency Total [1] 2 4 3 2" xfId="24908"/>
    <cellStyle name="CALC Currency Total [1] 2 4 3 2 2" xfId="43254"/>
    <cellStyle name="CALC Currency Total [1] 2 4 3 3" xfId="32168"/>
    <cellStyle name="CALC Currency Total [1] 2 4 3 4" xfId="43255"/>
    <cellStyle name="CALC Currency Total [1] 2 4 4" xfId="17610"/>
    <cellStyle name="CALC Currency Total [1] 2 4 4 2" xfId="25933"/>
    <cellStyle name="CALC Currency Total [1] 2 4 4 2 2" xfId="43256"/>
    <cellStyle name="CALC Currency Total [1] 2 4 4 3" xfId="33145"/>
    <cellStyle name="CALC Currency Total [1] 2 4 4 4" xfId="43257"/>
    <cellStyle name="CALC Currency Total [1] 2 4 5" xfId="18592"/>
    <cellStyle name="CALC Currency Total [1] 2 4 5 2" xfId="26911"/>
    <cellStyle name="CALC Currency Total [1] 2 4 5 2 2" xfId="43258"/>
    <cellStyle name="CALC Currency Total [1] 2 4 5 3" xfId="34080"/>
    <cellStyle name="CALC Currency Total [1] 2 4 5 4" xfId="43259"/>
    <cellStyle name="CALC Currency Total [1] 2 4 6" xfId="19560"/>
    <cellStyle name="CALC Currency Total [1] 2 4 6 2" xfId="27881"/>
    <cellStyle name="CALC Currency Total [1] 2 4 6 2 2" xfId="43260"/>
    <cellStyle name="CALC Currency Total [1] 2 4 6 3" xfId="35028"/>
    <cellStyle name="CALC Currency Total [1] 2 4 6 4" xfId="43261"/>
    <cellStyle name="CALC Currency Total [1] 2 4 7" xfId="20518"/>
    <cellStyle name="CALC Currency Total [1] 2 4 7 2" xfId="28840"/>
    <cellStyle name="CALC Currency Total [1] 2 4 7 2 2" xfId="43262"/>
    <cellStyle name="CALC Currency Total [1] 2 4 7 3" xfId="35945"/>
    <cellStyle name="CALC Currency Total [1] 2 4 7 4" xfId="43263"/>
    <cellStyle name="CALC Currency Total [1] 2 4 8" xfId="22901"/>
    <cellStyle name="CALC Currency Total [1] 2 4 8 2" xfId="43264"/>
    <cellStyle name="CALC Currency Total [1] 2 5" xfId="14605"/>
    <cellStyle name="CALC Currency Total [1] 2 5 10" xfId="22966"/>
    <cellStyle name="CALC Currency Total [1] 2 5 10 2" xfId="43265"/>
    <cellStyle name="CALC Currency Total [1] 2 5 11" xfId="43266"/>
    <cellStyle name="CALC Currency Total [1] 2 5 2" xfId="15685"/>
    <cellStyle name="CALC Currency Total [1] 2 5 2 2" xfId="24001"/>
    <cellStyle name="CALC Currency Total [1] 2 5 2 2 2" xfId="43267"/>
    <cellStyle name="CALC Currency Total [1] 2 5 2 3" xfId="31296"/>
    <cellStyle name="CALC Currency Total [1] 2 5 2 4" xfId="43268"/>
    <cellStyle name="CALC Currency Total [1] 2 5 3" xfId="16652"/>
    <cellStyle name="CALC Currency Total [1] 2 5 3 2" xfId="24972"/>
    <cellStyle name="CALC Currency Total [1] 2 5 3 2 2" xfId="43269"/>
    <cellStyle name="CALC Currency Total [1] 2 5 3 3" xfId="32229"/>
    <cellStyle name="CALC Currency Total [1] 2 5 3 4" xfId="43270"/>
    <cellStyle name="CALC Currency Total [1] 2 5 4" xfId="17674"/>
    <cellStyle name="CALC Currency Total [1] 2 5 4 2" xfId="25998"/>
    <cellStyle name="CALC Currency Total [1] 2 5 4 2 2" xfId="43271"/>
    <cellStyle name="CALC Currency Total [1] 2 5 4 3" xfId="33206"/>
    <cellStyle name="CALC Currency Total [1] 2 5 4 4" xfId="43272"/>
    <cellStyle name="CALC Currency Total [1] 2 5 5" xfId="18657"/>
    <cellStyle name="CALC Currency Total [1] 2 5 5 2" xfId="26978"/>
    <cellStyle name="CALC Currency Total [1] 2 5 5 2 2" xfId="43273"/>
    <cellStyle name="CALC Currency Total [1] 2 5 5 3" xfId="34144"/>
    <cellStyle name="CALC Currency Total [1] 2 5 5 4" xfId="43274"/>
    <cellStyle name="CALC Currency Total [1] 2 5 6" xfId="19626"/>
    <cellStyle name="CALC Currency Total [1] 2 5 6 2" xfId="27947"/>
    <cellStyle name="CALC Currency Total [1] 2 5 6 2 2" xfId="43275"/>
    <cellStyle name="CALC Currency Total [1] 2 5 6 3" xfId="35090"/>
    <cellStyle name="CALC Currency Total [1] 2 5 6 4" xfId="43276"/>
    <cellStyle name="CALC Currency Total [1] 2 5 7" xfId="20583"/>
    <cellStyle name="CALC Currency Total [1] 2 5 7 2" xfId="28905"/>
    <cellStyle name="CALC Currency Total [1] 2 5 7 2 2" xfId="43277"/>
    <cellStyle name="CALC Currency Total [1] 2 5 7 3" xfId="36006"/>
    <cellStyle name="CALC Currency Total [1] 2 5 7 4" xfId="43278"/>
    <cellStyle name="CALC Currency Total [1] 2 5 8" xfId="21119"/>
    <cellStyle name="CALC Currency Total [1] 2 5 8 2" xfId="29433"/>
    <cellStyle name="CALC Currency Total [1] 2 5 8 2 2" xfId="43279"/>
    <cellStyle name="CALC Currency Total [1] 2 5 8 3" xfId="36506"/>
    <cellStyle name="CALC Currency Total [1] 2 5 8 4" xfId="43280"/>
    <cellStyle name="CALC Currency Total [1] 2 5 9" xfId="22020"/>
    <cellStyle name="CALC Currency Total [1] 2 5 9 2" xfId="30319"/>
    <cellStyle name="CALC Currency Total [1] 2 5 9 2 2" xfId="43281"/>
    <cellStyle name="CALC Currency Total [1] 2 5 9 3" xfId="37357"/>
    <cellStyle name="CALC Currency Total [1] 2 5 9 4" xfId="43282"/>
    <cellStyle name="CALC Currency Total [1] 2 6" xfId="14625"/>
    <cellStyle name="CALC Currency Total [1] 2 6 10" xfId="22987"/>
    <cellStyle name="CALC Currency Total [1] 2 6 10 2" xfId="43283"/>
    <cellStyle name="CALC Currency Total [1] 2 6 11" xfId="43284"/>
    <cellStyle name="CALC Currency Total [1] 2 6 2" xfId="15706"/>
    <cellStyle name="CALC Currency Total [1] 2 6 2 2" xfId="24022"/>
    <cellStyle name="CALC Currency Total [1] 2 6 2 2 2" xfId="43285"/>
    <cellStyle name="CALC Currency Total [1] 2 6 2 3" xfId="31316"/>
    <cellStyle name="CALC Currency Total [1] 2 6 2 4" xfId="43286"/>
    <cellStyle name="CALC Currency Total [1] 2 6 3" xfId="16673"/>
    <cellStyle name="CALC Currency Total [1] 2 6 3 2" xfId="24993"/>
    <cellStyle name="CALC Currency Total [1] 2 6 3 2 2" xfId="43287"/>
    <cellStyle name="CALC Currency Total [1] 2 6 3 3" xfId="32249"/>
    <cellStyle name="CALC Currency Total [1] 2 6 3 4" xfId="43288"/>
    <cellStyle name="CALC Currency Total [1] 2 6 4" xfId="17696"/>
    <cellStyle name="CALC Currency Total [1] 2 6 4 2" xfId="26019"/>
    <cellStyle name="CALC Currency Total [1] 2 6 4 2 2" xfId="43289"/>
    <cellStyle name="CALC Currency Total [1] 2 6 4 3" xfId="33226"/>
    <cellStyle name="CALC Currency Total [1] 2 6 4 4" xfId="43290"/>
    <cellStyle name="CALC Currency Total [1] 2 6 5" xfId="18679"/>
    <cellStyle name="CALC Currency Total [1] 2 6 5 2" xfId="27000"/>
    <cellStyle name="CALC Currency Total [1] 2 6 5 2 2" xfId="43291"/>
    <cellStyle name="CALC Currency Total [1] 2 6 5 3" xfId="34165"/>
    <cellStyle name="CALC Currency Total [1] 2 6 5 4" xfId="43292"/>
    <cellStyle name="CALC Currency Total [1] 2 6 6" xfId="19648"/>
    <cellStyle name="CALC Currency Total [1] 2 6 6 2" xfId="27969"/>
    <cellStyle name="CALC Currency Total [1] 2 6 6 2 2" xfId="43293"/>
    <cellStyle name="CALC Currency Total [1] 2 6 6 3" xfId="35111"/>
    <cellStyle name="CALC Currency Total [1] 2 6 6 4" xfId="43294"/>
    <cellStyle name="CALC Currency Total [1] 2 6 7" xfId="20605"/>
    <cellStyle name="CALC Currency Total [1] 2 6 7 2" xfId="28926"/>
    <cellStyle name="CALC Currency Total [1] 2 6 7 2 2" xfId="43295"/>
    <cellStyle name="CALC Currency Total [1] 2 6 7 3" xfId="36026"/>
    <cellStyle name="CALC Currency Total [1] 2 6 7 4" xfId="43296"/>
    <cellStyle name="CALC Currency Total [1] 2 6 8" xfId="17567"/>
    <cellStyle name="CALC Currency Total [1] 2 6 8 2" xfId="25886"/>
    <cellStyle name="CALC Currency Total [1] 2 6 8 2 2" xfId="43297"/>
    <cellStyle name="CALC Currency Total [1] 2 6 8 3" xfId="33099"/>
    <cellStyle name="CALC Currency Total [1] 2 6 8 4" xfId="43298"/>
    <cellStyle name="CALC Currency Total [1] 2 6 9" xfId="22042"/>
    <cellStyle name="CALC Currency Total [1] 2 6 9 2" xfId="30340"/>
    <cellStyle name="CALC Currency Total [1] 2 6 9 2 2" xfId="43299"/>
    <cellStyle name="CALC Currency Total [1] 2 6 9 3" xfId="37377"/>
    <cellStyle name="CALC Currency Total [1] 2 6 9 4" xfId="43300"/>
    <cellStyle name="CALC Currency Total [1] 2 7" xfId="14644"/>
    <cellStyle name="CALC Currency Total [1] 2 7 10" xfId="23006"/>
    <cellStyle name="CALC Currency Total [1] 2 7 10 2" xfId="43301"/>
    <cellStyle name="CALC Currency Total [1] 2 7 11" xfId="43302"/>
    <cellStyle name="CALC Currency Total [1] 2 7 2" xfId="15725"/>
    <cellStyle name="CALC Currency Total [1] 2 7 2 2" xfId="24041"/>
    <cellStyle name="CALC Currency Total [1] 2 7 2 2 2" xfId="43303"/>
    <cellStyle name="CALC Currency Total [1] 2 7 2 3" xfId="31334"/>
    <cellStyle name="CALC Currency Total [1] 2 7 2 4" xfId="43304"/>
    <cellStyle name="CALC Currency Total [1] 2 7 3" xfId="16691"/>
    <cellStyle name="CALC Currency Total [1] 2 7 3 2" xfId="25012"/>
    <cellStyle name="CALC Currency Total [1] 2 7 3 2 2" xfId="43305"/>
    <cellStyle name="CALC Currency Total [1] 2 7 3 3" xfId="32267"/>
    <cellStyle name="CALC Currency Total [1] 2 7 3 4" xfId="43306"/>
    <cellStyle name="CALC Currency Total [1] 2 7 4" xfId="17715"/>
    <cellStyle name="CALC Currency Total [1] 2 7 4 2" xfId="26038"/>
    <cellStyle name="CALC Currency Total [1] 2 7 4 2 2" xfId="43307"/>
    <cellStyle name="CALC Currency Total [1] 2 7 4 3" xfId="33244"/>
    <cellStyle name="CALC Currency Total [1] 2 7 4 4" xfId="43308"/>
    <cellStyle name="CALC Currency Total [1] 2 7 5" xfId="18698"/>
    <cellStyle name="CALC Currency Total [1] 2 7 5 2" xfId="27019"/>
    <cellStyle name="CALC Currency Total [1] 2 7 5 2 2" xfId="43309"/>
    <cellStyle name="CALC Currency Total [1] 2 7 5 3" xfId="34183"/>
    <cellStyle name="CALC Currency Total [1] 2 7 5 4" xfId="43310"/>
    <cellStyle name="CALC Currency Total [1] 2 7 6" xfId="19667"/>
    <cellStyle name="CALC Currency Total [1] 2 7 6 2" xfId="27988"/>
    <cellStyle name="CALC Currency Total [1] 2 7 6 2 2" xfId="43311"/>
    <cellStyle name="CALC Currency Total [1] 2 7 6 3" xfId="35129"/>
    <cellStyle name="CALC Currency Total [1] 2 7 6 4" xfId="43312"/>
    <cellStyle name="CALC Currency Total [1] 2 7 7" xfId="20624"/>
    <cellStyle name="CALC Currency Total [1] 2 7 7 2" xfId="28945"/>
    <cellStyle name="CALC Currency Total [1] 2 7 7 2 2" xfId="43313"/>
    <cellStyle name="CALC Currency Total [1] 2 7 7 3" xfId="36044"/>
    <cellStyle name="CALC Currency Total [1] 2 7 7 4" xfId="43314"/>
    <cellStyle name="CALC Currency Total [1] 2 7 8" xfId="21222"/>
    <cellStyle name="CALC Currency Total [1] 2 7 8 2" xfId="29533"/>
    <cellStyle name="CALC Currency Total [1] 2 7 8 2 2" xfId="43315"/>
    <cellStyle name="CALC Currency Total [1] 2 7 8 3" xfId="36602"/>
    <cellStyle name="CALC Currency Total [1] 2 7 8 4" xfId="43316"/>
    <cellStyle name="CALC Currency Total [1] 2 7 9" xfId="22061"/>
    <cellStyle name="CALC Currency Total [1] 2 7 9 2" xfId="30359"/>
    <cellStyle name="CALC Currency Total [1] 2 7 9 2 2" xfId="43317"/>
    <cellStyle name="CALC Currency Total [1] 2 7 9 3" xfId="37395"/>
    <cellStyle name="CALC Currency Total [1] 2 7 9 4" xfId="43318"/>
    <cellStyle name="CALC Currency Total [1] 2 8" xfId="14662"/>
    <cellStyle name="CALC Currency Total [1] 2 8 10" xfId="23024"/>
    <cellStyle name="CALC Currency Total [1] 2 8 10 2" xfId="43319"/>
    <cellStyle name="CALC Currency Total [1] 2 8 11" xfId="43320"/>
    <cellStyle name="CALC Currency Total [1] 2 8 2" xfId="15743"/>
    <cellStyle name="CALC Currency Total [1] 2 8 2 2" xfId="24059"/>
    <cellStyle name="CALC Currency Total [1] 2 8 2 2 2" xfId="43321"/>
    <cellStyle name="CALC Currency Total [1] 2 8 2 3" xfId="31351"/>
    <cellStyle name="CALC Currency Total [1] 2 8 2 4" xfId="43322"/>
    <cellStyle name="CALC Currency Total [1] 2 8 3" xfId="16709"/>
    <cellStyle name="CALC Currency Total [1] 2 8 3 2" xfId="25030"/>
    <cellStyle name="CALC Currency Total [1] 2 8 3 2 2" xfId="43323"/>
    <cellStyle name="CALC Currency Total [1] 2 8 3 3" xfId="32284"/>
    <cellStyle name="CALC Currency Total [1] 2 8 3 4" xfId="43324"/>
    <cellStyle name="CALC Currency Total [1] 2 8 4" xfId="17733"/>
    <cellStyle name="CALC Currency Total [1] 2 8 4 2" xfId="26056"/>
    <cellStyle name="CALC Currency Total [1] 2 8 4 2 2" xfId="43325"/>
    <cellStyle name="CALC Currency Total [1] 2 8 4 3" xfId="33261"/>
    <cellStyle name="CALC Currency Total [1] 2 8 4 4" xfId="43326"/>
    <cellStyle name="CALC Currency Total [1] 2 8 5" xfId="18716"/>
    <cellStyle name="CALC Currency Total [1] 2 8 5 2" xfId="27037"/>
    <cellStyle name="CALC Currency Total [1] 2 8 5 2 2" xfId="43327"/>
    <cellStyle name="CALC Currency Total [1] 2 8 5 3" xfId="34200"/>
    <cellStyle name="CALC Currency Total [1] 2 8 5 4" xfId="43328"/>
    <cellStyle name="CALC Currency Total [1] 2 8 6" xfId="19685"/>
    <cellStyle name="CALC Currency Total [1] 2 8 6 2" xfId="28006"/>
    <cellStyle name="CALC Currency Total [1] 2 8 6 2 2" xfId="43329"/>
    <cellStyle name="CALC Currency Total [1] 2 8 6 3" xfId="35146"/>
    <cellStyle name="CALC Currency Total [1] 2 8 6 4" xfId="43330"/>
    <cellStyle name="CALC Currency Total [1] 2 8 7" xfId="20642"/>
    <cellStyle name="CALC Currency Total [1] 2 8 7 2" xfId="28963"/>
    <cellStyle name="CALC Currency Total [1] 2 8 7 2 2" xfId="43331"/>
    <cellStyle name="CALC Currency Total [1] 2 8 7 3" xfId="36061"/>
    <cellStyle name="CALC Currency Total [1] 2 8 7 4" xfId="43332"/>
    <cellStyle name="CALC Currency Total [1] 2 8 8" xfId="15506"/>
    <cellStyle name="CALC Currency Total [1] 2 8 8 2" xfId="23846"/>
    <cellStyle name="CALC Currency Total [1] 2 8 8 2 2" xfId="43333"/>
    <cellStyle name="CALC Currency Total [1] 2 8 8 3" xfId="31195"/>
    <cellStyle name="CALC Currency Total [1] 2 8 8 4" xfId="43334"/>
    <cellStyle name="CALC Currency Total [1] 2 8 9" xfId="22079"/>
    <cellStyle name="CALC Currency Total [1] 2 8 9 2" xfId="30377"/>
    <cellStyle name="CALC Currency Total [1] 2 8 9 2 2" xfId="43335"/>
    <cellStyle name="CALC Currency Total [1] 2 8 9 3" xfId="37412"/>
    <cellStyle name="CALC Currency Total [1] 2 8 9 4" xfId="43336"/>
    <cellStyle name="CALC Currency Total [1] 2 9" xfId="14728"/>
    <cellStyle name="CALC Currency Total [1] 2 9 10" xfId="23092"/>
    <cellStyle name="CALC Currency Total [1] 2 9 10 2" xfId="43337"/>
    <cellStyle name="CALC Currency Total [1] 2 9 11" xfId="43338"/>
    <cellStyle name="CALC Currency Total [1] 2 9 12" xfId="43339"/>
    <cellStyle name="CALC Currency Total [1] 2 9 2" xfId="15809"/>
    <cellStyle name="CALC Currency Total [1] 2 9 2 2" xfId="24127"/>
    <cellStyle name="CALC Currency Total [1] 2 9 2 2 2" xfId="43340"/>
    <cellStyle name="CALC Currency Total [1] 2 9 2 3" xfId="31415"/>
    <cellStyle name="CALC Currency Total [1] 2 9 2 4" xfId="43341"/>
    <cellStyle name="CALC Currency Total [1] 2 9 3" xfId="16775"/>
    <cellStyle name="CALC Currency Total [1] 2 9 3 2" xfId="25099"/>
    <cellStyle name="CALC Currency Total [1] 2 9 3 2 2" xfId="43342"/>
    <cellStyle name="CALC Currency Total [1] 2 9 3 3" xfId="32348"/>
    <cellStyle name="CALC Currency Total [1] 2 9 3 4" xfId="43343"/>
    <cellStyle name="CALC Currency Total [1] 2 9 4" xfId="17801"/>
    <cellStyle name="CALC Currency Total [1] 2 9 4 2" xfId="26125"/>
    <cellStyle name="CALC Currency Total [1] 2 9 4 2 2" xfId="43344"/>
    <cellStyle name="CALC Currency Total [1] 2 9 4 3" xfId="33325"/>
    <cellStyle name="CALC Currency Total [1] 2 9 4 4" xfId="43345"/>
    <cellStyle name="CALC Currency Total [1] 2 9 5" xfId="18785"/>
    <cellStyle name="CALC Currency Total [1] 2 9 5 2" xfId="27106"/>
    <cellStyle name="CALC Currency Total [1] 2 9 5 2 2" xfId="43346"/>
    <cellStyle name="CALC Currency Total [1] 2 9 5 3" xfId="34265"/>
    <cellStyle name="CALC Currency Total [1] 2 9 5 4" xfId="43347"/>
    <cellStyle name="CALC Currency Total [1] 2 9 6" xfId="19753"/>
    <cellStyle name="CALC Currency Total [1] 2 9 6 2" xfId="28075"/>
    <cellStyle name="CALC Currency Total [1] 2 9 6 2 2" xfId="43348"/>
    <cellStyle name="CALC Currency Total [1] 2 9 6 3" xfId="35211"/>
    <cellStyle name="CALC Currency Total [1] 2 9 6 4" xfId="43349"/>
    <cellStyle name="CALC Currency Total [1] 2 9 7" xfId="20711"/>
    <cellStyle name="CALC Currency Total [1] 2 9 7 2" xfId="29032"/>
    <cellStyle name="CALC Currency Total [1] 2 9 7 2 2" xfId="43350"/>
    <cellStyle name="CALC Currency Total [1] 2 9 7 3" xfId="36125"/>
    <cellStyle name="CALC Currency Total [1] 2 9 7 4" xfId="43351"/>
    <cellStyle name="CALC Currency Total [1] 2 9 8" xfId="21076"/>
    <cellStyle name="CALC Currency Total [1] 2 9 8 2" xfId="29393"/>
    <cellStyle name="CALC Currency Total [1] 2 9 8 2 2" xfId="43352"/>
    <cellStyle name="CALC Currency Total [1] 2 9 8 3" xfId="36469"/>
    <cellStyle name="CALC Currency Total [1] 2 9 8 4" xfId="43353"/>
    <cellStyle name="CALC Currency Total [1] 2 9 9" xfId="22147"/>
    <cellStyle name="CALC Currency Total [1] 2 9 9 2" xfId="30445"/>
    <cellStyle name="CALC Currency Total [1] 2 9 9 2 2" xfId="43354"/>
    <cellStyle name="CALC Currency Total [1] 2 9 9 3" xfId="37476"/>
    <cellStyle name="CALC Currency Total [1] 2 9 9 4" xfId="43355"/>
    <cellStyle name="CALC Currency Total [1] 20" xfId="15250"/>
    <cellStyle name="CALC Currency Total [1] 20 10" xfId="43356"/>
    <cellStyle name="CALC Currency Total [1] 20 11" xfId="43357"/>
    <cellStyle name="CALC Currency Total [1] 20 2" xfId="16330"/>
    <cellStyle name="CALC Currency Total [1] 20 2 2" xfId="24643"/>
    <cellStyle name="CALC Currency Total [1] 20 2 2 2" xfId="43358"/>
    <cellStyle name="CALC Currency Total [1] 20 2 3" xfId="31910"/>
    <cellStyle name="CALC Currency Total [1] 20 2 4" xfId="43359"/>
    <cellStyle name="CALC Currency Total [1] 20 3" xfId="17296"/>
    <cellStyle name="CALC Currency Total [1] 20 3 2" xfId="25617"/>
    <cellStyle name="CALC Currency Total [1] 20 3 2 2" xfId="43360"/>
    <cellStyle name="CALC Currency Total [1] 20 3 3" xfId="32843"/>
    <cellStyle name="CALC Currency Total [1] 20 3 4" xfId="43361"/>
    <cellStyle name="CALC Currency Total [1] 20 4" xfId="18324"/>
    <cellStyle name="CALC Currency Total [1] 20 4 2" xfId="26644"/>
    <cellStyle name="CALC Currency Total [1] 20 4 2 2" xfId="43362"/>
    <cellStyle name="CALC Currency Total [1] 20 4 3" xfId="33821"/>
    <cellStyle name="CALC Currency Total [1] 20 4 4" xfId="43363"/>
    <cellStyle name="CALC Currency Total [1] 20 5" xfId="19308"/>
    <cellStyle name="CALC Currency Total [1] 20 5 2" xfId="27628"/>
    <cellStyle name="CALC Currency Total [1] 20 5 2 2" xfId="43364"/>
    <cellStyle name="CALC Currency Total [1] 20 5 3" xfId="34776"/>
    <cellStyle name="CALC Currency Total [1] 20 5 4" xfId="43365"/>
    <cellStyle name="CALC Currency Total [1] 20 6" xfId="20276"/>
    <cellStyle name="CALC Currency Total [1] 20 6 2" xfId="28598"/>
    <cellStyle name="CALC Currency Total [1] 20 6 2 2" xfId="43366"/>
    <cellStyle name="CALC Currency Total [1] 20 6 3" xfId="35713"/>
    <cellStyle name="CALC Currency Total [1] 20 6 4" xfId="43367"/>
    <cellStyle name="CALC Currency Total [1] 20 7" xfId="21737"/>
    <cellStyle name="CALC Currency Total [1] 20 7 2" xfId="30038"/>
    <cellStyle name="CALC Currency Total [1] 20 7 2 2" xfId="43368"/>
    <cellStyle name="CALC Currency Total [1] 20 7 3" xfId="37087"/>
    <cellStyle name="CALC Currency Total [1] 20 7 4" xfId="43369"/>
    <cellStyle name="CALC Currency Total [1] 20 8" xfId="22665"/>
    <cellStyle name="CALC Currency Total [1] 20 8 2" xfId="30961"/>
    <cellStyle name="CALC Currency Total [1] 20 8 2 2" xfId="43370"/>
    <cellStyle name="CALC Currency Total [1] 20 8 3" xfId="37970"/>
    <cellStyle name="CALC Currency Total [1] 20 8 4" xfId="43371"/>
    <cellStyle name="CALC Currency Total [1] 20 9" xfId="23607"/>
    <cellStyle name="CALC Currency Total [1] 20 9 2" xfId="43372"/>
    <cellStyle name="CALC Currency Total [1] 21" xfId="15366"/>
    <cellStyle name="CALC Currency Total [1] 21 10" xfId="43373"/>
    <cellStyle name="CALC Currency Total [1] 21 11" xfId="43374"/>
    <cellStyle name="CALC Currency Total [1] 21 2" xfId="16446"/>
    <cellStyle name="CALC Currency Total [1] 21 2 2" xfId="24759"/>
    <cellStyle name="CALC Currency Total [1] 21 2 2 2" xfId="43375"/>
    <cellStyle name="CALC Currency Total [1] 21 2 3" xfId="32023"/>
    <cellStyle name="CALC Currency Total [1] 21 2 4" xfId="43376"/>
    <cellStyle name="CALC Currency Total [1] 21 3" xfId="17412"/>
    <cellStyle name="CALC Currency Total [1] 21 3 2" xfId="25733"/>
    <cellStyle name="CALC Currency Total [1] 21 3 2 2" xfId="43377"/>
    <cellStyle name="CALC Currency Total [1] 21 3 3" xfId="32956"/>
    <cellStyle name="CALC Currency Total [1] 21 3 4" xfId="43378"/>
    <cellStyle name="CALC Currency Total [1] 21 4" xfId="18440"/>
    <cellStyle name="CALC Currency Total [1] 21 4 2" xfId="26760"/>
    <cellStyle name="CALC Currency Total [1] 21 4 2 2" xfId="43379"/>
    <cellStyle name="CALC Currency Total [1] 21 4 3" xfId="33934"/>
    <cellStyle name="CALC Currency Total [1] 21 4 4" xfId="43380"/>
    <cellStyle name="CALC Currency Total [1] 21 5" xfId="19423"/>
    <cellStyle name="CALC Currency Total [1] 21 5 2" xfId="27744"/>
    <cellStyle name="CALC Currency Total [1] 21 5 2 2" xfId="43381"/>
    <cellStyle name="CALC Currency Total [1] 21 5 3" xfId="34892"/>
    <cellStyle name="CALC Currency Total [1] 21 5 4" xfId="43382"/>
    <cellStyle name="CALC Currency Total [1] 21 6" xfId="20392"/>
    <cellStyle name="CALC Currency Total [1] 21 6 2" xfId="28714"/>
    <cellStyle name="CALC Currency Total [1] 21 6 2 2" xfId="43383"/>
    <cellStyle name="CALC Currency Total [1] 21 6 3" xfId="35826"/>
    <cellStyle name="CALC Currency Total [1] 21 6 4" xfId="43384"/>
    <cellStyle name="CALC Currency Total [1] 21 7" xfId="21853"/>
    <cellStyle name="CALC Currency Total [1] 21 7 2" xfId="30154"/>
    <cellStyle name="CALC Currency Total [1] 21 7 2 2" xfId="43385"/>
    <cellStyle name="CALC Currency Total [1] 21 7 3" xfId="37199"/>
    <cellStyle name="CALC Currency Total [1] 21 7 4" xfId="43386"/>
    <cellStyle name="CALC Currency Total [1] 21 8" xfId="22781"/>
    <cellStyle name="CALC Currency Total [1] 21 8 2" xfId="31077"/>
    <cellStyle name="CALC Currency Total [1] 21 8 2 2" xfId="43387"/>
    <cellStyle name="CALC Currency Total [1] 21 8 3" xfId="38083"/>
    <cellStyle name="CALC Currency Total [1] 21 8 4" xfId="43388"/>
    <cellStyle name="CALC Currency Total [1] 21 9" xfId="23723"/>
    <cellStyle name="CALC Currency Total [1] 21 9 2" xfId="43389"/>
    <cellStyle name="CALC Currency Total [1] 22" xfId="15468"/>
    <cellStyle name="CALC Currency Total [1] 22 2" xfId="17514"/>
    <cellStyle name="CALC Currency Total [1] 22 2 2" xfId="25834"/>
    <cellStyle name="CALC Currency Total [1] 22 2 2 2" xfId="43390"/>
    <cellStyle name="CALC Currency Total [1] 22 2 3" xfId="33053"/>
    <cellStyle name="CALC Currency Total [1] 22 2 4" xfId="43391"/>
    <cellStyle name="CALC Currency Total [1] 22 3" xfId="19525"/>
    <cellStyle name="CALC Currency Total [1] 22 3 2" xfId="27846"/>
    <cellStyle name="CALC Currency Total [1] 22 3 2 2" xfId="43392"/>
    <cellStyle name="CALC Currency Total [1] 22 3 3" xfId="34994"/>
    <cellStyle name="CALC Currency Total [1] 22 3 4" xfId="43393"/>
    <cellStyle name="CALC Currency Total [1] 22 4" xfId="43394"/>
    <cellStyle name="CALC Currency Total [1] 22 4 2" xfId="43395"/>
    <cellStyle name="CALC Currency Total [1] 23" xfId="43396"/>
    <cellStyle name="CALC Currency Total [1] 23 2" xfId="43397"/>
    <cellStyle name="CALC Currency Total [1] 3" xfId="14533"/>
    <cellStyle name="CALC Currency Total [1] 3 2" xfId="15609"/>
    <cellStyle name="CALC Currency Total [1] 3 2 2" xfId="23923"/>
    <cellStyle name="CALC Currency Total [1] 3 2 2 2" xfId="43398"/>
    <cellStyle name="CALC Currency Total [1] 3 2 3" xfId="43399"/>
    <cellStyle name="CALC Currency Total [1] 3 2 4" xfId="43400"/>
    <cellStyle name="CALC Currency Total [1] 3 3" xfId="16578"/>
    <cellStyle name="CALC Currency Total [1] 3 3 2" xfId="24894"/>
    <cellStyle name="CALC Currency Total [1] 3 3 2 2" xfId="43401"/>
    <cellStyle name="CALC Currency Total [1] 3 3 3" xfId="32154"/>
    <cellStyle name="CALC Currency Total [1] 3 3 4" xfId="43402"/>
    <cellStyle name="CALC Currency Total [1] 3 4" xfId="17596"/>
    <cellStyle name="CALC Currency Total [1] 3 4 2" xfId="25918"/>
    <cellStyle name="CALC Currency Total [1] 3 4 2 2" xfId="43403"/>
    <cellStyle name="CALC Currency Total [1] 3 4 3" xfId="33131"/>
    <cellStyle name="CALC Currency Total [1] 3 4 4" xfId="43404"/>
    <cellStyle name="CALC Currency Total [1] 3 5" xfId="18577"/>
    <cellStyle name="CALC Currency Total [1] 3 5 2" xfId="26896"/>
    <cellStyle name="CALC Currency Total [1] 3 5 2 2" xfId="43405"/>
    <cellStyle name="CALC Currency Total [1] 3 5 3" xfId="34065"/>
    <cellStyle name="CALC Currency Total [1] 3 5 4" xfId="43406"/>
    <cellStyle name="CALC Currency Total [1] 3 6" xfId="15524"/>
    <cellStyle name="CALC Currency Total [1] 3 6 2" xfId="23860"/>
    <cellStyle name="CALC Currency Total [1] 3 6 2 2" xfId="43407"/>
    <cellStyle name="CALC Currency Total [1] 3 6 3" xfId="31207"/>
    <cellStyle name="CALC Currency Total [1] 3 6 4" xfId="43408"/>
    <cellStyle name="CALC Currency Total [1] 3 7" xfId="19280"/>
    <cellStyle name="CALC Currency Total [1] 3 7 2" xfId="27600"/>
    <cellStyle name="CALC Currency Total [1] 3 7 2 2" xfId="43409"/>
    <cellStyle name="CALC Currency Total [1] 3 7 3" xfId="34748"/>
    <cellStyle name="CALC Currency Total [1] 3 7 4" xfId="43410"/>
    <cellStyle name="CALC Currency Total [1] 3 8" xfId="22887"/>
    <cellStyle name="CALC Currency Total [1] 3 8 2" xfId="43411"/>
    <cellStyle name="CALC Currency Total [1] 4" xfId="14581"/>
    <cellStyle name="CALC Currency Total [1] 4 10" xfId="22940"/>
    <cellStyle name="CALC Currency Total [1] 4 10 2" xfId="43412"/>
    <cellStyle name="CALC Currency Total [1] 4 11" xfId="43413"/>
    <cellStyle name="CALC Currency Total [1] 4 2" xfId="15661"/>
    <cellStyle name="CALC Currency Total [1] 4 2 2" xfId="23976"/>
    <cellStyle name="CALC Currency Total [1] 4 2 2 2" xfId="43414"/>
    <cellStyle name="CALC Currency Total [1] 4 2 3" xfId="31273"/>
    <cellStyle name="CALC Currency Total [1] 4 2 4" xfId="43415"/>
    <cellStyle name="CALC Currency Total [1] 4 3" xfId="16628"/>
    <cellStyle name="CALC Currency Total [1] 4 3 2" xfId="24947"/>
    <cellStyle name="CALC Currency Total [1] 4 3 2 2" xfId="43416"/>
    <cellStyle name="CALC Currency Total [1] 4 3 3" xfId="32206"/>
    <cellStyle name="CALC Currency Total [1] 4 3 4" xfId="43417"/>
    <cellStyle name="CALC Currency Total [1] 4 4" xfId="17649"/>
    <cellStyle name="CALC Currency Total [1] 4 4 2" xfId="25973"/>
    <cellStyle name="CALC Currency Total [1] 4 4 2 2" xfId="43418"/>
    <cellStyle name="CALC Currency Total [1] 4 4 3" xfId="33183"/>
    <cellStyle name="CALC Currency Total [1] 4 4 4" xfId="43419"/>
    <cellStyle name="CALC Currency Total [1] 4 5" xfId="18632"/>
    <cellStyle name="CALC Currency Total [1] 4 5 2" xfId="26952"/>
    <cellStyle name="CALC Currency Total [1] 4 5 2 2" xfId="43420"/>
    <cellStyle name="CALC Currency Total [1] 4 5 3" xfId="34120"/>
    <cellStyle name="CALC Currency Total [1] 4 5 4" xfId="43421"/>
    <cellStyle name="CALC Currency Total [1] 4 6" xfId="19601"/>
    <cellStyle name="CALC Currency Total [1] 4 6 2" xfId="27921"/>
    <cellStyle name="CALC Currency Total [1] 4 6 2 2" xfId="43422"/>
    <cellStyle name="CALC Currency Total [1] 4 6 3" xfId="35066"/>
    <cellStyle name="CALC Currency Total [1] 4 6 4" xfId="43423"/>
    <cellStyle name="CALC Currency Total [1] 4 7" xfId="20558"/>
    <cellStyle name="CALC Currency Total [1] 4 7 2" xfId="28880"/>
    <cellStyle name="CALC Currency Total [1] 4 7 2 2" xfId="43424"/>
    <cellStyle name="CALC Currency Total [1] 4 7 3" xfId="35983"/>
    <cellStyle name="CALC Currency Total [1] 4 7 4" xfId="43425"/>
    <cellStyle name="CALC Currency Total [1] 4 8" xfId="21235"/>
    <cellStyle name="CALC Currency Total [1] 4 8 2" xfId="29545"/>
    <cellStyle name="CALC Currency Total [1] 4 8 2 2" xfId="43426"/>
    <cellStyle name="CALC Currency Total [1] 4 8 3" xfId="36614"/>
    <cellStyle name="CALC Currency Total [1] 4 8 4" xfId="43427"/>
    <cellStyle name="CALC Currency Total [1] 4 9" xfId="21994"/>
    <cellStyle name="CALC Currency Total [1] 4 9 2" xfId="30294"/>
    <cellStyle name="CALC Currency Total [1] 4 9 2 2" xfId="43428"/>
    <cellStyle name="CALC Currency Total [1] 4 9 3" xfId="37334"/>
    <cellStyle name="CALC Currency Total [1] 4 9 4" xfId="43429"/>
    <cellStyle name="CALC Currency Total [1] 5" xfId="14574"/>
    <cellStyle name="CALC Currency Total [1] 5 10" xfId="22933"/>
    <cellStyle name="CALC Currency Total [1] 5 10 2" xfId="43430"/>
    <cellStyle name="CALC Currency Total [1] 5 11" xfId="43431"/>
    <cellStyle name="CALC Currency Total [1] 5 2" xfId="15655"/>
    <cellStyle name="CALC Currency Total [1] 5 2 2" xfId="23969"/>
    <cellStyle name="CALC Currency Total [1] 5 2 2 2" xfId="43432"/>
    <cellStyle name="CALC Currency Total [1] 5 2 3" xfId="31266"/>
    <cellStyle name="CALC Currency Total [1] 5 2 4" xfId="43433"/>
    <cellStyle name="CALC Currency Total [1] 5 3" xfId="16622"/>
    <cellStyle name="CALC Currency Total [1] 5 3 2" xfId="24940"/>
    <cellStyle name="CALC Currency Total [1] 5 3 2 2" xfId="43434"/>
    <cellStyle name="CALC Currency Total [1] 5 3 3" xfId="32199"/>
    <cellStyle name="CALC Currency Total [1] 5 3 4" xfId="43435"/>
    <cellStyle name="CALC Currency Total [1] 5 4" xfId="17643"/>
    <cellStyle name="CALC Currency Total [1] 5 4 2" xfId="25966"/>
    <cellStyle name="CALC Currency Total [1] 5 4 2 2" xfId="43436"/>
    <cellStyle name="CALC Currency Total [1] 5 4 3" xfId="33176"/>
    <cellStyle name="CALC Currency Total [1] 5 4 4" xfId="43437"/>
    <cellStyle name="CALC Currency Total [1] 5 5" xfId="18625"/>
    <cellStyle name="CALC Currency Total [1] 5 5 2" xfId="26945"/>
    <cellStyle name="CALC Currency Total [1] 5 5 2 2" xfId="43438"/>
    <cellStyle name="CALC Currency Total [1] 5 5 3" xfId="34113"/>
    <cellStyle name="CALC Currency Total [1] 5 5 4" xfId="43439"/>
    <cellStyle name="CALC Currency Total [1] 5 6" xfId="19594"/>
    <cellStyle name="CALC Currency Total [1] 5 6 2" xfId="27914"/>
    <cellStyle name="CALC Currency Total [1] 5 6 2 2" xfId="43440"/>
    <cellStyle name="CALC Currency Total [1] 5 6 3" xfId="35059"/>
    <cellStyle name="CALC Currency Total [1] 5 6 4" xfId="43441"/>
    <cellStyle name="CALC Currency Total [1] 5 7" xfId="20551"/>
    <cellStyle name="CALC Currency Total [1] 5 7 2" xfId="28873"/>
    <cellStyle name="CALC Currency Total [1] 5 7 2 2" xfId="43442"/>
    <cellStyle name="CALC Currency Total [1] 5 7 3" xfId="35976"/>
    <cellStyle name="CALC Currency Total [1] 5 7 4" xfId="43443"/>
    <cellStyle name="CALC Currency Total [1] 5 8" xfId="21255"/>
    <cellStyle name="CALC Currency Total [1] 5 8 2" xfId="29564"/>
    <cellStyle name="CALC Currency Total [1] 5 8 2 2" xfId="43444"/>
    <cellStyle name="CALC Currency Total [1] 5 8 3" xfId="36632"/>
    <cellStyle name="CALC Currency Total [1] 5 8 4" xfId="43445"/>
    <cellStyle name="CALC Currency Total [1] 5 9" xfId="21987"/>
    <cellStyle name="CALC Currency Total [1] 5 9 2" xfId="30287"/>
    <cellStyle name="CALC Currency Total [1] 5 9 2 2" xfId="43446"/>
    <cellStyle name="CALC Currency Total [1] 5 9 3" xfId="37327"/>
    <cellStyle name="CALC Currency Total [1] 5 9 4" xfId="43447"/>
    <cellStyle name="CALC Currency Total [1] 6" xfId="14583"/>
    <cellStyle name="CALC Currency Total [1] 6 10" xfId="22942"/>
    <cellStyle name="CALC Currency Total [1] 6 10 2" xfId="43448"/>
    <cellStyle name="CALC Currency Total [1] 6 11" xfId="43449"/>
    <cellStyle name="CALC Currency Total [1] 6 2" xfId="15663"/>
    <cellStyle name="CALC Currency Total [1] 6 2 2" xfId="23978"/>
    <cellStyle name="CALC Currency Total [1] 6 2 2 2" xfId="43450"/>
    <cellStyle name="CALC Currency Total [1] 6 2 3" xfId="31275"/>
    <cellStyle name="CALC Currency Total [1] 6 2 4" xfId="43451"/>
    <cellStyle name="CALC Currency Total [1] 6 3" xfId="16630"/>
    <cellStyle name="CALC Currency Total [1] 6 3 2" xfId="24949"/>
    <cellStyle name="CALC Currency Total [1] 6 3 2 2" xfId="43452"/>
    <cellStyle name="CALC Currency Total [1] 6 3 3" xfId="32208"/>
    <cellStyle name="CALC Currency Total [1] 6 3 4" xfId="43453"/>
    <cellStyle name="CALC Currency Total [1] 6 4" xfId="17651"/>
    <cellStyle name="CALC Currency Total [1] 6 4 2" xfId="25975"/>
    <cellStyle name="CALC Currency Total [1] 6 4 2 2" xfId="43454"/>
    <cellStyle name="CALC Currency Total [1] 6 4 3" xfId="33185"/>
    <cellStyle name="CALC Currency Total [1] 6 4 4" xfId="43455"/>
    <cellStyle name="CALC Currency Total [1] 6 5" xfId="18634"/>
    <cellStyle name="CALC Currency Total [1] 6 5 2" xfId="26954"/>
    <cellStyle name="CALC Currency Total [1] 6 5 2 2" xfId="43456"/>
    <cellStyle name="CALC Currency Total [1] 6 5 3" xfId="34122"/>
    <cellStyle name="CALC Currency Total [1] 6 5 4" xfId="43457"/>
    <cellStyle name="CALC Currency Total [1] 6 6" xfId="19603"/>
    <cellStyle name="CALC Currency Total [1] 6 6 2" xfId="27923"/>
    <cellStyle name="CALC Currency Total [1] 6 6 2 2" xfId="43458"/>
    <cellStyle name="CALC Currency Total [1] 6 6 3" xfId="35068"/>
    <cellStyle name="CALC Currency Total [1] 6 6 4" xfId="43459"/>
    <cellStyle name="CALC Currency Total [1] 6 7" xfId="20560"/>
    <cellStyle name="CALC Currency Total [1] 6 7 2" xfId="28882"/>
    <cellStyle name="CALC Currency Total [1] 6 7 2 2" xfId="43460"/>
    <cellStyle name="CALC Currency Total [1] 6 7 3" xfId="35985"/>
    <cellStyle name="CALC Currency Total [1] 6 7 4" xfId="43461"/>
    <cellStyle name="CALC Currency Total [1] 6 8" xfId="21171"/>
    <cellStyle name="CALC Currency Total [1] 6 8 2" xfId="29483"/>
    <cellStyle name="CALC Currency Total [1] 6 8 2 2" xfId="43462"/>
    <cellStyle name="CALC Currency Total [1] 6 8 3" xfId="36554"/>
    <cellStyle name="CALC Currency Total [1] 6 8 4" xfId="43463"/>
    <cellStyle name="CALC Currency Total [1] 6 9" xfId="21996"/>
    <cellStyle name="CALC Currency Total [1] 6 9 2" xfId="30296"/>
    <cellStyle name="CALC Currency Total [1] 6 9 2 2" xfId="43464"/>
    <cellStyle name="CALC Currency Total [1] 6 9 3" xfId="37336"/>
    <cellStyle name="CALC Currency Total [1] 6 9 4" xfId="43465"/>
    <cellStyle name="CALC Currency Total [1] 7" xfId="14690"/>
    <cellStyle name="CALC Currency Total [1] 7 10" xfId="23053"/>
    <cellStyle name="CALC Currency Total [1] 7 10 2" xfId="43466"/>
    <cellStyle name="CALC Currency Total [1] 7 11" xfId="43467"/>
    <cellStyle name="CALC Currency Total [1] 7 2" xfId="15771"/>
    <cellStyle name="CALC Currency Total [1] 7 2 2" xfId="24088"/>
    <cellStyle name="CALC Currency Total [1] 7 2 2 2" xfId="43468"/>
    <cellStyle name="CALC Currency Total [1] 7 2 3" xfId="31379"/>
    <cellStyle name="CALC Currency Total [1] 7 2 4" xfId="43469"/>
    <cellStyle name="CALC Currency Total [1] 7 3" xfId="16737"/>
    <cellStyle name="CALC Currency Total [1] 7 3 2" xfId="25059"/>
    <cellStyle name="CALC Currency Total [1] 7 3 2 2" xfId="43470"/>
    <cellStyle name="CALC Currency Total [1] 7 3 3" xfId="32312"/>
    <cellStyle name="CALC Currency Total [1] 7 3 4" xfId="43471"/>
    <cellStyle name="CALC Currency Total [1] 7 4" xfId="17761"/>
    <cellStyle name="CALC Currency Total [1] 7 4 2" xfId="26085"/>
    <cellStyle name="CALC Currency Total [1] 7 4 2 2" xfId="43472"/>
    <cellStyle name="CALC Currency Total [1] 7 4 3" xfId="33289"/>
    <cellStyle name="CALC Currency Total [1] 7 4 4" xfId="43473"/>
    <cellStyle name="CALC Currency Total [1] 7 5" xfId="18745"/>
    <cellStyle name="CALC Currency Total [1] 7 5 2" xfId="27066"/>
    <cellStyle name="CALC Currency Total [1] 7 5 2 2" xfId="43474"/>
    <cellStyle name="CALC Currency Total [1] 7 5 3" xfId="34228"/>
    <cellStyle name="CALC Currency Total [1] 7 5 4" xfId="43475"/>
    <cellStyle name="CALC Currency Total [1] 7 6" xfId="19714"/>
    <cellStyle name="CALC Currency Total [1] 7 6 2" xfId="28035"/>
    <cellStyle name="CALC Currency Total [1] 7 6 2 2" xfId="43476"/>
    <cellStyle name="CALC Currency Total [1] 7 6 3" xfId="35174"/>
    <cellStyle name="CALC Currency Total [1] 7 6 4" xfId="43477"/>
    <cellStyle name="CALC Currency Total [1] 7 7" xfId="20671"/>
    <cellStyle name="CALC Currency Total [1] 7 7 2" xfId="28992"/>
    <cellStyle name="CALC Currency Total [1] 7 7 2 2" xfId="43478"/>
    <cellStyle name="CALC Currency Total [1] 7 7 3" xfId="36089"/>
    <cellStyle name="CALC Currency Total [1] 7 7 4" xfId="43479"/>
    <cellStyle name="CALC Currency Total [1] 7 8" xfId="21371"/>
    <cellStyle name="CALC Currency Total [1] 7 8 2" xfId="29674"/>
    <cellStyle name="CALC Currency Total [1] 7 8 2 2" xfId="43480"/>
    <cellStyle name="CALC Currency Total [1] 7 8 3" xfId="36738"/>
    <cellStyle name="CALC Currency Total [1] 7 8 4" xfId="43481"/>
    <cellStyle name="CALC Currency Total [1] 7 9" xfId="22108"/>
    <cellStyle name="CALC Currency Total [1] 7 9 2" xfId="30406"/>
    <cellStyle name="CALC Currency Total [1] 7 9 2 2" xfId="43482"/>
    <cellStyle name="CALC Currency Total [1] 7 9 3" xfId="37440"/>
    <cellStyle name="CALC Currency Total [1] 7 9 4" xfId="43483"/>
    <cellStyle name="CALC Currency Total [1] 8" xfId="14769"/>
    <cellStyle name="CALC Currency Total [1] 8 10" xfId="23133"/>
    <cellStyle name="CALC Currency Total [1] 8 10 2" xfId="43484"/>
    <cellStyle name="CALC Currency Total [1] 8 11" xfId="43485"/>
    <cellStyle name="CALC Currency Total [1] 8 12" xfId="43486"/>
    <cellStyle name="CALC Currency Total [1] 8 2" xfId="15850"/>
    <cellStyle name="CALC Currency Total [1] 8 2 2" xfId="24168"/>
    <cellStyle name="CALC Currency Total [1] 8 2 2 2" xfId="43487"/>
    <cellStyle name="CALC Currency Total [1] 8 2 3" xfId="31456"/>
    <cellStyle name="CALC Currency Total [1] 8 2 4" xfId="43488"/>
    <cellStyle name="CALC Currency Total [1] 8 3" xfId="16816"/>
    <cellStyle name="CALC Currency Total [1] 8 3 2" xfId="25140"/>
    <cellStyle name="CALC Currency Total [1] 8 3 2 2" xfId="43489"/>
    <cellStyle name="CALC Currency Total [1] 8 3 3" xfId="32389"/>
    <cellStyle name="CALC Currency Total [1] 8 3 4" xfId="43490"/>
    <cellStyle name="CALC Currency Total [1] 8 4" xfId="17842"/>
    <cellStyle name="CALC Currency Total [1] 8 4 2" xfId="26166"/>
    <cellStyle name="CALC Currency Total [1] 8 4 2 2" xfId="43491"/>
    <cellStyle name="CALC Currency Total [1] 8 4 3" xfId="33366"/>
    <cellStyle name="CALC Currency Total [1] 8 4 4" xfId="43492"/>
    <cellStyle name="CALC Currency Total [1] 8 5" xfId="18826"/>
    <cellStyle name="CALC Currency Total [1] 8 5 2" xfId="27147"/>
    <cellStyle name="CALC Currency Total [1] 8 5 2 2" xfId="43493"/>
    <cellStyle name="CALC Currency Total [1] 8 5 3" xfId="34306"/>
    <cellStyle name="CALC Currency Total [1] 8 5 4" xfId="43494"/>
    <cellStyle name="CALC Currency Total [1] 8 6" xfId="19794"/>
    <cellStyle name="CALC Currency Total [1] 8 6 2" xfId="28116"/>
    <cellStyle name="CALC Currency Total [1] 8 6 2 2" xfId="43495"/>
    <cellStyle name="CALC Currency Total [1] 8 6 3" xfId="35252"/>
    <cellStyle name="CALC Currency Total [1] 8 6 4" xfId="43496"/>
    <cellStyle name="CALC Currency Total [1] 8 7" xfId="20752"/>
    <cellStyle name="CALC Currency Total [1] 8 7 2" xfId="29073"/>
    <cellStyle name="CALC Currency Total [1] 8 7 2 2" xfId="43497"/>
    <cellStyle name="CALC Currency Total [1] 8 7 3" xfId="36165"/>
    <cellStyle name="CALC Currency Total [1] 8 7 4" xfId="43498"/>
    <cellStyle name="CALC Currency Total [1] 8 8" xfId="21197"/>
    <cellStyle name="CALC Currency Total [1] 8 8 2" xfId="29509"/>
    <cellStyle name="CALC Currency Total [1] 8 8 2 2" xfId="43499"/>
    <cellStyle name="CALC Currency Total [1] 8 8 3" xfId="36579"/>
    <cellStyle name="CALC Currency Total [1] 8 8 4" xfId="43500"/>
    <cellStyle name="CALC Currency Total [1] 8 9" xfId="22188"/>
    <cellStyle name="CALC Currency Total [1] 8 9 2" xfId="30486"/>
    <cellStyle name="CALC Currency Total [1] 8 9 2 2" xfId="43501"/>
    <cellStyle name="CALC Currency Total [1] 8 9 3" xfId="37517"/>
    <cellStyle name="CALC Currency Total [1] 8 9 4" xfId="43502"/>
    <cellStyle name="CALC Currency Total [1] 9" xfId="14820"/>
    <cellStyle name="CALC Currency Total [1] 9 10" xfId="23184"/>
    <cellStyle name="CALC Currency Total [1] 9 10 2" xfId="43503"/>
    <cellStyle name="CALC Currency Total [1] 9 11" xfId="43504"/>
    <cellStyle name="CALC Currency Total [1] 9 12" xfId="43505"/>
    <cellStyle name="CALC Currency Total [1] 9 2" xfId="15901"/>
    <cellStyle name="CALC Currency Total [1] 9 2 2" xfId="24219"/>
    <cellStyle name="CALC Currency Total [1] 9 2 2 2" xfId="43506"/>
    <cellStyle name="CALC Currency Total [1] 9 2 3" xfId="31505"/>
    <cellStyle name="CALC Currency Total [1] 9 2 4" xfId="43507"/>
    <cellStyle name="CALC Currency Total [1] 9 3" xfId="16867"/>
    <cellStyle name="CALC Currency Total [1] 9 3 2" xfId="25191"/>
    <cellStyle name="CALC Currency Total [1] 9 3 2 2" xfId="43508"/>
    <cellStyle name="CALC Currency Total [1] 9 3 3" xfId="32438"/>
    <cellStyle name="CALC Currency Total [1] 9 3 4" xfId="43509"/>
    <cellStyle name="CALC Currency Total [1] 9 4" xfId="17894"/>
    <cellStyle name="CALC Currency Total [1] 9 4 2" xfId="26217"/>
    <cellStyle name="CALC Currency Total [1] 9 4 2 2" xfId="43510"/>
    <cellStyle name="CALC Currency Total [1] 9 4 3" xfId="33415"/>
    <cellStyle name="CALC Currency Total [1] 9 4 4" xfId="43511"/>
    <cellStyle name="CALC Currency Total [1] 9 5" xfId="18878"/>
    <cellStyle name="CALC Currency Total [1] 9 5 2" xfId="27198"/>
    <cellStyle name="CALC Currency Total [1] 9 5 2 2" xfId="43512"/>
    <cellStyle name="CALC Currency Total [1] 9 5 3" xfId="34355"/>
    <cellStyle name="CALC Currency Total [1] 9 5 4" xfId="43513"/>
    <cellStyle name="CALC Currency Total [1] 9 6" xfId="19846"/>
    <cellStyle name="CALC Currency Total [1] 9 6 2" xfId="28168"/>
    <cellStyle name="CALC Currency Total [1] 9 6 2 2" xfId="43514"/>
    <cellStyle name="CALC Currency Total [1] 9 6 3" xfId="35302"/>
    <cellStyle name="CALC Currency Total [1] 9 6 4" xfId="43515"/>
    <cellStyle name="CALC Currency Total [1] 9 7" xfId="20804"/>
    <cellStyle name="CALC Currency Total [1] 9 7 2" xfId="29124"/>
    <cellStyle name="CALC Currency Total [1] 9 7 2 2" xfId="43516"/>
    <cellStyle name="CALC Currency Total [1] 9 7 3" xfId="36213"/>
    <cellStyle name="CALC Currency Total [1] 9 7 4" xfId="43517"/>
    <cellStyle name="CALC Currency Total [1] 9 8" xfId="21142"/>
    <cellStyle name="CALC Currency Total [1] 9 8 2" xfId="29454"/>
    <cellStyle name="CALC Currency Total [1] 9 8 2 2" xfId="43518"/>
    <cellStyle name="CALC Currency Total [1] 9 8 3" xfId="36526"/>
    <cellStyle name="CALC Currency Total [1] 9 8 4" xfId="43519"/>
    <cellStyle name="CALC Currency Total [1] 9 9" xfId="22239"/>
    <cellStyle name="CALC Currency Total [1] 9 9 2" xfId="30538"/>
    <cellStyle name="CALC Currency Total [1] 9 9 2 2" xfId="43520"/>
    <cellStyle name="CALC Currency Total [1] 9 9 3" xfId="37566"/>
    <cellStyle name="CALC Currency Total [1] 9 9 4" xfId="43521"/>
    <cellStyle name="CALC Currency Total [2]" xfId="14463"/>
    <cellStyle name="CALC Currency Total [2] 10" xfId="14832"/>
    <cellStyle name="CALC Currency Total [2] 10 10" xfId="23195"/>
    <cellStyle name="CALC Currency Total [2] 10 10 2" xfId="43522"/>
    <cellStyle name="CALC Currency Total [2] 10 11" xfId="43523"/>
    <cellStyle name="CALC Currency Total [2] 10 12" xfId="43524"/>
    <cellStyle name="CALC Currency Total [2] 10 2" xfId="15913"/>
    <cellStyle name="CALC Currency Total [2] 10 2 2" xfId="24230"/>
    <cellStyle name="CALC Currency Total [2] 10 2 2 2" xfId="43525"/>
    <cellStyle name="CALC Currency Total [2] 10 2 3" xfId="31514"/>
    <cellStyle name="CALC Currency Total [2] 10 2 4" xfId="43526"/>
    <cellStyle name="CALC Currency Total [2] 10 3" xfId="16879"/>
    <cellStyle name="CALC Currency Total [2] 10 3 2" xfId="25202"/>
    <cellStyle name="CALC Currency Total [2] 10 3 2 2" xfId="43527"/>
    <cellStyle name="CALC Currency Total [2] 10 3 3" xfId="32447"/>
    <cellStyle name="CALC Currency Total [2] 10 3 4" xfId="43528"/>
    <cellStyle name="CALC Currency Total [2] 10 4" xfId="17906"/>
    <cellStyle name="CALC Currency Total [2] 10 4 2" xfId="26228"/>
    <cellStyle name="CALC Currency Total [2] 10 4 2 2" xfId="43529"/>
    <cellStyle name="CALC Currency Total [2] 10 4 3" xfId="33424"/>
    <cellStyle name="CALC Currency Total [2] 10 4 4" xfId="43530"/>
    <cellStyle name="CALC Currency Total [2] 10 5" xfId="18890"/>
    <cellStyle name="CALC Currency Total [2] 10 5 2" xfId="27210"/>
    <cellStyle name="CALC Currency Total [2] 10 5 2 2" xfId="43531"/>
    <cellStyle name="CALC Currency Total [2] 10 5 3" xfId="34365"/>
    <cellStyle name="CALC Currency Total [2] 10 5 4" xfId="43532"/>
    <cellStyle name="CALC Currency Total [2] 10 6" xfId="19858"/>
    <cellStyle name="CALC Currency Total [2] 10 6 2" xfId="28180"/>
    <cellStyle name="CALC Currency Total [2] 10 6 2 2" xfId="43533"/>
    <cellStyle name="CALC Currency Total [2] 10 6 3" xfId="35312"/>
    <cellStyle name="CALC Currency Total [2] 10 6 4" xfId="43534"/>
    <cellStyle name="CALC Currency Total [2] 10 7" xfId="20816"/>
    <cellStyle name="CALC Currency Total [2] 10 7 2" xfId="29135"/>
    <cellStyle name="CALC Currency Total [2] 10 7 2 2" xfId="43535"/>
    <cellStyle name="CALC Currency Total [2] 10 7 3" xfId="36222"/>
    <cellStyle name="CALC Currency Total [2] 10 7 4" xfId="43536"/>
    <cellStyle name="CALC Currency Total [2] 10 8" xfId="21238"/>
    <cellStyle name="CALC Currency Total [2] 10 8 2" xfId="29548"/>
    <cellStyle name="CALC Currency Total [2] 10 8 2 2" xfId="43537"/>
    <cellStyle name="CALC Currency Total [2] 10 8 3" xfId="36616"/>
    <cellStyle name="CALC Currency Total [2] 10 8 4" xfId="43538"/>
    <cellStyle name="CALC Currency Total [2] 10 9" xfId="22251"/>
    <cellStyle name="CALC Currency Total [2] 10 9 2" xfId="30549"/>
    <cellStyle name="CALC Currency Total [2] 10 9 2 2" xfId="43539"/>
    <cellStyle name="CALC Currency Total [2] 10 9 3" xfId="37575"/>
    <cellStyle name="CALC Currency Total [2] 10 9 4" xfId="43540"/>
    <cellStyle name="CALC Currency Total [2] 11" xfId="14726"/>
    <cellStyle name="CALC Currency Total [2] 11 10" xfId="23089"/>
    <cellStyle name="CALC Currency Total [2] 11 10 2" xfId="43541"/>
    <cellStyle name="CALC Currency Total [2] 11 11" xfId="43542"/>
    <cellStyle name="CALC Currency Total [2] 11 12" xfId="43543"/>
    <cellStyle name="CALC Currency Total [2] 11 2" xfId="15807"/>
    <cellStyle name="CALC Currency Total [2] 11 2 2" xfId="24124"/>
    <cellStyle name="CALC Currency Total [2] 11 2 2 2" xfId="43544"/>
    <cellStyle name="CALC Currency Total [2] 11 2 3" xfId="31412"/>
    <cellStyle name="CALC Currency Total [2] 11 2 4" xfId="43545"/>
    <cellStyle name="CALC Currency Total [2] 11 3" xfId="16773"/>
    <cellStyle name="CALC Currency Total [2] 11 3 2" xfId="25096"/>
    <cellStyle name="CALC Currency Total [2] 11 3 2 2" xfId="43546"/>
    <cellStyle name="CALC Currency Total [2] 11 3 3" xfId="32345"/>
    <cellStyle name="CALC Currency Total [2] 11 3 4" xfId="43547"/>
    <cellStyle name="CALC Currency Total [2] 11 4" xfId="17798"/>
    <cellStyle name="CALC Currency Total [2] 11 4 2" xfId="26122"/>
    <cellStyle name="CALC Currency Total [2] 11 4 2 2" xfId="43548"/>
    <cellStyle name="CALC Currency Total [2] 11 4 3" xfId="33322"/>
    <cellStyle name="CALC Currency Total [2] 11 4 4" xfId="43549"/>
    <cellStyle name="CALC Currency Total [2] 11 5" xfId="18782"/>
    <cellStyle name="CALC Currency Total [2] 11 5 2" xfId="27103"/>
    <cellStyle name="CALC Currency Total [2] 11 5 2 2" xfId="43550"/>
    <cellStyle name="CALC Currency Total [2] 11 5 3" xfId="34262"/>
    <cellStyle name="CALC Currency Total [2] 11 5 4" xfId="43551"/>
    <cellStyle name="CALC Currency Total [2] 11 6" xfId="19750"/>
    <cellStyle name="CALC Currency Total [2] 11 6 2" xfId="28072"/>
    <cellStyle name="CALC Currency Total [2] 11 6 2 2" xfId="43552"/>
    <cellStyle name="CALC Currency Total [2] 11 6 3" xfId="35208"/>
    <cellStyle name="CALC Currency Total [2] 11 6 4" xfId="43553"/>
    <cellStyle name="CALC Currency Total [2] 11 7" xfId="20708"/>
    <cellStyle name="CALC Currency Total [2] 11 7 2" xfId="29029"/>
    <cellStyle name="CALC Currency Total [2] 11 7 2 2" xfId="43554"/>
    <cellStyle name="CALC Currency Total [2] 11 7 3" xfId="36122"/>
    <cellStyle name="CALC Currency Total [2] 11 7 4" xfId="43555"/>
    <cellStyle name="CALC Currency Total [2] 11 8" xfId="21182"/>
    <cellStyle name="CALC Currency Total [2] 11 8 2" xfId="29494"/>
    <cellStyle name="CALC Currency Total [2] 11 8 2 2" xfId="43556"/>
    <cellStyle name="CALC Currency Total [2] 11 8 3" xfId="36565"/>
    <cellStyle name="CALC Currency Total [2] 11 8 4" xfId="43557"/>
    <cellStyle name="CALC Currency Total [2] 11 9" xfId="22144"/>
    <cellStyle name="CALC Currency Total [2] 11 9 2" xfId="30442"/>
    <cellStyle name="CALC Currency Total [2] 11 9 2 2" xfId="43558"/>
    <cellStyle name="CALC Currency Total [2] 11 9 3" xfId="37473"/>
    <cellStyle name="CALC Currency Total [2] 11 9 4" xfId="43559"/>
    <cellStyle name="CALC Currency Total [2] 12" xfId="14955"/>
    <cellStyle name="CALC Currency Total [2] 12 10" xfId="23317"/>
    <cellStyle name="CALC Currency Total [2] 12 10 2" xfId="43560"/>
    <cellStyle name="CALC Currency Total [2] 12 11" xfId="43561"/>
    <cellStyle name="CALC Currency Total [2] 12 12" xfId="43562"/>
    <cellStyle name="CALC Currency Total [2] 12 2" xfId="16036"/>
    <cellStyle name="CALC Currency Total [2] 12 2 2" xfId="24352"/>
    <cellStyle name="CALC Currency Total [2] 12 2 2 2" xfId="43563"/>
    <cellStyle name="CALC Currency Total [2] 12 2 3" xfId="31632"/>
    <cellStyle name="CALC Currency Total [2] 12 2 4" xfId="43564"/>
    <cellStyle name="CALC Currency Total [2] 12 3" xfId="17002"/>
    <cellStyle name="CALC Currency Total [2] 12 3 2" xfId="25324"/>
    <cellStyle name="CALC Currency Total [2] 12 3 2 2" xfId="43565"/>
    <cellStyle name="CALC Currency Total [2] 12 3 3" xfId="32565"/>
    <cellStyle name="CALC Currency Total [2] 12 3 4" xfId="43566"/>
    <cellStyle name="CALC Currency Total [2] 12 4" xfId="18029"/>
    <cellStyle name="CALC Currency Total [2] 12 4 2" xfId="26350"/>
    <cellStyle name="CALC Currency Total [2] 12 4 2 2" xfId="43567"/>
    <cellStyle name="CALC Currency Total [2] 12 4 3" xfId="33542"/>
    <cellStyle name="CALC Currency Total [2] 12 4 4" xfId="43568"/>
    <cellStyle name="CALC Currency Total [2] 12 5" xfId="19013"/>
    <cellStyle name="CALC Currency Total [2] 12 5 2" xfId="27333"/>
    <cellStyle name="CALC Currency Total [2] 12 5 2 2" xfId="43569"/>
    <cellStyle name="CALC Currency Total [2] 12 5 3" xfId="34484"/>
    <cellStyle name="CALC Currency Total [2] 12 5 4" xfId="43570"/>
    <cellStyle name="CALC Currency Total [2] 12 6" xfId="19981"/>
    <cellStyle name="CALC Currency Total [2] 12 6 2" xfId="28303"/>
    <cellStyle name="CALC Currency Total [2] 12 6 2 2" xfId="43571"/>
    <cellStyle name="CALC Currency Total [2] 12 6 3" xfId="35431"/>
    <cellStyle name="CALC Currency Total [2] 12 6 4" xfId="43572"/>
    <cellStyle name="CALC Currency Total [2] 12 7" xfId="20939"/>
    <cellStyle name="CALC Currency Total [2] 12 7 2" xfId="29257"/>
    <cellStyle name="CALC Currency Total [2] 12 7 2 2" xfId="43573"/>
    <cellStyle name="CALC Currency Total [2] 12 7 3" xfId="36340"/>
    <cellStyle name="CALC Currency Total [2] 12 7 4" xfId="43574"/>
    <cellStyle name="CALC Currency Total [2] 12 8" xfId="21446"/>
    <cellStyle name="CALC Currency Total [2] 12 8 2" xfId="29748"/>
    <cellStyle name="CALC Currency Total [2] 12 8 2 2" xfId="43575"/>
    <cellStyle name="CALC Currency Total [2] 12 8 3" xfId="36810"/>
    <cellStyle name="CALC Currency Total [2] 12 8 4" xfId="43576"/>
    <cellStyle name="CALC Currency Total [2] 12 9" xfId="22374"/>
    <cellStyle name="CALC Currency Total [2] 12 9 2" xfId="30671"/>
    <cellStyle name="CALC Currency Total [2] 12 9 2 2" xfId="43577"/>
    <cellStyle name="CALC Currency Total [2] 12 9 3" xfId="37693"/>
    <cellStyle name="CALC Currency Total [2] 12 9 4" xfId="43578"/>
    <cellStyle name="CALC Currency Total [2] 13" xfId="15030"/>
    <cellStyle name="CALC Currency Total [2] 13 10" xfId="23390"/>
    <cellStyle name="CALC Currency Total [2] 13 10 2" xfId="43579"/>
    <cellStyle name="CALC Currency Total [2] 13 11" xfId="43580"/>
    <cellStyle name="CALC Currency Total [2] 13 12" xfId="43581"/>
    <cellStyle name="CALC Currency Total [2] 13 2" xfId="16110"/>
    <cellStyle name="CALC Currency Total [2] 13 2 2" xfId="24425"/>
    <cellStyle name="CALC Currency Total [2] 13 2 2 2" xfId="43582"/>
    <cellStyle name="CALC Currency Total [2] 13 2 3" xfId="31703"/>
    <cellStyle name="CALC Currency Total [2] 13 2 4" xfId="43583"/>
    <cellStyle name="CALC Currency Total [2] 13 3" xfId="17077"/>
    <cellStyle name="CALC Currency Total [2] 13 3 2" xfId="25398"/>
    <cellStyle name="CALC Currency Total [2] 13 3 2 2" xfId="43584"/>
    <cellStyle name="CALC Currency Total [2] 13 3 3" xfId="32637"/>
    <cellStyle name="CALC Currency Total [2] 13 3 4" xfId="43585"/>
    <cellStyle name="CALC Currency Total [2] 13 4" xfId="18104"/>
    <cellStyle name="CALC Currency Total [2] 13 4 2" xfId="26424"/>
    <cellStyle name="CALC Currency Total [2] 13 4 2 2" xfId="43586"/>
    <cellStyle name="CALC Currency Total [2] 13 4 3" xfId="33614"/>
    <cellStyle name="CALC Currency Total [2] 13 4 4" xfId="43587"/>
    <cellStyle name="CALC Currency Total [2] 13 5" xfId="19088"/>
    <cellStyle name="CALC Currency Total [2] 13 5 2" xfId="27408"/>
    <cellStyle name="CALC Currency Total [2] 13 5 2 2" xfId="43588"/>
    <cellStyle name="CALC Currency Total [2] 13 5 3" xfId="34557"/>
    <cellStyle name="CALC Currency Total [2] 13 5 4" xfId="43589"/>
    <cellStyle name="CALC Currency Total [2] 13 6" xfId="20056"/>
    <cellStyle name="CALC Currency Total [2] 13 6 2" xfId="28378"/>
    <cellStyle name="CALC Currency Total [2] 13 6 2 2" xfId="43590"/>
    <cellStyle name="CALC Currency Total [2] 13 6 3" xfId="35504"/>
    <cellStyle name="CALC Currency Total [2] 13 6 4" xfId="43591"/>
    <cellStyle name="CALC Currency Total [2] 13 7" xfId="21013"/>
    <cellStyle name="CALC Currency Total [2] 13 7 2" xfId="29330"/>
    <cellStyle name="CALC Currency Total [2] 13 7 2 2" xfId="43592"/>
    <cellStyle name="CALC Currency Total [2] 13 7 3" xfId="36411"/>
    <cellStyle name="CALC Currency Total [2] 13 7 4" xfId="43593"/>
    <cellStyle name="CALC Currency Total [2] 13 8" xfId="21520"/>
    <cellStyle name="CALC Currency Total [2] 13 8 2" xfId="29821"/>
    <cellStyle name="CALC Currency Total [2] 13 8 2 2" xfId="43594"/>
    <cellStyle name="CALC Currency Total [2] 13 8 3" xfId="36881"/>
    <cellStyle name="CALC Currency Total [2] 13 8 4" xfId="43595"/>
    <cellStyle name="CALC Currency Total [2] 13 9" xfId="22448"/>
    <cellStyle name="CALC Currency Total [2] 13 9 2" xfId="30744"/>
    <cellStyle name="CALC Currency Total [2] 13 9 2 2" xfId="43596"/>
    <cellStyle name="CALC Currency Total [2] 13 9 3" xfId="37764"/>
    <cellStyle name="CALC Currency Total [2] 13 9 4" xfId="43597"/>
    <cellStyle name="CALC Currency Total [2] 14" xfId="15052"/>
    <cellStyle name="CALC Currency Total [2] 14 10" xfId="23412"/>
    <cellStyle name="CALC Currency Total [2] 14 10 2" xfId="43598"/>
    <cellStyle name="CALC Currency Total [2] 14 11" xfId="43599"/>
    <cellStyle name="CALC Currency Total [2] 14 12" xfId="43600"/>
    <cellStyle name="CALC Currency Total [2] 14 2" xfId="16132"/>
    <cellStyle name="CALC Currency Total [2] 14 2 2" xfId="24447"/>
    <cellStyle name="CALC Currency Total [2] 14 2 2 2" xfId="43601"/>
    <cellStyle name="CALC Currency Total [2] 14 2 3" xfId="31724"/>
    <cellStyle name="CALC Currency Total [2] 14 2 4" xfId="43602"/>
    <cellStyle name="CALC Currency Total [2] 14 3" xfId="17099"/>
    <cellStyle name="CALC Currency Total [2] 14 3 2" xfId="25420"/>
    <cellStyle name="CALC Currency Total [2] 14 3 2 2" xfId="43603"/>
    <cellStyle name="CALC Currency Total [2] 14 3 3" xfId="32658"/>
    <cellStyle name="CALC Currency Total [2] 14 3 4" xfId="43604"/>
    <cellStyle name="CALC Currency Total [2] 14 4" xfId="18126"/>
    <cellStyle name="CALC Currency Total [2] 14 4 2" xfId="26446"/>
    <cellStyle name="CALC Currency Total [2] 14 4 2 2" xfId="43605"/>
    <cellStyle name="CALC Currency Total [2] 14 4 3" xfId="33635"/>
    <cellStyle name="CALC Currency Total [2] 14 4 4" xfId="43606"/>
    <cellStyle name="CALC Currency Total [2] 14 5" xfId="19110"/>
    <cellStyle name="CALC Currency Total [2] 14 5 2" xfId="27430"/>
    <cellStyle name="CALC Currency Total [2] 14 5 2 2" xfId="43607"/>
    <cellStyle name="CALC Currency Total [2] 14 5 3" xfId="34578"/>
    <cellStyle name="CALC Currency Total [2] 14 5 4" xfId="43608"/>
    <cellStyle name="CALC Currency Total [2] 14 6" xfId="20078"/>
    <cellStyle name="CALC Currency Total [2] 14 6 2" xfId="28400"/>
    <cellStyle name="CALC Currency Total [2] 14 6 2 2" xfId="43609"/>
    <cellStyle name="CALC Currency Total [2] 14 6 3" xfId="35525"/>
    <cellStyle name="CALC Currency Total [2] 14 6 4" xfId="43610"/>
    <cellStyle name="CALC Currency Total [2] 14 7" xfId="21035"/>
    <cellStyle name="CALC Currency Total [2] 14 7 2" xfId="29352"/>
    <cellStyle name="CALC Currency Total [2] 14 7 2 2" xfId="43611"/>
    <cellStyle name="CALC Currency Total [2] 14 7 3" xfId="36432"/>
    <cellStyle name="CALC Currency Total [2] 14 7 4" xfId="43612"/>
    <cellStyle name="CALC Currency Total [2] 14 8" xfId="21542"/>
    <cellStyle name="CALC Currency Total [2] 14 8 2" xfId="29843"/>
    <cellStyle name="CALC Currency Total [2] 14 8 2 2" xfId="43613"/>
    <cellStyle name="CALC Currency Total [2] 14 8 3" xfId="36902"/>
    <cellStyle name="CALC Currency Total [2] 14 8 4" xfId="43614"/>
    <cellStyle name="CALC Currency Total [2] 14 9" xfId="22470"/>
    <cellStyle name="CALC Currency Total [2] 14 9 2" xfId="30766"/>
    <cellStyle name="CALC Currency Total [2] 14 9 2 2" xfId="43615"/>
    <cellStyle name="CALC Currency Total [2] 14 9 3" xfId="37785"/>
    <cellStyle name="CALC Currency Total [2] 14 9 4" xfId="43616"/>
    <cellStyle name="CALC Currency Total [2] 15" xfId="15120"/>
    <cellStyle name="CALC Currency Total [2] 15 10" xfId="43617"/>
    <cellStyle name="CALC Currency Total [2] 15 11" xfId="43618"/>
    <cellStyle name="CALC Currency Total [2] 15 2" xfId="16200"/>
    <cellStyle name="CALC Currency Total [2] 15 2 2" xfId="24513"/>
    <cellStyle name="CALC Currency Total [2] 15 2 2 2" xfId="43619"/>
    <cellStyle name="CALC Currency Total [2] 15 2 3" xfId="31790"/>
    <cellStyle name="CALC Currency Total [2] 15 2 4" xfId="43620"/>
    <cellStyle name="CALC Currency Total [2] 15 3" xfId="17166"/>
    <cellStyle name="CALC Currency Total [2] 15 3 2" xfId="25487"/>
    <cellStyle name="CALC Currency Total [2] 15 3 2 2" xfId="43621"/>
    <cellStyle name="CALC Currency Total [2] 15 3 3" xfId="32723"/>
    <cellStyle name="CALC Currency Total [2] 15 3 4" xfId="43622"/>
    <cellStyle name="CALC Currency Total [2] 15 4" xfId="18194"/>
    <cellStyle name="CALC Currency Total [2] 15 4 2" xfId="26514"/>
    <cellStyle name="CALC Currency Total [2] 15 4 2 2" xfId="43623"/>
    <cellStyle name="CALC Currency Total [2] 15 4 3" xfId="33701"/>
    <cellStyle name="CALC Currency Total [2] 15 4 4" xfId="43624"/>
    <cellStyle name="CALC Currency Total [2] 15 5" xfId="19178"/>
    <cellStyle name="CALC Currency Total [2] 15 5 2" xfId="27498"/>
    <cellStyle name="CALC Currency Total [2] 15 5 2 2" xfId="43625"/>
    <cellStyle name="CALC Currency Total [2] 15 5 3" xfId="34646"/>
    <cellStyle name="CALC Currency Total [2] 15 5 4" xfId="43626"/>
    <cellStyle name="CALC Currency Total [2] 15 6" xfId="20146"/>
    <cellStyle name="CALC Currency Total [2] 15 6 2" xfId="28468"/>
    <cellStyle name="CALC Currency Total [2] 15 6 2 2" xfId="43627"/>
    <cellStyle name="CALC Currency Total [2] 15 6 3" xfId="35593"/>
    <cellStyle name="CALC Currency Total [2] 15 6 4" xfId="43628"/>
    <cellStyle name="CALC Currency Total [2] 15 7" xfId="21607"/>
    <cellStyle name="CALC Currency Total [2] 15 7 2" xfId="29908"/>
    <cellStyle name="CALC Currency Total [2] 15 7 2 2" xfId="43629"/>
    <cellStyle name="CALC Currency Total [2] 15 7 3" xfId="36967"/>
    <cellStyle name="CALC Currency Total [2] 15 7 4" xfId="43630"/>
    <cellStyle name="CALC Currency Total [2] 15 8" xfId="22535"/>
    <cellStyle name="CALC Currency Total [2] 15 8 2" xfId="30831"/>
    <cellStyle name="CALC Currency Total [2] 15 8 2 2" xfId="43631"/>
    <cellStyle name="CALC Currency Total [2] 15 8 3" xfId="37850"/>
    <cellStyle name="CALC Currency Total [2] 15 8 4" xfId="43632"/>
    <cellStyle name="CALC Currency Total [2] 15 9" xfId="23477"/>
    <cellStyle name="CALC Currency Total [2] 15 9 2" xfId="43633"/>
    <cellStyle name="CALC Currency Total [2] 16" xfId="15095"/>
    <cellStyle name="CALC Currency Total [2] 16 10" xfId="43634"/>
    <cellStyle name="CALC Currency Total [2] 16 11" xfId="43635"/>
    <cellStyle name="CALC Currency Total [2] 16 2" xfId="16175"/>
    <cellStyle name="CALC Currency Total [2] 16 2 2" xfId="24488"/>
    <cellStyle name="CALC Currency Total [2] 16 2 2 2" xfId="43636"/>
    <cellStyle name="CALC Currency Total [2] 16 2 3" xfId="31765"/>
    <cellStyle name="CALC Currency Total [2] 16 2 4" xfId="43637"/>
    <cellStyle name="CALC Currency Total [2] 16 3" xfId="17141"/>
    <cellStyle name="CALC Currency Total [2] 16 3 2" xfId="25462"/>
    <cellStyle name="CALC Currency Total [2] 16 3 2 2" xfId="43638"/>
    <cellStyle name="CALC Currency Total [2] 16 3 3" xfId="32698"/>
    <cellStyle name="CALC Currency Total [2] 16 3 4" xfId="43639"/>
    <cellStyle name="CALC Currency Total [2] 16 4" xfId="18169"/>
    <cellStyle name="CALC Currency Total [2] 16 4 2" xfId="26489"/>
    <cellStyle name="CALC Currency Total [2] 16 4 2 2" xfId="43640"/>
    <cellStyle name="CALC Currency Total [2] 16 4 3" xfId="33676"/>
    <cellStyle name="CALC Currency Total [2] 16 4 4" xfId="43641"/>
    <cellStyle name="CALC Currency Total [2] 16 5" xfId="19153"/>
    <cellStyle name="CALC Currency Total [2] 16 5 2" xfId="27473"/>
    <cellStyle name="CALC Currency Total [2] 16 5 2 2" xfId="43642"/>
    <cellStyle name="CALC Currency Total [2] 16 5 3" xfId="34621"/>
    <cellStyle name="CALC Currency Total [2] 16 5 4" xfId="43643"/>
    <cellStyle name="CALC Currency Total [2] 16 6" xfId="20121"/>
    <cellStyle name="CALC Currency Total [2] 16 6 2" xfId="28443"/>
    <cellStyle name="CALC Currency Total [2] 16 6 2 2" xfId="43644"/>
    <cellStyle name="CALC Currency Total [2] 16 6 3" xfId="35568"/>
    <cellStyle name="CALC Currency Total [2] 16 6 4" xfId="43645"/>
    <cellStyle name="CALC Currency Total [2] 16 7" xfId="21582"/>
    <cellStyle name="CALC Currency Total [2] 16 7 2" xfId="29883"/>
    <cellStyle name="CALC Currency Total [2] 16 7 2 2" xfId="43646"/>
    <cellStyle name="CALC Currency Total [2] 16 7 3" xfId="36942"/>
    <cellStyle name="CALC Currency Total [2] 16 7 4" xfId="43647"/>
    <cellStyle name="CALC Currency Total [2] 16 8" xfId="22510"/>
    <cellStyle name="CALC Currency Total [2] 16 8 2" xfId="30806"/>
    <cellStyle name="CALC Currency Total [2] 16 8 2 2" xfId="43648"/>
    <cellStyle name="CALC Currency Total [2] 16 8 3" xfId="37825"/>
    <cellStyle name="CALC Currency Total [2] 16 8 4" xfId="43649"/>
    <cellStyle name="CALC Currency Total [2] 16 9" xfId="23452"/>
    <cellStyle name="CALC Currency Total [2] 16 9 2" xfId="43650"/>
    <cellStyle name="CALC Currency Total [2] 17" xfId="15104"/>
    <cellStyle name="CALC Currency Total [2] 17 10" xfId="43651"/>
    <cellStyle name="CALC Currency Total [2] 17 11" xfId="43652"/>
    <cellStyle name="CALC Currency Total [2] 17 2" xfId="16184"/>
    <cellStyle name="CALC Currency Total [2] 17 2 2" xfId="24497"/>
    <cellStyle name="CALC Currency Total [2] 17 2 2 2" xfId="43653"/>
    <cellStyle name="CALC Currency Total [2] 17 2 3" xfId="31774"/>
    <cellStyle name="CALC Currency Total [2] 17 2 4" xfId="43654"/>
    <cellStyle name="CALC Currency Total [2] 17 3" xfId="17150"/>
    <cellStyle name="CALC Currency Total [2] 17 3 2" xfId="25471"/>
    <cellStyle name="CALC Currency Total [2] 17 3 2 2" xfId="43655"/>
    <cellStyle name="CALC Currency Total [2] 17 3 3" xfId="32707"/>
    <cellStyle name="CALC Currency Total [2] 17 3 4" xfId="43656"/>
    <cellStyle name="CALC Currency Total [2] 17 4" xfId="18178"/>
    <cellStyle name="CALC Currency Total [2] 17 4 2" xfId="26498"/>
    <cellStyle name="CALC Currency Total [2] 17 4 2 2" xfId="43657"/>
    <cellStyle name="CALC Currency Total [2] 17 4 3" xfId="33685"/>
    <cellStyle name="CALC Currency Total [2] 17 4 4" xfId="43658"/>
    <cellStyle name="CALC Currency Total [2] 17 5" xfId="19162"/>
    <cellStyle name="CALC Currency Total [2] 17 5 2" xfId="27482"/>
    <cellStyle name="CALC Currency Total [2] 17 5 2 2" xfId="43659"/>
    <cellStyle name="CALC Currency Total [2] 17 5 3" xfId="34630"/>
    <cellStyle name="CALC Currency Total [2] 17 5 4" xfId="43660"/>
    <cellStyle name="CALC Currency Total [2] 17 6" xfId="20130"/>
    <cellStyle name="CALC Currency Total [2] 17 6 2" xfId="28452"/>
    <cellStyle name="CALC Currency Total [2] 17 6 2 2" xfId="43661"/>
    <cellStyle name="CALC Currency Total [2] 17 6 3" xfId="35577"/>
    <cellStyle name="CALC Currency Total [2] 17 6 4" xfId="43662"/>
    <cellStyle name="CALC Currency Total [2] 17 7" xfId="21591"/>
    <cellStyle name="CALC Currency Total [2] 17 7 2" xfId="29892"/>
    <cellStyle name="CALC Currency Total [2] 17 7 2 2" xfId="43663"/>
    <cellStyle name="CALC Currency Total [2] 17 7 3" xfId="36951"/>
    <cellStyle name="CALC Currency Total [2] 17 7 4" xfId="43664"/>
    <cellStyle name="CALC Currency Total [2] 17 8" xfId="22519"/>
    <cellStyle name="CALC Currency Total [2] 17 8 2" xfId="30815"/>
    <cellStyle name="CALC Currency Total [2] 17 8 2 2" xfId="43665"/>
    <cellStyle name="CALC Currency Total [2] 17 8 3" xfId="37834"/>
    <cellStyle name="CALC Currency Total [2] 17 8 4" xfId="43666"/>
    <cellStyle name="CALC Currency Total [2] 17 9" xfId="23461"/>
    <cellStyle name="CALC Currency Total [2] 17 9 2" xfId="43667"/>
    <cellStyle name="CALC Currency Total [2] 18" xfId="15098"/>
    <cellStyle name="CALC Currency Total [2] 18 10" xfId="43668"/>
    <cellStyle name="CALC Currency Total [2] 18 11" xfId="43669"/>
    <cellStyle name="CALC Currency Total [2] 18 2" xfId="16178"/>
    <cellStyle name="CALC Currency Total [2] 18 2 2" xfId="24491"/>
    <cellStyle name="CALC Currency Total [2] 18 2 2 2" xfId="43670"/>
    <cellStyle name="CALC Currency Total [2] 18 2 3" xfId="31768"/>
    <cellStyle name="CALC Currency Total [2] 18 2 4" xfId="43671"/>
    <cellStyle name="CALC Currency Total [2] 18 3" xfId="17144"/>
    <cellStyle name="CALC Currency Total [2] 18 3 2" xfId="25465"/>
    <cellStyle name="CALC Currency Total [2] 18 3 2 2" xfId="43672"/>
    <cellStyle name="CALC Currency Total [2] 18 3 3" xfId="32701"/>
    <cellStyle name="CALC Currency Total [2] 18 3 4" xfId="43673"/>
    <cellStyle name="CALC Currency Total [2] 18 4" xfId="18172"/>
    <cellStyle name="CALC Currency Total [2] 18 4 2" xfId="26492"/>
    <cellStyle name="CALC Currency Total [2] 18 4 2 2" xfId="43674"/>
    <cellStyle name="CALC Currency Total [2] 18 4 3" xfId="33679"/>
    <cellStyle name="CALC Currency Total [2] 18 4 4" xfId="43675"/>
    <cellStyle name="CALC Currency Total [2] 18 5" xfId="19156"/>
    <cellStyle name="CALC Currency Total [2] 18 5 2" xfId="27476"/>
    <cellStyle name="CALC Currency Total [2] 18 5 2 2" xfId="43676"/>
    <cellStyle name="CALC Currency Total [2] 18 5 3" xfId="34624"/>
    <cellStyle name="CALC Currency Total [2] 18 5 4" xfId="43677"/>
    <cellStyle name="CALC Currency Total [2] 18 6" xfId="20124"/>
    <cellStyle name="CALC Currency Total [2] 18 6 2" xfId="28446"/>
    <cellStyle name="CALC Currency Total [2] 18 6 2 2" xfId="43678"/>
    <cellStyle name="CALC Currency Total [2] 18 6 3" xfId="35571"/>
    <cellStyle name="CALC Currency Total [2] 18 6 4" xfId="43679"/>
    <cellStyle name="CALC Currency Total [2] 18 7" xfId="21585"/>
    <cellStyle name="CALC Currency Total [2] 18 7 2" xfId="29886"/>
    <cellStyle name="CALC Currency Total [2] 18 7 2 2" xfId="43680"/>
    <cellStyle name="CALC Currency Total [2] 18 7 3" xfId="36945"/>
    <cellStyle name="CALC Currency Total [2] 18 7 4" xfId="43681"/>
    <cellStyle name="CALC Currency Total [2] 18 8" xfId="22513"/>
    <cellStyle name="CALC Currency Total [2] 18 8 2" xfId="30809"/>
    <cellStyle name="CALC Currency Total [2] 18 8 2 2" xfId="43682"/>
    <cellStyle name="CALC Currency Total [2] 18 8 3" xfId="37828"/>
    <cellStyle name="CALC Currency Total [2] 18 8 4" xfId="43683"/>
    <cellStyle name="CALC Currency Total [2] 18 9" xfId="23455"/>
    <cellStyle name="CALC Currency Total [2] 18 9 2" xfId="43684"/>
    <cellStyle name="CALC Currency Total [2] 19" xfId="15238"/>
    <cellStyle name="CALC Currency Total [2] 19 10" xfId="43685"/>
    <cellStyle name="CALC Currency Total [2] 19 11" xfId="43686"/>
    <cellStyle name="CALC Currency Total [2] 19 2" xfId="16318"/>
    <cellStyle name="CALC Currency Total [2] 19 2 2" xfId="24631"/>
    <cellStyle name="CALC Currency Total [2] 19 2 2 2" xfId="43687"/>
    <cellStyle name="CALC Currency Total [2] 19 2 3" xfId="31898"/>
    <cellStyle name="CALC Currency Total [2] 19 2 4" xfId="43688"/>
    <cellStyle name="CALC Currency Total [2] 19 3" xfId="17284"/>
    <cellStyle name="CALC Currency Total [2] 19 3 2" xfId="25605"/>
    <cellStyle name="CALC Currency Total [2] 19 3 2 2" xfId="43689"/>
    <cellStyle name="CALC Currency Total [2] 19 3 3" xfId="32831"/>
    <cellStyle name="CALC Currency Total [2] 19 3 4" xfId="43690"/>
    <cellStyle name="CALC Currency Total [2] 19 4" xfId="18312"/>
    <cellStyle name="CALC Currency Total [2] 19 4 2" xfId="26632"/>
    <cellStyle name="CALC Currency Total [2] 19 4 2 2" xfId="43691"/>
    <cellStyle name="CALC Currency Total [2] 19 4 3" xfId="33809"/>
    <cellStyle name="CALC Currency Total [2] 19 4 4" xfId="43692"/>
    <cellStyle name="CALC Currency Total [2] 19 5" xfId="19296"/>
    <cellStyle name="CALC Currency Total [2] 19 5 2" xfId="27616"/>
    <cellStyle name="CALC Currency Total [2] 19 5 2 2" xfId="43693"/>
    <cellStyle name="CALC Currency Total [2] 19 5 3" xfId="34764"/>
    <cellStyle name="CALC Currency Total [2] 19 5 4" xfId="43694"/>
    <cellStyle name="CALC Currency Total [2] 19 6" xfId="20264"/>
    <cellStyle name="CALC Currency Total [2] 19 6 2" xfId="28586"/>
    <cellStyle name="CALC Currency Total [2] 19 6 2 2" xfId="43695"/>
    <cellStyle name="CALC Currency Total [2] 19 6 3" xfId="35701"/>
    <cellStyle name="CALC Currency Total [2] 19 6 4" xfId="43696"/>
    <cellStyle name="CALC Currency Total [2] 19 7" xfId="21725"/>
    <cellStyle name="CALC Currency Total [2] 19 7 2" xfId="30026"/>
    <cellStyle name="CALC Currency Total [2] 19 7 2 2" xfId="43697"/>
    <cellStyle name="CALC Currency Total [2] 19 7 3" xfId="37075"/>
    <cellStyle name="CALC Currency Total [2] 19 7 4" xfId="43698"/>
    <cellStyle name="CALC Currency Total [2] 19 8" xfId="22653"/>
    <cellStyle name="CALC Currency Total [2] 19 8 2" xfId="30949"/>
    <cellStyle name="CALC Currency Total [2] 19 8 2 2" xfId="43699"/>
    <cellStyle name="CALC Currency Total [2] 19 8 3" xfId="37958"/>
    <cellStyle name="CALC Currency Total [2] 19 8 4" xfId="43700"/>
    <cellStyle name="CALC Currency Total [2] 19 9" xfId="23595"/>
    <cellStyle name="CALC Currency Total [2] 19 9 2" xfId="43701"/>
    <cellStyle name="CALC Currency Total [2] 2" xfId="14464"/>
    <cellStyle name="CALC Currency Total [2] 2 10" xfId="14790"/>
    <cellStyle name="CALC Currency Total [2] 2 10 10" xfId="23155"/>
    <cellStyle name="CALC Currency Total [2] 2 10 10 2" xfId="43702"/>
    <cellStyle name="CALC Currency Total [2] 2 10 11" xfId="43703"/>
    <cellStyle name="CALC Currency Total [2] 2 10 12" xfId="43704"/>
    <cellStyle name="CALC Currency Total [2] 2 10 2" xfId="15871"/>
    <cellStyle name="CALC Currency Total [2] 2 10 2 2" xfId="24190"/>
    <cellStyle name="CALC Currency Total [2] 2 10 2 2 2" xfId="43705"/>
    <cellStyle name="CALC Currency Total [2] 2 10 2 3" xfId="31476"/>
    <cellStyle name="CALC Currency Total [2] 2 10 2 4" xfId="43706"/>
    <cellStyle name="CALC Currency Total [2] 2 10 3" xfId="16837"/>
    <cellStyle name="CALC Currency Total [2] 2 10 3 2" xfId="25162"/>
    <cellStyle name="CALC Currency Total [2] 2 10 3 2 2" xfId="43707"/>
    <cellStyle name="CALC Currency Total [2] 2 10 3 3" xfId="32409"/>
    <cellStyle name="CALC Currency Total [2] 2 10 3 4" xfId="43708"/>
    <cellStyle name="CALC Currency Total [2] 2 10 4" xfId="17864"/>
    <cellStyle name="CALC Currency Total [2] 2 10 4 2" xfId="26188"/>
    <cellStyle name="CALC Currency Total [2] 2 10 4 2 2" xfId="43709"/>
    <cellStyle name="CALC Currency Total [2] 2 10 4 3" xfId="33386"/>
    <cellStyle name="CALC Currency Total [2] 2 10 4 4" xfId="43710"/>
    <cellStyle name="CALC Currency Total [2] 2 10 5" xfId="18848"/>
    <cellStyle name="CALC Currency Total [2] 2 10 5 2" xfId="27169"/>
    <cellStyle name="CALC Currency Total [2] 2 10 5 2 2" xfId="43711"/>
    <cellStyle name="CALC Currency Total [2] 2 10 5 3" xfId="34326"/>
    <cellStyle name="CALC Currency Total [2] 2 10 5 4" xfId="43712"/>
    <cellStyle name="CALC Currency Total [2] 2 10 6" xfId="19816"/>
    <cellStyle name="CALC Currency Total [2] 2 10 6 2" xfId="28138"/>
    <cellStyle name="CALC Currency Total [2] 2 10 6 2 2" xfId="43713"/>
    <cellStyle name="CALC Currency Total [2] 2 10 6 3" xfId="35272"/>
    <cellStyle name="CALC Currency Total [2] 2 10 6 4" xfId="43714"/>
    <cellStyle name="CALC Currency Total [2] 2 10 7" xfId="20774"/>
    <cellStyle name="CALC Currency Total [2] 2 10 7 2" xfId="29095"/>
    <cellStyle name="CALC Currency Total [2] 2 10 7 2 2" xfId="43715"/>
    <cellStyle name="CALC Currency Total [2] 2 10 7 3" xfId="36185"/>
    <cellStyle name="CALC Currency Total [2] 2 10 7 4" xfId="43716"/>
    <cellStyle name="CALC Currency Total [2] 2 10 8" xfId="21325"/>
    <cellStyle name="CALC Currency Total [2] 2 10 8 2" xfId="29630"/>
    <cellStyle name="CALC Currency Total [2] 2 10 8 2 2" xfId="43717"/>
    <cellStyle name="CALC Currency Total [2] 2 10 8 3" xfId="36696"/>
    <cellStyle name="CALC Currency Total [2] 2 10 8 4" xfId="43718"/>
    <cellStyle name="CALC Currency Total [2] 2 10 9" xfId="22210"/>
    <cellStyle name="CALC Currency Total [2] 2 10 9 2" xfId="30508"/>
    <cellStyle name="CALC Currency Total [2] 2 10 9 2 2" xfId="43719"/>
    <cellStyle name="CALC Currency Total [2] 2 10 9 3" xfId="37537"/>
    <cellStyle name="CALC Currency Total [2] 2 10 9 4" xfId="43720"/>
    <cellStyle name="CALC Currency Total [2] 2 11" xfId="14881"/>
    <cellStyle name="CALC Currency Total [2] 2 11 10" xfId="23244"/>
    <cellStyle name="CALC Currency Total [2] 2 11 10 2" xfId="43721"/>
    <cellStyle name="CALC Currency Total [2] 2 11 11" xfId="43722"/>
    <cellStyle name="CALC Currency Total [2] 2 11 12" xfId="43723"/>
    <cellStyle name="CALC Currency Total [2] 2 11 2" xfId="15962"/>
    <cellStyle name="CALC Currency Total [2] 2 11 2 2" xfId="24279"/>
    <cellStyle name="CALC Currency Total [2] 2 11 2 2 2" xfId="43724"/>
    <cellStyle name="CALC Currency Total [2] 2 11 2 3" xfId="31562"/>
    <cellStyle name="CALC Currency Total [2] 2 11 2 4" xfId="43725"/>
    <cellStyle name="CALC Currency Total [2] 2 11 3" xfId="16928"/>
    <cellStyle name="CALC Currency Total [2] 2 11 3 2" xfId="25251"/>
    <cellStyle name="CALC Currency Total [2] 2 11 3 2 2" xfId="43726"/>
    <cellStyle name="CALC Currency Total [2] 2 11 3 3" xfId="32495"/>
    <cellStyle name="CALC Currency Total [2] 2 11 3 4" xfId="43727"/>
    <cellStyle name="CALC Currency Total [2] 2 11 4" xfId="17955"/>
    <cellStyle name="CALC Currency Total [2] 2 11 4 2" xfId="26277"/>
    <cellStyle name="CALC Currency Total [2] 2 11 4 2 2" xfId="43728"/>
    <cellStyle name="CALC Currency Total [2] 2 11 4 3" xfId="33472"/>
    <cellStyle name="CALC Currency Total [2] 2 11 4 4" xfId="43729"/>
    <cellStyle name="CALC Currency Total [2] 2 11 5" xfId="18939"/>
    <cellStyle name="CALC Currency Total [2] 2 11 5 2" xfId="27259"/>
    <cellStyle name="CALC Currency Total [2] 2 11 5 2 2" xfId="43730"/>
    <cellStyle name="CALC Currency Total [2] 2 11 5 3" xfId="34413"/>
    <cellStyle name="CALC Currency Total [2] 2 11 5 4" xfId="43731"/>
    <cellStyle name="CALC Currency Total [2] 2 11 6" xfId="19907"/>
    <cellStyle name="CALC Currency Total [2] 2 11 6 2" xfId="28229"/>
    <cellStyle name="CALC Currency Total [2] 2 11 6 2 2" xfId="43732"/>
    <cellStyle name="CALC Currency Total [2] 2 11 6 3" xfId="35360"/>
    <cellStyle name="CALC Currency Total [2] 2 11 6 4" xfId="43733"/>
    <cellStyle name="CALC Currency Total [2] 2 11 7" xfId="20865"/>
    <cellStyle name="CALC Currency Total [2] 2 11 7 2" xfId="29184"/>
    <cellStyle name="CALC Currency Total [2] 2 11 7 2 2" xfId="43734"/>
    <cellStyle name="CALC Currency Total [2] 2 11 7 3" xfId="36270"/>
    <cellStyle name="CALC Currency Total [2] 2 11 7 4" xfId="43735"/>
    <cellStyle name="CALC Currency Total [2] 2 11 8" xfId="20111"/>
    <cellStyle name="CALC Currency Total [2] 2 11 8 2" xfId="28433"/>
    <cellStyle name="CALC Currency Total [2] 2 11 8 2 2" xfId="43736"/>
    <cellStyle name="CALC Currency Total [2] 2 11 8 3" xfId="35558"/>
    <cellStyle name="CALC Currency Total [2] 2 11 8 4" xfId="43737"/>
    <cellStyle name="CALC Currency Total [2] 2 11 9" xfId="22300"/>
    <cellStyle name="CALC Currency Total [2] 2 11 9 2" xfId="30598"/>
    <cellStyle name="CALC Currency Total [2] 2 11 9 2 2" xfId="43738"/>
    <cellStyle name="CALC Currency Total [2] 2 11 9 3" xfId="37623"/>
    <cellStyle name="CALC Currency Total [2] 2 11 9 4" xfId="43739"/>
    <cellStyle name="CALC Currency Total [2] 2 12" xfId="14897"/>
    <cellStyle name="CALC Currency Total [2] 2 12 10" xfId="23260"/>
    <cellStyle name="CALC Currency Total [2] 2 12 10 2" xfId="43740"/>
    <cellStyle name="CALC Currency Total [2] 2 12 11" xfId="43741"/>
    <cellStyle name="CALC Currency Total [2] 2 12 12" xfId="43742"/>
    <cellStyle name="CALC Currency Total [2] 2 12 2" xfId="15978"/>
    <cellStyle name="CALC Currency Total [2] 2 12 2 2" xfId="24295"/>
    <cellStyle name="CALC Currency Total [2] 2 12 2 2 2" xfId="43743"/>
    <cellStyle name="CALC Currency Total [2] 2 12 2 3" xfId="31576"/>
    <cellStyle name="CALC Currency Total [2] 2 12 2 4" xfId="43744"/>
    <cellStyle name="CALC Currency Total [2] 2 12 3" xfId="16944"/>
    <cellStyle name="CALC Currency Total [2] 2 12 3 2" xfId="25267"/>
    <cellStyle name="CALC Currency Total [2] 2 12 3 2 2" xfId="43745"/>
    <cellStyle name="CALC Currency Total [2] 2 12 3 3" xfId="32509"/>
    <cellStyle name="CALC Currency Total [2] 2 12 3 4" xfId="43746"/>
    <cellStyle name="CALC Currency Total [2] 2 12 4" xfId="17971"/>
    <cellStyle name="CALC Currency Total [2] 2 12 4 2" xfId="26293"/>
    <cellStyle name="CALC Currency Total [2] 2 12 4 2 2" xfId="43747"/>
    <cellStyle name="CALC Currency Total [2] 2 12 4 3" xfId="33486"/>
    <cellStyle name="CALC Currency Total [2] 2 12 4 4" xfId="43748"/>
    <cellStyle name="CALC Currency Total [2] 2 12 5" xfId="18955"/>
    <cellStyle name="CALC Currency Total [2] 2 12 5 2" xfId="27275"/>
    <cellStyle name="CALC Currency Total [2] 2 12 5 2 2" xfId="43749"/>
    <cellStyle name="CALC Currency Total [2] 2 12 5 3" xfId="34427"/>
    <cellStyle name="CALC Currency Total [2] 2 12 5 4" xfId="43750"/>
    <cellStyle name="CALC Currency Total [2] 2 12 6" xfId="19923"/>
    <cellStyle name="CALC Currency Total [2] 2 12 6 2" xfId="28245"/>
    <cellStyle name="CALC Currency Total [2] 2 12 6 2 2" xfId="43751"/>
    <cellStyle name="CALC Currency Total [2] 2 12 6 3" xfId="35374"/>
    <cellStyle name="CALC Currency Total [2] 2 12 6 4" xfId="43752"/>
    <cellStyle name="CALC Currency Total [2] 2 12 7" xfId="20881"/>
    <cellStyle name="CALC Currency Total [2] 2 12 7 2" xfId="29200"/>
    <cellStyle name="CALC Currency Total [2] 2 12 7 2 2" xfId="43753"/>
    <cellStyle name="CALC Currency Total [2] 2 12 7 3" xfId="36284"/>
    <cellStyle name="CALC Currency Total [2] 2 12 7 4" xfId="43754"/>
    <cellStyle name="CALC Currency Total [2] 2 12 8" xfId="21388"/>
    <cellStyle name="CALC Currency Total [2] 2 12 8 2" xfId="29691"/>
    <cellStyle name="CALC Currency Total [2] 2 12 8 2 2" xfId="43755"/>
    <cellStyle name="CALC Currency Total [2] 2 12 8 3" xfId="36754"/>
    <cellStyle name="CALC Currency Total [2] 2 12 8 4" xfId="43756"/>
    <cellStyle name="CALC Currency Total [2] 2 12 9" xfId="22316"/>
    <cellStyle name="CALC Currency Total [2] 2 12 9 2" xfId="30614"/>
    <cellStyle name="CALC Currency Total [2] 2 12 9 2 2" xfId="43757"/>
    <cellStyle name="CALC Currency Total [2] 2 12 9 3" xfId="37637"/>
    <cellStyle name="CALC Currency Total [2] 2 12 9 4" xfId="43758"/>
    <cellStyle name="CALC Currency Total [2] 2 13" xfId="14864"/>
    <cellStyle name="CALC Currency Total [2] 2 13 10" xfId="23227"/>
    <cellStyle name="CALC Currency Total [2] 2 13 10 2" xfId="43759"/>
    <cellStyle name="CALC Currency Total [2] 2 13 11" xfId="43760"/>
    <cellStyle name="CALC Currency Total [2] 2 13 12" xfId="43761"/>
    <cellStyle name="CALC Currency Total [2] 2 13 2" xfId="15945"/>
    <cellStyle name="CALC Currency Total [2] 2 13 2 2" xfId="24262"/>
    <cellStyle name="CALC Currency Total [2] 2 13 2 2 2" xfId="43762"/>
    <cellStyle name="CALC Currency Total [2] 2 13 2 3" xfId="31546"/>
    <cellStyle name="CALC Currency Total [2] 2 13 2 4" xfId="43763"/>
    <cellStyle name="CALC Currency Total [2] 2 13 3" xfId="16911"/>
    <cellStyle name="CALC Currency Total [2] 2 13 3 2" xfId="25234"/>
    <cellStyle name="CALC Currency Total [2] 2 13 3 2 2" xfId="43764"/>
    <cellStyle name="CALC Currency Total [2] 2 13 3 3" xfId="32479"/>
    <cellStyle name="CALC Currency Total [2] 2 13 3 4" xfId="43765"/>
    <cellStyle name="CALC Currency Total [2] 2 13 4" xfId="17938"/>
    <cellStyle name="CALC Currency Total [2] 2 13 4 2" xfId="26260"/>
    <cellStyle name="CALC Currency Total [2] 2 13 4 2 2" xfId="43766"/>
    <cellStyle name="CALC Currency Total [2] 2 13 4 3" xfId="33456"/>
    <cellStyle name="CALC Currency Total [2] 2 13 4 4" xfId="43767"/>
    <cellStyle name="CALC Currency Total [2] 2 13 5" xfId="18922"/>
    <cellStyle name="CALC Currency Total [2] 2 13 5 2" xfId="27242"/>
    <cellStyle name="CALC Currency Total [2] 2 13 5 2 2" xfId="43768"/>
    <cellStyle name="CALC Currency Total [2] 2 13 5 3" xfId="34397"/>
    <cellStyle name="CALC Currency Total [2] 2 13 5 4" xfId="43769"/>
    <cellStyle name="CALC Currency Total [2] 2 13 6" xfId="19890"/>
    <cellStyle name="CALC Currency Total [2] 2 13 6 2" xfId="28212"/>
    <cellStyle name="CALC Currency Total [2] 2 13 6 2 2" xfId="43770"/>
    <cellStyle name="CALC Currency Total [2] 2 13 6 3" xfId="35344"/>
    <cellStyle name="CALC Currency Total [2] 2 13 6 4" xfId="43771"/>
    <cellStyle name="CALC Currency Total [2] 2 13 7" xfId="20848"/>
    <cellStyle name="CALC Currency Total [2] 2 13 7 2" xfId="29167"/>
    <cellStyle name="CALC Currency Total [2] 2 13 7 2 2" xfId="43772"/>
    <cellStyle name="CALC Currency Total [2] 2 13 7 3" xfId="36254"/>
    <cellStyle name="CALC Currency Total [2] 2 13 7 4" xfId="43773"/>
    <cellStyle name="CALC Currency Total [2] 2 13 8" xfId="16555"/>
    <cellStyle name="CALC Currency Total [2] 2 13 8 2" xfId="24868"/>
    <cellStyle name="CALC Currency Total [2] 2 13 8 2 2" xfId="43774"/>
    <cellStyle name="CALC Currency Total [2] 2 13 8 3" xfId="32128"/>
    <cellStyle name="CALC Currency Total [2] 2 13 8 4" xfId="43775"/>
    <cellStyle name="CALC Currency Total [2] 2 13 9" xfId="22283"/>
    <cellStyle name="CALC Currency Total [2] 2 13 9 2" xfId="30581"/>
    <cellStyle name="CALC Currency Total [2] 2 13 9 2 2" xfId="43776"/>
    <cellStyle name="CALC Currency Total [2] 2 13 9 3" xfId="37607"/>
    <cellStyle name="CALC Currency Total [2] 2 13 9 4" xfId="43777"/>
    <cellStyle name="CALC Currency Total [2] 2 14" xfId="14980"/>
    <cellStyle name="CALC Currency Total [2] 2 14 10" xfId="23341"/>
    <cellStyle name="CALC Currency Total [2] 2 14 10 2" xfId="43778"/>
    <cellStyle name="CALC Currency Total [2] 2 14 11" xfId="43779"/>
    <cellStyle name="CALC Currency Total [2] 2 14 12" xfId="43780"/>
    <cellStyle name="CALC Currency Total [2] 2 14 2" xfId="16061"/>
    <cellStyle name="CALC Currency Total [2] 2 14 2 2" xfId="24376"/>
    <cellStyle name="CALC Currency Total [2] 2 14 2 2 2" xfId="43781"/>
    <cellStyle name="CALC Currency Total [2] 2 14 2 3" xfId="31655"/>
    <cellStyle name="CALC Currency Total [2] 2 14 2 4" xfId="43782"/>
    <cellStyle name="CALC Currency Total [2] 2 14 3" xfId="17027"/>
    <cellStyle name="CALC Currency Total [2] 2 14 3 2" xfId="25348"/>
    <cellStyle name="CALC Currency Total [2] 2 14 3 2 2" xfId="43783"/>
    <cellStyle name="CALC Currency Total [2] 2 14 3 3" xfId="32588"/>
    <cellStyle name="CALC Currency Total [2] 2 14 3 4" xfId="43784"/>
    <cellStyle name="CALC Currency Total [2] 2 14 4" xfId="18054"/>
    <cellStyle name="CALC Currency Total [2] 2 14 4 2" xfId="26374"/>
    <cellStyle name="CALC Currency Total [2] 2 14 4 2 2" xfId="43785"/>
    <cellStyle name="CALC Currency Total [2] 2 14 4 3" xfId="33565"/>
    <cellStyle name="CALC Currency Total [2] 2 14 4 4" xfId="43786"/>
    <cellStyle name="CALC Currency Total [2] 2 14 5" xfId="19038"/>
    <cellStyle name="CALC Currency Total [2] 2 14 5 2" xfId="27358"/>
    <cellStyle name="CALC Currency Total [2] 2 14 5 2 2" xfId="43787"/>
    <cellStyle name="CALC Currency Total [2] 2 14 5 3" xfId="34508"/>
    <cellStyle name="CALC Currency Total [2] 2 14 5 4" xfId="43788"/>
    <cellStyle name="CALC Currency Total [2] 2 14 6" xfId="20006"/>
    <cellStyle name="CALC Currency Total [2] 2 14 6 2" xfId="28328"/>
    <cellStyle name="CALC Currency Total [2] 2 14 6 2 2" xfId="43789"/>
    <cellStyle name="CALC Currency Total [2] 2 14 6 3" xfId="35455"/>
    <cellStyle name="CALC Currency Total [2] 2 14 6 4" xfId="43790"/>
    <cellStyle name="CALC Currency Total [2] 2 14 7" xfId="20964"/>
    <cellStyle name="CALC Currency Total [2] 2 14 7 2" xfId="29281"/>
    <cellStyle name="CALC Currency Total [2] 2 14 7 2 2" xfId="43791"/>
    <cellStyle name="CALC Currency Total [2] 2 14 7 3" xfId="36363"/>
    <cellStyle name="CALC Currency Total [2] 2 14 7 4" xfId="43792"/>
    <cellStyle name="CALC Currency Total [2] 2 14 8" xfId="21471"/>
    <cellStyle name="CALC Currency Total [2] 2 14 8 2" xfId="29772"/>
    <cellStyle name="CALC Currency Total [2] 2 14 8 2 2" xfId="43793"/>
    <cellStyle name="CALC Currency Total [2] 2 14 8 3" xfId="36833"/>
    <cellStyle name="CALC Currency Total [2] 2 14 8 4" xfId="43794"/>
    <cellStyle name="CALC Currency Total [2] 2 14 9" xfId="22399"/>
    <cellStyle name="CALC Currency Total [2] 2 14 9 2" xfId="30695"/>
    <cellStyle name="CALC Currency Total [2] 2 14 9 2 2" xfId="43795"/>
    <cellStyle name="CALC Currency Total [2] 2 14 9 3" xfId="37716"/>
    <cellStyle name="CALC Currency Total [2] 2 14 9 4" xfId="43796"/>
    <cellStyle name="CALC Currency Total [2] 2 15" xfId="15061"/>
    <cellStyle name="CALC Currency Total [2] 2 15 10" xfId="23421"/>
    <cellStyle name="CALC Currency Total [2] 2 15 10 2" xfId="43797"/>
    <cellStyle name="CALC Currency Total [2] 2 15 11" xfId="43798"/>
    <cellStyle name="CALC Currency Total [2] 2 15 12" xfId="43799"/>
    <cellStyle name="CALC Currency Total [2] 2 15 2" xfId="16141"/>
    <cellStyle name="CALC Currency Total [2] 2 15 2 2" xfId="24456"/>
    <cellStyle name="CALC Currency Total [2] 2 15 2 2 2" xfId="43800"/>
    <cellStyle name="CALC Currency Total [2] 2 15 2 3" xfId="31733"/>
    <cellStyle name="CALC Currency Total [2] 2 15 2 4" xfId="43801"/>
    <cellStyle name="CALC Currency Total [2] 2 15 3" xfId="17108"/>
    <cellStyle name="CALC Currency Total [2] 2 15 3 2" xfId="25429"/>
    <cellStyle name="CALC Currency Total [2] 2 15 3 2 2" xfId="43802"/>
    <cellStyle name="CALC Currency Total [2] 2 15 3 3" xfId="32667"/>
    <cellStyle name="CALC Currency Total [2] 2 15 3 4" xfId="43803"/>
    <cellStyle name="CALC Currency Total [2] 2 15 4" xfId="18135"/>
    <cellStyle name="CALC Currency Total [2] 2 15 4 2" xfId="26455"/>
    <cellStyle name="CALC Currency Total [2] 2 15 4 2 2" xfId="43804"/>
    <cellStyle name="CALC Currency Total [2] 2 15 4 3" xfId="33644"/>
    <cellStyle name="CALC Currency Total [2] 2 15 4 4" xfId="43805"/>
    <cellStyle name="CALC Currency Total [2] 2 15 5" xfId="19119"/>
    <cellStyle name="CALC Currency Total [2] 2 15 5 2" xfId="27439"/>
    <cellStyle name="CALC Currency Total [2] 2 15 5 2 2" xfId="43806"/>
    <cellStyle name="CALC Currency Total [2] 2 15 5 3" xfId="34587"/>
    <cellStyle name="CALC Currency Total [2] 2 15 5 4" xfId="43807"/>
    <cellStyle name="CALC Currency Total [2] 2 15 6" xfId="20087"/>
    <cellStyle name="CALC Currency Total [2] 2 15 6 2" xfId="28409"/>
    <cellStyle name="CALC Currency Total [2] 2 15 6 2 2" xfId="43808"/>
    <cellStyle name="CALC Currency Total [2] 2 15 6 3" xfId="35534"/>
    <cellStyle name="CALC Currency Total [2] 2 15 6 4" xfId="43809"/>
    <cellStyle name="CALC Currency Total [2] 2 15 7" xfId="21044"/>
    <cellStyle name="CALC Currency Total [2] 2 15 7 2" xfId="29361"/>
    <cellStyle name="CALC Currency Total [2] 2 15 7 2 2" xfId="43810"/>
    <cellStyle name="CALC Currency Total [2] 2 15 7 3" xfId="36441"/>
    <cellStyle name="CALC Currency Total [2] 2 15 7 4" xfId="43811"/>
    <cellStyle name="CALC Currency Total [2] 2 15 8" xfId="21551"/>
    <cellStyle name="CALC Currency Total [2] 2 15 8 2" xfId="29852"/>
    <cellStyle name="CALC Currency Total [2] 2 15 8 2 2" xfId="43812"/>
    <cellStyle name="CALC Currency Total [2] 2 15 8 3" xfId="36911"/>
    <cellStyle name="CALC Currency Total [2] 2 15 8 4" xfId="43813"/>
    <cellStyle name="CALC Currency Total [2] 2 15 9" xfId="22479"/>
    <cellStyle name="CALC Currency Total [2] 2 15 9 2" xfId="30775"/>
    <cellStyle name="CALC Currency Total [2] 2 15 9 2 2" xfId="43814"/>
    <cellStyle name="CALC Currency Total [2] 2 15 9 3" xfId="37794"/>
    <cellStyle name="CALC Currency Total [2] 2 15 9 4" xfId="43815"/>
    <cellStyle name="CALC Currency Total [2] 2 16" xfId="15146"/>
    <cellStyle name="CALC Currency Total [2] 2 16 10" xfId="43816"/>
    <cellStyle name="CALC Currency Total [2] 2 16 11" xfId="43817"/>
    <cellStyle name="CALC Currency Total [2] 2 16 2" xfId="16226"/>
    <cellStyle name="CALC Currency Total [2] 2 16 2 2" xfId="24539"/>
    <cellStyle name="CALC Currency Total [2] 2 16 2 2 2" xfId="43818"/>
    <cellStyle name="CALC Currency Total [2] 2 16 2 3" xfId="31814"/>
    <cellStyle name="CALC Currency Total [2] 2 16 2 4" xfId="43819"/>
    <cellStyle name="CALC Currency Total [2] 2 16 3" xfId="17192"/>
    <cellStyle name="CALC Currency Total [2] 2 16 3 2" xfId="25513"/>
    <cellStyle name="CALC Currency Total [2] 2 16 3 2 2" xfId="43820"/>
    <cellStyle name="CALC Currency Total [2] 2 16 3 3" xfId="32747"/>
    <cellStyle name="CALC Currency Total [2] 2 16 3 4" xfId="43821"/>
    <cellStyle name="CALC Currency Total [2] 2 16 4" xfId="18220"/>
    <cellStyle name="CALC Currency Total [2] 2 16 4 2" xfId="26540"/>
    <cellStyle name="CALC Currency Total [2] 2 16 4 2 2" xfId="43822"/>
    <cellStyle name="CALC Currency Total [2] 2 16 4 3" xfId="33725"/>
    <cellStyle name="CALC Currency Total [2] 2 16 4 4" xfId="43823"/>
    <cellStyle name="CALC Currency Total [2] 2 16 5" xfId="19204"/>
    <cellStyle name="CALC Currency Total [2] 2 16 5 2" xfId="27524"/>
    <cellStyle name="CALC Currency Total [2] 2 16 5 2 2" xfId="43824"/>
    <cellStyle name="CALC Currency Total [2] 2 16 5 3" xfId="34672"/>
    <cellStyle name="CALC Currency Total [2] 2 16 5 4" xfId="43825"/>
    <cellStyle name="CALC Currency Total [2] 2 16 6" xfId="20172"/>
    <cellStyle name="CALC Currency Total [2] 2 16 6 2" xfId="28494"/>
    <cellStyle name="CALC Currency Total [2] 2 16 6 2 2" xfId="43826"/>
    <cellStyle name="CALC Currency Total [2] 2 16 6 3" xfId="35617"/>
    <cellStyle name="CALC Currency Total [2] 2 16 6 4" xfId="43827"/>
    <cellStyle name="CALC Currency Total [2] 2 16 7" xfId="21633"/>
    <cellStyle name="CALC Currency Total [2] 2 16 7 2" xfId="29934"/>
    <cellStyle name="CALC Currency Total [2] 2 16 7 2 2" xfId="43828"/>
    <cellStyle name="CALC Currency Total [2] 2 16 7 3" xfId="36991"/>
    <cellStyle name="CALC Currency Total [2] 2 16 7 4" xfId="43829"/>
    <cellStyle name="CALC Currency Total [2] 2 16 8" xfId="22561"/>
    <cellStyle name="CALC Currency Total [2] 2 16 8 2" xfId="30857"/>
    <cellStyle name="CALC Currency Total [2] 2 16 8 2 2" xfId="43830"/>
    <cellStyle name="CALC Currency Total [2] 2 16 8 3" xfId="37874"/>
    <cellStyle name="CALC Currency Total [2] 2 16 8 4" xfId="43831"/>
    <cellStyle name="CALC Currency Total [2] 2 16 9" xfId="23503"/>
    <cellStyle name="CALC Currency Total [2] 2 16 9 2" xfId="43832"/>
    <cellStyle name="CALC Currency Total [2] 2 17" xfId="15166"/>
    <cellStyle name="CALC Currency Total [2] 2 17 10" xfId="43833"/>
    <cellStyle name="CALC Currency Total [2] 2 17 11" xfId="43834"/>
    <cellStyle name="CALC Currency Total [2] 2 17 2" xfId="16246"/>
    <cellStyle name="CALC Currency Total [2] 2 17 2 2" xfId="24559"/>
    <cellStyle name="CALC Currency Total [2] 2 17 2 2 2" xfId="43835"/>
    <cellStyle name="CALC Currency Total [2] 2 17 2 3" xfId="31832"/>
    <cellStyle name="CALC Currency Total [2] 2 17 2 4" xfId="43836"/>
    <cellStyle name="CALC Currency Total [2] 2 17 3" xfId="17212"/>
    <cellStyle name="CALC Currency Total [2] 2 17 3 2" xfId="25533"/>
    <cellStyle name="CALC Currency Total [2] 2 17 3 2 2" xfId="43837"/>
    <cellStyle name="CALC Currency Total [2] 2 17 3 3" xfId="32765"/>
    <cellStyle name="CALC Currency Total [2] 2 17 3 4" xfId="43838"/>
    <cellStyle name="CALC Currency Total [2] 2 17 4" xfId="18240"/>
    <cellStyle name="CALC Currency Total [2] 2 17 4 2" xfId="26560"/>
    <cellStyle name="CALC Currency Total [2] 2 17 4 2 2" xfId="43839"/>
    <cellStyle name="CALC Currency Total [2] 2 17 4 3" xfId="33743"/>
    <cellStyle name="CALC Currency Total [2] 2 17 4 4" xfId="43840"/>
    <cellStyle name="CALC Currency Total [2] 2 17 5" xfId="19224"/>
    <cellStyle name="CALC Currency Total [2] 2 17 5 2" xfId="27544"/>
    <cellStyle name="CALC Currency Total [2] 2 17 5 2 2" xfId="43841"/>
    <cellStyle name="CALC Currency Total [2] 2 17 5 3" xfId="34692"/>
    <cellStyle name="CALC Currency Total [2] 2 17 5 4" xfId="43842"/>
    <cellStyle name="CALC Currency Total [2] 2 17 6" xfId="20192"/>
    <cellStyle name="CALC Currency Total [2] 2 17 6 2" xfId="28514"/>
    <cellStyle name="CALC Currency Total [2] 2 17 6 2 2" xfId="43843"/>
    <cellStyle name="CALC Currency Total [2] 2 17 6 3" xfId="35635"/>
    <cellStyle name="CALC Currency Total [2] 2 17 6 4" xfId="43844"/>
    <cellStyle name="CALC Currency Total [2] 2 17 7" xfId="21653"/>
    <cellStyle name="CALC Currency Total [2] 2 17 7 2" xfId="29954"/>
    <cellStyle name="CALC Currency Total [2] 2 17 7 2 2" xfId="43845"/>
    <cellStyle name="CALC Currency Total [2] 2 17 7 3" xfId="37009"/>
    <cellStyle name="CALC Currency Total [2] 2 17 7 4" xfId="43846"/>
    <cellStyle name="CALC Currency Total [2] 2 17 8" xfId="22581"/>
    <cellStyle name="CALC Currency Total [2] 2 17 8 2" xfId="30877"/>
    <cellStyle name="CALC Currency Total [2] 2 17 8 2 2" xfId="43847"/>
    <cellStyle name="CALC Currency Total [2] 2 17 8 3" xfId="37892"/>
    <cellStyle name="CALC Currency Total [2] 2 17 8 4" xfId="43848"/>
    <cellStyle name="CALC Currency Total [2] 2 17 9" xfId="23523"/>
    <cellStyle name="CALC Currency Total [2] 2 17 9 2" xfId="43849"/>
    <cellStyle name="CALC Currency Total [2] 2 18" xfId="15188"/>
    <cellStyle name="CALC Currency Total [2] 2 18 10" xfId="43850"/>
    <cellStyle name="CALC Currency Total [2] 2 18 11" xfId="43851"/>
    <cellStyle name="CALC Currency Total [2] 2 18 2" xfId="16268"/>
    <cellStyle name="CALC Currency Total [2] 2 18 2 2" xfId="24581"/>
    <cellStyle name="CALC Currency Total [2] 2 18 2 2 2" xfId="43852"/>
    <cellStyle name="CALC Currency Total [2] 2 18 2 3" xfId="31853"/>
    <cellStyle name="CALC Currency Total [2] 2 18 2 4" xfId="43853"/>
    <cellStyle name="CALC Currency Total [2] 2 18 3" xfId="17234"/>
    <cellStyle name="CALC Currency Total [2] 2 18 3 2" xfId="25555"/>
    <cellStyle name="CALC Currency Total [2] 2 18 3 2 2" xfId="43854"/>
    <cellStyle name="CALC Currency Total [2] 2 18 3 3" xfId="32786"/>
    <cellStyle name="CALC Currency Total [2] 2 18 3 4" xfId="43855"/>
    <cellStyle name="CALC Currency Total [2] 2 18 4" xfId="18262"/>
    <cellStyle name="CALC Currency Total [2] 2 18 4 2" xfId="26582"/>
    <cellStyle name="CALC Currency Total [2] 2 18 4 2 2" xfId="43856"/>
    <cellStyle name="CALC Currency Total [2] 2 18 4 3" xfId="33764"/>
    <cellStyle name="CALC Currency Total [2] 2 18 4 4" xfId="43857"/>
    <cellStyle name="CALC Currency Total [2] 2 18 5" xfId="19246"/>
    <cellStyle name="CALC Currency Total [2] 2 18 5 2" xfId="27566"/>
    <cellStyle name="CALC Currency Total [2] 2 18 5 2 2" xfId="43858"/>
    <cellStyle name="CALC Currency Total [2] 2 18 5 3" xfId="34714"/>
    <cellStyle name="CALC Currency Total [2] 2 18 5 4" xfId="43859"/>
    <cellStyle name="CALC Currency Total [2] 2 18 6" xfId="20214"/>
    <cellStyle name="CALC Currency Total [2] 2 18 6 2" xfId="28536"/>
    <cellStyle name="CALC Currency Total [2] 2 18 6 2 2" xfId="43860"/>
    <cellStyle name="CALC Currency Total [2] 2 18 6 3" xfId="35656"/>
    <cellStyle name="CALC Currency Total [2] 2 18 6 4" xfId="43861"/>
    <cellStyle name="CALC Currency Total [2] 2 18 7" xfId="21675"/>
    <cellStyle name="CALC Currency Total [2] 2 18 7 2" xfId="29976"/>
    <cellStyle name="CALC Currency Total [2] 2 18 7 2 2" xfId="43862"/>
    <cellStyle name="CALC Currency Total [2] 2 18 7 3" xfId="37030"/>
    <cellStyle name="CALC Currency Total [2] 2 18 7 4" xfId="43863"/>
    <cellStyle name="CALC Currency Total [2] 2 18 8" xfId="22603"/>
    <cellStyle name="CALC Currency Total [2] 2 18 8 2" xfId="30899"/>
    <cellStyle name="CALC Currency Total [2] 2 18 8 2 2" xfId="43864"/>
    <cellStyle name="CALC Currency Total [2] 2 18 8 3" xfId="37913"/>
    <cellStyle name="CALC Currency Total [2] 2 18 8 4" xfId="43865"/>
    <cellStyle name="CALC Currency Total [2] 2 18 9" xfId="23545"/>
    <cellStyle name="CALC Currency Total [2] 2 18 9 2" xfId="43866"/>
    <cellStyle name="CALC Currency Total [2] 2 19" xfId="15204"/>
    <cellStyle name="CALC Currency Total [2] 2 19 10" xfId="43867"/>
    <cellStyle name="CALC Currency Total [2] 2 19 11" xfId="43868"/>
    <cellStyle name="CALC Currency Total [2] 2 19 2" xfId="16284"/>
    <cellStyle name="CALC Currency Total [2] 2 19 2 2" xfId="24597"/>
    <cellStyle name="CALC Currency Total [2] 2 19 2 2 2" xfId="43869"/>
    <cellStyle name="CALC Currency Total [2] 2 19 2 3" xfId="31867"/>
    <cellStyle name="CALC Currency Total [2] 2 19 2 4" xfId="43870"/>
    <cellStyle name="CALC Currency Total [2] 2 19 3" xfId="17250"/>
    <cellStyle name="CALC Currency Total [2] 2 19 3 2" xfId="25571"/>
    <cellStyle name="CALC Currency Total [2] 2 19 3 2 2" xfId="43871"/>
    <cellStyle name="CALC Currency Total [2] 2 19 3 3" xfId="32800"/>
    <cellStyle name="CALC Currency Total [2] 2 19 3 4" xfId="43872"/>
    <cellStyle name="CALC Currency Total [2] 2 19 4" xfId="18278"/>
    <cellStyle name="CALC Currency Total [2] 2 19 4 2" xfId="26598"/>
    <cellStyle name="CALC Currency Total [2] 2 19 4 2 2" xfId="43873"/>
    <cellStyle name="CALC Currency Total [2] 2 19 4 3" xfId="33778"/>
    <cellStyle name="CALC Currency Total [2] 2 19 4 4" xfId="43874"/>
    <cellStyle name="CALC Currency Total [2] 2 19 5" xfId="19262"/>
    <cellStyle name="CALC Currency Total [2] 2 19 5 2" xfId="27582"/>
    <cellStyle name="CALC Currency Total [2] 2 19 5 2 2" xfId="43875"/>
    <cellStyle name="CALC Currency Total [2] 2 19 5 3" xfId="34730"/>
    <cellStyle name="CALC Currency Total [2] 2 19 5 4" xfId="43876"/>
    <cellStyle name="CALC Currency Total [2] 2 19 6" xfId="20230"/>
    <cellStyle name="CALC Currency Total [2] 2 19 6 2" xfId="28552"/>
    <cellStyle name="CALC Currency Total [2] 2 19 6 2 2" xfId="43877"/>
    <cellStyle name="CALC Currency Total [2] 2 19 6 3" xfId="35670"/>
    <cellStyle name="CALC Currency Total [2] 2 19 6 4" xfId="43878"/>
    <cellStyle name="CALC Currency Total [2] 2 19 7" xfId="21691"/>
    <cellStyle name="CALC Currency Total [2] 2 19 7 2" xfId="29992"/>
    <cellStyle name="CALC Currency Total [2] 2 19 7 2 2" xfId="43879"/>
    <cellStyle name="CALC Currency Total [2] 2 19 7 3" xfId="37044"/>
    <cellStyle name="CALC Currency Total [2] 2 19 7 4" xfId="43880"/>
    <cellStyle name="CALC Currency Total [2] 2 19 8" xfId="22619"/>
    <cellStyle name="CALC Currency Total [2] 2 19 8 2" xfId="30915"/>
    <cellStyle name="CALC Currency Total [2] 2 19 8 2 2" xfId="43881"/>
    <cellStyle name="CALC Currency Total [2] 2 19 8 3" xfId="37927"/>
    <cellStyle name="CALC Currency Total [2] 2 19 8 4" xfId="43882"/>
    <cellStyle name="CALC Currency Total [2] 2 19 9" xfId="23561"/>
    <cellStyle name="CALC Currency Total [2] 2 19 9 2" xfId="43883"/>
    <cellStyle name="CALC Currency Total [2] 2 2" xfId="14516"/>
    <cellStyle name="CALC Currency Total [2] 2 2 2" xfId="15578"/>
    <cellStyle name="CALC Currency Total [2] 2 2 2 2" xfId="43884"/>
    <cellStyle name="CALC Currency Total [2] 2 2 2 2 2" xfId="43885"/>
    <cellStyle name="CALC Currency Total [2] 2 2 3" xfId="17704"/>
    <cellStyle name="CALC Currency Total [2] 2 2 3 2" xfId="43886"/>
    <cellStyle name="CALC Currency Total [2] 2 20" xfId="15269"/>
    <cellStyle name="CALC Currency Total [2] 2 20 10" xfId="43887"/>
    <cellStyle name="CALC Currency Total [2] 2 20 11" xfId="43888"/>
    <cellStyle name="CALC Currency Total [2] 2 20 2" xfId="16349"/>
    <cellStyle name="CALC Currency Total [2] 2 20 2 2" xfId="24662"/>
    <cellStyle name="CALC Currency Total [2] 2 20 2 2 2" xfId="43889"/>
    <cellStyle name="CALC Currency Total [2] 2 20 2 3" xfId="31929"/>
    <cellStyle name="CALC Currency Total [2] 2 20 2 4" xfId="43890"/>
    <cellStyle name="CALC Currency Total [2] 2 20 3" xfId="17315"/>
    <cellStyle name="CALC Currency Total [2] 2 20 3 2" xfId="25636"/>
    <cellStyle name="CALC Currency Total [2] 2 20 3 2 2" xfId="43891"/>
    <cellStyle name="CALC Currency Total [2] 2 20 3 3" xfId="32862"/>
    <cellStyle name="CALC Currency Total [2] 2 20 3 4" xfId="43892"/>
    <cellStyle name="CALC Currency Total [2] 2 20 4" xfId="18343"/>
    <cellStyle name="CALC Currency Total [2] 2 20 4 2" xfId="26663"/>
    <cellStyle name="CALC Currency Total [2] 2 20 4 2 2" xfId="43893"/>
    <cellStyle name="CALC Currency Total [2] 2 20 4 3" xfId="33840"/>
    <cellStyle name="CALC Currency Total [2] 2 20 4 4" xfId="43894"/>
    <cellStyle name="CALC Currency Total [2] 2 20 5" xfId="19327"/>
    <cellStyle name="CALC Currency Total [2] 2 20 5 2" xfId="27647"/>
    <cellStyle name="CALC Currency Total [2] 2 20 5 2 2" xfId="43895"/>
    <cellStyle name="CALC Currency Total [2] 2 20 5 3" xfId="34795"/>
    <cellStyle name="CALC Currency Total [2] 2 20 5 4" xfId="43896"/>
    <cellStyle name="CALC Currency Total [2] 2 20 6" xfId="20295"/>
    <cellStyle name="CALC Currency Total [2] 2 20 6 2" xfId="28617"/>
    <cellStyle name="CALC Currency Total [2] 2 20 6 2 2" xfId="43897"/>
    <cellStyle name="CALC Currency Total [2] 2 20 6 3" xfId="35732"/>
    <cellStyle name="CALC Currency Total [2] 2 20 6 4" xfId="43898"/>
    <cellStyle name="CALC Currency Total [2] 2 20 7" xfId="21756"/>
    <cellStyle name="CALC Currency Total [2] 2 20 7 2" xfId="30057"/>
    <cellStyle name="CALC Currency Total [2] 2 20 7 2 2" xfId="43899"/>
    <cellStyle name="CALC Currency Total [2] 2 20 7 3" xfId="37106"/>
    <cellStyle name="CALC Currency Total [2] 2 20 7 4" xfId="43900"/>
    <cellStyle name="CALC Currency Total [2] 2 20 8" xfId="22684"/>
    <cellStyle name="CALC Currency Total [2] 2 20 8 2" xfId="30980"/>
    <cellStyle name="CALC Currency Total [2] 2 20 8 2 2" xfId="43901"/>
    <cellStyle name="CALC Currency Total [2] 2 20 8 3" xfId="37989"/>
    <cellStyle name="CALC Currency Total [2] 2 20 8 4" xfId="43902"/>
    <cellStyle name="CALC Currency Total [2] 2 20 9" xfId="23626"/>
    <cellStyle name="CALC Currency Total [2] 2 20 9 2" xfId="43903"/>
    <cellStyle name="CALC Currency Total [2] 2 21" xfId="15285"/>
    <cellStyle name="CALC Currency Total [2] 2 21 10" xfId="43904"/>
    <cellStyle name="CALC Currency Total [2] 2 21 11" xfId="43905"/>
    <cellStyle name="CALC Currency Total [2] 2 21 2" xfId="16365"/>
    <cellStyle name="CALC Currency Total [2] 2 21 2 2" xfId="24678"/>
    <cellStyle name="CALC Currency Total [2] 2 21 2 2 2" xfId="43906"/>
    <cellStyle name="CALC Currency Total [2] 2 21 2 3" xfId="31945"/>
    <cellStyle name="CALC Currency Total [2] 2 21 2 4" xfId="43907"/>
    <cellStyle name="CALC Currency Total [2] 2 21 3" xfId="17331"/>
    <cellStyle name="CALC Currency Total [2] 2 21 3 2" xfId="25652"/>
    <cellStyle name="CALC Currency Total [2] 2 21 3 2 2" xfId="43908"/>
    <cellStyle name="CALC Currency Total [2] 2 21 3 3" xfId="32878"/>
    <cellStyle name="CALC Currency Total [2] 2 21 3 4" xfId="43909"/>
    <cellStyle name="CALC Currency Total [2] 2 21 4" xfId="18359"/>
    <cellStyle name="CALC Currency Total [2] 2 21 4 2" xfId="26679"/>
    <cellStyle name="CALC Currency Total [2] 2 21 4 2 2" xfId="43910"/>
    <cellStyle name="CALC Currency Total [2] 2 21 4 3" xfId="33856"/>
    <cellStyle name="CALC Currency Total [2] 2 21 4 4" xfId="43911"/>
    <cellStyle name="CALC Currency Total [2] 2 21 5" xfId="19343"/>
    <cellStyle name="CALC Currency Total [2] 2 21 5 2" xfId="27663"/>
    <cellStyle name="CALC Currency Total [2] 2 21 5 2 2" xfId="43912"/>
    <cellStyle name="CALC Currency Total [2] 2 21 5 3" xfId="34811"/>
    <cellStyle name="CALC Currency Total [2] 2 21 5 4" xfId="43913"/>
    <cellStyle name="CALC Currency Total [2] 2 21 6" xfId="20311"/>
    <cellStyle name="CALC Currency Total [2] 2 21 6 2" xfId="28633"/>
    <cellStyle name="CALC Currency Total [2] 2 21 6 2 2" xfId="43914"/>
    <cellStyle name="CALC Currency Total [2] 2 21 6 3" xfId="35748"/>
    <cellStyle name="CALC Currency Total [2] 2 21 6 4" xfId="43915"/>
    <cellStyle name="CALC Currency Total [2] 2 21 7" xfId="21772"/>
    <cellStyle name="CALC Currency Total [2] 2 21 7 2" xfId="30073"/>
    <cellStyle name="CALC Currency Total [2] 2 21 7 2 2" xfId="43916"/>
    <cellStyle name="CALC Currency Total [2] 2 21 7 3" xfId="37122"/>
    <cellStyle name="CALC Currency Total [2] 2 21 7 4" xfId="43917"/>
    <cellStyle name="CALC Currency Total [2] 2 21 8" xfId="22700"/>
    <cellStyle name="CALC Currency Total [2] 2 21 8 2" xfId="30996"/>
    <cellStyle name="CALC Currency Total [2] 2 21 8 2 2" xfId="43918"/>
    <cellStyle name="CALC Currency Total [2] 2 21 8 3" xfId="38005"/>
    <cellStyle name="CALC Currency Total [2] 2 21 8 4" xfId="43919"/>
    <cellStyle name="CALC Currency Total [2] 2 21 9" xfId="23642"/>
    <cellStyle name="CALC Currency Total [2] 2 21 9 2" xfId="43920"/>
    <cellStyle name="CALC Currency Total [2] 2 22" xfId="15293"/>
    <cellStyle name="CALC Currency Total [2] 2 22 10" xfId="43921"/>
    <cellStyle name="CALC Currency Total [2] 2 22 11" xfId="43922"/>
    <cellStyle name="CALC Currency Total [2] 2 22 2" xfId="16373"/>
    <cellStyle name="CALC Currency Total [2] 2 22 2 2" xfId="24686"/>
    <cellStyle name="CALC Currency Total [2] 2 22 2 2 2" xfId="43923"/>
    <cellStyle name="CALC Currency Total [2] 2 22 2 3" xfId="31952"/>
    <cellStyle name="CALC Currency Total [2] 2 22 2 4" xfId="43924"/>
    <cellStyle name="CALC Currency Total [2] 2 22 3" xfId="17339"/>
    <cellStyle name="CALC Currency Total [2] 2 22 3 2" xfId="25660"/>
    <cellStyle name="CALC Currency Total [2] 2 22 3 2 2" xfId="43925"/>
    <cellStyle name="CALC Currency Total [2] 2 22 3 3" xfId="32885"/>
    <cellStyle name="CALC Currency Total [2] 2 22 3 4" xfId="43926"/>
    <cellStyle name="CALC Currency Total [2] 2 22 4" xfId="18367"/>
    <cellStyle name="CALC Currency Total [2] 2 22 4 2" xfId="26687"/>
    <cellStyle name="CALC Currency Total [2] 2 22 4 2 2" xfId="43927"/>
    <cellStyle name="CALC Currency Total [2] 2 22 4 3" xfId="33863"/>
    <cellStyle name="CALC Currency Total [2] 2 22 4 4" xfId="43928"/>
    <cellStyle name="CALC Currency Total [2] 2 22 5" xfId="19350"/>
    <cellStyle name="CALC Currency Total [2] 2 22 5 2" xfId="27671"/>
    <cellStyle name="CALC Currency Total [2] 2 22 5 2 2" xfId="43929"/>
    <cellStyle name="CALC Currency Total [2] 2 22 5 3" xfId="34819"/>
    <cellStyle name="CALC Currency Total [2] 2 22 5 4" xfId="43930"/>
    <cellStyle name="CALC Currency Total [2] 2 22 6" xfId="20319"/>
    <cellStyle name="CALC Currency Total [2] 2 22 6 2" xfId="28641"/>
    <cellStyle name="CALC Currency Total [2] 2 22 6 2 2" xfId="43931"/>
    <cellStyle name="CALC Currency Total [2] 2 22 6 3" xfId="35755"/>
    <cellStyle name="CALC Currency Total [2] 2 22 6 4" xfId="43932"/>
    <cellStyle name="CALC Currency Total [2] 2 22 7" xfId="21780"/>
    <cellStyle name="CALC Currency Total [2] 2 22 7 2" xfId="30081"/>
    <cellStyle name="CALC Currency Total [2] 2 22 7 2 2" xfId="43933"/>
    <cellStyle name="CALC Currency Total [2] 2 22 7 3" xfId="37129"/>
    <cellStyle name="CALC Currency Total [2] 2 22 7 4" xfId="43934"/>
    <cellStyle name="CALC Currency Total [2] 2 22 8" xfId="22708"/>
    <cellStyle name="CALC Currency Total [2] 2 22 8 2" xfId="31004"/>
    <cellStyle name="CALC Currency Total [2] 2 22 8 2 2" xfId="43935"/>
    <cellStyle name="CALC Currency Total [2] 2 22 8 3" xfId="38012"/>
    <cellStyle name="CALC Currency Total [2] 2 22 8 4" xfId="43936"/>
    <cellStyle name="CALC Currency Total [2] 2 22 9" xfId="23650"/>
    <cellStyle name="CALC Currency Total [2] 2 22 9 2" xfId="43937"/>
    <cellStyle name="CALC Currency Total [2] 2 23" xfId="15378"/>
    <cellStyle name="CALC Currency Total [2] 2 23 10" xfId="43938"/>
    <cellStyle name="CALC Currency Total [2] 2 23 11" xfId="43939"/>
    <cellStyle name="CALC Currency Total [2] 2 23 2" xfId="16458"/>
    <cellStyle name="CALC Currency Total [2] 2 23 2 2" xfId="24771"/>
    <cellStyle name="CALC Currency Total [2] 2 23 2 2 2" xfId="43940"/>
    <cellStyle name="CALC Currency Total [2] 2 23 2 3" xfId="32035"/>
    <cellStyle name="CALC Currency Total [2] 2 23 2 4" xfId="43941"/>
    <cellStyle name="CALC Currency Total [2] 2 23 3" xfId="17424"/>
    <cellStyle name="CALC Currency Total [2] 2 23 3 2" xfId="25745"/>
    <cellStyle name="CALC Currency Total [2] 2 23 3 2 2" xfId="43942"/>
    <cellStyle name="CALC Currency Total [2] 2 23 3 3" xfId="32968"/>
    <cellStyle name="CALC Currency Total [2] 2 23 3 4" xfId="43943"/>
    <cellStyle name="CALC Currency Total [2] 2 23 4" xfId="18452"/>
    <cellStyle name="CALC Currency Total [2] 2 23 4 2" xfId="26772"/>
    <cellStyle name="CALC Currency Total [2] 2 23 4 2 2" xfId="43944"/>
    <cellStyle name="CALC Currency Total [2] 2 23 4 3" xfId="33946"/>
    <cellStyle name="CALC Currency Total [2] 2 23 4 4" xfId="43945"/>
    <cellStyle name="CALC Currency Total [2] 2 23 5" xfId="19435"/>
    <cellStyle name="CALC Currency Total [2] 2 23 5 2" xfId="27756"/>
    <cellStyle name="CALC Currency Total [2] 2 23 5 2 2" xfId="43946"/>
    <cellStyle name="CALC Currency Total [2] 2 23 5 3" xfId="34904"/>
    <cellStyle name="CALC Currency Total [2] 2 23 5 4" xfId="43947"/>
    <cellStyle name="CALC Currency Total [2] 2 23 6" xfId="20404"/>
    <cellStyle name="CALC Currency Total [2] 2 23 6 2" xfId="28726"/>
    <cellStyle name="CALC Currency Total [2] 2 23 6 2 2" xfId="43948"/>
    <cellStyle name="CALC Currency Total [2] 2 23 6 3" xfId="35838"/>
    <cellStyle name="CALC Currency Total [2] 2 23 6 4" xfId="43949"/>
    <cellStyle name="CALC Currency Total [2] 2 23 7" xfId="21865"/>
    <cellStyle name="CALC Currency Total [2] 2 23 7 2" xfId="30166"/>
    <cellStyle name="CALC Currency Total [2] 2 23 7 2 2" xfId="43950"/>
    <cellStyle name="CALC Currency Total [2] 2 23 7 3" xfId="37211"/>
    <cellStyle name="CALC Currency Total [2] 2 23 7 4" xfId="43951"/>
    <cellStyle name="CALC Currency Total [2] 2 23 8" xfId="22793"/>
    <cellStyle name="CALC Currency Total [2] 2 23 8 2" xfId="31089"/>
    <cellStyle name="CALC Currency Total [2] 2 23 8 2 2" xfId="43952"/>
    <cellStyle name="CALC Currency Total [2] 2 23 8 3" xfId="38095"/>
    <cellStyle name="CALC Currency Total [2] 2 23 8 4" xfId="43953"/>
    <cellStyle name="CALC Currency Total [2] 2 23 9" xfId="23735"/>
    <cellStyle name="CALC Currency Total [2] 2 23 9 2" xfId="43954"/>
    <cellStyle name="CALC Currency Total [2] 2 24" xfId="15392"/>
    <cellStyle name="CALC Currency Total [2] 2 24 10" xfId="43955"/>
    <cellStyle name="CALC Currency Total [2] 2 24 11" xfId="43956"/>
    <cellStyle name="CALC Currency Total [2] 2 24 2" xfId="16472"/>
    <cellStyle name="CALC Currency Total [2] 2 24 2 2" xfId="24785"/>
    <cellStyle name="CALC Currency Total [2] 2 24 2 2 2" xfId="43957"/>
    <cellStyle name="CALC Currency Total [2] 2 24 2 3" xfId="32049"/>
    <cellStyle name="CALC Currency Total [2] 2 24 2 4" xfId="43958"/>
    <cellStyle name="CALC Currency Total [2] 2 24 3" xfId="17438"/>
    <cellStyle name="CALC Currency Total [2] 2 24 3 2" xfId="25759"/>
    <cellStyle name="CALC Currency Total [2] 2 24 3 2 2" xfId="43959"/>
    <cellStyle name="CALC Currency Total [2] 2 24 3 3" xfId="32982"/>
    <cellStyle name="CALC Currency Total [2] 2 24 3 4" xfId="43960"/>
    <cellStyle name="CALC Currency Total [2] 2 24 4" xfId="18466"/>
    <cellStyle name="CALC Currency Total [2] 2 24 4 2" xfId="26786"/>
    <cellStyle name="CALC Currency Total [2] 2 24 4 2 2" xfId="43961"/>
    <cellStyle name="CALC Currency Total [2] 2 24 4 3" xfId="33960"/>
    <cellStyle name="CALC Currency Total [2] 2 24 4 4" xfId="43962"/>
    <cellStyle name="CALC Currency Total [2] 2 24 5" xfId="19449"/>
    <cellStyle name="CALC Currency Total [2] 2 24 5 2" xfId="27770"/>
    <cellStyle name="CALC Currency Total [2] 2 24 5 2 2" xfId="43963"/>
    <cellStyle name="CALC Currency Total [2] 2 24 5 3" xfId="34918"/>
    <cellStyle name="CALC Currency Total [2] 2 24 5 4" xfId="43964"/>
    <cellStyle name="CALC Currency Total [2] 2 24 6" xfId="20418"/>
    <cellStyle name="CALC Currency Total [2] 2 24 6 2" xfId="28740"/>
    <cellStyle name="CALC Currency Total [2] 2 24 6 2 2" xfId="43965"/>
    <cellStyle name="CALC Currency Total [2] 2 24 6 3" xfId="35852"/>
    <cellStyle name="CALC Currency Total [2] 2 24 6 4" xfId="43966"/>
    <cellStyle name="CALC Currency Total [2] 2 24 7" xfId="21879"/>
    <cellStyle name="CALC Currency Total [2] 2 24 7 2" xfId="30180"/>
    <cellStyle name="CALC Currency Total [2] 2 24 7 2 2" xfId="43967"/>
    <cellStyle name="CALC Currency Total [2] 2 24 7 3" xfId="37225"/>
    <cellStyle name="CALC Currency Total [2] 2 24 7 4" xfId="43968"/>
    <cellStyle name="CALC Currency Total [2] 2 24 8" xfId="22807"/>
    <cellStyle name="CALC Currency Total [2] 2 24 8 2" xfId="31103"/>
    <cellStyle name="CALC Currency Total [2] 2 24 8 2 2" xfId="43969"/>
    <cellStyle name="CALC Currency Total [2] 2 24 8 3" xfId="38109"/>
    <cellStyle name="CALC Currency Total [2] 2 24 8 4" xfId="43970"/>
    <cellStyle name="CALC Currency Total [2] 2 24 9" xfId="23749"/>
    <cellStyle name="CALC Currency Total [2] 2 24 9 2" xfId="43971"/>
    <cellStyle name="CALC Currency Total [2] 2 25" xfId="15408"/>
    <cellStyle name="CALC Currency Total [2] 2 25 10" xfId="43972"/>
    <cellStyle name="CALC Currency Total [2] 2 25 11" xfId="43973"/>
    <cellStyle name="CALC Currency Total [2] 2 25 2" xfId="16488"/>
    <cellStyle name="CALC Currency Total [2] 2 25 2 2" xfId="24801"/>
    <cellStyle name="CALC Currency Total [2] 2 25 2 2 2" xfId="43974"/>
    <cellStyle name="CALC Currency Total [2] 2 25 2 3" xfId="32063"/>
    <cellStyle name="CALC Currency Total [2] 2 25 2 4" xfId="43975"/>
    <cellStyle name="CALC Currency Total [2] 2 25 3" xfId="17454"/>
    <cellStyle name="CALC Currency Total [2] 2 25 3 2" xfId="25775"/>
    <cellStyle name="CALC Currency Total [2] 2 25 3 2 2" xfId="43976"/>
    <cellStyle name="CALC Currency Total [2] 2 25 3 3" xfId="32996"/>
    <cellStyle name="CALC Currency Total [2] 2 25 3 4" xfId="43977"/>
    <cellStyle name="CALC Currency Total [2] 2 25 4" xfId="18482"/>
    <cellStyle name="CALC Currency Total [2] 2 25 4 2" xfId="26802"/>
    <cellStyle name="CALC Currency Total [2] 2 25 4 2 2" xfId="43978"/>
    <cellStyle name="CALC Currency Total [2] 2 25 4 3" xfId="33974"/>
    <cellStyle name="CALC Currency Total [2] 2 25 4 4" xfId="43979"/>
    <cellStyle name="CALC Currency Total [2] 2 25 5" xfId="19465"/>
    <cellStyle name="CALC Currency Total [2] 2 25 5 2" xfId="27786"/>
    <cellStyle name="CALC Currency Total [2] 2 25 5 2 2" xfId="43980"/>
    <cellStyle name="CALC Currency Total [2] 2 25 5 3" xfId="34934"/>
    <cellStyle name="CALC Currency Total [2] 2 25 5 4" xfId="43981"/>
    <cellStyle name="CALC Currency Total [2] 2 25 6" xfId="20434"/>
    <cellStyle name="CALC Currency Total [2] 2 25 6 2" xfId="28756"/>
    <cellStyle name="CALC Currency Total [2] 2 25 6 2 2" xfId="43982"/>
    <cellStyle name="CALC Currency Total [2] 2 25 6 3" xfId="35866"/>
    <cellStyle name="CALC Currency Total [2] 2 25 6 4" xfId="43983"/>
    <cellStyle name="CALC Currency Total [2] 2 25 7" xfId="21895"/>
    <cellStyle name="CALC Currency Total [2] 2 25 7 2" xfId="30196"/>
    <cellStyle name="CALC Currency Total [2] 2 25 7 2 2" xfId="43984"/>
    <cellStyle name="CALC Currency Total [2] 2 25 7 3" xfId="37239"/>
    <cellStyle name="CALC Currency Total [2] 2 25 7 4" xfId="43985"/>
    <cellStyle name="CALC Currency Total [2] 2 25 8" xfId="22823"/>
    <cellStyle name="CALC Currency Total [2] 2 25 8 2" xfId="31119"/>
    <cellStyle name="CALC Currency Total [2] 2 25 8 2 2" xfId="43986"/>
    <cellStyle name="CALC Currency Total [2] 2 25 8 3" xfId="38123"/>
    <cellStyle name="CALC Currency Total [2] 2 25 8 4" xfId="43987"/>
    <cellStyle name="CALC Currency Total [2] 2 25 9" xfId="23765"/>
    <cellStyle name="CALC Currency Total [2] 2 25 9 2" xfId="43988"/>
    <cellStyle name="CALC Currency Total [2] 2 26" xfId="15424"/>
    <cellStyle name="CALC Currency Total [2] 2 26 10" xfId="43989"/>
    <cellStyle name="CALC Currency Total [2] 2 26 11" xfId="43990"/>
    <cellStyle name="CALC Currency Total [2] 2 26 2" xfId="16504"/>
    <cellStyle name="CALC Currency Total [2] 2 26 2 2" xfId="24817"/>
    <cellStyle name="CALC Currency Total [2] 2 26 2 2 2" xfId="43991"/>
    <cellStyle name="CALC Currency Total [2] 2 26 2 3" xfId="32078"/>
    <cellStyle name="CALC Currency Total [2] 2 26 2 4" xfId="43992"/>
    <cellStyle name="CALC Currency Total [2] 2 26 3" xfId="17470"/>
    <cellStyle name="CALC Currency Total [2] 2 26 3 2" xfId="25791"/>
    <cellStyle name="CALC Currency Total [2] 2 26 3 2 2" xfId="43993"/>
    <cellStyle name="CALC Currency Total [2] 2 26 3 3" xfId="33011"/>
    <cellStyle name="CALC Currency Total [2] 2 26 3 4" xfId="43994"/>
    <cellStyle name="CALC Currency Total [2] 2 26 4" xfId="18498"/>
    <cellStyle name="CALC Currency Total [2] 2 26 4 2" xfId="26818"/>
    <cellStyle name="CALC Currency Total [2] 2 26 4 2 2" xfId="43995"/>
    <cellStyle name="CALC Currency Total [2] 2 26 4 3" xfId="33989"/>
    <cellStyle name="CALC Currency Total [2] 2 26 4 4" xfId="43996"/>
    <cellStyle name="CALC Currency Total [2] 2 26 5" xfId="19481"/>
    <cellStyle name="CALC Currency Total [2] 2 26 5 2" xfId="27802"/>
    <cellStyle name="CALC Currency Total [2] 2 26 5 2 2" xfId="43997"/>
    <cellStyle name="CALC Currency Total [2] 2 26 5 3" xfId="34950"/>
    <cellStyle name="CALC Currency Total [2] 2 26 5 4" xfId="43998"/>
    <cellStyle name="CALC Currency Total [2] 2 26 6" xfId="20450"/>
    <cellStyle name="CALC Currency Total [2] 2 26 6 2" xfId="28772"/>
    <cellStyle name="CALC Currency Total [2] 2 26 6 2 2" xfId="43999"/>
    <cellStyle name="CALC Currency Total [2] 2 26 6 3" xfId="35881"/>
    <cellStyle name="CALC Currency Total [2] 2 26 6 4" xfId="44000"/>
    <cellStyle name="CALC Currency Total [2] 2 26 7" xfId="21911"/>
    <cellStyle name="CALC Currency Total [2] 2 26 7 2" xfId="30212"/>
    <cellStyle name="CALC Currency Total [2] 2 26 7 2 2" xfId="44001"/>
    <cellStyle name="CALC Currency Total [2] 2 26 7 3" xfId="37254"/>
    <cellStyle name="CALC Currency Total [2] 2 26 7 4" xfId="44002"/>
    <cellStyle name="CALC Currency Total [2] 2 26 8" xfId="22839"/>
    <cellStyle name="CALC Currency Total [2] 2 26 8 2" xfId="31135"/>
    <cellStyle name="CALC Currency Total [2] 2 26 8 2 2" xfId="44003"/>
    <cellStyle name="CALC Currency Total [2] 2 26 8 3" xfId="38138"/>
    <cellStyle name="CALC Currency Total [2] 2 26 8 4" xfId="44004"/>
    <cellStyle name="CALC Currency Total [2] 2 26 9" xfId="23781"/>
    <cellStyle name="CALC Currency Total [2] 2 26 9 2" xfId="44005"/>
    <cellStyle name="CALC Currency Total [2] 2 27" xfId="15438"/>
    <cellStyle name="CALC Currency Total [2] 2 27 10" xfId="44006"/>
    <cellStyle name="CALC Currency Total [2] 2 27 11" xfId="44007"/>
    <cellStyle name="CALC Currency Total [2] 2 27 2" xfId="16518"/>
    <cellStyle name="CALC Currency Total [2] 2 27 2 2" xfId="24831"/>
    <cellStyle name="CALC Currency Total [2] 2 27 2 2 2" xfId="44008"/>
    <cellStyle name="CALC Currency Total [2] 2 27 2 3" xfId="32092"/>
    <cellStyle name="CALC Currency Total [2] 2 27 2 4" xfId="44009"/>
    <cellStyle name="CALC Currency Total [2] 2 27 3" xfId="17484"/>
    <cellStyle name="CALC Currency Total [2] 2 27 3 2" xfId="25805"/>
    <cellStyle name="CALC Currency Total [2] 2 27 3 2 2" xfId="44010"/>
    <cellStyle name="CALC Currency Total [2] 2 27 3 3" xfId="33025"/>
    <cellStyle name="CALC Currency Total [2] 2 27 3 4" xfId="44011"/>
    <cellStyle name="CALC Currency Total [2] 2 27 4" xfId="18512"/>
    <cellStyle name="CALC Currency Total [2] 2 27 4 2" xfId="26832"/>
    <cellStyle name="CALC Currency Total [2] 2 27 4 2 2" xfId="44012"/>
    <cellStyle name="CALC Currency Total [2] 2 27 4 3" xfId="34003"/>
    <cellStyle name="CALC Currency Total [2] 2 27 4 4" xfId="44013"/>
    <cellStyle name="CALC Currency Total [2] 2 27 5" xfId="19495"/>
    <cellStyle name="CALC Currency Total [2] 2 27 5 2" xfId="27816"/>
    <cellStyle name="CALC Currency Total [2] 2 27 5 2 2" xfId="44014"/>
    <cellStyle name="CALC Currency Total [2] 2 27 5 3" xfId="34964"/>
    <cellStyle name="CALC Currency Total [2] 2 27 5 4" xfId="44015"/>
    <cellStyle name="CALC Currency Total [2] 2 27 6" xfId="20464"/>
    <cellStyle name="CALC Currency Total [2] 2 27 6 2" xfId="28786"/>
    <cellStyle name="CALC Currency Total [2] 2 27 6 2 2" xfId="44016"/>
    <cellStyle name="CALC Currency Total [2] 2 27 6 3" xfId="35895"/>
    <cellStyle name="CALC Currency Total [2] 2 27 6 4" xfId="44017"/>
    <cellStyle name="CALC Currency Total [2] 2 27 7" xfId="21925"/>
    <cellStyle name="CALC Currency Total [2] 2 27 7 2" xfId="30226"/>
    <cellStyle name="CALC Currency Total [2] 2 27 7 2 2" xfId="44018"/>
    <cellStyle name="CALC Currency Total [2] 2 27 7 3" xfId="37268"/>
    <cellStyle name="CALC Currency Total [2] 2 27 7 4" xfId="44019"/>
    <cellStyle name="CALC Currency Total [2] 2 27 8" xfId="22853"/>
    <cellStyle name="CALC Currency Total [2] 2 27 8 2" xfId="31149"/>
    <cellStyle name="CALC Currency Total [2] 2 27 8 2 2" xfId="44020"/>
    <cellStyle name="CALC Currency Total [2] 2 27 8 3" xfId="38152"/>
    <cellStyle name="CALC Currency Total [2] 2 27 8 4" xfId="44021"/>
    <cellStyle name="CALC Currency Total [2] 2 27 9" xfId="23795"/>
    <cellStyle name="CALC Currency Total [2] 2 27 9 2" xfId="44022"/>
    <cellStyle name="CALC Currency Total [2] 2 28" xfId="15452"/>
    <cellStyle name="CALC Currency Total [2] 2 28 10" xfId="44023"/>
    <cellStyle name="CALC Currency Total [2] 2 28 11" xfId="44024"/>
    <cellStyle name="CALC Currency Total [2] 2 28 2" xfId="16532"/>
    <cellStyle name="CALC Currency Total [2] 2 28 2 2" xfId="24845"/>
    <cellStyle name="CALC Currency Total [2] 2 28 2 2 2" xfId="44025"/>
    <cellStyle name="CALC Currency Total [2] 2 28 2 3" xfId="32106"/>
    <cellStyle name="CALC Currency Total [2] 2 28 2 4" xfId="44026"/>
    <cellStyle name="CALC Currency Total [2] 2 28 3" xfId="17498"/>
    <cellStyle name="CALC Currency Total [2] 2 28 3 2" xfId="25819"/>
    <cellStyle name="CALC Currency Total [2] 2 28 3 2 2" xfId="44027"/>
    <cellStyle name="CALC Currency Total [2] 2 28 3 3" xfId="33039"/>
    <cellStyle name="CALC Currency Total [2] 2 28 3 4" xfId="44028"/>
    <cellStyle name="CALC Currency Total [2] 2 28 4" xfId="18526"/>
    <cellStyle name="CALC Currency Total [2] 2 28 4 2" xfId="26846"/>
    <cellStyle name="CALC Currency Total [2] 2 28 4 2 2" xfId="44029"/>
    <cellStyle name="CALC Currency Total [2] 2 28 4 3" xfId="34017"/>
    <cellStyle name="CALC Currency Total [2] 2 28 4 4" xfId="44030"/>
    <cellStyle name="CALC Currency Total [2] 2 28 5" xfId="19509"/>
    <cellStyle name="CALC Currency Total [2] 2 28 5 2" xfId="27830"/>
    <cellStyle name="CALC Currency Total [2] 2 28 5 2 2" xfId="44031"/>
    <cellStyle name="CALC Currency Total [2] 2 28 5 3" xfId="34978"/>
    <cellStyle name="CALC Currency Total [2] 2 28 5 4" xfId="44032"/>
    <cellStyle name="CALC Currency Total [2] 2 28 6" xfId="20478"/>
    <cellStyle name="CALC Currency Total [2] 2 28 6 2" xfId="28800"/>
    <cellStyle name="CALC Currency Total [2] 2 28 6 2 2" xfId="44033"/>
    <cellStyle name="CALC Currency Total [2] 2 28 6 3" xfId="35909"/>
    <cellStyle name="CALC Currency Total [2] 2 28 6 4" xfId="44034"/>
    <cellStyle name="CALC Currency Total [2] 2 28 7" xfId="21939"/>
    <cellStyle name="CALC Currency Total [2] 2 28 7 2" xfId="30240"/>
    <cellStyle name="CALC Currency Total [2] 2 28 7 2 2" xfId="44035"/>
    <cellStyle name="CALC Currency Total [2] 2 28 7 3" xfId="37282"/>
    <cellStyle name="CALC Currency Total [2] 2 28 7 4" xfId="44036"/>
    <cellStyle name="CALC Currency Total [2] 2 28 8" xfId="22867"/>
    <cellStyle name="CALC Currency Total [2] 2 28 8 2" xfId="31163"/>
    <cellStyle name="CALC Currency Total [2] 2 28 8 2 2" xfId="44037"/>
    <cellStyle name="CALC Currency Total [2] 2 28 8 3" xfId="38166"/>
    <cellStyle name="CALC Currency Total [2] 2 28 8 4" xfId="44038"/>
    <cellStyle name="CALC Currency Total [2] 2 28 9" xfId="23809"/>
    <cellStyle name="CALC Currency Total [2] 2 28 9 2" xfId="44039"/>
    <cellStyle name="CALC Currency Total [2] 2 29" xfId="15484"/>
    <cellStyle name="CALC Currency Total [2] 2 29 2" xfId="17530"/>
    <cellStyle name="CALC Currency Total [2] 2 29 2 2" xfId="25850"/>
    <cellStyle name="CALC Currency Total [2] 2 29 2 2 2" xfId="44040"/>
    <cellStyle name="CALC Currency Total [2] 2 29 2 3" xfId="33068"/>
    <cellStyle name="CALC Currency Total [2] 2 29 2 4" xfId="44041"/>
    <cellStyle name="CALC Currency Total [2] 2 29 3" xfId="19541"/>
    <cellStyle name="CALC Currency Total [2] 2 29 3 2" xfId="27862"/>
    <cellStyle name="CALC Currency Total [2] 2 29 3 2 2" xfId="44042"/>
    <cellStyle name="CALC Currency Total [2] 2 29 3 3" xfId="35010"/>
    <cellStyle name="CALC Currency Total [2] 2 29 3 4" xfId="44043"/>
    <cellStyle name="CALC Currency Total [2] 2 29 4" xfId="44044"/>
    <cellStyle name="CALC Currency Total [2] 2 29 4 2" xfId="44045"/>
    <cellStyle name="CALC Currency Total [2] 2 3" xfId="14517"/>
    <cellStyle name="CALC Currency Total [2] 2 3 2" xfId="15579"/>
    <cellStyle name="CALC Currency Total [2] 2 3 2 2" xfId="44046"/>
    <cellStyle name="CALC Currency Total [2] 2 3 2 2 2" xfId="44047"/>
    <cellStyle name="CALC Currency Total [2] 2 3 3" xfId="18687"/>
    <cellStyle name="CALC Currency Total [2] 2 3 3 2" xfId="44048"/>
    <cellStyle name="CALC Currency Total [2] 2 30" xfId="44049"/>
    <cellStyle name="CALC Currency Total [2] 2 30 2" xfId="44050"/>
    <cellStyle name="CALC Currency Total [2] 2 4" xfId="14545"/>
    <cellStyle name="CALC Currency Total [2] 2 4 2" xfId="15624"/>
    <cellStyle name="CALC Currency Total [2] 2 4 2 2" xfId="23938"/>
    <cellStyle name="CALC Currency Total [2] 2 4 2 2 2" xfId="44051"/>
    <cellStyle name="CALC Currency Total [2] 2 4 2 3" xfId="44052"/>
    <cellStyle name="CALC Currency Total [2] 2 4 2 4" xfId="44053"/>
    <cellStyle name="CALC Currency Total [2] 2 4 3" xfId="16592"/>
    <cellStyle name="CALC Currency Total [2] 2 4 3 2" xfId="24909"/>
    <cellStyle name="CALC Currency Total [2] 2 4 3 2 2" xfId="44054"/>
    <cellStyle name="CALC Currency Total [2] 2 4 3 3" xfId="32169"/>
    <cellStyle name="CALC Currency Total [2] 2 4 3 4" xfId="44055"/>
    <cellStyle name="CALC Currency Total [2] 2 4 4" xfId="17611"/>
    <cellStyle name="CALC Currency Total [2] 2 4 4 2" xfId="25934"/>
    <cellStyle name="CALC Currency Total [2] 2 4 4 2 2" xfId="44056"/>
    <cellStyle name="CALC Currency Total [2] 2 4 4 3" xfId="33146"/>
    <cellStyle name="CALC Currency Total [2] 2 4 4 4" xfId="44057"/>
    <cellStyle name="CALC Currency Total [2] 2 4 5" xfId="18593"/>
    <cellStyle name="CALC Currency Total [2] 2 4 5 2" xfId="26912"/>
    <cellStyle name="CALC Currency Total [2] 2 4 5 2 2" xfId="44058"/>
    <cellStyle name="CALC Currency Total [2] 2 4 5 3" xfId="34081"/>
    <cellStyle name="CALC Currency Total [2] 2 4 5 4" xfId="44059"/>
    <cellStyle name="CALC Currency Total [2] 2 4 6" xfId="19561"/>
    <cellStyle name="CALC Currency Total [2] 2 4 6 2" xfId="27882"/>
    <cellStyle name="CALC Currency Total [2] 2 4 6 2 2" xfId="44060"/>
    <cellStyle name="CALC Currency Total [2] 2 4 6 3" xfId="35029"/>
    <cellStyle name="CALC Currency Total [2] 2 4 6 4" xfId="44061"/>
    <cellStyle name="CALC Currency Total [2] 2 4 7" xfId="20519"/>
    <cellStyle name="CALC Currency Total [2] 2 4 7 2" xfId="28841"/>
    <cellStyle name="CALC Currency Total [2] 2 4 7 2 2" xfId="44062"/>
    <cellStyle name="CALC Currency Total [2] 2 4 7 3" xfId="35946"/>
    <cellStyle name="CALC Currency Total [2] 2 4 7 4" xfId="44063"/>
    <cellStyle name="CALC Currency Total [2] 2 4 8" xfId="22902"/>
    <cellStyle name="CALC Currency Total [2] 2 4 8 2" xfId="44064"/>
    <cellStyle name="CALC Currency Total [2] 2 5" xfId="14606"/>
    <cellStyle name="CALC Currency Total [2] 2 5 10" xfId="22967"/>
    <cellStyle name="CALC Currency Total [2] 2 5 10 2" xfId="44065"/>
    <cellStyle name="CALC Currency Total [2] 2 5 11" xfId="44066"/>
    <cellStyle name="CALC Currency Total [2] 2 5 2" xfId="15686"/>
    <cellStyle name="CALC Currency Total [2] 2 5 2 2" xfId="24002"/>
    <cellStyle name="CALC Currency Total [2] 2 5 2 2 2" xfId="44067"/>
    <cellStyle name="CALC Currency Total [2] 2 5 2 3" xfId="31297"/>
    <cellStyle name="CALC Currency Total [2] 2 5 2 4" xfId="44068"/>
    <cellStyle name="CALC Currency Total [2] 2 5 3" xfId="16653"/>
    <cellStyle name="CALC Currency Total [2] 2 5 3 2" xfId="24973"/>
    <cellStyle name="CALC Currency Total [2] 2 5 3 2 2" xfId="44069"/>
    <cellStyle name="CALC Currency Total [2] 2 5 3 3" xfId="32230"/>
    <cellStyle name="CALC Currency Total [2] 2 5 3 4" xfId="44070"/>
    <cellStyle name="CALC Currency Total [2] 2 5 4" xfId="17675"/>
    <cellStyle name="CALC Currency Total [2] 2 5 4 2" xfId="25999"/>
    <cellStyle name="CALC Currency Total [2] 2 5 4 2 2" xfId="44071"/>
    <cellStyle name="CALC Currency Total [2] 2 5 4 3" xfId="33207"/>
    <cellStyle name="CALC Currency Total [2] 2 5 4 4" xfId="44072"/>
    <cellStyle name="CALC Currency Total [2] 2 5 5" xfId="18658"/>
    <cellStyle name="CALC Currency Total [2] 2 5 5 2" xfId="26979"/>
    <cellStyle name="CALC Currency Total [2] 2 5 5 2 2" xfId="44073"/>
    <cellStyle name="CALC Currency Total [2] 2 5 5 3" xfId="34145"/>
    <cellStyle name="CALC Currency Total [2] 2 5 5 4" xfId="44074"/>
    <cellStyle name="CALC Currency Total [2] 2 5 6" xfId="19627"/>
    <cellStyle name="CALC Currency Total [2] 2 5 6 2" xfId="27948"/>
    <cellStyle name="CALC Currency Total [2] 2 5 6 2 2" xfId="44075"/>
    <cellStyle name="CALC Currency Total [2] 2 5 6 3" xfId="35091"/>
    <cellStyle name="CALC Currency Total [2] 2 5 6 4" xfId="44076"/>
    <cellStyle name="CALC Currency Total [2] 2 5 7" xfId="20584"/>
    <cellStyle name="CALC Currency Total [2] 2 5 7 2" xfId="28906"/>
    <cellStyle name="CALC Currency Total [2] 2 5 7 2 2" xfId="44077"/>
    <cellStyle name="CALC Currency Total [2] 2 5 7 3" xfId="36007"/>
    <cellStyle name="CALC Currency Total [2] 2 5 7 4" xfId="44078"/>
    <cellStyle name="CALC Currency Total [2] 2 5 8" xfId="15545"/>
    <cellStyle name="CALC Currency Total [2] 2 5 8 2" xfId="23878"/>
    <cellStyle name="CALC Currency Total [2] 2 5 8 2 2" xfId="44079"/>
    <cellStyle name="CALC Currency Total [2] 2 5 8 3" xfId="31222"/>
    <cellStyle name="CALC Currency Total [2] 2 5 8 4" xfId="44080"/>
    <cellStyle name="CALC Currency Total [2] 2 5 9" xfId="22021"/>
    <cellStyle name="CALC Currency Total [2] 2 5 9 2" xfId="30320"/>
    <cellStyle name="CALC Currency Total [2] 2 5 9 2 2" xfId="44081"/>
    <cellStyle name="CALC Currency Total [2] 2 5 9 3" xfId="37358"/>
    <cellStyle name="CALC Currency Total [2] 2 5 9 4" xfId="44082"/>
    <cellStyle name="CALC Currency Total [2] 2 6" xfId="14626"/>
    <cellStyle name="CALC Currency Total [2] 2 6 10" xfId="22988"/>
    <cellStyle name="CALC Currency Total [2] 2 6 10 2" xfId="44083"/>
    <cellStyle name="CALC Currency Total [2] 2 6 11" xfId="44084"/>
    <cellStyle name="CALC Currency Total [2] 2 6 2" xfId="15707"/>
    <cellStyle name="CALC Currency Total [2] 2 6 2 2" xfId="24023"/>
    <cellStyle name="CALC Currency Total [2] 2 6 2 2 2" xfId="44085"/>
    <cellStyle name="CALC Currency Total [2] 2 6 2 3" xfId="31317"/>
    <cellStyle name="CALC Currency Total [2] 2 6 2 4" xfId="44086"/>
    <cellStyle name="CALC Currency Total [2] 2 6 3" xfId="16674"/>
    <cellStyle name="CALC Currency Total [2] 2 6 3 2" xfId="24994"/>
    <cellStyle name="CALC Currency Total [2] 2 6 3 2 2" xfId="44087"/>
    <cellStyle name="CALC Currency Total [2] 2 6 3 3" xfId="32250"/>
    <cellStyle name="CALC Currency Total [2] 2 6 3 4" xfId="44088"/>
    <cellStyle name="CALC Currency Total [2] 2 6 4" xfId="17697"/>
    <cellStyle name="CALC Currency Total [2] 2 6 4 2" xfId="26020"/>
    <cellStyle name="CALC Currency Total [2] 2 6 4 2 2" xfId="44089"/>
    <cellStyle name="CALC Currency Total [2] 2 6 4 3" xfId="33227"/>
    <cellStyle name="CALC Currency Total [2] 2 6 4 4" xfId="44090"/>
    <cellStyle name="CALC Currency Total [2] 2 6 5" xfId="18680"/>
    <cellStyle name="CALC Currency Total [2] 2 6 5 2" xfId="27001"/>
    <cellStyle name="CALC Currency Total [2] 2 6 5 2 2" xfId="44091"/>
    <cellStyle name="CALC Currency Total [2] 2 6 5 3" xfId="34166"/>
    <cellStyle name="CALC Currency Total [2] 2 6 5 4" xfId="44092"/>
    <cellStyle name="CALC Currency Total [2] 2 6 6" xfId="19649"/>
    <cellStyle name="CALC Currency Total [2] 2 6 6 2" xfId="27970"/>
    <cellStyle name="CALC Currency Total [2] 2 6 6 2 2" xfId="44093"/>
    <cellStyle name="CALC Currency Total [2] 2 6 6 3" xfId="35112"/>
    <cellStyle name="CALC Currency Total [2] 2 6 6 4" xfId="44094"/>
    <cellStyle name="CALC Currency Total [2] 2 6 7" xfId="20606"/>
    <cellStyle name="CALC Currency Total [2] 2 6 7 2" xfId="28927"/>
    <cellStyle name="CALC Currency Total [2] 2 6 7 2 2" xfId="44095"/>
    <cellStyle name="CALC Currency Total [2] 2 6 7 3" xfId="36027"/>
    <cellStyle name="CALC Currency Total [2] 2 6 7 4" xfId="44096"/>
    <cellStyle name="CALC Currency Total [2] 2 6 8" xfId="21187"/>
    <cellStyle name="CALC Currency Total [2] 2 6 8 2" xfId="29499"/>
    <cellStyle name="CALC Currency Total [2] 2 6 8 2 2" xfId="44097"/>
    <cellStyle name="CALC Currency Total [2] 2 6 8 3" xfId="36570"/>
    <cellStyle name="CALC Currency Total [2] 2 6 8 4" xfId="44098"/>
    <cellStyle name="CALC Currency Total [2] 2 6 9" xfId="22043"/>
    <cellStyle name="CALC Currency Total [2] 2 6 9 2" xfId="30341"/>
    <cellStyle name="CALC Currency Total [2] 2 6 9 2 2" xfId="44099"/>
    <cellStyle name="CALC Currency Total [2] 2 6 9 3" xfId="37378"/>
    <cellStyle name="CALC Currency Total [2] 2 6 9 4" xfId="44100"/>
    <cellStyle name="CALC Currency Total [2] 2 7" xfId="14645"/>
    <cellStyle name="CALC Currency Total [2] 2 7 10" xfId="23007"/>
    <cellStyle name="CALC Currency Total [2] 2 7 10 2" xfId="44101"/>
    <cellStyle name="CALC Currency Total [2] 2 7 11" xfId="44102"/>
    <cellStyle name="CALC Currency Total [2] 2 7 2" xfId="15726"/>
    <cellStyle name="CALC Currency Total [2] 2 7 2 2" xfId="24042"/>
    <cellStyle name="CALC Currency Total [2] 2 7 2 2 2" xfId="44103"/>
    <cellStyle name="CALC Currency Total [2] 2 7 2 3" xfId="31335"/>
    <cellStyle name="CALC Currency Total [2] 2 7 2 4" xfId="44104"/>
    <cellStyle name="CALC Currency Total [2] 2 7 3" xfId="16692"/>
    <cellStyle name="CALC Currency Total [2] 2 7 3 2" xfId="25013"/>
    <cellStyle name="CALC Currency Total [2] 2 7 3 2 2" xfId="44105"/>
    <cellStyle name="CALC Currency Total [2] 2 7 3 3" xfId="32268"/>
    <cellStyle name="CALC Currency Total [2] 2 7 3 4" xfId="44106"/>
    <cellStyle name="CALC Currency Total [2] 2 7 4" xfId="17716"/>
    <cellStyle name="CALC Currency Total [2] 2 7 4 2" xfId="26039"/>
    <cellStyle name="CALC Currency Total [2] 2 7 4 2 2" xfId="44107"/>
    <cellStyle name="CALC Currency Total [2] 2 7 4 3" xfId="33245"/>
    <cellStyle name="CALC Currency Total [2] 2 7 4 4" xfId="44108"/>
    <cellStyle name="CALC Currency Total [2] 2 7 5" xfId="18699"/>
    <cellStyle name="CALC Currency Total [2] 2 7 5 2" xfId="27020"/>
    <cellStyle name="CALC Currency Total [2] 2 7 5 2 2" xfId="44109"/>
    <cellStyle name="CALC Currency Total [2] 2 7 5 3" xfId="34184"/>
    <cellStyle name="CALC Currency Total [2] 2 7 5 4" xfId="44110"/>
    <cellStyle name="CALC Currency Total [2] 2 7 6" xfId="19668"/>
    <cellStyle name="CALC Currency Total [2] 2 7 6 2" xfId="27989"/>
    <cellStyle name="CALC Currency Total [2] 2 7 6 2 2" xfId="44111"/>
    <cellStyle name="CALC Currency Total [2] 2 7 6 3" xfId="35130"/>
    <cellStyle name="CALC Currency Total [2] 2 7 6 4" xfId="44112"/>
    <cellStyle name="CALC Currency Total [2] 2 7 7" xfId="20625"/>
    <cellStyle name="CALC Currency Total [2] 2 7 7 2" xfId="28946"/>
    <cellStyle name="CALC Currency Total [2] 2 7 7 2 2" xfId="44113"/>
    <cellStyle name="CALC Currency Total [2] 2 7 7 3" xfId="36045"/>
    <cellStyle name="CALC Currency Total [2] 2 7 7 4" xfId="44114"/>
    <cellStyle name="CALC Currency Total [2] 2 7 8" xfId="21207"/>
    <cellStyle name="CALC Currency Total [2] 2 7 8 2" xfId="29519"/>
    <cellStyle name="CALC Currency Total [2] 2 7 8 2 2" xfId="44115"/>
    <cellStyle name="CALC Currency Total [2] 2 7 8 3" xfId="36588"/>
    <cellStyle name="CALC Currency Total [2] 2 7 8 4" xfId="44116"/>
    <cellStyle name="CALC Currency Total [2] 2 7 9" xfId="22062"/>
    <cellStyle name="CALC Currency Total [2] 2 7 9 2" xfId="30360"/>
    <cellStyle name="CALC Currency Total [2] 2 7 9 2 2" xfId="44117"/>
    <cellStyle name="CALC Currency Total [2] 2 7 9 3" xfId="37396"/>
    <cellStyle name="CALC Currency Total [2] 2 7 9 4" xfId="44118"/>
    <cellStyle name="CALC Currency Total [2] 2 8" xfId="14691"/>
    <cellStyle name="CALC Currency Total [2] 2 8 10" xfId="23054"/>
    <cellStyle name="CALC Currency Total [2] 2 8 10 2" xfId="44119"/>
    <cellStyle name="CALC Currency Total [2] 2 8 11" xfId="44120"/>
    <cellStyle name="CALC Currency Total [2] 2 8 2" xfId="15772"/>
    <cellStyle name="CALC Currency Total [2] 2 8 2 2" xfId="24089"/>
    <cellStyle name="CALC Currency Total [2] 2 8 2 2 2" xfId="44121"/>
    <cellStyle name="CALC Currency Total [2] 2 8 2 3" xfId="31380"/>
    <cellStyle name="CALC Currency Total [2] 2 8 2 4" xfId="44122"/>
    <cellStyle name="CALC Currency Total [2] 2 8 3" xfId="16738"/>
    <cellStyle name="CALC Currency Total [2] 2 8 3 2" xfId="25060"/>
    <cellStyle name="CALC Currency Total [2] 2 8 3 2 2" xfId="44123"/>
    <cellStyle name="CALC Currency Total [2] 2 8 3 3" xfId="32313"/>
    <cellStyle name="CALC Currency Total [2] 2 8 3 4" xfId="44124"/>
    <cellStyle name="CALC Currency Total [2] 2 8 4" xfId="17762"/>
    <cellStyle name="CALC Currency Total [2] 2 8 4 2" xfId="26086"/>
    <cellStyle name="CALC Currency Total [2] 2 8 4 2 2" xfId="44125"/>
    <cellStyle name="CALC Currency Total [2] 2 8 4 3" xfId="33290"/>
    <cellStyle name="CALC Currency Total [2] 2 8 4 4" xfId="44126"/>
    <cellStyle name="CALC Currency Total [2] 2 8 5" xfId="18746"/>
    <cellStyle name="CALC Currency Total [2] 2 8 5 2" xfId="27067"/>
    <cellStyle name="CALC Currency Total [2] 2 8 5 2 2" xfId="44127"/>
    <cellStyle name="CALC Currency Total [2] 2 8 5 3" xfId="34229"/>
    <cellStyle name="CALC Currency Total [2] 2 8 5 4" xfId="44128"/>
    <cellStyle name="CALC Currency Total [2] 2 8 6" xfId="19715"/>
    <cellStyle name="CALC Currency Total [2] 2 8 6 2" xfId="28036"/>
    <cellStyle name="CALC Currency Total [2] 2 8 6 2 2" xfId="44129"/>
    <cellStyle name="CALC Currency Total [2] 2 8 6 3" xfId="35175"/>
    <cellStyle name="CALC Currency Total [2] 2 8 6 4" xfId="44130"/>
    <cellStyle name="CALC Currency Total [2] 2 8 7" xfId="20672"/>
    <cellStyle name="CALC Currency Total [2] 2 8 7 2" xfId="28993"/>
    <cellStyle name="CALC Currency Total [2] 2 8 7 2 2" xfId="44131"/>
    <cellStyle name="CALC Currency Total [2] 2 8 7 3" xfId="36090"/>
    <cellStyle name="CALC Currency Total [2] 2 8 7 4" xfId="44132"/>
    <cellStyle name="CALC Currency Total [2] 2 8 8" xfId="21350"/>
    <cellStyle name="CALC Currency Total [2] 2 8 8 2" xfId="29653"/>
    <cellStyle name="CALC Currency Total [2] 2 8 8 2 2" xfId="44133"/>
    <cellStyle name="CALC Currency Total [2] 2 8 8 3" xfId="36718"/>
    <cellStyle name="CALC Currency Total [2] 2 8 8 4" xfId="44134"/>
    <cellStyle name="CALC Currency Total [2] 2 8 9" xfId="22109"/>
    <cellStyle name="CALC Currency Total [2] 2 8 9 2" xfId="30407"/>
    <cellStyle name="CALC Currency Total [2] 2 8 9 2 2" xfId="44135"/>
    <cellStyle name="CALC Currency Total [2] 2 8 9 3" xfId="37441"/>
    <cellStyle name="CALC Currency Total [2] 2 8 9 4" xfId="44136"/>
    <cellStyle name="CALC Currency Total [2] 2 9" xfId="14752"/>
    <cellStyle name="CALC Currency Total [2] 2 9 10" xfId="23116"/>
    <cellStyle name="CALC Currency Total [2] 2 9 10 2" xfId="44137"/>
    <cellStyle name="CALC Currency Total [2] 2 9 11" xfId="44138"/>
    <cellStyle name="CALC Currency Total [2] 2 9 12" xfId="44139"/>
    <cellStyle name="CALC Currency Total [2] 2 9 2" xfId="15833"/>
    <cellStyle name="CALC Currency Total [2] 2 9 2 2" xfId="24151"/>
    <cellStyle name="CALC Currency Total [2] 2 9 2 2 2" xfId="44140"/>
    <cellStyle name="CALC Currency Total [2] 2 9 2 3" xfId="31439"/>
    <cellStyle name="CALC Currency Total [2] 2 9 2 4" xfId="44141"/>
    <cellStyle name="CALC Currency Total [2] 2 9 3" xfId="16799"/>
    <cellStyle name="CALC Currency Total [2] 2 9 3 2" xfId="25123"/>
    <cellStyle name="CALC Currency Total [2] 2 9 3 2 2" xfId="44142"/>
    <cellStyle name="CALC Currency Total [2] 2 9 3 3" xfId="32372"/>
    <cellStyle name="CALC Currency Total [2] 2 9 3 4" xfId="44143"/>
    <cellStyle name="CALC Currency Total [2] 2 9 4" xfId="17825"/>
    <cellStyle name="CALC Currency Total [2] 2 9 4 2" xfId="26149"/>
    <cellStyle name="CALC Currency Total [2] 2 9 4 2 2" xfId="44144"/>
    <cellStyle name="CALC Currency Total [2] 2 9 4 3" xfId="33349"/>
    <cellStyle name="CALC Currency Total [2] 2 9 4 4" xfId="44145"/>
    <cellStyle name="CALC Currency Total [2] 2 9 5" xfId="18809"/>
    <cellStyle name="CALC Currency Total [2] 2 9 5 2" xfId="27130"/>
    <cellStyle name="CALC Currency Total [2] 2 9 5 2 2" xfId="44146"/>
    <cellStyle name="CALC Currency Total [2] 2 9 5 3" xfId="34289"/>
    <cellStyle name="CALC Currency Total [2] 2 9 5 4" xfId="44147"/>
    <cellStyle name="CALC Currency Total [2] 2 9 6" xfId="19777"/>
    <cellStyle name="CALC Currency Total [2] 2 9 6 2" xfId="28099"/>
    <cellStyle name="CALC Currency Total [2] 2 9 6 2 2" xfId="44148"/>
    <cellStyle name="CALC Currency Total [2] 2 9 6 3" xfId="35235"/>
    <cellStyle name="CALC Currency Total [2] 2 9 6 4" xfId="44149"/>
    <cellStyle name="CALC Currency Total [2] 2 9 7" xfId="20735"/>
    <cellStyle name="CALC Currency Total [2] 2 9 7 2" xfId="29056"/>
    <cellStyle name="CALC Currency Total [2] 2 9 7 2 2" xfId="44150"/>
    <cellStyle name="CALC Currency Total [2] 2 9 7 3" xfId="36148"/>
    <cellStyle name="CALC Currency Total [2] 2 9 7 4" xfId="44151"/>
    <cellStyle name="CALC Currency Total [2] 2 9 8" xfId="21075"/>
    <cellStyle name="CALC Currency Total [2] 2 9 8 2" xfId="29392"/>
    <cellStyle name="CALC Currency Total [2] 2 9 8 2 2" xfId="44152"/>
    <cellStyle name="CALC Currency Total [2] 2 9 8 3" xfId="36468"/>
    <cellStyle name="CALC Currency Total [2] 2 9 8 4" xfId="44153"/>
    <cellStyle name="CALC Currency Total [2] 2 9 9" xfId="22171"/>
    <cellStyle name="CALC Currency Total [2] 2 9 9 2" xfId="30469"/>
    <cellStyle name="CALC Currency Total [2] 2 9 9 2 2" xfId="44154"/>
    <cellStyle name="CALC Currency Total [2] 2 9 9 3" xfId="37500"/>
    <cellStyle name="CALC Currency Total [2] 2 9 9 4" xfId="44155"/>
    <cellStyle name="CALC Currency Total [2] 20" xfId="15304"/>
    <cellStyle name="CALC Currency Total [2] 20 10" xfId="44156"/>
    <cellStyle name="CALC Currency Total [2] 20 11" xfId="44157"/>
    <cellStyle name="CALC Currency Total [2] 20 2" xfId="16384"/>
    <cellStyle name="CALC Currency Total [2] 20 2 2" xfId="24697"/>
    <cellStyle name="CALC Currency Total [2] 20 2 2 2" xfId="44158"/>
    <cellStyle name="CALC Currency Total [2] 20 2 3" xfId="31963"/>
    <cellStyle name="CALC Currency Total [2] 20 2 4" xfId="44159"/>
    <cellStyle name="CALC Currency Total [2] 20 3" xfId="17350"/>
    <cellStyle name="CALC Currency Total [2] 20 3 2" xfId="25671"/>
    <cellStyle name="CALC Currency Total [2] 20 3 2 2" xfId="44160"/>
    <cellStyle name="CALC Currency Total [2] 20 3 3" xfId="32896"/>
    <cellStyle name="CALC Currency Total [2] 20 3 4" xfId="44161"/>
    <cellStyle name="CALC Currency Total [2] 20 4" xfId="18378"/>
    <cellStyle name="CALC Currency Total [2] 20 4 2" xfId="26698"/>
    <cellStyle name="CALC Currency Total [2] 20 4 2 2" xfId="44162"/>
    <cellStyle name="CALC Currency Total [2] 20 4 3" xfId="33874"/>
    <cellStyle name="CALC Currency Total [2] 20 4 4" xfId="44163"/>
    <cellStyle name="CALC Currency Total [2] 20 5" xfId="19361"/>
    <cellStyle name="CALC Currency Total [2] 20 5 2" xfId="27682"/>
    <cellStyle name="CALC Currency Total [2] 20 5 2 2" xfId="44164"/>
    <cellStyle name="CALC Currency Total [2] 20 5 3" xfId="34830"/>
    <cellStyle name="CALC Currency Total [2] 20 5 4" xfId="44165"/>
    <cellStyle name="CALC Currency Total [2] 20 6" xfId="20330"/>
    <cellStyle name="CALC Currency Total [2] 20 6 2" xfId="28652"/>
    <cellStyle name="CALC Currency Total [2] 20 6 2 2" xfId="44166"/>
    <cellStyle name="CALC Currency Total [2] 20 6 3" xfId="35766"/>
    <cellStyle name="CALC Currency Total [2] 20 6 4" xfId="44167"/>
    <cellStyle name="CALC Currency Total [2] 20 7" xfId="21791"/>
    <cellStyle name="CALC Currency Total [2] 20 7 2" xfId="30092"/>
    <cellStyle name="CALC Currency Total [2] 20 7 2 2" xfId="44168"/>
    <cellStyle name="CALC Currency Total [2] 20 7 3" xfId="37140"/>
    <cellStyle name="CALC Currency Total [2] 20 7 4" xfId="44169"/>
    <cellStyle name="CALC Currency Total [2] 20 8" xfId="22719"/>
    <cellStyle name="CALC Currency Total [2] 20 8 2" xfId="31015"/>
    <cellStyle name="CALC Currency Total [2] 20 8 2 2" xfId="44170"/>
    <cellStyle name="CALC Currency Total [2] 20 8 3" xfId="38023"/>
    <cellStyle name="CALC Currency Total [2] 20 8 4" xfId="44171"/>
    <cellStyle name="CALC Currency Total [2] 20 9" xfId="23661"/>
    <cellStyle name="CALC Currency Total [2] 20 9 2" xfId="44172"/>
    <cellStyle name="CALC Currency Total [2] 21" xfId="15335"/>
    <cellStyle name="CALC Currency Total [2] 21 10" xfId="44173"/>
    <cellStyle name="CALC Currency Total [2] 21 11" xfId="44174"/>
    <cellStyle name="CALC Currency Total [2] 21 2" xfId="16415"/>
    <cellStyle name="CALC Currency Total [2] 21 2 2" xfId="24728"/>
    <cellStyle name="CALC Currency Total [2] 21 2 2 2" xfId="44175"/>
    <cellStyle name="CALC Currency Total [2] 21 2 3" xfId="31993"/>
    <cellStyle name="CALC Currency Total [2] 21 2 4" xfId="44176"/>
    <cellStyle name="CALC Currency Total [2] 21 3" xfId="17381"/>
    <cellStyle name="CALC Currency Total [2] 21 3 2" xfId="25702"/>
    <cellStyle name="CALC Currency Total [2] 21 3 2 2" xfId="44177"/>
    <cellStyle name="CALC Currency Total [2] 21 3 3" xfId="32926"/>
    <cellStyle name="CALC Currency Total [2] 21 3 4" xfId="44178"/>
    <cellStyle name="CALC Currency Total [2] 21 4" xfId="18409"/>
    <cellStyle name="CALC Currency Total [2] 21 4 2" xfId="26729"/>
    <cellStyle name="CALC Currency Total [2] 21 4 2 2" xfId="44179"/>
    <cellStyle name="CALC Currency Total [2] 21 4 3" xfId="33904"/>
    <cellStyle name="CALC Currency Total [2] 21 4 4" xfId="44180"/>
    <cellStyle name="CALC Currency Total [2] 21 5" xfId="19392"/>
    <cellStyle name="CALC Currency Total [2] 21 5 2" xfId="27713"/>
    <cellStyle name="CALC Currency Total [2] 21 5 2 2" xfId="44181"/>
    <cellStyle name="CALC Currency Total [2] 21 5 3" xfId="34861"/>
    <cellStyle name="CALC Currency Total [2] 21 5 4" xfId="44182"/>
    <cellStyle name="CALC Currency Total [2] 21 6" xfId="20361"/>
    <cellStyle name="CALC Currency Total [2] 21 6 2" xfId="28683"/>
    <cellStyle name="CALC Currency Total [2] 21 6 2 2" xfId="44183"/>
    <cellStyle name="CALC Currency Total [2] 21 6 3" xfId="35796"/>
    <cellStyle name="CALC Currency Total [2] 21 6 4" xfId="44184"/>
    <cellStyle name="CALC Currency Total [2] 21 7" xfId="21822"/>
    <cellStyle name="CALC Currency Total [2] 21 7 2" xfId="30123"/>
    <cellStyle name="CALC Currency Total [2] 21 7 2 2" xfId="44185"/>
    <cellStyle name="CALC Currency Total [2] 21 7 3" xfId="37170"/>
    <cellStyle name="CALC Currency Total [2] 21 7 4" xfId="44186"/>
    <cellStyle name="CALC Currency Total [2] 21 8" xfId="22750"/>
    <cellStyle name="CALC Currency Total [2] 21 8 2" xfId="31046"/>
    <cellStyle name="CALC Currency Total [2] 21 8 2 2" xfId="44187"/>
    <cellStyle name="CALC Currency Total [2] 21 8 3" xfId="38053"/>
    <cellStyle name="CALC Currency Total [2] 21 8 4" xfId="44188"/>
    <cellStyle name="CALC Currency Total [2] 21 9" xfId="23692"/>
    <cellStyle name="CALC Currency Total [2] 21 9 2" xfId="44189"/>
    <cellStyle name="CALC Currency Total [2] 22" xfId="15469"/>
    <cellStyle name="CALC Currency Total [2] 22 2" xfId="17515"/>
    <cellStyle name="CALC Currency Total [2] 22 2 2" xfId="25835"/>
    <cellStyle name="CALC Currency Total [2] 22 2 2 2" xfId="44190"/>
    <cellStyle name="CALC Currency Total [2] 22 2 3" xfId="33054"/>
    <cellStyle name="CALC Currency Total [2] 22 2 4" xfId="44191"/>
    <cellStyle name="CALC Currency Total [2] 22 3" xfId="19526"/>
    <cellStyle name="CALC Currency Total [2] 22 3 2" xfId="27847"/>
    <cellStyle name="CALC Currency Total [2] 22 3 2 2" xfId="44192"/>
    <cellStyle name="CALC Currency Total [2] 22 3 3" xfId="34995"/>
    <cellStyle name="CALC Currency Total [2] 22 3 4" xfId="44193"/>
    <cellStyle name="CALC Currency Total [2] 22 4" xfId="44194"/>
    <cellStyle name="CALC Currency Total [2] 22 4 2" xfId="44195"/>
    <cellStyle name="CALC Currency Total [2] 23" xfId="44196"/>
    <cellStyle name="CALC Currency Total [2] 23 2" xfId="44197"/>
    <cellStyle name="CALC Currency Total [2] 3" xfId="14534"/>
    <cellStyle name="CALC Currency Total [2] 3 2" xfId="15610"/>
    <cellStyle name="CALC Currency Total [2] 3 2 2" xfId="23924"/>
    <cellStyle name="CALC Currency Total [2] 3 2 2 2" xfId="44198"/>
    <cellStyle name="CALC Currency Total [2] 3 2 3" xfId="44199"/>
    <cellStyle name="CALC Currency Total [2] 3 2 4" xfId="44200"/>
    <cellStyle name="CALC Currency Total [2] 3 3" xfId="16579"/>
    <cellStyle name="CALC Currency Total [2] 3 3 2" xfId="24895"/>
    <cellStyle name="CALC Currency Total [2] 3 3 2 2" xfId="44201"/>
    <cellStyle name="CALC Currency Total [2] 3 3 3" xfId="32155"/>
    <cellStyle name="CALC Currency Total [2] 3 3 4" xfId="44202"/>
    <cellStyle name="CALC Currency Total [2] 3 4" xfId="17597"/>
    <cellStyle name="CALC Currency Total [2] 3 4 2" xfId="25919"/>
    <cellStyle name="CALC Currency Total [2] 3 4 2 2" xfId="44203"/>
    <cellStyle name="CALC Currency Total [2] 3 4 3" xfId="33132"/>
    <cellStyle name="CALC Currency Total [2] 3 4 4" xfId="44204"/>
    <cellStyle name="CALC Currency Total [2] 3 5" xfId="18578"/>
    <cellStyle name="CALC Currency Total [2] 3 5 2" xfId="26897"/>
    <cellStyle name="CALC Currency Total [2] 3 5 2 2" xfId="44205"/>
    <cellStyle name="CALC Currency Total [2] 3 5 3" xfId="34066"/>
    <cellStyle name="CALC Currency Total [2] 3 5 4" xfId="44206"/>
    <cellStyle name="CALC Currency Total [2] 3 6" xfId="19546"/>
    <cellStyle name="CALC Currency Total [2] 3 6 2" xfId="27867"/>
    <cellStyle name="CALC Currency Total [2] 3 6 2 2" xfId="44207"/>
    <cellStyle name="CALC Currency Total [2] 3 6 3" xfId="35015"/>
    <cellStyle name="CALC Currency Total [2] 3 6 4" xfId="44208"/>
    <cellStyle name="CALC Currency Total [2] 3 7" xfId="19406"/>
    <cellStyle name="CALC Currency Total [2] 3 7 2" xfId="27727"/>
    <cellStyle name="CALC Currency Total [2] 3 7 2 2" xfId="44209"/>
    <cellStyle name="CALC Currency Total [2] 3 7 3" xfId="34875"/>
    <cellStyle name="CALC Currency Total [2] 3 7 4" xfId="44210"/>
    <cellStyle name="CALC Currency Total [2] 3 8" xfId="22888"/>
    <cellStyle name="CALC Currency Total [2] 3 8 2" xfId="44211"/>
    <cellStyle name="CALC Currency Total [2] 4" xfId="14582"/>
    <cellStyle name="CALC Currency Total [2] 4 10" xfId="22941"/>
    <cellStyle name="CALC Currency Total [2] 4 10 2" xfId="44212"/>
    <cellStyle name="CALC Currency Total [2] 4 11" xfId="44213"/>
    <cellStyle name="CALC Currency Total [2] 4 2" xfId="15662"/>
    <cellStyle name="CALC Currency Total [2] 4 2 2" xfId="23977"/>
    <cellStyle name="CALC Currency Total [2] 4 2 2 2" xfId="44214"/>
    <cellStyle name="CALC Currency Total [2] 4 2 3" xfId="31274"/>
    <cellStyle name="CALC Currency Total [2] 4 2 4" xfId="44215"/>
    <cellStyle name="CALC Currency Total [2] 4 3" xfId="16629"/>
    <cellStyle name="CALC Currency Total [2] 4 3 2" xfId="24948"/>
    <cellStyle name="CALC Currency Total [2] 4 3 2 2" xfId="44216"/>
    <cellStyle name="CALC Currency Total [2] 4 3 3" xfId="32207"/>
    <cellStyle name="CALC Currency Total [2] 4 3 4" xfId="44217"/>
    <cellStyle name="CALC Currency Total [2] 4 4" xfId="17650"/>
    <cellStyle name="CALC Currency Total [2] 4 4 2" xfId="25974"/>
    <cellStyle name="CALC Currency Total [2] 4 4 2 2" xfId="44218"/>
    <cellStyle name="CALC Currency Total [2] 4 4 3" xfId="33184"/>
    <cellStyle name="CALC Currency Total [2] 4 4 4" xfId="44219"/>
    <cellStyle name="CALC Currency Total [2] 4 5" xfId="18633"/>
    <cellStyle name="CALC Currency Total [2] 4 5 2" xfId="26953"/>
    <cellStyle name="CALC Currency Total [2] 4 5 2 2" xfId="44220"/>
    <cellStyle name="CALC Currency Total [2] 4 5 3" xfId="34121"/>
    <cellStyle name="CALC Currency Total [2] 4 5 4" xfId="44221"/>
    <cellStyle name="CALC Currency Total [2] 4 6" xfId="19602"/>
    <cellStyle name="CALC Currency Total [2] 4 6 2" xfId="27922"/>
    <cellStyle name="CALC Currency Total [2] 4 6 2 2" xfId="44222"/>
    <cellStyle name="CALC Currency Total [2] 4 6 3" xfId="35067"/>
    <cellStyle name="CALC Currency Total [2] 4 6 4" xfId="44223"/>
    <cellStyle name="CALC Currency Total [2] 4 7" xfId="20559"/>
    <cellStyle name="CALC Currency Total [2] 4 7 2" xfId="28881"/>
    <cellStyle name="CALC Currency Total [2] 4 7 2 2" xfId="44224"/>
    <cellStyle name="CALC Currency Total [2] 4 7 3" xfId="35984"/>
    <cellStyle name="CALC Currency Total [2] 4 7 4" xfId="44225"/>
    <cellStyle name="CALC Currency Total [2] 4 8" xfId="21232"/>
    <cellStyle name="CALC Currency Total [2] 4 8 2" xfId="29542"/>
    <cellStyle name="CALC Currency Total [2] 4 8 2 2" xfId="44226"/>
    <cellStyle name="CALC Currency Total [2] 4 8 3" xfId="36611"/>
    <cellStyle name="CALC Currency Total [2] 4 8 4" xfId="44227"/>
    <cellStyle name="CALC Currency Total [2] 4 9" xfId="21995"/>
    <cellStyle name="CALC Currency Total [2] 4 9 2" xfId="30295"/>
    <cellStyle name="CALC Currency Total [2] 4 9 2 2" xfId="44228"/>
    <cellStyle name="CALC Currency Total [2] 4 9 3" xfId="37335"/>
    <cellStyle name="CALC Currency Total [2] 4 9 4" xfId="44229"/>
    <cellStyle name="CALC Currency Total [2] 5" xfId="14560"/>
    <cellStyle name="CALC Currency Total [2] 5 10" xfId="22916"/>
    <cellStyle name="CALC Currency Total [2] 5 10 2" xfId="44230"/>
    <cellStyle name="CALC Currency Total [2] 5 11" xfId="44231"/>
    <cellStyle name="CALC Currency Total [2] 5 2" xfId="15639"/>
    <cellStyle name="CALC Currency Total [2] 5 2 2" xfId="23952"/>
    <cellStyle name="CALC Currency Total [2] 5 2 2 2" xfId="44232"/>
    <cellStyle name="CALC Currency Total [2] 5 2 3" xfId="31249"/>
    <cellStyle name="CALC Currency Total [2] 5 2 4" xfId="44233"/>
    <cellStyle name="CALC Currency Total [2] 5 3" xfId="16606"/>
    <cellStyle name="CALC Currency Total [2] 5 3 2" xfId="24923"/>
    <cellStyle name="CALC Currency Total [2] 5 3 2 2" xfId="44234"/>
    <cellStyle name="CALC Currency Total [2] 5 3 3" xfId="32182"/>
    <cellStyle name="CALC Currency Total [2] 5 3 4" xfId="44235"/>
    <cellStyle name="CALC Currency Total [2] 5 4" xfId="17626"/>
    <cellStyle name="CALC Currency Total [2] 5 4 2" xfId="25949"/>
    <cellStyle name="CALC Currency Total [2] 5 4 2 2" xfId="44236"/>
    <cellStyle name="CALC Currency Total [2] 5 4 3" xfId="33159"/>
    <cellStyle name="CALC Currency Total [2] 5 4 4" xfId="44237"/>
    <cellStyle name="CALC Currency Total [2] 5 5" xfId="18608"/>
    <cellStyle name="CALC Currency Total [2] 5 5 2" xfId="26927"/>
    <cellStyle name="CALC Currency Total [2] 5 5 2 2" xfId="44238"/>
    <cellStyle name="CALC Currency Total [2] 5 5 3" xfId="34095"/>
    <cellStyle name="CALC Currency Total [2] 5 5 4" xfId="44239"/>
    <cellStyle name="CALC Currency Total [2] 5 6" xfId="19576"/>
    <cellStyle name="CALC Currency Total [2] 5 6 2" xfId="27897"/>
    <cellStyle name="CALC Currency Total [2] 5 6 2 2" xfId="44240"/>
    <cellStyle name="CALC Currency Total [2] 5 6 3" xfId="35042"/>
    <cellStyle name="CALC Currency Total [2] 5 6 4" xfId="44241"/>
    <cellStyle name="CALC Currency Total [2] 5 7" xfId="20534"/>
    <cellStyle name="CALC Currency Total [2] 5 7 2" xfId="28856"/>
    <cellStyle name="CALC Currency Total [2] 5 7 2 2" xfId="44242"/>
    <cellStyle name="CALC Currency Total [2] 5 7 3" xfId="35959"/>
    <cellStyle name="CALC Currency Total [2] 5 7 4" xfId="44243"/>
    <cellStyle name="CALC Currency Total [2] 5 8" xfId="21124"/>
    <cellStyle name="CALC Currency Total [2] 5 8 2" xfId="29438"/>
    <cellStyle name="CALC Currency Total [2] 5 8 2 2" xfId="44244"/>
    <cellStyle name="CALC Currency Total [2] 5 8 3" xfId="36511"/>
    <cellStyle name="CALC Currency Total [2] 5 8 4" xfId="44245"/>
    <cellStyle name="CALC Currency Total [2] 5 9" xfId="21969"/>
    <cellStyle name="CALC Currency Total [2] 5 9 2" xfId="30270"/>
    <cellStyle name="CALC Currency Total [2] 5 9 2 2" xfId="44246"/>
    <cellStyle name="CALC Currency Total [2] 5 9 3" xfId="37310"/>
    <cellStyle name="CALC Currency Total [2] 5 9 4" xfId="44247"/>
    <cellStyle name="CALC Currency Total [2] 6" xfId="14636"/>
    <cellStyle name="CALC Currency Total [2] 6 10" xfId="22998"/>
    <cellStyle name="CALC Currency Total [2] 6 10 2" xfId="44248"/>
    <cellStyle name="CALC Currency Total [2] 6 11" xfId="44249"/>
    <cellStyle name="CALC Currency Total [2] 6 2" xfId="15717"/>
    <cellStyle name="CALC Currency Total [2] 6 2 2" xfId="24033"/>
    <cellStyle name="CALC Currency Total [2] 6 2 2 2" xfId="44250"/>
    <cellStyle name="CALC Currency Total [2] 6 2 3" xfId="31326"/>
    <cellStyle name="CALC Currency Total [2] 6 2 4" xfId="44251"/>
    <cellStyle name="CALC Currency Total [2] 6 3" xfId="16683"/>
    <cellStyle name="CALC Currency Total [2] 6 3 2" xfId="25004"/>
    <cellStyle name="CALC Currency Total [2] 6 3 2 2" xfId="44252"/>
    <cellStyle name="CALC Currency Total [2] 6 3 3" xfId="32259"/>
    <cellStyle name="CALC Currency Total [2] 6 3 4" xfId="44253"/>
    <cellStyle name="CALC Currency Total [2] 6 4" xfId="17707"/>
    <cellStyle name="CALC Currency Total [2] 6 4 2" xfId="26030"/>
    <cellStyle name="CALC Currency Total [2] 6 4 2 2" xfId="44254"/>
    <cellStyle name="CALC Currency Total [2] 6 4 3" xfId="33236"/>
    <cellStyle name="CALC Currency Total [2] 6 4 4" xfId="44255"/>
    <cellStyle name="CALC Currency Total [2] 6 5" xfId="18690"/>
    <cellStyle name="CALC Currency Total [2] 6 5 2" xfId="27011"/>
    <cellStyle name="CALC Currency Total [2] 6 5 2 2" xfId="44256"/>
    <cellStyle name="CALC Currency Total [2] 6 5 3" xfId="34175"/>
    <cellStyle name="CALC Currency Total [2] 6 5 4" xfId="44257"/>
    <cellStyle name="CALC Currency Total [2] 6 6" xfId="19659"/>
    <cellStyle name="CALC Currency Total [2] 6 6 2" xfId="27980"/>
    <cellStyle name="CALC Currency Total [2] 6 6 2 2" xfId="44258"/>
    <cellStyle name="CALC Currency Total [2] 6 6 3" xfId="35121"/>
    <cellStyle name="CALC Currency Total [2] 6 6 4" xfId="44259"/>
    <cellStyle name="CALC Currency Total [2] 6 7" xfId="20616"/>
    <cellStyle name="CALC Currency Total [2] 6 7 2" xfId="28937"/>
    <cellStyle name="CALC Currency Total [2] 6 7 2 2" xfId="44260"/>
    <cellStyle name="CALC Currency Total [2] 6 7 3" xfId="36036"/>
    <cellStyle name="CALC Currency Total [2] 6 7 4" xfId="44261"/>
    <cellStyle name="CALC Currency Total [2] 6 8" xfId="21375"/>
    <cellStyle name="CALC Currency Total [2] 6 8 2" xfId="29678"/>
    <cellStyle name="CALC Currency Total [2] 6 8 2 2" xfId="44262"/>
    <cellStyle name="CALC Currency Total [2] 6 8 3" xfId="36742"/>
    <cellStyle name="CALC Currency Total [2] 6 8 4" xfId="44263"/>
    <cellStyle name="CALC Currency Total [2] 6 9" xfId="22053"/>
    <cellStyle name="CALC Currency Total [2] 6 9 2" xfId="30351"/>
    <cellStyle name="CALC Currency Total [2] 6 9 2 2" xfId="44264"/>
    <cellStyle name="CALC Currency Total [2] 6 9 3" xfId="37387"/>
    <cellStyle name="CALC Currency Total [2] 6 9 4" xfId="44265"/>
    <cellStyle name="CALC Currency Total [2] 7" xfId="14676"/>
    <cellStyle name="CALC Currency Total [2] 7 10" xfId="23038"/>
    <cellStyle name="CALC Currency Total [2] 7 10 2" xfId="44266"/>
    <cellStyle name="CALC Currency Total [2] 7 11" xfId="44267"/>
    <cellStyle name="CALC Currency Total [2] 7 2" xfId="15757"/>
    <cellStyle name="CALC Currency Total [2] 7 2 2" xfId="24073"/>
    <cellStyle name="CALC Currency Total [2] 7 2 2 2" xfId="44268"/>
    <cellStyle name="CALC Currency Total [2] 7 2 3" xfId="31364"/>
    <cellStyle name="CALC Currency Total [2] 7 2 4" xfId="44269"/>
    <cellStyle name="CALC Currency Total [2] 7 3" xfId="16723"/>
    <cellStyle name="CALC Currency Total [2] 7 3 2" xfId="25044"/>
    <cellStyle name="CALC Currency Total [2] 7 3 2 2" xfId="44270"/>
    <cellStyle name="CALC Currency Total [2] 7 3 3" xfId="32297"/>
    <cellStyle name="CALC Currency Total [2] 7 3 4" xfId="44271"/>
    <cellStyle name="CALC Currency Total [2] 7 4" xfId="17747"/>
    <cellStyle name="CALC Currency Total [2] 7 4 2" xfId="26070"/>
    <cellStyle name="CALC Currency Total [2] 7 4 2 2" xfId="44272"/>
    <cellStyle name="CALC Currency Total [2] 7 4 3" xfId="33274"/>
    <cellStyle name="CALC Currency Total [2] 7 4 4" xfId="44273"/>
    <cellStyle name="CALC Currency Total [2] 7 5" xfId="18730"/>
    <cellStyle name="CALC Currency Total [2] 7 5 2" xfId="27051"/>
    <cellStyle name="CALC Currency Total [2] 7 5 2 2" xfId="44274"/>
    <cellStyle name="CALC Currency Total [2] 7 5 3" xfId="34213"/>
    <cellStyle name="CALC Currency Total [2] 7 5 4" xfId="44275"/>
    <cellStyle name="CALC Currency Total [2] 7 6" xfId="19699"/>
    <cellStyle name="CALC Currency Total [2] 7 6 2" xfId="28020"/>
    <cellStyle name="CALC Currency Total [2] 7 6 2 2" xfId="44276"/>
    <cellStyle name="CALC Currency Total [2] 7 6 3" xfId="35159"/>
    <cellStyle name="CALC Currency Total [2] 7 6 4" xfId="44277"/>
    <cellStyle name="CALC Currency Total [2] 7 7" xfId="20656"/>
    <cellStyle name="CALC Currency Total [2] 7 7 2" xfId="28977"/>
    <cellStyle name="CALC Currency Total [2] 7 7 2 2" xfId="44278"/>
    <cellStyle name="CALC Currency Total [2] 7 7 3" xfId="36074"/>
    <cellStyle name="CALC Currency Total [2] 7 7 4" xfId="44279"/>
    <cellStyle name="CALC Currency Total [2] 7 8" xfId="21251"/>
    <cellStyle name="CALC Currency Total [2] 7 8 2" xfId="29560"/>
    <cellStyle name="CALC Currency Total [2] 7 8 2 2" xfId="44280"/>
    <cellStyle name="CALC Currency Total [2] 7 8 3" xfId="36628"/>
    <cellStyle name="CALC Currency Total [2] 7 8 4" xfId="44281"/>
    <cellStyle name="CALC Currency Total [2] 7 9" xfId="22093"/>
    <cellStyle name="CALC Currency Total [2] 7 9 2" xfId="30391"/>
    <cellStyle name="CALC Currency Total [2] 7 9 2 2" xfId="44282"/>
    <cellStyle name="CALC Currency Total [2] 7 9 3" xfId="37425"/>
    <cellStyle name="CALC Currency Total [2] 7 9 4" xfId="44283"/>
    <cellStyle name="CALC Currency Total [2] 8" xfId="14778"/>
    <cellStyle name="CALC Currency Total [2] 8 10" xfId="23142"/>
    <cellStyle name="CALC Currency Total [2] 8 10 2" xfId="44284"/>
    <cellStyle name="CALC Currency Total [2] 8 11" xfId="44285"/>
    <cellStyle name="CALC Currency Total [2] 8 12" xfId="44286"/>
    <cellStyle name="CALC Currency Total [2] 8 2" xfId="15859"/>
    <cellStyle name="CALC Currency Total [2] 8 2 2" xfId="24177"/>
    <cellStyle name="CALC Currency Total [2] 8 2 2 2" xfId="44287"/>
    <cellStyle name="CALC Currency Total [2] 8 2 3" xfId="31465"/>
    <cellStyle name="CALC Currency Total [2] 8 2 4" xfId="44288"/>
    <cellStyle name="CALC Currency Total [2] 8 3" xfId="16825"/>
    <cellStyle name="CALC Currency Total [2] 8 3 2" xfId="25149"/>
    <cellStyle name="CALC Currency Total [2] 8 3 2 2" xfId="44289"/>
    <cellStyle name="CALC Currency Total [2] 8 3 3" xfId="32398"/>
    <cellStyle name="CALC Currency Total [2] 8 3 4" xfId="44290"/>
    <cellStyle name="CALC Currency Total [2] 8 4" xfId="17851"/>
    <cellStyle name="CALC Currency Total [2] 8 4 2" xfId="26175"/>
    <cellStyle name="CALC Currency Total [2] 8 4 2 2" xfId="44291"/>
    <cellStyle name="CALC Currency Total [2] 8 4 3" xfId="33375"/>
    <cellStyle name="CALC Currency Total [2] 8 4 4" xfId="44292"/>
    <cellStyle name="CALC Currency Total [2] 8 5" xfId="18835"/>
    <cellStyle name="CALC Currency Total [2] 8 5 2" xfId="27156"/>
    <cellStyle name="CALC Currency Total [2] 8 5 2 2" xfId="44293"/>
    <cellStyle name="CALC Currency Total [2] 8 5 3" xfId="34315"/>
    <cellStyle name="CALC Currency Total [2] 8 5 4" xfId="44294"/>
    <cellStyle name="CALC Currency Total [2] 8 6" xfId="19803"/>
    <cellStyle name="CALC Currency Total [2] 8 6 2" xfId="28125"/>
    <cellStyle name="CALC Currency Total [2] 8 6 2 2" xfId="44295"/>
    <cellStyle name="CALC Currency Total [2] 8 6 3" xfId="35261"/>
    <cellStyle name="CALC Currency Total [2] 8 6 4" xfId="44296"/>
    <cellStyle name="CALC Currency Total [2] 8 7" xfId="20761"/>
    <cellStyle name="CALC Currency Total [2] 8 7 2" xfId="29082"/>
    <cellStyle name="CALC Currency Total [2] 8 7 2 2" xfId="44297"/>
    <cellStyle name="CALC Currency Total [2] 8 7 3" xfId="36174"/>
    <cellStyle name="CALC Currency Total [2] 8 7 4" xfId="44298"/>
    <cellStyle name="CALC Currency Total [2] 8 8" xfId="21193"/>
    <cellStyle name="CALC Currency Total [2] 8 8 2" xfId="29505"/>
    <cellStyle name="CALC Currency Total [2] 8 8 2 2" xfId="44299"/>
    <cellStyle name="CALC Currency Total [2] 8 8 3" xfId="36576"/>
    <cellStyle name="CALC Currency Total [2] 8 8 4" xfId="44300"/>
    <cellStyle name="CALC Currency Total [2] 8 9" xfId="22197"/>
    <cellStyle name="CALC Currency Total [2] 8 9 2" xfId="30495"/>
    <cellStyle name="CALC Currency Total [2] 8 9 2 2" xfId="44301"/>
    <cellStyle name="CALC Currency Total [2] 8 9 3" xfId="37526"/>
    <cellStyle name="CALC Currency Total [2] 8 9 4" xfId="44302"/>
    <cellStyle name="CALC Currency Total [2] 9" xfId="14819"/>
    <cellStyle name="CALC Currency Total [2] 9 10" xfId="23183"/>
    <cellStyle name="CALC Currency Total [2] 9 10 2" xfId="44303"/>
    <cellStyle name="CALC Currency Total [2] 9 11" xfId="44304"/>
    <cellStyle name="CALC Currency Total [2] 9 12" xfId="44305"/>
    <cellStyle name="CALC Currency Total [2] 9 2" xfId="15900"/>
    <cellStyle name="CALC Currency Total [2] 9 2 2" xfId="24218"/>
    <cellStyle name="CALC Currency Total [2] 9 2 2 2" xfId="44306"/>
    <cellStyle name="CALC Currency Total [2] 9 2 3" xfId="31504"/>
    <cellStyle name="CALC Currency Total [2] 9 2 4" xfId="44307"/>
    <cellStyle name="CALC Currency Total [2] 9 3" xfId="16866"/>
    <cellStyle name="CALC Currency Total [2] 9 3 2" xfId="25190"/>
    <cellStyle name="CALC Currency Total [2] 9 3 2 2" xfId="44308"/>
    <cellStyle name="CALC Currency Total [2] 9 3 3" xfId="32437"/>
    <cellStyle name="CALC Currency Total [2] 9 3 4" xfId="44309"/>
    <cellStyle name="CALC Currency Total [2] 9 4" xfId="17893"/>
    <cellStyle name="CALC Currency Total [2] 9 4 2" xfId="26216"/>
    <cellStyle name="CALC Currency Total [2] 9 4 2 2" xfId="44310"/>
    <cellStyle name="CALC Currency Total [2] 9 4 3" xfId="33414"/>
    <cellStyle name="CALC Currency Total [2] 9 4 4" xfId="44311"/>
    <cellStyle name="CALC Currency Total [2] 9 5" xfId="18877"/>
    <cellStyle name="CALC Currency Total [2] 9 5 2" xfId="27197"/>
    <cellStyle name="CALC Currency Total [2] 9 5 2 2" xfId="44312"/>
    <cellStyle name="CALC Currency Total [2] 9 5 3" xfId="34354"/>
    <cellStyle name="CALC Currency Total [2] 9 5 4" xfId="44313"/>
    <cellStyle name="CALC Currency Total [2] 9 6" xfId="19845"/>
    <cellStyle name="CALC Currency Total [2] 9 6 2" xfId="28167"/>
    <cellStyle name="CALC Currency Total [2] 9 6 2 2" xfId="44314"/>
    <cellStyle name="CALC Currency Total [2] 9 6 3" xfId="35301"/>
    <cellStyle name="CALC Currency Total [2] 9 6 4" xfId="44315"/>
    <cellStyle name="CALC Currency Total [2] 9 7" xfId="20803"/>
    <cellStyle name="CALC Currency Total [2] 9 7 2" xfId="29123"/>
    <cellStyle name="CALC Currency Total [2] 9 7 2 2" xfId="44316"/>
    <cellStyle name="CALC Currency Total [2] 9 7 3" xfId="36212"/>
    <cellStyle name="CALC Currency Total [2] 9 7 4" xfId="44317"/>
    <cellStyle name="CALC Currency Total [2] 9 8" xfId="21154"/>
    <cellStyle name="CALC Currency Total [2] 9 8 2" xfId="29466"/>
    <cellStyle name="CALC Currency Total [2] 9 8 2 2" xfId="44318"/>
    <cellStyle name="CALC Currency Total [2] 9 8 3" xfId="36538"/>
    <cellStyle name="CALC Currency Total [2] 9 8 4" xfId="44319"/>
    <cellStyle name="CALC Currency Total [2] 9 9" xfId="22238"/>
    <cellStyle name="CALC Currency Total [2] 9 9 2" xfId="30537"/>
    <cellStyle name="CALC Currency Total [2] 9 9 2 2" xfId="44320"/>
    <cellStyle name="CALC Currency Total [2] 9 9 3" xfId="37565"/>
    <cellStyle name="CALC Currency Total [2] 9 9 4" xfId="44321"/>
    <cellStyle name="CALC Currency Total 10" xfId="14658"/>
    <cellStyle name="CALC Currency Total 10 10" xfId="23020"/>
    <cellStyle name="CALC Currency Total 10 10 2" xfId="44322"/>
    <cellStyle name="CALC Currency Total 10 11" xfId="44323"/>
    <cellStyle name="CALC Currency Total 10 2" xfId="15739"/>
    <cellStyle name="CALC Currency Total 10 2 2" xfId="24055"/>
    <cellStyle name="CALC Currency Total 10 2 2 2" xfId="44324"/>
    <cellStyle name="CALC Currency Total 10 2 3" xfId="31347"/>
    <cellStyle name="CALC Currency Total 10 2 4" xfId="44325"/>
    <cellStyle name="CALC Currency Total 10 3" xfId="16705"/>
    <cellStyle name="CALC Currency Total 10 3 2" xfId="25026"/>
    <cellStyle name="CALC Currency Total 10 3 2 2" xfId="44326"/>
    <cellStyle name="CALC Currency Total 10 3 3" xfId="32280"/>
    <cellStyle name="CALC Currency Total 10 3 4" xfId="44327"/>
    <cellStyle name="CALC Currency Total 10 4" xfId="17729"/>
    <cellStyle name="CALC Currency Total 10 4 2" xfId="26052"/>
    <cellStyle name="CALC Currency Total 10 4 2 2" xfId="44328"/>
    <cellStyle name="CALC Currency Total 10 4 3" xfId="33257"/>
    <cellStyle name="CALC Currency Total 10 4 4" xfId="44329"/>
    <cellStyle name="CALC Currency Total 10 5" xfId="18712"/>
    <cellStyle name="CALC Currency Total 10 5 2" xfId="27033"/>
    <cellStyle name="CALC Currency Total 10 5 2 2" xfId="44330"/>
    <cellStyle name="CALC Currency Total 10 5 3" xfId="34196"/>
    <cellStyle name="CALC Currency Total 10 5 4" xfId="44331"/>
    <cellStyle name="CALC Currency Total 10 6" xfId="19681"/>
    <cellStyle name="CALC Currency Total 10 6 2" xfId="28002"/>
    <cellStyle name="CALC Currency Total 10 6 2 2" xfId="44332"/>
    <cellStyle name="CALC Currency Total 10 6 3" xfId="35142"/>
    <cellStyle name="CALC Currency Total 10 6 4" xfId="44333"/>
    <cellStyle name="CALC Currency Total 10 7" xfId="20638"/>
    <cellStyle name="CALC Currency Total 10 7 2" xfId="28959"/>
    <cellStyle name="CALC Currency Total 10 7 2 2" xfId="44334"/>
    <cellStyle name="CALC Currency Total 10 7 3" xfId="36057"/>
    <cellStyle name="CALC Currency Total 10 7 4" xfId="44335"/>
    <cellStyle name="CALC Currency Total 10 8" xfId="15546"/>
    <cellStyle name="CALC Currency Total 10 8 2" xfId="23879"/>
    <cellStyle name="CALC Currency Total 10 8 2 2" xfId="44336"/>
    <cellStyle name="CALC Currency Total 10 8 3" xfId="31223"/>
    <cellStyle name="CALC Currency Total 10 8 4" xfId="44337"/>
    <cellStyle name="CALC Currency Total 10 9" xfId="22075"/>
    <cellStyle name="CALC Currency Total 10 9 2" xfId="30373"/>
    <cellStyle name="CALC Currency Total 10 9 2 2" xfId="44338"/>
    <cellStyle name="CALC Currency Total 10 9 3" xfId="37408"/>
    <cellStyle name="CALC Currency Total 10 9 4" xfId="44339"/>
    <cellStyle name="CALC Currency Total 100" xfId="15467"/>
    <cellStyle name="CALC Currency Total 100 2" xfId="17513"/>
    <cellStyle name="CALC Currency Total 100 2 2" xfId="25833"/>
    <cellStyle name="CALC Currency Total 100 2 2 2" xfId="44340"/>
    <cellStyle name="CALC Currency Total 100 2 3" xfId="33052"/>
    <cellStyle name="CALC Currency Total 100 2 4" xfId="44341"/>
    <cellStyle name="CALC Currency Total 100 3" xfId="19524"/>
    <cellStyle name="CALC Currency Total 100 3 2" xfId="27845"/>
    <cellStyle name="CALC Currency Total 100 3 2 2" xfId="44342"/>
    <cellStyle name="CALC Currency Total 100 3 3" xfId="34993"/>
    <cellStyle name="CALC Currency Total 100 3 4" xfId="44343"/>
    <cellStyle name="CALC Currency Total 100 4" xfId="44344"/>
    <cellStyle name="CALC Currency Total 100 4 2" xfId="44345"/>
    <cellStyle name="CALC Currency Total 101" xfId="15520"/>
    <cellStyle name="CALC Currency Total 101 2" xfId="44346"/>
    <cellStyle name="CALC Currency Total 101 2 2" xfId="44347"/>
    <cellStyle name="CALC Currency Total 102" xfId="15541"/>
    <cellStyle name="CALC Currency Total 102 2" xfId="44348"/>
    <cellStyle name="CALC Currency Total 102 2 2" xfId="44349"/>
    <cellStyle name="CALC Currency Total 103" xfId="15504"/>
    <cellStyle name="CALC Currency Total 103 2" xfId="44350"/>
    <cellStyle name="CALC Currency Total 103 2 2" xfId="44351"/>
    <cellStyle name="CALC Currency Total 104" xfId="15559"/>
    <cellStyle name="CALC Currency Total 104 2" xfId="44352"/>
    <cellStyle name="CALC Currency Total 104 2 2" xfId="44353"/>
    <cellStyle name="CALC Currency Total 105" xfId="18538"/>
    <cellStyle name="CALC Currency Total 105 2" xfId="44354"/>
    <cellStyle name="CALC Currency Total 105 2 2" xfId="44355"/>
    <cellStyle name="CALC Currency Total 106" xfId="15550"/>
    <cellStyle name="CALC Currency Total 106 2" xfId="44356"/>
    <cellStyle name="CALC Currency Total 106 2 2" xfId="44357"/>
    <cellStyle name="CALC Currency Total 107" xfId="21107"/>
    <cellStyle name="CALC Currency Total 107 2" xfId="44358"/>
    <cellStyle name="CALC Currency Total 107 2 2" xfId="44359"/>
    <cellStyle name="CALC Currency Total 108" xfId="21243"/>
    <cellStyle name="CALC Currency Total 108 2" xfId="44360"/>
    <cellStyle name="CALC Currency Total 108 2 2" xfId="44361"/>
    <cellStyle name="CALC Currency Total 109" xfId="19587"/>
    <cellStyle name="CALC Currency Total 109 2" xfId="44362"/>
    <cellStyle name="CALC Currency Total 11" xfId="14659"/>
    <cellStyle name="CALC Currency Total 11 10" xfId="23021"/>
    <cellStyle name="CALC Currency Total 11 10 2" xfId="44363"/>
    <cellStyle name="CALC Currency Total 11 11" xfId="44364"/>
    <cellStyle name="CALC Currency Total 11 2" xfId="15740"/>
    <cellStyle name="CALC Currency Total 11 2 2" xfId="24056"/>
    <cellStyle name="CALC Currency Total 11 2 2 2" xfId="44365"/>
    <cellStyle name="CALC Currency Total 11 2 3" xfId="31348"/>
    <cellStyle name="CALC Currency Total 11 2 4" xfId="44366"/>
    <cellStyle name="CALC Currency Total 11 3" xfId="16706"/>
    <cellStyle name="CALC Currency Total 11 3 2" xfId="25027"/>
    <cellStyle name="CALC Currency Total 11 3 2 2" xfId="44367"/>
    <cellStyle name="CALC Currency Total 11 3 3" xfId="32281"/>
    <cellStyle name="CALC Currency Total 11 3 4" xfId="44368"/>
    <cellStyle name="CALC Currency Total 11 4" xfId="17730"/>
    <cellStyle name="CALC Currency Total 11 4 2" xfId="26053"/>
    <cellStyle name="CALC Currency Total 11 4 2 2" xfId="44369"/>
    <cellStyle name="CALC Currency Total 11 4 3" xfId="33258"/>
    <cellStyle name="CALC Currency Total 11 4 4" xfId="44370"/>
    <cellStyle name="CALC Currency Total 11 5" xfId="18713"/>
    <cellStyle name="CALC Currency Total 11 5 2" xfId="27034"/>
    <cellStyle name="CALC Currency Total 11 5 2 2" xfId="44371"/>
    <cellStyle name="CALC Currency Total 11 5 3" xfId="34197"/>
    <cellStyle name="CALC Currency Total 11 5 4" xfId="44372"/>
    <cellStyle name="CALC Currency Total 11 6" xfId="19682"/>
    <cellStyle name="CALC Currency Total 11 6 2" xfId="28003"/>
    <cellStyle name="CALC Currency Total 11 6 2 2" xfId="44373"/>
    <cellStyle name="CALC Currency Total 11 6 3" xfId="35143"/>
    <cellStyle name="CALC Currency Total 11 6 4" xfId="44374"/>
    <cellStyle name="CALC Currency Total 11 7" xfId="20639"/>
    <cellStyle name="CALC Currency Total 11 7 2" xfId="28960"/>
    <cellStyle name="CALC Currency Total 11 7 2 2" xfId="44375"/>
    <cellStyle name="CALC Currency Total 11 7 3" xfId="36058"/>
    <cellStyle name="CALC Currency Total 11 7 4" xfId="44376"/>
    <cellStyle name="CALC Currency Total 11 8" xfId="17569"/>
    <cellStyle name="CALC Currency Total 11 8 2" xfId="25888"/>
    <cellStyle name="CALC Currency Total 11 8 2 2" xfId="44377"/>
    <cellStyle name="CALC Currency Total 11 8 3" xfId="33101"/>
    <cellStyle name="CALC Currency Total 11 8 4" xfId="44378"/>
    <cellStyle name="CALC Currency Total 11 9" xfId="22076"/>
    <cellStyle name="CALC Currency Total 11 9 2" xfId="30374"/>
    <cellStyle name="CALC Currency Total 11 9 2 2" xfId="44379"/>
    <cellStyle name="CALC Currency Total 11 9 3" xfId="37409"/>
    <cellStyle name="CALC Currency Total 11 9 4" xfId="44380"/>
    <cellStyle name="CALC Currency Total 110" xfId="25885"/>
    <cellStyle name="CALC Currency Total 111" xfId="44381"/>
    <cellStyle name="CALC Currency Total 112" xfId="44382"/>
    <cellStyle name="CALC Currency Total 12" xfId="14675"/>
    <cellStyle name="CALC Currency Total 12 10" xfId="23037"/>
    <cellStyle name="CALC Currency Total 12 10 2" xfId="44383"/>
    <cellStyle name="CALC Currency Total 12 11" xfId="44384"/>
    <cellStyle name="CALC Currency Total 12 2" xfId="15756"/>
    <cellStyle name="CALC Currency Total 12 2 2" xfId="24072"/>
    <cellStyle name="CALC Currency Total 12 2 2 2" xfId="44385"/>
    <cellStyle name="CALC Currency Total 12 2 3" xfId="31363"/>
    <cellStyle name="CALC Currency Total 12 2 4" xfId="44386"/>
    <cellStyle name="CALC Currency Total 12 3" xfId="16722"/>
    <cellStyle name="CALC Currency Total 12 3 2" xfId="25043"/>
    <cellStyle name="CALC Currency Total 12 3 2 2" xfId="44387"/>
    <cellStyle name="CALC Currency Total 12 3 3" xfId="32296"/>
    <cellStyle name="CALC Currency Total 12 3 4" xfId="44388"/>
    <cellStyle name="CALC Currency Total 12 4" xfId="17746"/>
    <cellStyle name="CALC Currency Total 12 4 2" xfId="26069"/>
    <cellStyle name="CALC Currency Total 12 4 2 2" xfId="44389"/>
    <cellStyle name="CALC Currency Total 12 4 3" xfId="33273"/>
    <cellStyle name="CALC Currency Total 12 4 4" xfId="44390"/>
    <cellStyle name="CALC Currency Total 12 5" xfId="18729"/>
    <cellStyle name="CALC Currency Total 12 5 2" xfId="27050"/>
    <cellStyle name="CALC Currency Total 12 5 2 2" xfId="44391"/>
    <cellStyle name="CALC Currency Total 12 5 3" xfId="34212"/>
    <cellStyle name="CALC Currency Total 12 5 4" xfId="44392"/>
    <cellStyle name="CALC Currency Total 12 6" xfId="19698"/>
    <cellStyle name="CALC Currency Total 12 6 2" xfId="28019"/>
    <cellStyle name="CALC Currency Total 12 6 2 2" xfId="44393"/>
    <cellStyle name="CALC Currency Total 12 6 3" xfId="35158"/>
    <cellStyle name="CALC Currency Total 12 6 4" xfId="44394"/>
    <cellStyle name="CALC Currency Total 12 7" xfId="20655"/>
    <cellStyle name="CALC Currency Total 12 7 2" xfId="28976"/>
    <cellStyle name="CALC Currency Total 12 7 2 2" xfId="44395"/>
    <cellStyle name="CALC Currency Total 12 7 3" xfId="36073"/>
    <cellStyle name="CALC Currency Total 12 7 4" xfId="44396"/>
    <cellStyle name="CALC Currency Total 12 8" xfId="21165"/>
    <cellStyle name="CALC Currency Total 12 8 2" xfId="29477"/>
    <cellStyle name="CALC Currency Total 12 8 2 2" xfId="44397"/>
    <cellStyle name="CALC Currency Total 12 8 3" xfId="36549"/>
    <cellStyle name="CALC Currency Total 12 8 4" xfId="44398"/>
    <cellStyle name="CALC Currency Total 12 9" xfId="22092"/>
    <cellStyle name="CALC Currency Total 12 9 2" xfId="30390"/>
    <cellStyle name="CALC Currency Total 12 9 2 2" xfId="44399"/>
    <cellStyle name="CALC Currency Total 12 9 3" xfId="37424"/>
    <cellStyle name="CALC Currency Total 12 9 4" xfId="44400"/>
    <cellStyle name="CALC Currency Total 13" xfId="14689"/>
    <cellStyle name="CALC Currency Total 13 10" xfId="23052"/>
    <cellStyle name="CALC Currency Total 13 10 2" xfId="44401"/>
    <cellStyle name="CALC Currency Total 13 11" xfId="44402"/>
    <cellStyle name="CALC Currency Total 13 2" xfId="15770"/>
    <cellStyle name="CALC Currency Total 13 2 2" xfId="24087"/>
    <cellStyle name="CALC Currency Total 13 2 2 2" xfId="44403"/>
    <cellStyle name="CALC Currency Total 13 2 3" xfId="31378"/>
    <cellStyle name="CALC Currency Total 13 2 4" xfId="44404"/>
    <cellStyle name="CALC Currency Total 13 3" xfId="16736"/>
    <cellStyle name="CALC Currency Total 13 3 2" xfId="25058"/>
    <cellStyle name="CALC Currency Total 13 3 2 2" xfId="44405"/>
    <cellStyle name="CALC Currency Total 13 3 3" xfId="32311"/>
    <cellStyle name="CALC Currency Total 13 3 4" xfId="44406"/>
    <cellStyle name="CALC Currency Total 13 4" xfId="17760"/>
    <cellStyle name="CALC Currency Total 13 4 2" xfId="26084"/>
    <cellStyle name="CALC Currency Total 13 4 2 2" xfId="44407"/>
    <cellStyle name="CALC Currency Total 13 4 3" xfId="33288"/>
    <cellStyle name="CALC Currency Total 13 4 4" xfId="44408"/>
    <cellStyle name="CALC Currency Total 13 5" xfId="18744"/>
    <cellStyle name="CALC Currency Total 13 5 2" xfId="27065"/>
    <cellStyle name="CALC Currency Total 13 5 2 2" xfId="44409"/>
    <cellStyle name="CALC Currency Total 13 5 3" xfId="34227"/>
    <cellStyle name="CALC Currency Total 13 5 4" xfId="44410"/>
    <cellStyle name="CALC Currency Total 13 6" xfId="19713"/>
    <cellStyle name="CALC Currency Total 13 6 2" xfId="28034"/>
    <cellStyle name="CALC Currency Total 13 6 2 2" xfId="44411"/>
    <cellStyle name="CALC Currency Total 13 6 3" xfId="35173"/>
    <cellStyle name="CALC Currency Total 13 6 4" xfId="44412"/>
    <cellStyle name="CALC Currency Total 13 7" xfId="20670"/>
    <cellStyle name="CALC Currency Total 13 7 2" xfId="28991"/>
    <cellStyle name="CALC Currency Total 13 7 2 2" xfId="44413"/>
    <cellStyle name="CALC Currency Total 13 7 3" xfId="36088"/>
    <cellStyle name="CALC Currency Total 13 7 4" xfId="44414"/>
    <cellStyle name="CALC Currency Total 13 8" xfId="18086"/>
    <cellStyle name="CALC Currency Total 13 8 2" xfId="26406"/>
    <cellStyle name="CALC Currency Total 13 8 2 2" xfId="44415"/>
    <cellStyle name="CALC Currency Total 13 8 3" xfId="33597"/>
    <cellStyle name="CALC Currency Total 13 8 4" xfId="44416"/>
    <cellStyle name="CALC Currency Total 13 9" xfId="22107"/>
    <cellStyle name="CALC Currency Total 13 9 2" xfId="30405"/>
    <cellStyle name="CALC Currency Total 13 9 2 2" xfId="44417"/>
    <cellStyle name="CALC Currency Total 13 9 3" xfId="37439"/>
    <cellStyle name="CALC Currency Total 13 9 4" xfId="44418"/>
    <cellStyle name="CALC Currency Total 14" xfId="14697"/>
    <cellStyle name="CALC Currency Total 14 10" xfId="23059"/>
    <cellStyle name="CALC Currency Total 14 10 2" xfId="44419"/>
    <cellStyle name="CALC Currency Total 14 11" xfId="44420"/>
    <cellStyle name="CALC Currency Total 14 2" xfId="15778"/>
    <cellStyle name="CALC Currency Total 14 2 2" xfId="24094"/>
    <cellStyle name="CALC Currency Total 14 2 2 2" xfId="44421"/>
    <cellStyle name="CALC Currency Total 14 2 3" xfId="31385"/>
    <cellStyle name="CALC Currency Total 14 2 4" xfId="44422"/>
    <cellStyle name="CALC Currency Total 14 3" xfId="16744"/>
    <cellStyle name="CALC Currency Total 14 3 2" xfId="25066"/>
    <cellStyle name="CALC Currency Total 14 3 2 2" xfId="44423"/>
    <cellStyle name="CALC Currency Total 14 3 3" xfId="32318"/>
    <cellStyle name="CALC Currency Total 14 3 4" xfId="44424"/>
    <cellStyle name="CALC Currency Total 14 4" xfId="17768"/>
    <cellStyle name="CALC Currency Total 14 4 2" xfId="26092"/>
    <cellStyle name="CALC Currency Total 14 4 2 2" xfId="44425"/>
    <cellStyle name="CALC Currency Total 14 4 3" xfId="33295"/>
    <cellStyle name="CALC Currency Total 14 4 4" xfId="44426"/>
    <cellStyle name="CALC Currency Total 14 5" xfId="18752"/>
    <cellStyle name="CALC Currency Total 14 5 2" xfId="27073"/>
    <cellStyle name="CALC Currency Total 14 5 2 2" xfId="44427"/>
    <cellStyle name="CALC Currency Total 14 5 3" xfId="34235"/>
    <cellStyle name="CALC Currency Total 14 5 4" xfId="44428"/>
    <cellStyle name="CALC Currency Total 14 6" xfId="19721"/>
    <cellStyle name="CALC Currency Total 14 6 2" xfId="28042"/>
    <cellStyle name="CALC Currency Total 14 6 2 2" xfId="44429"/>
    <cellStyle name="CALC Currency Total 14 6 3" xfId="35181"/>
    <cellStyle name="CALC Currency Total 14 6 4" xfId="44430"/>
    <cellStyle name="CALC Currency Total 14 7" xfId="20678"/>
    <cellStyle name="CALC Currency Total 14 7 2" xfId="28999"/>
    <cellStyle name="CALC Currency Total 14 7 2 2" xfId="44431"/>
    <cellStyle name="CALC Currency Total 14 7 3" xfId="36095"/>
    <cellStyle name="CALC Currency Total 14 7 4" xfId="44432"/>
    <cellStyle name="CALC Currency Total 14 8" xfId="21236"/>
    <cellStyle name="CALC Currency Total 14 8 2" xfId="29546"/>
    <cellStyle name="CALC Currency Total 14 8 2 2" xfId="44433"/>
    <cellStyle name="CALC Currency Total 14 8 3" xfId="36615"/>
    <cellStyle name="CALC Currency Total 14 8 4" xfId="44434"/>
    <cellStyle name="CALC Currency Total 14 9" xfId="22114"/>
    <cellStyle name="CALC Currency Total 14 9 2" xfId="30412"/>
    <cellStyle name="CALC Currency Total 14 9 2 2" xfId="44435"/>
    <cellStyle name="CALC Currency Total 14 9 3" xfId="37446"/>
    <cellStyle name="CALC Currency Total 14 9 4" xfId="44436"/>
    <cellStyle name="CALC Currency Total 15" xfId="14737"/>
    <cellStyle name="CALC Currency Total 15 10" xfId="23101"/>
    <cellStyle name="CALC Currency Total 15 10 2" xfId="44437"/>
    <cellStyle name="CALC Currency Total 15 11" xfId="44438"/>
    <cellStyle name="CALC Currency Total 15 2" xfId="15818"/>
    <cellStyle name="CALC Currency Total 15 2 2" xfId="24136"/>
    <cellStyle name="CALC Currency Total 15 2 2 2" xfId="44439"/>
    <cellStyle name="CALC Currency Total 15 2 3" xfId="31424"/>
    <cellStyle name="CALC Currency Total 15 2 4" xfId="44440"/>
    <cellStyle name="CALC Currency Total 15 3" xfId="16784"/>
    <cellStyle name="CALC Currency Total 15 3 2" xfId="25108"/>
    <cellStyle name="CALC Currency Total 15 3 2 2" xfId="44441"/>
    <cellStyle name="CALC Currency Total 15 3 3" xfId="32357"/>
    <cellStyle name="CALC Currency Total 15 3 4" xfId="44442"/>
    <cellStyle name="CALC Currency Total 15 4" xfId="17810"/>
    <cellStyle name="CALC Currency Total 15 4 2" xfId="26134"/>
    <cellStyle name="CALC Currency Total 15 4 2 2" xfId="44443"/>
    <cellStyle name="CALC Currency Total 15 4 3" xfId="33334"/>
    <cellStyle name="CALC Currency Total 15 4 4" xfId="44444"/>
    <cellStyle name="CALC Currency Total 15 5" xfId="18794"/>
    <cellStyle name="CALC Currency Total 15 5 2" xfId="27115"/>
    <cellStyle name="CALC Currency Total 15 5 2 2" xfId="44445"/>
    <cellStyle name="CALC Currency Total 15 5 3" xfId="34274"/>
    <cellStyle name="CALC Currency Total 15 5 4" xfId="44446"/>
    <cellStyle name="CALC Currency Total 15 6" xfId="19762"/>
    <cellStyle name="CALC Currency Total 15 6 2" xfId="28084"/>
    <cellStyle name="CALC Currency Total 15 6 2 2" xfId="44447"/>
    <cellStyle name="CALC Currency Total 15 6 3" xfId="35220"/>
    <cellStyle name="CALC Currency Total 15 6 4" xfId="44448"/>
    <cellStyle name="CALC Currency Total 15 7" xfId="20720"/>
    <cellStyle name="CALC Currency Total 15 7 2" xfId="29041"/>
    <cellStyle name="CALC Currency Total 15 7 2 2" xfId="44449"/>
    <cellStyle name="CALC Currency Total 15 7 3" xfId="36134"/>
    <cellStyle name="CALC Currency Total 15 7 4" xfId="44450"/>
    <cellStyle name="CALC Currency Total 15 8" xfId="21340"/>
    <cellStyle name="CALC Currency Total 15 8 2" xfId="29644"/>
    <cellStyle name="CALC Currency Total 15 8 2 2" xfId="44451"/>
    <cellStyle name="CALC Currency Total 15 8 3" xfId="36710"/>
    <cellStyle name="CALC Currency Total 15 8 4" xfId="44452"/>
    <cellStyle name="CALC Currency Total 15 9" xfId="22156"/>
    <cellStyle name="CALC Currency Total 15 9 2" xfId="30454"/>
    <cellStyle name="CALC Currency Total 15 9 2 2" xfId="44453"/>
    <cellStyle name="CALC Currency Total 15 9 3" xfId="37485"/>
    <cellStyle name="CALC Currency Total 15 9 4" xfId="44454"/>
    <cellStyle name="CALC Currency Total 16" xfId="14740"/>
    <cellStyle name="CALC Currency Total 16 10" xfId="23104"/>
    <cellStyle name="CALC Currency Total 16 10 2" xfId="44455"/>
    <cellStyle name="CALC Currency Total 16 11" xfId="44456"/>
    <cellStyle name="CALC Currency Total 16 2" xfId="15821"/>
    <cellStyle name="CALC Currency Total 16 2 2" xfId="24139"/>
    <cellStyle name="CALC Currency Total 16 2 2 2" xfId="44457"/>
    <cellStyle name="CALC Currency Total 16 2 3" xfId="31427"/>
    <cellStyle name="CALC Currency Total 16 2 4" xfId="44458"/>
    <cellStyle name="CALC Currency Total 16 3" xfId="16787"/>
    <cellStyle name="CALC Currency Total 16 3 2" xfId="25111"/>
    <cellStyle name="CALC Currency Total 16 3 2 2" xfId="44459"/>
    <cellStyle name="CALC Currency Total 16 3 3" xfId="32360"/>
    <cellStyle name="CALC Currency Total 16 3 4" xfId="44460"/>
    <cellStyle name="CALC Currency Total 16 4" xfId="17813"/>
    <cellStyle name="CALC Currency Total 16 4 2" xfId="26137"/>
    <cellStyle name="CALC Currency Total 16 4 2 2" xfId="44461"/>
    <cellStyle name="CALC Currency Total 16 4 3" xfId="33337"/>
    <cellStyle name="CALC Currency Total 16 4 4" xfId="44462"/>
    <cellStyle name="CALC Currency Total 16 5" xfId="18797"/>
    <cellStyle name="CALC Currency Total 16 5 2" xfId="27118"/>
    <cellStyle name="CALC Currency Total 16 5 2 2" xfId="44463"/>
    <cellStyle name="CALC Currency Total 16 5 3" xfId="34277"/>
    <cellStyle name="CALC Currency Total 16 5 4" xfId="44464"/>
    <cellStyle name="CALC Currency Total 16 6" xfId="19765"/>
    <cellStyle name="CALC Currency Total 16 6 2" xfId="28087"/>
    <cellStyle name="CALC Currency Total 16 6 2 2" xfId="44465"/>
    <cellStyle name="CALC Currency Total 16 6 3" xfId="35223"/>
    <cellStyle name="CALC Currency Total 16 6 4" xfId="44466"/>
    <cellStyle name="CALC Currency Total 16 7" xfId="20723"/>
    <cellStyle name="CALC Currency Total 16 7 2" xfId="29044"/>
    <cellStyle name="CALC Currency Total 16 7 2 2" xfId="44467"/>
    <cellStyle name="CALC Currency Total 16 7 3" xfId="36136"/>
    <cellStyle name="CALC Currency Total 16 7 4" xfId="44468"/>
    <cellStyle name="CALC Currency Total 16 8" xfId="21304"/>
    <cellStyle name="CALC Currency Total 16 8 2" xfId="29611"/>
    <cellStyle name="CALC Currency Total 16 8 2 2" xfId="44469"/>
    <cellStyle name="CALC Currency Total 16 8 3" xfId="36678"/>
    <cellStyle name="CALC Currency Total 16 8 4" xfId="44470"/>
    <cellStyle name="CALC Currency Total 16 9" xfId="22159"/>
    <cellStyle name="CALC Currency Total 16 9 2" xfId="30457"/>
    <cellStyle name="CALC Currency Total 16 9 2 2" xfId="44471"/>
    <cellStyle name="CALC Currency Total 16 9 3" xfId="37488"/>
    <cellStyle name="CALC Currency Total 16 9 4" xfId="44472"/>
    <cellStyle name="CALC Currency Total 17" xfId="14744"/>
    <cellStyle name="CALC Currency Total 17 10" xfId="23108"/>
    <cellStyle name="CALC Currency Total 17 10 2" xfId="44473"/>
    <cellStyle name="CALC Currency Total 17 11" xfId="44474"/>
    <cellStyle name="CALC Currency Total 17 2" xfId="15825"/>
    <cellStyle name="CALC Currency Total 17 2 2" xfId="24143"/>
    <cellStyle name="CALC Currency Total 17 2 2 2" xfId="44475"/>
    <cellStyle name="CALC Currency Total 17 2 3" xfId="31431"/>
    <cellStyle name="CALC Currency Total 17 2 4" xfId="44476"/>
    <cellStyle name="CALC Currency Total 17 3" xfId="16791"/>
    <cellStyle name="CALC Currency Total 17 3 2" xfId="25115"/>
    <cellStyle name="CALC Currency Total 17 3 2 2" xfId="44477"/>
    <cellStyle name="CALC Currency Total 17 3 3" xfId="32364"/>
    <cellStyle name="CALC Currency Total 17 3 4" xfId="44478"/>
    <cellStyle name="CALC Currency Total 17 4" xfId="17817"/>
    <cellStyle name="CALC Currency Total 17 4 2" xfId="26141"/>
    <cellStyle name="CALC Currency Total 17 4 2 2" xfId="44479"/>
    <cellStyle name="CALC Currency Total 17 4 3" xfId="33341"/>
    <cellStyle name="CALC Currency Total 17 4 4" xfId="44480"/>
    <cellStyle name="CALC Currency Total 17 5" xfId="18801"/>
    <cellStyle name="CALC Currency Total 17 5 2" xfId="27122"/>
    <cellStyle name="CALC Currency Total 17 5 2 2" xfId="44481"/>
    <cellStyle name="CALC Currency Total 17 5 3" xfId="34281"/>
    <cellStyle name="CALC Currency Total 17 5 4" xfId="44482"/>
    <cellStyle name="CALC Currency Total 17 6" xfId="19769"/>
    <cellStyle name="CALC Currency Total 17 6 2" xfId="28091"/>
    <cellStyle name="CALC Currency Total 17 6 2 2" xfId="44483"/>
    <cellStyle name="CALC Currency Total 17 6 3" xfId="35227"/>
    <cellStyle name="CALC Currency Total 17 6 4" xfId="44484"/>
    <cellStyle name="CALC Currency Total 17 7" xfId="20727"/>
    <cellStyle name="CALC Currency Total 17 7 2" xfId="29048"/>
    <cellStyle name="CALC Currency Total 17 7 2 2" xfId="44485"/>
    <cellStyle name="CALC Currency Total 17 7 3" xfId="36140"/>
    <cellStyle name="CALC Currency Total 17 7 4" xfId="44486"/>
    <cellStyle name="CALC Currency Total 17 8" xfId="21204"/>
    <cellStyle name="CALC Currency Total 17 8 2" xfId="29516"/>
    <cellStyle name="CALC Currency Total 17 8 2 2" xfId="44487"/>
    <cellStyle name="CALC Currency Total 17 8 3" xfId="36585"/>
    <cellStyle name="CALC Currency Total 17 8 4" xfId="44488"/>
    <cellStyle name="CALC Currency Total 17 9" xfId="22163"/>
    <cellStyle name="CALC Currency Total 17 9 2" xfId="30461"/>
    <cellStyle name="CALC Currency Total 17 9 2 2" xfId="44489"/>
    <cellStyle name="CALC Currency Total 17 9 3" xfId="37492"/>
    <cellStyle name="CALC Currency Total 17 9 4" xfId="44490"/>
    <cellStyle name="CALC Currency Total 18" xfId="14768"/>
    <cellStyle name="CALC Currency Total 18 10" xfId="23132"/>
    <cellStyle name="CALC Currency Total 18 10 2" xfId="44491"/>
    <cellStyle name="CALC Currency Total 18 11" xfId="44492"/>
    <cellStyle name="CALC Currency Total 18 12" xfId="44493"/>
    <cellStyle name="CALC Currency Total 18 2" xfId="15849"/>
    <cellStyle name="CALC Currency Total 18 2 2" xfId="24167"/>
    <cellStyle name="CALC Currency Total 18 2 2 2" xfId="44494"/>
    <cellStyle name="CALC Currency Total 18 2 3" xfId="31455"/>
    <cellStyle name="CALC Currency Total 18 2 4" xfId="44495"/>
    <cellStyle name="CALC Currency Total 18 3" xfId="16815"/>
    <cellStyle name="CALC Currency Total 18 3 2" xfId="25139"/>
    <cellStyle name="CALC Currency Total 18 3 2 2" xfId="44496"/>
    <cellStyle name="CALC Currency Total 18 3 3" xfId="32388"/>
    <cellStyle name="CALC Currency Total 18 3 4" xfId="44497"/>
    <cellStyle name="CALC Currency Total 18 4" xfId="17841"/>
    <cellStyle name="CALC Currency Total 18 4 2" xfId="26165"/>
    <cellStyle name="CALC Currency Total 18 4 2 2" xfId="44498"/>
    <cellStyle name="CALC Currency Total 18 4 3" xfId="33365"/>
    <cellStyle name="CALC Currency Total 18 4 4" xfId="44499"/>
    <cellStyle name="CALC Currency Total 18 5" xfId="18825"/>
    <cellStyle name="CALC Currency Total 18 5 2" xfId="27146"/>
    <cellStyle name="CALC Currency Total 18 5 2 2" xfId="44500"/>
    <cellStyle name="CALC Currency Total 18 5 3" xfId="34305"/>
    <cellStyle name="CALC Currency Total 18 5 4" xfId="44501"/>
    <cellStyle name="CALC Currency Total 18 6" xfId="19793"/>
    <cellStyle name="CALC Currency Total 18 6 2" xfId="28115"/>
    <cellStyle name="CALC Currency Total 18 6 2 2" xfId="44502"/>
    <cellStyle name="CALC Currency Total 18 6 3" xfId="35251"/>
    <cellStyle name="CALC Currency Total 18 6 4" xfId="44503"/>
    <cellStyle name="CALC Currency Total 18 7" xfId="20751"/>
    <cellStyle name="CALC Currency Total 18 7 2" xfId="29072"/>
    <cellStyle name="CALC Currency Total 18 7 2 2" xfId="44504"/>
    <cellStyle name="CALC Currency Total 18 7 3" xfId="36164"/>
    <cellStyle name="CALC Currency Total 18 7 4" xfId="44505"/>
    <cellStyle name="CALC Currency Total 18 8" xfId="21275"/>
    <cellStyle name="CALC Currency Total 18 8 2" xfId="29583"/>
    <cellStyle name="CALC Currency Total 18 8 2 2" xfId="44506"/>
    <cellStyle name="CALC Currency Total 18 8 3" xfId="36650"/>
    <cellStyle name="CALC Currency Total 18 8 4" xfId="44507"/>
    <cellStyle name="CALC Currency Total 18 9" xfId="22187"/>
    <cellStyle name="CALC Currency Total 18 9 2" xfId="30485"/>
    <cellStyle name="CALC Currency Total 18 9 2 2" xfId="44508"/>
    <cellStyle name="CALC Currency Total 18 9 3" xfId="37516"/>
    <cellStyle name="CALC Currency Total 18 9 4" xfId="44509"/>
    <cellStyle name="CALC Currency Total 19" xfId="14708"/>
    <cellStyle name="CALC Currency Total 19 10" xfId="23070"/>
    <cellStyle name="CALC Currency Total 19 10 2" xfId="44510"/>
    <cellStyle name="CALC Currency Total 19 11" xfId="44511"/>
    <cellStyle name="CALC Currency Total 19 12" xfId="44512"/>
    <cellStyle name="CALC Currency Total 19 2" xfId="15789"/>
    <cellStyle name="CALC Currency Total 19 2 2" xfId="24105"/>
    <cellStyle name="CALC Currency Total 19 2 2 2" xfId="44513"/>
    <cellStyle name="CALC Currency Total 19 2 3" xfId="31394"/>
    <cellStyle name="CALC Currency Total 19 2 4" xfId="44514"/>
    <cellStyle name="CALC Currency Total 19 3" xfId="16755"/>
    <cellStyle name="CALC Currency Total 19 3 2" xfId="25077"/>
    <cellStyle name="CALC Currency Total 19 3 2 2" xfId="44515"/>
    <cellStyle name="CALC Currency Total 19 3 3" xfId="32327"/>
    <cellStyle name="CALC Currency Total 19 3 4" xfId="44516"/>
    <cellStyle name="CALC Currency Total 19 4" xfId="17779"/>
    <cellStyle name="CALC Currency Total 19 4 2" xfId="26103"/>
    <cellStyle name="CALC Currency Total 19 4 2 2" xfId="44517"/>
    <cellStyle name="CALC Currency Total 19 4 3" xfId="33304"/>
    <cellStyle name="CALC Currency Total 19 4 4" xfId="44518"/>
    <cellStyle name="CALC Currency Total 19 5" xfId="18763"/>
    <cellStyle name="CALC Currency Total 19 5 2" xfId="27084"/>
    <cellStyle name="CALC Currency Total 19 5 2 2" xfId="44519"/>
    <cellStyle name="CALC Currency Total 19 5 3" xfId="34244"/>
    <cellStyle name="CALC Currency Total 19 5 4" xfId="44520"/>
    <cellStyle name="CALC Currency Total 19 6" xfId="19732"/>
    <cellStyle name="CALC Currency Total 19 6 2" xfId="28053"/>
    <cellStyle name="CALC Currency Total 19 6 2 2" xfId="44521"/>
    <cellStyle name="CALC Currency Total 19 6 3" xfId="35190"/>
    <cellStyle name="CALC Currency Total 19 6 4" xfId="44522"/>
    <cellStyle name="CALC Currency Total 19 7" xfId="20689"/>
    <cellStyle name="CALC Currency Total 19 7 2" xfId="29010"/>
    <cellStyle name="CALC Currency Total 19 7 2 2" xfId="44523"/>
    <cellStyle name="CALC Currency Total 19 7 3" xfId="36104"/>
    <cellStyle name="CALC Currency Total 19 7 4" xfId="44524"/>
    <cellStyle name="CALC Currency Total 19 8" xfId="21261"/>
    <cellStyle name="CALC Currency Total 19 8 2" xfId="29569"/>
    <cellStyle name="CALC Currency Total 19 8 2 2" xfId="44525"/>
    <cellStyle name="CALC Currency Total 19 8 3" xfId="36637"/>
    <cellStyle name="CALC Currency Total 19 8 4" xfId="44526"/>
    <cellStyle name="CALC Currency Total 19 9" xfId="22125"/>
    <cellStyle name="CALC Currency Total 19 9 2" xfId="30423"/>
    <cellStyle name="CALC Currency Total 19 9 2 2" xfId="44527"/>
    <cellStyle name="CALC Currency Total 19 9 3" xfId="37455"/>
    <cellStyle name="CALC Currency Total 19 9 4" xfId="44528"/>
    <cellStyle name="CALC Currency Total 2" xfId="14465"/>
    <cellStyle name="CALC Currency Total 2 10" xfId="14774"/>
    <cellStyle name="CALC Currency Total 2 10 10" xfId="23138"/>
    <cellStyle name="CALC Currency Total 2 10 10 2" xfId="44529"/>
    <cellStyle name="CALC Currency Total 2 10 11" xfId="44530"/>
    <cellStyle name="CALC Currency Total 2 10 12" xfId="44531"/>
    <cellStyle name="CALC Currency Total 2 10 2" xfId="15855"/>
    <cellStyle name="CALC Currency Total 2 10 2 2" xfId="24173"/>
    <cellStyle name="CALC Currency Total 2 10 2 2 2" xfId="44532"/>
    <cellStyle name="CALC Currency Total 2 10 2 3" xfId="31461"/>
    <cellStyle name="CALC Currency Total 2 10 2 4" xfId="44533"/>
    <cellStyle name="CALC Currency Total 2 10 3" xfId="16821"/>
    <cellStyle name="CALC Currency Total 2 10 3 2" xfId="25145"/>
    <cellStyle name="CALC Currency Total 2 10 3 2 2" xfId="44534"/>
    <cellStyle name="CALC Currency Total 2 10 3 3" xfId="32394"/>
    <cellStyle name="CALC Currency Total 2 10 3 4" xfId="44535"/>
    <cellStyle name="CALC Currency Total 2 10 4" xfId="17847"/>
    <cellStyle name="CALC Currency Total 2 10 4 2" xfId="26171"/>
    <cellStyle name="CALC Currency Total 2 10 4 2 2" xfId="44536"/>
    <cellStyle name="CALC Currency Total 2 10 4 3" xfId="33371"/>
    <cellStyle name="CALC Currency Total 2 10 4 4" xfId="44537"/>
    <cellStyle name="CALC Currency Total 2 10 5" xfId="18831"/>
    <cellStyle name="CALC Currency Total 2 10 5 2" xfId="27152"/>
    <cellStyle name="CALC Currency Total 2 10 5 2 2" xfId="44538"/>
    <cellStyle name="CALC Currency Total 2 10 5 3" xfId="34311"/>
    <cellStyle name="CALC Currency Total 2 10 5 4" xfId="44539"/>
    <cellStyle name="CALC Currency Total 2 10 6" xfId="19799"/>
    <cellStyle name="CALC Currency Total 2 10 6 2" xfId="28121"/>
    <cellStyle name="CALC Currency Total 2 10 6 2 2" xfId="44540"/>
    <cellStyle name="CALC Currency Total 2 10 6 3" xfId="35257"/>
    <cellStyle name="CALC Currency Total 2 10 6 4" xfId="44541"/>
    <cellStyle name="CALC Currency Total 2 10 7" xfId="20757"/>
    <cellStyle name="CALC Currency Total 2 10 7 2" xfId="29078"/>
    <cellStyle name="CALC Currency Total 2 10 7 2 2" xfId="44542"/>
    <cellStyle name="CALC Currency Total 2 10 7 3" xfId="36170"/>
    <cellStyle name="CALC Currency Total 2 10 7 4" xfId="44543"/>
    <cellStyle name="CALC Currency Total 2 10 8" xfId="21173"/>
    <cellStyle name="CALC Currency Total 2 10 8 2" xfId="29485"/>
    <cellStyle name="CALC Currency Total 2 10 8 2 2" xfId="44544"/>
    <cellStyle name="CALC Currency Total 2 10 8 3" xfId="36556"/>
    <cellStyle name="CALC Currency Total 2 10 8 4" xfId="44545"/>
    <cellStyle name="CALC Currency Total 2 10 9" xfId="22193"/>
    <cellStyle name="CALC Currency Total 2 10 9 2" xfId="30491"/>
    <cellStyle name="CALC Currency Total 2 10 9 2 2" xfId="44546"/>
    <cellStyle name="CALC Currency Total 2 10 9 3" xfId="37522"/>
    <cellStyle name="CALC Currency Total 2 10 9 4" xfId="44547"/>
    <cellStyle name="CALC Currency Total 2 11" xfId="14879"/>
    <cellStyle name="CALC Currency Total 2 11 10" xfId="23242"/>
    <cellStyle name="CALC Currency Total 2 11 10 2" xfId="44548"/>
    <cellStyle name="CALC Currency Total 2 11 11" xfId="44549"/>
    <cellStyle name="CALC Currency Total 2 11 12" xfId="44550"/>
    <cellStyle name="CALC Currency Total 2 11 2" xfId="15960"/>
    <cellStyle name="CALC Currency Total 2 11 2 2" xfId="24277"/>
    <cellStyle name="CALC Currency Total 2 11 2 2 2" xfId="44551"/>
    <cellStyle name="CALC Currency Total 2 11 2 3" xfId="31560"/>
    <cellStyle name="CALC Currency Total 2 11 2 4" xfId="44552"/>
    <cellStyle name="CALC Currency Total 2 11 3" xfId="16926"/>
    <cellStyle name="CALC Currency Total 2 11 3 2" xfId="25249"/>
    <cellStyle name="CALC Currency Total 2 11 3 2 2" xfId="44553"/>
    <cellStyle name="CALC Currency Total 2 11 3 3" xfId="32493"/>
    <cellStyle name="CALC Currency Total 2 11 3 4" xfId="44554"/>
    <cellStyle name="CALC Currency Total 2 11 4" xfId="17953"/>
    <cellStyle name="CALC Currency Total 2 11 4 2" xfId="26275"/>
    <cellStyle name="CALC Currency Total 2 11 4 2 2" xfId="44555"/>
    <cellStyle name="CALC Currency Total 2 11 4 3" xfId="33470"/>
    <cellStyle name="CALC Currency Total 2 11 4 4" xfId="44556"/>
    <cellStyle name="CALC Currency Total 2 11 5" xfId="18937"/>
    <cellStyle name="CALC Currency Total 2 11 5 2" xfId="27257"/>
    <cellStyle name="CALC Currency Total 2 11 5 2 2" xfId="44557"/>
    <cellStyle name="CALC Currency Total 2 11 5 3" xfId="34411"/>
    <cellStyle name="CALC Currency Total 2 11 5 4" xfId="44558"/>
    <cellStyle name="CALC Currency Total 2 11 6" xfId="19905"/>
    <cellStyle name="CALC Currency Total 2 11 6 2" xfId="28227"/>
    <cellStyle name="CALC Currency Total 2 11 6 2 2" xfId="44559"/>
    <cellStyle name="CALC Currency Total 2 11 6 3" xfId="35358"/>
    <cellStyle name="CALC Currency Total 2 11 6 4" xfId="44560"/>
    <cellStyle name="CALC Currency Total 2 11 7" xfId="20863"/>
    <cellStyle name="CALC Currency Total 2 11 7 2" xfId="29182"/>
    <cellStyle name="CALC Currency Total 2 11 7 2 2" xfId="44561"/>
    <cellStyle name="CALC Currency Total 2 11 7 3" xfId="36268"/>
    <cellStyle name="CALC Currency Total 2 11 7 4" xfId="44562"/>
    <cellStyle name="CALC Currency Total 2 11 8" xfId="15499"/>
    <cellStyle name="CALC Currency Total 2 11 8 2" xfId="23839"/>
    <cellStyle name="CALC Currency Total 2 11 8 2 2" xfId="44563"/>
    <cellStyle name="CALC Currency Total 2 11 8 3" xfId="31188"/>
    <cellStyle name="CALC Currency Total 2 11 8 4" xfId="44564"/>
    <cellStyle name="CALC Currency Total 2 11 9" xfId="22298"/>
    <cellStyle name="CALC Currency Total 2 11 9 2" xfId="30596"/>
    <cellStyle name="CALC Currency Total 2 11 9 2 2" xfId="44565"/>
    <cellStyle name="CALC Currency Total 2 11 9 3" xfId="37621"/>
    <cellStyle name="CALC Currency Total 2 11 9 4" xfId="44566"/>
    <cellStyle name="CALC Currency Total 2 12" xfId="14895"/>
    <cellStyle name="CALC Currency Total 2 12 10" xfId="23258"/>
    <cellStyle name="CALC Currency Total 2 12 10 2" xfId="44567"/>
    <cellStyle name="CALC Currency Total 2 12 11" xfId="44568"/>
    <cellStyle name="CALC Currency Total 2 12 12" xfId="44569"/>
    <cellStyle name="CALC Currency Total 2 12 2" xfId="15976"/>
    <cellStyle name="CALC Currency Total 2 12 2 2" xfId="24293"/>
    <cellStyle name="CALC Currency Total 2 12 2 2 2" xfId="44570"/>
    <cellStyle name="CALC Currency Total 2 12 2 3" xfId="31574"/>
    <cellStyle name="CALC Currency Total 2 12 2 4" xfId="44571"/>
    <cellStyle name="CALC Currency Total 2 12 3" xfId="16942"/>
    <cellStyle name="CALC Currency Total 2 12 3 2" xfId="25265"/>
    <cellStyle name="CALC Currency Total 2 12 3 2 2" xfId="44572"/>
    <cellStyle name="CALC Currency Total 2 12 3 3" xfId="32507"/>
    <cellStyle name="CALC Currency Total 2 12 3 4" xfId="44573"/>
    <cellStyle name="CALC Currency Total 2 12 4" xfId="17969"/>
    <cellStyle name="CALC Currency Total 2 12 4 2" xfId="26291"/>
    <cellStyle name="CALC Currency Total 2 12 4 2 2" xfId="44574"/>
    <cellStyle name="CALC Currency Total 2 12 4 3" xfId="33484"/>
    <cellStyle name="CALC Currency Total 2 12 4 4" xfId="44575"/>
    <cellStyle name="CALC Currency Total 2 12 5" xfId="18953"/>
    <cellStyle name="CALC Currency Total 2 12 5 2" xfId="27273"/>
    <cellStyle name="CALC Currency Total 2 12 5 2 2" xfId="44576"/>
    <cellStyle name="CALC Currency Total 2 12 5 3" xfId="34425"/>
    <cellStyle name="CALC Currency Total 2 12 5 4" xfId="44577"/>
    <cellStyle name="CALC Currency Total 2 12 6" xfId="19921"/>
    <cellStyle name="CALC Currency Total 2 12 6 2" xfId="28243"/>
    <cellStyle name="CALC Currency Total 2 12 6 2 2" xfId="44578"/>
    <cellStyle name="CALC Currency Total 2 12 6 3" xfId="35372"/>
    <cellStyle name="CALC Currency Total 2 12 6 4" xfId="44579"/>
    <cellStyle name="CALC Currency Total 2 12 7" xfId="20879"/>
    <cellStyle name="CALC Currency Total 2 12 7 2" xfId="29198"/>
    <cellStyle name="CALC Currency Total 2 12 7 2 2" xfId="44580"/>
    <cellStyle name="CALC Currency Total 2 12 7 3" xfId="36282"/>
    <cellStyle name="CALC Currency Total 2 12 7 4" xfId="44581"/>
    <cellStyle name="CALC Currency Total 2 12 8" xfId="21386"/>
    <cellStyle name="CALC Currency Total 2 12 8 2" xfId="29689"/>
    <cellStyle name="CALC Currency Total 2 12 8 2 2" xfId="44582"/>
    <cellStyle name="CALC Currency Total 2 12 8 3" xfId="36752"/>
    <cellStyle name="CALC Currency Total 2 12 8 4" xfId="44583"/>
    <cellStyle name="CALC Currency Total 2 12 9" xfId="22314"/>
    <cellStyle name="CALC Currency Total 2 12 9 2" xfId="30612"/>
    <cellStyle name="CALC Currency Total 2 12 9 2 2" xfId="44584"/>
    <cellStyle name="CALC Currency Total 2 12 9 3" xfId="37635"/>
    <cellStyle name="CALC Currency Total 2 12 9 4" xfId="44585"/>
    <cellStyle name="CALC Currency Total 2 13" xfId="14721"/>
    <cellStyle name="CALC Currency Total 2 13 10" xfId="23083"/>
    <cellStyle name="CALC Currency Total 2 13 10 2" xfId="44586"/>
    <cellStyle name="CALC Currency Total 2 13 11" xfId="44587"/>
    <cellStyle name="CALC Currency Total 2 13 12" xfId="44588"/>
    <cellStyle name="CALC Currency Total 2 13 2" xfId="15802"/>
    <cellStyle name="CALC Currency Total 2 13 2 2" xfId="24118"/>
    <cellStyle name="CALC Currency Total 2 13 2 2 2" xfId="44589"/>
    <cellStyle name="CALC Currency Total 2 13 2 3" xfId="31406"/>
    <cellStyle name="CALC Currency Total 2 13 2 4" xfId="44590"/>
    <cellStyle name="CALC Currency Total 2 13 3" xfId="16768"/>
    <cellStyle name="CALC Currency Total 2 13 3 2" xfId="25090"/>
    <cellStyle name="CALC Currency Total 2 13 3 2 2" xfId="44591"/>
    <cellStyle name="CALC Currency Total 2 13 3 3" xfId="32339"/>
    <cellStyle name="CALC Currency Total 2 13 3 4" xfId="44592"/>
    <cellStyle name="CALC Currency Total 2 13 4" xfId="17792"/>
    <cellStyle name="CALC Currency Total 2 13 4 2" xfId="26116"/>
    <cellStyle name="CALC Currency Total 2 13 4 2 2" xfId="44593"/>
    <cellStyle name="CALC Currency Total 2 13 4 3" xfId="33316"/>
    <cellStyle name="CALC Currency Total 2 13 4 4" xfId="44594"/>
    <cellStyle name="CALC Currency Total 2 13 5" xfId="18776"/>
    <cellStyle name="CALC Currency Total 2 13 5 2" xfId="27097"/>
    <cellStyle name="CALC Currency Total 2 13 5 2 2" xfId="44595"/>
    <cellStyle name="CALC Currency Total 2 13 5 3" xfId="34256"/>
    <cellStyle name="CALC Currency Total 2 13 5 4" xfId="44596"/>
    <cellStyle name="CALC Currency Total 2 13 6" xfId="19745"/>
    <cellStyle name="CALC Currency Total 2 13 6 2" xfId="28066"/>
    <cellStyle name="CALC Currency Total 2 13 6 2 2" xfId="44597"/>
    <cellStyle name="CALC Currency Total 2 13 6 3" xfId="35202"/>
    <cellStyle name="CALC Currency Total 2 13 6 4" xfId="44598"/>
    <cellStyle name="CALC Currency Total 2 13 7" xfId="20702"/>
    <cellStyle name="CALC Currency Total 2 13 7 2" xfId="29023"/>
    <cellStyle name="CALC Currency Total 2 13 7 2 2" xfId="44599"/>
    <cellStyle name="CALC Currency Total 2 13 7 3" xfId="36116"/>
    <cellStyle name="CALC Currency Total 2 13 7 4" xfId="44600"/>
    <cellStyle name="CALC Currency Total 2 13 8" xfId="20491"/>
    <cellStyle name="CALC Currency Total 2 13 8 2" xfId="28813"/>
    <cellStyle name="CALC Currency Total 2 13 8 2 2" xfId="44601"/>
    <cellStyle name="CALC Currency Total 2 13 8 3" xfId="35921"/>
    <cellStyle name="CALC Currency Total 2 13 8 4" xfId="44602"/>
    <cellStyle name="CALC Currency Total 2 13 9" xfId="22138"/>
    <cellStyle name="CALC Currency Total 2 13 9 2" xfId="30436"/>
    <cellStyle name="CALC Currency Total 2 13 9 2 2" xfId="44603"/>
    <cellStyle name="CALC Currency Total 2 13 9 3" xfId="37467"/>
    <cellStyle name="CALC Currency Total 2 13 9 4" xfId="44604"/>
    <cellStyle name="CALC Currency Total 2 14" xfId="14990"/>
    <cellStyle name="CALC Currency Total 2 14 10" xfId="23351"/>
    <cellStyle name="CALC Currency Total 2 14 10 2" xfId="44605"/>
    <cellStyle name="CALC Currency Total 2 14 11" xfId="44606"/>
    <cellStyle name="CALC Currency Total 2 14 12" xfId="44607"/>
    <cellStyle name="CALC Currency Total 2 14 2" xfId="16071"/>
    <cellStyle name="CALC Currency Total 2 14 2 2" xfId="24386"/>
    <cellStyle name="CALC Currency Total 2 14 2 2 2" xfId="44608"/>
    <cellStyle name="CALC Currency Total 2 14 2 3" xfId="31665"/>
    <cellStyle name="CALC Currency Total 2 14 2 4" xfId="44609"/>
    <cellStyle name="CALC Currency Total 2 14 3" xfId="17037"/>
    <cellStyle name="CALC Currency Total 2 14 3 2" xfId="25358"/>
    <cellStyle name="CALC Currency Total 2 14 3 2 2" xfId="44610"/>
    <cellStyle name="CALC Currency Total 2 14 3 3" xfId="32598"/>
    <cellStyle name="CALC Currency Total 2 14 3 4" xfId="44611"/>
    <cellStyle name="CALC Currency Total 2 14 4" xfId="18064"/>
    <cellStyle name="CALC Currency Total 2 14 4 2" xfId="26384"/>
    <cellStyle name="CALC Currency Total 2 14 4 2 2" xfId="44612"/>
    <cellStyle name="CALC Currency Total 2 14 4 3" xfId="33575"/>
    <cellStyle name="CALC Currency Total 2 14 4 4" xfId="44613"/>
    <cellStyle name="CALC Currency Total 2 14 5" xfId="19048"/>
    <cellStyle name="CALC Currency Total 2 14 5 2" xfId="27368"/>
    <cellStyle name="CALC Currency Total 2 14 5 2 2" xfId="44614"/>
    <cellStyle name="CALC Currency Total 2 14 5 3" xfId="34518"/>
    <cellStyle name="CALC Currency Total 2 14 5 4" xfId="44615"/>
    <cellStyle name="CALC Currency Total 2 14 6" xfId="20016"/>
    <cellStyle name="CALC Currency Total 2 14 6 2" xfId="28338"/>
    <cellStyle name="CALC Currency Total 2 14 6 2 2" xfId="44616"/>
    <cellStyle name="CALC Currency Total 2 14 6 3" xfId="35465"/>
    <cellStyle name="CALC Currency Total 2 14 6 4" xfId="44617"/>
    <cellStyle name="CALC Currency Total 2 14 7" xfId="20974"/>
    <cellStyle name="CALC Currency Total 2 14 7 2" xfId="29291"/>
    <cellStyle name="CALC Currency Total 2 14 7 2 2" xfId="44618"/>
    <cellStyle name="CALC Currency Total 2 14 7 3" xfId="36373"/>
    <cellStyle name="CALC Currency Total 2 14 7 4" xfId="44619"/>
    <cellStyle name="CALC Currency Total 2 14 8" xfId="21481"/>
    <cellStyle name="CALC Currency Total 2 14 8 2" xfId="29782"/>
    <cellStyle name="CALC Currency Total 2 14 8 2 2" xfId="44620"/>
    <cellStyle name="CALC Currency Total 2 14 8 3" xfId="36843"/>
    <cellStyle name="CALC Currency Total 2 14 8 4" xfId="44621"/>
    <cellStyle name="CALC Currency Total 2 14 9" xfId="22409"/>
    <cellStyle name="CALC Currency Total 2 14 9 2" xfId="30705"/>
    <cellStyle name="CALC Currency Total 2 14 9 2 2" xfId="44622"/>
    <cellStyle name="CALC Currency Total 2 14 9 3" xfId="37726"/>
    <cellStyle name="CALC Currency Total 2 14 9 4" xfId="44623"/>
    <cellStyle name="CALC Currency Total 2 15" xfId="15059"/>
    <cellStyle name="CALC Currency Total 2 15 10" xfId="23419"/>
    <cellStyle name="CALC Currency Total 2 15 10 2" xfId="44624"/>
    <cellStyle name="CALC Currency Total 2 15 11" xfId="44625"/>
    <cellStyle name="CALC Currency Total 2 15 12" xfId="44626"/>
    <cellStyle name="CALC Currency Total 2 15 2" xfId="16139"/>
    <cellStyle name="CALC Currency Total 2 15 2 2" xfId="24454"/>
    <cellStyle name="CALC Currency Total 2 15 2 2 2" xfId="44627"/>
    <cellStyle name="CALC Currency Total 2 15 2 3" xfId="31731"/>
    <cellStyle name="CALC Currency Total 2 15 2 4" xfId="44628"/>
    <cellStyle name="CALC Currency Total 2 15 3" xfId="17106"/>
    <cellStyle name="CALC Currency Total 2 15 3 2" xfId="25427"/>
    <cellStyle name="CALC Currency Total 2 15 3 2 2" xfId="44629"/>
    <cellStyle name="CALC Currency Total 2 15 3 3" xfId="32665"/>
    <cellStyle name="CALC Currency Total 2 15 3 4" xfId="44630"/>
    <cellStyle name="CALC Currency Total 2 15 4" xfId="18133"/>
    <cellStyle name="CALC Currency Total 2 15 4 2" xfId="26453"/>
    <cellStyle name="CALC Currency Total 2 15 4 2 2" xfId="44631"/>
    <cellStyle name="CALC Currency Total 2 15 4 3" xfId="33642"/>
    <cellStyle name="CALC Currency Total 2 15 4 4" xfId="44632"/>
    <cellStyle name="CALC Currency Total 2 15 5" xfId="19117"/>
    <cellStyle name="CALC Currency Total 2 15 5 2" xfId="27437"/>
    <cellStyle name="CALC Currency Total 2 15 5 2 2" xfId="44633"/>
    <cellStyle name="CALC Currency Total 2 15 5 3" xfId="34585"/>
    <cellStyle name="CALC Currency Total 2 15 5 4" xfId="44634"/>
    <cellStyle name="CALC Currency Total 2 15 6" xfId="20085"/>
    <cellStyle name="CALC Currency Total 2 15 6 2" xfId="28407"/>
    <cellStyle name="CALC Currency Total 2 15 6 2 2" xfId="44635"/>
    <cellStyle name="CALC Currency Total 2 15 6 3" xfId="35532"/>
    <cellStyle name="CALC Currency Total 2 15 6 4" xfId="44636"/>
    <cellStyle name="CALC Currency Total 2 15 7" xfId="21042"/>
    <cellStyle name="CALC Currency Total 2 15 7 2" xfId="29359"/>
    <cellStyle name="CALC Currency Total 2 15 7 2 2" xfId="44637"/>
    <cellStyle name="CALC Currency Total 2 15 7 3" xfId="36439"/>
    <cellStyle name="CALC Currency Total 2 15 7 4" xfId="44638"/>
    <cellStyle name="CALC Currency Total 2 15 8" xfId="21549"/>
    <cellStyle name="CALC Currency Total 2 15 8 2" xfId="29850"/>
    <cellStyle name="CALC Currency Total 2 15 8 2 2" xfId="44639"/>
    <cellStyle name="CALC Currency Total 2 15 8 3" xfId="36909"/>
    <cellStyle name="CALC Currency Total 2 15 8 4" xfId="44640"/>
    <cellStyle name="CALC Currency Total 2 15 9" xfId="22477"/>
    <cellStyle name="CALC Currency Total 2 15 9 2" xfId="30773"/>
    <cellStyle name="CALC Currency Total 2 15 9 2 2" xfId="44641"/>
    <cellStyle name="CALC Currency Total 2 15 9 3" xfId="37792"/>
    <cellStyle name="CALC Currency Total 2 15 9 4" xfId="44642"/>
    <cellStyle name="CALC Currency Total 2 16" xfId="15144"/>
    <cellStyle name="CALC Currency Total 2 16 10" xfId="44643"/>
    <cellStyle name="CALC Currency Total 2 16 11" xfId="44644"/>
    <cellStyle name="CALC Currency Total 2 16 2" xfId="16224"/>
    <cellStyle name="CALC Currency Total 2 16 2 2" xfId="24537"/>
    <cellStyle name="CALC Currency Total 2 16 2 2 2" xfId="44645"/>
    <cellStyle name="CALC Currency Total 2 16 2 3" xfId="31812"/>
    <cellStyle name="CALC Currency Total 2 16 2 4" xfId="44646"/>
    <cellStyle name="CALC Currency Total 2 16 3" xfId="17190"/>
    <cellStyle name="CALC Currency Total 2 16 3 2" xfId="25511"/>
    <cellStyle name="CALC Currency Total 2 16 3 2 2" xfId="44647"/>
    <cellStyle name="CALC Currency Total 2 16 3 3" xfId="32745"/>
    <cellStyle name="CALC Currency Total 2 16 3 4" xfId="44648"/>
    <cellStyle name="CALC Currency Total 2 16 4" xfId="18218"/>
    <cellStyle name="CALC Currency Total 2 16 4 2" xfId="26538"/>
    <cellStyle name="CALC Currency Total 2 16 4 2 2" xfId="44649"/>
    <cellStyle name="CALC Currency Total 2 16 4 3" xfId="33723"/>
    <cellStyle name="CALC Currency Total 2 16 4 4" xfId="44650"/>
    <cellStyle name="CALC Currency Total 2 16 5" xfId="19202"/>
    <cellStyle name="CALC Currency Total 2 16 5 2" xfId="27522"/>
    <cellStyle name="CALC Currency Total 2 16 5 2 2" xfId="44651"/>
    <cellStyle name="CALC Currency Total 2 16 5 3" xfId="34670"/>
    <cellStyle name="CALC Currency Total 2 16 5 4" xfId="44652"/>
    <cellStyle name="CALC Currency Total 2 16 6" xfId="20170"/>
    <cellStyle name="CALC Currency Total 2 16 6 2" xfId="28492"/>
    <cellStyle name="CALC Currency Total 2 16 6 2 2" xfId="44653"/>
    <cellStyle name="CALC Currency Total 2 16 6 3" xfId="35615"/>
    <cellStyle name="CALC Currency Total 2 16 6 4" xfId="44654"/>
    <cellStyle name="CALC Currency Total 2 16 7" xfId="21631"/>
    <cellStyle name="CALC Currency Total 2 16 7 2" xfId="29932"/>
    <cellStyle name="CALC Currency Total 2 16 7 2 2" xfId="44655"/>
    <cellStyle name="CALC Currency Total 2 16 7 3" xfId="36989"/>
    <cellStyle name="CALC Currency Total 2 16 7 4" xfId="44656"/>
    <cellStyle name="CALC Currency Total 2 16 8" xfId="22559"/>
    <cellStyle name="CALC Currency Total 2 16 8 2" xfId="30855"/>
    <cellStyle name="CALC Currency Total 2 16 8 2 2" xfId="44657"/>
    <cellStyle name="CALC Currency Total 2 16 8 3" xfId="37872"/>
    <cellStyle name="CALC Currency Total 2 16 8 4" xfId="44658"/>
    <cellStyle name="CALC Currency Total 2 16 9" xfId="23501"/>
    <cellStyle name="CALC Currency Total 2 16 9 2" xfId="44659"/>
    <cellStyle name="CALC Currency Total 2 17" xfId="15164"/>
    <cellStyle name="CALC Currency Total 2 17 10" xfId="44660"/>
    <cellStyle name="CALC Currency Total 2 17 11" xfId="44661"/>
    <cellStyle name="CALC Currency Total 2 17 2" xfId="16244"/>
    <cellStyle name="CALC Currency Total 2 17 2 2" xfId="24557"/>
    <cellStyle name="CALC Currency Total 2 17 2 2 2" xfId="44662"/>
    <cellStyle name="CALC Currency Total 2 17 2 3" xfId="31830"/>
    <cellStyle name="CALC Currency Total 2 17 2 4" xfId="44663"/>
    <cellStyle name="CALC Currency Total 2 17 3" xfId="17210"/>
    <cellStyle name="CALC Currency Total 2 17 3 2" xfId="25531"/>
    <cellStyle name="CALC Currency Total 2 17 3 2 2" xfId="44664"/>
    <cellStyle name="CALC Currency Total 2 17 3 3" xfId="32763"/>
    <cellStyle name="CALC Currency Total 2 17 3 4" xfId="44665"/>
    <cellStyle name="CALC Currency Total 2 17 4" xfId="18238"/>
    <cellStyle name="CALC Currency Total 2 17 4 2" xfId="26558"/>
    <cellStyle name="CALC Currency Total 2 17 4 2 2" xfId="44666"/>
    <cellStyle name="CALC Currency Total 2 17 4 3" xfId="33741"/>
    <cellStyle name="CALC Currency Total 2 17 4 4" xfId="44667"/>
    <cellStyle name="CALC Currency Total 2 17 5" xfId="19222"/>
    <cellStyle name="CALC Currency Total 2 17 5 2" xfId="27542"/>
    <cellStyle name="CALC Currency Total 2 17 5 2 2" xfId="44668"/>
    <cellStyle name="CALC Currency Total 2 17 5 3" xfId="34690"/>
    <cellStyle name="CALC Currency Total 2 17 5 4" xfId="44669"/>
    <cellStyle name="CALC Currency Total 2 17 6" xfId="20190"/>
    <cellStyle name="CALC Currency Total 2 17 6 2" xfId="28512"/>
    <cellStyle name="CALC Currency Total 2 17 6 2 2" xfId="44670"/>
    <cellStyle name="CALC Currency Total 2 17 6 3" xfId="35633"/>
    <cellStyle name="CALC Currency Total 2 17 6 4" xfId="44671"/>
    <cellStyle name="CALC Currency Total 2 17 7" xfId="21651"/>
    <cellStyle name="CALC Currency Total 2 17 7 2" xfId="29952"/>
    <cellStyle name="CALC Currency Total 2 17 7 2 2" xfId="44672"/>
    <cellStyle name="CALC Currency Total 2 17 7 3" xfId="37007"/>
    <cellStyle name="CALC Currency Total 2 17 7 4" xfId="44673"/>
    <cellStyle name="CALC Currency Total 2 17 8" xfId="22579"/>
    <cellStyle name="CALC Currency Total 2 17 8 2" xfId="30875"/>
    <cellStyle name="CALC Currency Total 2 17 8 2 2" xfId="44674"/>
    <cellStyle name="CALC Currency Total 2 17 8 3" xfId="37890"/>
    <cellStyle name="CALC Currency Total 2 17 8 4" xfId="44675"/>
    <cellStyle name="CALC Currency Total 2 17 9" xfId="23521"/>
    <cellStyle name="CALC Currency Total 2 17 9 2" xfId="44676"/>
    <cellStyle name="CALC Currency Total 2 18" xfId="15186"/>
    <cellStyle name="CALC Currency Total 2 18 10" xfId="44677"/>
    <cellStyle name="CALC Currency Total 2 18 11" xfId="44678"/>
    <cellStyle name="CALC Currency Total 2 18 2" xfId="16266"/>
    <cellStyle name="CALC Currency Total 2 18 2 2" xfId="24579"/>
    <cellStyle name="CALC Currency Total 2 18 2 2 2" xfId="44679"/>
    <cellStyle name="CALC Currency Total 2 18 2 3" xfId="31851"/>
    <cellStyle name="CALC Currency Total 2 18 2 4" xfId="44680"/>
    <cellStyle name="CALC Currency Total 2 18 3" xfId="17232"/>
    <cellStyle name="CALC Currency Total 2 18 3 2" xfId="25553"/>
    <cellStyle name="CALC Currency Total 2 18 3 2 2" xfId="44681"/>
    <cellStyle name="CALC Currency Total 2 18 3 3" xfId="32784"/>
    <cellStyle name="CALC Currency Total 2 18 3 4" xfId="44682"/>
    <cellStyle name="CALC Currency Total 2 18 4" xfId="18260"/>
    <cellStyle name="CALC Currency Total 2 18 4 2" xfId="26580"/>
    <cellStyle name="CALC Currency Total 2 18 4 2 2" xfId="44683"/>
    <cellStyle name="CALC Currency Total 2 18 4 3" xfId="33762"/>
    <cellStyle name="CALC Currency Total 2 18 4 4" xfId="44684"/>
    <cellStyle name="CALC Currency Total 2 18 5" xfId="19244"/>
    <cellStyle name="CALC Currency Total 2 18 5 2" xfId="27564"/>
    <cellStyle name="CALC Currency Total 2 18 5 2 2" xfId="44685"/>
    <cellStyle name="CALC Currency Total 2 18 5 3" xfId="34712"/>
    <cellStyle name="CALC Currency Total 2 18 5 4" xfId="44686"/>
    <cellStyle name="CALC Currency Total 2 18 6" xfId="20212"/>
    <cellStyle name="CALC Currency Total 2 18 6 2" xfId="28534"/>
    <cellStyle name="CALC Currency Total 2 18 6 2 2" xfId="44687"/>
    <cellStyle name="CALC Currency Total 2 18 6 3" xfId="35654"/>
    <cellStyle name="CALC Currency Total 2 18 6 4" xfId="44688"/>
    <cellStyle name="CALC Currency Total 2 18 7" xfId="21673"/>
    <cellStyle name="CALC Currency Total 2 18 7 2" xfId="29974"/>
    <cellStyle name="CALC Currency Total 2 18 7 2 2" xfId="44689"/>
    <cellStyle name="CALC Currency Total 2 18 7 3" xfId="37028"/>
    <cellStyle name="CALC Currency Total 2 18 7 4" xfId="44690"/>
    <cellStyle name="CALC Currency Total 2 18 8" xfId="22601"/>
    <cellStyle name="CALC Currency Total 2 18 8 2" xfId="30897"/>
    <cellStyle name="CALC Currency Total 2 18 8 2 2" xfId="44691"/>
    <cellStyle name="CALC Currency Total 2 18 8 3" xfId="37911"/>
    <cellStyle name="CALC Currency Total 2 18 8 4" xfId="44692"/>
    <cellStyle name="CALC Currency Total 2 18 9" xfId="23543"/>
    <cellStyle name="CALC Currency Total 2 18 9 2" xfId="44693"/>
    <cellStyle name="CALC Currency Total 2 19" xfId="15202"/>
    <cellStyle name="CALC Currency Total 2 19 10" xfId="44694"/>
    <cellStyle name="CALC Currency Total 2 19 11" xfId="44695"/>
    <cellStyle name="CALC Currency Total 2 19 2" xfId="16282"/>
    <cellStyle name="CALC Currency Total 2 19 2 2" xfId="24595"/>
    <cellStyle name="CALC Currency Total 2 19 2 2 2" xfId="44696"/>
    <cellStyle name="CALC Currency Total 2 19 2 3" xfId="31865"/>
    <cellStyle name="CALC Currency Total 2 19 2 4" xfId="44697"/>
    <cellStyle name="CALC Currency Total 2 19 3" xfId="17248"/>
    <cellStyle name="CALC Currency Total 2 19 3 2" xfId="25569"/>
    <cellStyle name="CALC Currency Total 2 19 3 2 2" xfId="44698"/>
    <cellStyle name="CALC Currency Total 2 19 3 3" xfId="32798"/>
    <cellStyle name="CALC Currency Total 2 19 3 4" xfId="44699"/>
    <cellStyle name="CALC Currency Total 2 19 4" xfId="18276"/>
    <cellStyle name="CALC Currency Total 2 19 4 2" xfId="26596"/>
    <cellStyle name="CALC Currency Total 2 19 4 2 2" xfId="44700"/>
    <cellStyle name="CALC Currency Total 2 19 4 3" xfId="33776"/>
    <cellStyle name="CALC Currency Total 2 19 4 4" xfId="44701"/>
    <cellStyle name="CALC Currency Total 2 19 5" xfId="19260"/>
    <cellStyle name="CALC Currency Total 2 19 5 2" xfId="27580"/>
    <cellStyle name="CALC Currency Total 2 19 5 2 2" xfId="44702"/>
    <cellStyle name="CALC Currency Total 2 19 5 3" xfId="34728"/>
    <cellStyle name="CALC Currency Total 2 19 5 4" xfId="44703"/>
    <cellStyle name="CALC Currency Total 2 19 6" xfId="20228"/>
    <cellStyle name="CALC Currency Total 2 19 6 2" xfId="28550"/>
    <cellStyle name="CALC Currency Total 2 19 6 2 2" xfId="44704"/>
    <cellStyle name="CALC Currency Total 2 19 6 3" xfId="35668"/>
    <cellStyle name="CALC Currency Total 2 19 6 4" xfId="44705"/>
    <cellStyle name="CALC Currency Total 2 19 7" xfId="21689"/>
    <cellStyle name="CALC Currency Total 2 19 7 2" xfId="29990"/>
    <cellStyle name="CALC Currency Total 2 19 7 2 2" xfId="44706"/>
    <cellStyle name="CALC Currency Total 2 19 7 3" xfId="37042"/>
    <cellStyle name="CALC Currency Total 2 19 7 4" xfId="44707"/>
    <cellStyle name="CALC Currency Total 2 19 8" xfId="22617"/>
    <cellStyle name="CALC Currency Total 2 19 8 2" xfId="30913"/>
    <cellStyle name="CALC Currency Total 2 19 8 2 2" xfId="44708"/>
    <cellStyle name="CALC Currency Total 2 19 8 3" xfId="37925"/>
    <cellStyle name="CALC Currency Total 2 19 8 4" xfId="44709"/>
    <cellStyle name="CALC Currency Total 2 19 9" xfId="23559"/>
    <cellStyle name="CALC Currency Total 2 19 9 2" xfId="44710"/>
    <cellStyle name="CALC Currency Total 2 2" xfId="14518"/>
    <cellStyle name="CALC Currency Total 2 2 2" xfId="15580"/>
    <cellStyle name="CALC Currency Total 2 2 2 2" xfId="44711"/>
    <cellStyle name="CALC Currency Total 2 2 2 2 2" xfId="44712"/>
    <cellStyle name="CALC Currency Total 2 2 3" xfId="23822"/>
    <cellStyle name="CALC Currency Total 2 2 3 2" xfId="44713"/>
    <cellStyle name="CALC Currency Total 2 20" xfId="15267"/>
    <cellStyle name="CALC Currency Total 2 20 10" xfId="44714"/>
    <cellStyle name="CALC Currency Total 2 20 11" xfId="44715"/>
    <cellStyle name="CALC Currency Total 2 20 2" xfId="16347"/>
    <cellStyle name="CALC Currency Total 2 20 2 2" xfId="24660"/>
    <cellStyle name="CALC Currency Total 2 20 2 2 2" xfId="44716"/>
    <cellStyle name="CALC Currency Total 2 20 2 3" xfId="31927"/>
    <cellStyle name="CALC Currency Total 2 20 2 4" xfId="44717"/>
    <cellStyle name="CALC Currency Total 2 20 3" xfId="17313"/>
    <cellStyle name="CALC Currency Total 2 20 3 2" xfId="25634"/>
    <cellStyle name="CALC Currency Total 2 20 3 2 2" xfId="44718"/>
    <cellStyle name="CALC Currency Total 2 20 3 3" xfId="32860"/>
    <cellStyle name="CALC Currency Total 2 20 3 4" xfId="44719"/>
    <cellStyle name="CALC Currency Total 2 20 4" xfId="18341"/>
    <cellStyle name="CALC Currency Total 2 20 4 2" xfId="26661"/>
    <cellStyle name="CALC Currency Total 2 20 4 2 2" xfId="44720"/>
    <cellStyle name="CALC Currency Total 2 20 4 3" xfId="33838"/>
    <cellStyle name="CALC Currency Total 2 20 4 4" xfId="44721"/>
    <cellStyle name="CALC Currency Total 2 20 5" xfId="19325"/>
    <cellStyle name="CALC Currency Total 2 20 5 2" xfId="27645"/>
    <cellStyle name="CALC Currency Total 2 20 5 2 2" xfId="44722"/>
    <cellStyle name="CALC Currency Total 2 20 5 3" xfId="34793"/>
    <cellStyle name="CALC Currency Total 2 20 5 4" xfId="44723"/>
    <cellStyle name="CALC Currency Total 2 20 6" xfId="20293"/>
    <cellStyle name="CALC Currency Total 2 20 6 2" xfId="28615"/>
    <cellStyle name="CALC Currency Total 2 20 6 2 2" xfId="44724"/>
    <cellStyle name="CALC Currency Total 2 20 6 3" xfId="35730"/>
    <cellStyle name="CALC Currency Total 2 20 6 4" xfId="44725"/>
    <cellStyle name="CALC Currency Total 2 20 7" xfId="21754"/>
    <cellStyle name="CALC Currency Total 2 20 7 2" xfId="30055"/>
    <cellStyle name="CALC Currency Total 2 20 7 2 2" xfId="44726"/>
    <cellStyle name="CALC Currency Total 2 20 7 3" xfId="37104"/>
    <cellStyle name="CALC Currency Total 2 20 7 4" xfId="44727"/>
    <cellStyle name="CALC Currency Total 2 20 8" xfId="22682"/>
    <cellStyle name="CALC Currency Total 2 20 8 2" xfId="30978"/>
    <cellStyle name="CALC Currency Total 2 20 8 2 2" xfId="44728"/>
    <cellStyle name="CALC Currency Total 2 20 8 3" xfId="37987"/>
    <cellStyle name="CALC Currency Total 2 20 8 4" xfId="44729"/>
    <cellStyle name="CALC Currency Total 2 20 9" xfId="23624"/>
    <cellStyle name="CALC Currency Total 2 20 9 2" xfId="44730"/>
    <cellStyle name="CALC Currency Total 2 21" xfId="15283"/>
    <cellStyle name="CALC Currency Total 2 21 10" xfId="44731"/>
    <cellStyle name="CALC Currency Total 2 21 11" xfId="44732"/>
    <cellStyle name="CALC Currency Total 2 21 2" xfId="16363"/>
    <cellStyle name="CALC Currency Total 2 21 2 2" xfId="24676"/>
    <cellStyle name="CALC Currency Total 2 21 2 2 2" xfId="44733"/>
    <cellStyle name="CALC Currency Total 2 21 2 3" xfId="31943"/>
    <cellStyle name="CALC Currency Total 2 21 2 4" xfId="44734"/>
    <cellStyle name="CALC Currency Total 2 21 3" xfId="17329"/>
    <cellStyle name="CALC Currency Total 2 21 3 2" xfId="25650"/>
    <cellStyle name="CALC Currency Total 2 21 3 2 2" xfId="44735"/>
    <cellStyle name="CALC Currency Total 2 21 3 3" xfId="32876"/>
    <cellStyle name="CALC Currency Total 2 21 3 4" xfId="44736"/>
    <cellStyle name="CALC Currency Total 2 21 4" xfId="18357"/>
    <cellStyle name="CALC Currency Total 2 21 4 2" xfId="26677"/>
    <cellStyle name="CALC Currency Total 2 21 4 2 2" xfId="44737"/>
    <cellStyle name="CALC Currency Total 2 21 4 3" xfId="33854"/>
    <cellStyle name="CALC Currency Total 2 21 4 4" xfId="44738"/>
    <cellStyle name="CALC Currency Total 2 21 5" xfId="19341"/>
    <cellStyle name="CALC Currency Total 2 21 5 2" xfId="27661"/>
    <cellStyle name="CALC Currency Total 2 21 5 2 2" xfId="44739"/>
    <cellStyle name="CALC Currency Total 2 21 5 3" xfId="34809"/>
    <cellStyle name="CALC Currency Total 2 21 5 4" xfId="44740"/>
    <cellStyle name="CALC Currency Total 2 21 6" xfId="20309"/>
    <cellStyle name="CALC Currency Total 2 21 6 2" xfId="28631"/>
    <cellStyle name="CALC Currency Total 2 21 6 2 2" xfId="44741"/>
    <cellStyle name="CALC Currency Total 2 21 6 3" xfId="35746"/>
    <cellStyle name="CALC Currency Total 2 21 6 4" xfId="44742"/>
    <cellStyle name="CALC Currency Total 2 21 7" xfId="21770"/>
    <cellStyle name="CALC Currency Total 2 21 7 2" xfId="30071"/>
    <cellStyle name="CALC Currency Total 2 21 7 2 2" xfId="44743"/>
    <cellStyle name="CALC Currency Total 2 21 7 3" xfId="37120"/>
    <cellStyle name="CALC Currency Total 2 21 7 4" xfId="44744"/>
    <cellStyle name="CALC Currency Total 2 21 8" xfId="22698"/>
    <cellStyle name="CALC Currency Total 2 21 8 2" xfId="30994"/>
    <cellStyle name="CALC Currency Total 2 21 8 2 2" xfId="44745"/>
    <cellStyle name="CALC Currency Total 2 21 8 3" xfId="38003"/>
    <cellStyle name="CALC Currency Total 2 21 8 4" xfId="44746"/>
    <cellStyle name="CALC Currency Total 2 21 9" xfId="23640"/>
    <cellStyle name="CALC Currency Total 2 21 9 2" xfId="44747"/>
    <cellStyle name="CALC Currency Total 2 22" xfId="15303"/>
    <cellStyle name="CALC Currency Total 2 22 10" xfId="44748"/>
    <cellStyle name="CALC Currency Total 2 22 11" xfId="44749"/>
    <cellStyle name="CALC Currency Total 2 22 2" xfId="16383"/>
    <cellStyle name="CALC Currency Total 2 22 2 2" xfId="24696"/>
    <cellStyle name="CALC Currency Total 2 22 2 2 2" xfId="44750"/>
    <cellStyle name="CALC Currency Total 2 22 2 3" xfId="31962"/>
    <cellStyle name="CALC Currency Total 2 22 2 4" xfId="44751"/>
    <cellStyle name="CALC Currency Total 2 22 3" xfId="17349"/>
    <cellStyle name="CALC Currency Total 2 22 3 2" xfId="25670"/>
    <cellStyle name="CALC Currency Total 2 22 3 2 2" xfId="44752"/>
    <cellStyle name="CALC Currency Total 2 22 3 3" xfId="32895"/>
    <cellStyle name="CALC Currency Total 2 22 3 4" xfId="44753"/>
    <cellStyle name="CALC Currency Total 2 22 4" xfId="18377"/>
    <cellStyle name="CALC Currency Total 2 22 4 2" xfId="26697"/>
    <cellStyle name="CALC Currency Total 2 22 4 2 2" xfId="44754"/>
    <cellStyle name="CALC Currency Total 2 22 4 3" xfId="33873"/>
    <cellStyle name="CALC Currency Total 2 22 4 4" xfId="44755"/>
    <cellStyle name="CALC Currency Total 2 22 5" xfId="19360"/>
    <cellStyle name="CALC Currency Total 2 22 5 2" xfId="27681"/>
    <cellStyle name="CALC Currency Total 2 22 5 2 2" xfId="44756"/>
    <cellStyle name="CALC Currency Total 2 22 5 3" xfId="34829"/>
    <cellStyle name="CALC Currency Total 2 22 5 4" xfId="44757"/>
    <cellStyle name="CALC Currency Total 2 22 6" xfId="20329"/>
    <cellStyle name="CALC Currency Total 2 22 6 2" xfId="28651"/>
    <cellStyle name="CALC Currency Total 2 22 6 2 2" xfId="44758"/>
    <cellStyle name="CALC Currency Total 2 22 6 3" xfId="35765"/>
    <cellStyle name="CALC Currency Total 2 22 6 4" xfId="44759"/>
    <cellStyle name="CALC Currency Total 2 22 7" xfId="21790"/>
    <cellStyle name="CALC Currency Total 2 22 7 2" xfId="30091"/>
    <cellStyle name="CALC Currency Total 2 22 7 2 2" xfId="44760"/>
    <cellStyle name="CALC Currency Total 2 22 7 3" xfId="37139"/>
    <cellStyle name="CALC Currency Total 2 22 7 4" xfId="44761"/>
    <cellStyle name="CALC Currency Total 2 22 8" xfId="22718"/>
    <cellStyle name="CALC Currency Total 2 22 8 2" xfId="31014"/>
    <cellStyle name="CALC Currency Total 2 22 8 2 2" xfId="44762"/>
    <cellStyle name="CALC Currency Total 2 22 8 3" xfId="38022"/>
    <cellStyle name="CALC Currency Total 2 22 8 4" xfId="44763"/>
    <cellStyle name="CALC Currency Total 2 22 9" xfId="23660"/>
    <cellStyle name="CALC Currency Total 2 22 9 2" xfId="44764"/>
    <cellStyle name="CALC Currency Total 2 23" xfId="15327"/>
    <cellStyle name="CALC Currency Total 2 23 10" xfId="44765"/>
    <cellStyle name="CALC Currency Total 2 23 11" xfId="44766"/>
    <cellStyle name="CALC Currency Total 2 23 2" xfId="16407"/>
    <cellStyle name="CALC Currency Total 2 23 2 2" xfId="24720"/>
    <cellStyle name="CALC Currency Total 2 23 2 2 2" xfId="44767"/>
    <cellStyle name="CALC Currency Total 2 23 2 3" xfId="31985"/>
    <cellStyle name="CALC Currency Total 2 23 2 4" xfId="44768"/>
    <cellStyle name="CALC Currency Total 2 23 3" xfId="17373"/>
    <cellStyle name="CALC Currency Total 2 23 3 2" xfId="25694"/>
    <cellStyle name="CALC Currency Total 2 23 3 2 2" xfId="44769"/>
    <cellStyle name="CALC Currency Total 2 23 3 3" xfId="32918"/>
    <cellStyle name="CALC Currency Total 2 23 3 4" xfId="44770"/>
    <cellStyle name="CALC Currency Total 2 23 4" xfId="18401"/>
    <cellStyle name="CALC Currency Total 2 23 4 2" xfId="26721"/>
    <cellStyle name="CALC Currency Total 2 23 4 2 2" xfId="44771"/>
    <cellStyle name="CALC Currency Total 2 23 4 3" xfId="33896"/>
    <cellStyle name="CALC Currency Total 2 23 4 4" xfId="44772"/>
    <cellStyle name="CALC Currency Total 2 23 5" xfId="19384"/>
    <cellStyle name="CALC Currency Total 2 23 5 2" xfId="27705"/>
    <cellStyle name="CALC Currency Total 2 23 5 2 2" xfId="44773"/>
    <cellStyle name="CALC Currency Total 2 23 5 3" xfId="34853"/>
    <cellStyle name="CALC Currency Total 2 23 5 4" xfId="44774"/>
    <cellStyle name="CALC Currency Total 2 23 6" xfId="20353"/>
    <cellStyle name="CALC Currency Total 2 23 6 2" xfId="28675"/>
    <cellStyle name="CALC Currency Total 2 23 6 2 2" xfId="44775"/>
    <cellStyle name="CALC Currency Total 2 23 6 3" xfId="35788"/>
    <cellStyle name="CALC Currency Total 2 23 6 4" xfId="44776"/>
    <cellStyle name="CALC Currency Total 2 23 7" xfId="21814"/>
    <cellStyle name="CALC Currency Total 2 23 7 2" xfId="30115"/>
    <cellStyle name="CALC Currency Total 2 23 7 2 2" xfId="44777"/>
    <cellStyle name="CALC Currency Total 2 23 7 3" xfId="37162"/>
    <cellStyle name="CALC Currency Total 2 23 7 4" xfId="44778"/>
    <cellStyle name="CALC Currency Total 2 23 8" xfId="22742"/>
    <cellStyle name="CALC Currency Total 2 23 8 2" xfId="31038"/>
    <cellStyle name="CALC Currency Total 2 23 8 2 2" xfId="44779"/>
    <cellStyle name="CALC Currency Total 2 23 8 3" xfId="38045"/>
    <cellStyle name="CALC Currency Total 2 23 8 4" xfId="44780"/>
    <cellStyle name="CALC Currency Total 2 23 9" xfId="23684"/>
    <cellStyle name="CALC Currency Total 2 23 9 2" xfId="44781"/>
    <cellStyle name="CALC Currency Total 2 24" xfId="15390"/>
    <cellStyle name="CALC Currency Total 2 24 10" xfId="44782"/>
    <cellStyle name="CALC Currency Total 2 24 11" xfId="44783"/>
    <cellStyle name="CALC Currency Total 2 24 2" xfId="16470"/>
    <cellStyle name="CALC Currency Total 2 24 2 2" xfId="24783"/>
    <cellStyle name="CALC Currency Total 2 24 2 2 2" xfId="44784"/>
    <cellStyle name="CALC Currency Total 2 24 2 3" xfId="32047"/>
    <cellStyle name="CALC Currency Total 2 24 2 4" xfId="44785"/>
    <cellStyle name="CALC Currency Total 2 24 3" xfId="17436"/>
    <cellStyle name="CALC Currency Total 2 24 3 2" xfId="25757"/>
    <cellStyle name="CALC Currency Total 2 24 3 2 2" xfId="44786"/>
    <cellStyle name="CALC Currency Total 2 24 3 3" xfId="32980"/>
    <cellStyle name="CALC Currency Total 2 24 3 4" xfId="44787"/>
    <cellStyle name="CALC Currency Total 2 24 4" xfId="18464"/>
    <cellStyle name="CALC Currency Total 2 24 4 2" xfId="26784"/>
    <cellStyle name="CALC Currency Total 2 24 4 2 2" xfId="44788"/>
    <cellStyle name="CALC Currency Total 2 24 4 3" xfId="33958"/>
    <cellStyle name="CALC Currency Total 2 24 4 4" xfId="44789"/>
    <cellStyle name="CALC Currency Total 2 24 5" xfId="19447"/>
    <cellStyle name="CALC Currency Total 2 24 5 2" xfId="27768"/>
    <cellStyle name="CALC Currency Total 2 24 5 2 2" xfId="44790"/>
    <cellStyle name="CALC Currency Total 2 24 5 3" xfId="34916"/>
    <cellStyle name="CALC Currency Total 2 24 5 4" xfId="44791"/>
    <cellStyle name="CALC Currency Total 2 24 6" xfId="20416"/>
    <cellStyle name="CALC Currency Total 2 24 6 2" xfId="28738"/>
    <cellStyle name="CALC Currency Total 2 24 6 2 2" xfId="44792"/>
    <cellStyle name="CALC Currency Total 2 24 6 3" xfId="35850"/>
    <cellStyle name="CALC Currency Total 2 24 6 4" xfId="44793"/>
    <cellStyle name="CALC Currency Total 2 24 7" xfId="21877"/>
    <cellStyle name="CALC Currency Total 2 24 7 2" xfId="30178"/>
    <cellStyle name="CALC Currency Total 2 24 7 2 2" xfId="44794"/>
    <cellStyle name="CALC Currency Total 2 24 7 3" xfId="37223"/>
    <cellStyle name="CALC Currency Total 2 24 7 4" xfId="44795"/>
    <cellStyle name="CALC Currency Total 2 24 8" xfId="22805"/>
    <cellStyle name="CALC Currency Total 2 24 8 2" xfId="31101"/>
    <cellStyle name="CALC Currency Total 2 24 8 2 2" xfId="44796"/>
    <cellStyle name="CALC Currency Total 2 24 8 3" xfId="38107"/>
    <cellStyle name="CALC Currency Total 2 24 8 4" xfId="44797"/>
    <cellStyle name="CALC Currency Total 2 24 9" xfId="23747"/>
    <cellStyle name="CALC Currency Total 2 24 9 2" xfId="44798"/>
    <cellStyle name="CALC Currency Total 2 25" xfId="15406"/>
    <cellStyle name="CALC Currency Total 2 25 10" xfId="44799"/>
    <cellStyle name="CALC Currency Total 2 25 11" xfId="44800"/>
    <cellStyle name="CALC Currency Total 2 25 2" xfId="16486"/>
    <cellStyle name="CALC Currency Total 2 25 2 2" xfId="24799"/>
    <cellStyle name="CALC Currency Total 2 25 2 2 2" xfId="44801"/>
    <cellStyle name="CALC Currency Total 2 25 2 3" xfId="32061"/>
    <cellStyle name="CALC Currency Total 2 25 2 4" xfId="44802"/>
    <cellStyle name="CALC Currency Total 2 25 3" xfId="17452"/>
    <cellStyle name="CALC Currency Total 2 25 3 2" xfId="25773"/>
    <cellStyle name="CALC Currency Total 2 25 3 2 2" xfId="44803"/>
    <cellStyle name="CALC Currency Total 2 25 3 3" xfId="32994"/>
    <cellStyle name="CALC Currency Total 2 25 3 4" xfId="44804"/>
    <cellStyle name="CALC Currency Total 2 25 4" xfId="18480"/>
    <cellStyle name="CALC Currency Total 2 25 4 2" xfId="26800"/>
    <cellStyle name="CALC Currency Total 2 25 4 2 2" xfId="44805"/>
    <cellStyle name="CALC Currency Total 2 25 4 3" xfId="33972"/>
    <cellStyle name="CALC Currency Total 2 25 4 4" xfId="44806"/>
    <cellStyle name="CALC Currency Total 2 25 5" xfId="19463"/>
    <cellStyle name="CALC Currency Total 2 25 5 2" xfId="27784"/>
    <cellStyle name="CALC Currency Total 2 25 5 2 2" xfId="44807"/>
    <cellStyle name="CALC Currency Total 2 25 5 3" xfId="34932"/>
    <cellStyle name="CALC Currency Total 2 25 5 4" xfId="44808"/>
    <cellStyle name="CALC Currency Total 2 25 6" xfId="20432"/>
    <cellStyle name="CALC Currency Total 2 25 6 2" xfId="28754"/>
    <cellStyle name="CALC Currency Total 2 25 6 2 2" xfId="44809"/>
    <cellStyle name="CALC Currency Total 2 25 6 3" xfId="35864"/>
    <cellStyle name="CALC Currency Total 2 25 6 4" xfId="44810"/>
    <cellStyle name="CALC Currency Total 2 25 7" xfId="21893"/>
    <cellStyle name="CALC Currency Total 2 25 7 2" xfId="30194"/>
    <cellStyle name="CALC Currency Total 2 25 7 2 2" xfId="44811"/>
    <cellStyle name="CALC Currency Total 2 25 7 3" xfId="37237"/>
    <cellStyle name="CALC Currency Total 2 25 7 4" xfId="44812"/>
    <cellStyle name="CALC Currency Total 2 25 8" xfId="22821"/>
    <cellStyle name="CALC Currency Total 2 25 8 2" xfId="31117"/>
    <cellStyle name="CALC Currency Total 2 25 8 2 2" xfId="44813"/>
    <cellStyle name="CALC Currency Total 2 25 8 3" xfId="38121"/>
    <cellStyle name="CALC Currency Total 2 25 8 4" xfId="44814"/>
    <cellStyle name="CALC Currency Total 2 25 9" xfId="23763"/>
    <cellStyle name="CALC Currency Total 2 25 9 2" xfId="44815"/>
    <cellStyle name="CALC Currency Total 2 26" xfId="15422"/>
    <cellStyle name="CALC Currency Total 2 26 10" xfId="44816"/>
    <cellStyle name="CALC Currency Total 2 26 11" xfId="44817"/>
    <cellStyle name="CALC Currency Total 2 26 2" xfId="16502"/>
    <cellStyle name="CALC Currency Total 2 26 2 2" xfId="24815"/>
    <cellStyle name="CALC Currency Total 2 26 2 2 2" xfId="44818"/>
    <cellStyle name="CALC Currency Total 2 26 2 3" xfId="32076"/>
    <cellStyle name="CALC Currency Total 2 26 2 4" xfId="44819"/>
    <cellStyle name="CALC Currency Total 2 26 3" xfId="17468"/>
    <cellStyle name="CALC Currency Total 2 26 3 2" xfId="25789"/>
    <cellStyle name="CALC Currency Total 2 26 3 2 2" xfId="44820"/>
    <cellStyle name="CALC Currency Total 2 26 3 3" xfId="33009"/>
    <cellStyle name="CALC Currency Total 2 26 3 4" xfId="44821"/>
    <cellStyle name="CALC Currency Total 2 26 4" xfId="18496"/>
    <cellStyle name="CALC Currency Total 2 26 4 2" xfId="26816"/>
    <cellStyle name="CALC Currency Total 2 26 4 2 2" xfId="44822"/>
    <cellStyle name="CALC Currency Total 2 26 4 3" xfId="33987"/>
    <cellStyle name="CALC Currency Total 2 26 4 4" xfId="44823"/>
    <cellStyle name="CALC Currency Total 2 26 5" xfId="19479"/>
    <cellStyle name="CALC Currency Total 2 26 5 2" xfId="27800"/>
    <cellStyle name="CALC Currency Total 2 26 5 2 2" xfId="44824"/>
    <cellStyle name="CALC Currency Total 2 26 5 3" xfId="34948"/>
    <cellStyle name="CALC Currency Total 2 26 5 4" xfId="44825"/>
    <cellStyle name="CALC Currency Total 2 26 6" xfId="20448"/>
    <cellStyle name="CALC Currency Total 2 26 6 2" xfId="28770"/>
    <cellStyle name="CALC Currency Total 2 26 6 2 2" xfId="44826"/>
    <cellStyle name="CALC Currency Total 2 26 6 3" xfId="35879"/>
    <cellStyle name="CALC Currency Total 2 26 6 4" xfId="44827"/>
    <cellStyle name="CALC Currency Total 2 26 7" xfId="21909"/>
    <cellStyle name="CALC Currency Total 2 26 7 2" xfId="30210"/>
    <cellStyle name="CALC Currency Total 2 26 7 2 2" xfId="44828"/>
    <cellStyle name="CALC Currency Total 2 26 7 3" xfId="37252"/>
    <cellStyle name="CALC Currency Total 2 26 7 4" xfId="44829"/>
    <cellStyle name="CALC Currency Total 2 26 8" xfId="22837"/>
    <cellStyle name="CALC Currency Total 2 26 8 2" xfId="31133"/>
    <cellStyle name="CALC Currency Total 2 26 8 2 2" xfId="44830"/>
    <cellStyle name="CALC Currency Total 2 26 8 3" xfId="38136"/>
    <cellStyle name="CALC Currency Total 2 26 8 4" xfId="44831"/>
    <cellStyle name="CALC Currency Total 2 26 9" xfId="23779"/>
    <cellStyle name="CALC Currency Total 2 26 9 2" xfId="44832"/>
    <cellStyle name="CALC Currency Total 2 27" xfId="15436"/>
    <cellStyle name="CALC Currency Total 2 27 10" xfId="44833"/>
    <cellStyle name="CALC Currency Total 2 27 11" xfId="44834"/>
    <cellStyle name="CALC Currency Total 2 27 2" xfId="16516"/>
    <cellStyle name="CALC Currency Total 2 27 2 2" xfId="24829"/>
    <cellStyle name="CALC Currency Total 2 27 2 2 2" xfId="44835"/>
    <cellStyle name="CALC Currency Total 2 27 2 3" xfId="32090"/>
    <cellStyle name="CALC Currency Total 2 27 2 4" xfId="44836"/>
    <cellStyle name="CALC Currency Total 2 27 3" xfId="17482"/>
    <cellStyle name="CALC Currency Total 2 27 3 2" xfId="25803"/>
    <cellStyle name="CALC Currency Total 2 27 3 2 2" xfId="44837"/>
    <cellStyle name="CALC Currency Total 2 27 3 3" xfId="33023"/>
    <cellStyle name="CALC Currency Total 2 27 3 4" xfId="44838"/>
    <cellStyle name="CALC Currency Total 2 27 4" xfId="18510"/>
    <cellStyle name="CALC Currency Total 2 27 4 2" xfId="26830"/>
    <cellStyle name="CALC Currency Total 2 27 4 2 2" xfId="44839"/>
    <cellStyle name="CALC Currency Total 2 27 4 3" xfId="34001"/>
    <cellStyle name="CALC Currency Total 2 27 4 4" xfId="44840"/>
    <cellStyle name="CALC Currency Total 2 27 5" xfId="19493"/>
    <cellStyle name="CALC Currency Total 2 27 5 2" xfId="27814"/>
    <cellStyle name="CALC Currency Total 2 27 5 2 2" xfId="44841"/>
    <cellStyle name="CALC Currency Total 2 27 5 3" xfId="34962"/>
    <cellStyle name="CALC Currency Total 2 27 5 4" xfId="44842"/>
    <cellStyle name="CALC Currency Total 2 27 6" xfId="20462"/>
    <cellStyle name="CALC Currency Total 2 27 6 2" xfId="28784"/>
    <cellStyle name="CALC Currency Total 2 27 6 2 2" xfId="44843"/>
    <cellStyle name="CALC Currency Total 2 27 6 3" xfId="35893"/>
    <cellStyle name="CALC Currency Total 2 27 6 4" xfId="44844"/>
    <cellStyle name="CALC Currency Total 2 27 7" xfId="21923"/>
    <cellStyle name="CALC Currency Total 2 27 7 2" xfId="30224"/>
    <cellStyle name="CALC Currency Total 2 27 7 2 2" xfId="44845"/>
    <cellStyle name="CALC Currency Total 2 27 7 3" xfId="37266"/>
    <cellStyle name="CALC Currency Total 2 27 7 4" xfId="44846"/>
    <cellStyle name="CALC Currency Total 2 27 8" xfId="22851"/>
    <cellStyle name="CALC Currency Total 2 27 8 2" xfId="31147"/>
    <cellStyle name="CALC Currency Total 2 27 8 2 2" xfId="44847"/>
    <cellStyle name="CALC Currency Total 2 27 8 3" xfId="38150"/>
    <cellStyle name="CALC Currency Total 2 27 8 4" xfId="44848"/>
    <cellStyle name="CALC Currency Total 2 27 9" xfId="23793"/>
    <cellStyle name="CALC Currency Total 2 27 9 2" xfId="44849"/>
    <cellStyle name="CALC Currency Total 2 28" xfId="15450"/>
    <cellStyle name="CALC Currency Total 2 28 10" xfId="44850"/>
    <cellStyle name="CALC Currency Total 2 28 11" xfId="44851"/>
    <cellStyle name="CALC Currency Total 2 28 2" xfId="16530"/>
    <cellStyle name="CALC Currency Total 2 28 2 2" xfId="24843"/>
    <cellStyle name="CALC Currency Total 2 28 2 2 2" xfId="44852"/>
    <cellStyle name="CALC Currency Total 2 28 2 3" xfId="32104"/>
    <cellStyle name="CALC Currency Total 2 28 2 4" xfId="44853"/>
    <cellStyle name="CALC Currency Total 2 28 3" xfId="17496"/>
    <cellStyle name="CALC Currency Total 2 28 3 2" xfId="25817"/>
    <cellStyle name="CALC Currency Total 2 28 3 2 2" xfId="44854"/>
    <cellStyle name="CALC Currency Total 2 28 3 3" xfId="33037"/>
    <cellStyle name="CALC Currency Total 2 28 3 4" xfId="44855"/>
    <cellStyle name="CALC Currency Total 2 28 4" xfId="18524"/>
    <cellStyle name="CALC Currency Total 2 28 4 2" xfId="26844"/>
    <cellStyle name="CALC Currency Total 2 28 4 2 2" xfId="44856"/>
    <cellStyle name="CALC Currency Total 2 28 4 3" xfId="34015"/>
    <cellStyle name="CALC Currency Total 2 28 4 4" xfId="44857"/>
    <cellStyle name="CALC Currency Total 2 28 5" xfId="19507"/>
    <cellStyle name="CALC Currency Total 2 28 5 2" xfId="27828"/>
    <cellStyle name="CALC Currency Total 2 28 5 2 2" xfId="44858"/>
    <cellStyle name="CALC Currency Total 2 28 5 3" xfId="34976"/>
    <cellStyle name="CALC Currency Total 2 28 5 4" xfId="44859"/>
    <cellStyle name="CALC Currency Total 2 28 6" xfId="20476"/>
    <cellStyle name="CALC Currency Total 2 28 6 2" xfId="28798"/>
    <cellStyle name="CALC Currency Total 2 28 6 2 2" xfId="44860"/>
    <cellStyle name="CALC Currency Total 2 28 6 3" xfId="35907"/>
    <cellStyle name="CALC Currency Total 2 28 6 4" xfId="44861"/>
    <cellStyle name="CALC Currency Total 2 28 7" xfId="21937"/>
    <cellStyle name="CALC Currency Total 2 28 7 2" xfId="30238"/>
    <cellStyle name="CALC Currency Total 2 28 7 2 2" xfId="44862"/>
    <cellStyle name="CALC Currency Total 2 28 7 3" xfId="37280"/>
    <cellStyle name="CALC Currency Total 2 28 7 4" xfId="44863"/>
    <cellStyle name="CALC Currency Total 2 28 8" xfId="22865"/>
    <cellStyle name="CALC Currency Total 2 28 8 2" xfId="31161"/>
    <cellStyle name="CALC Currency Total 2 28 8 2 2" xfId="44864"/>
    <cellStyle name="CALC Currency Total 2 28 8 3" xfId="38164"/>
    <cellStyle name="CALC Currency Total 2 28 8 4" xfId="44865"/>
    <cellStyle name="CALC Currency Total 2 28 9" xfId="23807"/>
    <cellStyle name="CALC Currency Total 2 28 9 2" xfId="44866"/>
    <cellStyle name="CALC Currency Total 2 29" xfId="15482"/>
    <cellStyle name="CALC Currency Total 2 29 2" xfId="17528"/>
    <cellStyle name="CALC Currency Total 2 29 2 2" xfId="25848"/>
    <cellStyle name="CALC Currency Total 2 29 2 2 2" xfId="44867"/>
    <cellStyle name="CALC Currency Total 2 29 2 3" xfId="33066"/>
    <cellStyle name="CALC Currency Total 2 29 2 4" xfId="44868"/>
    <cellStyle name="CALC Currency Total 2 29 3" xfId="19539"/>
    <cellStyle name="CALC Currency Total 2 29 3 2" xfId="27860"/>
    <cellStyle name="CALC Currency Total 2 29 3 2 2" xfId="44869"/>
    <cellStyle name="CALC Currency Total 2 29 3 3" xfId="35008"/>
    <cellStyle name="CALC Currency Total 2 29 3 4" xfId="44870"/>
    <cellStyle name="CALC Currency Total 2 29 4" xfId="44871"/>
    <cellStyle name="CALC Currency Total 2 29 4 2" xfId="44872"/>
    <cellStyle name="CALC Currency Total 2 3" xfId="14519"/>
    <cellStyle name="CALC Currency Total 2 3 2" xfId="15581"/>
    <cellStyle name="CALC Currency Total 2 3 2 2" xfId="44873"/>
    <cellStyle name="CALC Currency Total 2 3 2 2 2" xfId="44874"/>
    <cellStyle name="CALC Currency Total 2 3 3" xfId="23897"/>
    <cellStyle name="CALC Currency Total 2 3 3 2" xfId="44875"/>
    <cellStyle name="CALC Currency Total 2 30" xfId="44876"/>
    <cellStyle name="CALC Currency Total 2 30 2" xfId="44877"/>
    <cellStyle name="CALC Currency Total 2 4" xfId="14543"/>
    <cellStyle name="CALC Currency Total 2 4 2" xfId="15622"/>
    <cellStyle name="CALC Currency Total 2 4 2 2" xfId="23936"/>
    <cellStyle name="CALC Currency Total 2 4 2 2 2" xfId="44878"/>
    <cellStyle name="CALC Currency Total 2 4 2 3" xfId="44879"/>
    <cellStyle name="CALC Currency Total 2 4 2 4" xfId="44880"/>
    <cellStyle name="CALC Currency Total 2 4 3" xfId="16590"/>
    <cellStyle name="CALC Currency Total 2 4 3 2" xfId="24907"/>
    <cellStyle name="CALC Currency Total 2 4 3 2 2" xfId="44881"/>
    <cellStyle name="CALC Currency Total 2 4 3 3" xfId="32167"/>
    <cellStyle name="CALC Currency Total 2 4 3 4" xfId="44882"/>
    <cellStyle name="CALC Currency Total 2 4 4" xfId="17609"/>
    <cellStyle name="CALC Currency Total 2 4 4 2" xfId="25932"/>
    <cellStyle name="CALC Currency Total 2 4 4 2 2" xfId="44883"/>
    <cellStyle name="CALC Currency Total 2 4 4 3" xfId="33144"/>
    <cellStyle name="CALC Currency Total 2 4 4 4" xfId="44884"/>
    <cellStyle name="CALC Currency Total 2 4 5" xfId="18591"/>
    <cellStyle name="CALC Currency Total 2 4 5 2" xfId="26910"/>
    <cellStyle name="CALC Currency Total 2 4 5 2 2" xfId="44885"/>
    <cellStyle name="CALC Currency Total 2 4 5 3" xfId="34079"/>
    <cellStyle name="CALC Currency Total 2 4 5 4" xfId="44886"/>
    <cellStyle name="CALC Currency Total 2 4 6" xfId="19559"/>
    <cellStyle name="CALC Currency Total 2 4 6 2" xfId="27880"/>
    <cellStyle name="CALC Currency Total 2 4 6 2 2" xfId="44887"/>
    <cellStyle name="CALC Currency Total 2 4 6 3" xfId="35027"/>
    <cellStyle name="CALC Currency Total 2 4 6 4" xfId="44888"/>
    <cellStyle name="CALC Currency Total 2 4 7" xfId="20517"/>
    <cellStyle name="CALC Currency Total 2 4 7 2" xfId="28839"/>
    <cellStyle name="CALC Currency Total 2 4 7 2 2" xfId="44889"/>
    <cellStyle name="CALC Currency Total 2 4 7 3" xfId="35944"/>
    <cellStyle name="CALC Currency Total 2 4 7 4" xfId="44890"/>
    <cellStyle name="CALC Currency Total 2 4 8" xfId="22900"/>
    <cellStyle name="CALC Currency Total 2 4 8 2" xfId="44891"/>
    <cellStyle name="CALC Currency Total 2 5" xfId="14604"/>
    <cellStyle name="CALC Currency Total 2 5 10" xfId="22965"/>
    <cellStyle name="CALC Currency Total 2 5 10 2" xfId="44892"/>
    <cellStyle name="CALC Currency Total 2 5 11" xfId="44893"/>
    <cellStyle name="CALC Currency Total 2 5 2" xfId="15684"/>
    <cellStyle name="CALC Currency Total 2 5 2 2" xfId="24000"/>
    <cellStyle name="CALC Currency Total 2 5 2 2 2" xfId="44894"/>
    <cellStyle name="CALC Currency Total 2 5 2 3" xfId="31295"/>
    <cellStyle name="CALC Currency Total 2 5 2 4" xfId="44895"/>
    <cellStyle name="CALC Currency Total 2 5 3" xfId="16651"/>
    <cellStyle name="CALC Currency Total 2 5 3 2" xfId="24971"/>
    <cellStyle name="CALC Currency Total 2 5 3 2 2" xfId="44896"/>
    <cellStyle name="CALC Currency Total 2 5 3 3" xfId="32228"/>
    <cellStyle name="CALC Currency Total 2 5 3 4" xfId="44897"/>
    <cellStyle name="CALC Currency Total 2 5 4" xfId="17673"/>
    <cellStyle name="CALC Currency Total 2 5 4 2" xfId="25997"/>
    <cellStyle name="CALC Currency Total 2 5 4 2 2" xfId="44898"/>
    <cellStyle name="CALC Currency Total 2 5 4 3" xfId="33205"/>
    <cellStyle name="CALC Currency Total 2 5 4 4" xfId="44899"/>
    <cellStyle name="CALC Currency Total 2 5 5" xfId="18656"/>
    <cellStyle name="CALC Currency Total 2 5 5 2" xfId="26977"/>
    <cellStyle name="CALC Currency Total 2 5 5 2 2" xfId="44900"/>
    <cellStyle name="CALC Currency Total 2 5 5 3" xfId="34143"/>
    <cellStyle name="CALC Currency Total 2 5 5 4" xfId="44901"/>
    <cellStyle name="CALC Currency Total 2 5 6" xfId="19625"/>
    <cellStyle name="CALC Currency Total 2 5 6 2" xfId="27946"/>
    <cellStyle name="CALC Currency Total 2 5 6 2 2" xfId="44902"/>
    <cellStyle name="CALC Currency Total 2 5 6 3" xfId="35089"/>
    <cellStyle name="CALC Currency Total 2 5 6 4" xfId="44903"/>
    <cellStyle name="CALC Currency Total 2 5 7" xfId="20582"/>
    <cellStyle name="CALC Currency Total 2 5 7 2" xfId="28904"/>
    <cellStyle name="CALC Currency Total 2 5 7 2 2" xfId="44904"/>
    <cellStyle name="CALC Currency Total 2 5 7 3" xfId="36005"/>
    <cellStyle name="CALC Currency Total 2 5 7 4" xfId="44905"/>
    <cellStyle name="CALC Currency Total 2 5 8" xfId="21132"/>
    <cellStyle name="CALC Currency Total 2 5 8 2" xfId="29446"/>
    <cellStyle name="CALC Currency Total 2 5 8 2 2" xfId="44906"/>
    <cellStyle name="CALC Currency Total 2 5 8 3" xfId="36519"/>
    <cellStyle name="CALC Currency Total 2 5 8 4" xfId="44907"/>
    <cellStyle name="CALC Currency Total 2 5 9" xfId="22019"/>
    <cellStyle name="CALC Currency Total 2 5 9 2" xfId="30318"/>
    <cellStyle name="CALC Currency Total 2 5 9 2 2" xfId="44908"/>
    <cellStyle name="CALC Currency Total 2 5 9 3" xfId="37356"/>
    <cellStyle name="CALC Currency Total 2 5 9 4" xfId="44909"/>
    <cellStyle name="CALC Currency Total 2 6" xfId="14624"/>
    <cellStyle name="CALC Currency Total 2 6 10" xfId="22986"/>
    <cellStyle name="CALC Currency Total 2 6 10 2" xfId="44910"/>
    <cellStyle name="CALC Currency Total 2 6 11" xfId="44911"/>
    <cellStyle name="CALC Currency Total 2 6 2" xfId="15705"/>
    <cellStyle name="CALC Currency Total 2 6 2 2" xfId="24021"/>
    <cellStyle name="CALC Currency Total 2 6 2 2 2" xfId="44912"/>
    <cellStyle name="CALC Currency Total 2 6 2 3" xfId="31315"/>
    <cellStyle name="CALC Currency Total 2 6 2 4" xfId="44913"/>
    <cellStyle name="CALC Currency Total 2 6 3" xfId="16672"/>
    <cellStyle name="CALC Currency Total 2 6 3 2" xfId="24992"/>
    <cellStyle name="CALC Currency Total 2 6 3 2 2" xfId="44914"/>
    <cellStyle name="CALC Currency Total 2 6 3 3" xfId="32248"/>
    <cellStyle name="CALC Currency Total 2 6 3 4" xfId="44915"/>
    <cellStyle name="CALC Currency Total 2 6 4" xfId="17695"/>
    <cellStyle name="CALC Currency Total 2 6 4 2" xfId="26018"/>
    <cellStyle name="CALC Currency Total 2 6 4 2 2" xfId="44916"/>
    <cellStyle name="CALC Currency Total 2 6 4 3" xfId="33225"/>
    <cellStyle name="CALC Currency Total 2 6 4 4" xfId="44917"/>
    <cellStyle name="CALC Currency Total 2 6 5" xfId="18678"/>
    <cellStyle name="CALC Currency Total 2 6 5 2" xfId="26999"/>
    <cellStyle name="CALC Currency Total 2 6 5 2 2" xfId="44918"/>
    <cellStyle name="CALC Currency Total 2 6 5 3" xfId="34164"/>
    <cellStyle name="CALC Currency Total 2 6 5 4" xfId="44919"/>
    <cellStyle name="CALC Currency Total 2 6 6" xfId="19647"/>
    <cellStyle name="CALC Currency Total 2 6 6 2" xfId="27968"/>
    <cellStyle name="CALC Currency Total 2 6 6 2 2" xfId="44920"/>
    <cellStyle name="CALC Currency Total 2 6 6 3" xfId="35110"/>
    <cellStyle name="CALC Currency Total 2 6 6 4" xfId="44921"/>
    <cellStyle name="CALC Currency Total 2 6 7" xfId="20604"/>
    <cellStyle name="CALC Currency Total 2 6 7 2" xfId="28925"/>
    <cellStyle name="CALC Currency Total 2 6 7 2 2" xfId="44922"/>
    <cellStyle name="CALC Currency Total 2 6 7 3" xfId="36025"/>
    <cellStyle name="CALC Currency Total 2 6 7 4" xfId="44923"/>
    <cellStyle name="CALC Currency Total 2 6 8" xfId="21121"/>
    <cellStyle name="CALC Currency Total 2 6 8 2" xfId="29435"/>
    <cellStyle name="CALC Currency Total 2 6 8 2 2" xfId="44924"/>
    <cellStyle name="CALC Currency Total 2 6 8 3" xfId="36508"/>
    <cellStyle name="CALC Currency Total 2 6 8 4" xfId="44925"/>
    <cellStyle name="CALC Currency Total 2 6 9" xfId="22041"/>
    <cellStyle name="CALC Currency Total 2 6 9 2" xfId="30339"/>
    <cellStyle name="CALC Currency Total 2 6 9 2 2" xfId="44926"/>
    <cellStyle name="CALC Currency Total 2 6 9 3" xfId="37376"/>
    <cellStyle name="CALC Currency Total 2 6 9 4" xfId="44927"/>
    <cellStyle name="CALC Currency Total 2 7" xfId="14643"/>
    <cellStyle name="CALC Currency Total 2 7 10" xfId="23005"/>
    <cellStyle name="CALC Currency Total 2 7 10 2" xfId="44928"/>
    <cellStyle name="CALC Currency Total 2 7 11" xfId="44929"/>
    <cellStyle name="CALC Currency Total 2 7 2" xfId="15724"/>
    <cellStyle name="CALC Currency Total 2 7 2 2" xfId="24040"/>
    <cellStyle name="CALC Currency Total 2 7 2 2 2" xfId="44930"/>
    <cellStyle name="CALC Currency Total 2 7 2 3" xfId="31333"/>
    <cellStyle name="CALC Currency Total 2 7 2 4" xfId="44931"/>
    <cellStyle name="CALC Currency Total 2 7 3" xfId="16690"/>
    <cellStyle name="CALC Currency Total 2 7 3 2" xfId="25011"/>
    <cellStyle name="CALC Currency Total 2 7 3 2 2" xfId="44932"/>
    <cellStyle name="CALC Currency Total 2 7 3 3" xfId="32266"/>
    <cellStyle name="CALC Currency Total 2 7 3 4" xfId="44933"/>
    <cellStyle name="CALC Currency Total 2 7 4" xfId="17714"/>
    <cellStyle name="CALC Currency Total 2 7 4 2" xfId="26037"/>
    <cellStyle name="CALC Currency Total 2 7 4 2 2" xfId="44934"/>
    <cellStyle name="CALC Currency Total 2 7 4 3" xfId="33243"/>
    <cellStyle name="CALC Currency Total 2 7 4 4" xfId="44935"/>
    <cellStyle name="CALC Currency Total 2 7 5" xfId="18697"/>
    <cellStyle name="CALC Currency Total 2 7 5 2" xfId="27018"/>
    <cellStyle name="CALC Currency Total 2 7 5 2 2" xfId="44936"/>
    <cellStyle name="CALC Currency Total 2 7 5 3" xfId="34182"/>
    <cellStyle name="CALC Currency Total 2 7 5 4" xfId="44937"/>
    <cellStyle name="CALC Currency Total 2 7 6" xfId="19666"/>
    <cellStyle name="CALC Currency Total 2 7 6 2" xfId="27987"/>
    <cellStyle name="CALC Currency Total 2 7 6 2 2" xfId="44938"/>
    <cellStyle name="CALC Currency Total 2 7 6 3" xfId="35128"/>
    <cellStyle name="CALC Currency Total 2 7 6 4" xfId="44939"/>
    <cellStyle name="CALC Currency Total 2 7 7" xfId="20623"/>
    <cellStyle name="CALC Currency Total 2 7 7 2" xfId="28944"/>
    <cellStyle name="CALC Currency Total 2 7 7 2 2" xfId="44940"/>
    <cellStyle name="CALC Currency Total 2 7 7 3" xfId="36043"/>
    <cellStyle name="CALC Currency Total 2 7 7 4" xfId="44941"/>
    <cellStyle name="CALC Currency Total 2 7 8" xfId="21239"/>
    <cellStyle name="CALC Currency Total 2 7 8 2" xfId="29549"/>
    <cellStyle name="CALC Currency Total 2 7 8 2 2" xfId="44942"/>
    <cellStyle name="CALC Currency Total 2 7 8 3" xfId="36617"/>
    <cellStyle name="CALC Currency Total 2 7 8 4" xfId="44943"/>
    <cellStyle name="CALC Currency Total 2 7 9" xfId="22060"/>
    <cellStyle name="CALC Currency Total 2 7 9 2" xfId="30358"/>
    <cellStyle name="CALC Currency Total 2 7 9 2 2" xfId="44944"/>
    <cellStyle name="CALC Currency Total 2 7 9 3" xfId="37394"/>
    <cellStyle name="CALC Currency Total 2 7 9 4" xfId="44945"/>
    <cellStyle name="CALC Currency Total 2 8" xfId="14663"/>
    <cellStyle name="CALC Currency Total 2 8 10" xfId="23025"/>
    <cellStyle name="CALC Currency Total 2 8 10 2" xfId="44946"/>
    <cellStyle name="CALC Currency Total 2 8 11" xfId="44947"/>
    <cellStyle name="CALC Currency Total 2 8 2" xfId="15744"/>
    <cellStyle name="CALC Currency Total 2 8 2 2" xfId="24060"/>
    <cellStyle name="CALC Currency Total 2 8 2 2 2" xfId="44948"/>
    <cellStyle name="CALC Currency Total 2 8 2 3" xfId="31352"/>
    <cellStyle name="CALC Currency Total 2 8 2 4" xfId="44949"/>
    <cellStyle name="CALC Currency Total 2 8 3" xfId="16710"/>
    <cellStyle name="CALC Currency Total 2 8 3 2" xfId="25031"/>
    <cellStyle name="CALC Currency Total 2 8 3 2 2" xfId="44950"/>
    <cellStyle name="CALC Currency Total 2 8 3 3" xfId="32285"/>
    <cellStyle name="CALC Currency Total 2 8 3 4" xfId="44951"/>
    <cellStyle name="CALC Currency Total 2 8 4" xfId="17734"/>
    <cellStyle name="CALC Currency Total 2 8 4 2" xfId="26057"/>
    <cellStyle name="CALC Currency Total 2 8 4 2 2" xfId="44952"/>
    <cellStyle name="CALC Currency Total 2 8 4 3" xfId="33262"/>
    <cellStyle name="CALC Currency Total 2 8 4 4" xfId="44953"/>
    <cellStyle name="CALC Currency Total 2 8 5" xfId="18717"/>
    <cellStyle name="CALC Currency Total 2 8 5 2" xfId="27038"/>
    <cellStyle name="CALC Currency Total 2 8 5 2 2" xfId="44954"/>
    <cellStyle name="CALC Currency Total 2 8 5 3" xfId="34201"/>
    <cellStyle name="CALC Currency Total 2 8 5 4" xfId="44955"/>
    <cellStyle name="CALC Currency Total 2 8 6" xfId="19686"/>
    <cellStyle name="CALC Currency Total 2 8 6 2" xfId="28007"/>
    <cellStyle name="CALC Currency Total 2 8 6 2 2" xfId="44956"/>
    <cellStyle name="CALC Currency Total 2 8 6 3" xfId="35147"/>
    <cellStyle name="CALC Currency Total 2 8 6 4" xfId="44957"/>
    <cellStyle name="CALC Currency Total 2 8 7" xfId="20643"/>
    <cellStyle name="CALC Currency Total 2 8 7 2" xfId="28964"/>
    <cellStyle name="CALC Currency Total 2 8 7 2 2" xfId="44958"/>
    <cellStyle name="CALC Currency Total 2 8 7 3" xfId="36062"/>
    <cellStyle name="CALC Currency Total 2 8 7 4" xfId="44959"/>
    <cellStyle name="CALC Currency Total 2 8 8" xfId="21357"/>
    <cellStyle name="CALC Currency Total 2 8 8 2" xfId="29660"/>
    <cellStyle name="CALC Currency Total 2 8 8 2 2" xfId="44960"/>
    <cellStyle name="CALC Currency Total 2 8 8 3" xfId="36725"/>
    <cellStyle name="CALC Currency Total 2 8 8 4" xfId="44961"/>
    <cellStyle name="CALC Currency Total 2 8 9" xfId="22080"/>
    <cellStyle name="CALC Currency Total 2 8 9 2" xfId="30378"/>
    <cellStyle name="CALC Currency Total 2 8 9 2 2" xfId="44962"/>
    <cellStyle name="CALC Currency Total 2 8 9 3" xfId="37413"/>
    <cellStyle name="CALC Currency Total 2 8 9 4" xfId="44963"/>
    <cellStyle name="CALC Currency Total 2 9" xfId="14747"/>
    <cellStyle name="CALC Currency Total 2 9 10" xfId="23111"/>
    <cellStyle name="CALC Currency Total 2 9 10 2" xfId="44964"/>
    <cellStyle name="CALC Currency Total 2 9 11" xfId="44965"/>
    <cellStyle name="CALC Currency Total 2 9 12" xfId="44966"/>
    <cellStyle name="CALC Currency Total 2 9 2" xfId="15828"/>
    <cellStyle name="CALC Currency Total 2 9 2 2" xfId="24146"/>
    <cellStyle name="CALC Currency Total 2 9 2 2 2" xfId="44967"/>
    <cellStyle name="CALC Currency Total 2 9 2 3" xfId="31434"/>
    <cellStyle name="CALC Currency Total 2 9 2 4" xfId="44968"/>
    <cellStyle name="CALC Currency Total 2 9 3" xfId="16794"/>
    <cellStyle name="CALC Currency Total 2 9 3 2" xfId="25118"/>
    <cellStyle name="CALC Currency Total 2 9 3 2 2" xfId="44969"/>
    <cellStyle name="CALC Currency Total 2 9 3 3" xfId="32367"/>
    <cellStyle name="CALC Currency Total 2 9 3 4" xfId="44970"/>
    <cellStyle name="CALC Currency Total 2 9 4" xfId="17820"/>
    <cellStyle name="CALC Currency Total 2 9 4 2" xfId="26144"/>
    <cellStyle name="CALC Currency Total 2 9 4 2 2" xfId="44971"/>
    <cellStyle name="CALC Currency Total 2 9 4 3" xfId="33344"/>
    <cellStyle name="CALC Currency Total 2 9 4 4" xfId="44972"/>
    <cellStyle name="CALC Currency Total 2 9 5" xfId="18804"/>
    <cellStyle name="CALC Currency Total 2 9 5 2" xfId="27125"/>
    <cellStyle name="CALC Currency Total 2 9 5 2 2" xfId="44973"/>
    <cellStyle name="CALC Currency Total 2 9 5 3" xfId="34284"/>
    <cellStyle name="CALC Currency Total 2 9 5 4" xfId="44974"/>
    <cellStyle name="CALC Currency Total 2 9 6" xfId="19772"/>
    <cellStyle name="CALC Currency Total 2 9 6 2" xfId="28094"/>
    <cellStyle name="CALC Currency Total 2 9 6 2 2" xfId="44975"/>
    <cellStyle name="CALC Currency Total 2 9 6 3" xfId="35230"/>
    <cellStyle name="CALC Currency Total 2 9 6 4" xfId="44976"/>
    <cellStyle name="CALC Currency Total 2 9 7" xfId="20730"/>
    <cellStyle name="CALC Currency Total 2 9 7 2" xfId="29051"/>
    <cellStyle name="CALC Currency Total 2 9 7 2 2" xfId="44977"/>
    <cellStyle name="CALC Currency Total 2 9 7 3" xfId="36143"/>
    <cellStyle name="CALC Currency Total 2 9 7 4" xfId="44978"/>
    <cellStyle name="CALC Currency Total 2 9 8" xfId="21144"/>
    <cellStyle name="CALC Currency Total 2 9 8 2" xfId="29456"/>
    <cellStyle name="CALC Currency Total 2 9 8 2 2" xfId="44979"/>
    <cellStyle name="CALC Currency Total 2 9 8 3" xfId="36528"/>
    <cellStyle name="CALC Currency Total 2 9 8 4" xfId="44980"/>
    <cellStyle name="CALC Currency Total 2 9 9" xfId="22166"/>
    <cellStyle name="CALC Currency Total 2 9 9 2" xfId="30464"/>
    <cellStyle name="CALC Currency Total 2 9 9 2 2" xfId="44981"/>
    <cellStyle name="CALC Currency Total 2 9 9 3" xfId="37495"/>
    <cellStyle name="CALC Currency Total 2 9 9 4" xfId="44982"/>
    <cellStyle name="CALC Currency Total 20" xfId="14802"/>
    <cellStyle name="CALC Currency Total 20 10" xfId="23166"/>
    <cellStyle name="CALC Currency Total 20 10 2" xfId="44983"/>
    <cellStyle name="CALC Currency Total 20 11" xfId="44984"/>
    <cellStyle name="CALC Currency Total 20 12" xfId="44985"/>
    <cellStyle name="CALC Currency Total 20 2" xfId="15883"/>
    <cellStyle name="CALC Currency Total 20 2 2" xfId="24201"/>
    <cellStyle name="CALC Currency Total 20 2 2 2" xfId="44986"/>
    <cellStyle name="CALC Currency Total 20 2 3" xfId="31487"/>
    <cellStyle name="CALC Currency Total 20 2 4" xfId="44987"/>
    <cellStyle name="CALC Currency Total 20 3" xfId="16849"/>
    <cellStyle name="CALC Currency Total 20 3 2" xfId="25173"/>
    <cellStyle name="CALC Currency Total 20 3 2 2" xfId="44988"/>
    <cellStyle name="CALC Currency Total 20 3 3" xfId="32420"/>
    <cellStyle name="CALC Currency Total 20 3 4" xfId="44989"/>
    <cellStyle name="CALC Currency Total 20 4" xfId="17876"/>
    <cellStyle name="CALC Currency Total 20 4 2" xfId="26199"/>
    <cellStyle name="CALC Currency Total 20 4 2 2" xfId="44990"/>
    <cellStyle name="CALC Currency Total 20 4 3" xfId="33397"/>
    <cellStyle name="CALC Currency Total 20 4 4" xfId="44991"/>
    <cellStyle name="CALC Currency Total 20 5" xfId="18860"/>
    <cellStyle name="CALC Currency Total 20 5 2" xfId="27180"/>
    <cellStyle name="CALC Currency Total 20 5 2 2" xfId="44992"/>
    <cellStyle name="CALC Currency Total 20 5 3" xfId="34337"/>
    <cellStyle name="CALC Currency Total 20 5 4" xfId="44993"/>
    <cellStyle name="CALC Currency Total 20 6" xfId="19828"/>
    <cellStyle name="CALC Currency Total 20 6 2" xfId="28150"/>
    <cellStyle name="CALC Currency Total 20 6 2 2" xfId="44994"/>
    <cellStyle name="CALC Currency Total 20 6 3" xfId="35284"/>
    <cellStyle name="CALC Currency Total 20 6 4" xfId="44995"/>
    <cellStyle name="CALC Currency Total 20 7" xfId="20786"/>
    <cellStyle name="CALC Currency Total 20 7 2" xfId="29106"/>
    <cellStyle name="CALC Currency Total 20 7 2 2" xfId="44996"/>
    <cellStyle name="CALC Currency Total 20 7 3" xfId="36196"/>
    <cellStyle name="CALC Currency Total 20 7 4" xfId="44997"/>
    <cellStyle name="CALC Currency Total 20 8" xfId="15555"/>
    <cellStyle name="CALC Currency Total 20 8 2" xfId="23883"/>
    <cellStyle name="CALC Currency Total 20 8 2 2" xfId="44998"/>
    <cellStyle name="CALC Currency Total 20 8 3" xfId="31227"/>
    <cellStyle name="CALC Currency Total 20 8 4" xfId="44999"/>
    <cellStyle name="CALC Currency Total 20 9" xfId="22222"/>
    <cellStyle name="CALC Currency Total 20 9 2" xfId="30520"/>
    <cellStyle name="CALC Currency Total 20 9 2 2" xfId="45000"/>
    <cellStyle name="CALC Currency Total 20 9 3" xfId="37548"/>
    <cellStyle name="CALC Currency Total 20 9 4" xfId="45001"/>
    <cellStyle name="CALC Currency Total 21" xfId="14808"/>
    <cellStyle name="CALC Currency Total 21 10" xfId="23172"/>
    <cellStyle name="CALC Currency Total 21 10 2" xfId="45002"/>
    <cellStyle name="CALC Currency Total 21 11" xfId="45003"/>
    <cellStyle name="CALC Currency Total 21 12" xfId="45004"/>
    <cellStyle name="CALC Currency Total 21 2" xfId="15889"/>
    <cellStyle name="CALC Currency Total 21 2 2" xfId="24207"/>
    <cellStyle name="CALC Currency Total 21 2 2 2" xfId="45005"/>
    <cellStyle name="CALC Currency Total 21 2 3" xfId="31493"/>
    <cellStyle name="CALC Currency Total 21 2 4" xfId="45006"/>
    <cellStyle name="CALC Currency Total 21 3" xfId="16855"/>
    <cellStyle name="CALC Currency Total 21 3 2" xfId="25179"/>
    <cellStyle name="CALC Currency Total 21 3 2 2" xfId="45007"/>
    <cellStyle name="CALC Currency Total 21 3 3" xfId="32426"/>
    <cellStyle name="CALC Currency Total 21 3 4" xfId="45008"/>
    <cellStyle name="CALC Currency Total 21 4" xfId="17882"/>
    <cellStyle name="CALC Currency Total 21 4 2" xfId="26205"/>
    <cellStyle name="CALC Currency Total 21 4 2 2" xfId="45009"/>
    <cellStyle name="CALC Currency Total 21 4 3" xfId="33403"/>
    <cellStyle name="CALC Currency Total 21 4 4" xfId="45010"/>
    <cellStyle name="CALC Currency Total 21 5" xfId="18866"/>
    <cellStyle name="CALC Currency Total 21 5 2" xfId="27186"/>
    <cellStyle name="CALC Currency Total 21 5 2 2" xfId="45011"/>
    <cellStyle name="CALC Currency Total 21 5 3" xfId="34343"/>
    <cellStyle name="CALC Currency Total 21 5 4" xfId="45012"/>
    <cellStyle name="CALC Currency Total 21 6" xfId="19834"/>
    <cellStyle name="CALC Currency Total 21 6 2" xfId="28156"/>
    <cellStyle name="CALC Currency Total 21 6 2 2" xfId="45013"/>
    <cellStyle name="CALC Currency Total 21 6 3" xfId="35290"/>
    <cellStyle name="CALC Currency Total 21 6 4" xfId="45014"/>
    <cellStyle name="CALC Currency Total 21 7" xfId="20792"/>
    <cellStyle name="CALC Currency Total 21 7 2" xfId="29112"/>
    <cellStyle name="CALC Currency Total 21 7 2 2" xfId="45015"/>
    <cellStyle name="CALC Currency Total 21 7 3" xfId="36201"/>
    <cellStyle name="CALC Currency Total 21 7 4" xfId="45016"/>
    <cellStyle name="CALC Currency Total 21 8" xfId="21370"/>
    <cellStyle name="CALC Currency Total 21 8 2" xfId="29673"/>
    <cellStyle name="CALC Currency Total 21 8 2 2" xfId="45017"/>
    <cellStyle name="CALC Currency Total 21 8 3" xfId="36737"/>
    <cellStyle name="CALC Currency Total 21 8 4" xfId="45018"/>
    <cellStyle name="CALC Currency Total 21 9" xfId="22227"/>
    <cellStyle name="CALC Currency Total 21 9 2" xfId="30526"/>
    <cellStyle name="CALC Currency Total 21 9 2 2" xfId="45019"/>
    <cellStyle name="CALC Currency Total 21 9 3" xfId="37554"/>
    <cellStyle name="CALC Currency Total 21 9 4" xfId="45020"/>
    <cellStyle name="CALC Currency Total 22" xfId="14801"/>
    <cellStyle name="CALC Currency Total 22 10" xfId="23165"/>
    <cellStyle name="CALC Currency Total 22 10 2" xfId="45021"/>
    <cellStyle name="CALC Currency Total 22 11" xfId="45022"/>
    <cellStyle name="CALC Currency Total 22 12" xfId="45023"/>
    <cellStyle name="CALC Currency Total 22 2" xfId="15882"/>
    <cellStyle name="CALC Currency Total 22 2 2" xfId="24200"/>
    <cellStyle name="CALC Currency Total 22 2 2 2" xfId="45024"/>
    <cellStyle name="CALC Currency Total 22 2 3" xfId="31486"/>
    <cellStyle name="CALC Currency Total 22 2 4" xfId="45025"/>
    <cellStyle name="CALC Currency Total 22 3" xfId="16848"/>
    <cellStyle name="CALC Currency Total 22 3 2" xfId="25172"/>
    <cellStyle name="CALC Currency Total 22 3 2 2" xfId="45026"/>
    <cellStyle name="CALC Currency Total 22 3 3" xfId="32419"/>
    <cellStyle name="CALC Currency Total 22 3 4" xfId="45027"/>
    <cellStyle name="CALC Currency Total 22 4" xfId="17875"/>
    <cellStyle name="CALC Currency Total 22 4 2" xfId="26198"/>
    <cellStyle name="CALC Currency Total 22 4 2 2" xfId="45028"/>
    <cellStyle name="CALC Currency Total 22 4 3" xfId="33396"/>
    <cellStyle name="CALC Currency Total 22 4 4" xfId="45029"/>
    <cellStyle name="CALC Currency Total 22 5" xfId="18859"/>
    <cellStyle name="CALC Currency Total 22 5 2" xfId="27179"/>
    <cellStyle name="CALC Currency Total 22 5 2 2" xfId="45030"/>
    <cellStyle name="CALC Currency Total 22 5 3" xfId="34336"/>
    <cellStyle name="CALC Currency Total 22 5 4" xfId="45031"/>
    <cellStyle name="CALC Currency Total 22 6" xfId="19827"/>
    <cellStyle name="CALC Currency Total 22 6 2" xfId="28149"/>
    <cellStyle name="CALC Currency Total 22 6 2 2" xfId="45032"/>
    <cellStyle name="CALC Currency Total 22 6 3" xfId="35283"/>
    <cellStyle name="CALC Currency Total 22 6 4" xfId="45033"/>
    <cellStyle name="CALC Currency Total 22 7" xfId="20785"/>
    <cellStyle name="CALC Currency Total 22 7 2" xfId="29105"/>
    <cellStyle name="CALC Currency Total 22 7 2 2" xfId="45034"/>
    <cellStyle name="CALC Currency Total 22 7 3" xfId="36195"/>
    <cellStyle name="CALC Currency Total 22 7 4" xfId="45035"/>
    <cellStyle name="CALC Currency Total 22 8" xfId="21113"/>
    <cellStyle name="CALC Currency Total 22 8 2" xfId="29427"/>
    <cellStyle name="CALC Currency Total 22 8 2 2" xfId="45036"/>
    <cellStyle name="CALC Currency Total 22 8 3" xfId="36500"/>
    <cellStyle name="CALC Currency Total 22 8 4" xfId="45037"/>
    <cellStyle name="CALC Currency Total 22 9" xfId="22221"/>
    <cellStyle name="CALC Currency Total 22 9 2" xfId="30519"/>
    <cellStyle name="CALC Currency Total 22 9 2 2" xfId="45038"/>
    <cellStyle name="CALC Currency Total 22 9 3" xfId="37547"/>
    <cellStyle name="CALC Currency Total 22 9 4" xfId="45039"/>
    <cellStyle name="CALC Currency Total 23" xfId="14770"/>
    <cellStyle name="CALC Currency Total 23 10" xfId="23134"/>
    <cellStyle name="CALC Currency Total 23 10 2" xfId="45040"/>
    <cellStyle name="CALC Currency Total 23 11" xfId="45041"/>
    <cellStyle name="CALC Currency Total 23 12" xfId="45042"/>
    <cellStyle name="CALC Currency Total 23 2" xfId="15851"/>
    <cellStyle name="CALC Currency Total 23 2 2" xfId="24169"/>
    <cellStyle name="CALC Currency Total 23 2 2 2" xfId="45043"/>
    <cellStyle name="CALC Currency Total 23 2 3" xfId="31457"/>
    <cellStyle name="CALC Currency Total 23 2 4" xfId="45044"/>
    <cellStyle name="CALC Currency Total 23 3" xfId="16817"/>
    <cellStyle name="CALC Currency Total 23 3 2" xfId="25141"/>
    <cellStyle name="CALC Currency Total 23 3 2 2" xfId="45045"/>
    <cellStyle name="CALC Currency Total 23 3 3" xfId="32390"/>
    <cellStyle name="CALC Currency Total 23 3 4" xfId="45046"/>
    <cellStyle name="CALC Currency Total 23 4" xfId="17843"/>
    <cellStyle name="CALC Currency Total 23 4 2" xfId="26167"/>
    <cellStyle name="CALC Currency Total 23 4 2 2" xfId="45047"/>
    <cellStyle name="CALC Currency Total 23 4 3" xfId="33367"/>
    <cellStyle name="CALC Currency Total 23 4 4" xfId="45048"/>
    <cellStyle name="CALC Currency Total 23 5" xfId="18827"/>
    <cellStyle name="CALC Currency Total 23 5 2" xfId="27148"/>
    <cellStyle name="CALC Currency Total 23 5 2 2" xfId="45049"/>
    <cellStyle name="CALC Currency Total 23 5 3" xfId="34307"/>
    <cellStyle name="CALC Currency Total 23 5 4" xfId="45050"/>
    <cellStyle name="CALC Currency Total 23 6" xfId="19795"/>
    <cellStyle name="CALC Currency Total 23 6 2" xfId="28117"/>
    <cellStyle name="CALC Currency Total 23 6 2 2" xfId="45051"/>
    <cellStyle name="CALC Currency Total 23 6 3" xfId="35253"/>
    <cellStyle name="CALC Currency Total 23 6 4" xfId="45052"/>
    <cellStyle name="CALC Currency Total 23 7" xfId="20753"/>
    <cellStyle name="CALC Currency Total 23 7 2" xfId="29074"/>
    <cellStyle name="CALC Currency Total 23 7 2 2" xfId="45053"/>
    <cellStyle name="CALC Currency Total 23 7 3" xfId="36166"/>
    <cellStyle name="CALC Currency Total 23 7 4" xfId="45054"/>
    <cellStyle name="CALC Currency Total 23 8" xfId="21254"/>
    <cellStyle name="CALC Currency Total 23 8 2" xfId="29563"/>
    <cellStyle name="CALC Currency Total 23 8 2 2" xfId="45055"/>
    <cellStyle name="CALC Currency Total 23 8 3" xfId="36631"/>
    <cellStyle name="CALC Currency Total 23 8 4" xfId="45056"/>
    <cellStyle name="CALC Currency Total 23 9" xfId="22189"/>
    <cellStyle name="CALC Currency Total 23 9 2" xfId="30487"/>
    <cellStyle name="CALC Currency Total 23 9 2 2" xfId="45057"/>
    <cellStyle name="CALC Currency Total 23 9 3" xfId="37518"/>
    <cellStyle name="CALC Currency Total 23 9 4" xfId="45058"/>
    <cellStyle name="CALC Currency Total 24" xfId="14720"/>
    <cellStyle name="CALC Currency Total 24 10" xfId="23082"/>
    <cellStyle name="CALC Currency Total 24 10 2" xfId="45059"/>
    <cellStyle name="CALC Currency Total 24 11" xfId="45060"/>
    <cellStyle name="CALC Currency Total 24 12" xfId="45061"/>
    <cellStyle name="CALC Currency Total 24 2" xfId="15801"/>
    <cellStyle name="CALC Currency Total 24 2 2" xfId="24117"/>
    <cellStyle name="CALC Currency Total 24 2 2 2" xfId="45062"/>
    <cellStyle name="CALC Currency Total 24 2 3" xfId="31405"/>
    <cellStyle name="CALC Currency Total 24 2 4" xfId="45063"/>
    <cellStyle name="CALC Currency Total 24 3" xfId="16767"/>
    <cellStyle name="CALC Currency Total 24 3 2" xfId="25089"/>
    <cellStyle name="CALC Currency Total 24 3 2 2" xfId="45064"/>
    <cellStyle name="CALC Currency Total 24 3 3" xfId="32338"/>
    <cellStyle name="CALC Currency Total 24 3 4" xfId="45065"/>
    <cellStyle name="CALC Currency Total 24 4" xfId="17791"/>
    <cellStyle name="CALC Currency Total 24 4 2" xfId="26115"/>
    <cellStyle name="CALC Currency Total 24 4 2 2" xfId="45066"/>
    <cellStyle name="CALC Currency Total 24 4 3" xfId="33315"/>
    <cellStyle name="CALC Currency Total 24 4 4" xfId="45067"/>
    <cellStyle name="CALC Currency Total 24 5" xfId="18775"/>
    <cellStyle name="CALC Currency Total 24 5 2" xfId="27096"/>
    <cellStyle name="CALC Currency Total 24 5 2 2" xfId="45068"/>
    <cellStyle name="CALC Currency Total 24 5 3" xfId="34255"/>
    <cellStyle name="CALC Currency Total 24 5 4" xfId="45069"/>
    <cellStyle name="CALC Currency Total 24 6" xfId="19744"/>
    <cellStyle name="CALC Currency Total 24 6 2" xfId="28065"/>
    <cellStyle name="CALC Currency Total 24 6 2 2" xfId="45070"/>
    <cellStyle name="CALC Currency Total 24 6 3" xfId="35201"/>
    <cellStyle name="CALC Currency Total 24 6 4" xfId="45071"/>
    <cellStyle name="CALC Currency Total 24 7" xfId="20701"/>
    <cellStyle name="CALC Currency Total 24 7 2" xfId="29022"/>
    <cellStyle name="CALC Currency Total 24 7 2 2" xfId="45072"/>
    <cellStyle name="CALC Currency Total 24 7 3" xfId="36115"/>
    <cellStyle name="CALC Currency Total 24 7 4" xfId="45073"/>
    <cellStyle name="CALC Currency Total 24 8" xfId="21205"/>
    <cellStyle name="CALC Currency Total 24 8 2" xfId="29517"/>
    <cellStyle name="CALC Currency Total 24 8 2 2" xfId="45074"/>
    <cellStyle name="CALC Currency Total 24 8 3" xfId="36586"/>
    <cellStyle name="CALC Currency Total 24 8 4" xfId="45075"/>
    <cellStyle name="CALC Currency Total 24 9" xfId="22137"/>
    <cellStyle name="CALC Currency Total 24 9 2" xfId="30435"/>
    <cellStyle name="CALC Currency Total 24 9 2 2" xfId="45076"/>
    <cellStyle name="CALC Currency Total 24 9 3" xfId="37466"/>
    <cellStyle name="CALC Currency Total 24 9 4" xfId="45077"/>
    <cellStyle name="CALC Currency Total 25" xfId="14705"/>
    <cellStyle name="CALC Currency Total 25 10" xfId="23067"/>
    <cellStyle name="CALC Currency Total 25 10 2" xfId="45078"/>
    <cellStyle name="CALC Currency Total 25 11" xfId="45079"/>
    <cellStyle name="CALC Currency Total 25 12" xfId="45080"/>
    <cellStyle name="CALC Currency Total 25 2" xfId="15786"/>
    <cellStyle name="CALC Currency Total 25 2 2" xfId="24102"/>
    <cellStyle name="CALC Currency Total 25 2 2 2" xfId="45081"/>
    <cellStyle name="CALC Currency Total 25 2 3" xfId="31391"/>
    <cellStyle name="CALC Currency Total 25 2 4" xfId="45082"/>
    <cellStyle name="CALC Currency Total 25 3" xfId="16752"/>
    <cellStyle name="CALC Currency Total 25 3 2" xfId="25074"/>
    <cellStyle name="CALC Currency Total 25 3 2 2" xfId="45083"/>
    <cellStyle name="CALC Currency Total 25 3 3" xfId="32324"/>
    <cellStyle name="CALC Currency Total 25 3 4" xfId="45084"/>
    <cellStyle name="CALC Currency Total 25 4" xfId="17776"/>
    <cellStyle name="CALC Currency Total 25 4 2" xfId="26100"/>
    <cellStyle name="CALC Currency Total 25 4 2 2" xfId="45085"/>
    <cellStyle name="CALC Currency Total 25 4 3" xfId="33301"/>
    <cellStyle name="CALC Currency Total 25 4 4" xfId="45086"/>
    <cellStyle name="CALC Currency Total 25 5" xfId="18760"/>
    <cellStyle name="CALC Currency Total 25 5 2" xfId="27081"/>
    <cellStyle name="CALC Currency Total 25 5 2 2" xfId="45087"/>
    <cellStyle name="CALC Currency Total 25 5 3" xfId="34241"/>
    <cellStyle name="CALC Currency Total 25 5 4" xfId="45088"/>
    <cellStyle name="CALC Currency Total 25 6" xfId="19729"/>
    <cellStyle name="CALC Currency Total 25 6 2" xfId="28050"/>
    <cellStyle name="CALC Currency Total 25 6 2 2" xfId="45089"/>
    <cellStyle name="CALC Currency Total 25 6 3" xfId="35187"/>
    <cellStyle name="CALC Currency Total 25 6 4" xfId="45090"/>
    <cellStyle name="CALC Currency Total 25 7" xfId="20686"/>
    <cellStyle name="CALC Currency Total 25 7 2" xfId="29007"/>
    <cellStyle name="CALC Currency Total 25 7 2 2" xfId="45091"/>
    <cellStyle name="CALC Currency Total 25 7 3" xfId="36101"/>
    <cellStyle name="CALC Currency Total 25 7 4" xfId="45092"/>
    <cellStyle name="CALC Currency Total 25 8" xfId="15507"/>
    <cellStyle name="CALC Currency Total 25 8 2" xfId="23847"/>
    <cellStyle name="CALC Currency Total 25 8 2 2" xfId="45093"/>
    <cellStyle name="CALC Currency Total 25 8 3" xfId="31196"/>
    <cellStyle name="CALC Currency Total 25 8 4" xfId="45094"/>
    <cellStyle name="CALC Currency Total 25 9" xfId="22122"/>
    <cellStyle name="CALC Currency Total 25 9 2" xfId="30420"/>
    <cellStyle name="CALC Currency Total 25 9 2 2" xfId="45095"/>
    <cellStyle name="CALC Currency Total 25 9 3" xfId="37452"/>
    <cellStyle name="CALC Currency Total 25 9 4" xfId="45096"/>
    <cellStyle name="CALC Currency Total 26" xfId="14771"/>
    <cellStyle name="CALC Currency Total 26 10" xfId="23135"/>
    <cellStyle name="CALC Currency Total 26 10 2" xfId="45097"/>
    <cellStyle name="CALC Currency Total 26 11" xfId="45098"/>
    <cellStyle name="CALC Currency Total 26 12" xfId="45099"/>
    <cellStyle name="CALC Currency Total 26 2" xfId="15852"/>
    <cellStyle name="CALC Currency Total 26 2 2" xfId="24170"/>
    <cellStyle name="CALC Currency Total 26 2 2 2" xfId="45100"/>
    <cellStyle name="CALC Currency Total 26 2 3" xfId="31458"/>
    <cellStyle name="CALC Currency Total 26 2 4" xfId="45101"/>
    <cellStyle name="CALC Currency Total 26 3" xfId="16818"/>
    <cellStyle name="CALC Currency Total 26 3 2" xfId="25142"/>
    <cellStyle name="CALC Currency Total 26 3 2 2" xfId="45102"/>
    <cellStyle name="CALC Currency Total 26 3 3" xfId="32391"/>
    <cellStyle name="CALC Currency Total 26 3 4" xfId="45103"/>
    <cellStyle name="CALC Currency Total 26 4" xfId="17844"/>
    <cellStyle name="CALC Currency Total 26 4 2" xfId="26168"/>
    <cellStyle name="CALC Currency Total 26 4 2 2" xfId="45104"/>
    <cellStyle name="CALC Currency Total 26 4 3" xfId="33368"/>
    <cellStyle name="CALC Currency Total 26 4 4" xfId="45105"/>
    <cellStyle name="CALC Currency Total 26 5" xfId="18828"/>
    <cellStyle name="CALC Currency Total 26 5 2" xfId="27149"/>
    <cellStyle name="CALC Currency Total 26 5 2 2" xfId="45106"/>
    <cellStyle name="CALC Currency Total 26 5 3" xfId="34308"/>
    <cellStyle name="CALC Currency Total 26 5 4" xfId="45107"/>
    <cellStyle name="CALC Currency Total 26 6" xfId="19796"/>
    <cellStyle name="CALC Currency Total 26 6 2" xfId="28118"/>
    <cellStyle name="CALC Currency Total 26 6 2 2" xfId="45108"/>
    <cellStyle name="CALC Currency Total 26 6 3" xfId="35254"/>
    <cellStyle name="CALC Currency Total 26 6 4" xfId="45109"/>
    <cellStyle name="CALC Currency Total 26 7" xfId="20754"/>
    <cellStyle name="CALC Currency Total 26 7 2" xfId="29075"/>
    <cellStyle name="CALC Currency Total 26 7 2 2" xfId="45110"/>
    <cellStyle name="CALC Currency Total 26 7 3" xfId="36167"/>
    <cellStyle name="CALC Currency Total 26 7 4" xfId="45111"/>
    <cellStyle name="CALC Currency Total 26 8" xfId="21253"/>
    <cellStyle name="CALC Currency Total 26 8 2" xfId="29562"/>
    <cellStyle name="CALC Currency Total 26 8 2 2" xfId="45112"/>
    <cellStyle name="CALC Currency Total 26 8 3" xfId="36630"/>
    <cellStyle name="CALC Currency Total 26 8 4" xfId="45113"/>
    <cellStyle name="CALC Currency Total 26 9" xfId="22190"/>
    <cellStyle name="CALC Currency Total 26 9 2" xfId="30488"/>
    <cellStyle name="CALC Currency Total 26 9 2 2" xfId="45114"/>
    <cellStyle name="CALC Currency Total 26 9 3" xfId="37519"/>
    <cellStyle name="CALC Currency Total 26 9 4" xfId="45115"/>
    <cellStyle name="CALC Currency Total 27" xfId="14815"/>
    <cellStyle name="CALC Currency Total 27 10" xfId="23179"/>
    <cellStyle name="CALC Currency Total 27 10 2" xfId="45116"/>
    <cellStyle name="CALC Currency Total 27 11" xfId="45117"/>
    <cellStyle name="CALC Currency Total 27 12" xfId="45118"/>
    <cellStyle name="CALC Currency Total 27 2" xfId="15896"/>
    <cellStyle name="CALC Currency Total 27 2 2" xfId="24214"/>
    <cellStyle name="CALC Currency Total 27 2 2 2" xfId="45119"/>
    <cellStyle name="CALC Currency Total 27 2 3" xfId="31500"/>
    <cellStyle name="CALC Currency Total 27 2 4" xfId="45120"/>
    <cellStyle name="CALC Currency Total 27 3" xfId="16862"/>
    <cellStyle name="CALC Currency Total 27 3 2" xfId="25186"/>
    <cellStyle name="CALC Currency Total 27 3 2 2" xfId="45121"/>
    <cellStyle name="CALC Currency Total 27 3 3" xfId="32433"/>
    <cellStyle name="CALC Currency Total 27 3 4" xfId="45122"/>
    <cellStyle name="CALC Currency Total 27 4" xfId="17889"/>
    <cellStyle name="CALC Currency Total 27 4 2" xfId="26212"/>
    <cellStyle name="CALC Currency Total 27 4 2 2" xfId="45123"/>
    <cellStyle name="CALC Currency Total 27 4 3" xfId="33410"/>
    <cellStyle name="CALC Currency Total 27 4 4" xfId="45124"/>
    <cellStyle name="CALC Currency Total 27 5" xfId="18873"/>
    <cellStyle name="CALC Currency Total 27 5 2" xfId="27193"/>
    <cellStyle name="CALC Currency Total 27 5 2 2" xfId="45125"/>
    <cellStyle name="CALC Currency Total 27 5 3" xfId="34350"/>
    <cellStyle name="CALC Currency Total 27 5 4" xfId="45126"/>
    <cellStyle name="CALC Currency Total 27 6" xfId="19841"/>
    <cellStyle name="CALC Currency Total 27 6 2" xfId="28163"/>
    <cellStyle name="CALC Currency Total 27 6 2 2" xfId="45127"/>
    <cellStyle name="CALC Currency Total 27 6 3" xfId="35297"/>
    <cellStyle name="CALC Currency Total 27 6 4" xfId="45128"/>
    <cellStyle name="CALC Currency Total 27 7" xfId="20799"/>
    <cellStyle name="CALC Currency Total 27 7 2" xfId="29119"/>
    <cellStyle name="CALC Currency Total 27 7 2 2" xfId="45129"/>
    <cellStyle name="CALC Currency Total 27 7 3" xfId="36208"/>
    <cellStyle name="CALC Currency Total 27 7 4" xfId="45130"/>
    <cellStyle name="CALC Currency Total 27 8" xfId="21226"/>
    <cellStyle name="CALC Currency Total 27 8 2" xfId="29537"/>
    <cellStyle name="CALC Currency Total 27 8 2 2" xfId="45131"/>
    <cellStyle name="CALC Currency Total 27 8 3" xfId="36606"/>
    <cellStyle name="CALC Currency Total 27 8 4" xfId="45132"/>
    <cellStyle name="CALC Currency Total 27 9" xfId="22234"/>
    <cellStyle name="CALC Currency Total 27 9 2" xfId="30533"/>
    <cellStyle name="CALC Currency Total 27 9 2 2" xfId="45133"/>
    <cellStyle name="CALC Currency Total 27 9 3" xfId="37561"/>
    <cellStyle name="CALC Currency Total 27 9 4" xfId="45134"/>
    <cellStyle name="CALC Currency Total 28" xfId="14842"/>
    <cellStyle name="CALC Currency Total 28 10" xfId="23205"/>
    <cellStyle name="CALC Currency Total 28 10 2" xfId="45135"/>
    <cellStyle name="CALC Currency Total 28 11" xfId="45136"/>
    <cellStyle name="CALC Currency Total 28 12" xfId="45137"/>
    <cellStyle name="CALC Currency Total 28 2" xfId="15923"/>
    <cellStyle name="CALC Currency Total 28 2 2" xfId="24240"/>
    <cellStyle name="CALC Currency Total 28 2 2 2" xfId="45138"/>
    <cellStyle name="CALC Currency Total 28 2 3" xfId="31524"/>
    <cellStyle name="CALC Currency Total 28 2 4" xfId="45139"/>
    <cellStyle name="CALC Currency Total 28 3" xfId="16889"/>
    <cellStyle name="CALC Currency Total 28 3 2" xfId="25212"/>
    <cellStyle name="CALC Currency Total 28 3 2 2" xfId="45140"/>
    <cellStyle name="CALC Currency Total 28 3 3" xfId="32457"/>
    <cellStyle name="CALC Currency Total 28 3 4" xfId="45141"/>
    <cellStyle name="CALC Currency Total 28 4" xfId="17916"/>
    <cellStyle name="CALC Currency Total 28 4 2" xfId="26238"/>
    <cellStyle name="CALC Currency Total 28 4 2 2" xfId="45142"/>
    <cellStyle name="CALC Currency Total 28 4 3" xfId="33434"/>
    <cellStyle name="CALC Currency Total 28 4 4" xfId="45143"/>
    <cellStyle name="CALC Currency Total 28 5" xfId="18900"/>
    <cellStyle name="CALC Currency Total 28 5 2" xfId="27220"/>
    <cellStyle name="CALC Currency Total 28 5 2 2" xfId="45144"/>
    <cellStyle name="CALC Currency Total 28 5 3" xfId="34375"/>
    <cellStyle name="CALC Currency Total 28 5 4" xfId="45145"/>
    <cellStyle name="CALC Currency Total 28 6" xfId="19868"/>
    <cellStyle name="CALC Currency Total 28 6 2" xfId="28190"/>
    <cellStyle name="CALC Currency Total 28 6 2 2" xfId="45146"/>
    <cellStyle name="CALC Currency Total 28 6 3" xfId="35322"/>
    <cellStyle name="CALC Currency Total 28 6 4" xfId="45147"/>
    <cellStyle name="CALC Currency Total 28 7" xfId="20826"/>
    <cellStyle name="CALC Currency Total 28 7 2" xfId="29145"/>
    <cellStyle name="CALC Currency Total 28 7 2 2" xfId="45148"/>
    <cellStyle name="CALC Currency Total 28 7 3" xfId="36232"/>
    <cellStyle name="CALC Currency Total 28 7 4" xfId="45149"/>
    <cellStyle name="CALC Currency Total 28 8" xfId="21216"/>
    <cellStyle name="CALC Currency Total 28 8 2" xfId="29527"/>
    <cellStyle name="CALC Currency Total 28 8 2 2" xfId="45150"/>
    <cellStyle name="CALC Currency Total 28 8 3" xfId="36596"/>
    <cellStyle name="CALC Currency Total 28 8 4" xfId="45151"/>
    <cellStyle name="CALC Currency Total 28 9" xfId="22261"/>
    <cellStyle name="CALC Currency Total 28 9 2" xfId="30559"/>
    <cellStyle name="CALC Currency Total 28 9 2 2" xfId="45152"/>
    <cellStyle name="CALC Currency Total 28 9 3" xfId="37585"/>
    <cellStyle name="CALC Currency Total 28 9 4" xfId="45153"/>
    <cellStyle name="CALC Currency Total 29" xfId="14717"/>
    <cellStyle name="CALC Currency Total 29 10" xfId="23079"/>
    <cellStyle name="CALC Currency Total 29 10 2" xfId="45154"/>
    <cellStyle name="CALC Currency Total 29 11" xfId="45155"/>
    <cellStyle name="CALC Currency Total 29 12" xfId="45156"/>
    <cellStyle name="CALC Currency Total 29 2" xfId="15798"/>
    <cellStyle name="CALC Currency Total 29 2 2" xfId="24114"/>
    <cellStyle name="CALC Currency Total 29 2 2 2" xfId="45157"/>
    <cellStyle name="CALC Currency Total 29 2 3" xfId="31402"/>
    <cellStyle name="CALC Currency Total 29 2 4" xfId="45158"/>
    <cellStyle name="CALC Currency Total 29 3" xfId="16764"/>
    <cellStyle name="CALC Currency Total 29 3 2" xfId="25086"/>
    <cellStyle name="CALC Currency Total 29 3 2 2" xfId="45159"/>
    <cellStyle name="CALC Currency Total 29 3 3" xfId="32335"/>
    <cellStyle name="CALC Currency Total 29 3 4" xfId="45160"/>
    <cellStyle name="CALC Currency Total 29 4" xfId="17788"/>
    <cellStyle name="CALC Currency Total 29 4 2" xfId="26112"/>
    <cellStyle name="CALC Currency Total 29 4 2 2" xfId="45161"/>
    <cellStyle name="CALC Currency Total 29 4 3" xfId="33312"/>
    <cellStyle name="CALC Currency Total 29 4 4" xfId="45162"/>
    <cellStyle name="CALC Currency Total 29 5" xfId="18772"/>
    <cellStyle name="CALC Currency Total 29 5 2" xfId="27093"/>
    <cellStyle name="CALC Currency Total 29 5 2 2" xfId="45163"/>
    <cellStyle name="CALC Currency Total 29 5 3" xfId="34252"/>
    <cellStyle name="CALC Currency Total 29 5 4" xfId="45164"/>
    <cellStyle name="CALC Currency Total 29 6" xfId="19741"/>
    <cellStyle name="CALC Currency Total 29 6 2" xfId="28062"/>
    <cellStyle name="CALC Currency Total 29 6 2 2" xfId="45165"/>
    <cellStyle name="CALC Currency Total 29 6 3" xfId="35198"/>
    <cellStyle name="CALC Currency Total 29 6 4" xfId="45166"/>
    <cellStyle name="CALC Currency Total 29 7" xfId="20698"/>
    <cellStyle name="CALC Currency Total 29 7 2" xfId="29019"/>
    <cellStyle name="CALC Currency Total 29 7 2 2" xfId="45167"/>
    <cellStyle name="CALC Currency Total 29 7 3" xfId="36112"/>
    <cellStyle name="CALC Currency Total 29 7 4" xfId="45168"/>
    <cellStyle name="CALC Currency Total 29 8" xfId="21296"/>
    <cellStyle name="CALC Currency Total 29 8 2" xfId="29603"/>
    <cellStyle name="CALC Currency Total 29 8 2 2" xfId="45169"/>
    <cellStyle name="CALC Currency Total 29 8 3" xfId="36670"/>
    <cellStyle name="CALC Currency Total 29 8 4" xfId="45170"/>
    <cellStyle name="CALC Currency Total 29 9" xfId="22134"/>
    <cellStyle name="CALC Currency Total 29 9 2" xfId="30432"/>
    <cellStyle name="CALC Currency Total 29 9 2 2" xfId="45171"/>
    <cellStyle name="CALC Currency Total 29 9 3" xfId="37463"/>
    <cellStyle name="CALC Currency Total 29 9 4" xfId="45172"/>
    <cellStyle name="CALC Currency Total 3" xfId="14532"/>
    <cellStyle name="CALC Currency Total 3 2" xfId="15608"/>
    <cellStyle name="CALC Currency Total 3 2 2" xfId="23922"/>
    <cellStyle name="CALC Currency Total 3 2 2 2" xfId="45173"/>
    <cellStyle name="CALC Currency Total 3 2 3" xfId="45174"/>
    <cellStyle name="CALC Currency Total 3 2 4" xfId="45175"/>
    <cellStyle name="CALC Currency Total 3 3" xfId="16577"/>
    <cellStyle name="CALC Currency Total 3 3 2" xfId="24893"/>
    <cellStyle name="CALC Currency Total 3 3 2 2" xfId="45176"/>
    <cellStyle name="CALC Currency Total 3 3 3" xfId="32153"/>
    <cellStyle name="CALC Currency Total 3 3 4" xfId="45177"/>
    <cellStyle name="CALC Currency Total 3 4" xfId="17595"/>
    <cellStyle name="CALC Currency Total 3 4 2" xfId="25917"/>
    <cellStyle name="CALC Currency Total 3 4 2 2" xfId="45178"/>
    <cellStyle name="CALC Currency Total 3 4 3" xfId="33130"/>
    <cellStyle name="CALC Currency Total 3 4 4" xfId="45179"/>
    <cellStyle name="CALC Currency Total 3 5" xfId="18576"/>
    <cellStyle name="CALC Currency Total 3 5 2" xfId="26895"/>
    <cellStyle name="CALC Currency Total 3 5 2 2" xfId="45180"/>
    <cellStyle name="CALC Currency Total 3 5 3" xfId="34064"/>
    <cellStyle name="CALC Currency Total 3 5 4" xfId="45181"/>
    <cellStyle name="CALC Currency Total 3 6" xfId="17549"/>
    <cellStyle name="CALC Currency Total 3 6 2" xfId="25868"/>
    <cellStyle name="CALC Currency Total 3 6 2 2" xfId="45182"/>
    <cellStyle name="CALC Currency Total 3 6 3" xfId="33085"/>
    <cellStyle name="CALC Currency Total 3 6 4" xfId="45183"/>
    <cellStyle name="CALC Currency Total 3 7" xfId="19285"/>
    <cellStyle name="CALC Currency Total 3 7 2" xfId="27605"/>
    <cellStyle name="CALC Currency Total 3 7 2 2" xfId="45184"/>
    <cellStyle name="CALC Currency Total 3 7 3" xfId="34753"/>
    <cellStyle name="CALC Currency Total 3 7 4" xfId="45185"/>
    <cellStyle name="CALC Currency Total 3 8" xfId="22886"/>
    <cellStyle name="CALC Currency Total 3 8 2" xfId="45186"/>
    <cellStyle name="CALC Currency Total 30" xfId="14814"/>
    <cellStyle name="CALC Currency Total 30 10" xfId="23178"/>
    <cellStyle name="CALC Currency Total 30 10 2" xfId="45187"/>
    <cellStyle name="CALC Currency Total 30 11" xfId="45188"/>
    <cellStyle name="CALC Currency Total 30 12" xfId="45189"/>
    <cellStyle name="CALC Currency Total 30 2" xfId="15895"/>
    <cellStyle name="CALC Currency Total 30 2 2" xfId="24213"/>
    <cellStyle name="CALC Currency Total 30 2 2 2" xfId="45190"/>
    <cellStyle name="CALC Currency Total 30 2 3" xfId="31499"/>
    <cellStyle name="CALC Currency Total 30 2 4" xfId="45191"/>
    <cellStyle name="CALC Currency Total 30 3" xfId="16861"/>
    <cellStyle name="CALC Currency Total 30 3 2" xfId="25185"/>
    <cellStyle name="CALC Currency Total 30 3 2 2" xfId="45192"/>
    <cellStyle name="CALC Currency Total 30 3 3" xfId="32432"/>
    <cellStyle name="CALC Currency Total 30 3 4" xfId="45193"/>
    <cellStyle name="CALC Currency Total 30 4" xfId="17888"/>
    <cellStyle name="CALC Currency Total 30 4 2" xfId="26211"/>
    <cellStyle name="CALC Currency Total 30 4 2 2" xfId="45194"/>
    <cellStyle name="CALC Currency Total 30 4 3" xfId="33409"/>
    <cellStyle name="CALC Currency Total 30 4 4" xfId="45195"/>
    <cellStyle name="CALC Currency Total 30 5" xfId="18872"/>
    <cellStyle name="CALC Currency Total 30 5 2" xfId="27192"/>
    <cellStyle name="CALC Currency Total 30 5 2 2" xfId="45196"/>
    <cellStyle name="CALC Currency Total 30 5 3" xfId="34349"/>
    <cellStyle name="CALC Currency Total 30 5 4" xfId="45197"/>
    <cellStyle name="CALC Currency Total 30 6" xfId="19840"/>
    <cellStyle name="CALC Currency Total 30 6 2" xfId="28162"/>
    <cellStyle name="CALC Currency Total 30 6 2 2" xfId="45198"/>
    <cellStyle name="CALC Currency Total 30 6 3" xfId="35296"/>
    <cellStyle name="CALC Currency Total 30 6 4" xfId="45199"/>
    <cellStyle name="CALC Currency Total 30 7" xfId="20798"/>
    <cellStyle name="CALC Currency Total 30 7 2" xfId="29118"/>
    <cellStyle name="CALC Currency Total 30 7 2 2" xfId="45200"/>
    <cellStyle name="CALC Currency Total 30 7 3" xfId="36207"/>
    <cellStyle name="CALC Currency Total 30 7 4" xfId="45201"/>
    <cellStyle name="CALC Currency Total 30 8" xfId="21258"/>
    <cellStyle name="CALC Currency Total 30 8 2" xfId="29567"/>
    <cellStyle name="CALC Currency Total 30 8 2 2" xfId="45202"/>
    <cellStyle name="CALC Currency Total 30 8 3" xfId="36635"/>
    <cellStyle name="CALC Currency Total 30 8 4" xfId="45203"/>
    <cellStyle name="CALC Currency Total 30 9" xfId="22233"/>
    <cellStyle name="CALC Currency Total 30 9 2" xfId="30532"/>
    <cellStyle name="CALC Currency Total 30 9 2 2" xfId="45204"/>
    <cellStyle name="CALC Currency Total 30 9 3" xfId="37560"/>
    <cellStyle name="CALC Currency Total 30 9 4" xfId="45205"/>
    <cellStyle name="CALC Currency Total 31" xfId="14759"/>
    <cellStyle name="CALC Currency Total 31 10" xfId="23123"/>
    <cellStyle name="CALC Currency Total 31 10 2" xfId="45206"/>
    <cellStyle name="CALC Currency Total 31 11" xfId="45207"/>
    <cellStyle name="CALC Currency Total 31 12" xfId="45208"/>
    <cellStyle name="CALC Currency Total 31 2" xfId="15840"/>
    <cellStyle name="CALC Currency Total 31 2 2" xfId="24158"/>
    <cellStyle name="CALC Currency Total 31 2 2 2" xfId="45209"/>
    <cellStyle name="CALC Currency Total 31 2 3" xfId="31446"/>
    <cellStyle name="CALC Currency Total 31 2 4" xfId="45210"/>
    <cellStyle name="CALC Currency Total 31 3" xfId="16806"/>
    <cellStyle name="CALC Currency Total 31 3 2" xfId="25130"/>
    <cellStyle name="CALC Currency Total 31 3 2 2" xfId="45211"/>
    <cellStyle name="CALC Currency Total 31 3 3" xfId="32379"/>
    <cellStyle name="CALC Currency Total 31 3 4" xfId="45212"/>
    <cellStyle name="CALC Currency Total 31 4" xfId="17832"/>
    <cellStyle name="CALC Currency Total 31 4 2" xfId="26156"/>
    <cellStyle name="CALC Currency Total 31 4 2 2" xfId="45213"/>
    <cellStyle name="CALC Currency Total 31 4 3" xfId="33356"/>
    <cellStyle name="CALC Currency Total 31 4 4" xfId="45214"/>
    <cellStyle name="CALC Currency Total 31 5" xfId="18816"/>
    <cellStyle name="CALC Currency Total 31 5 2" xfId="27137"/>
    <cellStyle name="CALC Currency Total 31 5 2 2" xfId="45215"/>
    <cellStyle name="CALC Currency Total 31 5 3" xfId="34296"/>
    <cellStyle name="CALC Currency Total 31 5 4" xfId="45216"/>
    <cellStyle name="CALC Currency Total 31 6" xfId="19784"/>
    <cellStyle name="CALC Currency Total 31 6 2" xfId="28106"/>
    <cellStyle name="CALC Currency Total 31 6 2 2" xfId="45217"/>
    <cellStyle name="CALC Currency Total 31 6 3" xfId="35242"/>
    <cellStyle name="CALC Currency Total 31 6 4" xfId="45218"/>
    <cellStyle name="CALC Currency Total 31 7" xfId="20742"/>
    <cellStyle name="CALC Currency Total 31 7 2" xfId="29063"/>
    <cellStyle name="CALC Currency Total 31 7 2 2" xfId="45219"/>
    <cellStyle name="CALC Currency Total 31 7 3" xfId="36155"/>
    <cellStyle name="CALC Currency Total 31 7 4" xfId="45220"/>
    <cellStyle name="CALC Currency Total 31 8" xfId="17059"/>
    <cellStyle name="CALC Currency Total 31 8 2" xfId="25380"/>
    <cellStyle name="CALC Currency Total 31 8 2 2" xfId="45221"/>
    <cellStyle name="CALC Currency Total 31 8 3" xfId="32620"/>
    <cellStyle name="CALC Currency Total 31 8 4" xfId="45222"/>
    <cellStyle name="CALC Currency Total 31 9" xfId="22178"/>
    <cellStyle name="CALC Currency Total 31 9 2" xfId="30476"/>
    <cellStyle name="CALC Currency Total 31 9 2 2" xfId="45223"/>
    <cellStyle name="CALC Currency Total 31 9 3" xfId="37507"/>
    <cellStyle name="CALC Currency Total 31 9 4" xfId="45224"/>
    <cellStyle name="CALC Currency Total 32" xfId="14849"/>
    <cellStyle name="CALC Currency Total 32 10" xfId="23212"/>
    <cellStyle name="CALC Currency Total 32 10 2" xfId="45225"/>
    <cellStyle name="CALC Currency Total 32 11" xfId="45226"/>
    <cellStyle name="CALC Currency Total 32 12" xfId="45227"/>
    <cellStyle name="CALC Currency Total 32 2" xfId="15930"/>
    <cellStyle name="CALC Currency Total 32 2 2" xfId="24247"/>
    <cellStyle name="CALC Currency Total 32 2 2 2" xfId="45228"/>
    <cellStyle name="CALC Currency Total 32 2 3" xfId="31531"/>
    <cellStyle name="CALC Currency Total 32 2 4" xfId="45229"/>
    <cellStyle name="CALC Currency Total 32 3" xfId="16896"/>
    <cellStyle name="CALC Currency Total 32 3 2" xfId="25219"/>
    <cellStyle name="CALC Currency Total 32 3 2 2" xfId="45230"/>
    <cellStyle name="CALC Currency Total 32 3 3" xfId="32464"/>
    <cellStyle name="CALC Currency Total 32 3 4" xfId="45231"/>
    <cellStyle name="CALC Currency Total 32 4" xfId="17923"/>
    <cellStyle name="CALC Currency Total 32 4 2" xfId="26245"/>
    <cellStyle name="CALC Currency Total 32 4 2 2" xfId="45232"/>
    <cellStyle name="CALC Currency Total 32 4 3" xfId="33441"/>
    <cellStyle name="CALC Currency Total 32 4 4" xfId="45233"/>
    <cellStyle name="CALC Currency Total 32 5" xfId="18907"/>
    <cellStyle name="CALC Currency Total 32 5 2" xfId="27227"/>
    <cellStyle name="CALC Currency Total 32 5 2 2" xfId="45234"/>
    <cellStyle name="CALC Currency Total 32 5 3" xfId="34382"/>
    <cellStyle name="CALC Currency Total 32 5 4" xfId="45235"/>
    <cellStyle name="CALC Currency Total 32 6" xfId="19875"/>
    <cellStyle name="CALC Currency Total 32 6 2" xfId="28197"/>
    <cellStyle name="CALC Currency Total 32 6 2 2" xfId="45236"/>
    <cellStyle name="CALC Currency Total 32 6 3" xfId="35329"/>
    <cellStyle name="CALC Currency Total 32 6 4" xfId="45237"/>
    <cellStyle name="CALC Currency Total 32 7" xfId="20833"/>
    <cellStyle name="CALC Currency Total 32 7 2" xfId="29152"/>
    <cellStyle name="CALC Currency Total 32 7 2 2" xfId="45238"/>
    <cellStyle name="CALC Currency Total 32 7 3" xfId="36239"/>
    <cellStyle name="CALC Currency Total 32 7 4" xfId="45239"/>
    <cellStyle name="CALC Currency Total 32 8" xfId="19819"/>
    <cellStyle name="CALC Currency Total 32 8 2" xfId="28141"/>
    <cellStyle name="CALC Currency Total 32 8 2 2" xfId="45240"/>
    <cellStyle name="CALC Currency Total 32 8 3" xfId="35275"/>
    <cellStyle name="CALC Currency Total 32 8 4" xfId="45241"/>
    <cellStyle name="CALC Currency Total 32 9" xfId="22268"/>
    <cellStyle name="CALC Currency Total 32 9 2" xfId="30566"/>
    <cellStyle name="CALC Currency Total 32 9 2 2" xfId="45242"/>
    <cellStyle name="CALC Currency Total 32 9 3" xfId="37592"/>
    <cellStyle name="CALC Currency Total 32 9 4" xfId="45243"/>
    <cellStyle name="CALC Currency Total 33" xfId="14856"/>
    <cellStyle name="CALC Currency Total 33 10" xfId="23219"/>
    <cellStyle name="CALC Currency Total 33 10 2" xfId="45244"/>
    <cellStyle name="CALC Currency Total 33 11" xfId="45245"/>
    <cellStyle name="CALC Currency Total 33 12" xfId="45246"/>
    <cellStyle name="CALC Currency Total 33 2" xfId="15937"/>
    <cellStyle name="CALC Currency Total 33 2 2" xfId="24254"/>
    <cellStyle name="CALC Currency Total 33 2 2 2" xfId="45247"/>
    <cellStyle name="CALC Currency Total 33 2 3" xfId="31538"/>
    <cellStyle name="CALC Currency Total 33 2 4" xfId="45248"/>
    <cellStyle name="CALC Currency Total 33 3" xfId="16903"/>
    <cellStyle name="CALC Currency Total 33 3 2" xfId="25226"/>
    <cellStyle name="CALC Currency Total 33 3 2 2" xfId="45249"/>
    <cellStyle name="CALC Currency Total 33 3 3" xfId="32471"/>
    <cellStyle name="CALC Currency Total 33 3 4" xfId="45250"/>
    <cellStyle name="CALC Currency Total 33 4" xfId="17930"/>
    <cellStyle name="CALC Currency Total 33 4 2" xfId="26252"/>
    <cellStyle name="CALC Currency Total 33 4 2 2" xfId="45251"/>
    <cellStyle name="CALC Currency Total 33 4 3" xfId="33448"/>
    <cellStyle name="CALC Currency Total 33 4 4" xfId="45252"/>
    <cellStyle name="CALC Currency Total 33 5" xfId="18914"/>
    <cellStyle name="CALC Currency Total 33 5 2" xfId="27234"/>
    <cellStyle name="CALC Currency Total 33 5 2 2" xfId="45253"/>
    <cellStyle name="CALC Currency Total 33 5 3" xfId="34389"/>
    <cellStyle name="CALC Currency Total 33 5 4" xfId="45254"/>
    <cellStyle name="CALC Currency Total 33 6" xfId="19882"/>
    <cellStyle name="CALC Currency Total 33 6 2" xfId="28204"/>
    <cellStyle name="CALC Currency Total 33 6 2 2" xfId="45255"/>
    <cellStyle name="CALC Currency Total 33 6 3" xfId="35336"/>
    <cellStyle name="CALC Currency Total 33 6 4" xfId="45256"/>
    <cellStyle name="CALC Currency Total 33 7" xfId="20840"/>
    <cellStyle name="CALC Currency Total 33 7 2" xfId="29159"/>
    <cellStyle name="CALC Currency Total 33 7 2 2" xfId="45257"/>
    <cellStyle name="CALC Currency Total 33 7 3" xfId="36246"/>
    <cellStyle name="CALC Currency Total 33 7 4" xfId="45258"/>
    <cellStyle name="CALC Currency Total 33 8" xfId="19608"/>
    <cellStyle name="CALC Currency Total 33 8 2" xfId="27928"/>
    <cellStyle name="CALC Currency Total 33 8 2 2" xfId="45259"/>
    <cellStyle name="CALC Currency Total 33 8 3" xfId="35073"/>
    <cellStyle name="CALC Currency Total 33 8 4" xfId="45260"/>
    <cellStyle name="CALC Currency Total 33 9" xfId="22275"/>
    <cellStyle name="CALC Currency Total 33 9 2" xfId="30573"/>
    <cellStyle name="CALC Currency Total 33 9 2 2" xfId="45261"/>
    <cellStyle name="CALC Currency Total 33 9 3" xfId="37599"/>
    <cellStyle name="CALC Currency Total 33 9 4" xfId="45262"/>
    <cellStyle name="CALC Currency Total 34" xfId="14829"/>
    <cellStyle name="CALC Currency Total 34 10" xfId="23193"/>
    <cellStyle name="CALC Currency Total 34 10 2" xfId="45263"/>
    <cellStyle name="CALC Currency Total 34 11" xfId="45264"/>
    <cellStyle name="CALC Currency Total 34 12" xfId="45265"/>
    <cellStyle name="CALC Currency Total 34 2" xfId="15910"/>
    <cellStyle name="CALC Currency Total 34 2 2" xfId="24228"/>
    <cellStyle name="CALC Currency Total 34 2 2 2" xfId="45266"/>
    <cellStyle name="CALC Currency Total 34 2 3" xfId="31512"/>
    <cellStyle name="CALC Currency Total 34 2 4" xfId="45267"/>
    <cellStyle name="CALC Currency Total 34 3" xfId="16876"/>
    <cellStyle name="CALC Currency Total 34 3 2" xfId="25200"/>
    <cellStyle name="CALC Currency Total 34 3 2 2" xfId="45268"/>
    <cellStyle name="CALC Currency Total 34 3 3" xfId="32445"/>
    <cellStyle name="CALC Currency Total 34 3 4" xfId="45269"/>
    <cellStyle name="CALC Currency Total 34 4" xfId="17903"/>
    <cellStyle name="CALC Currency Total 34 4 2" xfId="26226"/>
    <cellStyle name="CALC Currency Total 34 4 2 2" xfId="45270"/>
    <cellStyle name="CALC Currency Total 34 4 3" xfId="33422"/>
    <cellStyle name="CALC Currency Total 34 4 4" xfId="45271"/>
    <cellStyle name="CALC Currency Total 34 5" xfId="18887"/>
    <cellStyle name="CALC Currency Total 34 5 2" xfId="27207"/>
    <cellStyle name="CALC Currency Total 34 5 2 2" xfId="45272"/>
    <cellStyle name="CALC Currency Total 34 5 3" xfId="34362"/>
    <cellStyle name="CALC Currency Total 34 5 4" xfId="45273"/>
    <cellStyle name="CALC Currency Total 34 6" xfId="19855"/>
    <cellStyle name="CALC Currency Total 34 6 2" xfId="28177"/>
    <cellStyle name="CALC Currency Total 34 6 2 2" xfId="45274"/>
    <cellStyle name="CALC Currency Total 34 6 3" xfId="35309"/>
    <cellStyle name="CALC Currency Total 34 6 4" xfId="45275"/>
    <cellStyle name="CALC Currency Total 34 7" xfId="20813"/>
    <cellStyle name="CALC Currency Total 34 7 2" xfId="29133"/>
    <cellStyle name="CALC Currency Total 34 7 2 2" xfId="45276"/>
    <cellStyle name="CALC Currency Total 34 7 3" xfId="36220"/>
    <cellStyle name="CALC Currency Total 34 7 4" xfId="45277"/>
    <cellStyle name="CALC Currency Total 34 8" xfId="19636"/>
    <cellStyle name="CALC Currency Total 34 8 2" xfId="27957"/>
    <cellStyle name="CALC Currency Total 34 8 2 2" xfId="45278"/>
    <cellStyle name="CALC Currency Total 34 8 3" xfId="35099"/>
    <cellStyle name="CALC Currency Total 34 8 4" xfId="45279"/>
    <cellStyle name="CALC Currency Total 34 9" xfId="22248"/>
    <cellStyle name="CALC Currency Total 34 9 2" xfId="30547"/>
    <cellStyle name="CALC Currency Total 34 9 2 2" xfId="45280"/>
    <cellStyle name="CALC Currency Total 34 9 3" xfId="37573"/>
    <cellStyle name="CALC Currency Total 34 9 4" xfId="45281"/>
    <cellStyle name="CALC Currency Total 35" xfId="14777"/>
    <cellStyle name="CALC Currency Total 35 10" xfId="23141"/>
    <cellStyle name="CALC Currency Total 35 10 2" xfId="45282"/>
    <cellStyle name="CALC Currency Total 35 11" xfId="45283"/>
    <cellStyle name="CALC Currency Total 35 12" xfId="45284"/>
    <cellStyle name="CALC Currency Total 35 2" xfId="15858"/>
    <cellStyle name="CALC Currency Total 35 2 2" xfId="24176"/>
    <cellStyle name="CALC Currency Total 35 2 2 2" xfId="45285"/>
    <cellStyle name="CALC Currency Total 35 2 3" xfId="31464"/>
    <cellStyle name="CALC Currency Total 35 2 4" xfId="45286"/>
    <cellStyle name="CALC Currency Total 35 3" xfId="16824"/>
    <cellStyle name="CALC Currency Total 35 3 2" xfId="25148"/>
    <cellStyle name="CALC Currency Total 35 3 2 2" xfId="45287"/>
    <cellStyle name="CALC Currency Total 35 3 3" xfId="32397"/>
    <cellStyle name="CALC Currency Total 35 3 4" xfId="45288"/>
    <cellStyle name="CALC Currency Total 35 4" xfId="17850"/>
    <cellStyle name="CALC Currency Total 35 4 2" xfId="26174"/>
    <cellStyle name="CALC Currency Total 35 4 2 2" xfId="45289"/>
    <cellStyle name="CALC Currency Total 35 4 3" xfId="33374"/>
    <cellStyle name="CALC Currency Total 35 4 4" xfId="45290"/>
    <cellStyle name="CALC Currency Total 35 5" xfId="18834"/>
    <cellStyle name="CALC Currency Total 35 5 2" xfId="27155"/>
    <cellStyle name="CALC Currency Total 35 5 2 2" xfId="45291"/>
    <cellStyle name="CALC Currency Total 35 5 3" xfId="34314"/>
    <cellStyle name="CALC Currency Total 35 5 4" xfId="45292"/>
    <cellStyle name="CALC Currency Total 35 6" xfId="19802"/>
    <cellStyle name="CALC Currency Total 35 6 2" xfId="28124"/>
    <cellStyle name="CALC Currency Total 35 6 2 2" xfId="45293"/>
    <cellStyle name="CALC Currency Total 35 6 3" xfId="35260"/>
    <cellStyle name="CALC Currency Total 35 6 4" xfId="45294"/>
    <cellStyle name="CALC Currency Total 35 7" xfId="20760"/>
    <cellStyle name="CALC Currency Total 35 7 2" xfId="29081"/>
    <cellStyle name="CALC Currency Total 35 7 2 2" xfId="45295"/>
    <cellStyle name="CALC Currency Total 35 7 3" xfId="36173"/>
    <cellStyle name="CALC Currency Total 35 7 4" xfId="45296"/>
    <cellStyle name="CALC Currency Total 35 8" xfId="21191"/>
    <cellStyle name="CALC Currency Total 35 8 2" xfId="29503"/>
    <cellStyle name="CALC Currency Total 35 8 2 2" xfId="45297"/>
    <cellStyle name="CALC Currency Total 35 8 3" xfId="36574"/>
    <cellStyle name="CALC Currency Total 35 8 4" xfId="45298"/>
    <cellStyle name="CALC Currency Total 35 9" xfId="22196"/>
    <cellStyle name="CALC Currency Total 35 9 2" xfId="30494"/>
    <cellStyle name="CALC Currency Total 35 9 2 2" xfId="45299"/>
    <cellStyle name="CALC Currency Total 35 9 3" xfId="37525"/>
    <cellStyle name="CALC Currency Total 35 9 4" xfId="45300"/>
    <cellStyle name="CALC Currency Total 36" xfId="14704"/>
    <cellStyle name="CALC Currency Total 36 10" xfId="23066"/>
    <cellStyle name="CALC Currency Total 36 10 2" xfId="45301"/>
    <cellStyle name="CALC Currency Total 36 11" xfId="45302"/>
    <cellStyle name="CALC Currency Total 36 12" xfId="45303"/>
    <cellStyle name="CALC Currency Total 36 2" xfId="15785"/>
    <cellStyle name="CALC Currency Total 36 2 2" xfId="24101"/>
    <cellStyle name="CALC Currency Total 36 2 2 2" xfId="45304"/>
    <cellStyle name="CALC Currency Total 36 2 3" xfId="31390"/>
    <cellStyle name="CALC Currency Total 36 2 4" xfId="45305"/>
    <cellStyle name="CALC Currency Total 36 3" xfId="16751"/>
    <cellStyle name="CALC Currency Total 36 3 2" xfId="25073"/>
    <cellStyle name="CALC Currency Total 36 3 2 2" xfId="45306"/>
    <cellStyle name="CALC Currency Total 36 3 3" xfId="32323"/>
    <cellStyle name="CALC Currency Total 36 3 4" xfId="45307"/>
    <cellStyle name="CALC Currency Total 36 4" xfId="17775"/>
    <cellStyle name="CALC Currency Total 36 4 2" xfId="26099"/>
    <cellStyle name="CALC Currency Total 36 4 2 2" xfId="45308"/>
    <cellStyle name="CALC Currency Total 36 4 3" xfId="33300"/>
    <cellStyle name="CALC Currency Total 36 4 4" xfId="45309"/>
    <cellStyle name="CALC Currency Total 36 5" xfId="18759"/>
    <cellStyle name="CALC Currency Total 36 5 2" xfId="27080"/>
    <cellStyle name="CALC Currency Total 36 5 2 2" xfId="45310"/>
    <cellStyle name="CALC Currency Total 36 5 3" xfId="34240"/>
    <cellStyle name="CALC Currency Total 36 5 4" xfId="45311"/>
    <cellStyle name="CALC Currency Total 36 6" xfId="19728"/>
    <cellStyle name="CALC Currency Total 36 6 2" xfId="28049"/>
    <cellStyle name="CALC Currency Total 36 6 2 2" xfId="45312"/>
    <cellStyle name="CALC Currency Total 36 6 3" xfId="35186"/>
    <cellStyle name="CALC Currency Total 36 6 4" xfId="45313"/>
    <cellStyle name="CALC Currency Total 36 7" xfId="20685"/>
    <cellStyle name="CALC Currency Total 36 7 2" xfId="29006"/>
    <cellStyle name="CALC Currency Total 36 7 2 2" xfId="45314"/>
    <cellStyle name="CALC Currency Total 36 7 3" xfId="36100"/>
    <cellStyle name="CALC Currency Total 36 7 4" xfId="45315"/>
    <cellStyle name="CALC Currency Total 36 8" xfId="21116"/>
    <cellStyle name="CALC Currency Total 36 8 2" xfId="29430"/>
    <cellStyle name="CALC Currency Total 36 8 2 2" xfId="45316"/>
    <cellStyle name="CALC Currency Total 36 8 3" xfId="36503"/>
    <cellStyle name="CALC Currency Total 36 8 4" xfId="45317"/>
    <cellStyle name="CALC Currency Total 36 9" xfId="22121"/>
    <cellStyle name="CALC Currency Total 36 9 2" xfId="30419"/>
    <cellStyle name="CALC Currency Total 36 9 2 2" xfId="45318"/>
    <cellStyle name="CALC Currency Total 36 9 3" xfId="37451"/>
    <cellStyle name="CALC Currency Total 36 9 4" xfId="45319"/>
    <cellStyle name="CALC Currency Total 37" xfId="14804"/>
    <cellStyle name="CALC Currency Total 37 10" xfId="23168"/>
    <cellStyle name="CALC Currency Total 37 10 2" xfId="45320"/>
    <cellStyle name="CALC Currency Total 37 11" xfId="45321"/>
    <cellStyle name="CALC Currency Total 37 12" xfId="45322"/>
    <cellStyle name="CALC Currency Total 37 2" xfId="15885"/>
    <cellStyle name="CALC Currency Total 37 2 2" xfId="24203"/>
    <cellStyle name="CALC Currency Total 37 2 2 2" xfId="45323"/>
    <cellStyle name="CALC Currency Total 37 2 3" xfId="31489"/>
    <cellStyle name="CALC Currency Total 37 2 4" xfId="45324"/>
    <cellStyle name="CALC Currency Total 37 3" xfId="16851"/>
    <cellStyle name="CALC Currency Total 37 3 2" xfId="25175"/>
    <cellStyle name="CALC Currency Total 37 3 2 2" xfId="45325"/>
    <cellStyle name="CALC Currency Total 37 3 3" xfId="32422"/>
    <cellStyle name="CALC Currency Total 37 3 4" xfId="45326"/>
    <cellStyle name="CALC Currency Total 37 4" xfId="17878"/>
    <cellStyle name="CALC Currency Total 37 4 2" xfId="26201"/>
    <cellStyle name="CALC Currency Total 37 4 2 2" xfId="45327"/>
    <cellStyle name="CALC Currency Total 37 4 3" xfId="33399"/>
    <cellStyle name="CALC Currency Total 37 4 4" xfId="45328"/>
    <cellStyle name="CALC Currency Total 37 5" xfId="18862"/>
    <cellStyle name="CALC Currency Total 37 5 2" xfId="27182"/>
    <cellStyle name="CALC Currency Total 37 5 2 2" xfId="45329"/>
    <cellStyle name="CALC Currency Total 37 5 3" xfId="34339"/>
    <cellStyle name="CALC Currency Total 37 5 4" xfId="45330"/>
    <cellStyle name="CALC Currency Total 37 6" xfId="19830"/>
    <cellStyle name="CALC Currency Total 37 6 2" xfId="28152"/>
    <cellStyle name="CALC Currency Total 37 6 2 2" xfId="45331"/>
    <cellStyle name="CALC Currency Total 37 6 3" xfId="35286"/>
    <cellStyle name="CALC Currency Total 37 6 4" xfId="45332"/>
    <cellStyle name="CALC Currency Total 37 7" xfId="20788"/>
    <cellStyle name="CALC Currency Total 37 7 2" xfId="29108"/>
    <cellStyle name="CALC Currency Total 37 7 2 2" xfId="45333"/>
    <cellStyle name="CALC Currency Total 37 7 3" xfId="36197"/>
    <cellStyle name="CALC Currency Total 37 7 4" xfId="45334"/>
    <cellStyle name="CALC Currency Total 37 8" xfId="21360"/>
    <cellStyle name="CALC Currency Total 37 8 2" xfId="29663"/>
    <cellStyle name="CALC Currency Total 37 8 2 2" xfId="45335"/>
    <cellStyle name="CALC Currency Total 37 8 3" xfId="36728"/>
    <cellStyle name="CALC Currency Total 37 8 4" xfId="45336"/>
    <cellStyle name="CALC Currency Total 37 9" xfId="22223"/>
    <cellStyle name="CALC Currency Total 37 9 2" xfId="30522"/>
    <cellStyle name="CALC Currency Total 37 9 2 2" xfId="45337"/>
    <cellStyle name="CALC Currency Total 37 9 3" xfId="37550"/>
    <cellStyle name="CALC Currency Total 37 9 4" xfId="45338"/>
    <cellStyle name="CALC Currency Total 38" xfId="14702"/>
    <cellStyle name="CALC Currency Total 38 10" xfId="23064"/>
    <cellStyle name="CALC Currency Total 38 10 2" xfId="45339"/>
    <cellStyle name="CALC Currency Total 38 11" xfId="45340"/>
    <cellStyle name="CALC Currency Total 38 12" xfId="45341"/>
    <cellStyle name="CALC Currency Total 38 2" xfId="15783"/>
    <cellStyle name="CALC Currency Total 38 2 2" xfId="24099"/>
    <cellStyle name="CALC Currency Total 38 2 2 2" xfId="45342"/>
    <cellStyle name="CALC Currency Total 38 2 3" xfId="31388"/>
    <cellStyle name="CALC Currency Total 38 2 4" xfId="45343"/>
    <cellStyle name="CALC Currency Total 38 3" xfId="16749"/>
    <cellStyle name="CALC Currency Total 38 3 2" xfId="25071"/>
    <cellStyle name="CALC Currency Total 38 3 2 2" xfId="45344"/>
    <cellStyle name="CALC Currency Total 38 3 3" xfId="32321"/>
    <cellStyle name="CALC Currency Total 38 3 4" xfId="45345"/>
    <cellStyle name="CALC Currency Total 38 4" xfId="17773"/>
    <cellStyle name="CALC Currency Total 38 4 2" xfId="26097"/>
    <cellStyle name="CALC Currency Total 38 4 2 2" xfId="45346"/>
    <cellStyle name="CALC Currency Total 38 4 3" xfId="33298"/>
    <cellStyle name="CALC Currency Total 38 4 4" xfId="45347"/>
    <cellStyle name="CALC Currency Total 38 5" xfId="18757"/>
    <cellStyle name="CALC Currency Total 38 5 2" xfId="27078"/>
    <cellStyle name="CALC Currency Total 38 5 2 2" xfId="45348"/>
    <cellStyle name="CALC Currency Total 38 5 3" xfId="34238"/>
    <cellStyle name="CALC Currency Total 38 5 4" xfId="45349"/>
    <cellStyle name="CALC Currency Total 38 6" xfId="19726"/>
    <cellStyle name="CALC Currency Total 38 6 2" xfId="28047"/>
    <cellStyle name="CALC Currency Total 38 6 2 2" xfId="45350"/>
    <cellStyle name="CALC Currency Total 38 6 3" xfId="35184"/>
    <cellStyle name="CALC Currency Total 38 6 4" xfId="45351"/>
    <cellStyle name="CALC Currency Total 38 7" xfId="20683"/>
    <cellStyle name="CALC Currency Total 38 7 2" xfId="29004"/>
    <cellStyle name="CALC Currency Total 38 7 2 2" xfId="45352"/>
    <cellStyle name="CALC Currency Total 38 7 3" xfId="36098"/>
    <cellStyle name="CALC Currency Total 38 7 4" xfId="45353"/>
    <cellStyle name="CALC Currency Total 38 8" xfId="21143"/>
    <cellStyle name="CALC Currency Total 38 8 2" xfId="29455"/>
    <cellStyle name="CALC Currency Total 38 8 2 2" xfId="45354"/>
    <cellStyle name="CALC Currency Total 38 8 3" xfId="36527"/>
    <cellStyle name="CALC Currency Total 38 8 4" xfId="45355"/>
    <cellStyle name="CALC Currency Total 38 9" xfId="22119"/>
    <cellStyle name="CALC Currency Total 38 9 2" xfId="30417"/>
    <cellStyle name="CALC Currency Total 38 9 2 2" xfId="45356"/>
    <cellStyle name="CALC Currency Total 38 9 3" xfId="37449"/>
    <cellStyle name="CALC Currency Total 38 9 4" xfId="45357"/>
    <cellStyle name="CALC Currency Total 39" xfId="14912"/>
    <cellStyle name="CALC Currency Total 39 10" xfId="23275"/>
    <cellStyle name="CALC Currency Total 39 10 2" xfId="45358"/>
    <cellStyle name="CALC Currency Total 39 11" xfId="45359"/>
    <cellStyle name="CALC Currency Total 39 12" xfId="45360"/>
    <cellStyle name="CALC Currency Total 39 2" xfId="15993"/>
    <cellStyle name="CALC Currency Total 39 2 2" xfId="24310"/>
    <cellStyle name="CALC Currency Total 39 2 2 2" xfId="45361"/>
    <cellStyle name="CALC Currency Total 39 2 3" xfId="31590"/>
    <cellStyle name="CALC Currency Total 39 2 4" xfId="45362"/>
    <cellStyle name="CALC Currency Total 39 3" xfId="16959"/>
    <cellStyle name="CALC Currency Total 39 3 2" xfId="25282"/>
    <cellStyle name="CALC Currency Total 39 3 2 2" xfId="45363"/>
    <cellStyle name="CALC Currency Total 39 3 3" xfId="32523"/>
    <cellStyle name="CALC Currency Total 39 3 4" xfId="45364"/>
    <cellStyle name="CALC Currency Total 39 4" xfId="17986"/>
    <cellStyle name="CALC Currency Total 39 4 2" xfId="26308"/>
    <cellStyle name="CALC Currency Total 39 4 2 2" xfId="45365"/>
    <cellStyle name="CALC Currency Total 39 4 3" xfId="33500"/>
    <cellStyle name="CALC Currency Total 39 4 4" xfId="45366"/>
    <cellStyle name="CALC Currency Total 39 5" xfId="18970"/>
    <cellStyle name="CALC Currency Total 39 5 2" xfId="27290"/>
    <cellStyle name="CALC Currency Total 39 5 2 2" xfId="45367"/>
    <cellStyle name="CALC Currency Total 39 5 3" xfId="34441"/>
    <cellStyle name="CALC Currency Total 39 5 4" xfId="45368"/>
    <cellStyle name="CALC Currency Total 39 6" xfId="19938"/>
    <cellStyle name="CALC Currency Total 39 6 2" xfId="28260"/>
    <cellStyle name="CALC Currency Total 39 6 2 2" xfId="45369"/>
    <cellStyle name="CALC Currency Total 39 6 3" xfId="35388"/>
    <cellStyle name="CALC Currency Total 39 6 4" xfId="45370"/>
    <cellStyle name="CALC Currency Total 39 7" xfId="20896"/>
    <cellStyle name="CALC Currency Total 39 7 2" xfId="29215"/>
    <cellStyle name="CALC Currency Total 39 7 2 2" xfId="45371"/>
    <cellStyle name="CALC Currency Total 39 7 3" xfId="36298"/>
    <cellStyle name="CALC Currency Total 39 7 4" xfId="45372"/>
    <cellStyle name="CALC Currency Total 39 8" xfId="21403"/>
    <cellStyle name="CALC Currency Total 39 8 2" xfId="29706"/>
    <cellStyle name="CALC Currency Total 39 8 2 2" xfId="45373"/>
    <cellStyle name="CALC Currency Total 39 8 3" xfId="36768"/>
    <cellStyle name="CALC Currency Total 39 8 4" xfId="45374"/>
    <cellStyle name="CALC Currency Total 39 9" xfId="22331"/>
    <cellStyle name="CALC Currency Total 39 9 2" xfId="30629"/>
    <cellStyle name="CALC Currency Total 39 9 2 2" xfId="45375"/>
    <cellStyle name="CALC Currency Total 39 9 3" xfId="37651"/>
    <cellStyle name="CALC Currency Total 39 9 4" xfId="45376"/>
    <cellStyle name="CALC Currency Total 4" xfId="14580"/>
    <cellStyle name="CALC Currency Total 4 10" xfId="22939"/>
    <cellStyle name="CALC Currency Total 4 10 2" xfId="45377"/>
    <cellStyle name="CALC Currency Total 4 11" xfId="45378"/>
    <cellStyle name="CALC Currency Total 4 2" xfId="15660"/>
    <cellStyle name="CALC Currency Total 4 2 2" xfId="23975"/>
    <cellStyle name="CALC Currency Total 4 2 2 2" xfId="45379"/>
    <cellStyle name="CALC Currency Total 4 2 3" xfId="31272"/>
    <cellStyle name="CALC Currency Total 4 2 4" xfId="45380"/>
    <cellStyle name="CALC Currency Total 4 3" xfId="16627"/>
    <cellStyle name="CALC Currency Total 4 3 2" xfId="24946"/>
    <cellStyle name="CALC Currency Total 4 3 2 2" xfId="45381"/>
    <cellStyle name="CALC Currency Total 4 3 3" xfId="32205"/>
    <cellStyle name="CALC Currency Total 4 3 4" xfId="45382"/>
    <cellStyle name="CALC Currency Total 4 4" xfId="17648"/>
    <cellStyle name="CALC Currency Total 4 4 2" xfId="25972"/>
    <cellStyle name="CALC Currency Total 4 4 2 2" xfId="45383"/>
    <cellStyle name="CALC Currency Total 4 4 3" xfId="33182"/>
    <cellStyle name="CALC Currency Total 4 4 4" xfId="45384"/>
    <cellStyle name="CALC Currency Total 4 5" xfId="18631"/>
    <cellStyle name="CALC Currency Total 4 5 2" xfId="26951"/>
    <cellStyle name="CALC Currency Total 4 5 2 2" xfId="45385"/>
    <cellStyle name="CALC Currency Total 4 5 3" xfId="34119"/>
    <cellStyle name="CALC Currency Total 4 5 4" xfId="45386"/>
    <cellStyle name="CALC Currency Total 4 6" xfId="19600"/>
    <cellStyle name="CALC Currency Total 4 6 2" xfId="27920"/>
    <cellStyle name="CALC Currency Total 4 6 2 2" xfId="45387"/>
    <cellStyle name="CALC Currency Total 4 6 3" xfId="35065"/>
    <cellStyle name="CALC Currency Total 4 6 4" xfId="45388"/>
    <cellStyle name="CALC Currency Total 4 7" xfId="20557"/>
    <cellStyle name="CALC Currency Total 4 7 2" xfId="28879"/>
    <cellStyle name="CALC Currency Total 4 7 2 2" xfId="45389"/>
    <cellStyle name="CALC Currency Total 4 7 3" xfId="35982"/>
    <cellStyle name="CALC Currency Total 4 7 4" xfId="45390"/>
    <cellStyle name="CALC Currency Total 4 8" xfId="21212"/>
    <cellStyle name="CALC Currency Total 4 8 2" xfId="29523"/>
    <cellStyle name="CALC Currency Total 4 8 2 2" xfId="45391"/>
    <cellStyle name="CALC Currency Total 4 8 3" xfId="36592"/>
    <cellStyle name="CALC Currency Total 4 8 4" xfId="45392"/>
    <cellStyle name="CALC Currency Total 4 9" xfId="21993"/>
    <cellStyle name="CALC Currency Total 4 9 2" xfId="30293"/>
    <cellStyle name="CALC Currency Total 4 9 2 2" xfId="45393"/>
    <cellStyle name="CALC Currency Total 4 9 3" xfId="37333"/>
    <cellStyle name="CALC Currency Total 4 9 4" xfId="45394"/>
    <cellStyle name="CALC Currency Total 40" xfId="14940"/>
    <cellStyle name="CALC Currency Total 40 10" xfId="23303"/>
    <cellStyle name="CALC Currency Total 40 10 2" xfId="45395"/>
    <cellStyle name="CALC Currency Total 40 11" xfId="45396"/>
    <cellStyle name="CALC Currency Total 40 12" xfId="45397"/>
    <cellStyle name="CALC Currency Total 40 2" xfId="16021"/>
    <cellStyle name="CALC Currency Total 40 2 2" xfId="24338"/>
    <cellStyle name="CALC Currency Total 40 2 2 2" xfId="45398"/>
    <cellStyle name="CALC Currency Total 40 2 3" xfId="31618"/>
    <cellStyle name="CALC Currency Total 40 2 4" xfId="45399"/>
    <cellStyle name="CALC Currency Total 40 3" xfId="16987"/>
    <cellStyle name="CALC Currency Total 40 3 2" xfId="25310"/>
    <cellStyle name="CALC Currency Total 40 3 2 2" xfId="45400"/>
    <cellStyle name="CALC Currency Total 40 3 3" xfId="32551"/>
    <cellStyle name="CALC Currency Total 40 3 4" xfId="45401"/>
    <cellStyle name="CALC Currency Total 40 4" xfId="18014"/>
    <cellStyle name="CALC Currency Total 40 4 2" xfId="26336"/>
    <cellStyle name="CALC Currency Total 40 4 2 2" xfId="45402"/>
    <cellStyle name="CALC Currency Total 40 4 3" xfId="33528"/>
    <cellStyle name="CALC Currency Total 40 4 4" xfId="45403"/>
    <cellStyle name="CALC Currency Total 40 5" xfId="18998"/>
    <cellStyle name="CALC Currency Total 40 5 2" xfId="27318"/>
    <cellStyle name="CALC Currency Total 40 5 2 2" xfId="45404"/>
    <cellStyle name="CALC Currency Total 40 5 3" xfId="34469"/>
    <cellStyle name="CALC Currency Total 40 5 4" xfId="45405"/>
    <cellStyle name="CALC Currency Total 40 6" xfId="19966"/>
    <cellStyle name="CALC Currency Total 40 6 2" xfId="28288"/>
    <cellStyle name="CALC Currency Total 40 6 2 2" xfId="45406"/>
    <cellStyle name="CALC Currency Total 40 6 3" xfId="35416"/>
    <cellStyle name="CALC Currency Total 40 6 4" xfId="45407"/>
    <cellStyle name="CALC Currency Total 40 7" xfId="20924"/>
    <cellStyle name="CALC Currency Total 40 7 2" xfId="29243"/>
    <cellStyle name="CALC Currency Total 40 7 2 2" xfId="45408"/>
    <cellStyle name="CALC Currency Total 40 7 3" xfId="36326"/>
    <cellStyle name="CALC Currency Total 40 7 4" xfId="45409"/>
    <cellStyle name="CALC Currency Total 40 8" xfId="21431"/>
    <cellStyle name="CALC Currency Total 40 8 2" xfId="29734"/>
    <cellStyle name="CALC Currency Total 40 8 2 2" xfId="45410"/>
    <cellStyle name="CALC Currency Total 40 8 3" xfId="36796"/>
    <cellStyle name="CALC Currency Total 40 8 4" xfId="45411"/>
    <cellStyle name="CALC Currency Total 40 9" xfId="22359"/>
    <cellStyle name="CALC Currency Total 40 9 2" xfId="30657"/>
    <cellStyle name="CALC Currency Total 40 9 2 2" xfId="45412"/>
    <cellStyle name="CALC Currency Total 40 9 3" xfId="37679"/>
    <cellStyle name="CALC Currency Total 40 9 4" xfId="45413"/>
    <cellStyle name="CALC Currency Total 41" xfId="14913"/>
    <cellStyle name="CALC Currency Total 41 10" xfId="23276"/>
    <cellStyle name="CALC Currency Total 41 10 2" xfId="45414"/>
    <cellStyle name="CALC Currency Total 41 11" xfId="45415"/>
    <cellStyle name="CALC Currency Total 41 12" xfId="45416"/>
    <cellStyle name="CALC Currency Total 41 2" xfId="15994"/>
    <cellStyle name="CALC Currency Total 41 2 2" xfId="24311"/>
    <cellStyle name="CALC Currency Total 41 2 2 2" xfId="45417"/>
    <cellStyle name="CALC Currency Total 41 2 3" xfId="31591"/>
    <cellStyle name="CALC Currency Total 41 2 4" xfId="45418"/>
    <cellStyle name="CALC Currency Total 41 3" xfId="16960"/>
    <cellStyle name="CALC Currency Total 41 3 2" xfId="25283"/>
    <cellStyle name="CALC Currency Total 41 3 2 2" xfId="45419"/>
    <cellStyle name="CALC Currency Total 41 3 3" xfId="32524"/>
    <cellStyle name="CALC Currency Total 41 3 4" xfId="45420"/>
    <cellStyle name="CALC Currency Total 41 4" xfId="17987"/>
    <cellStyle name="CALC Currency Total 41 4 2" xfId="26309"/>
    <cellStyle name="CALC Currency Total 41 4 2 2" xfId="45421"/>
    <cellStyle name="CALC Currency Total 41 4 3" xfId="33501"/>
    <cellStyle name="CALC Currency Total 41 4 4" xfId="45422"/>
    <cellStyle name="CALC Currency Total 41 5" xfId="18971"/>
    <cellStyle name="CALC Currency Total 41 5 2" xfId="27291"/>
    <cellStyle name="CALC Currency Total 41 5 2 2" xfId="45423"/>
    <cellStyle name="CALC Currency Total 41 5 3" xfId="34442"/>
    <cellStyle name="CALC Currency Total 41 5 4" xfId="45424"/>
    <cellStyle name="CALC Currency Total 41 6" xfId="19939"/>
    <cellStyle name="CALC Currency Total 41 6 2" xfId="28261"/>
    <cellStyle name="CALC Currency Total 41 6 2 2" xfId="45425"/>
    <cellStyle name="CALC Currency Total 41 6 3" xfId="35389"/>
    <cellStyle name="CALC Currency Total 41 6 4" xfId="45426"/>
    <cellStyle name="CALC Currency Total 41 7" xfId="20897"/>
    <cellStyle name="CALC Currency Total 41 7 2" xfId="29216"/>
    <cellStyle name="CALC Currency Total 41 7 2 2" xfId="45427"/>
    <cellStyle name="CALC Currency Total 41 7 3" xfId="36299"/>
    <cellStyle name="CALC Currency Total 41 7 4" xfId="45428"/>
    <cellStyle name="CALC Currency Total 41 8" xfId="21404"/>
    <cellStyle name="CALC Currency Total 41 8 2" xfId="29707"/>
    <cellStyle name="CALC Currency Total 41 8 2 2" xfId="45429"/>
    <cellStyle name="CALC Currency Total 41 8 3" xfId="36769"/>
    <cellStyle name="CALC Currency Total 41 8 4" xfId="45430"/>
    <cellStyle name="CALC Currency Total 41 9" xfId="22332"/>
    <cellStyle name="CALC Currency Total 41 9 2" xfId="30630"/>
    <cellStyle name="CALC Currency Total 41 9 2 2" xfId="45431"/>
    <cellStyle name="CALC Currency Total 41 9 3" xfId="37652"/>
    <cellStyle name="CALC Currency Total 41 9 4" xfId="45432"/>
    <cellStyle name="CALC Currency Total 42" xfId="14846"/>
    <cellStyle name="CALC Currency Total 42 10" xfId="23209"/>
    <cellStyle name="CALC Currency Total 42 10 2" xfId="45433"/>
    <cellStyle name="CALC Currency Total 42 11" xfId="45434"/>
    <cellStyle name="CALC Currency Total 42 12" xfId="45435"/>
    <cellStyle name="CALC Currency Total 42 2" xfId="15927"/>
    <cellStyle name="CALC Currency Total 42 2 2" xfId="24244"/>
    <cellStyle name="CALC Currency Total 42 2 2 2" xfId="45436"/>
    <cellStyle name="CALC Currency Total 42 2 3" xfId="31528"/>
    <cellStyle name="CALC Currency Total 42 2 4" xfId="45437"/>
    <cellStyle name="CALC Currency Total 42 3" xfId="16893"/>
    <cellStyle name="CALC Currency Total 42 3 2" xfId="25216"/>
    <cellStyle name="CALC Currency Total 42 3 2 2" xfId="45438"/>
    <cellStyle name="CALC Currency Total 42 3 3" xfId="32461"/>
    <cellStyle name="CALC Currency Total 42 3 4" xfId="45439"/>
    <cellStyle name="CALC Currency Total 42 4" xfId="17920"/>
    <cellStyle name="CALC Currency Total 42 4 2" xfId="26242"/>
    <cellStyle name="CALC Currency Total 42 4 2 2" xfId="45440"/>
    <cellStyle name="CALC Currency Total 42 4 3" xfId="33438"/>
    <cellStyle name="CALC Currency Total 42 4 4" xfId="45441"/>
    <cellStyle name="CALC Currency Total 42 5" xfId="18904"/>
    <cellStyle name="CALC Currency Total 42 5 2" xfId="27224"/>
    <cellStyle name="CALC Currency Total 42 5 2 2" xfId="45442"/>
    <cellStyle name="CALC Currency Total 42 5 3" xfId="34379"/>
    <cellStyle name="CALC Currency Total 42 5 4" xfId="45443"/>
    <cellStyle name="CALC Currency Total 42 6" xfId="19872"/>
    <cellStyle name="CALC Currency Total 42 6 2" xfId="28194"/>
    <cellStyle name="CALC Currency Total 42 6 2 2" xfId="45444"/>
    <cellStyle name="CALC Currency Total 42 6 3" xfId="35326"/>
    <cellStyle name="CALC Currency Total 42 6 4" xfId="45445"/>
    <cellStyle name="CALC Currency Total 42 7" xfId="20830"/>
    <cellStyle name="CALC Currency Total 42 7 2" xfId="29149"/>
    <cellStyle name="CALC Currency Total 42 7 2 2" xfId="45446"/>
    <cellStyle name="CALC Currency Total 42 7 3" xfId="36236"/>
    <cellStyle name="CALC Currency Total 42 7 4" xfId="45447"/>
    <cellStyle name="CALC Currency Total 42 8" xfId="21123"/>
    <cellStyle name="CALC Currency Total 42 8 2" xfId="29437"/>
    <cellStyle name="CALC Currency Total 42 8 2 2" xfId="45448"/>
    <cellStyle name="CALC Currency Total 42 8 3" xfId="36510"/>
    <cellStyle name="CALC Currency Total 42 8 4" xfId="45449"/>
    <cellStyle name="CALC Currency Total 42 9" xfId="22265"/>
    <cellStyle name="CALC Currency Total 42 9 2" xfId="30563"/>
    <cellStyle name="CALC Currency Total 42 9 2 2" xfId="45450"/>
    <cellStyle name="CALC Currency Total 42 9 3" xfId="37589"/>
    <cellStyle name="CALC Currency Total 42 9 4" xfId="45451"/>
    <cellStyle name="CALC Currency Total 43" xfId="14941"/>
    <cellStyle name="CALC Currency Total 43 10" xfId="23304"/>
    <cellStyle name="CALC Currency Total 43 10 2" xfId="45452"/>
    <cellStyle name="CALC Currency Total 43 11" xfId="45453"/>
    <cellStyle name="CALC Currency Total 43 12" xfId="45454"/>
    <cellStyle name="CALC Currency Total 43 2" xfId="16022"/>
    <cellStyle name="CALC Currency Total 43 2 2" xfId="24339"/>
    <cellStyle name="CALC Currency Total 43 2 2 2" xfId="45455"/>
    <cellStyle name="CALC Currency Total 43 2 3" xfId="31619"/>
    <cellStyle name="CALC Currency Total 43 2 4" xfId="45456"/>
    <cellStyle name="CALC Currency Total 43 3" xfId="16988"/>
    <cellStyle name="CALC Currency Total 43 3 2" xfId="25311"/>
    <cellStyle name="CALC Currency Total 43 3 2 2" xfId="45457"/>
    <cellStyle name="CALC Currency Total 43 3 3" xfId="32552"/>
    <cellStyle name="CALC Currency Total 43 3 4" xfId="45458"/>
    <cellStyle name="CALC Currency Total 43 4" xfId="18015"/>
    <cellStyle name="CALC Currency Total 43 4 2" xfId="26337"/>
    <cellStyle name="CALC Currency Total 43 4 2 2" xfId="45459"/>
    <cellStyle name="CALC Currency Total 43 4 3" xfId="33529"/>
    <cellStyle name="CALC Currency Total 43 4 4" xfId="45460"/>
    <cellStyle name="CALC Currency Total 43 5" xfId="18999"/>
    <cellStyle name="CALC Currency Total 43 5 2" xfId="27319"/>
    <cellStyle name="CALC Currency Total 43 5 2 2" xfId="45461"/>
    <cellStyle name="CALC Currency Total 43 5 3" xfId="34470"/>
    <cellStyle name="CALC Currency Total 43 5 4" xfId="45462"/>
    <cellStyle name="CALC Currency Total 43 6" xfId="19967"/>
    <cellStyle name="CALC Currency Total 43 6 2" xfId="28289"/>
    <cellStyle name="CALC Currency Total 43 6 2 2" xfId="45463"/>
    <cellStyle name="CALC Currency Total 43 6 3" xfId="35417"/>
    <cellStyle name="CALC Currency Total 43 6 4" xfId="45464"/>
    <cellStyle name="CALC Currency Total 43 7" xfId="20925"/>
    <cellStyle name="CALC Currency Total 43 7 2" xfId="29244"/>
    <cellStyle name="CALC Currency Total 43 7 2 2" xfId="45465"/>
    <cellStyle name="CALC Currency Total 43 7 3" xfId="36327"/>
    <cellStyle name="CALC Currency Total 43 7 4" xfId="45466"/>
    <cellStyle name="CALC Currency Total 43 8" xfId="21432"/>
    <cellStyle name="CALC Currency Total 43 8 2" xfId="29735"/>
    <cellStyle name="CALC Currency Total 43 8 2 2" xfId="45467"/>
    <cellStyle name="CALC Currency Total 43 8 3" xfId="36797"/>
    <cellStyle name="CALC Currency Total 43 8 4" xfId="45468"/>
    <cellStyle name="CALC Currency Total 43 9" xfId="22360"/>
    <cellStyle name="CALC Currency Total 43 9 2" xfId="30658"/>
    <cellStyle name="CALC Currency Total 43 9 2 2" xfId="45469"/>
    <cellStyle name="CALC Currency Total 43 9 3" xfId="37680"/>
    <cellStyle name="CALC Currency Total 43 9 4" xfId="45470"/>
    <cellStyle name="CALC Currency Total 44" xfId="14947"/>
    <cellStyle name="CALC Currency Total 44 10" xfId="23310"/>
    <cellStyle name="CALC Currency Total 44 10 2" xfId="45471"/>
    <cellStyle name="CALC Currency Total 44 11" xfId="45472"/>
    <cellStyle name="CALC Currency Total 44 12" xfId="45473"/>
    <cellStyle name="CALC Currency Total 44 2" xfId="16028"/>
    <cellStyle name="CALC Currency Total 44 2 2" xfId="24345"/>
    <cellStyle name="CALC Currency Total 44 2 2 2" xfId="45474"/>
    <cellStyle name="CALC Currency Total 44 2 3" xfId="31625"/>
    <cellStyle name="CALC Currency Total 44 2 4" xfId="45475"/>
    <cellStyle name="CALC Currency Total 44 3" xfId="16994"/>
    <cellStyle name="CALC Currency Total 44 3 2" xfId="25317"/>
    <cellStyle name="CALC Currency Total 44 3 2 2" xfId="45476"/>
    <cellStyle name="CALC Currency Total 44 3 3" xfId="32558"/>
    <cellStyle name="CALC Currency Total 44 3 4" xfId="45477"/>
    <cellStyle name="CALC Currency Total 44 4" xfId="18021"/>
    <cellStyle name="CALC Currency Total 44 4 2" xfId="26343"/>
    <cellStyle name="CALC Currency Total 44 4 2 2" xfId="45478"/>
    <cellStyle name="CALC Currency Total 44 4 3" xfId="33535"/>
    <cellStyle name="CALC Currency Total 44 4 4" xfId="45479"/>
    <cellStyle name="CALC Currency Total 44 5" xfId="19005"/>
    <cellStyle name="CALC Currency Total 44 5 2" xfId="27325"/>
    <cellStyle name="CALC Currency Total 44 5 2 2" xfId="45480"/>
    <cellStyle name="CALC Currency Total 44 5 3" xfId="34476"/>
    <cellStyle name="CALC Currency Total 44 5 4" xfId="45481"/>
    <cellStyle name="CALC Currency Total 44 6" xfId="19973"/>
    <cellStyle name="CALC Currency Total 44 6 2" xfId="28295"/>
    <cellStyle name="CALC Currency Total 44 6 2 2" xfId="45482"/>
    <cellStyle name="CALC Currency Total 44 6 3" xfId="35423"/>
    <cellStyle name="CALC Currency Total 44 6 4" xfId="45483"/>
    <cellStyle name="CALC Currency Total 44 7" xfId="20931"/>
    <cellStyle name="CALC Currency Total 44 7 2" xfId="29250"/>
    <cellStyle name="CALC Currency Total 44 7 2 2" xfId="45484"/>
    <cellStyle name="CALC Currency Total 44 7 3" xfId="36333"/>
    <cellStyle name="CALC Currency Total 44 7 4" xfId="45485"/>
    <cellStyle name="CALC Currency Total 44 8" xfId="21438"/>
    <cellStyle name="CALC Currency Total 44 8 2" xfId="29741"/>
    <cellStyle name="CALC Currency Total 44 8 2 2" xfId="45486"/>
    <cellStyle name="CALC Currency Total 44 8 3" xfId="36803"/>
    <cellStyle name="CALC Currency Total 44 8 4" xfId="45487"/>
    <cellStyle name="CALC Currency Total 44 9" xfId="22366"/>
    <cellStyle name="CALC Currency Total 44 9 2" xfId="30664"/>
    <cellStyle name="CALC Currency Total 44 9 2 2" xfId="45488"/>
    <cellStyle name="CALC Currency Total 44 9 3" xfId="37686"/>
    <cellStyle name="CALC Currency Total 44 9 4" xfId="45489"/>
    <cellStyle name="CALC Currency Total 45" xfId="14950"/>
    <cellStyle name="CALC Currency Total 45 10" xfId="23313"/>
    <cellStyle name="CALC Currency Total 45 10 2" xfId="45490"/>
    <cellStyle name="CALC Currency Total 45 11" xfId="45491"/>
    <cellStyle name="CALC Currency Total 45 12" xfId="45492"/>
    <cellStyle name="CALC Currency Total 45 2" xfId="16031"/>
    <cellStyle name="CALC Currency Total 45 2 2" xfId="24348"/>
    <cellStyle name="CALC Currency Total 45 2 2 2" xfId="45493"/>
    <cellStyle name="CALC Currency Total 45 2 3" xfId="31628"/>
    <cellStyle name="CALC Currency Total 45 2 4" xfId="45494"/>
    <cellStyle name="CALC Currency Total 45 3" xfId="16997"/>
    <cellStyle name="CALC Currency Total 45 3 2" xfId="25320"/>
    <cellStyle name="CALC Currency Total 45 3 2 2" xfId="45495"/>
    <cellStyle name="CALC Currency Total 45 3 3" xfId="32561"/>
    <cellStyle name="CALC Currency Total 45 3 4" xfId="45496"/>
    <cellStyle name="CALC Currency Total 45 4" xfId="18024"/>
    <cellStyle name="CALC Currency Total 45 4 2" xfId="26346"/>
    <cellStyle name="CALC Currency Total 45 4 2 2" xfId="45497"/>
    <cellStyle name="CALC Currency Total 45 4 3" xfId="33538"/>
    <cellStyle name="CALC Currency Total 45 4 4" xfId="45498"/>
    <cellStyle name="CALC Currency Total 45 5" xfId="19008"/>
    <cellStyle name="CALC Currency Total 45 5 2" xfId="27328"/>
    <cellStyle name="CALC Currency Total 45 5 2 2" xfId="45499"/>
    <cellStyle name="CALC Currency Total 45 5 3" xfId="34479"/>
    <cellStyle name="CALC Currency Total 45 5 4" xfId="45500"/>
    <cellStyle name="CALC Currency Total 45 6" xfId="19976"/>
    <cellStyle name="CALC Currency Total 45 6 2" xfId="28298"/>
    <cellStyle name="CALC Currency Total 45 6 2 2" xfId="45501"/>
    <cellStyle name="CALC Currency Total 45 6 3" xfId="35426"/>
    <cellStyle name="CALC Currency Total 45 6 4" xfId="45502"/>
    <cellStyle name="CALC Currency Total 45 7" xfId="20934"/>
    <cellStyle name="CALC Currency Total 45 7 2" xfId="29253"/>
    <cellStyle name="CALC Currency Total 45 7 2 2" xfId="45503"/>
    <cellStyle name="CALC Currency Total 45 7 3" xfId="36336"/>
    <cellStyle name="CALC Currency Total 45 7 4" xfId="45504"/>
    <cellStyle name="CALC Currency Total 45 8" xfId="21441"/>
    <cellStyle name="CALC Currency Total 45 8 2" xfId="29744"/>
    <cellStyle name="CALC Currency Total 45 8 2 2" xfId="45505"/>
    <cellStyle name="CALC Currency Total 45 8 3" xfId="36806"/>
    <cellStyle name="CALC Currency Total 45 8 4" xfId="45506"/>
    <cellStyle name="CALC Currency Total 45 9" xfId="22369"/>
    <cellStyle name="CALC Currency Total 45 9 2" xfId="30667"/>
    <cellStyle name="CALC Currency Total 45 9 2 2" xfId="45507"/>
    <cellStyle name="CALC Currency Total 45 9 3" xfId="37689"/>
    <cellStyle name="CALC Currency Total 45 9 4" xfId="45508"/>
    <cellStyle name="CALC Currency Total 46" xfId="14952"/>
    <cellStyle name="CALC Currency Total 46 10" xfId="23315"/>
    <cellStyle name="CALC Currency Total 46 10 2" xfId="45509"/>
    <cellStyle name="CALC Currency Total 46 11" xfId="45510"/>
    <cellStyle name="CALC Currency Total 46 12" xfId="45511"/>
    <cellStyle name="CALC Currency Total 46 2" xfId="16033"/>
    <cellStyle name="CALC Currency Total 46 2 2" xfId="24350"/>
    <cellStyle name="CALC Currency Total 46 2 2 2" xfId="45512"/>
    <cellStyle name="CALC Currency Total 46 2 3" xfId="31630"/>
    <cellStyle name="CALC Currency Total 46 2 4" xfId="45513"/>
    <cellStyle name="CALC Currency Total 46 3" xfId="16999"/>
    <cellStyle name="CALC Currency Total 46 3 2" xfId="25322"/>
    <cellStyle name="CALC Currency Total 46 3 2 2" xfId="45514"/>
    <cellStyle name="CALC Currency Total 46 3 3" xfId="32563"/>
    <cellStyle name="CALC Currency Total 46 3 4" xfId="45515"/>
    <cellStyle name="CALC Currency Total 46 4" xfId="18026"/>
    <cellStyle name="CALC Currency Total 46 4 2" xfId="26348"/>
    <cellStyle name="CALC Currency Total 46 4 2 2" xfId="45516"/>
    <cellStyle name="CALC Currency Total 46 4 3" xfId="33540"/>
    <cellStyle name="CALC Currency Total 46 4 4" xfId="45517"/>
    <cellStyle name="CALC Currency Total 46 5" xfId="19010"/>
    <cellStyle name="CALC Currency Total 46 5 2" xfId="27330"/>
    <cellStyle name="CALC Currency Total 46 5 2 2" xfId="45518"/>
    <cellStyle name="CALC Currency Total 46 5 3" xfId="34481"/>
    <cellStyle name="CALC Currency Total 46 5 4" xfId="45519"/>
    <cellStyle name="CALC Currency Total 46 6" xfId="19978"/>
    <cellStyle name="CALC Currency Total 46 6 2" xfId="28300"/>
    <cellStyle name="CALC Currency Total 46 6 2 2" xfId="45520"/>
    <cellStyle name="CALC Currency Total 46 6 3" xfId="35428"/>
    <cellStyle name="CALC Currency Total 46 6 4" xfId="45521"/>
    <cellStyle name="CALC Currency Total 46 7" xfId="20936"/>
    <cellStyle name="CALC Currency Total 46 7 2" xfId="29255"/>
    <cellStyle name="CALC Currency Total 46 7 2 2" xfId="45522"/>
    <cellStyle name="CALC Currency Total 46 7 3" xfId="36338"/>
    <cellStyle name="CALC Currency Total 46 7 4" xfId="45523"/>
    <cellStyle name="CALC Currency Total 46 8" xfId="21443"/>
    <cellStyle name="CALC Currency Total 46 8 2" xfId="29746"/>
    <cellStyle name="CALC Currency Total 46 8 2 2" xfId="45524"/>
    <cellStyle name="CALC Currency Total 46 8 3" xfId="36808"/>
    <cellStyle name="CALC Currency Total 46 8 4" xfId="45525"/>
    <cellStyle name="CALC Currency Total 46 9" xfId="22371"/>
    <cellStyle name="CALC Currency Total 46 9 2" xfId="30669"/>
    <cellStyle name="CALC Currency Total 46 9 2 2" xfId="45526"/>
    <cellStyle name="CALC Currency Total 46 9 3" xfId="37691"/>
    <cellStyle name="CALC Currency Total 46 9 4" xfId="45527"/>
    <cellStyle name="CALC Currency Total 47" xfId="14852"/>
    <cellStyle name="CALC Currency Total 47 10" xfId="23215"/>
    <cellStyle name="CALC Currency Total 47 10 2" xfId="45528"/>
    <cellStyle name="CALC Currency Total 47 11" xfId="45529"/>
    <cellStyle name="CALC Currency Total 47 12" xfId="45530"/>
    <cellStyle name="CALC Currency Total 47 2" xfId="15933"/>
    <cellStyle name="CALC Currency Total 47 2 2" xfId="24250"/>
    <cellStyle name="CALC Currency Total 47 2 2 2" xfId="45531"/>
    <cellStyle name="CALC Currency Total 47 2 3" xfId="31534"/>
    <cellStyle name="CALC Currency Total 47 2 4" xfId="45532"/>
    <cellStyle name="CALC Currency Total 47 3" xfId="16899"/>
    <cellStyle name="CALC Currency Total 47 3 2" xfId="25222"/>
    <cellStyle name="CALC Currency Total 47 3 2 2" xfId="45533"/>
    <cellStyle name="CALC Currency Total 47 3 3" xfId="32467"/>
    <cellStyle name="CALC Currency Total 47 3 4" xfId="45534"/>
    <cellStyle name="CALC Currency Total 47 4" xfId="17926"/>
    <cellStyle name="CALC Currency Total 47 4 2" xfId="26248"/>
    <cellStyle name="CALC Currency Total 47 4 2 2" xfId="45535"/>
    <cellStyle name="CALC Currency Total 47 4 3" xfId="33444"/>
    <cellStyle name="CALC Currency Total 47 4 4" xfId="45536"/>
    <cellStyle name="CALC Currency Total 47 5" xfId="18910"/>
    <cellStyle name="CALC Currency Total 47 5 2" xfId="27230"/>
    <cellStyle name="CALC Currency Total 47 5 2 2" xfId="45537"/>
    <cellStyle name="CALC Currency Total 47 5 3" xfId="34385"/>
    <cellStyle name="CALC Currency Total 47 5 4" xfId="45538"/>
    <cellStyle name="CALC Currency Total 47 6" xfId="19878"/>
    <cellStyle name="CALC Currency Total 47 6 2" xfId="28200"/>
    <cellStyle name="CALC Currency Total 47 6 2 2" xfId="45539"/>
    <cellStyle name="CALC Currency Total 47 6 3" xfId="35332"/>
    <cellStyle name="CALC Currency Total 47 6 4" xfId="45540"/>
    <cellStyle name="CALC Currency Total 47 7" xfId="20836"/>
    <cellStyle name="CALC Currency Total 47 7 2" xfId="29155"/>
    <cellStyle name="CALC Currency Total 47 7 2 2" xfId="45541"/>
    <cellStyle name="CALC Currency Total 47 7 3" xfId="36242"/>
    <cellStyle name="CALC Currency Total 47 7 4" xfId="45542"/>
    <cellStyle name="CALC Currency Total 47 8" xfId="21110"/>
    <cellStyle name="CALC Currency Total 47 8 2" xfId="29424"/>
    <cellStyle name="CALC Currency Total 47 8 2 2" xfId="45543"/>
    <cellStyle name="CALC Currency Total 47 8 3" xfId="36497"/>
    <cellStyle name="CALC Currency Total 47 8 4" xfId="45544"/>
    <cellStyle name="CALC Currency Total 47 9" xfId="22271"/>
    <cellStyle name="CALC Currency Total 47 9 2" xfId="30569"/>
    <cellStyle name="CALC Currency Total 47 9 2 2" xfId="45545"/>
    <cellStyle name="CALC Currency Total 47 9 3" xfId="37595"/>
    <cellStyle name="CALC Currency Total 47 9 4" xfId="45546"/>
    <cellStyle name="CALC Currency Total 48" xfId="14967"/>
    <cellStyle name="CALC Currency Total 48 10" xfId="23328"/>
    <cellStyle name="CALC Currency Total 48 10 2" xfId="45547"/>
    <cellStyle name="CALC Currency Total 48 11" xfId="45548"/>
    <cellStyle name="CALC Currency Total 48 12" xfId="45549"/>
    <cellStyle name="CALC Currency Total 48 2" xfId="16048"/>
    <cellStyle name="CALC Currency Total 48 2 2" xfId="24363"/>
    <cellStyle name="CALC Currency Total 48 2 2 2" xfId="45550"/>
    <cellStyle name="CALC Currency Total 48 2 3" xfId="31642"/>
    <cellStyle name="CALC Currency Total 48 2 4" xfId="45551"/>
    <cellStyle name="CALC Currency Total 48 3" xfId="17014"/>
    <cellStyle name="CALC Currency Total 48 3 2" xfId="25335"/>
    <cellStyle name="CALC Currency Total 48 3 2 2" xfId="45552"/>
    <cellStyle name="CALC Currency Total 48 3 3" xfId="32575"/>
    <cellStyle name="CALC Currency Total 48 3 4" xfId="45553"/>
    <cellStyle name="CALC Currency Total 48 4" xfId="18041"/>
    <cellStyle name="CALC Currency Total 48 4 2" xfId="26361"/>
    <cellStyle name="CALC Currency Total 48 4 2 2" xfId="45554"/>
    <cellStyle name="CALC Currency Total 48 4 3" xfId="33552"/>
    <cellStyle name="CALC Currency Total 48 4 4" xfId="45555"/>
    <cellStyle name="CALC Currency Total 48 5" xfId="19025"/>
    <cellStyle name="CALC Currency Total 48 5 2" xfId="27345"/>
    <cellStyle name="CALC Currency Total 48 5 2 2" xfId="45556"/>
    <cellStyle name="CALC Currency Total 48 5 3" xfId="34495"/>
    <cellStyle name="CALC Currency Total 48 5 4" xfId="45557"/>
    <cellStyle name="CALC Currency Total 48 6" xfId="19993"/>
    <cellStyle name="CALC Currency Total 48 6 2" xfId="28315"/>
    <cellStyle name="CALC Currency Total 48 6 2 2" xfId="45558"/>
    <cellStyle name="CALC Currency Total 48 6 3" xfId="35442"/>
    <cellStyle name="CALC Currency Total 48 6 4" xfId="45559"/>
    <cellStyle name="CALC Currency Total 48 7" xfId="20951"/>
    <cellStyle name="CALC Currency Total 48 7 2" xfId="29268"/>
    <cellStyle name="CALC Currency Total 48 7 2 2" xfId="45560"/>
    <cellStyle name="CALC Currency Total 48 7 3" xfId="36350"/>
    <cellStyle name="CALC Currency Total 48 7 4" xfId="45561"/>
    <cellStyle name="CALC Currency Total 48 8" xfId="21458"/>
    <cellStyle name="CALC Currency Total 48 8 2" xfId="29759"/>
    <cellStyle name="CALC Currency Total 48 8 2 2" xfId="45562"/>
    <cellStyle name="CALC Currency Total 48 8 3" xfId="36820"/>
    <cellStyle name="CALC Currency Total 48 8 4" xfId="45563"/>
    <cellStyle name="CALC Currency Total 48 9" xfId="22386"/>
    <cellStyle name="CALC Currency Total 48 9 2" xfId="30682"/>
    <cellStyle name="CALC Currency Total 48 9 2 2" xfId="45564"/>
    <cellStyle name="CALC Currency Total 48 9 3" xfId="37703"/>
    <cellStyle name="CALC Currency Total 48 9 4" xfId="45565"/>
    <cellStyle name="CALC Currency Total 49" xfId="14850"/>
    <cellStyle name="CALC Currency Total 49 10" xfId="23213"/>
    <cellStyle name="CALC Currency Total 49 10 2" xfId="45566"/>
    <cellStyle name="CALC Currency Total 49 11" xfId="45567"/>
    <cellStyle name="CALC Currency Total 49 12" xfId="45568"/>
    <cellStyle name="CALC Currency Total 49 2" xfId="15931"/>
    <cellStyle name="CALC Currency Total 49 2 2" xfId="24248"/>
    <cellStyle name="CALC Currency Total 49 2 2 2" xfId="45569"/>
    <cellStyle name="CALC Currency Total 49 2 3" xfId="31532"/>
    <cellStyle name="CALC Currency Total 49 2 4" xfId="45570"/>
    <cellStyle name="CALC Currency Total 49 3" xfId="16897"/>
    <cellStyle name="CALC Currency Total 49 3 2" xfId="25220"/>
    <cellStyle name="CALC Currency Total 49 3 2 2" xfId="45571"/>
    <cellStyle name="CALC Currency Total 49 3 3" xfId="32465"/>
    <cellStyle name="CALC Currency Total 49 3 4" xfId="45572"/>
    <cellStyle name="CALC Currency Total 49 4" xfId="17924"/>
    <cellStyle name="CALC Currency Total 49 4 2" xfId="26246"/>
    <cellStyle name="CALC Currency Total 49 4 2 2" xfId="45573"/>
    <cellStyle name="CALC Currency Total 49 4 3" xfId="33442"/>
    <cellStyle name="CALC Currency Total 49 4 4" xfId="45574"/>
    <cellStyle name="CALC Currency Total 49 5" xfId="18908"/>
    <cellStyle name="CALC Currency Total 49 5 2" xfId="27228"/>
    <cellStyle name="CALC Currency Total 49 5 2 2" xfId="45575"/>
    <cellStyle name="CALC Currency Total 49 5 3" xfId="34383"/>
    <cellStyle name="CALC Currency Total 49 5 4" xfId="45576"/>
    <cellStyle name="CALC Currency Total 49 6" xfId="19876"/>
    <cellStyle name="CALC Currency Total 49 6 2" xfId="28198"/>
    <cellStyle name="CALC Currency Total 49 6 2 2" xfId="45577"/>
    <cellStyle name="CALC Currency Total 49 6 3" xfId="35330"/>
    <cellStyle name="CALC Currency Total 49 6 4" xfId="45578"/>
    <cellStyle name="CALC Currency Total 49 7" xfId="20834"/>
    <cellStyle name="CALC Currency Total 49 7 2" xfId="29153"/>
    <cellStyle name="CALC Currency Total 49 7 2 2" xfId="45579"/>
    <cellStyle name="CALC Currency Total 49 7 3" xfId="36240"/>
    <cellStyle name="CALC Currency Total 49 7 4" xfId="45580"/>
    <cellStyle name="CALC Currency Total 49 8" xfId="21176"/>
    <cellStyle name="CALC Currency Total 49 8 2" xfId="29488"/>
    <cellStyle name="CALC Currency Total 49 8 2 2" xfId="45581"/>
    <cellStyle name="CALC Currency Total 49 8 3" xfId="36559"/>
    <cellStyle name="CALC Currency Total 49 8 4" xfId="45582"/>
    <cellStyle name="CALC Currency Total 49 9" xfId="22269"/>
    <cellStyle name="CALC Currency Total 49 9 2" xfId="30567"/>
    <cellStyle name="CALC Currency Total 49 9 2 2" xfId="45583"/>
    <cellStyle name="CALC Currency Total 49 9 3" xfId="37593"/>
    <cellStyle name="CALC Currency Total 49 9 4" xfId="45584"/>
    <cellStyle name="CALC Currency Total 5" xfId="14558"/>
    <cellStyle name="CALC Currency Total 5 10" xfId="22914"/>
    <cellStyle name="CALC Currency Total 5 10 2" xfId="45585"/>
    <cellStyle name="CALC Currency Total 5 11" xfId="45586"/>
    <cellStyle name="CALC Currency Total 5 2" xfId="15637"/>
    <cellStyle name="CALC Currency Total 5 2 2" xfId="23950"/>
    <cellStyle name="CALC Currency Total 5 2 2 2" xfId="45587"/>
    <cellStyle name="CALC Currency Total 5 2 3" xfId="31247"/>
    <cellStyle name="CALC Currency Total 5 2 4" xfId="45588"/>
    <cellStyle name="CALC Currency Total 5 3" xfId="16604"/>
    <cellStyle name="CALC Currency Total 5 3 2" xfId="24921"/>
    <cellStyle name="CALC Currency Total 5 3 2 2" xfId="45589"/>
    <cellStyle name="CALC Currency Total 5 3 3" xfId="32180"/>
    <cellStyle name="CALC Currency Total 5 3 4" xfId="45590"/>
    <cellStyle name="CALC Currency Total 5 4" xfId="17624"/>
    <cellStyle name="CALC Currency Total 5 4 2" xfId="25947"/>
    <cellStyle name="CALC Currency Total 5 4 2 2" xfId="45591"/>
    <cellStyle name="CALC Currency Total 5 4 3" xfId="33157"/>
    <cellStyle name="CALC Currency Total 5 4 4" xfId="45592"/>
    <cellStyle name="CALC Currency Total 5 5" xfId="18606"/>
    <cellStyle name="CALC Currency Total 5 5 2" xfId="26925"/>
    <cellStyle name="CALC Currency Total 5 5 2 2" xfId="45593"/>
    <cellStyle name="CALC Currency Total 5 5 3" xfId="34093"/>
    <cellStyle name="CALC Currency Total 5 5 4" xfId="45594"/>
    <cellStyle name="CALC Currency Total 5 6" xfId="19574"/>
    <cellStyle name="CALC Currency Total 5 6 2" xfId="27895"/>
    <cellStyle name="CALC Currency Total 5 6 2 2" xfId="45595"/>
    <cellStyle name="CALC Currency Total 5 6 3" xfId="35040"/>
    <cellStyle name="CALC Currency Total 5 6 4" xfId="45596"/>
    <cellStyle name="CALC Currency Total 5 7" xfId="20532"/>
    <cellStyle name="CALC Currency Total 5 7 2" xfId="28854"/>
    <cellStyle name="CALC Currency Total 5 7 2 2" xfId="45597"/>
    <cellStyle name="CALC Currency Total 5 7 3" xfId="35957"/>
    <cellStyle name="CALC Currency Total 5 7 4" xfId="45598"/>
    <cellStyle name="CALC Currency Total 5 8" xfId="21106"/>
    <cellStyle name="CALC Currency Total 5 8 2" xfId="29422"/>
    <cellStyle name="CALC Currency Total 5 8 2 2" xfId="45599"/>
    <cellStyle name="CALC Currency Total 5 8 3" xfId="36495"/>
    <cellStyle name="CALC Currency Total 5 8 4" xfId="45600"/>
    <cellStyle name="CALC Currency Total 5 9" xfId="21967"/>
    <cellStyle name="CALC Currency Total 5 9 2" xfId="30268"/>
    <cellStyle name="CALC Currency Total 5 9 2 2" xfId="45601"/>
    <cellStyle name="CALC Currency Total 5 9 3" xfId="37308"/>
    <cellStyle name="CALC Currency Total 5 9 4" xfId="45602"/>
    <cellStyle name="CALC Currency Total 50" xfId="14870"/>
    <cellStyle name="CALC Currency Total 50 10" xfId="23233"/>
    <cellStyle name="CALC Currency Total 50 10 2" xfId="45603"/>
    <cellStyle name="CALC Currency Total 50 11" xfId="45604"/>
    <cellStyle name="CALC Currency Total 50 12" xfId="45605"/>
    <cellStyle name="CALC Currency Total 50 2" xfId="15951"/>
    <cellStyle name="CALC Currency Total 50 2 2" xfId="24268"/>
    <cellStyle name="CALC Currency Total 50 2 2 2" xfId="45606"/>
    <cellStyle name="CALC Currency Total 50 2 3" xfId="31551"/>
    <cellStyle name="CALC Currency Total 50 2 4" xfId="45607"/>
    <cellStyle name="CALC Currency Total 50 3" xfId="16917"/>
    <cellStyle name="CALC Currency Total 50 3 2" xfId="25240"/>
    <cellStyle name="CALC Currency Total 50 3 2 2" xfId="45608"/>
    <cellStyle name="CALC Currency Total 50 3 3" xfId="32484"/>
    <cellStyle name="CALC Currency Total 50 3 4" xfId="45609"/>
    <cellStyle name="CALC Currency Total 50 4" xfId="17944"/>
    <cellStyle name="CALC Currency Total 50 4 2" xfId="26266"/>
    <cellStyle name="CALC Currency Total 50 4 2 2" xfId="45610"/>
    <cellStyle name="CALC Currency Total 50 4 3" xfId="33461"/>
    <cellStyle name="CALC Currency Total 50 4 4" xfId="45611"/>
    <cellStyle name="CALC Currency Total 50 5" xfId="18928"/>
    <cellStyle name="CALC Currency Total 50 5 2" xfId="27248"/>
    <cellStyle name="CALC Currency Total 50 5 2 2" xfId="45612"/>
    <cellStyle name="CALC Currency Total 50 5 3" xfId="34402"/>
    <cellStyle name="CALC Currency Total 50 5 4" xfId="45613"/>
    <cellStyle name="CALC Currency Total 50 6" xfId="19896"/>
    <cellStyle name="CALC Currency Total 50 6 2" xfId="28218"/>
    <cellStyle name="CALC Currency Total 50 6 2 2" xfId="45614"/>
    <cellStyle name="CALC Currency Total 50 6 3" xfId="35349"/>
    <cellStyle name="CALC Currency Total 50 6 4" xfId="45615"/>
    <cellStyle name="CALC Currency Total 50 7" xfId="20854"/>
    <cellStyle name="CALC Currency Total 50 7 2" xfId="29173"/>
    <cellStyle name="CALC Currency Total 50 7 2 2" xfId="45616"/>
    <cellStyle name="CALC Currency Total 50 7 3" xfId="36259"/>
    <cellStyle name="CALC Currency Total 50 7 4" xfId="45617"/>
    <cellStyle name="CALC Currency Total 50 8" xfId="15536"/>
    <cellStyle name="CALC Currency Total 50 8 2" xfId="23872"/>
    <cellStyle name="CALC Currency Total 50 8 2 2" xfId="45618"/>
    <cellStyle name="CALC Currency Total 50 8 3" xfId="31217"/>
    <cellStyle name="CALC Currency Total 50 8 4" xfId="45619"/>
    <cellStyle name="CALC Currency Total 50 9" xfId="22289"/>
    <cellStyle name="CALC Currency Total 50 9 2" xfId="30587"/>
    <cellStyle name="CALC Currency Total 50 9 2 2" xfId="45620"/>
    <cellStyle name="CALC Currency Total 50 9 3" xfId="37612"/>
    <cellStyle name="CALC Currency Total 50 9 4" xfId="45621"/>
    <cellStyle name="CALC Currency Total 51" xfId="14968"/>
    <cellStyle name="CALC Currency Total 51 10" xfId="23329"/>
    <cellStyle name="CALC Currency Total 51 10 2" xfId="45622"/>
    <cellStyle name="CALC Currency Total 51 11" xfId="45623"/>
    <cellStyle name="CALC Currency Total 51 12" xfId="45624"/>
    <cellStyle name="CALC Currency Total 51 2" xfId="16049"/>
    <cellStyle name="CALC Currency Total 51 2 2" xfId="24364"/>
    <cellStyle name="CALC Currency Total 51 2 2 2" xfId="45625"/>
    <cellStyle name="CALC Currency Total 51 2 3" xfId="31643"/>
    <cellStyle name="CALC Currency Total 51 2 4" xfId="45626"/>
    <cellStyle name="CALC Currency Total 51 3" xfId="17015"/>
    <cellStyle name="CALC Currency Total 51 3 2" xfId="25336"/>
    <cellStyle name="CALC Currency Total 51 3 2 2" xfId="45627"/>
    <cellStyle name="CALC Currency Total 51 3 3" xfId="32576"/>
    <cellStyle name="CALC Currency Total 51 3 4" xfId="45628"/>
    <cellStyle name="CALC Currency Total 51 4" xfId="18042"/>
    <cellStyle name="CALC Currency Total 51 4 2" xfId="26362"/>
    <cellStyle name="CALC Currency Total 51 4 2 2" xfId="45629"/>
    <cellStyle name="CALC Currency Total 51 4 3" xfId="33553"/>
    <cellStyle name="CALC Currency Total 51 4 4" xfId="45630"/>
    <cellStyle name="CALC Currency Total 51 5" xfId="19026"/>
    <cellStyle name="CALC Currency Total 51 5 2" xfId="27346"/>
    <cellStyle name="CALC Currency Total 51 5 2 2" xfId="45631"/>
    <cellStyle name="CALC Currency Total 51 5 3" xfId="34496"/>
    <cellStyle name="CALC Currency Total 51 5 4" xfId="45632"/>
    <cellStyle name="CALC Currency Total 51 6" xfId="19994"/>
    <cellStyle name="CALC Currency Total 51 6 2" xfId="28316"/>
    <cellStyle name="CALC Currency Total 51 6 2 2" xfId="45633"/>
    <cellStyle name="CALC Currency Total 51 6 3" xfId="35443"/>
    <cellStyle name="CALC Currency Total 51 6 4" xfId="45634"/>
    <cellStyle name="CALC Currency Total 51 7" xfId="20952"/>
    <cellStyle name="CALC Currency Total 51 7 2" xfId="29269"/>
    <cellStyle name="CALC Currency Total 51 7 2 2" xfId="45635"/>
    <cellStyle name="CALC Currency Total 51 7 3" xfId="36351"/>
    <cellStyle name="CALC Currency Total 51 7 4" xfId="45636"/>
    <cellStyle name="CALC Currency Total 51 8" xfId="21459"/>
    <cellStyle name="CALC Currency Total 51 8 2" xfId="29760"/>
    <cellStyle name="CALC Currency Total 51 8 2 2" xfId="45637"/>
    <cellStyle name="CALC Currency Total 51 8 3" xfId="36821"/>
    <cellStyle name="CALC Currency Total 51 8 4" xfId="45638"/>
    <cellStyle name="CALC Currency Total 51 9" xfId="22387"/>
    <cellStyle name="CALC Currency Total 51 9 2" xfId="30683"/>
    <cellStyle name="CALC Currency Total 51 9 2 2" xfId="45639"/>
    <cellStyle name="CALC Currency Total 51 9 3" xfId="37704"/>
    <cellStyle name="CALC Currency Total 51 9 4" xfId="45640"/>
    <cellStyle name="CALC Currency Total 52" xfId="14969"/>
    <cellStyle name="CALC Currency Total 52 10" xfId="23330"/>
    <cellStyle name="CALC Currency Total 52 10 2" xfId="45641"/>
    <cellStyle name="CALC Currency Total 52 11" xfId="45642"/>
    <cellStyle name="CALC Currency Total 52 12" xfId="45643"/>
    <cellStyle name="CALC Currency Total 52 2" xfId="16050"/>
    <cellStyle name="CALC Currency Total 52 2 2" xfId="24365"/>
    <cellStyle name="CALC Currency Total 52 2 2 2" xfId="45644"/>
    <cellStyle name="CALC Currency Total 52 2 3" xfId="31644"/>
    <cellStyle name="CALC Currency Total 52 2 4" xfId="45645"/>
    <cellStyle name="CALC Currency Total 52 3" xfId="17016"/>
    <cellStyle name="CALC Currency Total 52 3 2" xfId="25337"/>
    <cellStyle name="CALC Currency Total 52 3 2 2" xfId="45646"/>
    <cellStyle name="CALC Currency Total 52 3 3" xfId="32577"/>
    <cellStyle name="CALC Currency Total 52 3 4" xfId="45647"/>
    <cellStyle name="CALC Currency Total 52 4" xfId="18043"/>
    <cellStyle name="CALC Currency Total 52 4 2" xfId="26363"/>
    <cellStyle name="CALC Currency Total 52 4 2 2" xfId="45648"/>
    <cellStyle name="CALC Currency Total 52 4 3" xfId="33554"/>
    <cellStyle name="CALC Currency Total 52 4 4" xfId="45649"/>
    <cellStyle name="CALC Currency Total 52 5" xfId="19027"/>
    <cellStyle name="CALC Currency Total 52 5 2" xfId="27347"/>
    <cellStyle name="CALC Currency Total 52 5 2 2" xfId="45650"/>
    <cellStyle name="CALC Currency Total 52 5 3" xfId="34497"/>
    <cellStyle name="CALC Currency Total 52 5 4" xfId="45651"/>
    <cellStyle name="CALC Currency Total 52 6" xfId="19995"/>
    <cellStyle name="CALC Currency Total 52 6 2" xfId="28317"/>
    <cellStyle name="CALC Currency Total 52 6 2 2" xfId="45652"/>
    <cellStyle name="CALC Currency Total 52 6 3" xfId="35444"/>
    <cellStyle name="CALC Currency Total 52 6 4" xfId="45653"/>
    <cellStyle name="CALC Currency Total 52 7" xfId="20953"/>
    <cellStyle name="CALC Currency Total 52 7 2" xfId="29270"/>
    <cellStyle name="CALC Currency Total 52 7 2 2" xfId="45654"/>
    <cellStyle name="CALC Currency Total 52 7 3" xfId="36352"/>
    <cellStyle name="CALC Currency Total 52 7 4" xfId="45655"/>
    <cellStyle name="CALC Currency Total 52 8" xfId="21460"/>
    <cellStyle name="CALC Currency Total 52 8 2" xfId="29761"/>
    <cellStyle name="CALC Currency Total 52 8 2 2" xfId="45656"/>
    <cellStyle name="CALC Currency Total 52 8 3" xfId="36822"/>
    <cellStyle name="CALC Currency Total 52 8 4" xfId="45657"/>
    <cellStyle name="CALC Currency Total 52 9" xfId="22388"/>
    <cellStyle name="CALC Currency Total 52 9 2" xfId="30684"/>
    <cellStyle name="CALC Currency Total 52 9 2 2" xfId="45658"/>
    <cellStyle name="CALC Currency Total 52 9 3" xfId="37705"/>
    <cellStyle name="CALC Currency Total 52 9 4" xfId="45659"/>
    <cellStyle name="CALC Currency Total 53" xfId="15000"/>
    <cellStyle name="CALC Currency Total 53 10" xfId="23361"/>
    <cellStyle name="CALC Currency Total 53 10 2" xfId="45660"/>
    <cellStyle name="CALC Currency Total 53 11" xfId="45661"/>
    <cellStyle name="CALC Currency Total 53 12" xfId="45662"/>
    <cellStyle name="CALC Currency Total 53 2" xfId="16081"/>
    <cellStyle name="CALC Currency Total 53 2 2" xfId="24396"/>
    <cellStyle name="CALC Currency Total 53 2 2 2" xfId="45663"/>
    <cellStyle name="CALC Currency Total 53 2 3" xfId="31675"/>
    <cellStyle name="CALC Currency Total 53 2 4" xfId="45664"/>
    <cellStyle name="CALC Currency Total 53 3" xfId="17047"/>
    <cellStyle name="CALC Currency Total 53 3 2" xfId="25368"/>
    <cellStyle name="CALC Currency Total 53 3 2 2" xfId="45665"/>
    <cellStyle name="CALC Currency Total 53 3 3" xfId="32608"/>
    <cellStyle name="CALC Currency Total 53 3 4" xfId="45666"/>
    <cellStyle name="CALC Currency Total 53 4" xfId="18074"/>
    <cellStyle name="CALC Currency Total 53 4 2" xfId="26394"/>
    <cellStyle name="CALC Currency Total 53 4 2 2" xfId="45667"/>
    <cellStyle name="CALC Currency Total 53 4 3" xfId="33585"/>
    <cellStyle name="CALC Currency Total 53 4 4" xfId="45668"/>
    <cellStyle name="CALC Currency Total 53 5" xfId="19058"/>
    <cellStyle name="CALC Currency Total 53 5 2" xfId="27378"/>
    <cellStyle name="CALC Currency Total 53 5 2 2" xfId="45669"/>
    <cellStyle name="CALC Currency Total 53 5 3" xfId="34528"/>
    <cellStyle name="CALC Currency Total 53 5 4" xfId="45670"/>
    <cellStyle name="CALC Currency Total 53 6" xfId="20026"/>
    <cellStyle name="CALC Currency Total 53 6 2" xfId="28348"/>
    <cellStyle name="CALC Currency Total 53 6 2 2" xfId="45671"/>
    <cellStyle name="CALC Currency Total 53 6 3" xfId="35475"/>
    <cellStyle name="CALC Currency Total 53 6 4" xfId="45672"/>
    <cellStyle name="CALC Currency Total 53 7" xfId="20984"/>
    <cellStyle name="CALC Currency Total 53 7 2" xfId="29301"/>
    <cellStyle name="CALC Currency Total 53 7 2 2" xfId="45673"/>
    <cellStyle name="CALC Currency Total 53 7 3" xfId="36383"/>
    <cellStyle name="CALC Currency Total 53 7 4" xfId="45674"/>
    <cellStyle name="CALC Currency Total 53 8" xfId="21491"/>
    <cellStyle name="CALC Currency Total 53 8 2" xfId="29792"/>
    <cellStyle name="CALC Currency Total 53 8 2 2" xfId="45675"/>
    <cellStyle name="CALC Currency Total 53 8 3" xfId="36853"/>
    <cellStyle name="CALC Currency Total 53 8 4" xfId="45676"/>
    <cellStyle name="CALC Currency Total 53 9" xfId="22419"/>
    <cellStyle name="CALC Currency Total 53 9 2" xfId="30715"/>
    <cellStyle name="CALC Currency Total 53 9 2 2" xfId="45677"/>
    <cellStyle name="CALC Currency Total 53 9 3" xfId="37736"/>
    <cellStyle name="CALC Currency Total 53 9 4" xfId="45678"/>
    <cellStyle name="CALC Currency Total 54" xfId="15002"/>
    <cellStyle name="CALC Currency Total 54 10" xfId="23363"/>
    <cellStyle name="CALC Currency Total 54 10 2" xfId="45679"/>
    <cellStyle name="CALC Currency Total 54 11" xfId="45680"/>
    <cellStyle name="CALC Currency Total 54 12" xfId="45681"/>
    <cellStyle name="CALC Currency Total 54 2" xfId="16083"/>
    <cellStyle name="CALC Currency Total 54 2 2" xfId="24398"/>
    <cellStyle name="CALC Currency Total 54 2 2 2" xfId="45682"/>
    <cellStyle name="CALC Currency Total 54 2 3" xfId="31677"/>
    <cellStyle name="CALC Currency Total 54 2 4" xfId="45683"/>
    <cellStyle name="CALC Currency Total 54 3" xfId="17049"/>
    <cellStyle name="CALC Currency Total 54 3 2" xfId="25370"/>
    <cellStyle name="CALC Currency Total 54 3 2 2" xfId="45684"/>
    <cellStyle name="CALC Currency Total 54 3 3" xfId="32610"/>
    <cellStyle name="CALC Currency Total 54 3 4" xfId="45685"/>
    <cellStyle name="CALC Currency Total 54 4" xfId="18076"/>
    <cellStyle name="CALC Currency Total 54 4 2" xfId="26396"/>
    <cellStyle name="CALC Currency Total 54 4 2 2" xfId="45686"/>
    <cellStyle name="CALC Currency Total 54 4 3" xfId="33587"/>
    <cellStyle name="CALC Currency Total 54 4 4" xfId="45687"/>
    <cellStyle name="CALC Currency Total 54 5" xfId="19060"/>
    <cellStyle name="CALC Currency Total 54 5 2" xfId="27380"/>
    <cellStyle name="CALC Currency Total 54 5 2 2" xfId="45688"/>
    <cellStyle name="CALC Currency Total 54 5 3" xfId="34530"/>
    <cellStyle name="CALC Currency Total 54 5 4" xfId="45689"/>
    <cellStyle name="CALC Currency Total 54 6" xfId="20028"/>
    <cellStyle name="CALC Currency Total 54 6 2" xfId="28350"/>
    <cellStyle name="CALC Currency Total 54 6 2 2" xfId="45690"/>
    <cellStyle name="CALC Currency Total 54 6 3" xfId="35477"/>
    <cellStyle name="CALC Currency Total 54 6 4" xfId="45691"/>
    <cellStyle name="CALC Currency Total 54 7" xfId="20986"/>
    <cellStyle name="CALC Currency Total 54 7 2" xfId="29303"/>
    <cellStyle name="CALC Currency Total 54 7 2 2" xfId="45692"/>
    <cellStyle name="CALC Currency Total 54 7 3" xfId="36385"/>
    <cellStyle name="CALC Currency Total 54 7 4" xfId="45693"/>
    <cellStyle name="CALC Currency Total 54 8" xfId="21493"/>
    <cellStyle name="CALC Currency Total 54 8 2" xfId="29794"/>
    <cellStyle name="CALC Currency Total 54 8 2 2" xfId="45694"/>
    <cellStyle name="CALC Currency Total 54 8 3" xfId="36855"/>
    <cellStyle name="CALC Currency Total 54 8 4" xfId="45695"/>
    <cellStyle name="CALC Currency Total 54 9" xfId="22421"/>
    <cellStyle name="CALC Currency Total 54 9 2" xfId="30717"/>
    <cellStyle name="CALC Currency Total 54 9 2 2" xfId="45696"/>
    <cellStyle name="CALC Currency Total 54 9 3" xfId="37738"/>
    <cellStyle name="CALC Currency Total 54 9 4" xfId="45697"/>
    <cellStyle name="CALC Currency Total 55" xfId="15023"/>
    <cellStyle name="CALC Currency Total 55 10" xfId="23383"/>
    <cellStyle name="CALC Currency Total 55 10 2" xfId="45698"/>
    <cellStyle name="CALC Currency Total 55 11" xfId="45699"/>
    <cellStyle name="CALC Currency Total 55 12" xfId="45700"/>
    <cellStyle name="CALC Currency Total 55 2" xfId="16103"/>
    <cellStyle name="CALC Currency Total 55 2 2" xfId="24418"/>
    <cellStyle name="CALC Currency Total 55 2 2 2" xfId="45701"/>
    <cellStyle name="CALC Currency Total 55 2 3" xfId="31696"/>
    <cellStyle name="CALC Currency Total 55 2 4" xfId="45702"/>
    <cellStyle name="CALC Currency Total 55 3" xfId="17070"/>
    <cellStyle name="CALC Currency Total 55 3 2" xfId="25391"/>
    <cellStyle name="CALC Currency Total 55 3 2 2" xfId="45703"/>
    <cellStyle name="CALC Currency Total 55 3 3" xfId="32630"/>
    <cellStyle name="CALC Currency Total 55 3 4" xfId="45704"/>
    <cellStyle name="CALC Currency Total 55 4" xfId="18097"/>
    <cellStyle name="CALC Currency Total 55 4 2" xfId="26417"/>
    <cellStyle name="CALC Currency Total 55 4 2 2" xfId="45705"/>
    <cellStyle name="CALC Currency Total 55 4 3" xfId="33607"/>
    <cellStyle name="CALC Currency Total 55 4 4" xfId="45706"/>
    <cellStyle name="CALC Currency Total 55 5" xfId="19081"/>
    <cellStyle name="CALC Currency Total 55 5 2" xfId="27401"/>
    <cellStyle name="CALC Currency Total 55 5 2 2" xfId="45707"/>
    <cellStyle name="CALC Currency Total 55 5 3" xfId="34550"/>
    <cellStyle name="CALC Currency Total 55 5 4" xfId="45708"/>
    <cellStyle name="CALC Currency Total 55 6" xfId="20049"/>
    <cellStyle name="CALC Currency Total 55 6 2" xfId="28371"/>
    <cellStyle name="CALC Currency Total 55 6 2 2" xfId="45709"/>
    <cellStyle name="CALC Currency Total 55 6 3" xfId="35497"/>
    <cellStyle name="CALC Currency Total 55 6 4" xfId="45710"/>
    <cellStyle name="CALC Currency Total 55 7" xfId="21006"/>
    <cellStyle name="CALC Currency Total 55 7 2" xfId="29323"/>
    <cellStyle name="CALC Currency Total 55 7 2 2" xfId="45711"/>
    <cellStyle name="CALC Currency Total 55 7 3" xfId="36404"/>
    <cellStyle name="CALC Currency Total 55 7 4" xfId="45712"/>
    <cellStyle name="CALC Currency Total 55 8" xfId="21513"/>
    <cellStyle name="CALC Currency Total 55 8 2" xfId="29814"/>
    <cellStyle name="CALC Currency Total 55 8 2 2" xfId="45713"/>
    <cellStyle name="CALC Currency Total 55 8 3" xfId="36874"/>
    <cellStyle name="CALC Currency Total 55 8 4" xfId="45714"/>
    <cellStyle name="CALC Currency Total 55 9" xfId="22441"/>
    <cellStyle name="CALC Currency Total 55 9 2" xfId="30737"/>
    <cellStyle name="CALC Currency Total 55 9 2 2" xfId="45715"/>
    <cellStyle name="CALC Currency Total 55 9 3" xfId="37757"/>
    <cellStyle name="CALC Currency Total 55 9 4" xfId="45716"/>
    <cellStyle name="CALC Currency Total 56" xfId="15004"/>
    <cellStyle name="CALC Currency Total 56 10" xfId="23365"/>
    <cellStyle name="CALC Currency Total 56 10 2" xfId="45717"/>
    <cellStyle name="CALC Currency Total 56 11" xfId="45718"/>
    <cellStyle name="CALC Currency Total 56 12" xfId="45719"/>
    <cellStyle name="CALC Currency Total 56 2" xfId="16085"/>
    <cellStyle name="CALC Currency Total 56 2 2" xfId="24400"/>
    <cellStyle name="CALC Currency Total 56 2 2 2" xfId="45720"/>
    <cellStyle name="CALC Currency Total 56 2 3" xfId="31679"/>
    <cellStyle name="CALC Currency Total 56 2 4" xfId="45721"/>
    <cellStyle name="CALC Currency Total 56 3" xfId="17051"/>
    <cellStyle name="CALC Currency Total 56 3 2" xfId="25372"/>
    <cellStyle name="CALC Currency Total 56 3 2 2" xfId="45722"/>
    <cellStyle name="CALC Currency Total 56 3 3" xfId="32612"/>
    <cellStyle name="CALC Currency Total 56 3 4" xfId="45723"/>
    <cellStyle name="CALC Currency Total 56 4" xfId="18078"/>
    <cellStyle name="CALC Currency Total 56 4 2" xfId="26398"/>
    <cellStyle name="CALC Currency Total 56 4 2 2" xfId="45724"/>
    <cellStyle name="CALC Currency Total 56 4 3" xfId="33589"/>
    <cellStyle name="CALC Currency Total 56 4 4" xfId="45725"/>
    <cellStyle name="CALC Currency Total 56 5" xfId="19062"/>
    <cellStyle name="CALC Currency Total 56 5 2" xfId="27382"/>
    <cellStyle name="CALC Currency Total 56 5 2 2" xfId="45726"/>
    <cellStyle name="CALC Currency Total 56 5 3" xfId="34532"/>
    <cellStyle name="CALC Currency Total 56 5 4" xfId="45727"/>
    <cellStyle name="CALC Currency Total 56 6" xfId="20030"/>
    <cellStyle name="CALC Currency Total 56 6 2" xfId="28352"/>
    <cellStyle name="CALC Currency Total 56 6 2 2" xfId="45728"/>
    <cellStyle name="CALC Currency Total 56 6 3" xfId="35479"/>
    <cellStyle name="CALC Currency Total 56 6 4" xfId="45729"/>
    <cellStyle name="CALC Currency Total 56 7" xfId="20988"/>
    <cellStyle name="CALC Currency Total 56 7 2" xfId="29305"/>
    <cellStyle name="CALC Currency Total 56 7 2 2" xfId="45730"/>
    <cellStyle name="CALC Currency Total 56 7 3" xfId="36387"/>
    <cellStyle name="CALC Currency Total 56 7 4" xfId="45731"/>
    <cellStyle name="CALC Currency Total 56 8" xfId="21495"/>
    <cellStyle name="CALC Currency Total 56 8 2" xfId="29796"/>
    <cellStyle name="CALC Currency Total 56 8 2 2" xfId="45732"/>
    <cellStyle name="CALC Currency Total 56 8 3" xfId="36857"/>
    <cellStyle name="CALC Currency Total 56 8 4" xfId="45733"/>
    <cellStyle name="CALC Currency Total 56 9" xfId="22423"/>
    <cellStyle name="CALC Currency Total 56 9 2" xfId="30719"/>
    <cellStyle name="CALC Currency Total 56 9 2 2" xfId="45734"/>
    <cellStyle name="CALC Currency Total 56 9 3" xfId="37740"/>
    <cellStyle name="CALC Currency Total 56 9 4" xfId="45735"/>
    <cellStyle name="CALC Currency Total 57" xfId="14979"/>
    <cellStyle name="CALC Currency Total 57 10" xfId="23340"/>
    <cellStyle name="CALC Currency Total 57 10 2" xfId="45736"/>
    <cellStyle name="CALC Currency Total 57 11" xfId="45737"/>
    <cellStyle name="CALC Currency Total 57 12" xfId="45738"/>
    <cellStyle name="CALC Currency Total 57 2" xfId="16060"/>
    <cellStyle name="CALC Currency Total 57 2 2" xfId="24375"/>
    <cellStyle name="CALC Currency Total 57 2 2 2" xfId="45739"/>
    <cellStyle name="CALC Currency Total 57 2 3" xfId="31654"/>
    <cellStyle name="CALC Currency Total 57 2 4" xfId="45740"/>
    <cellStyle name="CALC Currency Total 57 3" xfId="17026"/>
    <cellStyle name="CALC Currency Total 57 3 2" xfId="25347"/>
    <cellStyle name="CALC Currency Total 57 3 2 2" xfId="45741"/>
    <cellStyle name="CALC Currency Total 57 3 3" xfId="32587"/>
    <cellStyle name="CALC Currency Total 57 3 4" xfId="45742"/>
    <cellStyle name="CALC Currency Total 57 4" xfId="18053"/>
    <cellStyle name="CALC Currency Total 57 4 2" xfId="26373"/>
    <cellStyle name="CALC Currency Total 57 4 2 2" xfId="45743"/>
    <cellStyle name="CALC Currency Total 57 4 3" xfId="33564"/>
    <cellStyle name="CALC Currency Total 57 4 4" xfId="45744"/>
    <cellStyle name="CALC Currency Total 57 5" xfId="19037"/>
    <cellStyle name="CALC Currency Total 57 5 2" xfId="27357"/>
    <cellStyle name="CALC Currency Total 57 5 2 2" xfId="45745"/>
    <cellStyle name="CALC Currency Total 57 5 3" xfId="34507"/>
    <cellStyle name="CALC Currency Total 57 5 4" xfId="45746"/>
    <cellStyle name="CALC Currency Total 57 6" xfId="20005"/>
    <cellStyle name="CALC Currency Total 57 6 2" xfId="28327"/>
    <cellStyle name="CALC Currency Total 57 6 2 2" xfId="45747"/>
    <cellStyle name="CALC Currency Total 57 6 3" xfId="35454"/>
    <cellStyle name="CALC Currency Total 57 6 4" xfId="45748"/>
    <cellStyle name="CALC Currency Total 57 7" xfId="20963"/>
    <cellStyle name="CALC Currency Total 57 7 2" xfId="29280"/>
    <cellStyle name="CALC Currency Total 57 7 2 2" xfId="45749"/>
    <cellStyle name="CALC Currency Total 57 7 3" xfId="36362"/>
    <cellStyle name="CALC Currency Total 57 7 4" xfId="45750"/>
    <cellStyle name="CALC Currency Total 57 8" xfId="21470"/>
    <cellStyle name="CALC Currency Total 57 8 2" xfId="29771"/>
    <cellStyle name="CALC Currency Total 57 8 2 2" xfId="45751"/>
    <cellStyle name="CALC Currency Total 57 8 3" xfId="36832"/>
    <cellStyle name="CALC Currency Total 57 8 4" xfId="45752"/>
    <cellStyle name="CALC Currency Total 57 9" xfId="22398"/>
    <cellStyle name="CALC Currency Total 57 9 2" xfId="30694"/>
    <cellStyle name="CALC Currency Total 57 9 2 2" xfId="45753"/>
    <cellStyle name="CALC Currency Total 57 9 3" xfId="37715"/>
    <cellStyle name="CALC Currency Total 57 9 4" xfId="45754"/>
    <cellStyle name="CALC Currency Total 58" xfId="14972"/>
    <cellStyle name="CALC Currency Total 58 10" xfId="23333"/>
    <cellStyle name="CALC Currency Total 58 10 2" xfId="45755"/>
    <cellStyle name="CALC Currency Total 58 11" xfId="45756"/>
    <cellStyle name="CALC Currency Total 58 12" xfId="45757"/>
    <cellStyle name="CALC Currency Total 58 2" xfId="16053"/>
    <cellStyle name="CALC Currency Total 58 2 2" xfId="24368"/>
    <cellStyle name="CALC Currency Total 58 2 2 2" xfId="45758"/>
    <cellStyle name="CALC Currency Total 58 2 3" xfId="31647"/>
    <cellStyle name="CALC Currency Total 58 2 4" xfId="45759"/>
    <cellStyle name="CALC Currency Total 58 3" xfId="17019"/>
    <cellStyle name="CALC Currency Total 58 3 2" xfId="25340"/>
    <cellStyle name="CALC Currency Total 58 3 2 2" xfId="45760"/>
    <cellStyle name="CALC Currency Total 58 3 3" xfId="32580"/>
    <cellStyle name="CALC Currency Total 58 3 4" xfId="45761"/>
    <cellStyle name="CALC Currency Total 58 4" xfId="18046"/>
    <cellStyle name="CALC Currency Total 58 4 2" xfId="26366"/>
    <cellStyle name="CALC Currency Total 58 4 2 2" xfId="45762"/>
    <cellStyle name="CALC Currency Total 58 4 3" xfId="33557"/>
    <cellStyle name="CALC Currency Total 58 4 4" xfId="45763"/>
    <cellStyle name="CALC Currency Total 58 5" xfId="19030"/>
    <cellStyle name="CALC Currency Total 58 5 2" xfId="27350"/>
    <cellStyle name="CALC Currency Total 58 5 2 2" xfId="45764"/>
    <cellStyle name="CALC Currency Total 58 5 3" xfId="34500"/>
    <cellStyle name="CALC Currency Total 58 5 4" xfId="45765"/>
    <cellStyle name="CALC Currency Total 58 6" xfId="19998"/>
    <cellStyle name="CALC Currency Total 58 6 2" xfId="28320"/>
    <cellStyle name="CALC Currency Total 58 6 2 2" xfId="45766"/>
    <cellStyle name="CALC Currency Total 58 6 3" xfId="35447"/>
    <cellStyle name="CALC Currency Total 58 6 4" xfId="45767"/>
    <cellStyle name="CALC Currency Total 58 7" xfId="20956"/>
    <cellStyle name="CALC Currency Total 58 7 2" xfId="29273"/>
    <cellStyle name="CALC Currency Total 58 7 2 2" xfId="45768"/>
    <cellStyle name="CALC Currency Total 58 7 3" xfId="36355"/>
    <cellStyle name="CALC Currency Total 58 7 4" xfId="45769"/>
    <cellStyle name="CALC Currency Total 58 8" xfId="21463"/>
    <cellStyle name="CALC Currency Total 58 8 2" xfId="29764"/>
    <cellStyle name="CALC Currency Total 58 8 2 2" xfId="45770"/>
    <cellStyle name="CALC Currency Total 58 8 3" xfId="36825"/>
    <cellStyle name="CALC Currency Total 58 8 4" xfId="45771"/>
    <cellStyle name="CALC Currency Total 58 9" xfId="22391"/>
    <cellStyle name="CALC Currency Total 58 9 2" xfId="30687"/>
    <cellStyle name="CALC Currency Total 58 9 2 2" xfId="45772"/>
    <cellStyle name="CALC Currency Total 58 9 3" xfId="37708"/>
    <cellStyle name="CALC Currency Total 58 9 4" xfId="45773"/>
    <cellStyle name="CALC Currency Total 59" xfId="14995"/>
    <cellStyle name="CALC Currency Total 59 10" xfId="23356"/>
    <cellStyle name="CALC Currency Total 59 10 2" xfId="45774"/>
    <cellStyle name="CALC Currency Total 59 11" xfId="45775"/>
    <cellStyle name="CALC Currency Total 59 12" xfId="45776"/>
    <cellStyle name="CALC Currency Total 59 2" xfId="16076"/>
    <cellStyle name="CALC Currency Total 59 2 2" xfId="24391"/>
    <cellStyle name="CALC Currency Total 59 2 2 2" xfId="45777"/>
    <cellStyle name="CALC Currency Total 59 2 3" xfId="31670"/>
    <cellStyle name="CALC Currency Total 59 2 4" xfId="45778"/>
    <cellStyle name="CALC Currency Total 59 3" xfId="17042"/>
    <cellStyle name="CALC Currency Total 59 3 2" xfId="25363"/>
    <cellStyle name="CALC Currency Total 59 3 2 2" xfId="45779"/>
    <cellStyle name="CALC Currency Total 59 3 3" xfId="32603"/>
    <cellStyle name="CALC Currency Total 59 3 4" xfId="45780"/>
    <cellStyle name="CALC Currency Total 59 4" xfId="18069"/>
    <cellStyle name="CALC Currency Total 59 4 2" xfId="26389"/>
    <cellStyle name="CALC Currency Total 59 4 2 2" xfId="45781"/>
    <cellStyle name="CALC Currency Total 59 4 3" xfId="33580"/>
    <cellStyle name="CALC Currency Total 59 4 4" xfId="45782"/>
    <cellStyle name="CALC Currency Total 59 5" xfId="19053"/>
    <cellStyle name="CALC Currency Total 59 5 2" xfId="27373"/>
    <cellStyle name="CALC Currency Total 59 5 2 2" xfId="45783"/>
    <cellStyle name="CALC Currency Total 59 5 3" xfId="34523"/>
    <cellStyle name="CALC Currency Total 59 5 4" xfId="45784"/>
    <cellStyle name="CALC Currency Total 59 6" xfId="20021"/>
    <cellStyle name="CALC Currency Total 59 6 2" xfId="28343"/>
    <cellStyle name="CALC Currency Total 59 6 2 2" xfId="45785"/>
    <cellStyle name="CALC Currency Total 59 6 3" xfId="35470"/>
    <cellStyle name="CALC Currency Total 59 6 4" xfId="45786"/>
    <cellStyle name="CALC Currency Total 59 7" xfId="20979"/>
    <cellStyle name="CALC Currency Total 59 7 2" xfId="29296"/>
    <cellStyle name="CALC Currency Total 59 7 2 2" xfId="45787"/>
    <cellStyle name="CALC Currency Total 59 7 3" xfId="36378"/>
    <cellStyle name="CALC Currency Total 59 7 4" xfId="45788"/>
    <cellStyle name="CALC Currency Total 59 8" xfId="21486"/>
    <cellStyle name="CALC Currency Total 59 8 2" xfId="29787"/>
    <cellStyle name="CALC Currency Total 59 8 2 2" xfId="45789"/>
    <cellStyle name="CALC Currency Total 59 8 3" xfId="36848"/>
    <cellStyle name="CALC Currency Total 59 8 4" xfId="45790"/>
    <cellStyle name="CALC Currency Total 59 9" xfId="22414"/>
    <cellStyle name="CALC Currency Total 59 9 2" xfId="30710"/>
    <cellStyle name="CALC Currency Total 59 9 2 2" xfId="45791"/>
    <cellStyle name="CALC Currency Total 59 9 3" xfId="37731"/>
    <cellStyle name="CALC Currency Total 59 9 4" xfId="45792"/>
    <cellStyle name="CALC Currency Total 6" xfId="14559"/>
    <cellStyle name="CALC Currency Total 6 10" xfId="22915"/>
    <cellStyle name="CALC Currency Total 6 10 2" xfId="45793"/>
    <cellStyle name="CALC Currency Total 6 11" xfId="45794"/>
    <cellStyle name="CALC Currency Total 6 2" xfId="15638"/>
    <cellStyle name="CALC Currency Total 6 2 2" xfId="23951"/>
    <cellStyle name="CALC Currency Total 6 2 2 2" xfId="45795"/>
    <cellStyle name="CALC Currency Total 6 2 3" xfId="31248"/>
    <cellStyle name="CALC Currency Total 6 2 4" xfId="45796"/>
    <cellStyle name="CALC Currency Total 6 3" xfId="16605"/>
    <cellStyle name="CALC Currency Total 6 3 2" xfId="24922"/>
    <cellStyle name="CALC Currency Total 6 3 2 2" xfId="45797"/>
    <cellStyle name="CALC Currency Total 6 3 3" xfId="32181"/>
    <cellStyle name="CALC Currency Total 6 3 4" xfId="45798"/>
    <cellStyle name="CALC Currency Total 6 4" xfId="17625"/>
    <cellStyle name="CALC Currency Total 6 4 2" xfId="25948"/>
    <cellStyle name="CALC Currency Total 6 4 2 2" xfId="45799"/>
    <cellStyle name="CALC Currency Total 6 4 3" xfId="33158"/>
    <cellStyle name="CALC Currency Total 6 4 4" xfId="45800"/>
    <cellStyle name="CALC Currency Total 6 5" xfId="18607"/>
    <cellStyle name="CALC Currency Total 6 5 2" xfId="26926"/>
    <cellStyle name="CALC Currency Total 6 5 2 2" xfId="45801"/>
    <cellStyle name="CALC Currency Total 6 5 3" xfId="34094"/>
    <cellStyle name="CALC Currency Total 6 5 4" xfId="45802"/>
    <cellStyle name="CALC Currency Total 6 6" xfId="19575"/>
    <cellStyle name="CALC Currency Total 6 6 2" xfId="27896"/>
    <cellStyle name="CALC Currency Total 6 6 2 2" xfId="45803"/>
    <cellStyle name="CALC Currency Total 6 6 3" xfId="35041"/>
    <cellStyle name="CALC Currency Total 6 6 4" xfId="45804"/>
    <cellStyle name="CALC Currency Total 6 7" xfId="20533"/>
    <cellStyle name="CALC Currency Total 6 7 2" xfId="28855"/>
    <cellStyle name="CALC Currency Total 6 7 2 2" xfId="45805"/>
    <cellStyle name="CALC Currency Total 6 7 3" xfId="35958"/>
    <cellStyle name="CALC Currency Total 6 7 4" xfId="45806"/>
    <cellStyle name="CALC Currency Total 6 8" xfId="21138"/>
    <cellStyle name="CALC Currency Total 6 8 2" xfId="29452"/>
    <cellStyle name="CALC Currency Total 6 8 2 2" xfId="45807"/>
    <cellStyle name="CALC Currency Total 6 8 3" xfId="36524"/>
    <cellStyle name="CALC Currency Total 6 8 4" xfId="45808"/>
    <cellStyle name="CALC Currency Total 6 9" xfId="21968"/>
    <cellStyle name="CALC Currency Total 6 9 2" xfId="30269"/>
    <cellStyle name="CALC Currency Total 6 9 2 2" xfId="45809"/>
    <cellStyle name="CALC Currency Total 6 9 3" xfId="37309"/>
    <cellStyle name="CALC Currency Total 6 9 4" xfId="45810"/>
    <cellStyle name="CALC Currency Total 60" xfId="15027"/>
    <cellStyle name="CALC Currency Total 60 10" xfId="23387"/>
    <cellStyle name="CALC Currency Total 60 10 2" xfId="45811"/>
    <cellStyle name="CALC Currency Total 60 11" xfId="45812"/>
    <cellStyle name="CALC Currency Total 60 12" xfId="45813"/>
    <cellStyle name="CALC Currency Total 60 2" xfId="16107"/>
    <cellStyle name="CALC Currency Total 60 2 2" xfId="24422"/>
    <cellStyle name="CALC Currency Total 60 2 2 2" xfId="45814"/>
    <cellStyle name="CALC Currency Total 60 2 3" xfId="31700"/>
    <cellStyle name="CALC Currency Total 60 2 4" xfId="45815"/>
    <cellStyle name="CALC Currency Total 60 3" xfId="17074"/>
    <cellStyle name="CALC Currency Total 60 3 2" xfId="25395"/>
    <cellStyle name="CALC Currency Total 60 3 2 2" xfId="45816"/>
    <cellStyle name="CALC Currency Total 60 3 3" xfId="32634"/>
    <cellStyle name="CALC Currency Total 60 3 4" xfId="45817"/>
    <cellStyle name="CALC Currency Total 60 4" xfId="18101"/>
    <cellStyle name="CALC Currency Total 60 4 2" xfId="26421"/>
    <cellStyle name="CALC Currency Total 60 4 2 2" xfId="45818"/>
    <cellStyle name="CALC Currency Total 60 4 3" xfId="33611"/>
    <cellStyle name="CALC Currency Total 60 4 4" xfId="45819"/>
    <cellStyle name="CALC Currency Total 60 5" xfId="19085"/>
    <cellStyle name="CALC Currency Total 60 5 2" xfId="27405"/>
    <cellStyle name="CALC Currency Total 60 5 2 2" xfId="45820"/>
    <cellStyle name="CALC Currency Total 60 5 3" xfId="34554"/>
    <cellStyle name="CALC Currency Total 60 5 4" xfId="45821"/>
    <cellStyle name="CALC Currency Total 60 6" xfId="20053"/>
    <cellStyle name="CALC Currency Total 60 6 2" xfId="28375"/>
    <cellStyle name="CALC Currency Total 60 6 2 2" xfId="45822"/>
    <cellStyle name="CALC Currency Total 60 6 3" xfId="35501"/>
    <cellStyle name="CALC Currency Total 60 6 4" xfId="45823"/>
    <cellStyle name="CALC Currency Total 60 7" xfId="21010"/>
    <cellStyle name="CALC Currency Total 60 7 2" xfId="29327"/>
    <cellStyle name="CALC Currency Total 60 7 2 2" xfId="45824"/>
    <cellStyle name="CALC Currency Total 60 7 3" xfId="36408"/>
    <cellStyle name="CALC Currency Total 60 7 4" xfId="45825"/>
    <cellStyle name="CALC Currency Total 60 8" xfId="21517"/>
    <cellStyle name="CALC Currency Total 60 8 2" xfId="29818"/>
    <cellStyle name="CALC Currency Total 60 8 2 2" xfId="45826"/>
    <cellStyle name="CALC Currency Total 60 8 3" xfId="36878"/>
    <cellStyle name="CALC Currency Total 60 8 4" xfId="45827"/>
    <cellStyle name="CALC Currency Total 60 9" xfId="22445"/>
    <cellStyle name="CALC Currency Total 60 9 2" xfId="30741"/>
    <cellStyle name="CALC Currency Total 60 9 2 2" xfId="45828"/>
    <cellStyle name="CALC Currency Total 60 9 3" xfId="37761"/>
    <cellStyle name="CALC Currency Total 60 9 4" xfId="45829"/>
    <cellStyle name="CALC Currency Total 61" xfId="14999"/>
    <cellStyle name="CALC Currency Total 61 10" xfId="23360"/>
    <cellStyle name="CALC Currency Total 61 10 2" xfId="45830"/>
    <cellStyle name="CALC Currency Total 61 11" xfId="45831"/>
    <cellStyle name="CALC Currency Total 61 12" xfId="45832"/>
    <cellStyle name="CALC Currency Total 61 2" xfId="16080"/>
    <cellStyle name="CALC Currency Total 61 2 2" xfId="24395"/>
    <cellStyle name="CALC Currency Total 61 2 2 2" xfId="45833"/>
    <cellStyle name="CALC Currency Total 61 2 3" xfId="31674"/>
    <cellStyle name="CALC Currency Total 61 2 4" xfId="45834"/>
    <cellStyle name="CALC Currency Total 61 3" xfId="17046"/>
    <cellStyle name="CALC Currency Total 61 3 2" xfId="25367"/>
    <cellStyle name="CALC Currency Total 61 3 2 2" xfId="45835"/>
    <cellStyle name="CALC Currency Total 61 3 3" xfId="32607"/>
    <cellStyle name="CALC Currency Total 61 3 4" xfId="45836"/>
    <cellStyle name="CALC Currency Total 61 4" xfId="18073"/>
    <cellStyle name="CALC Currency Total 61 4 2" xfId="26393"/>
    <cellStyle name="CALC Currency Total 61 4 2 2" xfId="45837"/>
    <cellStyle name="CALC Currency Total 61 4 3" xfId="33584"/>
    <cellStyle name="CALC Currency Total 61 4 4" xfId="45838"/>
    <cellStyle name="CALC Currency Total 61 5" xfId="19057"/>
    <cellStyle name="CALC Currency Total 61 5 2" xfId="27377"/>
    <cellStyle name="CALC Currency Total 61 5 2 2" xfId="45839"/>
    <cellStyle name="CALC Currency Total 61 5 3" xfId="34527"/>
    <cellStyle name="CALC Currency Total 61 5 4" xfId="45840"/>
    <cellStyle name="CALC Currency Total 61 6" xfId="20025"/>
    <cellStyle name="CALC Currency Total 61 6 2" xfId="28347"/>
    <cellStyle name="CALC Currency Total 61 6 2 2" xfId="45841"/>
    <cellStyle name="CALC Currency Total 61 6 3" xfId="35474"/>
    <cellStyle name="CALC Currency Total 61 6 4" xfId="45842"/>
    <cellStyle name="CALC Currency Total 61 7" xfId="20983"/>
    <cellStyle name="CALC Currency Total 61 7 2" xfId="29300"/>
    <cellStyle name="CALC Currency Total 61 7 2 2" xfId="45843"/>
    <cellStyle name="CALC Currency Total 61 7 3" xfId="36382"/>
    <cellStyle name="CALC Currency Total 61 7 4" xfId="45844"/>
    <cellStyle name="CALC Currency Total 61 8" xfId="21490"/>
    <cellStyle name="CALC Currency Total 61 8 2" xfId="29791"/>
    <cellStyle name="CALC Currency Total 61 8 2 2" xfId="45845"/>
    <cellStyle name="CALC Currency Total 61 8 3" xfId="36852"/>
    <cellStyle name="CALC Currency Total 61 8 4" xfId="45846"/>
    <cellStyle name="CALC Currency Total 61 9" xfId="22418"/>
    <cellStyle name="CALC Currency Total 61 9 2" xfId="30714"/>
    <cellStyle name="CALC Currency Total 61 9 2 2" xfId="45847"/>
    <cellStyle name="CALC Currency Total 61 9 3" xfId="37735"/>
    <cellStyle name="CALC Currency Total 61 9 4" xfId="45848"/>
    <cellStyle name="CALC Currency Total 62" xfId="15051"/>
    <cellStyle name="CALC Currency Total 62 10" xfId="23411"/>
    <cellStyle name="CALC Currency Total 62 10 2" xfId="45849"/>
    <cellStyle name="CALC Currency Total 62 11" xfId="45850"/>
    <cellStyle name="CALC Currency Total 62 12" xfId="45851"/>
    <cellStyle name="CALC Currency Total 62 2" xfId="16131"/>
    <cellStyle name="CALC Currency Total 62 2 2" xfId="24446"/>
    <cellStyle name="CALC Currency Total 62 2 2 2" xfId="45852"/>
    <cellStyle name="CALC Currency Total 62 2 3" xfId="31723"/>
    <cellStyle name="CALC Currency Total 62 2 4" xfId="45853"/>
    <cellStyle name="CALC Currency Total 62 3" xfId="17098"/>
    <cellStyle name="CALC Currency Total 62 3 2" xfId="25419"/>
    <cellStyle name="CALC Currency Total 62 3 2 2" xfId="45854"/>
    <cellStyle name="CALC Currency Total 62 3 3" xfId="32657"/>
    <cellStyle name="CALC Currency Total 62 3 4" xfId="45855"/>
    <cellStyle name="CALC Currency Total 62 4" xfId="18125"/>
    <cellStyle name="CALC Currency Total 62 4 2" xfId="26445"/>
    <cellStyle name="CALC Currency Total 62 4 2 2" xfId="45856"/>
    <cellStyle name="CALC Currency Total 62 4 3" xfId="33634"/>
    <cellStyle name="CALC Currency Total 62 4 4" xfId="45857"/>
    <cellStyle name="CALC Currency Total 62 5" xfId="19109"/>
    <cellStyle name="CALC Currency Total 62 5 2" xfId="27429"/>
    <cellStyle name="CALC Currency Total 62 5 2 2" xfId="45858"/>
    <cellStyle name="CALC Currency Total 62 5 3" xfId="34577"/>
    <cellStyle name="CALC Currency Total 62 5 4" xfId="45859"/>
    <cellStyle name="CALC Currency Total 62 6" xfId="20077"/>
    <cellStyle name="CALC Currency Total 62 6 2" xfId="28399"/>
    <cellStyle name="CALC Currency Total 62 6 2 2" xfId="45860"/>
    <cellStyle name="CALC Currency Total 62 6 3" xfId="35524"/>
    <cellStyle name="CALC Currency Total 62 6 4" xfId="45861"/>
    <cellStyle name="CALC Currency Total 62 7" xfId="21034"/>
    <cellStyle name="CALC Currency Total 62 7 2" xfId="29351"/>
    <cellStyle name="CALC Currency Total 62 7 2 2" xfId="45862"/>
    <cellStyle name="CALC Currency Total 62 7 3" xfId="36431"/>
    <cellStyle name="CALC Currency Total 62 7 4" xfId="45863"/>
    <cellStyle name="CALC Currency Total 62 8" xfId="21541"/>
    <cellStyle name="CALC Currency Total 62 8 2" xfId="29842"/>
    <cellStyle name="CALC Currency Total 62 8 2 2" xfId="45864"/>
    <cellStyle name="CALC Currency Total 62 8 3" xfId="36901"/>
    <cellStyle name="CALC Currency Total 62 8 4" xfId="45865"/>
    <cellStyle name="CALC Currency Total 62 9" xfId="22469"/>
    <cellStyle name="CALC Currency Total 62 9 2" xfId="30765"/>
    <cellStyle name="CALC Currency Total 62 9 2 2" xfId="45866"/>
    <cellStyle name="CALC Currency Total 62 9 3" xfId="37784"/>
    <cellStyle name="CALC Currency Total 62 9 4" xfId="45867"/>
    <cellStyle name="CALC Currency Total 63" xfId="15071"/>
    <cellStyle name="CALC Currency Total 63 10" xfId="23431"/>
    <cellStyle name="CALC Currency Total 63 10 2" xfId="45868"/>
    <cellStyle name="CALC Currency Total 63 11" xfId="45869"/>
    <cellStyle name="CALC Currency Total 63 12" xfId="45870"/>
    <cellStyle name="CALC Currency Total 63 2" xfId="16151"/>
    <cellStyle name="CALC Currency Total 63 2 2" xfId="24466"/>
    <cellStyle name="CALC Currency Total 63 2 2 2" xfId="45871"/>
    <cellStyle name="CALC Currency Total 63 2 3" xfId="31743"/>
    <cellStyle name="CALC Currency Total 63 2 4" xfId="45872"/>
    <cellStyle name="CALC Currency Total 63 3" xfId="17118"/>
    <cellStyle name="CALC Currency Total 63 3 2" xfId="25439"/>
    <cellStyle name="CALC Currency Total 63 3 2 2" xfId="45873"/>
    <cellStyle name="CALC Currency Total 63 3 3" xfId="32677"/>
    <cellStyle name="CALC Currency Total 63 3 4" xfId="45874"/>
    <cellStyle name="CALC Currency Total 63 4" xfId="18145"/>
    <cellStyle name="CALC Currency Total 63 4 2" xfId="26465"/>
    <cellStyle name="CALC Currency Total 63 4 2 2" xfId="45875"/>
    <cellStyle name="CALC Currency Total 63 4 3" xfId="33654"/>
    <cellStyle name="CALC Currency Total 63 4 4" xfId="45876"/>
    <cellStyle name="CALC Currency Total 63 5" xfId="19129"/>
    <cellStyle name="CALC Currency Total 63 5 2" xfId="27449"/>
    <cellStyle name="CALC Currency Total 63 5 2 2" xfId="45877"/>
    <cellStyle name="CALC Currency Total 63 5 3" xfId="34597"/>
    <cellStyle name="CALC Currency Total 63 5 4" xfId="45878"/>
    <cellStyle name="CALC Currency Total 63 6" xfId="20097"/>
    <cellStyle name="CALC Currency Total 63 6 2" xfId="28419"/>
    <cellStyle name="CALC Currency Total 63 6 2 2" xfId="45879"/>
    <cellStyle name="CALC Currency Total 63 6 3" xfId="35544"/>
    <cellStyle name="CALC Currency Total 63 6 4" xfId="45880"/>
    <cellStyle name="CALC Currency Total 63 7" xfId="21054"/>
    <cellStyle name="CALC Currency Total 63 7 2" xfId="29371"/>
    <cellStyle name="CALC Currency Total 63 7 2 2" xfId="45881"/>
    <cellStyle name="CALC Currency Total 63 7 3" xfId="36451"/>
    <cellStyle name="CALC Currency Total 63 7 4" xfId="45882"/>
    <cellStyle name="CALC Currency Total 63 8" xfId="21561"/>
    <cellStyle name="CALC Currency Total 63 8 2" xfId="29862"/>
    <cellStyle name="CALC Currency Total 63 8 2 2" xfId="45883"/>
    <cellStyle name="CALC Currency Total 63 8 3" xfId="36921"/>
    <cellStyle name="CALC Currency Total 63 8 4" xfId="45884"/>
    <cellStyle name="CALC Currency Total 63 9" xfId="22489"/>
    <cellStyle name="CALC Currency Total 63 9 2" xfId="30785"/>
    <cellStyle name="CALC Currency Total 63 9 2 2" xfId="45885"/>
    <cellStyle name="CALC Currency Total 63 9 3" xfId="37804"/>
    <cellStyle name="CALC Currency Total 63 9 4" xfId="45886"/>
    <cellStyle name="CALC Currency Total 64" xfId="15055"/>
    <cellStyle name="CALC Currency Total 64 10" xfId="23415"/>
    <cellStyle name="CALC Currency Total 64 10 2" xfId="45887"/>
    <cellStyle name="CALC Currency Total 64 11" xfId="45888"/>
    <cellStyle name="CALC Currency Total 64 12" xfId="45889"/>
    <cellStyle name="CALC Currency Total 64 2" xfId="16135"/>
    <cellStyle name="CALC Currency Total 64 2 2" xfId="24450"/>
    <cellStyle name="CALC Currency Total 64 2 2 2" xfId="45890"/>
    <cellStyle name="CALC Currency Total 64 2 3" xfId="31727"/>
    <cellStyle name="CALC Currency Total 64 2 4" xfId="45891"/>
    <cellStyle name="CALC Currency Total 64 3" xfId="17102"/>
    <cellStyle name="CALC Currency Total 64 3 2" xfId="25423"/>
    <cellStyle name="CALC Currency Total 64 3 2 2" xfId="45892"/>
    <cellStyle name="CALC Currency Total 64 3 3" xfId="32661"/>
    <cellStyle name="CALC Currency Total 64 3 4" xfId="45893"/>
    <cellStyle name="CALC Currency Total 64 4" xfId="18129"/>
    <cellStyle name="CALC Currency Total 64 4 2" xfId="26449"/>
    <cellStyle name="CALC Currency Total 64 4 2 2" xfId="45894"/>
    <cellStyle name="CALC Currency Total 64 4 3" xfId="33638"/>
    <cellStyle name="CALC Currency Total 64 4 4" xfId="45895"/>
    <cellStyle name="CALC Currency Total 64 5" xfId="19113"/>
    <cellStyle name="CALC Currency Total 64 5 2" xfId="27433"/>
    <cellStyle name="CALC Currency Total 64 5 2 2" xfId="45896"/>
    <cellStyle name="CALC Currency Total 64 5 3" xfId="34581"/>
    <cellStyle name="CALC Currency Total 64 5 4" xfId="45897"/>
    <cellStyle name="CALC Currency Total 64 6" xfId="20081"/>
    <cellStyle name="CALC Currency Total 64 6 2" xfId="28403"/>
    <cellStyle name="CALC Currency Total 64 6 2 2" xfId="45898"/>
    <cellStyle name="CALC Currency Total 64 6 3" xfId="35528"/>
    <cellStyle name="CALC Currency Total 64 6 4" xfId="45899"/>
    <cellStyle name="CALC Currency Total 64 7" xfId="21038"/>
    <cellStyle name="CALC Currency Total 64 7 2" xfId="29355"/>
    <cellStyle name="CALC Currency Total 64 7 2 2" xfId="45900"/>
    <cellStyle name="CALC Currency Total 64 7 3" xfId="36435"/>
    <cellStyle name="CALC Currency Total 64 7 4" xfId="45901"/>
    <cellStyle name="CALC Currency Total 64 8" xfId="21545"/>
    <cellStyle name="CALC Currency Total 64 8 2" xfId="29846"/>
    <cellStyle name="CALC Currency Total 64 8 2 2" xfId="45902"/>
    <cellStyle name="CALC Currency Total 64 8 3" xfId="36905"/>
    <cellStyle name="CALC Currency Total 64 8 4" xfId="45903"/>
    <cellStyle name="CALC Currency Total 64 9" xfId="22473"/>
    <cellStyle name="CALC Currency Total 64 9 2" xfId="30769"/>
    <cellStyle name="CALC Currency Total 64 9 2 2" xfId="45904"/>
    <cellStyle name="CALC Currency Total 64 9 3" xfId="37788"/>
    <cellStyle name="CALC Currency Total 64 9 4" xfId="45905"/>
    <cellStyle name="CALC Currency Total 65" xfId="15031"/>
    <cellStyle name="CALC Currency Total 65 10" xfId="23391"/>
    <cellStyle name="CALC Currency Total 65 10 2" xfId="45906"/>
    <cellStyle name="CALC Currency Total 65 11" xfId="45907"/>
    <cellStyle name="CALC Currency Total 65 12" xfId="45908"/>
    <cellStyle name="CALC Currency Total 65 2" xfId="16111"/>
    <cellStyle name="CALC Currency Total 65 2 2" xfId="24426"/>
    <cellStyle name="CALC Currency Total 65 2 2 2" xfId="45909"/>
    <cellStyle name="CALC Currency Total 65 2 3" xfId="31704"/>
    <cellStyle name="CALC Currency Total 65 2 4" xfId="45910"/>
    <cellStyle name="CALC Currency Total 65 3" xfId="17078"/>
    <cellStyle name="CALC Currency Total 65 3 2" xfId="25399"/>
    <cellStyle name="CALC Currency Total 65 3 2 2" xfId="45911"/>
    <cellStyle name="CALC Currency Total 65 3 3" xfId="32638"/>
    <cellStyle name="CALC Currency Total 65 3 4" xfId="45912"/>
    <cellStyle name="CALC Currency Total 65 4" xfId="18105"/>
    <cellStyle name="CALC Currency Total 65 4 2" xfId="26425"/>
    <cellStyle name="CALC Currency Total 65 4 2 2" xfId="45913"/>
    <cellStyle name="CALC Currency Total 65 4 3" xfId="33615"/>
    <cellStyle name="CALC Currency Total 65 4 4" xfId="45914"/>
    <cellStyle name="CALC Currency Total 65 5" xfId="19089"/>
    <cellStyle name="CALC Currency Total 65 5 2" xfId="27409"/>
    <cellStyle name="CALC Currency Total 65 5 2 2" xfId="45915"/>
    <cellStyle name="CALC Currency Total 65 5 3" xfId="34558"/>
    <cellStyle name="CALC Currency Total 65 5 4" xfId="45916"/>
    <cellStyle name="CALC Currency Total 65 6" xfId="20057"/>
    <cellStyle name="CALC Currency Total 65 6 2" xfId="28379"/>
    <cellStyle name="CALC Currency Total 65 6 2 2" xfId="45917"/>
    <cellStyle name="CALC Currency Total 65 6 3" xfId="35505"/>
    <cellStyle name="CALC Currency Total 65 6 4" xfId="45918"/>
    <cellStyle name="CALC Currency Total 65 7" xfId="21014"/>
    <cellStyle name="CALC Currency Total 65 7 2" xfId="29331"/>
    <cellStyle name="CALC Currency Total 65 7 2 2" xfId="45919"/>
    <cellStyle name="CALC Currency Total 65 7 3" xfId="36412"/>
    <cellStyle name="CALC Currency Total 65 7 4" xfId="45920"/>
    <cellStyle name="CALC Currency Total 65 8" xfId="21521"/>
    <cellStyle name="CALC Currency Total 65 8 2" xfId="29822"/>
    <cellStyle name="CALC Currency Total 65 8 2 2" xfId="45921"/>
    <cellStyle name="CALC Currency Total 65 8 3" xfId="36882"/>
    <cellStyle name="CALC Currency Total 65 8 4" xfId="45922"/>
    <cellStyle name="CALC Currency Total 65 9" xfId="22449"/>
    <cellStyle name="CALC Currency Total 65 9 2" xfId="30745"/>
    <cellStyle name="CALC Currency Total 65 9 2 2" xfId="45923"/>
    <cellStyle name="CALC Currency Total 65 9 3" xfId="37765"/>
    <cellStyle name="CALC Currency Total 65 9 4" xfId="45924"/>
    <cellStyle name="CALC Currency Total 66" xfId="15083"/>
    <cellStyle name="CALC Currency Total 66 10" xfId="23442"/>
    <cellStyle name="CALC Currency Total 66 10 2" xfId="45925"/>
    <cellStyle name="CALC Currency Total 66 11" xfId="45926"/>
    <cellStyle name="CALC Currency Total 66 12" xfId="45927"/>
    <cellStyle name="CALC Currency Total 66 2" xfId="16163"/>
    <cellStyle name="CALC Currency Total 66 2 2" xfId="24477"/>
    <cellStyle name="CALC Currency Total 66 2 2 2" xfId="45928"/>
    <cellStyle name="CALC Currency Total 66 2 3" xfId="31754"/>
    <cellStyle name="CALC Currency Total 66 2 4" xfId="45929"/>
    <cellStyle name="CALC Currency Total 66 3" xfId="17130"/>
    <cellStyle name="CALC Currency Total 66 3 2" xfId="25451"/>
    <cellStyle name="CALC Currency Total 66 3 2 2" xfId="45930"/>
    <cellStyle name="CALC Currency Total 66 3 3" xfId="32688"/>
    <cellStyle name="CALC Currency Total 66 3 4" xfId="45931"/>
    <cellStyle name="CALC Currency Total 66 4" xfId="18157"/>
    <cellStyle name="CALC Currency Total 66 4 2" xfId="26477"/>
    <cellStyle name="CALC Currency Total 66 4 2 2" xfId="45932"/>
    <cellStyle name="CALC Currency Total 66 4 3" xfId="33665"/>
    <cellStyle name="CALC Currency Total 66 4 4" xfId="45933"/>
    <cellStyle name="CALC Currency Total 66 5" xfId="19141"/>
    <cellStyle name="CALC Currency Total 66 5 2" xfId="27461"/>
    <cellStyle name="CALC Currency Total 66 5 2 2" xfId="45934"/>
    <cellStyle name="CALC Currency Total 66 5 3" xfId="34609"/>
    <cellStyle name="CALC Currency Total 66 5 4" xfId="45935"/>
    <cellStyle name="CALC Currency Total 66 6" xfId="20109"/>
    <cellStyle name="CALC Currency Total 66 6 2" xfId="28431"/>
    <cellStyle name="CALC Currency Total 66 6 2 2" xfId="45936"/>
    <cellStyle name="CALC Currency Total 66 6 3" xfId="35556"/>
    <cellStyle name="CALC Currency Total 66 6 4" xfId="45937"/>
    <cellStyle name="CALC Currency Total 66 7" xfId="21065"/>
    <cellStyle name="CALC Currency Total 66 7 2" xfId="29382"/>
    <cellStyle name="CALC Currency Total 66 7 2 2" xfId="45938"/>
    <cellStyle name="CALC Currency Total 66 7 3" xfId="36461"/>
    <cellStyle name="CALC Currency Total 66 7 4" xfId="45939"/>
    <cellStyle name="CALC Currency Total 66 8" xfId="21572"/>
    <cellStyle name="CALC Currency Total 66 8 2" xfId="29873"/>
    <cellStyle name="CALC Currency Total 66 8 2 2" xfId="45940"/>
    <cellStyle name="CALC Currency Total 66 8 3" xfId="36932"/>
    <cellStyle name="CALC Currency Total 66 8 4" xfId="45941"/>
    <cellStyle name="CALC Currency Total 66 9" xfId="22500"/>
    <cellStyle name="CALC Currency Total 66 9 2" xfId="30796"/>
    <cellStyle name="CALC Currency Total 66 9 2 2" xfId="45942"/>
    <cellStyle name="CALC Currency Total 66 9 3" xfId="37815"/>
    <cellStyle name="CALC Currency Total 66 9 4" xfId="45943"/>
    <cellStyle name="CALC Currency Total 67" xfId="15070"/>
    <cellStyle name="CALC Currency Total 67 10" xfId="23430"/>
    <cellStyle name="CALC Currency Total 67 10 2" xfId="45944"/>
    <cellStyle name="CALC Currency Total 67 11" xfId="45945"/>
    <cellStyle name="CALC Currency Total 67 12" xfId="45946"/>
    <cellStyle name="CALC Currency Total 67 2" xfId="16150"/>
    <cellStyle name="CALC Currency Total 67 2 2" xfId="24465"/>
    <cellStyle name="CALC Currency Total 67 2 2 2" xfId="45947"/>
    <cellStyle name="CALC Currency Total 67 2 3" xfId="31742"/>
    <cellStyle name="CALC Currency Total 67 2 4" xfId="45948"/>
    <cellStyle name="CALC Currency Total 67 3" xfId="17117"/>
    <cellStyle name="CALC Currency Total 67 3 2" xfId="25438"/>
    <cellStyle name="CALC Currency Total 67 3 2 2" xfId="45949"/>
    <cellStyle name="CALC Currency Total 67 3 3" xfId="32676"/>
    <cellStyle name="CALC Currency Total 67 3 4" xfId="45950"/>
    <cellStyle name="CALC Currency Total 67 4" xfId="18144"/>
    <cellStyle name="CALC Currency Total 67 4 2" xfId="26464"/>
    <cellStyle name="CALC Currency Total 67 4 2 2" xfId="45951"/>
    <cellStyle name="CALC Currency Total 67 4 3" xfId="33653"/>
    <cellStyle name="CALC Currency Total 67 4 4" xfId="45952"/>
    <cellStyle name="CALC Currency Total 67 5" xfId="19128"/>
    <cellStyle name="CALC Currency Total 67 5 2" xfId="27448"/>
    <cellStyle name="CALC Currency Total 67 5 2 2" xfId="45953"/>
    <cellStyle name="CALC Currency Total 67 5 3" xfId="34596"/>
    <cellStyle name="CALC Currency Total 67 5 4" xfId="45954"/>
    <cellStyle name="CALC Currency Total 67 6" xfId="20096"/>
    <cellStyle name="CALC Currency Total 67 6 2" xfId="28418"/>
    <cellStyle name="CALC Currency Total 67 6 2 2" xfId="45955"/>
    <cellStyle name="CALC Currency Total 67 6 3" xfId="35543"/>
    <cellStyle name="CALC Currency Total 67 6 4" xfId="45956"/>
    <cellStyle name="CALC Currency Total 67 7" xfId="21053"/>
    <cellStyle name="CALC Currency Total 67 7 2" xfId="29370"/>
    <cellStyle name="CALC Currency Total 67 7 2 2" xfId="45957"/>
    <cellStyle name="CALC Currency Total 67 7 3" xfId="36450"/>
    <cellStyle name="CALC Currency Total 67 7 4" xfId="45958"/>
    <cellStyle name="CALC Currency Total 67 8" xfId="21560"/>
    <cellStyle name="CALC Currency Total 67 8 2" xfId="29861"/>
    <cellStyle name="CALC Currency Total 67 8 2 2" xfId="45959"/>
    <cellStyle name="CALC Currency Total 67 8 3" xfId="36920"/>
    <cellStyle name="CALC Currency Total 67 8 4" xfId="45960"/>
    <cellStyle name="CALC Currency Total 67 9" xfId="22488"/>
    <cellStyle name="CALC Currency Total 67 9 2" xfId="30784"/>
    <cellStyle name="CALC Currency Total 67 9 2 2" xfId="45961"/>
    <cellStyle name="CALC Currency Total 67 9 3" xfId="37803"/>
    <cellStyle name="CALC Currency Total 67 9 4" xfId="45962"/>
    <cellStyle name="CALC Currency Total 68" xfId="15025"/>
    <cellStyle name="CALC Currency Total 68 10" xfId="23385"/>
    <cellStyle name="CALC Currency Total 68 10 2" xfId="45963"/>
    <cellStyle name="CALC Currency Total 68 11" xfId="45964"/>
    <cellStyle name="CALC Currency Total 68 12" xfId="45965"/>
    <cellStyle name="CALC Currency Total 68 2" xfId="16105"/>
    <cellStyle name="CALC Currency Total 68 2 2" xfId="24420"/>
    <cellStyle name="CALC Currency Total 68 2 2 2" xfId="45966"/>
    <cellStyle name="CALC Currency Total 68 2 3" xfId="31698"/>
    <cellStyle name="CALC Currency Total 68 2 4" xfId="45967"/>
    <cellStyle name="CALC Currency Total 68 3" xfId="17072"/>
    <cellStyle name="CALC Currency Total 68 3 2" xfId="25393"/>
    <cellStyle name="CALC Currency Total 68 3 2 2" xfId="45968"/>
    <cellStyle name="CALC Currency Total 68 3 3" xfId="32632"/>
    <cellStyle name="CALC Currency Total 68 3 4" xfId="45969"/>
    <cellStyle name="CALC Currency Total 68 4" xfId="18099"/>
    <cellStyle name="CALC Currency Total 68 4 2" xfId="26419"/>
    <cellStyle name="CALC Currency Total 68 4 2 2" xfId="45970"/>
    <cellStyle name="CALC Currency Total 68 4 3" xfId="33609"/>
    <cellStyle name="CALC Currency Total 68 4 4" xfId="45971"/>
    <cellStyle name="CALC Currency Total 68 5" xfId="19083"/>
    <cellStyle name="CALC Currency Total 68 5 2" xfId="27403"/>
    <cellStyle name="CALC Currency Total 68 5 2 2" xfId="45972"/>
    <cellStyle name="CALC Currency Total 68 5 3" xfId="34552"/>
    <cellStyle name="CALC Currency Total 68 5 4" xfId="45973"/>
    <cellStyle name="CALC Currency Total 68 6" xfId="20051"/>
    <cellStyle name="CALC Currency Total 68 6 2" xfId="28373"/>
    <cellStyle name="CALC Currency Total 68 6 2 2" xfId="45974"/>
    <cellStyle name="CALC Currency Total 68 6 3" xfId="35499"/>
    <cellStyle name="CALC Currency Total 68 6 4" xfId="45975"/>
    <cellStyle name="CALC Currency Total 68 7" xfId="21008"/>
    <cellStyle name="CALC Currency Total 68 7 2" xfId="29325"/>
    <cellStyle name="CALC Currency Total 68 7 2 2" xfId="45976"/>
    <cellStyle name="CALC Currency Total 68 7 3" xfId="36406"/>
    <cellStyle name="CALC Currency Total 68 7 4" xfId="45977"/>
    <cellStyle name="CALC Currency Total 68 8" xfId="21515"/>
    <cellStyle name="CALC Currency Total 68 8 2" xfId="29816"/>
    <cellStyle name="CALC Currency Total 68 8 2 2" xfId="45978"/>
    <cellStyle name="CALC Currency Total 68 8 3" xfId="36876"/>
    <cellStyle name="CALC Currency Total 68 8 4" xfId="45979"/>
    <cellStyle name="CALC Currency Total 68 9" xfId="22443"/>
    <cellStyle name="CALC Currency Total 68 9 2" xfId="30739"/>
    <cellStyle name="CALC Currency Total 68 9 2 2" xfId="45980"/>
    <cellStyle name="CALC Currency Total 68 9 3" xfId="37759"/>
    <cellStyle name="CALC Currency Total 68 9 4" xfId="45981"/>
    <cellStyle name="CALC Currency Total 69" xfId="15065"/>
    <cellStyle name="CALC Currency Total 69 10" xfId="23425"/>
    <cellStyle name="CALC Currency Total 69 10 2" xfId="45982"/>
    <cellStyle name="CALC Currency Total 69 11" xfId="45983"/>
    <cellStyle name="CALC Currency Total 69 12" xfId="45984"/>
    <cellStyle name="CALC Currency Total 69 2" xfId="16145"/>
    <cellStyle name="CALC Currency Total 69 2 2" xfId="24460"/>
    <cellStyle name="CALC Currency Total 69 2 2 2" xfId="45985"/>
    <cellStyle name="CALC Currency Total 69 2 3" xfId="31737"/>
    <cellStyle name="CALC Currency Total 69 2 4" xfId="45986"/>
    <cellStyle name="CALC Currency Total 69 3" xfId="17112"/>
    <cellStyle name="CALC Currency Total 69 3 2" xfId="25433"/>
    <cellStyle name="CALC Currency Total 69 3 2 2" xfId="45987"/>
    <cellStyle name="CALC Currency Total 69 3 3" xfId="32671"/>
    <cellStyle name="CALC Currency Total 69 3 4" xfId="45988"/>
    <cellStyle name="CALC Currency Total 69 4" xfId="18139"/>
    <cellStyle name="CALC Currency Total 69 4 2" xfId="26459"/>
    <cellStyle name="CALC Currency Total 69 4 2 2" xfId="45989"/>
    <cellStyle name="CALC Currency Total 69 4 3" xfId="33648"/>
    <cellStyle name="CALC Currency Total 69 4 4" xfId="45990"/>
    <cellStyle name="CALC Currency Total 69 5" xfId="19123"/>
    <cellStyle name="CALC Currency Total 69 5 2" xfId="27443"/>
    <cellStyle name="CALC Currency Total 69 5 2 2" xfId="45991"/>
    <cellStyle name="CALC Currency Total 69 5 3" xfId="34591"/>
    <cellStyle name="CALC Currency Total 69 5 4" xfId="45992"/>
    <cellStyle name="CALC Currency Total 69 6" xfId="20091"/>
    <cellStyle name="CALC Currency Total 69 6 2" xfId="28413"/>
    <cellStyle name="CALC Currency Total 69 6 2 2" xfId="45993"/>
    <cellStyle name="CALC Currency Total 69 6 3" xfId="35538"/>
    <cellStyle name="CALC Currency Total 69 6 4" xfId="45994"/>
    <cellStyle name="CALC Currency Total 69 7" xfId="21048"/>
    <cellStyle name="CALC Currency Total 69 7 2" xfId="29365"/>
    <cellStyle name="CALC Currency Total 69 7 2 2" xfId="45995"/>
    <cellStyle name="CALC Currency Total 69 7 3" xfId="36445"/>
    <cellStyle name="CALC Currency Total 69 7 4" xfId="45996"/>
    <cellStyle name="CALC Currency Total 69 8" xfId="21555"/>
    <cellStyle name="CALC Currency Total 69 8 2" xfId="29856"/>
    <cellStyle name="CALC Currency Total 69 8 2 2" xfId="45997"/>
    <cellStyle name="CALC Currency Total 69 8 3" xfId="36915"/>
    <cellStyle name="CALC Currency Total 69 8 4" xfId="45998"/>
    <cellStyle name="CALC Currency Total 69 9" xfId="22483"/>
    <cellStyle name="CALC Currency Total 69 9 2" xfId="30779"/>
    <cellStyle name="CALC Currency Total 69 9 2 2" xfId="45999"/>
    <cellStyle name="CALC Currency Total 69 9 3" xfId="37798"/>
    <cellStyle name="CALC Currency Total 69 9 4" xfId="46000"/>
    <cellStyle name="CALC Currency Total 7" xfId="14611"/>
    <cellStyle name="CALC Currency Total 7 10" xfId="22972"/>
    <cellStyle name="CALC Currency Total 7 10 2" xfId="46001"/>
    <cellStyle name="CALC Currency Total 7 11" xfId="46002"/>
    <cellStyle name="CALC Currency Total 7 2" xfId="15691"/>
    <cellStyle name="CALC Currency Total 7 2 2" xfId="24007"/>
    <cellStyle name="CALC Currency Total 7 2 2 2" xfId="46003"/>
    <cellStyle name="CALC Currency Total 7 2 3" xfId="31301"/>
    <cellStyle name="CALC Currency Total 7 2 4" xfId="46004"/>
    <cellStyle name="CALC Currency Total 7 3" xfId="16658"/>
    <cellStyle name="CALC Currency Total 7 3 2" xfId="24978"/>
    <cellStyle name="CALC Currency Total 7 3 2 2" xfId="46005"/>
    <cellStyle name="CALC Currency Total 7 3 3" xfId="32234"/>
    <cellStyle name="CALC Currency Total 7 3 4" xfId="46006"/>
    <cellStyle name="CALC Currency Total 7 4" xfId="17680"/>
    <cellStyle name="CALC Currency Total 7 4 2" xfId="26004"/>
    <cellStyle name="CALC Currency Total 7 4 2 2" xfId="46007"/>
    <cellStyle name="CALC Currency Total 7 4 3" xfId="33211"/>
    <cellStyle name="CALC Currency Total 7 4 4" xfId="46008"/>
    <cellStyle name="CALC Currency Total 7 5" xfId="18663"/>
    <cellStyle name="CALC Currency Total 7 5 2" xfId="26984"/>
    <cellStyle name="CALC Currency Total 7 5 2 2" xfId="46009"/>
    <cellStyle name="CALC Currency Total 7 5 3" xfId="34149"/>
    <cellStyle name="CALC Currency Total 7 5 4" xfId="46010"/>
    <cellStyle name="CALC Currency Total 7 6" xfId="19632"/>
    <cellStyle name="CALC Currency Total 7 6 2" xfId="27953"/>
    <cellStyle name="CALC Currency Total 7 6 2 2" xfId="46011"/>
    <cellStyle name="CALC Currency Total 7 6 3" xfId="35095"/>
    <cellStyle name="CALC Currency Total 7 6 4" xfId="46012"/>
    <cellStyle name="CALC Currency Total 7 7" xfId="20589"/>
    <cellStyle name="CALC Currency Total 7 7 2" xfId="28911"/>
    <cellStyle name="CALC Currency Total 7 7 2 2" xfId="46013"/>
    <cellStyle name="CALC Currency Total 7 7 3" xfId="36011"/>
    <cellStyle name="CALC Currency Total 7 7 4" xfId="46014"/>
    <cellStyle name="CALC Currency Total 7 8" xfId="18552"/>
    <cellStyle name="CALC Currency Total 7 8 2" xfId="26869"/>
    <cellStyle name="CALC Currency Total 7 8 2 2" xfId="46015"/>
    <cellStyle name="CALC Currency Total 7 8 3" xfId="34039"/>
    <cellStyle name="CALC Currency Total 7 8 4" xfId="46016"/>
    <cellStyle name="CALC Currency Total 7 9" xfId="22026"/>
    <cellStyle name="CALC Currency Total 7 9 2" xfId="30325"/>
    <cellStyle name="CALC Currency Total 7 9 2 2" xfId="46017"/>
    <cellStyle name="CALC Currency Total 7 9 3" xfId="37362"/>
    <cellStyle name="CALC Currency Total 7 9 4" xfId="46018"/>
    <cellStyle name="CALC Currency Total 70" xfId="15016"/>
    <cellStyle name="CALC Currency Total 70 10" xfId="23376"/>
    <cellStyle name="CALC Currency Total 70 10 2" xfId="46019"/>
    <cellStyle name="CALC Currency Total 70 11" xfId="46020"/>
    <cellStyle name="CALC Currency Total 70 12" xfId="46021"/>
    <cellStyle name="CALC Currency Total 70 2" xfId="16096"/>
    <cellStyle name="CALC Currency Total 70 2 2" xfId="24411"/>
    <cellStyle name="CALC Currency Total 70 2 2 2" xfId="46022"/>
    <cellStyle name="CALC Currency Total 70 2 3" xfId="31689"/>
    <cellStyle name="CALC Currency Total 70 2 4" xfId="46023"/>
    <cellStyle name="CALC Currency Total 70 3" xfId="17063"/>
    <cellStyle name="CALC Currency Total 70 3 2" xfId="25384"/>
    <cellStyle name="CALC Currency Total 70 3 2 2" xfId="46024"/>
    <cellStyle name="CALC Currency Total 70 3 3" xfId="32623"/>
    <cellStyle name="CALC Currency Total 70 3 4" xfId="46025"/>
    <cellStyle name="CALC Currency Total 70 4" xfId="18090"/>
    <cellStyle name="CALC Currency Total 70 4 2" xfId="26410"/>
    <cellStyle name="CALC Currency Total 70 4 2 2" xfId="46026"/>
    <cellStyle name="CALC Currency Total 70 4 3" xfId="33600"/>
    <cellStyle name="CALC Currency Total 70 4 4" xfId="46027"/>
    <cellStyle name="CALC Currency Total 70 5" xfId="19074"/>
    <cellStyle name="CALC Currency Total 70 5 2" xfId="27394"/>
    <cellStyle name="CALC Currency Total 70 5 2 2" xfId="46028"/>
    <cellStyle name="CALC Currency Total 70 5 3" xfId="34543"/>
    <cellStyle name="CALC Currency Total 70 5 4" xfId="46029"/>
    <cellStyle name="CALC Currency Total 70 6" xfId="20042"/>
    <cellStyle name="CALC Currency Total 70 6 2" xfId="28364"/>
    <cellStyle name="CALC Currency Total 70 6 2 2" xfId="46030"/>
    <cellStyle name="CALC Currency Total 70 6 3" xfId="35490"/>
    <cellStyle name="CALC Currency Total 70 6 4" xfId="46031"/>
    <cellStyle name="CALC Currency Total 70 7" xfId="20999"/>
    <cellStyle name="CALC Currency Total 70 7 2" xfId="29316"/>
    <cellStyle name="CALC Currency Total 70 7 2 2" xfId="46032"/>
    <cellStyle name="CALC Currency Total 70 7 3" xfId="36397"/>
    <cellStyle name="CALC Currency Total 70 7 4" xfId="46033"/>
    <cellStyle name="CALC Currency Total 70 8" xfId="21506"/>
    <cellStyle name="CALC Currency Total 70 8 2" xfId="29807"/>
    <cellStyle name="CALC Currency Total 70 8 2 2" xfId="46034"/>
    <cellStyle name="CALC Currency Total 70 8 3" xfId="36867"/>
    <cellStyle name="CALC Currency Total 70 8 4" xfId="46035"/>
    <cellStyle name="CALC Currency Total 70 9" xfId="22434"/>
    <cellStyle name="CALC Currency Total 70 9 2" xfId="30730"/>
    <cellStyle name="CALC Currency Total 70 9 2 2" xfId="46036"/>
    <cellStyle name="CALC Currency Total 70 9 3" xfId="37750"/>
    <cellStyle name="CALC Currency Total 70 9 4" xfId="46037"/>
    <cellStyle name="CALC Currency Total 71" xfId="15047"/>
    <cellStyle name="CALC Currency Total 71 10" xfId="23407"/>
    <cellStyle name="CALC Currency Total 71 10 2" xfId="46038"/>
    <cellStyle name="CALC Currency Total 71 11" xfId="46039"/>
    <cellStyle name="CALC Currency Total 71 12" xfId="46040"/>
    <cellStyle name="CALC Currency Total 71 2" xfId="16127"/>
    <cellStyle name="CALC Currency Total 71 2 2" xfId="24442"/>
    <cellStyle name="CALC Currency Total 71 2 2 2" xfId="46041"/>
    <cellStyle name="CALC Currency Total 71 2 3" xfId="31719"/>
    <cellStyle name="CALC Currency Total 71 2 4" xfId="46042"/>
    <cellStyle name="CALC Currency Total 71 3" xfId="17094"/>
    <cellStyle name="CALC Currency Total 71 3 2" xfId="25415"/>
    <cellStyle name="CALC Currency Total 71 3 2 2" xfId="46043"/>
    <cellStyle name="CALC Currency Total 71 3 3" xfId="32653"/>
    <cellStyle name="CALC Currency Total 71 3 4" xfId="46044"/>
    <cellStyle name="CALC Currency Total 71 4" xfId="18121"/>
    <cellStyle name="CALC Currency Total 71 4 2" xfId="26441"/>
    <cellStyle name="CALC Currency Total 71 4 2 2" xfId="46045"/>
    <cellStyle name="CALC Currency Total 71 4 3" xfId="33630"/>
    <cellStyle name="CALC Currency Total 71 4 4" xfId="46046"/>
    <cellStyle name="CALC Currency Total 71 5" xfId="19105"/>
    <cellStyle name="CALC Currency Total 71 5 2" xfId="27425"/>
    <cellStyle name="CALC Currency Total 71 5 2 2" xfId="46047"/>
    <cellStyle name="CALC Currency Total 71 5 3" xfId="34573"/>
    <cellStyle name="CALC Currency Total 71 5 4" xfId="46048"/>
    <cellStyle name="CALC Currency Total 71 6" xfId="20073"/>
    <cellStyle name="CALC Currency Total 71 6 2" xfId="28395"/>
    <cellStyle name="CALC Currency Total 71 6 2 2" xfId="46049"/>
    <cellStyle name="CALC Currency Total 71 6 3" xfId="35520"/>
    <cellStyle name="CALC Currency Total 71 6 4" xfId="46050"/>
    <cellStyle name="CALC Currency Total 71 7" xfId="21030"/>
    <cellStyle name="CALC Currency Total 71 7 2" xfId="29347"/>
    <cellStyle name="CALC Currency Total 71 7 2 2" xfId="46051"/>
    <cellStyle name="CALC Currency Total 71 7 3" xfId="36427"/>
    <cellStyle name="CALC Currency Total 71 7 4" xfId="46052"/>
    <cellStyle name="CALC Currency Total 71 8" xfId="21537"/>
    <cellStyle name="CALC Currency Total 71 8 2" xfId="29838"/>
    <cellStyle name="CALC Currency Total 71 8 2 2" xfId="46053"/>
    <cellStyle name="CALC Currency Total 71 8 3" xfId="36897"/>
    <cellStyle name="CALC Currency Total 71 8 4" xfId="46054"/>
    <cellStyle name="CALC Currency Total 71 9" xfId="22465"/>
    <cellStyle name="CALC Currency Total 71 9 2" xfId="30761"/>
    <cellStyle name="CALC Currency Total 71 9 2 2" xfId="46055"/>
    <cellStyle name="CALC Currency Total 71 9 3" xfId="37780"/>
    <cellStyle name="CALC Currency Total 71 9 4" xfId="46056"/>
    <cellStyle name="CALC Currency Total 72" xfId="15082"/>
    <cellStyle name="CALC Currency Total 72 10" xfId="23441"/>
    <cellStyle name="CALC Currency Total 72 10 2" xfId="46057"/>
    <cellStyle name="CALC Currency Total 72 11" xfId="46058"/>
    <cellStyle name="CALC Currency Total 72 12" xfId="46059"/>
    <cellStyle name="CALC Currency Total 72 2" xfId="16162"/>
    <cellStyle name="CALC Currency Total 72 2 2" xfId="24476"/>
    <cellStyle name="CALC Currency Total 72 2 2 2" xfId="46060"/>
    <cellStyle name="CALC Currency Total 72 2 3" xfId="31753"/>
    <cellStyle name="CALC Currency Total 72 2 4" xfId="46061"/>
    <cellStyle name="CALC Currency Total 72 3" xfId="17129"/>
    <cellStyle name="CALC Currency Total 72 3 2" xfId="25450"/>
    <cellStyle name="CALC Currency Total 72 3 2 2" xfId="46062"/>
    <cellStyle name="CALC Currency Total 72 3 3" xfId="32687"/>
    <cellStyle name="CALC Currency Total 72 3 4" xfId="46063"/>
    <cellStyle name="CALC Currency Total 72 4" xfId="18156"/>
    <cellStyle name="CALC Currency Total 72 4 2" xfId="26476"/>
    <cellStyle name="CALC Currency Total 72 4 2 2" xfId="46064"/>
    <cellStyle name="CALC Currency Total 72 4 3" xfId="33664"/>
    <cellStyle name="CALC Currency Total 72 4 4" xfId="46065"/>
    <cellStyle name="CALC Currency Total 72 5" xfId="19140"/>
    <cellStyle name="CALC Currency Total 72 5 2" xfId="27460"/>
    <cellStyle name="CALC Currency Total 72 5 2 2" xfId="46066"/>
    <cellStyle name="CALC Currency Total 72 5 3" xfId="34608"/>
    <cellStyle name="CALC Currency Total 72 5 4" xfId="46067"/>
    <cellStyle name="CALC Currency Total 72 6" xfId="20108"/>
    <cellStyle name="CALC Currency Total 72 6 2" xfId="28430"/>
    <cellStyle name="CALC Currency Total 72 6 2 2" xfId="46068"/>
    <cellStyle name="CALC Currency Total 72 6 3" xfId="35555"/>
    <cellStyle name="CALC Currency Total 72 6 4" xfId="46069"/>
    <cellStyle name="CALC Currency Total 72 7" xfId="21064"/>
    <cellStyle name="CALC Currency Total 72 7 2" xfId="29381"/>
    <cellStyle name="CALC Currency Total 72 7 2 2" xfId="46070"/>
    <cellStyle name="CALC Currency Total 72 7 3" xfId="36460"/>
    <cellStyle name="CALC Currency Total 72 7 4" xfId="46071"/>
    <cellStyle name="CALC Currency Total 72 8" xfId="21571"/>
    <cellStyle name="CALC Currency Total 72 8 2" xfId="29872"/>
    <cellStyle name="CALC Currency Total 72 8 2 2" xfId="46072"/>
    <cellStyle name="CALC Currency Total 72 8 3" xfId="36931"/>
    <cellStyle name="CALC Currency Total 72 8 4" xfId="46073"/>
    <cellStyle name="CALC Currency Total 72 9" xfId="22499"/>
    <cellStyle name="CALC Currency Total 72 9 2" xfId="30795"/>
    <cellStyle name="CALC Currency Total 72 9 2 2" xfId="46074"/>
    <cellStyle name="CALC Currency Total 72 9 3" xfId="37814"/>
    <cellStyle name="CALC Currency Total 72 9 4" xfId="46075"/>
    <cellStyle name="CALC Currency Total 73" xfId="15118"/>
    <cellStyle name="CALC Currency Total 73 10" xfId="46076"/>
    <cellStyle name="CALC Currency Total 73 11" xfId="46077"/>
    <cellStyle name="CALC Currency Total 73 2" xfId="16198"/>
    <cellStyle name="CALC Currency Total 73 2 2" xfId="24511"/>
    <cellStyle name="CALC Currency Total 73 2 2 2" xfId="46078"/>
    <cellStyle name="CALC Currency Total 73 2 3" xfId="31788"/>
    <cellStyle name="CALC Currency Total 73 2 4" xfId="46079"/>
    <cellStyle name="CALC Currency Total 73 3" xfId="17164"/>
    <cellStyle name="CALC Currency Total 73 3 2" xfId="25485"/>
    <cellStyle name="CALC Currency Total 73 3 2 2" xfId="46080"/>
    <cellStyle name="CALC Currency Total 73 3 3" xfId="32721"/>
    <cellStyle name="CALC Currency Total 73 3 4" xfId="46081"/>
    <cellStyle name="CALC Currency Total 73 4" xfId="18192"/>
    <cellStyle name="CALC Currency Total 73 4 2" xfId="26512"/>
    <cellStyle name="CALC Currency Total 73 4 2 2" xfId="46082"/>
    <cellStyle name="CALC Currency Total 73 4 3" xfId="33699"/>
    <cellStyle name="CALC Currency Total 73 4 4" xfId="46083"/>
    <cellStyle name="CALC Currency Total 73 5" xfId="19176"/>
    <cellStyle name="CALC Currency Total 73 5 2" xfId="27496"/>
    <cellStyle name="CALC Currency Total 73 5 2 2" xfId="46084"/>
    <cellStyle name="CALC Currency Total 73 5 3" xfId="34644"/>
    <cellStyle name="CALC Currency Total 73 5 4" xfId="46085"/>
    <cellStyle name="CALC Currency Total 73 6" xfId="20144"/>
    <cellStyle name="CALC Currency Total 73 6 2" xfId="28466"/>
    <cellStyle name="CALC Currency Total 73 6 2 2" xfId="46086"/>
    <cellStyle name="CALC Currency Total 73 6 3" xfId="35591"/>
    <cellStyle name="CALC Currency Total 73 6 4" xfId="46087"/>
    <cellStyle name="CALC Currency Total 73 7" xfId="21605"/>
    <cellStyle name="CALC Currency Total 73 7 2" xfId="29906"/>
    <cellStyle name="CALC Currency Total 73 7 2 2" xfId="46088"/>
    <cellStyle name="CALC Currency Total 73 7 3" xfId="36965"/>
    <cellStyle name="CALC Currency Total 73 7 4" xfId="46089"/>
    <cellStyle name="CALC Currency Total 73 8" xfId="22533"/>
    <cellStyle name="CALC Currency Total 73 8 2" xfId="30829"/>
    <cellStyle name="CALC Currency Total 73 8 2 2" xfId="46090"/>
    <cellStyle name="CALC Currency Total 73 8 3" xfId="37848"/>
    <cellStyle name="CALC Currency Total 73 8 4" xfId="46091"/>
    <cellStyle name="CALC Currency Total 73 9" xfId="23475"/>
    <cellStyle name="CALC Currency Total 73 9 2" xfId="46092"/>
    <cellStyle name="CALC Currency Total 74" xfId="15097"/>
    <cellStyle name="CALC Currency Total 74 10" xfId="46093"/>
    <cellStyle name="CALC Currency Total 74 11" xfId="46094"/>
    <cellStyle name="CALC Currency Total 74 2" xfId="16177"/>
    <cellStyle name="CALC Currency Total 74 2 2" xfId="24490"/>
    <cellStyle name="CALC Currency Total 74 2 2 2" xfId="46095"/>
    <cellStyle name="CALC Currency Total 74 2 3" xfId="31767"/>
    <cellStyle name="CALC Currency Total 74 2 4" xfId="46096"/>
    <cellStyle name="CALC Currency Total 74 3" xfId="17143"/>
    <cellStyle name="CALC Currency Total 74 3 2" xfId="25464"/>
    <cellStyle name="CALC Currency Total 74 3 2 2" xfId="46097"/>
    <cellStyle name="CALC Currency Total 74 3 3" xfId="32700"/>
    <cellStyle name="CALC Currency Total 74 3 4" xfId="46098"/>
    <cellStyle name="CALC Currency Total 74 4" xfId="18171"/>
    <cellStyle name="CALC Currency Total 74 4 2" xfId="26491"/>
    <cellStyle name="CALC Currency Total 74 4 2 2" xfId="46099"/>
    <cellStyle name="CALC Currency Total 74 4 3" xfId="33678"/>
    <cellStyle name="CALC Currency Total 74 4 4" xfId="46100"/>
    <cellStyle name="CALC Currency Total 74 5" xfId="19155"/>
    <cellStyle name="CALC Currency Total 74 5 2" xfId="27475"/>
    <cellStyle name="CALC Currency Total 74 5 2 2" xfId="46101"/>
    <cellStyle name="CALC Currency Total 74 5 3" xfId="34623"/>
    <cellStyle name="CALC Currency Total 74 5 4" xfId="46102"/>
    <cellStyle name="CALC Currency Total 74 6" xfId="20123"/>
    <cellStyle name="CALC Currency Total 74 6 2" xfId="28445"/>
    <cellStyle name="CALC Currency Total 74 6 2 2" xfId="46103"/>
    <cellStyle name="CALC Currency Total 74 6 3" xfId="35570"/>
    <cellStyle name="CALC Currency Total 74 6 4" xfId="46104"/>
    <cellStyle name="CALC Currency Total 74 7" xfId="21584"/>
    <cellStyle name="CALC Currency Total 74 7 2" xfId="29885"/>
    <cellStyle name="CALC Currency Total 74 7 2 2" xfId="46105"/>
    <cellStyle name="CALC Currency Total 74 7 3" xfId="36944"/>
    <cellStyle name="CALC Currency Total 74 7 4" xfId="46106"/>
    <cellStyle name="CALC Currency Total 74 8" xfId="22512"/>
    <cellStyle name="CALC Currency Total 74 8 2" xfId="30808"/>
    <cellStyle name="CALC Currency Total 74 8 2 2" xfId="46107"/>
    <cellStyle name="CALC Currency Total 74 8 3" xfId="37827"/>
    <cellStyle name="CALC Currency Total 74 8 4" xfId="46108"/>
    <cellStyle name="CALC Currency Total 74 9" xfId="23454"/>
    <cellStyle name="CALC Currency Total 74 9 2" xfId="46109"/>
    <cellStyle name="CALC Currency Total 75" xfId="15105"/>
    <cellStyle name="CALC Currency Total 75 10" xfId="46110"/>
    <cellStyle name="CALC Currency Total 75 11" xfId="46111"/>
    <cellStyle name="CALC Currency Total 75 2" xfId="16185"/>
    <cellStyle name="CALC Currency Total 75 2 2" xfId="24498"/>
    <cellStyle name="CALC Currency Total 75 2 2 2" xfId="46112"/>
    <cellStyle name="CALC Currency Total 75 2 3" xfId="31775"/>
    <cellStyle name="CALC Currency Total 75 2 4" xfId="46113"/>
    <cellStyle name="CALC Currency Total 75 3" xfId="17151"/>
    <cellStyle name="CALC Currency Total 75 3 2" xfId="25472"/>
    <cellStyle name="CALC Currency Total 75 3 2 2" xfId="46114"/>
    <cellStyle name="CALC Currency Total 75 3 3" xfId="32708"/>
    <cellStyle name="CALC Currency Total 75 3 4" xfId="46115"/>
    <cellStyle name="CALC Currency Total 75 4" xfId="18179"/>
    <cellStyle name="CALC Currency Total 75 4 2" xfId="26499"/>
    <cellStyle name="CALC Currency Total 75 4 2 2" xfId="46116"/>
    <cellStyle name="CALC Currency Total 75 4 3" xfId="33686"/>
    <cellStyle name="CALC Currency Total 75 4 4" xfId="46117"/>
    <cellStyle name="CALC Currency Total 75 5" xfId="19163"/>
    <cellStyle name="CALC Currency Total 75 5 2" xfId="27483"/>
    <cellStyle name="CALC Currency Total 75 5 2 2" xfId="46118"/>
    <cellStyle name="CALC Currency Total 75 5 3" xfId="34631"/>
    <cellStyle name="CALC Currency Total 75 5 4" xfId="46119"/>
    <cellStyle name="CALC Currency Total 75 6" xfId="20131"/>
    <cellStyle name="CALC Currency Total 75 6 2" xfId="28453"/>
    <cellStyle name="CALC Currency Total 75 6 2 2" xfId="46120"/>
    <cellStyle name="CALC Currency Total 75 6 3" xfId="35578"/>
    <cellStyle name="CALC Currency Total 75 6 4" xfId="46121"/>
    <cellStyle name="CALC Currency Total 75 7" xfId="21592"/>
    <cellStyle name="CALC Currency Total 75 7 2" xfId="29893"/>
    <cellStyle name="CALC Currency Total 75 7 2 2" xfId="46122"/>
    <cellStyle name="CALC Currency Total 75 7 3" xfId="36952"/>
    <cellStyle name="CALC Currency Total 75 7 4" xfId="46123"/>
    <cellStyle name="CALC Currency Total 75 8" xfId="22520"/>
    <cellStyle name="CALC Currency Total 75 8 2" xfId="30816"/>
    <cellStyle name="CALC Currency Total 75 8 2 2" xfId="46124"/>
    <cellStyle name="CALC Currency Total 75 8 3" xfId="37835"/>
    <cellStyle name="CALC Currency Total 75 8 4" xfId="46125"/>
    <cellStyle name="CALC Currency Total 75 9" xfId="23462"/>
    <cellStyle name="CALC Currency Total 75 9 2" xfId="46126"/>
    <cellStyle name="CALC Currency Total 76" xfId="15184"/>
    <cellStyle name="CALC Currency Total 76 10" xfId="46127"/>
    <cellStyle name="CALC Currency Total 76 11" xfId="46128"/>
    <cellStyle name="CALC Currency Total 76 2" xfId="16264"/>
    <cellStyle name="CALC Currency Total 76 2 2" xfId="24577"/>
    <cellStyle name="CALC Currency Total 76 2 2 2" xfId="46129"/>
    <cellStyle name="CALC Currency Total 76 2 3" xfId="31849"/>
    <cellStyle name="CALC Currency Total 76 2 4" xfId="46130"/>
    <cellStyle name="CALC Currency Total 76 3" xfId="17230"/>
    <cellStyle name="CALC Currency Total 76 3 2" xfId="25551"/>
    <cellStyle name="CALC Currency Total 76 3 2 2" xfId="46131"/>
    <cellStyle name="CALC Currency Total 76 3 3" xfId="32782"/>
    <cellStyle name="CALC Currency Total 76 3 4" xfId="46132"/>
    <cellStyle name="CALC Currency Total 76 4" xfId="18258"/>
    <cellStyle name="CALC Currency Total 76 4 2" xfId="26578"/>
    <cellStyle name="CALC Currency Total 76 4 2 2" xfId="46133"/>
    <cellStyle name="CALC Currency Total 76 4 3" xfId="33760"/>
    <cellStyle name="CALC Currency Total 76 4 4" xfId="46134"/>
    <cellStyle name="CALC Currency Total 76 5" xfId="19242"/>
    <cellStyle name="CALC Currency Total 76 5 2" xfId="27562"/>
    <cellStyle name="CALC Currency Total 76 5 2 2" xfId="46135"/>
    <cellStyle name="CALC Currency Total 76 5 3" xfId="34710"/>
    <cellStyle name="CALC Currency Total 76 5 4" xfId="46136"/>
    <cellStyle name="CALC Currency Total 76 6" xfId="20210"/>
    <cellStyle name="CALC Currency Total 76 6 2" xfId="28532"/>
    <cellStyle name="CALC Currency Total 76 6 2 2" xfId="46137"/>
    <cellStyle name="CALC Currency Total 76 6 3" xfId="35652"/>
    <cellStyle name="CALC Currency Total 76 6 4" xfId="46138"/>
    <cellStyle name="CALC Currency Total 76 7" xfId="21671"/>
    <cellStyle name="CALC Currency Total 76 7 2" xfId="29972"/>
    <cellStyle name="CALC Currency Total 76 7 2 2" xfId="46139"/>
    <cellStyle name="CALC Currency Total 76 7 3" xfId="37026"/>
    <cellStyle name="CALC Currency Total 76 7 4" xfId="46140"/>
    <cellStyle name="CALC Currency Total 76 8" xfId="22599"/>
    <cellStyle name="CALC Currency Total 76 8 2" xfId="30895"/>
    <cellStyle name="CALC Currency Total 76 8 2 2" xfId="46141"/>
    <cellStyle name="CALC Currency Total 76 8 3" xfId="37909"/>
    <cellStyle name="CALC Currency Total 76 8 4" xfId="46142"/>
    <cellStyle name="CALC Currency Total 76 9" xfId="23541"/>
    <cellStyle name="CALC Currency Total 76 9 2" xfId="46143"/>
    <cellStyle name="CALC Currency Total 77" xfId="15177"/>
    <cellStyle name="CALC Currency Total 77 10" xfId="46144"/>
    <cellStyle name="CALC Currency Total 77 11" xfId="46145"/>
    <cellStyle name="CALC Currency Total 77 2" xfId="16257"/>
    <cellStyle name="CALC Currency Total 77 2 2" xfId="24570"/>
    <cellStyle name="CALC Currency Total 77 2 2 2" xfId="46146"/>
    <cellStyle name="CALC Currency Total 77 2 3" xfId="31842"/>
    <cellStyle name="CALC Currency Total 77 2 4" xfId="46147"/>
    <cellStyle name="CALC Currency Total 77 3" xfId="17223"/>
    <cellStyle name="CALC Currency Total 77 3 2" xfId="25544"/>
    <cellStyle name="CALC Currency Total 77 3 2 2" xfId="46148"/>
    <cellStyle name="CALC Currency Total 77 3 3" xfId="32775"/>
    <cellStyle name="CALC Currency Total 77 3 4" xfId="46149"/>
    <cellStyle name="CALC Currency Total 77 4" xfId="18251"/>
    <cellStyle name="CALC Currency Total 77 4 2" xfId="26571"/>
    <cellStyle name="CALC Currency Total 77 4 2 2" xfId="46150"/>
    <cellStyle name="CALC Currency Total 77 4 3" xfId="33753"/>
    <cellStyle name="CALC Currency Total 77 4 4" xfId="46151"/>
    <cellStyle name="CALC Currency Total 77 5" xfId="19235"/>
    <cellStyle name="CALC Currency Total 77 5 2" xfId="27555"/>
    <cellStyle name="CALC Currency Total 77 5 2 2" xfId="46152"/>
    <cellStyle name="CALC Currency Total 77 5 3" xfId="34703"/>
    <cellStyle name="CALC Currency Total 77 5 4" xfId="46153"/>
    <cellStyle name="CALC Currency Total 77 6" xfId="20203"/>
    <cellStyle name="CALC Currency Total 77 6 2" xfId="28525"/>
    <cellStyle name="CALC Currency Total 77 6 2 2" xfId="46154"/>
    <cellStyle name="CALC Currency Total 77 6 3" xfId="35645"/>
    <cellStyle name="CALC Currency Total 77 6 4" xfId="46155"/>
    <cellStyle name="CALC Currency Total 77 7" xfId="21664"/>
    <cellStyle name="CALC Currency Total 77 7 2" xfId="29965"/>
    <cellStyle name="CALC Currency Total 77 7 2 2" xfId="46156"/>
    <cellStyle name="CALC Currency Total 77 7 3" xfId="37019"/>
    <cellStyle name="CALC Currency Total 77 7 4" xfId="46157"/>
    <cellStyle name="CALC Currency Total 77 8" xfId="22592"/>
    <cellStyle name="CALC Currency Total 77 8 2" xfId="30888"/>
    <cellStyle name="CALC Currency Total 77 8 2 2" xfId="46158"/>
    <cellStyle name="CALC Currency Total 77 8 3" xfId="37902"/>
    <cellStyle name="CALC Currency Total 77 8 4" xfId="46159"/>
    <cellStyle name="CALC Currency Total 77 9" xfId="23534"/>
    <cellStyle name="CALC Currency Total 77 9 2" xfId="46160"/>
    <cellStyle name="CALC Currency Total 78" xfId="15240"/>
    <cellStyle name="CALC Currency Total 78 10" xfId="46161"/>
    <cellStyle name="CALC Currency Total 78 11" xfId="46162"/>
    <cellStyle name="CALC Currency Total 78 2" xfId="16320"/>
    <cellStyle name="CALC Currency Total 78 2 2" xfId="24633"/>
    <cellStyle name="CALC Currency Total 78 2 2 2" xfId="46163"/>
    <cellStyle name="CALC Currency Total 78 2 3" xfId="31900"/>
    <cellStyle name="CALC Currency Total 78 2 4" xfId="46164"/>
    <cellStyle name="CALC Currency Total 78 3" xfId="17286"/>
    <cellStyle name="CALC Currency Total 78 3 2" xfId="25607"/>
    <cellStyle name="CALC Currency Total 78 3 2 2" xfId="46165"/>
    <cellStyle name="CALC Currency Total 78 3 3" xfId="32833"/>
    <cellStyle name="CALC Currency Total 78 3 4" xfId="46166"/>
    <cellStyle name="CALC Currency Total 78 4" xfId="18314"/>
    <cellStyle name="CALC Currency Total 78 4 2" xfId="26634"/>
    <cellStyle name="CALC Currency Total 78 4 2 2" xfId="46167"/>
    <cellStyle name="CALC Currency Total 78 4 3" xfId="33811"/>
    <cellStyle name="CALC Currency Total 78 4 4" xfId="46168"/>
    <cellStyle name="CALC Currency Total 78 5" xfId="19298"/>
    <cellStyle name="CALC Currency Total 78 5 2" xfId="27618"/>
    <cellStyle name="CALC Currency Total 78 5 2 2" xfId="46169"/>
    <cellStyle name="CALC Currency Total 78 5 3" xfId="34766"/>
    <cellStyle name="CALC Currency Total 78 5 4" xfId="46170"/>
    <cellStyle name="CALC Currency Total 78 6" xfId="20266"/>
    <cellStyle name="CALC Currency Total 78 6 2" xfId="28588"/>
    <cellStyle name="CALC Currency Total 78 6 2 2" xfId="46171"/>
    <cellStyle name="CALC Currency Total 78 6 3" xfId="35703"/>
    <cellStyle name="CALC Currency Total 78 6 4" xfId="46172"/>
    <cellStyle name="CALC Currency Total 78 7" xfId="21727"/>
    <cellStyle name="CALC Currency Total 78 7 2" xfId="30028"/>
    <cellStyle name="CALC Currency Total 78 7 2 2" xfId="46173"/>
    <cellStyle name="CALC Currency Total 78 7 3" xfId="37077"/>
    <cellStyle name="CALC Currency Total 78 7 4" xfId="46174"/>
    <cellStyle name="CALC Currency Total 78 8" xfId="22655"/>
    <cellStyle name="CALC Currency Total 78 8 2" xfId="30951"/>
    <cellStyle name="CALC Currency Total 78 8 2 2" xfId="46175"/>
    <cellStyle name="CALC Currency Total 78 8 3" xfId="37960"/>
    <cellStyle name="CALC Currency Total 78 8 4" xfId="46176"/>
    <cellStyle name="CALC Currency Total 78 9" xfId="23597"/>
    <cellStyle name="CALC Currency Total 78 9 2" xfId="46177"/>
    <cellStyle name="CALC Currency Total 79" xfId="15236"/>
    <cellStyle name="CALC Currency Total 79 10" xfId="46178"/>
    <cellStyle name="CALC Currency Total 79 11" xfId="46179"/>
    <cellStyle name="CALC Currency Total 79 2" xfId="16316"/>
    <cellStyle name="CALC Currency Total 79 2 2" xfId="24629"/>
    <cellStyle name="CALC Currency Total 79 2 2 2" xfId="46180"/>
    <cellStyle name="CALC Currency Total 79 2 3" xfId="31896"/>
    <cellStyle name="CALC Currency Total 79 2 4" xfId="46181"/>
    <cellStyle name="CALC Currency Total 79 3" xfId="17282"/>
    <cellStyle name="CALC Currency Total 79 3 2" xfId="25603"/>
    <cellStyle name="CALC Currency Total 79 3 2 2" xfId="46182"/>
    <cellStyle name="CALC Currency Total 79 3 3" xfId="32829"/>
    <cellStyle name="CALC Currency Total 79 3 4" xfId="46183"/>
    <cellStyle name="CALC Currency Total 79 4" xfId="18310"/>
    <cellStyle name="CALC Currency Total 79 4 2" xfId="26630"/>
    <cellStyle name="CALC Currency Total 79 4 2 2" xfId="46184"/>
    <cellStyle name="CALC Currency Total 79 4 3" xfId="33807"/>
    <cellStyle name="CALC Currency Total 79 4 4" xfId="46185"/>
    <cellStyle name="CALC Currency Total 79 5" xfId="19294"/>
    <cellStyle name="CALC Currency Total 79 5 2" xfId="27614"/>
    <cellStyle name="CALC Currency Total 79 5 2 2" xfId="46186"/>
    <cellStyle name="CALC Currency Total 79 5 3" xfId="34762"/>
    <cellStyle name="CALC Currency Total 79 5 4" xfId="46187"/>
    <cellStyle name="CALC Currency Total 79 6" xfId="20262"/>
    <cellStyle name="CALC Currency Total 79 6 2" xfId="28584"/>
    <cellStyle name="CALC Currency Total 79 6 2 2" xfId="46188"/>
    <cellStyle name="CALC Currency Total 79 6 3" xfId="35699"/>
    <cellStyle name="CALC Currency Total 79 6 4" xfId="46189"/>
    <cellStyle name="CALC Currency Total 79 7" xfId="21723"/>
    <cellStyle name="CALC Currency Total 79 7 2" xfId="30024"/>
    <cellStyle name="CALC Currency Total 79 7 2 2" xfId="46190"/>
    <cellStyle name="CALC Currency Total 79 7 3" xfId="37073"/>
    <cellStyle name="CALC Currency Total 79 7 4" xfId="46191"/>
    <cellStyle name="CALC Currency Total 79 8" xfId="22651"/>
    <cellStyle name="CALC Currency Total 79 8 2" xfId="30947"/>
    <cellStyle name="CALC Currency Total 79 8 2 2" xfId="46192"/>
    <cellStyle name="CALC Currency Total 79 8 3" xfId="37956"/>
    <cellStyle name="CALC Currency Total 79 8 4" xfId="46193"/>
    <cellStyle name="CALC Currency Total 79 9" xfId="23593"/>
    <cellStyle name="CALC Currency Total 79 9 2" xfId="46194"/>
    <cellStyle name="CALC Currency Total 8" xfId="14587"/>
    <cellStyle name="CALC Currency Total 8 10" xfId="22946"/>
    <cellStyle name="CALC Currency Total 8 10 2" xfId="46195"/>
    <cellStyle name="CALC Currency Total 8 11" xfId="46196"/>
    <cellStyle name="CALC Currency Total 8 2" xfId="15667"/>
    <cellStyle name="CALC Currency Total 8 2 2" xfId="23982"/>
    <cellStyle name="CALC Currency Total 8 2 2 2" xfId="46197"/>
    <cellStyle name="CALC Currency Total 8 2 3" xfId="31279"/>
    <cellStyle name="CALC Currency Total 8 2 4" xfId="46198"/>
    <cellStyle name="CALC Currency Total 8 3" xfId="16634"/>
    <cellStyle name="CALC Currency Total 8 3 2" xfId="24953"/>
    <cellStyle name="CALC Currency Total 8 3 2 2" xfId="46199"/>
    <cellStyle name="CALC Currency Total 8 3 3" xfId="32212"/>
    <cellStyle name="CALC Currency Total 8 3 4" xfId="46200"/>
    <cellStyle name="CALC Currency Total 8 4" xfId="17655"/>
    <cellStyle name="CALC Currency Total 8 4 2" xfId="25979"/>
    <cellStyle name="CALC Currency Total 8 4 2 2" xfId="46201"/>
    <cellStyle name="CALC Currency Total 8 4 3" xfId="33189"/>
    <cellStyle name="CALC Currency Total 8 4 4" xfId="46202"/>
    <cellStyle name="CALC Currency Total 8 5" xfId="18638"/>
    <cellStyle name="CALC Currency Total 8 5 2" xfId="26958"/>
    <cellStyle name="CALC Currency Total 8 5 2 2" xfId="46203"/>
    <cellStyle name="CALC Currency Total 8 5 3" xfId="34126"/>
    <cellStyle name="CALC Currency Total 8 5 4" xfId="46204"/>
    <cellStyle name="CALC Currency Total 8 6" xfId="19607"/>
    <cellStyle name="CALC Currency Total 8 6 2" xfId="27927"/>
    <cellStyle name="CALC Currency Total 8 6 2 2" xfId="46205"/>
    <cellStyle name="CALC Currency Total 8 6 3" xfId="35072"/>
    <cellStyle name="CALC Currency Total 8 6 4" xfId="46206"/>
    <cellStyle name="CALC Currency Total 8 7" xfId="20564"/>
    <cellStyle name="CALC Currency Total 8 7 2" xfId="28886"/>
    <cellStyle name="CALC Currency Total 8 7 2 2" xfId="46207"/>
    <cellStyle name="CALC Currency Total 8 7 3" xfId="35989"/>
    <cellStyle name="CALC Currency Total 8 7 4" xfId="46208"/>
    <cellStyle name="CALC Currency Total 8 8" xfId="21084"/>
    <cellStyle name="CALC Currency Total 8 8 2" xfId="29401"/>
    <cellStyle name="CALC Currency Total 8 8 2 2" xfId="46209"/>
    <cellStyle name="CALC Currency Total 8 8 3" xfId="36477"/>
    <cellStyle name="CALC Currency Total 8 8 4" xfId="46210"/>
    <cellStyle name="CALC Currency Total 8 9" xfId="22000"/>
    <cellStyle name="CALC Currency Total 8 9 2" xfId="30300"/>
    <cellStyle name="CALC Currency Total 8 9 2 2" xfId="46211"/>
    <cellStyle name="CALC Currency Total 8 9 3" xfId="37340"/>
    <cellStyle name="CALC Currency Total 8 9 4" xfId="46212"/>
    <cellStyle name="CALC Currency Total 80" xfId="15234"/>
    <cellStyle name="CALC Currency Total 80 10" xfId="46213"/>
    <cellStyle name="CALC Currency Total 80 11" xfId="46214"/>
    <cellStyle name="CALC Currency Total 80 2" xfId="16314"/>
    <cellStyle name="CALC Currency Total 80 2 2" xfId="24627"/>
    <cellStyle name="CALC Currency Total 80 2 2 2" xfId="46215"/>
    <cellStyle name="CALC Currency Total 80 2 3" xfId="31894"/>
    <cellStyle name="CALC Currency Total 80 2 4" xfId="46216"/>
    <cellStyle name="CALC Currency Total 80 3" xfId="17280"/>
    <cellStyle name="CALC Currency Total 80 3 2" xfId="25601"/>
    <cellStyle name="CALC Currency Total 80 3 2 2" xfId="46217"/>
    <cellStyle name="CALC Currency Total 80 3 3" xfId="32827"/>
    <cellStyle name="CALC Currency Total 80 3 4" xfId="46218"/>
    <cellStyle name="CALC Currency Total 80 4" xfId="18308"/>
    <cellStyle name="CALC Currency Total 80 4 2" xfId="26628"/>
    <cellStyle name="CALC Currency Total 80 4 2 2" xfId="46219"/>
    <cellStyle name="CALC Currency Total 80 4 3" xfId="33805"/>
    <cellStyle name="CALC Currency Total 80 4 4" xfId="46220"/>
    <cellStyle name="CALC Currency Total 80 5" xfId="19292"/>
    <cellStyle name="CALC Currency Total 80 5 2" xfId="27612"/>
    <cellStyle name="CALC Currency Total 80 5 2 2" xfId="46221"/>
    <cellStyle name="CALC Currency Total 80 5 3" xfId="34760"/>
    <cellStyle name="CALC Currency Total 80 5 4" xfId="46222"/>
    <cellStyle name="CALC Currency Total 80 6" xfId="20260"/>
    <cellStyle name="CALC Currency Total 80 6 2" xfId="28582"/>
    <cellStyle name="CALC Currency Total 80 6 2 2" xfId="46223"/>
    <cellStyle name="CALC Currency Total 80 6 3" xfId="35697"/>
    <cellStyle name="CALC Currency Total 80 6 4" xfId="46224"/>
    <cellStyle name="CALC Currency Total 80 7" xfId="21721"/>
    <cellStyle name="CALC Currency Total 80 7 2" xfId="30022"/>
    <cellStyle name="CALC Currency Total 80 7 2 2" xfId="46225"/>
    <cellStyle name="CALC Currency Total 80 7 3" xfId="37071"/>
    <cellStyle name="CALC Currency Total 80 7 4" xfId="46226"/>
    <cellStyle name="CALC Currency Total 80 8" xfId="22649"/>
    <cellStyle name="CALC Currency Total 80 8 2" xfId="30945"/>
    <cellStyle name="CALC Currency Total 80 8 2 2" xfId="46227"/>
    <cellStyle name="CALC Currency Total 80 8 3" xfId="37954"/>
    <cellStyle name="CALC Currency Total 80 8 4" xfId="46228"/>
    <cellStyle name="CALC Currency Total 80 9" xfId="23591"/>
    <cellStyle name="CALC Currency Total 80 9 2" xfId="46229"/>
    <cellStyle name="CALC Currency Total 81" xfId="15275"/>
    <cellStyle name="CALC Currency Total 81 10" xfId="46230"/>
    <cellStyle name="CALC Currency Total 81 11" xfId="46231"/>
    <cellStyle name="CALC Currency Total 81 2" xfId="16355"/>
    <cellStyle name="CALC Currency Total 81 2 2" xfId="24668"/>
    <cellStyle name="CALC Currency Total 81 2 2 2" xfId="46232"/>
    <cellStyle name="CALC Currency Total 81 2 3" xfId="31935"/>
    <cellStyle name="CALC Currency Total 81 2 4" xfId="46233"/>
    <cellStyle name="CALC Currency Total 81 3" xfId="17321"/>
    <cellStyle name="CALC Currency Total 81 3 2" xfId="25642"/>
    <cellStyle name="CALC Currency Total 81 3 2 2" xfId="46234"/>
    <cellStyle name="CALC Currency Total 81 3 3" xfId="32868"/>
    <cellStyle name="CALC Currency Total 81 3 4" xfId="46235"/>
    <cellStyle name="CALC Currency Total 81 4" xfId="18349"/>
    <cellStyle name="CALC Currency Total 81 4 2" xfId="26669"/>
    <cellStyle name="CALC Currency Total 81 4 2 2" xfId="46236"/>
    <cellStyle name="CALC Currency Total 81 4 3" xfId="33846"/>
    <cellStyle name="CALC Currency Total 81 4 4" xfId="46237"/>
    <cellStyle name="CALC Currency Total 81 5" xfId="19333"/>
    <cellStyle name="CALC Currency Total 81 5 2" xfId="27653"/>
    <cellStyle name="CALC Currency Total 81 5 2 2" xfId="46238"/>
    <cellStyle name="CALC Currency Total 81 5 3" xfId="34801"/>
    <cellStyle name="CALC Currency Total 81 5 4" xfId="46239"/>
    <cellStyle name="CALC Currency Total 81 6" xfId="20301"/>
    <cellStyle name="CALC Currency Total 81 6 2" xfId="28623"/>
    <cellStyle name="CALC Currency Total 81 6 2 2" xfId="46240"/>
    <cellStyle name="CALC Currency Total 81 6 3" xfId="35738"/>
    <cellStyle name="CALC Currency Total 81 6 4" xfId="46241"/>
    <cellStyle name="CALC Currency Total 81 7" xfId="21762"/>
    <cellStyle name="CALC Currency Total 81 7 2" xfId="30063"/>
    <cellStyle name="CALC Currency Total 81 7 2 2" xfId="46242"/>
    <cellStyle name="CALC Currency Total 81 7 3" xfId="37112"/>
    <cellStyle name="CALC Currency Total 81 7 4" xfId="46243"/>
    <cellStyle name="CALC Currency Total 81 8" xfId="22690"/>
    <cellStyle name="CALC Currency Total 81 8 2" xfId="30986"/>
    <cellStyle name="CALC Currency Total 81 8 2 2" xfId="46244"/>
    <cellStyle name="CALC Currency Total 81 8 3" xfId="37995"/>
    <cellStyle name="CALC Currency Total 81 8 4" xfId="46245"/>
    <cellStyle name="CALC Currency Total 81 9" xfId="23632"/>
    <cellStyle name="CALC Currency Total 81 9 2" xfId="46246"/>
    <cellStyle name="CALC Currency Total 82" xfId="15301"/>
    <cellStyle name="CALC Currency Total 82 10" xfId="46247"/>
    <cellStyle name="CALC Currency Total 82 11" xfId="46248"/>
    <cellStyle name="CALC Currency Total 82 2" xfId="16381"/>
    <cellStyle name="CALC Currency Total 82 2 2" xfId="24694"/>
    <cellStyle name="CALC Currency Total 82 2 2 2" xfId="46249"/>
    <cellStyle name="CALC Currency Total 82 2 3" xfId="31960"/>
    <cellStyle name="CALC Currency Total 82 2 4" xfId="46250"/>
    <cellStyle name="CALC Currency Total 82 3" xfId="17347"/>
    <cellStyle name="CALC Currency Total 82 3 2" xfId="25668"/>
    <cellStyle name="CALC Currency Total 82 3 2 2" xfId="46251"/>
    <cellStyle name="CALC Currency Total 82 3 3" xfId="32893"/>
    <cellStyle name="CALC Currency Total 82 3 4" xfId="46252"/>
    <cellStyle name="CALC Currency Total 82 4" xfId="18375"/>
    <cellStyle name="CALC Currency Total 82 4 2" xfId="26695"/>
    <cellStyle name="CALC Currency Total 82 4 2 2" xfId="46253"/>
    <cellStyle name="CALC Currency Total 82 4 3" xfId="33871"/>
    <cellStyle name="CALC Currency Total 82 4 4" xfId="46254"/>
    <cellStyle name="CALC Currency Total 82 5" xfId="19358"/>
    <cellStyle name="CALC Currency Total 82 5 2" xfId="27679"/>
    <cellStyle name="CALC Currency Total 82 5 2 2" xfId="46255"/>
    <cellStyle name="CALC Currency Total 82 5 3" xfId="34827"/>
    <cellStyle name="CALC Currency Total 82 5 4" xfId="46256"/>
    <cellStyle name="CALC Currency Total 82 6" xfId="20327"/>
    <cellStyle name="CALC Currency Total 82 6 2" xfId="28649"/>
    <cellStyle name="CALC Currency Total 82 6 2 2" xfId="46257"/>
    <cellStyle name="CALC Currency Total 82 6 3" xfId="35763"/>
    <cellStyle name="CALC Currency Total 82 6 4" xfId="46258"/>
    <cellStyle name="CALC Currency Total 82 7" xfId="21788"/>
    <cellStyle name="CALC Currency Total 82 7 2" xfId="30089"/>
    <cellStyle name="CALC Currency Total 82 7 2 2" xfId="46259"/>
    <cellStyle name="CALC Currency Total 82 7 3" xfId="37137"/>
    <cellStyle name="CALC Currency Total 82 7 4" xfId="46260"/>
    <cellStyle name="CALC Currency Total 82 8" xfId="22716"/>
    <cellStyle name="CALC Currency Total 82 8 2" xfId="31012"/>
    <cellStyle name="CALC Currency Total 82 8 2 2" xfId="46261"/>
    <cellStyle name="CALC Currency Total 82 8 3" xfId="38020"/>
    <cellStyle name="CALC Currency Total 82 8 4" xfId="46262"/>
    <cellStyle name="CALC Currency Total 82 9" xfId="23658"/>
    <cellStyle name="CALC Currency Total 82 9 2" xfId="46263"/>
    <cellStyle name="CALC Currency Total 83" xfId="15248"/>
    <cellStyle name="CALC Currency Total 83 10" xfId="46264"/>
    <cellStyle name="CALC Currency Total 83 11" xfId="46265"/>
    <cellStyle name="CALC Currency Total 83 2" xfId="16328"/>
    <cellStyle name="CALC Currency Total 83 2 2" xfId="24641"/>
    <cellStyle name="CALC Currency Total 83 2 2 2" xfId="46266"/>
    <cellStyle name="CALC Currency Total 83 2 3" xfId="31908"/>
    <cellStyle name="CALC Currency Total 83 2 4" xfId="46267"/>
    <cellStyle name="CALC Currency Total 83 3" xfId="17294"/>
    <cellStyle name="CALC Currency Total 83 3 2" xfId="25615"/>
    <cellStyle name="CALC Currency Total 83 3 2 2" xfId="46268"/>
    <cellStyle name="CALC Currency Total 83 3 3" xfId="32841"/>
    <cellStyle name="CALC Currency Total 83 3 4" xfId="46269"/>
    <cellStyle name="CALC Currency Total 83 4" xfId="18322"/>
    <cellStyle name="CALC Currency Total 83 4 2" xfId="26642"/>
    <cellStyle name="CALC Currency Total 83 4 2 2" xfId="46270"/>
    <cellStyle name="CALC Currency Total 83 4 3" xfId="33819"/>
    <cellStyle name="CALC Currency Total 83 4 4" xfId="46271"/>
    <cellStyle name="CALC Currency Total 83 5" xfId="19306"/>
    <cellStyle name="CALC Currency Total 83 5 2" xfId="27626"/>
    <cellStyle name="CALC Currency Total 83 5 2 2" xfId="46272"/>
    <cellStyle name="CALC Currency Total 83 5 3" xfId="34774"/>
    <cellStyle name="CALC Currency Total 83 5 4" xfId="46273"/>
    <cellStyle name="CALC Currency Total 83 6" xfId="20274"/>
    <cellStyle name="CALC Currency Total 83 6 2" xfId="28596"/>
    <cellStyle name="CALC Currency Total 83 6 2 2" xfId="46274"/>
    <cellStyle name="CALC Currency Total 83 6 3" xfId="35711"/>
    <cellStyle name="CALC Currency Total 83 6 4" xfId="46275"/>
    <cellStyle name="CALC Currency Total 83 7" xfId="21735"/>
    <cellStyle name="CALC Currency Total 83 7 2" xfId="30036"/>
    <cellStyle name="CALC Currency Total 83 7 2 2" xfId="46276"/>
    <cellStyle name="CALC Currency Total 83 7 3" xfId="37085"/>
    <cellStyle name="CALC Currency Total 83 7 4" xfId="46277"/>
    <cellStyle name="CALC Currency Total 83 8" xfId="22663"/>
    <cellStyle name="CALC Currency Total 83 8 2" xfId="30959"/>
    <cellStyle name="CALC Currency Total 83 8 2 2" xfId="46278"/>
    <cellStyle name="CALC Currency Total 83 8 3" xfId="37968"/>
    <cellStyle name="CALC Currency Total 83 8 4" xfId="46279"/>
    <cellStyle name="CALC Currency Total 83 9" xfId="23605"/>
    <cellStyle name="CALC Currency Total 83 9 2" xfId="46280"/>
    <cellStyle name="CALC Currency Total 84" xfId="15209"/>
    <cellStyle name="CALC Currency Total 84 10" xfId="46281"/>
    <cellStyle name="CALC Currency Total 84 11" xfId="46282"/>
    <cellStyle name="CALC Currency Total 84 2" xfId="16289"/>
    <cellStyle name="CALC Currency Total 84 2 2" xfId="24602"/>
    <cellStyle name="CALC Currency Total 84 2 2 2" xfId="46283"/>
    <cellStyle name="CALC Currency Total 84 2 3" xfId="31871"/>
    <cellStyle name="CALC Currency Total 84 2 4" xfId="46284"/>
    <cellStyle name="CALC Currency Total 84 3" xfId="17255"/>
    <cellStyle name="CALC Currency Total 84 3 2" xfId="25576"/>
    <cellStyle name="CALC Currency Total 84 3 2 2" xfId="46285"/>
    <cellStyle name="CALC Currency Total 84 3 3" xfId="32804"/>
    <cellStyle name="CALC Currency Total 84 3 4" xfId="46286"/>
    <cellStyle name="CALC Currency Total 84 4" xfId="18283"/>
    <cellStyle name="CALC Currency Total 84 4 2" xfId="26603"/>
    <cellStyle name="CALC Currency Total 84 4 2 2" xfId="46287"/>
    <cellStyle name="CALC Currency Total 84 4 3" xfId="33782"/>
    <cellStyle name="CALC Currency Total 84 4 4" xfId="46288"/>
    <cellStyle name="CALC Currency Total 84 5" xfId="19267"/>
    <cellStyle name="CALC Currency Total 84 5 2" xfId="27587"/>
    <cellStyle name="CALC Currency Total 84 5 2 2" xfId="46289"/>
    <cellStyle name="CALC Currency Total 84 5 3" xfId="34735"/>
    <cellStyle name="CALC Currency Total 84 5 4" xfId="46290"/>
    <cellStyle name="CALC Currency Total 84 6" xfId="20235"/>
    <cellStyle name="CALC Currency Total 84 6 2" xfId="28557"/>
    <cellStyle name="CALC Currency Total 84 6 2 2" xfId="46291"/>
    <cellStyle name="CALC Currency Total 84 6 3" xfId="35674"/>
    <cellStyle name="CALC Currency Total 84 6 4" xfId="46292"/>
    <cellStyle name="CALC Currency Total 84 7" xfId="21696"/>
    <cellStyle name="CALC Currency Total 84 7 2" xfId="29997"/>
    <cellStyle name="CALC Currency Total 84 7 2 2" xfId="46293"/>
    <cellStyle name="CALC Currency Total 84 7 3" xfId="37048"/>
    <cellStyle name="CALC Currency Total 84 7 4" xfId="46294"/>
    <cellStyle name="CALC Currency Total 84 8" xfId="22624"/>
    <cellStyle name="CALC Currency Total 84 8 2" xfId="30920"/>
    <cellStyle name="CALC Currency Total 84 8 2 2" xfId="46295"/>
    <cellStyle name="CALC Currency Total 84 8 3" xfId="37931"/>
    <cellStyle name="CALC Currency Total 84 8 4" xfId="46296"/>
    <cellStyle name="CALC Currency Total 84 9" xfId="23566"/>
    <cellStyle name="CALC Currency Total 84 9 2" xfId="46297"/>
    <cellStyle name="CALC Currency Total 85" xfId="15253"/>
    <cellStyle name="CALC Currency Total 85 10" xfId="46298"/>
    <cellStyle name="CALC Currency Total 85 11" xfId="46299"/>
    <cellStyle name="CALC Currency Total 85 2" xfId="16333"/>
    <cellStyle name="CALC Currency Total 85 2 2" xfId="24646"/>
    <cellStyle name="CALC Currency Total 85 2 2 2" xfId="46300"/>
    <cellStyle name="CALC Currency Total 85 2 3" xfId="31913"/>
    <cellStyle name="CALC Currency Total 85 2 4" xfId="46301"/>
    <cellStyle name="CALC Currency Total 85 3" xfId="17299"/>
    <cellStyle name="CALC Currency Total 85 3 2" xfId="25620"/>
    <cellStyle name="CALC Currency Total 85 3 2 2" xfId="46302"/>
    <cellStyle name="CALC Currency Total 85 3 3" xfId="32846"/>
    <cellStyle name="CALC Currency Total 85 3 4" xfId="46303"/>
    <cellStyle name="CALC Currency Total 85 4" xfId="18327"/>
    <cellStyle name="CALC Currency Total 85 4 2" xfId="26647"/>
    <cellStyle name="CALC Currency Total 85 4 2 2" xfId="46304"/>
    <cellStyle name="CALC Currency Total 85 4 3" xfId="33824"/>
    <cellStyle name="CALC Currency Total 85 4 4" xfId="46305"/>
    <cellStyle name="CALC Currency Total 85 5" xfId="19311"/>
    <cellStyle name="CALC Currency Total 85 5 2" xfId="27631"/>
    <cellStyle name="CALC Currency Total 85 5 2 2" xfId="46306"/>
    <cellStyle name="CALC Currency Total 85 5 3" xfId="34779"/>
    <cellStyle name="CALC Currency Total 85 5 4" xfId="46307"/>
    <cellStyle name="CALC Currency Total 85 6" xfId="20279"/>
    <cellStyle name="CALC Currency Total 85 6 2" xfId="28601"/>
    <cellStyle name="CALC Currency Total 85 6 2 2" xfId="46308"/>
    <cellStyle name="CALC Currency Total 85 6 3" xfId="35716"/>
    <cellStyle name="CALC Currency Total 85 6 4" xfId="46309"/>
    <cellStyle name="CALC Currency Total 85 7" xfId="21740"/>
    <cellStyle name="CALC Currency Total 85 7 2" xfId="30041"/>
    <cellStyle name="CALC Currency Total 85 7 2 2" xfId="46310"/>
    <cellStyle name="CALC Currency Total 85 7 3" xfId="37090"/>
    <cellStyle name="CALC Currency Total 85 7 4" xfId="46311"/>
    <cellStyle name="CALC Currency Total 85 8" xfId="22668"/>
    <cellStyle name="CALC Currency Total 85 8 2" xfId="30964"/>
    <cellStyle name="CALC Currency Total 85 8 2 2" xfId="46312"/>
    <cellStyle name="CALC Currency Total 85 8 3" xfId="37973"/>
    <cellStyle name="CALC Currency Total 85 8 4" xfId="46313"/>
    <cellStyle name="CALC Currency Total 85 9" xfId="23610"/>
    <cellStyle name="CALC Currency Total 85 9 2" xfId="46314"/>
    <cellStyle name="CALC Currency Total 86" xfId="15321"/>
    <cellStyle name="CALC Currency Total 86 10" xfId="46315"/>
    <cellStyle name="CALC Currency Total 86 11" xfId="46316"/>
    <cellStyle name="CALC Currency Total 86 2" xfId="16401"/>
    <cellStyle name="CALC Currency Total 86 2 2" xfId="24714"/>
    <cellStyle name="CALC Currency Total 86 2 2 2" xfId="46317"/>
    <cellStyle name="CALC Currency Total 86 2 3" xfId="31979"/>
    <cellStyle name="CALC Currency Total 86 2 4" xfId="46318"/>
    <cellStyle name="CALC Currency Total 86 3" xfId="17367"/>
    <cellStyle name="CALC Currency Total 86 3 2" xfId="25688"/>
    <cellStyle name="CALC Currency Total 86 3 2 2" xfId="46319"/>
    <cellStyle name="CALC Currency Total 86 3 3" xfId="32912"/>
    <cellStyle name="CALC Currency Total 86 3 4" xfId="46320"/>
    <cellStyle name="CALC Currency Total 86 4" xfId="18395"/>
    <cellStyle name="CALC Currency Total 86 4 2" xfId="26715"/>
    <cellStyle name="CALC Currency Total 86 4 2 2" xfId="46321"/>
    <cellStyle name="CALC Currency Total 86 4 3" xfId="33890"/>
    <cellStyle name="CALC Currency Total 86 4 4" xfId="46322"/>
    <cellStyle name="CALC Currency Total 86 5" xfId="19378"/>
    <cellStyle name="CALC Currency Total 86 5 2" xfId="27699"/>
    <cellStyle name="CALC Currency Total 86 5 2 2" xfId="46323"/>
    <cellStyle name="CALC Currency Total 86 5 3" xfId="34847"/>
    <cellStyle name="CALC Currency Total 86 5 4" xfId="46324"/>
    <cellStyle name="CALC Currency Total 86 6" xfId="20347"/>
    <cellStyle name="CALC Currency Total 86 6 2" xfId="28669"/>
    <cellStyle name="CALC Currency Total 86 6 2 2" xfId="46325"/>
    <cellStyle name="CALC Currency Total 86 6 3" xfId="35782"/>
    <cellStyle name="CALC Currency Total 86 6 4" xfId="46326"/>
    <cellStyle name="CALC Currency Total 86 7" xfId="21808"/>
    <cellStyle name="CALC Currency Total 86 7 2" xfId="30109"/>
    <cellStyle name="CALC Currency Total 86 7 2 2" xfId="46327"/>
    <cellStyle name="CALC Currency Total 86 7 3" xfId="37156"/>
    <cellStyle name="CALC Currency Total 86 7 4" xfId="46328"/>
    <cellStyle name="CALC Currency Total 86 8" xfId="22736"/>
    <cellStyle name="CALC Currency Total 86 8 2" xfId="31032"/>
    <cellStyle name="CALC Currency Total 86 8 2 2" xfId="46329"/>
    <cellStyle name="CALC Currency Total 86 8 3" xfId="38039"/>
    <cellStyle name="CALC Currency Total 86 8 4" xfId="46330"/>
    <cellStyle name="CALC Currency Total 86 9" xfId="23678"/>
    <cellStyle name="CALC Currency Total 86 9 2" xfId="46331"/>
    <cellStyle name="CALC Currency Total 87" xfId="15218"/>
    <cellStyle name="CALC Currency Total 87 10" xfId="46332"/>
    <cellStyle name="CALC Currency Total 87 11" xfId="46333"/>
    <cellStyle name="CALC Currency Total 87 2" xfId="16298"/>
    <cellStyle name="CALC Currency Total 87 2 2" xfId="24611"/>
    <cellStyle name="CALC Currency Total 87 2 2 2" xfId="46334"/>
    <cellStyle name="CALC Currency Total 87 2 3" xfId="31880"/>
    <cellStyle name="CALC Currency Total 87 2 4" xfId="46335"/>
    <cellStyle name="CALC Currency Total 87 3" xfId="17264"/>
    <cellStyle name="CALC Currency Total 87 3 2" xfId="25585"/>
    <cellStyle name="CALC Currency Total 87 3 2 2" xfId="46336"/>
    <cellStyle name="CALC Currency Total 87 3 3" xfId="32813"/>
    <cellStyle name="CALC Currency Total 87 3 4" xfId="46337"/>
    <cellStyle name="CALC Currency Total 87 4" xfId="18292"/>
    <cellStyle name="CALC Currency Total 87 4 2" xfId="26612"/>
    <cellStyle name="CALC Currency Total 87 4 2 2" xfId="46338"/>
    <cellStyle name="CALC Currency Total 87 4 3" xfId="33791"/>
    <cellStyle name="CALC Currency Total 87 4 4" xfId="46339"/>
    <cellStyle name="CALC Currency Total 87 5" xfId="19276"/>
    <cellStyle name="CALC Currency Total 87 5 2" xfId="27596"/>
    <cellStyle name="CALC Currency Total 87 5 2 2" xfId="46340"/>
    <cellStyle name="CALC Currency Total 87 5 3" xfId="34744"/>
    <cellStyle name="CALC Currency Total 87 5 4" xfId="46341"/>
    <cellStyle name="CALC Currency Total 87 6" xfId="20244"/>
    <cellStyle name="CALC Currency Total 87 6 2" xfId="28566"/>
    <cellStyle name="CALC Currency Total 87 6 2 2" xfId="46342"/>
    <cellStyle name="CALC Currency Total 87 6 3" xfId="35683"/>
    <cellStyle name="CALC Currency Total 87 6 4" xfId="46343"/>
    <cellStyle name="CALC Currency Total 87 7" xfId="21705"/>
    <cellStyle name="CALC Currency Total 87 7 2" xfId="30006"/>
    <cellStyle name="CALC Currency Total 87 7 2 2" xfId="46344"/>
    <cellStyle name="CALC Currency Total 87 7 3" xfId="37057"/>
    <cellStyle name="CALC Currency Total 87 7 4" xfId="46345"/>
    <cellStyle name="CALC Currency Total 87 8" xfId="22633"/>
    <cellStyle name="CALC Currency Total 87 8 2" xfId="30929"/>
    <cellStyle name="CALC Currency Total 87 8 2 2" xfId="46346"/>
    <cellStyle name="CALC Currency Total 87 8 3" xfId="37940"/>
    <cellStyle name="CALC Currency Total 87 8 4" xfId="46347"/>
    <cellStyle name="CALC Currency Total 87 9" xfId="23575"/>
    <cellStyle name="CALC Currency Total 87 9 2" xfId="46348"/>
    <cellStyle name="CALC Currency Total 88" xfId="15316"/>
    <cellStyle name="CALC Currency Total 88 10" xfId="46349"/>
    <cellStyle name="CALC Currency Total 88 11" xfId="46350"/>
    <cellStyle name="CALC Currency Total 88 2" xfId="16396"/>
    <cellStyle name="CALC Currency Total 88 2 2" xfId="24709"/>
    <cellStyle name="CALC Currency Total 88 2 2 2" xfId="46351"/>
    <cellStyle name="CALC Currency Total 88 2 3" xfId="31974"/>
    <cellStyle name="CALC Currency Total 88 2 4" xfId="46352"/>
    <cellStyle name="CALC Currency Total 88 3" xfId="17362"/>
    <cellStyle name="CALC Currency Total 88 3 2" xfId="25683"/>
    <cellStyle name="CALC Currency Total 88 3 2 2" xfId="46353"/>
    <cellStyle name="CALC Currency Total 88 3 3" xfId="32907"/>
    <cellStyle name="CALC Currency Total 88 3 4" xfId="46354"/>
    <cellStyle name="CALC Currency Total 88 4" xfId="18390"/>
    <cellStyle name="CALC Currency Total 88 4 2" xfId="26710"/>
    <cellStyle name="CALC Currency Total 88 4 2 2" xfId="46355"/>
    <cellStyle name="CALC Currency Total 88 4 3" xfId="33885"/>
    <cellStyle name="CALC Currency Total 88 4 4" xfId="46356"/>
    <cellStyle name="CALC Currency Total 88 5" xfId="19373"/>
    <cellStyle name="CALC Currency Total 88 5 2" xfId="27694"/>
    <cellStyle name="CALC Currency Total 88 5 2 2" xfId="46357"/>
    <cellStyle name="CALC Currency Total 88 5 3" xfId="34842"/>
    <cellStyle name="CALC Currency Total 88 5 4" xfId="46358"/>
    <cellStyle name="CALC Currency Total 88 6" xfId="20342"/>
    <cellStyle name="CALC Currency Total 88 6 2" xfId="28664"/>
    <cellStyle name="CALC Currency Total 88 6 2 2" xfId="46359"/>
    <cellStyle name="CALC Currency Total 88 6 3" xfId="35777"/>
    <cellStyle name="CALC Currency Total 88 6 4" xfId="46360"/>
    <cellStyle name="CALC Currency Total 88 7" xfId="21803"/>
    <cellStyle name="CALC Currency Total 88 7 2" xfId="30104"/>
    <cellStyle name="CALC Currency Total 88 7 2 2" xfId="46361"/>
    <cellStyle name="CALC Currency Total 88 7 3" xfId="37151"/>
    <cellStyle name="CALC Currency Total 88 7 4" xfId="46362"/>
    <cellStyle name="CALC Currency Total 88 8" xfId="22731"/>
    <cellStyle name="CALC Currency Total 88 8 2" xfId="31027"/>
    <cellStyle name="CALC Currency Total 88 8 2 2" xfId="46363"/>
    <cellStyle name="CALC Currency Total 88 8 3" xfId="38034"/>
    <cellStyle name="CALC Currency Total 88 8 4" xfId="46364"/>
    <cellStyle name="CALC Currency Total 88 9" xfId="23673"/>
    <cellStyle name="CALC Currency Total 88 9 2" xfId="46365"/>
    <cellStyle name="CALC Currency Total 89" xfId="15318"/>
    <cellStyle name="CALC Currency Total 89 10" xfId="46366"/>
    <cellStyle name="CALC Currency Total 89 11" xfId="46367"/>
    <cellStyle name="CALC Currency Total 89 2" xfId="16398"/>
    <cellStyle name="CALC Currency Total 89 2 2" xfId="24711"/>
    <cellStyle name="CALC Currency Total 89 2 2 2" xfId="46368"/>
    <cellStyle name="CALC Currency Total 89 2 3" xfId="31976"/>
    <cellStyle name="CALC Currency Total 89 2 4" xfId="46369"/>
    <cellStyle name="CALC Currency Total 89 3" xfId="17364"/>
    <cellStyle name="CALC Currency Total 89 3 2" xfId="25685"/>
    <cellStyle name="CALC Currency Total 89 3 2 2" xfId="46370"/>
    <cellStyle name="CALC Currency Total 89 3 3" xfId="32909"/>
    <cellStyle name="CALC Currency Total 89 3 4" xfId="46371"/>
    <cellStyle name="CALC Currency Total 89 4" xfId="18392"/>
    <cellStyle name="CALC Currency Total 89 4 2" xfId="26712"/>
    <cellStyle name="CALC Currency Total 89 4 2 2" xfId="46372"/>
    <cellStyle name="CALC Currency Total 89 4 3" xfId="33887"/>
    <cellStyle name="CALC Currency Total 89 4 4" xfId="46373"/>
    <cellStyle name="CALC Currency Total 89 5" xfId="19375"/>
    <cellStyle name="CALC Currency Total 89 5 2" xfId="27696"/>
    <cellStyle name="CALC Currency Total 89 5 2 2" xfId="46374"/>
    <cellStyle name="CALC Currency Total 89 5 3" xfId="34844"/>
    <cellStyle name="CALC Currency Total 89 5 4" xfId="46375"/>
    <cellStyle name="CALC Currency Total 89 6" xfId="20344"/>
    <cellStyle name="CALC Currency Total 89 6 2" xfId="28666"/>
    <cellStyle name="CALC Currency Total 89 6 2 2" xfId="46376"/>
    <cellStyle name="CALC Currency Total 89 6 3" xfId="35779"/>
    <cellStyle name="CALC Currency Total 89 6 4" xfId="46377"/>
    <cellStyle name="CALC Currency Total 89 7" xfId="21805"/>
    <cellStyle name="CALC Currency Total 89 7 2" xfId="30106"/>
    <cellStyle name="CALC Currency Total 89 7 2 2" xfId="46378"/>
    <cellStyle name="CALC Currency Total 89 7 3" xfId="37153"/>
    <cellStyle name="CALC Currency Total 89 7 4" xfId="46379"/>
    <cellStyle name="CALC Currency Total 89 8" xfId="22733"/>
    <cellStyle name="CALC Currency Total 89 8 2" xfId="31029"/>
    <cellStyle name="CALC Currency Total 89 8 2 2" xfId="46380"/>
    <cellStyle name="CALC Currency Total 89 8 3" xfId="38036"/>
    <cellStyle name="CALC Currency Total 89 8 4" xfId="46381"/>
    <cellStyle name="CALC Currency Total 89 9" xfId="23675"/>
    <cellStyle name="CALC Currency Total 89 9 2" xfId="46382"/>
    <cellStyle name="CALC Currency Total 9" xfId="14651"/>
    <cellStyle name="CALC Currency Total 9 10" xfId="23013"/>
    <cellStyle name="CALC Currency Total 9 10 2" xfId="46383"/>
    <cellStyle name="CALC Currency Total 9 11" xfId="46384"/>
    <cellStyle name="CALC Currency Total 9 2" xfId="15732"/>
    <cellStyle name="CALC Currency Total 9 2 2" xfId="24048"/>
    <cellStyle name="CALC Currency Total 9 2 2 2" xfId="46385"/>
    <cellStyle name="CALC Currency Total 9 2 3" xfId="31340"/>
    <cellStyle name="CALC Currency Total 9 2 4" xfId="46386"/>
    <cellStyle name="CALC Currency Total 9 3" xfId="16698"/>
    <cellStyle name="CALC Currency Total 9 3 2" xfId="25019"/>
    <cellStyle name="CALC Currency Total 9 3 2 2" xfId="46387"/>
    <cellStyle name="CALC Currency Total 9 3 3" xfId="32273"/>
    <cellStyle name="CALC Currency Total 9 3 4" xfId="46388"/>
    <cellStyle name="CALC Currency Total 9 4" xfId="17722"/>
    <cellStyle name="CALC Currency Total 9 4 2" xfId="26045"/>
    <cellStyle name="CALC Currency Total 9 4 2 2" xfId="46389"/>
    <cellStyle name="CALC Currency Total 9 4 3" xfId="33250"/>
    <cellStyle name="CALC Currency Total 9 4 4" xfId="46390"/>
    <cellStyle name="CALC Currency Total 9 5" xfId="18705"/>
    <cellStyle name="CALC Currency Total 9 5 2" xfId="27026"/>
    <cellStyle name="CALC Currency Total 9 5 2 2" xfId="46391"/>
    <cellStyle name="CALC Currency Total 9 5 3" xfId="34189"/>
    <cellStyle name="CALC Currency Total 9 5 4" xfId="46392"/>
    <cellStyle name="CALC Currency Total 9 6" xfId="19674"/>
    <cellStyle name="CALC Currency Total 9 6 2" xfId="27995"/>
    <cellStyle name="CALC Currency Total 9 6 2 2" xfId="46393"/>
    <cellStyle name="CALC Currency Total 9 6 3" xfId="35135"/>
    <cellStyle name="CALC Currency Total 9 6 4" xfId="46394"/>
    <cellStyle name="CALC Currency Total 9 7" xfId="20631"/>
    <cellStyle name="CALC Currency Total 9 7 2" xfId="28952"/>
    <cellStyle name="CALC Currency Total 9 7 2 2" xfId="46395"/>
    <cellStyle name="CALC Currency Total 9 7 3" xfId="36050"/>
    <cellStyle name="CALC Currency Total 9 7 4" xfId="46396"/>
    <cellStyle name="CALC Currency Total 9 8" xfId="17568"/>
    <cellStyle name="CALC Currency Total 9 8 2" xfId="25887"/>
    <cellStyle name="CALC Currency Total 9 8 2 2" xfId="46397"/>
    <cellStyle name="CALC Currency Total 9 8 3" xfId="33100"/>
    <cellStyle name="CALC Currency Total 9 8 4" xfId="46398"/>
    <cellStyle name="CALC Currency Total 9 9" xfId="22068"/>
    <cellStyle name="CALC Currency Total 9 9 2" xfId="30366"/>
    <cellStyle name="CALC Currency Total 9 9 2 2" xfId="46399"/>
    <cellStyle name="CALC Currency Total 9 9 3" xfId="37401"/>
    <cellStyle name="CALC Currency Total 9 9 4" xfId="46400"/>
    <cellStyle name="CALC Currency Total 90" xfId="15254"/>
    <cellStyle name="CALC Currency Total 90 10" xfId="46401"/>
    <cellStyle name="CALC Currency Total 90 11" xfId="46402"/>
    <cellStyle name="CALC Currency Total 90 2" xfId="16334"/>
    <cellStyle name="CALC Currency Total 90 2 2" xfId="24647"/>
    <cellStyle name="CALC Currency Total 90 2 2 2" xfId="46403"/>
    <cellStyle name="CALC Currency Total 90 2 3" xfId="31914"/>
    <cellStyle name="CALC Currency Total 90 2 4" xfId="46404"/>
    <cellStyle name="CALC Currency Total 90 3" xfId="17300"/>
    <cellStyle name="CALC Currency Total 90 3 2" xfId="25621"/>
    <cellStyle name="CALC Currency Total 90 3 2 2" xfId="46405"/>
    <cellStyle name="CALC Currency Total 90 3 3" xfId="32847"/>
    <cellStyle name="CALC Currency Total 90 3 4" xfId="46406"/>
    <cellStyle name="CALC Currency Total 90 4" xfId="18328"/>
    <cellStyle name="CALC Currency Total 90 4 2" xfId="26648"/>
    <cellStyle name="CALC Currency Total 90 4 2 2" xfId="46407"/>
    <cellStyle name="CALC Currency Total 90 4 3" xfId="33825"/>
    <cellStyle name="CALC Currency Total 90 4 4" xfId="46408"/>
    <cellStyle name="CALC Currency Total 90 5" xfId="19312"/>
    <cellStyle name="CALC Currency Total 90 5 2" xfId="27632"/>
    <cellStyle name="CALC Currency Total 90 5 2 2" xfId="46409"/>
    <cellStyle name="CALC Currency Total 90 5 3" xfId="34780"/>
    <cellStyle name="CALC Currency Total 90 5 4" xfId="46410"/>
    <cellStyle name="CALC Currency Total 90 6" xfId="20280"/>
    <cellStyle name="CALC Currency Total 90 6 2" xfId="28602"/>
    <cellStyle name="CALC Currency Total 90 6 2 2" xfId="46411"/>
    <cellStyle name="CALC Currency Total 90 6 3" xfId="35717"/>
    <cellStyle name="CALC Currency Total 90 6 4" xfId="46412"/>
    <cellStyle name="CALC Currency Total 90 7" xfId="21741"/>
    <cellStyle name="CALC Currency Total 90 7 2" xfId="30042"/>
    <cellStyle name="CALC Currency Total 90 7 2 2" xfId="46413"/>
    <cellStyle name="CALC Currency Total 90 7 3" xfId="37091"/>
    <cellStyle name="CALC Currency Total 90 7 4" xfId="46414"/>
    <cellStyle name="CALC Currency Total 90 8" xfId="22669"/>
    <cellStyle name="CALC Currency Total 90 8 2" xfId="30965"/>
    <cellStyle name="CALC Currency Total 90 8 2 2" xfId="46415"/>
    <cellStyle name="CALC Currency Total 90 8 3" xfId="37974"/>
    <cellStyle name="CALC Currency Total 90 8 4" xfId="46416"/>
    <cellStyle name="CALC Currency Total 90 9" xfId="23611"/>
    <cellStyle name="CALC Currency Total 90 9 2" xfId="46417"/>
    <cellStyle name="CALC Currency Total 91" xfId="15356"/>
    <cellStyle name="CALC Currency Total 91 10" xfId="46418"/>
    <cellStyle name="CALC Currency Total 91 11" xfId="46419"/>
    <cellStyle name="CALC Currency Total 91 2" xfId="16436"/>
    <cellStyle name="CALC Currency Total 91 2 2" xfId="24749"/>
    <cellStyle name="CALC Currency Total 91 2 2 2" xfId="46420"/>
    <cellStyle name="CALC Currency Total 91 2 3" xfId="32013"/>
    <cellStyle name="CALC Currency Total 91 2 4" xfId="46421"/>
    <cellStyle name="CALC Currency Total 91 3" xfId="17402"/>
    <cellStyle name="CALC Currency Total 91 3 2" xfId="25723"/>
    <cellStyle name="CALC Currency Total 91 3 2 2" xfId="46422"/>
    <cellStyle name="CALC Currency Total 91 3 3" xfId="32946"/>
    <cellStyle name="CALC Currency Total 91 3 4" xfId="46423"/>
    <cellStyle name="CALC Currency Total 91 4" xfId="18430"/>
    <cellStyle name="CALC Currency Total 91 4 2" xfId="26750"/>
    <cellStyle name="CALC Currency Total 91 4 2 2" xfId="46424"/>
    <cellStyle name="CALC Currency Total 91 4 3" xfId="33924"/>
    <cellStyle name="CALC Currency Total 91 4 4" xfId="46425"/>
    <cellStyle name="CALC Currency Total 91 5" xfId="19413"/>
    <cellStyle name="CALC Currency Total 91 5 2" xfId="27734"/>
    <cellStyle name="CALC Currency Total 91 5 2 2" xfId="46426"/>
    <cellStyle name="CALC Currency Total 91 5 3" xfId="34882"/>
    <cellStyle name="CALC Currency Total 91 5 4" xfId="46427"/>
    <cellStyle name="CALC Currency Total 91 6" xfId="20382"/>
    <cellStyle name="CALC Currency Total 91 6 2" xfId="28704"/>
    <cellStyle name="CALC Currency Total 91 6 2 2" xfId="46428"/>
    <cellStyle name="CALC Currency Total 91 6 3" xfId="35816"/>
    <cellStyle name="CALC Currency Total 91 6 4" xfId="46429"/>
    <cellStyle name="CALC Currency Total 91 7" xfId="21843"/>
    <cellStyle name="CALC Currency Total 91 7 2" xfId="30144"/>
    <cellStyle name="CALC Currency Total 91 7 2 2" xfId="46430"/>
    <cellStyle name="CALC Currency Total 91 7 3" xfId="37190"/>
    <cellStyle name="CALC Currency Total 91 7 4" xfId="46431"/>
    <cellStyle name="CALC Currency Total 91 8" xfId="22771"/>
    <cellStyle name="CALC Currency Total 91 8 2" xfId="31067"/>
    <cellStyle name="CALC Currency Total 91 8 2 2" xfId="46432"/>
    <cellStyle name="CALC Currency Total 91 8 3" xfId="38073"/>
    <cellStyle name="CALC Currency Total 91 8 4" xfId="46433"/>
    <cellStyle name="CALC Currency Total 91 9" xfId="23713"/>
    <cellStyle name="CALC Currency Total 91 9 2" xfId="46434"/>
    <cellStyle name="CALC Currency Total 92" xfId="15374"/>
    <cellStyle name="CALC Currency Total 92 10" xfId="46435"/>
    <cellStyle name="CALC Currency Total 92 11" xfId="46436"/>
    <cellStyle name="CALC Currency Total 92 2" xfId="16454"/>
    <cellStyle name="CALC Currency Total 92 2 2" xfId="24767"/>
    <cellStyle name="CALC Currency Total 92 2 2 2" xfId="46437"/>
    <cellStyle name="CALC Currency Total 92 2 3" xfId="32031"/>
    <cellStyle name="CALC Currency Total 92 2 4" xfId="46438"/>
    <cellStyle name="CALC Currency Total 92 3" xfId="17420"/>
    <cellStyle name="CALC Currency Total 92 3 2" xfId="25741"/>
    <cellStyle name="CALC Currency Total 92 3 2 2" xfId="46439"/>
    <cellStyle name="CALC Currency Total 92 3 3" xfId="32964"/>
    <cellStyle name="CALC Currency Total 92 3 4" xfId="46440"/>
    <cellStyle name="CALC Currency Total 92 4" xfId="18448"/>
    <cellStyle name="CALC Currency Total 92 4 2" xfId="26768"/>
    <cellStyle name="CALC Currency Total 92 4 2 2" xfId="46441"/>
    <cellStyle name="CALC Currency Total 92 4 3" xfId="33942"/>
    <cellStyle name="CALC Currency Total 92 4 4" xfId="46442"/>
    <cellStyle name="CALC Currency Total 92 5" xfId="19431"/>
    <cellStyle name="CALC Currency Total 92 5 2" xfId="27752"/>
    <cellStyle name="CALC Currency Total 92 5 2 2" xfId="46443"/>
    <cellStyle name="CALC Currency Total 92 5 3" xfId="34900"/>
    <cellStyle name="CALC Currency Total 92 5 4" xfId="46444"/>
    <cellStyle name="CALC Currency Total 92 6" xfId="20400"/>
    <cellStyle name="CALC Currency Total 92 6 2" xfId="28722"/>
    <cellStyle name="CALC Currency Total 92 6 2 2" xfId="46445"/>
    <cellStyle name="CALC Currency Total 92 6 3" xfId="35834"/>
    <cellStyle name="CALC Currency Total 92 6 4" xfId="46446"/>
    <cellStyle name="CALC Currency Total 92 7" xfId="21861"/>
    <cellStyle name="CALC Currency Total 92 7 2" xfId="30162"/>
    <cellStyle name="CALC Currency Total 92 7 2 2" xfId="46447"/>
    <cellStyle name="CALC Currency Total 92 7 3" xfId="37207"/>
    <cellStyle name="CALC Currency Total 92 7 4" xfId="46448"/>
    <cellStyle name="CALC Currency Total 92 8" xfId="22789"/>
    <cellStyle name="CALC Currency Total 92 8 2" xfId="31085"/>
    <cellStyle name="CALC Currency Total 92 8 2 2" xfId="46449"/>
    <cellStyle name="CALC Currency Total 92 8 3" xfId="38091"/>
    <cellStyle name="CALC Currency Total 92 8 4" xfId="46450"/>
    <cellStyle name="CALC Currency Total 92 9" xfId="23731"/>
    <cellStyle name="CALC Currency Total 92 9 2" xfId="46451"/>
    <cellStyle name="CALC Currency Total 93" xfId="15360"/>
    <cellStyle name="CALC Currency Total 93 10" xfId="46452"/>
    <cellStyle name="CALC Currency Total 93 11" xfId="46453"/>
    <cellStyle name="CALC Currency Total 93 2" xfId="16440"/>
    <cellStyle name="CALC Currency Total 93 2 2" xfId="24753"/>
    <cellStyle name="CALC Currency Total 93 2 2 2" xfId="46454"/>
    <cellStyle name="CALC Currency Total 93 2 3" xfId="32017"/>
    <cellStyle name="CALC Currency Total 93 2 4" xfId="46455"/>
    <cellStyle name="CALC Currency Total 93 3" xfId="17406"/>
    <cellStyle name="CALC Currency Total 93 3 2" xfId="25727"/>
    <cellStyle name="CALC Currency Total 93 3 2 2" xfId="46456"/>
    <cellStyle name="CALC Currency Total 93 3 3" xfId="32950"/>
    <cellStyle name="CALC Currency Total 93 3 4" xfId="46457"/>
    <cellStyle name="CALC Currency Total 93 4" xfId="18434"/>
    <cellStyle name="CALC Currency Total 93 4 2" xfId="26754"/>
    <cellStyle name="CALC Currency Total 93 4 2 2" xfId="46458"/>
    <cellStyle name="CALC Currency Total 93 4 3" xfId="33928"/>
    <cellStyle name="CALC Currency Total 93 4 4" xfId="46459"/>
    <cellStyle name="CALC Currency Total 93 5" xfId="19417"/>
    <cellStyle name="CALC Currency Total 93 5 2" xfId="27738"/>
    <cellStyle name="CALC Currency Total 93 5 2 2" xfId="46460"/>
    <cellStyle name="CALC Currency Total 93 5 3" xfId="34886"/>
    <cellStyle name="CALC Currency Total 93 5 4" xfId="46461"/>
    <cellStyle name="CALC Currency Total 93 6" xfId="20386"/>
    <cellStyle name="CALC Currency Total 93 6 2" xfId="28708"/>
    <cellStyle name="CALC Currency Total 93 6 2 2" xfId="46462"/>
    <cellStyle name="CALC Currency Total 93 6 3" xfId="35820"/>
    <cellStyle name="CALC Currency Total 93 6 4" xfId="46463"/>
    <cellStyle name="CALC Currency Total 93 7" xfId="21847"/>
    <cellStyle name="CALC Currency Total 93 7 2" xfId="30148"/>
    <cellStyle name="CALC Currency Total 93 7 2 2" xfId="46464"/>
    <cellStyle name="CALC Currency Total 93 7 3" xfId="37193"/>
    <cellStyle name="CALC Currency Total 93 7 4" xfId="46465"/>
    <cellStyle name="CALC Currency Total 93 8" xfId="22775"/>
    <cellStyle name="CALC Currency Total 93 8 2" xfId="31071"/>
    <cellStyle name="CALC Currency Total 93 8 2 2" xfId="46466"/>
    <cellStyle name="CALC Currency Total 93 8 3" xfId="38077"/>
    <cellStyle name="CALC Currency Total 93 8 4" xfId="46467"/>
    <cellStyle name="CALC Currency Total 93 9" xfId="23717"/>
    <cellStyle name="CALC Currency Total 93 9 2" xfId="46468"/>
    <cellStyle name="CALC Currency Total 94" xfId="15345"/>
    <cellStyle name="CALC Currency Total 94 10" xfId="46469"/>
    <cellStyle name="CALC Currency Total 94 11" xfId="46470"/>
    <cellStyle name="CALC Currency Total 94 2" xfId="16425"/>
    <cellStyle name="CALC Currency Total 94 2 2" xfId="24738"/>
    <cellStyle name="CALC Currency Total 94 2 2 2" xfId="46471"/>
    <cellStyle name="CALC Currency Total 94 2 3" xfId="32003"/>
    <cellStyle name="CALC Currency Total 94 2 4" xfId="46472"/>
    <cellStyle name="CALC Currency Total 94 3" xfId="17391"/>
    <cellStyle name="CALC Currency Total 94 3 2" xfId="25712"/>
    <cellStyle name="CALC Currency Total 94 3 2 2" xfId="46473"/>
    <cellStyle name="CALC Currency Total 94 3 3" xfId="32936"/>
    <cellStyle name="CALC Currency Total 94 3 4" xfId="46474"/>
    <cellStyle name="CALC Currency Total 94 4" xfId="18419"/>
    <cellStyle name="CALC Currency Total 94 4 2" xfId="26739"/>
    <cellStyle name="CALC Currency Total 94 4 2 2" xfId="46475"/>
    <cellStyle name="CALC Currency Total 94 4 3" xfId="33914"/>
    <cellStyle name="CALC Currency Total 94 4 4" xfId="46476"/>
    <cellStyle name="CALC Currency Total 94 5" xfId="19402"/>
    <cellStyle name="CALC Currency Total 94 5 2" xfId="27723"/>
    <cellStyle name="CALC Currency Total 94 5 2 2" xfId="46477"/>
    <cellStyle name="CALC Currency Total 94 5 3" xfId="34871"/>
    <cellStyle name="CALC Currency Total 94 5 4" xfId="46478"/>
    <cellStyle name="CALC Currency Total 94 6" xfId="20371"/>
    <cellStyle name="CALC Currency Total 94 6 2" xfId="28693"/>
    <cellStyle name="CALC Currency Total 94 6 2 2" xfId="46479"/>
    <cellStyle name="CALC Currency Total 94 6 3" xfId="35806"/>
    <cellStyle name="CALC Currency Total 94 6 4" xfId="46480"/>
    <cellStyle name="CALC Currency Total 94 7" xfId="21832"/>
    <cellStyle name="CALC Currency Total 94 7 2" xfId="30133"/>
    <cellStyle name="CALC Currency Total 94 7 2 2" xfId="46481"/>
    <cellStyle name="CALC Currency Total 94 7 3" xfId="37180"/>
    <cellStyle name="CALC Currency Total 94 7 4" xfId="46482"/>
    <cellStyle name="CALC Currency Total 94 8" xfId="22760"/>
    <cellStyle name="CALC Currency Total 94 8 2" xfId="31056"/>
    <cellStyle name="CALC Currency Total 94 8 2 2" xfId="46483"/>
    <cellStyle name="CALC Currency Total 94 8 3" xfId="38063"/>
    <cellStyle name="CALC Currency Total 94 8 4" xfId="46484"/>
    <cellStyle name="CALC Currency Total 94 9" xfId="23702"/>
    <cellStyle name="CALC Currency Total 94 9 2" xfId="46485"/>
    <cellStyle name="CALC Currency Total 95" xfId="15342"/>
    <cellStyle name="CALC Currency Total 95 10" xfId="46486"/>
    <cellStyle name="CALC Currency Total 95 11" xfId="46487"/>
    <cellStyle name="CALC Currency Total 95 2" xfId="16422"/>
    <cellStyle name="CALC Currency Total 95 2 2" xfId="24735"/>
    <cellStyle name="CALC Currency Total 95 2 2 2" xfId="46488"/>
    <cellStyle name="CALC Currency Total 95 2 3" xfId="32000"/>
    <cellStyle name="CALC Currency Total 95 2 4" xfId="46489"/>
    <cellStyle name="CALC Currency Total 95 3" xfId="17388"/>
    <cellStyle name="CALC Currency Total 95 3 2" xfId="25709"/>
    <cellStyle name="CALC Currency Total 95 3 2 2" xfId="46490"/>
    <cellStyle name="CALC Currency Total 95 3 3" xfId="32933"/>
    <cellStyle name="CALC Currency Total 95 3 4" xfId="46491"/>
    <cellStyle name="CALC Currency Total 95 4" xfId="18416"/>
    <cellStyle name="CALC Currency Total 95 4 2" xfId="26736"/>
    <cellStyle name="CALC Currency Total 95 4 2 2" xfId="46492"/>
    <cellStyle name="CALC Currency Total 95 4 3" xfId="33911"/>
    <cellStyle name="CALC Currency Total 95 4 4" xfId="46493"/>
    <cellStyle name="CALC Currency Total 95 5" xfId="19399"/>
    <cellStyle name="CALC Currency Total 95 5 2" xfId="27720"/>
    <cellStyle name="CALC Currency Total 95 5 2 2" xfId="46494"/>
    <cellStyle name="CALC Currency Total 95 5 3" xfId="34868"/>
    <cellStyle name="CALC Currency Total 95 5 4" xfId="46495"/>
    <cellStyle name="CALC Currency Total 95 6" xfId="20368"/>
    <cellStyle name="CALC Currency Total 95 6 2" xfId="28690"/>
    <cellStyle name="CALC Currency Total 95 6 2 2" xfId="46496"/>
    <cellStyle name="CALC Currency Total 95 6 3" xfId="35803"/>
    <cellStyle name="CALC Currency Total 95 6 4" xfId="46497"/>
    <cellStyle name="CALC Currency Total 95 7" xfId="21829"/>
    <cellStyle name="CALC Currency Total 95 7 2" xfId="30130"/>
    <cellStyle name="CALC Currency Total 95 7 2 2" xfId="46498"/>
    <cellStyle name="CALC Currency Total 95 7 3" xfId="37177"/>
    <cellStyle name="CALC Currency Total 95 7 4" xfId="46499"/>
    <cellStyle name="CALC Currency Total 95 8" xfId="22757"/>
    <cellStyle name="CALC Currency Total 95 8 2" xfId="31053"/>
    <cellStyle name="CALC Currency Total 95 8 2 2" xfId="46500"/>
    <cellStyle name="CALC Currency Total 95 8 3" xfId="38060"/>
    <cellStyle name="CALC Currency Total 95 8 4" xfId="46501"/>
    <cellStyle name="CALC Currency Total 95 9" xfId="23699"/>
    <cellStyle name="CALC Currency Total 95 9 2" xfId="46502"/>
    <cellStyle name="CALC Currency Total 96" xfId="15341"/>
    <cellStyle name="CALC Currency Total 96 10" xfId="46503"/>
    <cellStyle name="CALC Currency Total 96 11" xfId="46504"/>
    <cellStyle name="CALC Currency Total 96 2" xfId="16421"/>
    <cellStyle name="CALC Currency Total 96 2 2" xfId="24734"/>
    <cellStyle name="CALC Currency Total 96 2 2 2" xfId="46505"/>
    <cellStyle name="CALC Currency Total 96 2 3" xfId="31999"/>
    <cellStyle name="CALC Currency Total 96 2 4" xfId="46506"/>
    <cellStyle name="CALC Currency Total 96 3" xfId="17387"/>
    <cellStyle name="CALC Currency Total 96 3 2" xfId="25708"/>
    <cellStyle name="CALC Currency Total 96 3 2 2" xfId="46507"/>
    <cellStyle name="CALC Currency Total 96 3 3" xfId="32932"/>
    <cellStyle name="CALC Currency Total 96 3 4" xfId="46508"/>
    <cellStyle name="CALC Currency Total 96 4" xfId="18415"/>
    <cellStyle name="CALC Currency Total 96 4 2" xfId="26735"/>
    <cellStyle name="CALC Currency Total 96 4 2 2" xfId="46509"/>
    <cellStyle name="CALC Currency Total 96 4 3" xfId="33910"/>
    <cellStyle name="CALC Currency Total 96 4 4" xfId="46510"/>
    <cellStyle name="CALC Currency Total 96 5" xfId="19398"/>
    <cellStyle name="CALC Currency Total 96 5 2" xfId="27719"/>
    <cellStyle name="CALC Currency Total 96 5 2 2" xfId="46511"/>
    <cellStyle name="CALC Currency Total 96 5 3" xfId="34867"/>
    <cellStyle name="CALC Currency Total 96 5 4" xfId="46512"/>
    <cellStyle name="CALC Currency Total 96 6" xfId="20367"/>
    <cellStyle name="CALC Currency Total 96 6 2" xfId="28689"/>
    <cellStyle name="CALC Currency Total 96 6 2 2" xfId="46513"/>
    <cellStyle name="CALC Currency Total 96 6 3" xfId="35802"/>
    <cellStyle name="CALC Currency Total 96 6 4" xfId="46514"/>
    <cellStyle name="CALC Currency Total 96 7" xfId="21828"/>
    <cellStyle name="CALC Currency Total 96 7 2" xfId="30129"/>
    <cellStyle name="CALC Currency Total 96 7 2 2" xfId="46515"/>
    <cellStyle name="CALC Currency Total 96 7 3" xfId="37176"/>
    <cellStyle name="CALC Currency Total 96 7 4" xfId="46516"/>
    <cellStyle name="CALC Currency Total 96 8" xfId="22756"/>
    <cellStyle name="CALC Currency Total 96 8 2" xfId="31052"/>
    <cellStyle name="CALC Currency Total 96 8 2 2" xfId="46517"/>
    <cellStyle name="CALC Currency Total 96 8 3" xfId="38059"/>
    <cellStyle name="CALC Currency Total 96 8 4" xfId="46518"/>
    <cellStyle name="CALC Currency Total 96 9" xfId="23698"/>
    <cellStyle name="CALC Currency Total 96 9 2" xfId="46519"/>
    <cellStyle name="CALC Currency Total 97" xfId="15377"/>
    <cellStyle name="CALC Currency Total 97 10" xfId="46520"/>
    <cellStyle name="CALC Currency Total 97 11" xfId="46521"/>
    <cellStyle name="CALC Currency Total 97 2" xfId="16457"/>
    <cellStyle name="CALC Currency Total 97 2 2" xfId="24770"/>
    <cellStyle name="CALC Currency Total 97 2 2 2" xfId="46522"/>
    <cellStyle name="CALC Currency Total 97 2 3" xfId="32034"/>
    <cellStyle name="CALC Currency Total 97 2 4" xfId="46523"/>
    <cellStyle name="CALC Currency Total 97 3" xfId="17423"/>
    <cellStyle name="CALC Currency Total 97 3 2" xfId="25744"/>
    <cellStyle name="CALC Currency Total 97 3 2 2" xfId="46524"/>
    <cellStyle name="CALC Currency Total 97 3 3" xfId="32967"/>
    <cellStyle name="CALC Currency Total 97 3 4" xfId="46525"/>
    <cellStyle name="CALC Currency Total 97 4" xfId="18451"/>
    <cellStyle name="CALC Currency Total 97 4 2" xfId="26771"/>
    <cellStyle name="CALC Currency Total 97 4 2 2" xfId="46526"/>
    <cellStyle name="CALC Currency Total 97 4 3" xfId="33945"/>
    <cellStyle name="CALC Currency Total 97 4 4" xfId="46527"/>
    <cellStyle name="CALC Currency Total 97 5" xfId="19434"/>
    <cellStyle name="CALC Currency Total 97 5 2" xfId="27755"/>
    <cellStyle name="CALC Currency Total 97 5 2 2" xfId="46528"/>
    <cellStyle name="CALC Currency Total 97 5 3" xfId="34903"/>
    <cellStyle name="CALC Currency Total 97 5 4" xfId="46529"/>
    <cellStyle name="CALC Currency Total 97 6" xfId="20403"/>
    <cellStyle name="CALC Currency Total 97 6 2" xfId="28725"/>
    <cellStyle name="CALC Currency Total 97 6 2 2" xfId="46530"/>
    <cellStyle name="CALC Currency Total 97 6 3" xfId="35837"/>
    <cellStyle name="CALC Currency Total 97 6 4" xfId="46531"/>
    <cellStyle name="CALC Currency Total 97 7" xfId="21864"/>
    <cellStyle name="CALC Currency Total 97 7 2" xfId="30165"/>
    <cellStyle name="CALC Currency Total 97 7 2 2" xfId="46532"/>
    <cellStyle name="CALC Currency Total 97 7 3" xfId="37210"/>
    <cellStyle name="CALC Currency Total 97 7 4" xfId="46533"/>
    <cellStyle name="CALC Currency Total 97 8" xfId="22792"/>
    <cellStyle name="CALC Currency Total 97 8 2" xfId="31088"/>
    <cellStyle name="CALC Currency Total 97 8 2 2" xfId="46534"/>
    <cellStyle name="CALC Currency Total 97 8 3" xfId="38094"/>
    <cellStyle name="CALC Currency Total 97 8 4" xfId="46535"/>
    <cellStyle name="CALC Currency Total 97 9" xfId="23734"/>
    <cellStyle name="CALC Currency Total 97 9 2" xfId="46536"/>
    <cellStyle name="CALC Currency Total 98" xfId="15353"/>
    <cellStyle name="CALC Currency Total 98 10" xfId="46537"/>
    <cellStyle name="CALC Currency Total 98 11" xfId="46538"/>
    <cellStyle name="CALC Currency Total 98 2" xfId="16433"/>
    <cellStyle name="CALC Currency Total 98 2 2" xfId="24746"/>
    <cellStyle name="CALC Currency Total 98 2 2 2" xfId="46539"/>
    <cellStyle name="CALC Currency Total 98 2 3" xfId="32010"/>
    <cellStyle name="CALC Currency Total 98 2 4" xfId="46540"/>
    <cellStyle name="CALC Currency Total 98 3" xfId="17399"/>
    <cellStyle name="CALC Currency Total 98 3 2" xfId="25720"/>
    <cellStyle name="CALC Currency Total 98 3 2 2" xfId="46541"/>
    <cellStyle name="CALC Currency Total 98 3 3" xfId="32943"/>
    <cellStyle name="CALC Currency Total 98 3 4" xfId="46542"/>
    <cellStyle name="CALC Currency Total 98 4" xfId="18427"/>
    <cellStyle name="CALC Currency Total 98 4 2" xfId="26747"/>
    <cellStyle name="CALC Currency Total 98 4 2 2" xfId="46543"/>
    <cellStyle name="CALC Currency Total 98 4 3" xfId="33921"/>
    <cellStyle name="CALC Currency Total 98 4 4" xfId="46544"/>
    <cellStyle name="CALC Currency Total 98 5" xfId="19410"/>
    <cellStyle name="CALC Currency Total 98 5 2" xfId="27731"/>
    <cellStyle name="CALC Currency Total 98 5 2 2" xfId="46545"/>
    <cellStyle name="CALC Currency Total 98 5 3" xfId="34879"/>
    <cellStyle name="CALC Currency Total 98 5 4" xfId="46546"/>
    <cellStyle name="CALC Currency Total 98 6" xfId="20379"/>
    <cellStyle name="CALC Currency Total 98 6 2" xfId="28701"/>
    <cellStyle name="CALC Currency Total 98 6 2 2" xfId="46547"/>
    <cellStyle name="CALC Currency Total 98 6 3" xfId="35813"/>
    <cellStyle name="CALC Currency Total 98 6 4" xfId="46548"/>
    <cellStyle name="CALC Currency Total 98 7" xfId="21840"/>
    <cellStyle name="CALC Currency Total 98 7 2" xfId="30141"/>
    <cellStyle name="CALC Currency Total 98 7 2 2" xfId="46549"/>
    <cellStyle name="CALC Currency Total 98 7 3" xfId="37187"/>
    <cellStyle name="CALC Currency Total 98 7 4" xfId="46550"/>
    <cellStyle name="CALC Currency Total 98 8" xfId="22768"/>
    <cellStyle name="CALC Currency Total 98 8 2" xfId="31064"/>
    <cellStyle name="CALC Currency Total 98 8 2 2" xfId="46551"/>
    <cellStyle name="CALC Currency Total 98 8 3" xfId="38070"/>
    <cellStyle name="CALC Currency Total 98 8 4" xfId="46552"/>
    <cellStyle name="CALC Currency Total 98 9" xfId="23710"/>
    <cellStyle name="CALC Currency Total 98 9 2" xfId="46553"/>
    <cellStyle name="CALC Currency Total 99" xfId="15457"/>
    <cellStyle name="CALC Currency Total 99 10" xfId="46554"/>
    <cellStyle name="CALC Currency Total 99 11" xfId="46555"/>
    <cellStyle name="CALC Currency Total 99 2" xfId="16537"/>
    <cellStyle name="CALC Currency Total 99 2 2" xfId="24850"/>
    <cellStyle name="CALC Currency Total 99 2 2 2" xfId="46556"/>
    <cellStyle name="CALC Currency Total 99 2 3" xfId="32111"/>
    <cellStyle name="CALC Currency Total 99 2 4" xfId="46557"/>
    <cellStyle name="CALC Currency Total 99 3" xfId="17503"/>
    <cellStyle name="CALC Currency Total 99 3 2" xfId="25824"/>
    <cellStyle name="CALC Currency Total 99 3 2 2" xfId="46558"/>
    <cellStyle name="CALC Currency Total 99 3 3" xfId="33044"/>
    <cellStyle name="CALC Currency Total 99 3 4" xfId="46559"/>
    <cellStyle name="CALC Currency Total 99 4" xfId="18531"/>
    <cellStyle name="CALC Currency Total 99 4 2" xfId="26851"/>
    <cellStyle name="CALC Currency Total 99 4 2 2" xfId="46560"/>
    <cellStyle name="CALC Currency Total 99 4 3" xfId="34022"/>
    <cellStyle name="CALC Currency Total 99 4 4" xfId="46561"/>
    <cellStyle name="CALC Currency Total 99 5" xfId="19514"/>
    <cellStyle name="CALC Currency Total 99 5 2" xfId="27835"/>
    <cellStyle name="CALC Currency Total 99 5 2 2" xfId="46562"/>
    <cellStyle name="CALC Currency Total 99 5 3" xfId="34983"/>
    <cellStyle name="CALC Currency Total 99 5 4" xfId="46563"/>
    <cellStyle name="CALC Currency Total 99 6" xfId="20483"/>
    <cellStyle name="CALC Currency Total 99 6 2" xfId="28805"/>
    <cellStyle name="CALC Currency Total 99 6 2 2" xfId="46564"/>
    <cellStyle name="CALC Currency Total 99 6 3" xfId="35914"/>
    <cellStyle name="CALC Currency Total 99 6 4" xfId="46565"/>
    <cellStyle name="CALC Currency Total 99 7" xfId="21944"/>
    <cellStyle name="CALC Currency Total 99 7 2" xfId="30245"/>
    <cellStyle name="CALC Currency Total 99 7 2 2" xfId="46566"/>
    <cellStyle name="CALC Currency Total 99 7 3" xfId="37287"/>
    <cellStyle name="CALC Currency Total 99 7 4" xfId="46567"/>
    <cellStyle name="CALC Currency Total 99 8" xfId="22872"/>
    <cellStyle name="CALC Currency Total 99 8 2" xfId="31168"/>
    <cellStyle name="CALC Currency Total 99 8 2 2" xfId="46568"/>
    <cellStyle name="CALC Currency Total 99 8 3" xfId="38171"/>
    <cellStyle name="CALC Currency Total 99 8 4" xfId="46569"/>
    <cellStyle name="CALC Currency Total 99 9" xfId="23814"/>
    <cellStyle name="CALC Currency Total 99 9 2" xfId="46570"/>
    <cellStyle name="CALC Date Long" xfId="14466"/>
    <cellStyle name="CALC Date Short" xfId="14467"/>
    <cellStyle name="CALC Percent" xfId="14468"/>
    <cellStyle name="CALC Percent [1]" xfId="14469"/>
    <cellStyle name="CALC Percent [2]" xfId="14470"/>
    <cellStyle name="CALC Percent Total" xfId="14471"/>
    <cellStyle name="CALC Percent Total [1]" xfId="14472"/>
    <cellStyle name="CALC Percent Total [1] 10" xfId="14823"/>
    <cellStyle name="CALC Percent Total [1] 10 10" xfId="23187"/>
    <cellStyle name="CALC Percent Total [1] 10 10 2" xfId="46571"/>
    <cellStyle name="CALC Percent Total [1] 10 11" xfId="46572"/>
    <cellStyle name="CALC Percent Total [1] 10 12" xfId="46573"/>
    <cellStyle name="CALC Percent Total [1] 10 2" xfId="15904"/>
    <cellStyle name="CALC Percent Total [1] 10 2 2" xfId="24222"/>
    <cellStyle name="CALC Percent Total [1] 10 2 2 2" xfId="46574"/>
    <cellStyle name="CALC Percent Total [1] 10 2 3" xfId="31508"/>
    <cellStyle name="CALC Percent Total [1] 10 2 4" xfId="46575"/>
    <cellStyle name="CALC Percent Total [1] 10 3" xfId="16870"/>
    <cellStyle name="CALC Percent Total [1] 10 3 2" xfId="25194"/>
    <cellStyle name="CALC Percent Total [1] 10 3 2 2" xfId="46576"/>
    <cellStyle name="CALC Percent Total [1] 10 3 3" xfId="32441"/>
    <cellStyle name="CALC Percent Total [1] 10 3 4" xfId="46577"/>
    <cellStyle name="CALC Percent Total [1] 10 4" xfId="17897"/>
    <cellStyle name="CALC Percent Total [1] 10 4 2" xfId="26220"/>
    <cellStyle name="CALC Percent Total [1] 10 4 2 2" xfId="46578"/>
    <cellStyle name="CALC Percent Total [1] 10 4 3" xfId="33418"/>
    <cellStyle name="CALC Percent Total [1] 10 4 4" xfId="46579"/>
    <cellStyle name="CALC Percent Total [1] 10 5" xfId="18881"/>
    <cellStyle name="CALC Percent Total [1] 10 5 2" xfId="27201"/>
    <cellStyle name="CALC Percent Total [1] 10 5 2 2" xfId="46580"/>
    <cellStyle name="CALC Percent Total [1] 10 5 3" xfId="34358"/>
    <cellStyle name="CALC Percent Total [1] 10 5 4" xfId="46581"/>
    <cellStyle name="CALC Percent Total [1] 10 6" xfId="19849"/>
    <cellStyle name="CALC Percent Total [1] 10 6 2" xfId="28171"/>
    <cellStyle name="CALC Percent Total [1] 10 6 2 2" xfId="46582"/>
    <cellStyle name="CALC Percent Total [1] 10 6 3" xfId="35305"/>
    <cellStyle name="CALC Percent Total [1] 10 6 4" xfId="46583"/>
    <cellStyle name="CALC Percent Total [1] 10 7" xfId="20807"/>
    <cellStyle name="CALC Percent Total [1] 10 7 2" xfId="29127"/>
    <cellStyle name="CALC Percent Total [1] 10 7 2 2" xfId="46584"/>
    <cellStyle name="CALC Percent Total [1] 10 7 3" xfId="36216"/>
    <cellStyle name="CALC Percent Total [1] 10 7 4" xfId="46585"/>
    <cellStyle name="CALC Percent Total [1] 10 8" xfId="15530"/>
    <cellStyle name="CALC Percent Total [1] 10 8 2" xfId="23866"/>
    <cellStyle name="CALC Percent Total [1] 10 8 2 2" xfId="46586"/>
    <cellStyle name="CALC Percent Total [1] 10 8 3" xfId="31212"/>
    <cellStyle name="CALC Percent Total [1] 10 8 4" xfId="46587"/>
    <cellStyle name="CALC Percent Total [1] 10 9" xfId="22242"/>
    <cellStyle name="CALC Percent Total [1] 10 9 2" xfId="30541"/>
    <cellStyle name="CALC Percent Total [1] 10 9 2 2" xfId="46588"/>
    <cellStyle name="CALC Percent Total [1] 10 9 3" xfId="37569"/>
    <cellStyle name="CALC Percent Total [1] 10 9 4" xfId="46589"/>
    <cellStyle name="CALC Percent Total [1] 11" xfId="14821"/>
    <cellStyle name="CALC Percent Total [1] 11 10" xfId="23185"/>
    <cellStyle name="CALC Percent Total [1] 11 10 2" xfId="46590"/>
    <cellStyle name="CALC Percent Total [1] 11 11" xfId="46591"/>
    <cellStyle name="CALC Percent Total [1] 11 12" xfId="46592"/>
    <cellStyle name="CALC Percent Total [1] 11 2" xfId="15902"/>
    <cellStyle name="CALC Percent Total [1] 11 2 2" xfId="24220"/>
    <cellStyle name="CALC Percent Total [1] 11 2 2 2" xfId="46593"/>
    <cellStyle name="CALC Percent Total [1] 11 2 3" xfId="31506"/>
    <cellStyle name="CALC Percent Total [1] 11 2 4" xfId="46594"/>
    <cellStyle name="CALC Percent Total [1] 11 3" xfId="16868"/>
    <cellStyle name="CALC Percent Total [1] 11 3 2" xfId="25192"/>
    <cellStyle name="CALC Percent Total [1] 11 3 2 2" xfId="46595"/>
    <cellStyle name="CALC Percent Total [1] 11 3 3" xfId="32439"/>
    <cellStyle name="CALC Percent Total [1] 11 3 4" xfId="46596"/>
    <cellStyle name="CALC Percent Total [1] 11 4" xfId="17895"/>
    <cellStyle name="CALC Percent Total [1] 11 4 2" xfId="26218"/>
    <cellStyle name="CALC Percent Total [1] 11 4 2 2" xfId="46597"/>
    <cellStyle name="CALC Percent Total [1] 11 4 3" xfId="33416"/>
    <cellStyle name="CALC Percent Total [1] 11 4 4" xfId="46598"/>
    <cellStyle name="CALC Percent Total [1] 11 5" xfId="18879"/>
    <cellStyle name="CALC Percent Total [1] 11 5 2" xfId="27199"/>
    <cellStyle name="CALC Percent Total [1] 11 5 2 2" xfId="46599"/>
    <cellStyle name="CALC Percent Total [1] 11 5 3" xfId="34356"/>
    <cellStyle name="CALC Percent Total [1] 11 5 4" xfId="46600"/>
    <cellStyle name="CALC Percent Total [1] 11 6" xfId="19847"/>
    <cellStyle name="CALC Percent Total [1] 11 6 2" xfId="28169"/>
    <cellStyle name="CALC Percent Total [1] 11 6 2 2" xfId="46601"/>
    <cellStyle name="CALC Percent Total [1] 11 6 3" xfId="35303"/>
    <cellStyle name="CALC Percent Total [1] 11 6 4" xfId="46602"/>
    <cellStyle name="CALC Percent Total [1] 11 7" xfId="20805"/>
    <cellStyle name="CALC Percent Total [1] 11 7 2" xfId="29125"/>
    <cellStyle name="CALC Percent Total [1] 11 7 2 2" xfId="46603"/>
    <cellStyle name="CALC Percent Total [1] 11 7 3" xfId="36214"/>
    <cellStyle name="CALC Percent Total [1] 11 7 4" xfId="46604"/>
    <cellStyle name="CALC Percent Total [1] 11 8" xfId="21128"/>
    <cellStyle name="CALC Percent Total [1] 11 8 2" xfId="29442"/>
    <cellStyle name="CALC Percent Total [1] 11 8 2 2" xfId="46605"/>
    <cellStyle name="CALC Percent Total [1] 11 8 3" xfId="36515"/>
    <cellStyle name="CALC Percent Total [1] 11 8 4" xfId="46606"/>
    <cellStyle name="CALC Percent Total [1] 11 9" xfId="22240"/>
    <cellStyle name="CALC Percent Total [1] 11 9 2" xfId="30539"/>
    <cellStyle name="CALC Percent Total [1] 11 9 2 2" xfId="46607"/>
    <cellStyle name="CALC Percent Total [1] 11 9 3" xfId="37567"/>
    <cellStyle name="CALC Percent Total [1] 11 9 4" xfId="46608"/>
    <cellStyle name="CALC Percent Total [1] 12" xfId="14939"/>
    <cellStyle name="CALC Percent Total [1] 12 10" xfId="23302"/>
    <cellStyle name="CALC Percent Total [1] 12 10 2" xfId="46609"/>
    <cellStyle name="CALC Percent Total [1] 12 11" xfId="46610"/>
    <cellStyle name="CALC Percent Total [1] 12 12" xfId="46611"/>
    <cellStyle name="CALC Percent Total [1] 12 2" xfId="16020"/>
    <cellStyle name="CALC Percent Total [1] 12 2 2" xfId="24337"/>
    <cellStyle name="CALC Percent Total [1] 12 2 2 2" xfId="46612"/>
    <cellStyle name="CALC Percent Total [1] 12 2 3" xfId="31617"/>
    <cellStyle name="CALC Percent Total [1] 12 2 4" xfId="46613"/>
    <cellStyle name="CALC Percent Total [1] 12 3" xfId="16986"/>
    <cellStyle name="CALC Percent Total [1] 12 3 2" xfId="25309"/>
    <cellStyle name="CALC Percent Total [1] 12 3 2 2" xfId="46614"/>
    <cellStyle name="CALC Percent Total [1] 12 3 3" xfId="32550"/>
    <cellStyle name="CALC Percent Total [1] 12 3 4" xfId="46615"/>
    <cellStyle name="CALC Percent Total [1] 12 4" xfId="18013"/>
    <cellStyle name="CALC Percent Total [1] 12 4 2" xfId="26335"/>
    <cellStyle name="CALC Percent Total [1] 12 4 2 2" xfId="46616"/>
    <cellStyle name="CALC Percent Total [1] 12 4 3" xfId="33527"/>
    <cellStyle name="CALC Percent Total [1] 12 4 4" xfId="46617"/>
    <cellStyle name="CALC Percent Total [1] 12 5" xfId="18997"/>
    <cellStyle name="CALC Percent Total [1] 12 5 2" xfId="27317"/>
    <cellStyle name="CALC Percent Total [1] 12 5 2 2" xfId="46618"/>
    <cellStyle name="CALC Percent Total [1] 12 5 3" xfId="34468"/>
    <cellStyle name="CALC Percent Total [1] 12 5 4" xfId="46619"/>
    <cellStyle name="CALC Percent Total [1] 12 6" xfId="19965"/>
    <cellStyle name="CALC Percent Total [1] 12 6 2" xfId="28287"/>
    <cellStyle name="CALC Percent Total [1] 12 6 2 2" xfId="46620"/>
    <cellStyle name="CALC Percent Total [1] 12 6 3" xfId="35415"/>
    <cellStyle name="CALC Percent Total [1] 12 6 4" xfId="46621"/>
    <cellStyle name="CALC Percent Total [1] 12 7" xfId="20923"/>
    <cellStyle name="CALC Percent Total [1] 12 7 2" xfId="29242"/>
    <cellStyle name="CALC Percent Total [1] 12 7 2 2" xfId="46622"/>
    <cellStyle name="CALC Percent Total [1] 12 7 3" xfId="36325"/>
    <cellStyle name="CALC Percent Total [1] 12 7 4" xfId="46623"/>
    <cellStyle name="CALC Percent Total [1] 12 8" xfId="21430"/>
    <cellStyle name="CALC Percent Total [1] 12 8 2" xfId="29733"/>
    <cellStyle name="CALC Percent Total [1] 12 8 2 2" xfId="46624"/>
    <cellStyle name="CALC Percent Total [1] 12 8 3" xfId="36795"/>
    <cellStyle name="CALC Percent Total [1] 12 8 4" xfId="46625"/>
    <cellStyle name="CALC Percent Total [1] 12 9" xfId="22358"/>
    <cellStyle name="CALC Percent Total [1] 12 9 2" xfId="30656"/>
    <cellStyle name="CALC Percent Total [1] 12 9 2 2" xfId="46626"/>
    <cellStyle name="CALC Percent Total [1] 12 9 3" xfId="37678"/>
    <cellStyle name="CALC Percent Total [1] 12 9 4" xfId="46627"/>
    <cellStyle name="CALC Percent Total [1] 13" xfId="15024"/>
    <cellStyle name="CALC Percent Total [1] 13 10" xfId="23384"/>
    <cellStyle name="CALC Percent Total [1] 13 10 2" xfId="46628"/>
    <cellStyle name="CALC Percent Total [1] 13 11" xfId="46629"/>
    <cellStyle name="CALC Percent Total [1] 13 12" xfId="46630"/>
    <cellStyle name="CALC Percent Total [1] 13 2" xfId="16104"/>
    <cellStyle name="CALC Percent Total [1] 13 2 2" xfId="24419"/>
    <cellStyle name="CALC Percent Total [1] 13 2 2 2" xfId="46631"/>
    <cellStyle name="CALC Percent Total [1] 13 2 3" xfId="31697"/>
    <cellStyle name="CALC Percent Total [1] 13 2 4" xfId="46632"/>
    <cellStyle name="CALC Percent Total [1] 13 3" xfId="17071"/>
    <cellStyle name="CALC Percent Total [1] 13 3 2" xfId="25392"/>
    <cellStyle name="CALC Percent Total [1] 13 3 2 2" xfId="46633"/>
    <cellStyle name="CALC Percent Total [1] 13 3 3" xfId="32631"/>
    <cellStyle name="CALC Percent Total [1] 13 3 4" xfId="46634"/>
    <cellStyle name="CALC Percent Total [1] 13 4" xfId="18098"/>
    <cellStyle name="CALC Percent Total [1] 13 4 2" xfId="26418"/>
    <cellStyle name="CALC Percent Total [1] 13 4 2 2" xfId="46635"/>
    <cellStyle name="CALC Percent Total [1] 13 4 3" xfId="33608"/>
    <cellStyle name="CALC Percent Total [1] 13 4 4" xfId="46636"/>
    <cellStyle name="CALC Percent Total [1] 13 5" xfId="19082"/>
    <cellStyle name="CALC Percent Total [1] 13 5 2" xfId="27402"/>
    <cellStyle name="CALC Percent Total [1] 13 5 2 2" xfId="46637"/>
    <cellStyle name="CALC Percent Total [1] 13 5 3" xfId="34551"/>
    <cellStyle name="CALC Percent Total [1] 13 5 4" xfId="46638"/>
    <cellStyle name="CALC Percent Total [1] 13 6" xfId="20050"/>
    <cellStyle name="CALC Percent Total [1] 13 6 2" xfId="28372"/>
    <cellStyle name="CALC Percent Total [1] 13 6 2 2" xfId="46639"/>
    <cellStyle name="CALC Percent Total [1] 13 6 3" xfId="35498"/>
    <cellStyle name="CALC Percent Total [1] 13 6 4" xfId="46640"/>
    <cellStyle name="CALC Percent Total [1] 13 7" xfId="21007"/>
    <cellStyle name="CALC Percent Total [1] 13 7 2" xfId="29324"/>
    <cellStyle name="CALC Percent Total [1] 13 7 2 2" xfId="46641"/>
    <cellStyle name="CALC Percent Total [1] 13 7 3" xfId="36405"/>
    <cellStyle name="CALC Percent Total [1] 13 7 4" xfId="46642"/>
    <cellStyle name="CALC Percent Total [1] 13 8" xfId="21514"/>
    <cellStyle name="CALC Percent Total [1] 13 8 2" xfId="29815"/>
    <cellStyle name="CALC Percent Total [1] 13 8 2 2" xfId="46643"/>
    <cellStyle name="CALC Percent Total [1] 13 8 3" xfId="36875"/>
    <cellStyle name="CALC Percent Total [1] 13 8 4" xfId="46644"/>
    <cellStyle name="CALC Percent Total [1] 13 9" xfId="22442"/>
    <cellStyle name="CALC Percent Total [1] 13 9 2" xfId="30738"/>
    <cellStyle name="CALC Percent Total [1] 13 9 2 2" xfId="46645"/>
    <cellStyle name="CALC Percent Total [1] 13 9 3" xfId="37758"/>
    <cellStyle name="CALC Percent Total [1] 13 9 4" xfId="46646"/>
    <cellStyle name="CALC Percent Total [1] 14" xfId="14989"/>
    <cellStyle name="CALC Percent Total [1] 14 10" xfId="23350"/>
    <cellStyle name="CALC Percent Total [1] 14 10 2" xfId="46647"/>
    <cellStyle name="CALC Percent Total [1] 14 11" xfId="46648"/>
    <cellStyle name="CALC Percent Total [1] 14 12" xfId="46649"/>
    <cellStyle name="CALC Percent Total [1] 14 2" xfId="16070"/>
    <cellStyle name="CALC Percent Total [1] 14 2 2" xfId="24385"/>
    <cellStyle name="CALC Percent Total [1] 14 2 2 2" xfId="46650"/>
    <cellStyle name="CALC Percent Total [1] 14 2 3" xfId="31664"/>
    <cellStyle name="CALC Percent Total [1] 14 2 4" xfId="46651"/>
    <cellStyle name="CALC Percent Total [1] 14 3" xfId="17036"/>
    <cellStyle name="CALC Percent Total [1] 14 3 2" xfId="25357"/>
    <cellStyle name="CALC Percent Total [1] 14 3 2 2" xfId="46652"/>
    <cellStyle name="CALC Percent Total [1] 14 3 3" xfId="32597"/>
    <cellStyle name="CALC Percent Total [1] 14 3 4" xfId="46653"/>
    <cellStyle name="CALC Percent Total [1] 14 4" xfId="18063"/>
    <cellStyle name="CALC Percent Total [1] 14 4 2" xfId="26383"/>
    <cellStyle name="CALC Percent Total [1] 14 4 2 2" xfId="46654"/>
    <cellStyle name="CALC Percent Total [1] 14 4 3" xfId="33574"/>
    <cellStyle name="CALC Percent Total [1] 14 4 4" xfId="46655"/>
    <cellStyle name="CALC Percent Total [1] 14 5" xfId="19047"/>
    <cellStyle name="CALC Percent Total [1] 14 5 2" xfId="27367"/>
    <cellStyle name="CALC Percent Total [1] 14 5 2 2" xfId="46656"/>
    <cellStyle name="CALC Percent Total [1] 14 5 3" xfId="34517"/>
    <cellStyle name="CALC Percent Total [1] 14 5 4" xfId="46657"/>
    <cellStyle name="CALC Percent Total [1] 14 6" xfId="20015"/>
    <cellStyle name="CALC Percent Total [1] 14 6 2" xfId="28337"/>
    <cellStyle name="CALC Percent Total [1] 14 6 2 2" xfId="46658"/>
    <cellStyle name="CALC Percent Total [1] 14 6 3" xfId="35464"/>
    <cellStyle name="CALC Percent Total [1] 14 6 4" xfId="46659"/>
    <cellStyle name="CALC Percent Total [1] 14 7" xfId="20973"/>
    <cellStyle name="CALC Percent Total [1] 14 7 2" xfId="29290"/>
    <cellStyle name="CALC Percent Total [1] 14 7 2 2" xfId="46660"/>
    <cellStyle name="CALC Percent Total [1] 14 7 3" xfId="36372"/>
    <cellStyle name="CALC Percent Total [1] 14 7 4" xfId="46661"/>
    <cellStyle name="CALC Percent Total [1] 14 8" xfId="21480"/>
    <cellStyle name="CALC Percent Total [1] 14 8 2" xfId="29781"/>
    <cellStyle name="CALC Percent Total [1] 14 8 2 2" xfId="46662"/>
    <cellStyle name="CALC Percent Total [1] 14 8 3" xfId="36842"/>
    <cellStyle name="CALC Percent Total [1] 14 8 4" xfId="46663"/>
    <cellStyle name="CALC Percent Total [1] 14 9" xfId="22408"/>
    <cellStyle name="CALC Percent Total [1] 14 9 2" xfId="30704"/>
    <cellStyle name="CALC Percent Total [1] 14 9 2 2" xfId="46664"/>
    <cellStyle name="CALC Percent Total [1] 14 9 3" xfId="37725"/>
    <cellStyle name="CALC Percent Total [1] 14 9 4" xfId="46665"/>
    <cellStyle name="CALC Percent Total [1] 15" xfId="15122"/>
    <cellStyle name="CALC Percent Total [1] 15 10" xfId="46666"/>
    <cellStyle name="CALC Percent Total [1] 15 11" xfId="46667"/>
    <cellStyle name="CALC Percent Total [1] 15 2" xfId="16202"/>
    <cellStyle name="CALC Percent Total [1] 15 2 2" xfId="24515"/>
    <cellStyle name="CALC Percent Total [1] 15 2 2 2" xfId="46668"/>
    <cellStyle name="CALC Percent Total [1] 15 2 3" xfId="31792"/>
    <cellStyle name="CALC Percent Total [1] 15 2 4" xfId="46669"/>
    <cellStyle name="CALC Percent Total [1] 15 3" xfId="17168"/>
    <cellStyle name="CALC Percent Total [1] 15 3 2" xfId="25489"/>
    <cellStyle name="CALC Percent Total [1] 15 3 2 2" xfId="46670"/>
    <cellStyle name="CALC Percent Total [1] 15 3 3" xfId="32725"/>
    <cellStyle name="CALC Percent Total [1] 15 3 4" xfId="46671"/>
    <cellStyle name="CALC Percent Total [1] 15 4" xfId="18196"/>
    <cellStyle name="CALC Percent Total [1] 15 4 2" xfId="26516"/>
    <cellStyle name="CALC Percent Total [1] 15 4 2 2" xfId="46672"/>
    <cellStyle name="CALC Percent Total [1] 15 4 3" xfId="33703"/>
    <cellStyle name="CALC Percent Total [1] 15 4 4" xfId="46673"/>
    <cellStyle name="CALC Percent Total [1] 15 5" xfId="19180"/>
    <cellStyle name="CALC Percent Total [1] 15 5 2" xfId="27500"/>
    <cellStyle name="CALC Percent Total [1] 15 5 2 2" xfId="46674"/>
    <cellStyle name="CALC Percent Total [1] 15 5 3" xfId="34648"/>
    <cellStyle name="CALC Percent Total [1] 15 5 4" xfId="46675"/>
    <cellStyle name="CALC Percent Total [1] 15 6" xfId="20148"/>
    <cellStyle name="CALC Percent Total [1] 15 6 2" xfId="28470"/>
    <cellStyle name="CALC Percent Total [1] 15 6 2 2" xfId="46676"/>
    <cellStyle name="CALC Percent Total [1] 15 6 3" xfId="35595"/>
    <cellStyle name="CALC Percent Total [1] 15 6 4" xfId="46677"/>
    <cellStyle name="CALC Percent Total [1] 15 7" xfId="21609"/>
    <cellStyle name="CALC Percent Total [1] 15 7 2" xfId="29910"/>
    <cellStyle name="CALC Percent Total [1] 15 7 2 2" xfId="46678"/>
    <cellStyle name="CALC Percent Total [1] 15 7 3" xfId="36969"/>
    <cellStyle name="CALC Percent Total [1] 15 7 4" xfId="46679"/>
    <cellStyle name="CALC Percent Total [1] 15 8" xfId="22537"/>
    <cellStyle name="CALC Percent Total [1] 15 8 2" xfId="30833"/>
    <cellStyle name="CALC Percent Total [1] 15 8 2 2" xfId="46680"/>
    <cellStyle name="CALC Percent Total [1] 15 8 3" xfId="37852"/>
    <cellStyle name="CALC Percent Total [1] 15 8 4" xfId="46681"/>
    <cellStyle name="CALC Percent Total [1] 15 9" xfId="23479"/>
    <cellStyle name="CALC Percent Total [1] 15 9 2" xfId="46682"/>
    <cellStyle name="CALC Percent Total [1] 16" xfId="15091"/>
    <cellStyle name="CALC Percent Total [1] 16 10" xfId="46683"/>
    <cellStyle name="CALC Percent Total [1] 16 11" xfId="46684"/>
    <cellStyle name="CALC Percent Total [1] 16 2" xfId="16171"/>
    <cellStyle name="CALC Percent Total [1] 16 2 2" xfId="24484"/>
    <cellStyle name="CALC Percent Total [1] 16 2 2 2" xfId="46685"/>
    <cellStyle name="CALC Percent Total [1] 16 2 3" xfId="31761"/>
    <cellStyle name="CALC Percent Total [1] 16 2 4" xfId="46686"/>
    <cellStyle name="CALC Percent Total [1] 16 3" xfId="17137"/>
    <cellStyle name="CALC Percent Total [1] 16 3 2" xfId="25458"/>
    <cellStyle name="CALC Percent Total [1] 16 3 2 2" xfId="46687"/>
    <cellStyle name="CALC Percent Total [1] 16 3 3" xfId="32694"/>
    <cellStyle name="CALC Percent Total [1] 16 3 4" xfId="46688"/>
    <cellStyle name="CALC Percent Total [1] 16 4" xfId="18165"/>
    <cellStyle name="CALC Percent Total [1] 16 4 2" xfId="26485"/>
    <cellStyle name="CALC Percent Total [1] 16 4 2 2" xfId="46689"/>
    <cellStyle name="CALC Percent Total [1] 16 4 3" xfId="33672"/>
    <cellStyle name="CALC Percent Total [1] 16 4 4" xfId="46690"/>
    <cellStyle name="CALC Percent Total [1] 16 5" xfId="19149"/>
    <cellStyle name="CALC Percent Total [1] 16 5 2" xfId="27469"/>
    <cellStyle name="CALC Percent Total [1] 16 5 2 2" xfId="46691"/>
    <cellStyle name="CALC Percent Total [1] 16 5 3" xfId="34617"/>
    <cellStyle name="CALC Percent Total [1] 16 5 4" xfId="46692"/>
    <cellStyle name="CALC Percent Total [1] 16 6" xfId="20117"/>
    <cellStyle name="CALC Percent Total [1] 16 6 2" xfId="28439"/>
    <cellStyle name="CALC Percent Total [1] 16 6 2 2" xfId="46693"/>
    <cellStyle name="CALC Percent Total [1] 16 6 3" xfId="35564"/>
    <cellStyle name="CALC Percent Total [1] 16 6 4" xfId="46694"/>
    <cellStyle name="CALC Percent Total [1] 16 7" xfId="21578"/>
    <cellStyle name="CALC Percent Total [1] 16 7 2" xfId="29879"/>
    <cellStyle name="CALC Percent Total [1] 16 7 2 2" xfId="46695"/>
    <cellStyle name="CALC Percent Total [1] 16 7 3" xfId="36938"/>
    <cellStyle name="CALC Percent Total [1] 16 7 4" xfId="46696"/>
    <cellStyle name="CALC Percent Total [1] 16 8" xfId="22506"/>
    <cellStyle name="CALC Percent Total [1] 16 8 2" xfId="30802"/>
    <cellStyle name="CALC Percent Total [1] 16 8 2 2" xfId="46697"/>
    <cellStyle name="CALC Percent Total [1] 16 8 3" xfId="37821"/>
    <cellStyle name="CALC Percent Total [1] 16 8 4" xfId="46698"/>
    <cellStyle name="CALC Percent Total [1] 16 9" xfId="23448"/>
    <cellStyle name="CALC Percent Total [1] 16 9 2" xfId="46699"/>
    <cellStyle name="CALC Percent Total [1] 17" xfId="15109"/>
    <cellStyle name="CALC Percent Total [1] 17 10" xfId="46700"/>
    <cellStyle name="CALC Percent Total [1] 17 11" xfId="46701"/>
    <cellStyle name="CALC Percent Total [1] 17 2" xfId="16189"/>
    <cellStyle name="CALC Percent Total [1] 17 2 2" xfId="24502"/>
    <cellStyle name="CALC Percent Total [1] 17 2 2 2" xfId="46702"/>
    <cellStyle name="CALC Percent Total [1] 17 2 3" xfId="31779"/>
    <cellStyle name="CALC Percent Total [1] 17 2 4" xfId="46703"/>
    <cellStyle name="CALC Percent Total [1] 17 3" xfId="17155"/>
    <cellStyle name="CALC Percent Total [1] 17 3 2" xfId="25476"/>
    <cellStyle name="CALC Percent Total [1] 17 3 2 2" xfId="46704"/>
    <cellStyle name="CALC Percent Total [1] 17 3 3" xfId="32712"/>
    <cellStyle name="CALC Percent Total [1] 17 3 4" xfId="46705"/>
    <cellStyle name="CALC Percent Total [1] 17 4" xfId="18183"/>
    <cellStyle name="CALC Percent Total [1] 17 4 2" xfId="26503"/>
    <cellStyle name="CALC Percent Total [1] 17 4 2 2" xfId="46706"/>
    <cellStyle name="CALC Percent Total [1] 17 4 3" xfId="33690"/>
    <cellStyle name="CALC Percent Total [1] 17 4 4" xfId="46707"/>
    <cellStyle name="CALC Percent Total [1] 17 5" xfId="19167"/>
    <cellStyle name="CALC Percent Total [1] 17 5 2" xfId="27487"/>
    <cellStyle name="CALC Percent Total [1] 17 5 2 2" xfId="46708"/>
    <cellStyle name="CALC Percent Total [1] 17 5 3" xfId="34635"/>
    <cellStyle name="CALC Percent Total [1] 17 5 4" xfId="46709"/>
    <cellStyle name="CALC Percent Total [1] 17 6" xfId="20135"/>
    <cellStyle name="CALC Percent Total [1] 17 6 2" xfId="28457"/>
    <cellStyle name="CALC Percent Total [1] 17 6 2 2" xfId="46710"/>
    <cellStyle name="CALC Percent Total [1] 17 6 3" xfId="35582"/>
    <cellStyle name="CALC Percent Total [1] 17 6 4" xfId="46711"/>
    <cellStyle name="CALC Percent Total [1] 17 7" xfId="21596"/>
    <cellStyle name="CALC Percent Total [1] 17 7 2" xfId="29897"/>
    <cellStyle name="CALC Percent Total [1] 17 7 2 2" xfId="46712"/>
    <cellStyle name="CALC Percent Total [1] 17 7 3" xfId="36956"/>
    <cellStyle name="CALC Percent Total [1] 17 7 4" xfId="46713"/>
    <cellStyle name="CALC Percent Total [1] 17 8" xfId="22524"/>
    <cellStyle name="CALC Percent Total [1] 17 8 2" xfId="30820"/>
    <cellStyle name="CALC Percent Total [1] 17 8 2 2" xfId="46714"/>
    <cellStyle name="CALC Percent Total [1] 17 8 3" xfId="37839"/>
    <cellStyle name="CALC Percent Total [1] 17 8 4" xfId="46715"/>
    <cellStyle name="CALC Percent Total [1] 17 9" xfId="23466"/>
    <cellStyle name="CALC Percent Total [1] 17 9 2" xfId="46716"/>
    <cellStyle name="CALC Percent Total [1] 18" xfId="15099"/>
    <cellStyle name="CALC Percent Total [1] 18 10" xfId="46717"/>
    <cellStyle name="CALC Percent Total [1] 18 11" xfId="46718"/>
    <cellStyle name="CALC Percent Total [1] 18 2" xfId="16179"/>
    <cellStyle name="CALC Percent Total [1] 18 2 2" xfId="24492"/>
    <cellStyle name="CALC Percent Total [1] 18 2 2 2" xfId="46719"/>
    <cellStyle name="CALC Percent Total [1] 18 2 3" xfId="31769"/>
    <cellStyle name="CALC Percent Total [1] 18 2 4" xfId="46720"/>
    <cellStyle name="CALC Percent Total [1] 18 3" xfId="17145"/>
    <cellStyle name="CALC Percent Total [1] 18 3 2" xfId="25466"/>
    <cellStyle name="CALC Percent Total [1] 18 3 2 2" xfId="46721"/>
    <cellStyle name="CALC Percent Total [1] 18 3 3" xfId="32702"/>
    <cellStyle name="CALC Percent Total [1] 18 3 4" xfId="46722"/>
    <cellStyle name="CALC Percent Total [1] 18 4" xfId="18173"/>
    <cellStyle name="CALC Percent Total [1] 18 4 2" xfId="26493"/>
    <cellStyle name="CALC Percent Total [1] 18 4 2 2" xfId="46723"/>
    <cellStyle name="CALC Percent Total [1] 18 4 3" xfId="33680"/>
    <cellStyle name="CALC Percent Total [1] 18 4 4" xfId="46724"/>
    <cellStyle name="CALC Percent Total [1] 18 5" xfId="19157"/>
    <cellStyle name="CALC Percent Total [1] 18 5 2" xfId="27477"/>
    <cellStyle name="CALC Percent Total [1] 18 5 2 2" xfId="46725"/>
    <cellStyle name="CALC Percent Total [1] 18 5 3" xfId="34625"/>
    <cellStyle name="CALC Percent Total [1] 18 5 4" xfId="46726"/>
    <cellStyle name="CALC Percent Total [1] 18 6" xfId="20125"/>
    <cellStyle name="CALC Percent Total [1] 18 6 2" xfId="28447"/>
    <cellStyle name="CALC Percent Total [1] 18 6 2 2" xfId="46727"/>
    <cellStyle name="CALC Percent Total [1] 18 6 3" xfId="35572"/>
    <cellStyle name="CALC Percent Total [1] 18 6 4" xfId="46728"/>
    <cellStyle name="CALC Percent Total [1] 18 7" xfId="21586"/>
    <cellStyle name="CALC Percent Total [1] 18 7 2" xfId="29887"/>
    <cellStyle name="CALC Percent Total [1] 18 7 2 2" xfId="46729"/>
    <cellStyle name="CALC Percent Total [1] 18 7 3" xfId="36946"/>
    <cellStyle name="CALC Percent Total [1] 18 7 4" xfId="46730"/>
    <cellStyle name="CALC Percent Total [1] 18 8" xfId="22514"/>
    <cellStyle name="CALC Percent Total [1] 18 8 2" xfId="30810"/>
    <cellStyle name="CALC Percent Total [1] 18 8 2 2" xfId="46731"/>
    <cellStyle name="CALC Percent Total [1] 18 8 3" xfId="37829"/>
    <cellStyle name="CALC Percent Total [1] 18 8 4" xfId="46732"/>
    <cellStyle name="CALC Percent Total [1] 18 9" xfId="23456"/>
    <cellStyle name="CALC Percent Total [1] 18 9 2" xfId="46733"/>
    <cellStyle name="CALC Percent Total [1] 19" xfId="15243"/>
    <cellStyle name="CALC Percent Total [1] 19 10" xfId="46734"/>
    <cellStyle name="CALC Percent Total [1] 19 11" xfId="46735"/>
    <cellStyle name="CALC Percent Total [1] 19 2" xfId="16323"/>
    <cellStyle name="CALC Percent Total [1] 19 2 2" xfId="24636"/>
    <cellStyle name="CALC Percent Total [1] 19 2 2 2" xfId="46736"/>
    <cellStyle name="CALC Percent Total [1] 19 2 3" xfId="31903"/>
    <cellStyle name="CALC Percent Total [1] 19 2 4" xfId="46737"/>
    <cellStyle name="CALC Percent Total [1] 19 3" xfId="17289"/>
    <cellStyle name="CALC Percent Total [1] 19 3 2" xfId="25610"/>
    <cellStyle name="CALC Percent Total [1] 19 3 2 2" xfId="46738"/>
    <cellStyle name="CALC Percent Total [1] 19 3 3" xfId="32836"/>
    <cellStyle name="CALC Percent Total [1] 19 3 4" xfId="46739"/>
    <cellStyle name="CALC Percent Total [1] 19 4" xfId="18317"/>
    <cellStyle name="CALC Percent Total [1] 19 4 2" xfId="26637"/>
    <cellStyle name="CALC Percent Total [1] 19 4 2 2" xfId="46740"/>
    <cellStyle name="CALC Percent Total [1] 19 4 3" xfId="33814"/>
    <cellStyle name="CALC Percent Total [1] 19 4 4" xfId="46741"/>
    <cellStyle name="CALC Percent Total [1] 19 5" xfId="19301"/>
    <cellStyle name="CALC Percent Total [1] 19 5 2" xfId="27621"/>
    <cellStyle name="CALC Percent Total [1] 19 5 2 2" xfId="46742"/>
    <cellStyle name="CALC Percent Total [1] 19 5 3" xfId="34769"/>
    <cellStyle name="CALC Percent Total [1] 19 5 4" xfId="46743"/>
    <cellStyle name="CALC Percent Total [1] 19 6" xfId="20269"/>
    <cellStyle name="CALC Percent Total [1] 19 6 2" xfId="28591"/>
    <cellStyle name="CALC Percent Total [1] 19 6 2 2" xfId="46744"/>
    <cellStyle name="CALC Percent Total [1] 19 6 3" xfId="35706"/>
    <cellStyle name="CALC Percent Total [1] 19 6 4" xfId="46745"/>
    <cellStyle name="CALC Percent Total [1] 19 7" xfId="21730"/>
    <cellStyle name="CALC Percent Total [1] 19 7 2" xfId="30031"/>
    <cellStyle name="CALC Percent Total [1] 19 7 2 2" xfId="46746"/>
    <cellStyle name="CALC Percent Total [1] 19 7 3" xfId="37080"/>
    <cellStyle name="CALC Percent Total [1] 19 7 4" xfId="46747"/>
    <cellStyle name="CALC Percent Total [1] 19 8" xfId="22658"/>
    <cellStyle name="CALC Percent Total [1] 19 8 2" xfId="30954"/>
    <cellStyle name="CALC Percent Total [1] 19 8 2 2" xfId="46748"/>
    <cellStyle name="CALC Percent Total [1] 19 8 3" xfId="37963"/>
    <cellStyle name="CALC Percent Total [1] 19 8 4" xfId="46749"/>
    <cellStyle name="CALC Percent Total [1] 19 9" xfId="23600"/>
    <cellStyle name="CALC Percent Total [1] 19 9 2" xfId="46750"/>
    <cellStyle name="CALC Percent Total [1] 2" xfId="14473"/>
    <cellStyle name="CALC Percent Total [1] 2 10" xfId="14826"/>
    <cellStyle name="CALC Percent Total [1] 2 10 10" xfId="23190"/>
    <cellStyle name="CALC Percent Total [1] 2 10 10 2" xfId="46751"/>
    <cellStyle name="CALC Percent Total [1] 2 10 11" xfId="46752"/>
    <cellStyle name="CALC Percent Total [1] 2 10 12" xfId="46753"/>
    <cellStyle name="CALC Percent Total [1] 2 10 2" xfId="15907"/>
    <cellStyle name="CALC Percent Total [1] 2 10 2 2" xfId="24225"/>
    <cellStyle name="CALC Percent Total [1] 2 10 2 2 2" xfId="46754"/>
    <cellStyle name="CALC Percent Total [1] 2 10 2 3" xfId="31510"/>
    <cellStyle name="CALC Percent Total [1] 2 10 2 4" xfId="46755"/>
    <cellStyle name="CALC Percent Total [1] 2 10 3" xfId="16873"/>
    <cellStyle name="CALC Percent Total [1] 2 10 3 2" xfId="25197"/>
    <cellStyle name="CALC Percent Total [1] 2 10 3 2 2" xfId="46756"/>
    <cellStyle name="CALC Percent Total [1] 2 10 3 3" xfId="32443"/>
    <cellStyle name="CALC Percent Total [1] 2 10 3 4" xfId="46757"/>
    <cellStyle name="CALC Percent Total [1] 2 10 4" xfId="17900"/>
    <cellStyle name="CALC Percent Total [1] 2 10 4 2" xfId="26223"/>
    <cellStyle name="CALC Percent Total [1] 2 10 4 2 2" xfId="46758"/>
    <cellStyle name="CALC Percent Total [1] 2 10 4 3" xfId="33420"/>
    <cellStyle name="CALC Percent Total [1] 2 10 4 4" xfId="46759"/>
    <cellStyle name="CALC Percent Total [1] 2 10 5" xfId="18884"/>
    <cellStyle name="CALC Percent Total [1] 2 10 5 2" xfId="27204"/>
    <cellStyle name="CALC Percent Total [1] 2 10 5 2 2" xfId="46760"/>
    <cellStyle name="CALC Percent Total [1] 2 10 5 3" xfId="34360"/>
    <cellStyle name="CALC Percent Total [1] 2 10 5 4" xfId="46761"/>
    <cellStyle name="CALC Percent Total [1] 2 10 6" xfId="19852"/>
    <cellStyle name="CALC Percent Total [1] 2 10 6 2" xfId="28174"/>
    <cellStyle name="CALC Percent Total [1] 2 10 6 2 2" xfId="46762"/>
    <cellStyle name="CALC Percent Total [1] 2 10 6 3" xfId="35307"/>
    <cellStyle name="CALC Percent Total [1] 2 10 6 4" xfId="46763"/>
    <cellStyle name="CALC Percent Total [1] 2 10 7" xfId="20810"/>
    <cellStyle name="CALC Percent Total [1] 2 10 7 2" xfId="29130"/>
    <cellStyle name="CALC Percent Total [1] 2 10 7 2 2" xfId="46764"/>
    <cellStyle name="CALC Percent Total [1] 2 10 7 3" xfId="36218"/>
    <cellStyle name="CALC Percent Total [1] 2 10 7 4" xfId="46765"/>
    <cellStyle name="CALC Percent Total [1] 2 10 8" xfId="21109"/>
    <cellStyle name="CALC Percent Total [1] 2 10 8 2" xfId="29423"/>
    <cellStyle name="CALC Percent Total [1] 2 10 8 2 2" xfId="46766"/>
    <cellStyle name="CALC Percent Total [1] 2 10 8 3" xfId="36496"/>
    <cellStyle name="CALC Percent Total [1] 2 10 8 4" xfId="46767"/>
    <cellStyle name="CALC Percent Total [1] 2 10 9" xfId="22245"/>
    <cellStyle name="CALC Percent Total [1] 2 10 9 2" xfId="30544"/>
    <cellStyle name="CALC Percent Total [1] 2 10 9 2 2" xfId="46768"/>
    <cellStyle name="CALC Percent Total [1] 2 10 9 3" xfId="37571"/>
    <cellStyle name="CALC Percent Total [1] 2 10 9 4" xfId="46769"/>
    <cellStyle name="CALC Percent Total [1] 2 11" xfId="14883"/>
    <cellStyle name="CALC Percent Total [1] 2 11 10" xfId="23246"/>
    <cellStyle name="CALC Percent Total [1] 2 11 10 2" xfId="46770"/>
    <cellStyle name="CALC Percent Total [1] 2 11 11" xfId="46771"/>
    <cellStyle name="CALC Percent Total [1] 2 11 12" xfId="46772"/>
    <cellStyle name="CALC Percent Total [1] 2 11 2" xfId="15964"/>
    <cellStyle name="CALC Percent Total [1] 2 11 2 2" xfId="24281"/>
    <cellStyle name="CALC Percent Total [1] 2 11 2 2 2" xfId="46773"/>
    <cellStyle name="CALC Percent Total [1] 2 11 2 3" xfId="31564"/>
    <cellStyle name="CALC Percent Total [1] 2 11 2 4" xfId="46774"/>
    <cellStyle name="CALC Percent Total [1] 2 11 3" xfId="16930"/>
    <cellStyle name="CALC Percent Total [1] 2 11 3 2" xfId="25253"/>
    <cellStyle name="CALC Percent Total [1] 2 11 3 2 2" xfId="46775"/>
    <cellStyle name="CALC Percent Total [1] 2 11 3 3" xfId="32497"/>
    <cellStyle name="CALC Percent Total [1] 2 11 3 4" xfId="46776"/>
    <cellStyle name="CALC Percent Total [1] 2 11 4" xfId="17957"/>
    <cellStyle name="CALC Percent Total [1] 2 11 4 2" xfId="26279"/>
    <cellStyle name="CALC Percent Total [1] 2 11 4 2 2" xfId="46777"/>
    <cellStyle name="CALC Percent Total [1] 2 11 4 3" xfId="33474"/>
    <cellStyle name="CALC Percent Total [1] 2 11 4 4" xfId="46778"/>
    <cellStyle name="CALC Percent Total [1] 2 11 5" xfId="18941"/>
    <cellStyle name="CALC Percent Total [1] 2 11 5 2" xfId="27261"/>
    <cellStyle name="CALC Percent Total [1] 2 11 5 2 2" xfId="46779"/>
    <cellStyle name="CALC Percent Total [1] 2 11 5 3" xfId="34415"/>
    <cellStyle name="CALC Percent Total [1] 2 11 5 4" xfId="46780"/>
    <cellStyle name="CALC Percent Total [1] 2 11 6" xfId="19909"/>
    <cellStyle name="CALC Percent Total [1] 2 11 6 2" xfId="28231"/>
    <cellStyle name="CALC Percent Total [1] 2 11 6 2 2" xfId="46781"/>
    <cellStyle name="CALC Percent Total [1] 2 11 6 3" xfId="35362"/>
    <cellStyle name="CALC Percent Total [1] 2 11 6 4" xfId="46782"/>
    <cellStyle name="CALC Percent Total [1] 2 11 7" xfId="20867"/>
    <cellStyle name="CALC Percent Total [1] 2 11 7 2" xfId="29186"/>
    <cellStyle name="CALC Percent Total [1] 2 11 7 2 2" xfId="46783"/>
    <cellStyle name="CALC Percent Total [1] 2 11 7 3" xfId="36272"/>
    <cellStyle name="CALC Percent Total [1] 2 11 7 4" xfId="46784"/>
    <cellStyle name="CALC Percent Total [1] 2 11 8" xfId="17575"/>
    <cellStyle name="CALC Percent Total [1] 2 11 8 2" xfId="25894"/>
    <cellStyle name="CALC Percent Total [1] 2 11 8 2 2" xfId="46785"/>
    <cellStyle name="CALC Percent Total [1] 2 11 8 3" xfId="33107"/>
    <cellStyle name="CALC Percent Total [1] 2 11 8 4" xfId="46786"/>
    <cellStyle name="CALC Percent Total [1] 2 11 9" xfId="22302"/>
    <cellStyle name="CALC Percent Total [1] 2 11 9 2" xfId="30600"/>
    <cellStyle name="CALC Percent Total [1] 2 11 9 2 2" xfId="46787"/>
    <cellStyle name="CALC Percent Total [1] 2 11 9 3" xfId="37625"/>
    <cellStyle name="CALC Percent Total [1] 2 11 9 4" xfId="46788"/>
    <cellStyle name="CALC Percent Total [1] 2 12" xfId="14899"/>
    <cellStyle name="CALC Percent Total [1] 2 12 10" xfId="23262"/>
    <cellStyle name="CALC Percent Total [1] 2 12 10 2" xfId="46789"/>
    <cellStyle name="CALC Percent Total [1] 2 12 11" xfId="46790"/>
    <cellStyle name="CALC Percent Total [1] 2 12 12" xfId="46791"/>
    <cellStyle name="CALC Percent Total [1] 2 12 2" xfId="15980"/>
    <cellStyle name="CALC Percent Total [1] 2 12 2 2" xfId="24297"/>
    <cellStyle name="CALC Percent Total [1] 2 12 2 2 2" xfId="46792"/>
    <cellStyle name="CALC Percent Total [1] 2 12 2 3" xfId="31578"/>
    <cellStyle name="CALC Percent Total [1] 2 12 2 4" xfId="46793"/>
    <cellStyle name="CALC Percent Total [1] 2 12 3" xfId="16946"/>
    <cellStyle name="CALC Percent Total [1] 2 12 3 2" xfId="25269"/>
    <cellStyle name="CALC Percent Total [1] 2 12 3 2 2" xfId="46794"/>
    <cellStyle name="CALC Percent Total [1] 2 12 3 3" xfId="32511"/>
    <cellStyle name="CALC Percent Total [1] 2 12 3 4" xfId="46795"/>
    <cellStyle name="CALC Percent Total [1] 2 12 4" xfId="17973"/>
    <cellStyle name="CALC Percent Total [1] 2 12 4 2" xfId="26295"/>
    <cellStyle name="CALC Percent Total [1] 2 12 4 2 2" xfId="46796"/>
    <cellStyle name="CALC Percent Total [1] 2 12 4 3" xfId="33488"/>
    <cellStyle name="CALC Percent Total [1] 2 12 4 4" xfId="46797"/>
    <cellStyle name="CALC Percent Total [1] 2 12 5" xfId="18957"/>
    <cellStyle name="CALC Percent Total [1] 2 12 5 2" xfId="27277"/>
    <cellStyle name="CALC Percent Total [1] 2 12 5 2 2" xfId="46798"/>
    <cellStyle name="CALC Percent Total [1] 2 12 5 3" xfId="34429"/>
    <cellStyle name="CALC Percent Total [1] 2 12 5 4" xfId="46799"/>
    <cellStyle name="CALC Percent Total [1] 2 12 6" xfId="19925"/>
    <cellStyle name="CALC Percent Total [1] 2 12 6 2" xfId="28247"/>
    <cellStyle name="CALC Percent Total [1] 2 12 6 2 2" xfId="46800"/>
    <cellStyle name="CALC Percent Total [1] 2 12 6 3" xfId="35376"/>
    <cellStyle name="CALC Percent Total [1] 2 12 6 4" xfId="46801"/>
    <cellStyle name="CALC Percent Total [1] 2 12 7" xfId="20883"/>
    <cellStyle name="CALC Percent Total [1] 2 12 7 2" xfId="29202"/>
    <cellStyle name="CALC Percent Total [1] 2 12 7 2 2" xfId="46802"/>
    <cellStyle name="CALC Percent Total [1] 2 12 7 3" xfId="36286"/>
    <cellStyle name="CALC Percent Total [1] 2 12 7 4" xfId="46803"/>
    <cellStyle name="CALC Percent Total [1] 2 12 8" xfId="21390"/>
    <cellStyle name="CALC Percent Total [1] 2 12 8 2" xfId="29693"/>
    <cellStyle name="CALC Percent Total [1] 2 12 8 2 2" xfId="46804"/>
    <cellStyle name="CALC Percent Total [1] 2 12 8 3" xfId="36756"/>
    <cellStyle name="CALC Percent Total [1] 2 12 8 4" xfId="46805"/>
    <cellStyle name="CALC Percent Total [1] 2 12 9" xfId="22318"/>
    <cellStyle name="CALC Percent Total [1] 2 12 9 2" xfId="30616"/>
    <cellStyle name="CALC Percent Total [1] 2 12 9 2 2" xfId="46806"/>
    <cellStyle name="CALC Percent Total [1] 2 12 9 3" xfId="37639"/>
    <cellStyle name="CALC Percent Total [1] 2 12 9 4" xfId="46807"/>
    <cellStyle name="CALC Percent Total [1] 2 13" xfId="14958"/>
    <cellStyle name="CALC Percent Total [1] 2 13 10" xfId="23320"/>
    <cellStyle name="CALC Percent Total [1] 2 13 10 2" xfId="46808"/>
    <cellStyle name="CALC Percent Total [1] 2 13 11" xfId="46809"/>
    <cellStyle name="CALC Percent Total [1] 2 13 12" xfId="46810"/>
    <cellStyle name="CALC Percent Total [1] 2 13 2" xfId="16039"/>
    <cellStyle name="CALC Percent Total [1] 2 13 2 2" xfId="24355"/>
    <cellStyle name="CALC Percent Total [1] 2 13 2 2 2" xfId="46811"/>
    <cellStyle name="CALC Percent Total [1] 2 13 2 3" xfId="31635"/>
    <cellStyle name="CALC Percent Total [1] 2 13 2 4" xfId="46812"/>
    <cellStyle name="CALC Percent Total [1] 2 13 3" xfId="17005"/>
    <cellStyle name="CALC Percent Total [1] 2 13 3 2" xfId="25327"/>
    <cellStyle name="CALC Percent Total [1] 2 13 3 2 2" xfId="46813"/>
    <cellStyle name="CALC Percent Total [1] 2 13 3 3" xfId="32568"/>
    <cellStyle name="CALC Percent Total [1] 2 13 3 4" xfId="46814"/>
    <cellStyle name="CALC Percent Total [1] 2 13 4" xfId="18032"/>
    <cellStyle name="CALC Percent Total [1] 2 13 4 2" xfId="26353"/>
    <cellStyle name="CALC Percent Total [1] 2 13 4 2 2" xfId="46815"/>
    <cellStyle name="CALC Percent Total [1] 2 13 4 3" xfId="33545"/>
    <cellStyle name="CALC Percent Total [1] 2 13 4 4" xfId="46816"/>
    <cellStyle name="CALC Percent Total [1] 2 13 5" xfId="19016"/>
    <cellStyle name="CALC Percent Total [1] 2 13 5 2" xfId="27336"/>
    <cellStyle name="CALC Percent Total [1] 2 13 5 2 2" xfId="46817"/>
    <cellStyle name="CALC Percent Total [1] 2 13 5 3" xfId="34487"/>
    <cellStyle name="CALC Percent Total [1] 2 13 5 4" xfId="46818"/>
    <cellStyle name="CALC Percent Total [1] 2 13 6" xfId="19984"/>
    <cellStyle name="CALC Percent Total [1] 2 13 6 2" xfId="28306"/>
    <cellStyle name="CALC Percent Total [1] 2 13 6 2 2" xfId="46819"/>
    <cellStyle name="CALC Percent Total [1] 2 13 6 3" xfId="35434"/>
    <cellStyle name="CALC Percent Total [1] 2 13 6 4" xfId="46820"/>
    <cellStyle name="CALC Percent Total [1] 2 13 7" xfId="20942"/>
    <cellStyle name="CALC Percent Total [1] 2 13 7 2" xfId="29260"/>
    <cellStyle name="CALC Percent Total [1] 2 13 7 2 2" xfId="46821"/>
    <cellStyle name="CALC Percent Total [1] 2 13 7 3" xfId="36343"/>
    <cellStyle name="CALC Percent Total [1] 2 13 7 4" xfId="46822"/>
    <cellStyle name="CALC Percent Total [1] 2 13 8" xfId="21449"/>
    <cellStyle name="CALC Percent Total [1] 2 13 8 2" xfId="29751"/>
    <cellStyle name="CALC Percent Total [1] 2 13 8 2 2" xfId="46823"/>
    <cellStyle name="CALC Percent Total [1] 2 13 8 3" xfId="36813"/>
    <cellStyle name="CALC Percent Total [1] 2 13 8 4" xfId="46824"/>
    <cellStyle name="CALC Percent Total [1] 2 13 9" xfId="22377"/>
    <cellStyle name="CALC Percent Total [1] 2 13 9 2" xfId="30674"/>
    <cellStyle name="CALC Percent Total [1] 2 13 9 2 2" xfId="46825"/>
    <cellStyle name="CALC Percent Total [1] 2 13 9 3" xfId="37696"/>
    <cellStyle name="CALC Percent Total [1] 2 13 9 4" xfId="46826"/>
    <cellStyle name="CALC Percent Total [1] 2 14" xfId="15034"/>
    <cellStyle name="CALC Percent Total [1] 2 14 10" xfId="23394"/>
    <cellStyle name="CALC Percent Total [1] 2 14 10 2" xfId="46827"/>
    <cellStyle name="CALC Percent Total [1] 2 14 11" xfId="46828"/>
    <cellStyle name="CALC Percent Total [1] 2 14 12" xfId="46829"/>
    <cellStyle name="CALC Percent Total [1] 2 14 2" xfId="16114"/>
    <cellStyle name="CALC Percent Total [1] 2 14 2 2" xfId="24429"/>
    <cellStyle name="CALC Percent Total [1] 2 14 2 2 2" xfId="46830"/>
    <cellStyle name="CALC Percent Total [1] 2 14 2 3" xfId="31707"/>
    <cellStyle name="CALC Percent Total [1] 2 14 2 4" xfId="46831"/>
    <cellStyle name="CALC Percent Total [1] 2 14 3" xfId="17081"/>
    <cellStyle name="CALC Percent Total [1] 2 14 3 2" xfId="25402"/>
    <cellStyle name="CALC Percent Total [1] 2 14 3 2 2" xfId="46832"/>
    <cellStyle name="CALC Percent Total [1] 2 14 3 3" xfId="32641"/>
    <cellStyle name="CALC Percent Total [1] 2 14 3 4" xfId="46833"/>
    <cellStyle name="CALC Percent Total [1] 2 14 4" xfId="18108"/>
    <cellStyle name="CALC Percent Total [1] 2 14 4 2" xfId="26428"/>
    <cellStyle name="CALC Percent Total [1] 2 14 4 2 2" xfId="46834"/>
    <cellStyle name="CALC Percent Total [1] 2 14 4 3" xfId="33618"/>
    <cellStyle name="CALC Percent Total [1] 2 14 4 4" xfId="46835"/>
    <cellStyle name="CALC Percent Total [1] 2 14 5" xfId="19092"/>
    <cellStyle name="CALC Percent Total [1] 2 14 5 2" xfId="27412"/>
    <cellStyle name="CALC Percent Total [1] 2 14 5 2 2" xfId="46836"/>
    <cellStyle name="CALC Percent Total [1] 2 14 5 3" xfId="34561"/>
    <cellStyle name="CALC Percent Total [1] 2 14 5 4" xfId="46837"/>
    <cellStyle name="CALC Percent Total [1] 2 14 6" xfId="20060"/>
    <cellStyle name="CALC Percent Total [1] 2 14 6 2" xfId="28382"/>
    <cellStyle name="CALC Percent Total [1] 2 14 6 2 2" xfId="46838"/>
    <cellStyle name="CALC Percent Total [1] 2 14 6 3" xfId="35508"/>
    <cellStyle name="CALC Percent Total [1] 2 14 6 4" xfId="46839"/>
    <cellStyle name="CALC Percent Total [1] 2 14 7" xfId="21017"/>
    <cellStyle name="CALC Percent Total [1] 2 14 7 2" xfId="29334"/>
    <cellStyle name="CALC Percent Total [1] 2 14 7 2 2" xfId="46840"/>
    <cellStyle name="CALC Percent Total [1] 2 14 7 3" xfId="36415"/>
    <cellStyle name="CALC Percent Total [1] 2 14 7 4" xfId="46841"/>
    <cellStyle name="CALC Percent Total [1] 2 14 8" xfId="21524"/>
    <cellStyle name="CALC Percent Total [1] 2 14 8 2" xfId="29825"/>
    <cellStyle name="CALC Percent Total [1] 2 14 8 2 2" xfId="46842"/>
    <cellStyle name="CALC Percent Total [1] 2 14 8 3" xfId="36885"/>
    <cellStyle name="CALC Percent Total [1] 2 14 8 4" xfId="46843"/>
    <cellStyle name="CALC Percent Total [1] 2 14 9" xfId="22452"/>
    <cellStyle name="CALC Percent Total [1] 2 14 9 2" xfId="30748"/>
    <cellStyle name="CALC Percent Total [1] 2 14 9 2 2" xfId="46844"/>
    <cellStyle name="CALC Percent Total [1] 2 14 9 3" xfId="37768"/>
    <cellStyle name="CALC Percent Total [1] 2 14 9 4" xfId="46845"/>
    <cellStyle name="CALC Percent Total [1] 2 15" xfId="15063"/>
    <cellStyle name="CALC Percent Total [1] 2 15 10" xfId="23423"/>
    <cellStyle name="CALC Percent Total [1] 2 15 10 2" xfId="46846"/>
    <cellStyle name="CALC Percent Total [1] 2 15 11" xfId="46847"/>
    <cellStyle name="CALC Percent Total [1] 2 15 12" xfId="46848"/>
    <cellStyle name="CALC Percent Total [1] 2 15 2" xfId="16143"/>
    <cellStyle name="CALC Percent Total [1] 2 15 2 2" xfId="24458"/>
    <cellStyle name="CALC Percent Total [1] 2 15 2 2 2" xfId="46849"/>
    <cellStyle name="CALC Percent Total [1] 2 15 2 3" xfId="31735"/>
    <cellStyle name="CALC Percent Total [1] 2 15 2 4" xfId="46850"/>
    <cellStyle name="CALC Percent Total [1] 2 15 3" xfId="17110"/>
    <cellStyle name="CALC Percent Total [1] 2 15 3 2" xfId="25431"/>
    <cellStyle name="CALC Percent Total [1] 2 15 3 2 2" xfId="46851"/>
    <cellStyle name="CALC Percent Total [1] 2 15 3 3" xfId="32669"/>
    <cellStyle name="CALC Percent Total [1] 2 15 3 4" xfId="46852"/>
    <cellStyle name="CALC Percent Total [1] 2 15 4" xfId="18137"/>
    <cellStyle name="CALC Percent Total [1] 2 15 4 2" xfId="26457"/>
    <cellStyle name="CALC Percent Total [1] 2 15 4 2 2" xfId="46853"/>
    <cellStyle name="CALC Percent Total [1] 2 15 4 3" xfId="33646"/>
    <cellStyle name="CALC Percent Total [1] 2 15 4 4" xfId="46854"/>
    <cellStyle name="CALC Percent Total [1] 2 15 5" xfId="19121"/>
    <cellStyle name="CALC Percent Total [1] 2 15 5 2" xfId="27441"/>
    <cellStyle name="CALC Percent Total [1] 2 15 5 2 2" xfId="46855"/>
    <cellStyle name="CALC Percent Total [1] 2 15 5 3" xfId="34589"/>
    <cellStyle name="CALC Percent Total [1] 2 15 5 4" xfId="46856"/>
    <cellStyle name="CALC Percent Total [1] 2 15 6" xfId="20089"/>
    <cellStyle name="CALC Percent Total [1] 2 15 6 2" xfId="28411"/>
    <cellStyle name="CALC Percent Total [1] 2 15 6 2 2" xfId="46857"/>
    <cellStyle name="CALC Percent Total [1] 2 15 6 3" xfId="35536"/>
    <cellStyle name="CALC Percent Total [1] 2 15 6 4" xfId="46858"/>
    <cellStyle name="CALC Percent Total [1] 2 15 7" xfId="21046"/>
    <cellStyle name="CALC Percent Total [1] 2 15 7 2" xfId="29363"/>
    <cellStyle name="CALC Percent Total [1] 2 15 7 2 2" xfId="46859"/>
    <cellStyle name="CALC Percent Total [1] 2 15 7 3" xfId="36443"/>
    <cellStyle name="CALC Percent Total [1] 2 15 7 4" xfId="46860"/>
    <cellStyle name="CALC Percent Total [1] 2 15 8" xfId="21553"/>
    <cellStyle name="CALC Percent Total [1] 2 15 8 2" xfId="29854"/>
    <cellStyle name="CALC Percent Total [1] 2 15 8 2 2" xfId="46861"/>
    <cellStyle name="CALC Percent Total [1] 2 15 8 3" xfId="36913"/>
    <cellStyle name="CALC Percent Total [1] 2 15 8 4" xfId="46862"/>
    <cellStyle name="CALC Percent Total [1] 2 15 9" xfId="22481"/>
    <cellStyle name="CALC Percent Total [1] 2 15 9 2" xfId="30777"/>
    <cellStyle name="CALC Percent Total [1] 2 15 9 2 2" xfId="46863"/>
    <cellStyle name="CALC Percent Total [1] 2 15 9 3" xfId="37796"/>
    <cellStyle name="CALC Percent Total [1] 2 15 9 4" xfId="46864"/>
    <cellStyle name="CALC Percent Total [1] 2 16" xfId="15148"/>
    <cellStyle name="CALC Percent Total [1] 2 16 10" xfId="46865"/>
    <cellStyle name="CALC Percent Total [1] 2 16 11" xfId="46866"/>
    <cellStyle name="CALC Percent Total [1] 2 16 2" xfId="16228"/>
    <cellStyle name="CALC Percent Total [1] 2 16 2 2" xfId="24541"/>
    <cellStyle name="CALC Percent Total [1] 2 16 2 2 2" xfId="46867"/>
    <cellStyle name="CALC Percent Total [1] 2 16 2 3" xfId="31816"/>
    <cellStyle name="CALC Percent Total [1] 2 16 2 4" xfId="46868"/>
    <cellStyle name="CALC Percent Total [1] 2 16 3" xfId="17194"/>
    <cellStyle name="CALC Percent Total [1] 2 16 3 2" xfId="25515"/>
    <cellStyle name="CALC Percent Total [1] 2 16 3 2 2" xfId="46869"/>
    <cellStyle name="CALC Percent Total [1] 2 16 3 3" xfId="32749"/>
    <cellStyle name="CALC Percent Total [1] 2 16 3 4" xfId="46870"/>
    <cellStyle name="CALC Percent Total [1] 2 16 4" xfId="18222"/>
    <cellStyle name="CALC Percent Total [1] 2 16 4 2" xfId="26542"/>
    <cellStyle name="CALC Percent Total [1] 2 16 4 2 2" xfId="46871"/>
    <cellStyle name="CALC Percent Total [1] 2 16 4 3" xfId="33727"/>
    <cellStyle name="CALC Percent Total [1] 2 16 4 4" xfId="46872"/>
    <cellStyle name="CALC Percent Total [1] 2 16 5" xfId="19206"/>
    <cellStyle name="CALC Percent Total [1] 2 16 5 2" xfId="27526"/>
    <cellStyle name="CALC Percent Total [1] 2 16 5 2 2" xfId="46873"/>
    <cellStyle name="CALC Percent Total [1] 2 16 5 3" xfId="34674"/>
    <cellStyle name="CALC Percent Total [1] 2 16 5 4" xfId="46874"/>
    <cellStyle name="CALC Percent Total [1] 2 16 6" xfId="20174"/>
    <cellStyle name="CALC Percent Total [1] 2 16 6 2" xfId="28496"/>
    <cellStyle name="CALC Percent Total [1] 2 16 6 2 2" xfId="46875"/>
    <cellStyle name="CALC Percent Total [1] 2 16 6 3" xfId="35619"/>
    <cellStyle name="CALC Percent Total [1] 2 16 6 4" xfId="46876"/>
    <cellStyle name="CALC Percent Total [1] 2 16 7" xfId="21635"/>
    <cellStyle name="CALC Percent Total [1] 2 16 7 2" xfId="29936"/>
    <cellStyle name="CALC Percent Total [1] 2 16 7 2 2" xfId="46877"/>
    <cellStyle name="CALC Percent Total [1] 2 16 7 3" xfId="36993"/>
    <cellStyle name="CALC Percent Total [1] 2 16 7 4" xfId="46878"/>
    <cellStyle name="CALC Percent Total [1] 2 16 8" xfId="22563"/>
    <cellStyle name="CALC Percent Total [1] 2 16 8 2" xfId="30859"/>
    <cellStyle name="CALC Percent Total [1] 2 16 8 2 2" xfId="46879"/>
    <cellStyle name="CALC Percent Total [1] 2 16 8 3" xfId="37876"/>
    <cellStyle name="CALC Percent Total [1] 2 16 8 4" xfId="46880"/>
    <cellStyle name="CALC Percent Total [1] 2 16 9" xfId="23505"/>
    <cellStyle name="CALC Percent Total [1] 2 16 9 2" xfId="46881"/>
    <cellStyle name="CALC Percent Total [1] 2 17" xfId="15168"/>
    <cellStyle name="CALC Percent Total [1] 2 17 10" xfId="46882"/>
    <cellStyle name="CALC Percent Total [1] 2 17 11" xfId="46883"/>
    <cellStyle name="CALC Percent Total [1] 2 17 2" xfId="16248"/>
    <cellStyle name="CALC Percent Total [1] 2 17 2 2" xfId="24561"/>
    <cellStyle name="CALC Percent Total [1] 2 17 2 2 2" xfId="46884"/>
    <cellStyle name="CALC Percent Total [1] 2 17 2 3" xfId="31834"/>
    <cellStyle name="CALC Percent Total [1] 2 17 2 4" xfId="46885"/>
    <cellStyle name="CALC Percent Total [1] 2 17 3" xfId="17214"/>
    <cellStyle name="CALC Percent Total [1] 2 17 3 2" xfId="25535"/>
    <cellStyle name="CALC Percent Total [1] 2 17 3 2 2" xfId="46886"/>
    <cellStyle name="CALC Percent Total [1] 2 17 3 3" xfId="32767"/>
    <cellStyle name="CALC Percent Total [1] 2 17 3 4" xfId="46887"/>
    <cellStyle name="CALC Percent Total [1] 2 17 4" xfId="18242"/>
    <cellStyle name="CALC Percent Total [1] 2 17 4 2" xfId="26562"/>
    <cellStyle name="CALC Percent Total [1] 2 17 4 2 2" xfId="46888"/>
    <cellStyle name="CALC Percent Total [1] 2 17 4 3" xfId="33745"/>
    <cellStyle name="CALC Percent Total [1] 2 17 4 4" xfId="46889"/>
    <cellStyle name="CALC Percent Total [1] 2 17 5" xfId="19226"/>
    <cellStyle name="CALC Percent Total [1] 2 17 5 2" xfId="27546"/>
    <cellStyle name="CALC Percent Total [1] 2 17 5 2 2" xfId="46890"/>
    <cellStyle name="CALC Percent Total [1] 2 17 5 3" xfId="34694"/>
    <cellStyle name="CALC Percent Total [1] 2 17 5 4" xfId="46891"/>
    <cellStyle name="CALC Percent Total [1] 2 17 6" xfId="20194"/>
    <cellStyle name="CALC Percent Total [1] 2 17 6 2" xfId="28516"/>
    <cellStyle name="CALC Percent Total [1] 2 17 6 2 2" xfId="46892"/>
    <cellStyle name="CALC Percent Total [1] 2 17 6 3" xfId="35637"/>
    <cellStyle name="CALC Percent Total [1] 2 17 6 4" xfId="46893"/>
    <cellStyle name="CALC Percent Total [1] 2 17 7" xfId="21655"/>
    <cellStyle name="CALC Percent Total [1] 2 17 7 2" xfId="29956"/>
    <cellStyle name="CALC Percent Total [1] 2 17 7 2 2" xfId="46894"/>
    <cellStyle name="CALC Percent Total [1] 2 17 7 3" xfId="37011"/>
    <cellStyle name="CALC Percent Total [1] 2 17 7 4" xfId="46895"/>
    <cellStyle name="CALC Percent Total [1] 2 17 8" xfId="22583"/>
    <cellStyle name="CALC Percent Total [1] 2 17 8 2" xfId="30879"/>
    <cellStyle name="CALC Percent Total [1] 2 17 8 2 2" xfId="46896"/>
    <cellStyle name="CALC Percent Total [1] 2 17 8 3" xfId="37894"/>
    <cellStyle name="CALC Percent Total [1] 2 17 8 4" xfId="46897"/>
    <cellStyle name="CALC Percent Total [1] 2 17 9" xfId="23525"/>
    <cellStyle name="CALC Percent Total [1] 2 17 9 2" xfId="46898"/>
    <cellStyle name="CALC Percent Total [1] 2 18" xfId="15190"/>
    <cellStyle name="CALC Percent Total [1] 2 18 10" xfId="46899"/>
    <cellStyle name="CALC Percent Total [1] 2 18 11" xfId="46900"/>
    <cellStyle name="CALC Percent Total [1] 2 18 2" xfId="16270"/>
    <cellStyle name="CALC Percent Total [1] 2 18 2 2" xfId="24583"/>
    <cellStyle name="CALC Percent Total [1] 2 18 2 2 2" xfId="46901"/>
    <cellStyle name="CALC Percent Total [1] 2 18 2 3" xfId="31855"/>
    <cellStyle name="CALC Percent Total [1] 2 18 2 4" xfId="46902"/>
    <cellStyle name="CALC Percent Total [1] 2 18 3" xfId="17236"/>
    <cellStyle name="CALC Percent Total [1] 2 18 3 2" xfId="25557"/>
    <cellStyle name="CALC Percent Total [1] 2 18 3 2 2" xfId="46903"/>
    <cellStyle name="CALC Percent Total [1] 2 18 3 3" xfId="32788"/>
    <cellStyle name="CALC Percent Total [1] 2 18 3 4" xfId="46904"/>
    <cellStyle name="CALC Percent Total [1] 2 18 4" xfId="18264"/>
    <cellStyle name="CALC Percent Total [1] 2 18 4 2" xfId="26584"/>
    <cellStyle name="CALC Percent Total [1] 2 18 4 2 2" xfId="46905"/>
    <cellStyle name="CALC Percent Total [1] 2 18 4 3" xfId="33766"/>
    <cellStyle name="CALC Percent Total [1] 2 18 4 4" xfId="46906"/>
    <cellStyle name="CALC Percent Total [1] 2 18 5" xfId="19248"/>
    <cellStyle name="CALC Percent Total [1] 2 18 5 2" xfId="27568"/>
    <cellStyle name="CALC Percent Total [1] 2 18 5 2 2" xfId="46907"/>
    <cellStyle name="CALC Percent Total [1] 2 18 5 3" xfId="34716"/>
    <cellStyle name="CALC Percent Total [1] 2 18 5 4" xfId="46908"/>
    <cellStyle name="CALC Percent Total [1] 2 18 6" xfId="20216"/>
    <cellStyle name="CALC Percent Total [1] 2 18 6 2" xfId="28538"/>
    <cellStyle name="CALC Percent Total [1] 2 18 6 2 2" xfId="46909"/>
    <cellStyle name="CALC Percent Total [1] 2 18 6 3" xfId="35658"/>
    <cellStyle name="CALC Percent Total [1] 2 18 6 4" xfId="46910"/>
    <cellStyle name="CALC Percent Total [1] 2 18 7" xfId="21677"/>
    <cellStyle name="CALC Percent Total [1] 2 18 7 2" xfId="29978"/>
    <cellStyle name="CALC Percent Total [1] 2 18 7 2 2" xfId="46911"/>
    <cellStyle name="CALC Percent Total [1] 2 18 7 3" xfId="37032"/>
    <cellStyle name="CALC Percent Total [1] 2 18 7 4" xfId="46912"/>
    <cellStyle name="CALC Percent Total [1] 2 18 8" xfId="22605"/>
    <cellStyle name="CALC Percent Total [1] 2 18 8 2" xfId="30901"/>
    <cellStyle name="CALC Percent Total [1] 2 18 8 2 2" xfId="46913"/>
    <cellStyle name="CALC Percent Total [1] 2 18 8 3" xfId="37915"/>
    <cellStyle name="CALC Percent Total [1] 2 18 8 4" xfId="46914"/>
    <cellStyle name="CALC Percent Total [1] 2 18 9" xfId="23547"/>
    <cellStyle name="CALC Percent Total [1] 2 18 9 2" xfId="46915"/>
    <cellStyle name="CALC Percent Total [1] 2 19" xfId="15206"/>
    <cellStyle name="CALC Percent Total [1] 2 19 10" xfId="46916"/>
    <cellStyle name="CALC Percent Total [1] 2 19 11" xfId="46917"/>
    <cellStyle name="CALC Percent Total [1] 2 19 2" xfId="16286"/>
    <cellStyle name="CALC Percent Total [1] 2 19 2 2" xfId="24599"/>
    <cellStyle name="CALC Percent Total [1] 2 19 2 2 2" xfId="46918"/>
    <cellStyle name="CALC Percent Total [1] 2 19 2 3" xfId="31869"/>
    <cellStyle name="CALC Percent Total [1] 2 19 2 4" xfId="46919"/>
    <cellStyle name="CALC Percent Total [1] 2 19 3" xfId="17252"/>
    <cellStyle name="CALC Percent Total [1] 2 19 3 2" xfId="25573"/>
    <cellStyle name="CALC Percent Total [1] 2 19 3 2 2" xfId="46920"/>
    <cellStyle name="CALC Percent Total [1] 2 19 3 3" xfId="32802"/>
    <cellStyle name="CALC Percent Total [1] 2 19 3 4" xfId="46921"/>
    <cellStyle name="CALC Percent Total [1] 2 19 4" xfId="18280"/>
    <cellStyle name="CALC Percent Total [1] 2 19 4 2" xfId="26600"/>
    <cellStyle name="CALC Percent Total [1] 2 19 4 2 2" xfId="46922"/>
    <cellStyle name="CALC Percent Total [1] 2 19 4 3" xfId="33780"/>
    <cellStyle name="CALC Percent Total [1] 2 19 4 4" xfId="46923"/>
    <cellStyle name="CALC Percent Total [1] 2 19 5" xfId="19264"/>
    <cellStyle name="CALC Percent Total [1] 2 19 5 2" xfId="27584"/>
    <cellStyle name="CALC Percent Total [1] 2 19 5 2 2" xfId="46924"/>
    <cellStyle name="CALC Percent Total [1] 2 19 5 3" xfId="34732"/>
    <cellStyle name="CALC Percent Total [1] 2 19 5 4" xfId="46925"/>
    <cellStyle name="CALC Percent Total [1] 2 19 6" xfId="20232"/>
    <cellStyle name="CALC Percent Total [1] 2 19 6 2" xfId="28554"/>
    <cellStyle name="CALC Percent Total [1] 2 19 6 2 2" xfId="46926"/>
    <cellStyle name="CALC Percent Total [1] 2 19 6 3" xfId="35672"/>
    <cellStyle name="CALC Percent Total [1] 2 19 6 4" xfId="46927"/>
    <cellStyle name="CALC Percent Total [1] 2 19 7" xfId="21693"/>
    <cellStyle name="CALC Percent Total [1] 2 19 7 2" xfId="29994"/>
    <cellStyle name="CALC Percent Total [1] 2 19 7 2 2" xfId="46928"/>
    <cellStyle name="CALC Percent Total [1] 2 19 7 3" xfId="37046"/>
    <cellStyle name="CALC Percent Total [1] 2 19 7 4" xfId="46929"/>
    <cellStyle name="CALC Percent Total [1] 2 19 8" xfId="22621"/>
    <cellStyle name="CALC Percent Total [1] 2 19 8 2" xfId="30917"/>
    <cellStyle name="CALC Percent Total [1] 2 19 8 2 2" xfId="46930"/>
    <cellStyle name="CALC Percent Total [1] 2 19 8 3" xfId="37929"/>
    <cellStyle name="CALC Percent Total [1] 2 19 8 4" xfId="46931"/>
    <cellStyle name="CALC Percent Total [1] 2 19 9" xfId="23563"/>
    <cellStyle name="CALC Percent Total [1] 2 19 9 2" xfId="46932"/>
    <cellStyle name="CALC Percent Total [1] 2 2" xfId="14520"/>
    <cellStyle name="CALC Percent Total [1] 2 2 2" xfId="15582"/>
    <cellStyle name="CALC Percent Total [1] 2 2 2 2" xfId="46933"/>
    <cellStyle name="CALC Percent Total [1] 2 2 2 2 2" xfId="46934"/>
    <cellStyle name="CALC Percent Total [1] 2 2 3" xfId="14446"/>
    <cellStyle name="CALC Percent Total [1] 2 2 3 2" xfId="46935"/>
    <cellStyle name="CALC Percent Total [1] 2 20" xfId="15271"/>
    <cellStyle name="CALC Percent Total [1] 2 20 10" xfId="46936"/>
    <cellStyle name="CALC Percent Total [1] 2 20 11" xfId="46937"/>
    <cellStyle name="CALC Percent Total [1] 2 20 2" xfId="16351"/>
    <cellStyle name="CALC Percent Total [1] 2 20 2 2" xfId="24664"/>
    <cellStyle name="CALC Percent Total [1] 2 20 2 2 2" xfId="46938"/>
    <cellStyle name="CALC Percent Total [1] 2 20 2 3" xfId="31931"/>
    <cellStyle name="CALC Percent Total [1] 2 20 2 4" xfId="46939"/>
    <cellStyle name="CALC Percent Total [1] 2 20 3" xfId="17317"/>
    <cellStyle name="CALC Percent Total [1] 2 20 3 2" xfId="25638"/>
    <cellStyle name="CALC Percent Total [1] 2 20 3 2 2" xfId="46940"/>
    <cellStyle name="CALC Percent Total [1] 2 20 3 3" xfId="32864"/>
    <cellStyle name="CALC Percent Total [1] 2 20 3 4" xfId="46941"/>
    <cellStyle name="CALC Percent Total [1] 2 20 4" xfId="18345"/>
    <cellStyle name="CALC Percent Total [1] 2 20 4 2" xfId="26665"/>
    <cellStyle name="CALC Percent Total [1] 2 20 4 2 2" xfId="46942"/>
    <cellStyle name="CALC Percent Total [1] 2 20 4 3" xfId="33842"/>
    <cellStyle name="CALC Percent Total [1] 2 20 4 4" xfId="46943"/>
    <cellStyle name="CALC Percent Total [1] 2 20 5" xfId="19329"/>
    <cellStyle name="CALC Percent Total [1] 2 20 5 2" xfId="27649"/>
    <cellStyle name="CALC Percent Total [1] 2 20 5 2 2" xfId="46944"/>
    <cellStyle name="CALC Percent Total [1] 2 20 5 3" xfId="34797"/>
    <cellStyle name="CALC Percent Total [1] 2 20 5 4" xfId="46945"/>
    <cellStyle name="CALC Percent Total [1] 2 20 6" xfId="20297"/>
    <cellStyle name="CALC Percent Total [1] 2 20 6 2" xfId="28619"/>
    <cellStyle name="CALC Percent Total [1] 2 20 6 2 2" xfId="46946"/>
    <cellStyle name="CALC Percent Total [1] 2 20 6 3" xfId="35734"/>
    <cellStyle name="CALC Percent Total [1] 2 20 6 4" xfId="46947"/>
    <cellStyle name="CALC Percent Total [1] 2 20 7" xfId="21758"/>
    <cellStyle name="CALC Percent Total [1] 2 20 7 2" xfId="30059"/>
    <cellStyle name="CALC Percent Total [1] 2 20 7 2 2" xfId="46948"/>
    <cellStyle name="CALC Percent Total [1] 2 20 7 3" xfId="37108"/>
    <cellStyle name="CALC Percent Total [1] 2 20 7 4" xfId="46949"/>
    <cellStyle name="CALC Percent Total [1] 2 20 8" xfId="22686"/>
    <cellStyle name="CALC Percent Total [1] 2 20 8 2" xfId="30982"/>
    <cellStyle name="CALC Percent Total [1] 2 20 8 2 2" xfId="46950"/>
    <cellStyle name="CALC Percent Total [1] 2 20 8 3" xfId="37991"/>
    <cellStyle name="CALC Percent Total [1] 2 20 8 4" xfId="46951"/>
    <cellStyle name="CALC Percent Total [1] 2 20 9" xfId="23628"/>
    <cellStyle name="CALC Percent Total [1] 2 20 9 2" xfId="46952"/>
    <cellStyle name="CALC Percent Total [1] 2 21" xfId="15287"/>
    <cellStyle name="CALC Percent Total [1] 2 21 10" xfId="46953"/>
    <cellStyle name="CALC Percent Total [1] 2 21 11" xfId="46954"/>
    <cellStyle name="CALC Percent Total [1] 2 21 2" xfId="16367"/>
    <cellStyle name="CALC Percent Total [1] 2 21 2 2" xfId="24680"/>
    <cellStyle name="CALC Percent Total [1] 2 21 2 2 2" xfId="46955"/>
    <cellStyle name="CALC Percent Total [1] 2 21 2 3" xfId="31947"/>
    <cellStyle name="CALC Percent Total [1] 2 21 2 4" xfId="46956"/>
    <cellStyle name="CALC Percent Total [1] 2 21 3" xfId="17333"/>
    <cellStyle name="CALC Percent Total [1] 2 21 3 2" xfId="25654"/>
    <cellStyle name="CALC Percent Total [1] 2 21 3 2 2" xfId="46957"/>
    <cellStyle name="CALC Percent Total [1] 2 21 3 3" xfId="32880"/>
    <cellStyle name="CALC Percent Total [1] 2 21 3 4" xfId="46958"/>
    <cellStyle name="CALC Percent Total [1] 2 21 4" xfId="18361"/>
    <cellStyle name="CALC Percent Total [1] 2 21 4 2" xfId="26681"/>
    <cellStyle name="CALC Percent Total [1] 2 21 4 2 2" xfId="46959"/>
    <cellStyle name="CALC Percent Total [1] 2 21 4 3" xfId="33858"/>
    <cellStyle name="CALC Percent Total [1] 2 21 4 4" xfId="46960"/>
    <cellStyle name="CALC Percent Total [1] 2 21 5" xfId="19345"/>
    <cellStyle name="CALC Percent Total [1] 2 21 5 2" xfId="27665"/>
    <cellStyle name="CALC Percent Total [1] 2 21 5 2 2" xfId="46961"/>
    <cellStyle name="CALC Percent Total [1] 2 21 5 3" xfId="34813"/>
    <cellStyle name="CALC Percent Total [1] 2 21 5 4" xfId="46962"/>
    <cellStyle name="CALC Percent Total [1] 2 21 6" xfId="20313"/>
    <cellStyle name="CALC Percent Total [1] 2 21 6 2" xfId="28635"/>
    <cellStyle name="CALC Percent Total [1] 2 21 6 2 2" xfId="46963"/>
    <cellStyle name="CALC Percent Total [1] 2 21 6 3" xfId="35750"/>
    <cellStyle name="CALC Percent Total [1] 2 21 6 4" xfId="46964"/>
    <cellStyle name="CALC Percent Total [1] 2 21 7" xfId="21774"/>
    <cellStyle name="CALC Percent Total [1] 2 21 7 2" xfId="30075"/>
    <cellStyle name="CALC Percent Total [1] 2 21 7 2 2" xfId="46965"/>
    <cellStyle name="CALC Percent Total [1] 2 21 7 3" xfId="37124"/>
    <cellStyle name="CALC Percent Total [1] 2 21 7 4" xfId="46966"/>
    <cellStyle name="CALC Percent Total [1] 2 21 8" xfId="22702"/>
    <cellStyle name="CALC Percent Total [1] 2 21 8 2" xfId="30998"/>
    <cellStyle name="CALC Percent Total [1] 2 21 8 2 2" xfId="46967"/>
    <cellStyle name="CALC Percent Total [1] 2 21 8 3" xfId="38007"/>
    <cellStyle name="CALC Percent Total [1] 2 21 8 4" xfId="46968"/>
    <cellStyle name="CALC Percent Total [1] 2 21 9" xfId="23644"/>
    <cellStyle name="CALC Percent Total [1] 2 21 9 2" xfId="46969"/>
    <cellStyle name="CALC Percent Total [1] 2 22" xfId="15306"/>
    <cellStyle name="CALC Percent Total [1] 2 22 10" xfId="46970"/>
    <cellStyle name="CALC Percent Total [1] 2 22 11" xfId="46971"/>
    <cellStyle name="CALC Percent Total [1] 2 22 2" xfId="16386"/>
    <cellStyle name="CALC Percent Total [1] 2 22 2 2" xfId="24699"/>
    <cellStyle name="CALC Percent Total [1] 2 22 2 2 2" xfId="46972"/>
    <cellStyle name="CALC Percent Total [1] 2 22 2 3" xfId="31965"/>
    <cellStyle name="CALC Percent Total [1] 2 22 2 4" xfId="46973"/>
    <cellStyle name="CALC Percent Total [1] 2 22 3" xfId="17352"/>
    <cellStyle name="CALC Percent Total [1] 2 22 3 2" xfId="25673"/>
    <cellStyle name="CALC Percent Total [1] 2 22 3 2 2" xfId="46974"/>
    <cellStyle name="CALC Percent Total [1] 2 22 3 3" xfId="32898"/>
    <cellStyle name="CALC Percent Total [1] 2 22 3 4" xfId="46975"/>
    <cellStyle name="CALC Percent Total [1] 2 22 4" xfId="18380"/>
    <cellStyle name="CALC Percent Total [1] 2 22 4 2" xfId="26700"/>
    <cellStyle name="CALC Percent Total [1] 2 22 4 2 2" xfId="46976"/>
    <cellStyle name="CALC Percent Total [1] 2 22 4 3" xfId="33876"/>
    <cellStyle name="CALC Percent Total [1] 2 22 4 4" xfId="46977"/>
    <cellStyle name="CALC Percent Total [1] 2 22 5" xfId="19363"/>
    <cellStyle name="CALC Percent Total [1] 2 22 5 2" xfId="27684"/>
    <cellStyle name="CALC Percent Total [1] 2 22 5 2 2" xfId="46978"/>
    <cellStyle name="CALC Percent Total [1] 2 22 5 3" xfId="34832"/>
    <cellStyle name="CALC Percent Total [1] 2 22 5 4" xfId="46979"/>
    <cellStyle name="CALC Percent Total [1] 2 22 6" xfId="20332"/>
    <cellStyle name="CALC Percent Total [1] 2 22 6 2" xfId="28654"/>
    <cellStyle name="CALC Percent Total [1] 2 22 6 2 2" xfId="46980"/>
    <cellStyle name="CALC Percent Total [1] 2 22 6 3" xfId="35768"/>
    <cellStyle name="CALC Percent Total [1] 2 22 6 4" xfId="46981"/>
    <cellStyle name="CALC Percent Total [1] 2 22 7" xfId="21793"/>
    <cellStyle name="CALC Percent Total [1] 2 22 7 2" xfId="30094"/>
    <cellStyle name="CALC Percent Total [1] 2 22 7 2 2" xfId="46982"/>
    <cellStyle name="CALC Percent Total [1] 2 22 7 3" xfId="37142"/>
    <cellStyle name="CALC Percent Total [1] 2 22 7 4" xfId="46983"/>
    <cellStyle name="CALC Percent Total [1] 2 22 8" xfId="22721"/>
    <cellStyle name="CALC Percent Total [1] 2 22 8 2" xfId="31017"/>
    <cellStyle name="CALC Percent Total [1] 2 22 8 2 2" xfId="46984"/>
    <cellStyle name="CALC Percent Total [1] 2 22 8 3" xfId="38025"/>
    <cellStyle name="CALC Percent Total [1] 2 22 8 4" xfId="46985"/>
    <cellStyle name="CALC Percent Total [1] 2 22 9" xfId="23663"/>
    <cellStyle name="CALC Percent Total [1] 2 22 9 2" xfId="46986"/>
    <cellStyle name="CALC Percent Total [1] 2 23" xfId="15380"/>
    <cellStyle name="CALC Percent Total [1] 2 23 10" xfId="46987"/>
    <cellStyle name="CALC Percent Total [1] 2 23 11" xfId="46988"/>
    <cellStyle name="CALC Percent Total [1] 2 23 2" xfId="16460"/>
    <cellStyle name="CALC Percent Total [1] 2 23 2 2" xfId="24773"/>
    <cellStyle name="CALC Percent Total [1] 2 23 2 2 2" xfId="46989"/>
    <cellStyle name="CALC Percent Total [1] 2 23 2 3" xfId="32037"/>
    <cellStyle name="CALC Percent Total [1] 2 23 2 4" xfId="46990"/>
    <cellStyle name="CALC Percent Total [1] 2 23 3" xfId="17426"/>
    <cellStyle name="CALC Percent Total [1] 2 23 3 2" xfId="25747"/>
    <cellStyle name="CALC Percent Total [1] 2 23 3 2 2" xfId="46991"/>
    <cellStyle name="CALC Percent Total [1] 2 23 3 3" xfId="32970"/>
    <cellStyle name="CALC Percent Total [1] 2 23 3 4" xfId="46992"/>
    <cellStyle name="CALC Percent Total [1] 2 23 4" xfId="18454"/>
    <cellStyle name="CALC Percent Total [1] 2 23 4 2" xfId="26774"/>
    <cellStyle name="CALC Percent Total [1] 2 23 4 2 2" xfId="46993"/>
    <cellStyle name="CALC Percent Total [1] 2 23 4 3" xfId="33948"/>
    <cellStyle name="CALC Percent Total [1] 2 23 4 4" xfId="46994"/>
    <cellStyle name="CALC Percent Total [1] 2 23 5" xfId="19437"/>
    <cellStyle name="CALC Percent Total [1] 2 23 5 2" xfId="27758"/>
    <cellStyle name="CALC Percent Total [1] 2 23 5 2 2" xfId="46995"/>
    <cellStyle name="CALC Percent Total [1] 2 23 5 3" xfId="34906"/>
    <cellStyle name="CALC Percent Total [1] 2 23 5 4" xfId="46996"/>
    <cellStyle name="CALC Percent Total [1] 2 23 6" xfId="20406"/>
    <cellStyle name="CALC Percent Total [1] 2 23 6 2" xfId="28728"/>
    <cellStyle name="CALC Percent Total [1] 2 23 6 2 2" xfId="46997"/>
    <cellStyle name="CALC Percent Total [1] 2 23 6 3" xfId="35840"/>
    <cellStyle name="CALC Percent Total [1] 2 23 6 4" xfId="46998"/>
    <cellStyle name="CALC Percent Total [1] 2 23 7" xfId="21867"/>
    <cellStyle name="CALC Percent Total [1] 2 23 7 2" xfId="30168"/>
    <cellStyle name="CALC Percent Total [1] 2 23 7 2 2" xfId="46999"/>
    <cellStyle name="CALC Percent Total [1] 2 23 7 3" xfId="37213"/>
    <cellStyle name="CALC Percent Total [1] 2 23 7 4" xfId="47000"/>
    <cellStyle name="CALC Percent Total [1] 2 23 8" xfId="22795"/>
    <cellStyle name="CALC Percent Total [1] 2 23 8 2" xfId="31091"/>
    <cellStyle name="CALC Percent Total [1] 2 23 8 2 2" xfId="47001"/>
    <cellStyle name="CALC Percent Total [1] 2 23 8 3" xfId="38097"/>
    <cellStyle name="CALC Percent Total [1] 2 23 8 4" xfId="47002"/>
    <cellStyle name="CALC Percent Total [1] 2 23 9" xfId="23737"/>
    <cellStyle name="CALC Percent Total [1] 2 23 9 2" xfId="47003"/>
    <cellStyle name="CALC Percent Total [1] 2 24" xfId="15394"/>
    <cellStyle name="CALC Percent Total [1] 2 24 10" xfId="47004"/>
    <cellStyle name="CALC Percent Total [1] 2 24 11" xfId="47005"/>
    <cellStyle name="CALC Percent Total [1] 2 24 2" xfId="16474"/>
    <cellStyle name="CALC Percent Total [1] 2 24 2 2" xfId="24787"/>
    <cellStyle name="CALC Percent Total [1] 2 24 2 2 2" xfId="47006"/>
    <cellStyle name="CALC Percent Total [1] 2 24 2 3" xfId="32051"/>
    <cellStyle name="CALC Percent Total [1] 2 24 2 4" xfId="47007"/>
    <cellStyle name="CALC Percent Total [1] 2 24 3" xfId="17440"/>
    <cellStyle name="CALC Percent Total [1] 2 24 3 2" xfId="25761"/>
    <cellStyle name="CALC Percent Total [1] 2 24 3 2 2" xfId="47008"/>
    <cellStyle name="CALC Percent Total [1] 2 24 3 3" xfId="32984"/>
    <cellStyle name="CALC Percent Total [1] 2 24 3 4" xfId="47009"/>
    <cellStyle name="CALC Percent Total [1] 2 24 4" xfId="18468"/>
    <cellStyle name="CALC Percent Total [1] 2 24 4 2" xfId="26788"/>
    <cellStyle name="CALC Percent Total [1] 2 24 4 2 2" xfId="47010"/>
    <cellStyle name="CALC Percent Total [1] 2 24 4 3" xfId="33962"/>
    <cellStyle name="CALC Percent Total [1] 2 24 4 4" xfId="47011"/>
    <cellStyle name="CALC Percent Total [1] 2 24 5" xfId="19451"/>
    <cellStyle name="CALC Percent Total [1] 2 24 5 2" xfId="27772"/>
    <cellStyle name="CALC Percent Total [1] 2 24 5 2 2" xfId="47012"/>
    <cellStyle name="CALC Percent Total [1] 2 24 5 3" xfId="34920"/>
    <cellStyle name="CALC Percent Total [1] 2 24 5 4" xfId="47013"/>
    <cellStyle name="CALC Percent Total [1] 2 24 6" xfId="20420"/>
    <cellStyle name="CALC Percent Total [1] 2 24 6 2" xfId="28742"/>
    <cellStyle name="CALC Percent Total [1] 2 24 6 2 2" xfId="47014"/>
    <cellStyle name="CALC Percent Total [1] 2 24 6 3" xfId="35854"/>
    <cellStyle name="CALC Percent Total [1] 2 24 6 4" xfId="47015"/>
    <cellStyle name="CALC Percent Total [1] 2 24 7" xfId="21881"/>
    <cellStyle name="CALC Percent Total [1] 2 24 7 2" xfId="30182"/>
    <cellStyle name="CALC Percent Total [1] 2 24 7 2 2" xfId="47016"/>
    <cellStyle name="CALC Percent Total [1] 2 24 7 3" xfId="37227"/>
    <cellStyle name="CALC Percent Total [1] 2 24 7 4" xfId="47017"/>
    <cellStyle name="CALC Percent Total [1] 2 24 8" xfId="22809"/>
    <cellStyle name="CALC Percent Total [1] 2 24 8 2" xfId="31105"/>
    <cellStyle name="CALC Percent Total [1] 2 24 8 2 2" xfId="47018"/>
    <cellStyle name="CALC Percent Total [1] 2 24 8 3" xfId="38111"/>
    <cellStyle name="CALC Percent Total [1] 2 24 8 4" xfId="47019"/>
    <cellStyle name="CALC Percent Total [1] 2 24 9" xfId="23751"/>
    <cellStyle name="CALC Percent Total [1] 2 24 9 2" xfId="47020"/>
    <cellStyle name="CALC Percent Total [1] 2 25" xfId="15410"/>
    <cellStyle name="CALC Percent Total [1] 2 25 10" xfId="47021"/>
    <cellStyle name="CALC Percent Total [1] 2 25 11" xfId="47022"/>
    <cellStyle name="CALC Percent Total [1] 2 25 2" xfId="16490"/>
    <cellStyle name="CALC Percent Total [1] 2 25 2 2" xfId="24803"/>
    <cellStyle name="CALC Percent Total [1] 2 25 2 2 2" xfId="47023"/>
    <cellStyle name="CALC Percent Total [1] 2 25 2 3" xfId="32065"/>
    <cellStyle name="CALC Percent Total [1] 2 25 2 4" xfId="47024"/>
    <cellStyle name="CALC Percent Total [1] 2 25 3" xfId="17456"/>
    <cellStyle name="CALC Percent Total [1] 2 25 3 2" xfId="25777"/>
    <cellStyle name="CALC Percent Total [1] 2 25 3 2 2" xfId="47025"/>
    <cellStyle name="CALC Percent Total [1] 2 25 3 3" xfId="32998"/>
    <cellStyle name="CALC Percent Total [1] 2 25 3 4" xfId="47026"/>
    <cellStyle name="CALC Percent Total [1] 2 25 4" xfId="18484"/>
    <cellStyle name="CALC Percent Total [1] 2 25 4 2" xfId="26804"/>
    <cellStyle name="CALC Percent Total [1] 2 25 4 2 2" xfId="47027"/>
    <cellStyle name="CALC Percent Total [1] 2 25 4 3" xfId="33976"/>
    <cellStyle name="CALC Percent Total [1] 2 25 4 4" xfId="47028"/>
    <cellStyle name="CALC Percent Total [1] 2 25 5" xfId="19467"/>
    <cellStyle name="CALC Percent Total [1] 2 25 5 2" xfId="27788"/>
    <cellStyle name="CALC Percent Total [1] 2 25 5 2 2" xfId="47029"/>
    <cellStyle name="CALC Percent Total [1] 2 25 5 3" xfId="34936"/>
    <cellStyle name="CALC Percent Total [1] 2 25 5 4" xfId="47030"/>
    <cellStyle name="CALC Percent Total [1] 2 25 6" xfId="20436"/>
    <cellStyle name="CALC Percent Total [1] 2 25 6 2" xfId="28758"/>
    <cellStyle name="CALC Percent Total [1] 2 25 6 2 2" xfId="47031"/>
    <cellStyle name="CALC Percent Total [1] 2 25 6 3" xfId="35868"/>
    <cellStyle name="CALC Percent Total [1] 2 25 6 4" xfId="47032"/>
    <cellStyle name="CALC Percent Total [1] 2 25 7" xfId="21897"/>
    <cellStyle name="CALC Percent Total [1] 2 25 7 2" xfId="30198"/>
    <cellStyle name="CALC Percent Total [1] 2 25 7 2 2" xfId="47033"/>
    <cellStyle name="CALC Percent Total [1] 2 25 7 3" xfId="37241"/>
    <cellStyle name="CALC Percent Total [1] 2 25 7 4" xfId="47034"/>
    <cellStyle name="CALC Percent Total [1] 2 25 8" xfId="22825"/>
    <cellStyle name="CALC Percent Total [1] 2 25 8 2" xfId="31121"/>
    <cellStyle name="CALC Percent Total [1] 2 25 8 2 2" xfId="47035"/>
    <cellStyle name="CALC Percent Total [1] 2 25 8 3" xfId="38125"/>
    <cellStyle name="CALC Percent Total [1] 2 25 8 4" xfId="47036"/>
    <cellStyle name="CALC Percent Total [1] 2 25 9" xfId="23767"/>
    <cellStyle name="CALC Percent Total [1] 2 25 9 2" xfId="47037"/>
    <cellStyle name="CALC Percent Total [1] 2 26" xfId="15426"/>
    <cellStyle name="CALC Percent Total [1] 2 26 10" xfId="47038"/>
    <cellStyle name="CALC Percent Total [1] 2 26 11" xfId="47039"/>
    <cellStyle name="CALC Percent Total [1] 2 26 2" xfId="16506"/>
    <cellStyle name="CALC Percent Total [1] 2 26 2 2" xfId="24819"/>
    <cellStyle name="CALC Percent Total [1] 2 26 2 2 2" xfId="47040"/>
    <cellStyle name="CALC Percent Total [1] 2 26 2 3" xfId="32080"/>
    <cellStyle name="CALC Percent Total [1] 2 26 2 4" xfId="47041"/>
    <cellStyle name="CALC Percent Total [1] 2 26 3" xfId="17472"/>
    <cellStyle name="CALC Percent Total [1] 2 26 3 2" xfId="25793"/>
    <cellStyle name="CALC Percent Total [1] 2 26 3 2 2" xfId="47042"/>
    <cellStyle name="CALC Percent Total [1] 2 26 3 3" xfId="33013"/>
    <cellStyle name="CALC Percent Total [1] 2 26 3 4" xfId="47043"/>
    <cellStyle name="CALC Percent Total [1] 2 26 4" xfId="18500"/>
    <cellStyle name="CALC Percent Total [1] 2 26 4 2" xfId="26820"/>
    <cellStyle name="CALC Percent Total [1] 2 26 4 2 2" xfId="47044"/>
    <cellStyle name="CALC Percent Total [1] 2 26 4 3" xfId="33991"/>
    <cellStyle name="CALC Percent Total [1] 2 26 4 4" xfId="47045"/>
    <cellStyle name="CALC Percent Total [1] 2 26 5" xfId="19483"/>
    <cellStyle name="CALC Percent Total [1] 2 26 5 2" xfId="27804"/>
    <cellStyle name="CALC Percent Total [1] 2 26 5 2 2" xfId="47046"/>
    <cellStyle name="CALC Percent Total [1] 2 26 5 3" xfId="34952"/>
    <cellStyle name="CALC Percent Total [1] 2 26 5 4" xfId="47047"/>
    <cellStyle name="CALC Percent Total [1] 2 26 6" xfId="20452"/>
    <cellStyle name="CALC Percent Total [1] 2 26 6 2" xfId="28774"/>
    <cellStyle name="CALC Percent Total [1] 2 26 6 2 2" xfId="47048"/>
    <cellStyle name="CALC Percent Total [1] 2 26 6 3" xfId="35883"/>
    <cellStyle name="CALC Percent Total [1] 2 26 6 4" xfId="47049"/>
    <cellStyle name="CALC Percent Total [1] 2 26 7" xfId="21913"/>
    <cellStyle name="CALC Percent Total [1] 2 26 7 2" xfId="30214"/>
    <cellStyle name="CALC Percent Total [1] 2 26 7 2 2" xfId="47050"/>
    <cellStyle name="CALC Percent Total [1] 2 26 7 3" xfId="37256"/>
    <cellStyle name="CALC Percent Total [1] 2 26 7 4" xfId="47051"/>
    <cellStyle name="CALC Percent Total [1] 2 26 8" xfId="22841"/>
    <cellStyle name="CALC Percent Total [1] 2 26 8 2" xfId="31137"/>
    <cellStyle name="CALC Percent Total [1] 2 26 8 2 2" xfId="47052"/>
    <cellStyle name="CALC Percent Total [1] 2 26 8 3" xfId="38140"/>
    <cellStyle name="CALC Percent Total [1] 2 26 8 4" xfId="47053"/>
    <cellStyle name="CALC Percent Total [1] 2 26 9" xfId="23783"/>
    <cellStyle name="CALC Percent Total [1] 2 26 9 2" xfId="47054"/>
    <cellStyle name="CALC Percent Total [1] 2 27" xfId="15440"/>
    <cellStyle name="CALC Percent Total [1] 2 27 10" xfId="47055"/>
    <cellStyle name="CALC Percent Total [1] 2 27 11" xfId="47056"/>
    <cellStyle name="CALC Percent Total [1] 2 27 2" xfId="16520"/>
    <cellStyle name="CALC Percent Total [1] 2 27 2 2" xfId="24833"/>
    <cellStyle name="CALC Percent Total [1] 2 27 2 2 2" xfId="47057"/>
    <cellStyle name="CALC Percent Total [1] 2 27 2 3" xfId="32094"/>
    <cellStyle name="CALC Percent Total [1] 2 27 2 4" xfId="47058"/>
    <cellStyle name="CALC Percent Total [1] 2 27 3" xfId="17486"/>
    <cellStyle name="CALC Percent Total [1] 2 27 3 2" xfId="25807"/>
    <cellStyle name="CALC Percent Total [1] 2 27 3 2 2" xfId="47059"/>
    <cellStyle name="CALC Percent Total [1] 2 27 3 3" xfId="33027"/>
    <cellStyle name="CALC Percent Total [1] 2 27 3 4" xfId="47060"/>
    <cellStyle name="CALC Percent Total [1] 2 27 4" xfId="18514"/>
    <cellStyle name="CALC Percent Total [1] 2 27 4 2" xfId="26834"/>
    <cellStyle name="CALC Percent Total [1] 2 27 4 2 2" xfId="47061"/>
    <cellStyle name="CALC Percent Total [1] 2 27 4 3" xfId="34005"/>
    <cellStyle name="CALC Percent Total [1] 2 27 4 4" xfId="47062"/>
    <cellStyle name="CALC Percent Total [1] 2 27 5" xfId="19497"/>
    <cellStyle name="CALC Percent Total [1] 2 27 5 2" xfId="27818"/>
    <cellStyle name="CALC Percent Total [1] 2 27 5 2 2" xfId="47063"/>
    <cellStyle name="CALC Percent Total [1] 2 27 5 3" xfId="34966"/>
    <cellStyle name="CALC Percent Total [1] 2 27 5 4" xfId="47064"/>
    <cellStyle name="CALC Percent Total [1] 2 27 6" xfId="20466"/>
    <cellStyle name="CALC Percent Total [1] 2 27 6 2" xfId="28788"/>
    <cellStyle name="CALC Percent Total [1] 2 27 6 2 2" xfId="47065"/>
    <cellStyle name="CALC Percent Total [1] 2 27 6 3" xfId="35897"/>
    <cellStyle name="CALC Percent Total [1] 2 27 6 4" xfId="47066"/>
    <cellStyle name="CALC Percent Total [1] 2 27 7" xfId="21927"/>
    <cellStyle name="CALC Percent Total [1] 2 27 7 2" xfId="30228"/>
    <cellStyle name="CALC Percent Total [1] 2 27 7 2 2" xfId="47067"/>
    <cellStyle name="CALC Percent Total [1] 2 27 7 3" xfId="37270"/>
    <cellStyle name="CALC Percent Total [1] 2 27 7 4" xfId="47068"/>
    <cellStyle name="CALC Percent Total [1] 2 27 8" xfId="22855"/>
    <cellStyle name="CALC Percent Total [1] 2 27 8 2" xfId="31151"/>
    <cellStyle name="CALC Percent Total [1] 2 27 8 2 2" xfId="47069"/>
    <cellStyle name="CALC Percent Total [1] 2 27 8 3" xfId="38154"/>
    <cellStyle name="CALC Percent Total [1] 2 27 8 4" xfId="47070"/>
    <cellStyle name="CALC Percent Total [1] 2 27 9" xfId="23797"/>
    <cellStyle name="CALC Percent Total [1] 2 27 9 2" xfId="47071"/>
    <cellStyle name="CALC Percent Total [1] 2 28" xfId="15454"/>
    <cellStyle name="CALC Percent Total [1] 2 28 10" xfId="47072"/>
    <cellStyle name="CALC Percent Total [1] 2 28 11" xfId="47073"/>
    <cellStyle name="CALC Percent Total [1] 2 28 2" xfId="16534"/>
    <cellStyle name="CALC Percent Total [1] 2 28 2 2" xfId="24847"/>
    <cellStyle name="CALC Percent Total [1] 2 28 2 2 2" xfId="47074"/>
    <cellStyle name="CALC Percent Total [1] 2 28 2 3" xfId="32108"/>
    <cellStyle name="CALC Percent Total [1] 2 28 2 4" xfId="47075"/>
    <cellStyle name="CALC Percent Total [1] 2 28 3" xfId="17500"/>
    <cellStyle name="CALC Percent Total [1] 2 28 3 2" xfId="25821"/>
    <cellStyle name="CALC Percent Total [1] 2 28 3 2 2" xfId="47076"/>
    <cellStyle name="CALC Percent Total [1] 2 28 3 3" xfId="33041"/>
    <cellStyle name="CALC Percent Total [1] 2 28 3 4" xfId="47077"/>
    <cellStyle name="CALC Percent Total [1] 2 28 4" xfId="18528"/>
    <cellStyle name="CALC Percent Total [1] 2 28 4 2" xfId="26848"/>
    <cellStyle name="CALC Percent Total [1] 2 28 4 2 2" xfId="47078"/>
    <cellStyle name="CALC Percent Total [1] 2 28 4 3" xfId="34019"/>
    <cellStyle name="CALC Percent Total [1] 2 28 4 4" xfId="47079"/>
    <cellStyle name="CALC Percent Total [1] 2 28 5" xfId="19511"/>
    <cellStyle name="CALC Percent Total [1] 2 28 5 2" xfId="27832"/>
    <cellStyle name="CALC Percent Total [1] 2 28 5 2 2" xfId="47080"/>
    <cellStyle name="CALC Percent Total [1] 2 28 5 3" xfId="34980"/>
    <cellStyle name="CALC Percent Total [1] 2 28 5 4" xfId="47081"/>
    <cellStyle name="CALC Percent Total [1] 2 28 6" xfId="20480"/>
    <cellStyle name="CALC Percent Total [1] 2 28 6 2" xfId="28802"/>
    <cellStyle name="CALC Percent Total [1] 2 28 6 2 2" xfId="47082"/>
    <cellStyle name="CALC Percent Total [1] 2 28 6 3" xfId="35911"/>
    <cellStyle name="CALC Percent Total [1] 2 28 6 4" xfId="47083"/>
    <cellStyle name="CALC Percent Total [1] 2 28 7" xfId="21941"/>
    <cellStyle name="CALC Percent Total [1] 2 28 7 2" xfId="30242"/>
    <cellStyle name="CALC Percent Total [1] 2 28 7 2 2" xfId="47084"/>
    <cellStyle name="CALC Percent Total [1] 2 28 7 3" xfId="37284"/>
    <cellStyle name="CALC Percent Total [1] 2 28 7 4" xfId="47085"/>
    <cellStyle name="CALC Percent Total [1] 2 28 8" xfId="22869"/>
    <cellStyle name="CALC Percent Total [1] 2 28 8 2" xfId="31165"/>
    <cellStyle name="CALC Percent Total [1] 2 28 8 2 2" xfId="47086"/>
    <cellStyle name="CALC Percent Total [1] 2 28 8 3" xfId="38168"/>
    <cellStyle name="CALC Percent Total [1] 2 28 8 4" xfId="47087"/>
    <cellStyle name="CALC Percent Total [1] 2 28 9" xfId="23811"/>
    <cellStyle name="CALC Percent Total [1] 2 28 9 2" xfId="47088"/>
    <cellStyle name="CALC Percent Total [1] 2 29" xfId="15486"/>
    <cellStyle name="CALC Percent Total [1] 2 29 2" xfId="17532"/>
    <cellStyle name="CALC Percent Total [1] 2 29 2 2" xfId="25852"/>
    <cellStyle name="CALC Percent Total [1] 2 29 2 2 2" xfId="47089"/>
    <cellStyle name="CALC Percent Total [1] 2 29 2 3" xfId="33070"/>
    <cellStyle name="CALC Percent Total [1] 2 29 2 4" xfId="47090"/>
    <cellStyle name="CALC Percent Total [1] 2 29 3" xfId="19543"/>
    <cellStyle name="CALC Percent Total [1] 2 29 3 2" xfId="27864"/>
    <cellStyle name="CALC Percent Total [1] 2 29 3 2 2" xfId="47091"/>
    <cellStyle name="CALC Percent Total [1] 2 29 3 3" xfId="35012"/>
    <cellStyle name="CALC Percent Total [1] 2 29 3 4" xfId="47092"/>
    <cellStyle name="CALC Percent Total [1] 2 29 4" xfId="47093"/>
    <cellStyle name="CALC Percent Total [1] 2 29 4 2" xfId="47094"/>
    <cellStyle name="CALC Percent Total [1] 2 3" xfId="14521"/>
    <cellStyle name="CALC Percent Total [1] 2 3 2" xfId="15583"/>
    <cellStyle name="CALC Percent Total [1] 2 3 2 2" xfId="47095"/>
    <cellStyle name="CALC Percent Total [1] 2 3 2 2 2" xfId="47096"/>
    <cellStyle name="CALC Percent Total [1] 2 3 3" xfId="23829"/>
    <cellStyle name="CALC Percent Total [1] 2 3 3 2" xfId="47097"/>
    <cellStyle name="CALC Percent Total [1] 2 30" xfId="47098"/>
    <cellStyle name="CALC Percent Total [1] 2 30 2" xfId="47099"/>
    <cellStyle name="CALC Percent Total [1] 2 4" xfId="14547"/>
    <cellStyle name="CALC Percent Total [1] 2 4 2" xfId="15626"/>
    <cellStyle name="CALC Percent Total [1] 2 4 2 2" xfId="23940"/>
    <cellStyle name="CALC Percent Total [1] 2 4 2 2 2" xfId="47100"/>
    <cellStyle name="CALC Percent Total [1] 2 4 2 3" xfId="47101"/>
    <cellStyle name="CALC Percent Total [1] 2 4 2 4" xfId="47102"/>
    <cellStyle name="CALC Percent Total [1] 2 4 3" xfId="16594"/>
    <cellStyle name="CALC Percent Total [1] 2 4 3 2" xfId="24911"/>
    <cellStyle name="CALC Percent Total [1] 2 4 3 2 2" xfId="47103"/>
    <cellStyle name="CALC Percent Total [1] 2 4 3 3" xfId="32171"/>
    <cellStyle name="CALC Percent Total [1] 2 4 3 4" xfId="47104"/>
    <cellStyle name="CALC Percent Total [1] 2 4 4" xfId="17613"/>
    <cellStyle name="CALC Percent Total [1] 2 4 4 2" xfId="25936"/>
    <cellStyle name="CALC Percent Total [1] 2 4 4 2 2" xfId="47105"/>
    <cellStyle name="CALC Percent Total [1] 2 4 4 3" xfId="33148"/>
    <cellStyle name="CALC Percent Total [1] 2 4 4 4" xfId="47106"/>
    <cellStyle name="CALC Percent Total [1] 2 4 5" xfId="18595"/>
    <cellStyle name="CALC Percent Total [1] 2 4 5 2" xfId="26914"/>
    <cellStyle name="CALC Percent Total [1] 2 4 5 2 2" xfId="47107"/>
    <cellStyle name="CALC Percent Total [1] 2 4 5 3" xfId="34083"/>
    <cellStyle name="CALC Percent Total [1] 2 4 5 4" xfId="47108"/>
    <cellStyle name="CALC Percent Total [1] 2 4 6" xfId="19563"/>
    <cellStyle name="CALC Percent Total [1] 2 4 6 2" xfId="27884"/>
    <cellStyle name="CALC Percent Total [1] 2 4 6 2 2" xfId="47109"/>
    <cellStyle name="CALC Percent Total [1] 2 4 6 3" xfId="35031"/>
    <cellStyle name="CALC Percent Total [1] 2 4 6 4" xfId="47110"/>
    <cellStyle name="CALC Percent Total [1] 2 4 7" xfId="20521"/>
    <cellStyle name="CALC Percent Total [1] 2 4 7 2" xfId="28843"/>
    <cellStyle name="CALC Percent Total [1] 2 4 7 2 2" xfId="47111"/>
    <cellStyle name="CALC Percent Total [1] 2 4 7 3" xfId="35948"/>
    <cellStyle name="CALC Percent Total [1] 2 4 7 4" xfId="47112"/>
    <cellStyle name="CALC Percent Total [1] 2 4 8" xfId="22904"/>
    <cellStyle name="CALC Percent Total [1] 2 4 8 2" xfId="47113"/>
    <cellStyle name="CALC Percent Total [1] 2 5" xfId="14608"/>
    <cellStyle name="CALC Percent Total [1] 2 5 10" xfId="22969"/>
    <cellStyle name="CALC Percent Total [1] 2 5 10 2" xfId="47114"/>
    <cellStyle name="CALC Percent Total [1] 2 5 11" xfId="47115"/>
    <cellStyle name="CALC Percent Total [1] 2 5 2" xfId="15688"/>
    <cellStyle name="CALC Percent Total [1] 2 5 2 2" xfId="24004"/>
    <cellStyle name="CALC Percent Total [1] 2 5 2 2 2" xfId="47116"/>
    <cellStyle name="CALC Percent Total [1] 2 5 2 3" xfId="31299"/>
    <cellStyle name="CALC Percent Total [1] 2 5 2 4" xfId="47117"/>
    <cellStyle name="CALC Percent Total [1] 2 5 3" xfId="16655"/>
    <cellStyle name="CALC Percent Total [1] 2 5 3 2" xfId="24975"/>
    <cellStyle name="CALC Percent Total [1] 2 5 3 2 2" xfId="47118"/>
    <cellStyle name="CALC Percent Total [1] 2 5 3 3" xfId="32232"/>
    <cellStyle name="CALC Percent Total [1] 2 5 3 4" xfId="47119"/>
    <cellStyle name="CALC Percent Total [1] 2 5 4" xfId="17677"/>
    <cellStyle name="CALC Percent Total [1] 2 5 4 2" xfId="26001"/>
    <cellStyle name="CALC Percent Total [1] 2 5 4 2 2" xfId="47120"/>
    <cellStyle name="CALC Percent Total [1] 2 5 4 3" xfId="33209"/>
    <cellStyle name="CALC Percent Total [1] 2 5 4 4" xfId="47121"/>
    <cellStyle name="CALC Percent Total [1] 2 5 5" xfId="18660"/>
    <cellStyle name="CALC Percent Total [1] 2 5 5 2" xfId="26981"/>
    <cellStyle name="CALC Percent Total [1] 2 5 5 2 2" xfId="47122"/>
    <cellStyle name="CALC Percent Total [1] 2 5 5 3" xfId="34147"/>
    <cellStyle name="CALC Percent Total [1] 2 5 5 4" xfId="47123"/>
    <cellStyle name="CALC Percent Total [1] 2 5 6" xfId="19629"/>
    <cellStyle name="CALC Percent Total [1] 2 5 6 2" xfId="27950"/>
    <cellStyle name="CALC Percent Total [1] 2 5 6 2 2" xfId="47124"/>
    <cellStyle name="CALC Percent Total [1] 2 5 6 3" xfId="35093"/>
    <cellStyle name="CALC Percent Total [1] 2 5 6 4" xfId="47125"/>
    <cellStyle name="CALC Percent Total [1] 2 5 7" xfId="20586"/>
    <cellStyle name="CALC Percent Total [1] 2 5 7 2" xfId="28908"/>
    <cellStyle name="CALC Percent Total [1] 2 5 7 2 2" xfId="47126"/>
    <cellStyle name="CALC Percent Total [1] 2 5 7 3" xfId="36009"/>
    <cellStyle name="CALC Percent Total [1] 2 5 7 4" xfId="47127"/>
    <cellStyle name="CALC Percent Total [1] 2 5 8" xfId="21366"/>
    <cellStyle name="CALC Percent Total [1] 2 5 8 2" xfId="29669"/>
    <cellStyle name="CALC Percent Total [1] 2 5 8 2 2" xfId="47128"/>
    <cellStyle name="CALC Percent Total [1] 2 5 8 3" xfId="36734"/>
    <cellStyle name="CALC Percent Total [1] 2 5 8 4" xfId="47129"/>
    <cellStyle name="CALC Percent Total [1] 2 5 9" xfId="22023"/>
    <cellStyle name="CALC Percent Total [1] 2 5 9 2" xfId="30322"/>
    <cellStyle name="CALC Percent Total [1] 2 5 9 2 2" xfId="47130"/>
    <cellStyle name="CALC Percent Total [1] 2 5 9 3" xfId="37360"/>
    <cellStyle name="CALC Percent Total [1] 2 5 9 4" xfId="47131"/>
    <cellStyle name="CALC Percent Total [1] 2 6" xfId="14628"/>
    <cellStyle name="CALC Percent Total [1] 2 6 10" xfId="22990"/>
    <cellStyle name="CALC Percent Total [1] 2 6 10 2" xfId="47132"/>
    <cellStyle name="CALC Percent Total [1] 2 6 11" xfId="47133"/>
    <cellStyle name="CALC Percent Total [1] 2 6 2" xfId="15709"/>
    <cellStyle name="CALC Percent Total [1] 2 6 2 2" xfId="24025"/>
    <cellStyle name="CALC Percent Total [1] 2 6 2 2 2" xfId="47134"/>
    <cellStyle name="CALC Percent Total [1] 2 6 2 3" xfId="31319"/>
    <cellStyle name="CALC Percent Total [1] 2 6 2 4" xfId="47135"/>
    <cellStyle name="CALC Percent Total [1] 2 6 3" xfId="16676"/>
    <cellStyle name="CALC Percent Total [1] 2 6 3 2" xfId="24996"/>
    <cellStyle name="CALC Percent Total [1] 2 6 3 2 2" xfId="47136"/>
    <cellStyle name="CALC Percent Total [1] 2 6 3 3" xfId="32252"/>
    <cellStyle name="CALC Percent Total [1] 2 6 3 4" xfId="47137"/>
    <cellStyle name="CALC Percent Total [1] 2 6 4" xfId="17699"/>
    <cellStyle name="CALC Percent Total [1] 2 6 4 2" xfId="26022"/>
    <cellStyle name="CALC Percent Total [1] 2 6 4 2 2" xfId="47138"/>
    <cellStyle name="CALC Percent Total [1] 2 6 4 3" xfId="33229"/>
    <cellStyle name="CALC Percent Total [1] 2 6 4 4" xfId="47139"/>
    <cellStyle name="CALC Percent Total [1] 2 6 5" xfId="18682"/>
    <cellStyle name="CALC Percent Total [1] 2 6 5 2" xfId="27003"/>
    <cellStyle name="CALC Percent Total [1] 2 6 5 2 2" xfId="47140"/>
    <cellStyle name="CALC Percent Total [1] 2 6 5 3" xfId="34168"/>
    <cellStyle name="CALC Percent Total [1] 2 6 5 4" xfId="47141"/>
    <cellStyle name="CALC Percent Total [1] 2 6 6" xfId="19651"/>
    <cellStyle name="CALC Percent Total [1] 2 6 6 2" xfId="27972"/>
    <cellStyle name="CALC Percent Total [1] 2 6 6 2 2" xfId="47142"/>
    <cellStyle name="CALC Percent Total [1] 2 6 6 3" xfId="35114"/>
    <cellStyle name="CALC Percent Total [1] 2 6 6 4" xfId="47143"/>
    <cellStyle name="CALC Percent Total [1] 2 6 7" xfId="20608"/>
    <cellStyle name="CALC Percent Total [1] 2 6 7 2" xfId="28929"/>
    <cellStyle name="CALC Percent Total [1] 2 6 7 2 2" xfId="47144"/>
    <cellStyle name="CALC Percent Total [1] 2 6 7 3" xfId="36029"/>
    <cellStyle name="CALC Percent Total [1] 2 6 7 4" xfId="47145"/>
    <cellStyle name="CALC Percent Total [1] 2 6 8" xfId="21067"/>
    <cellStyle name="CALC Percent Total [1] 2 6 8 2" xfId="29384"/>
    <cellStyle name="CALC Percent Total [1] 2 6 8 2 2" xfId="47146"/>
    <cellStyle name="CALC Percent Total [1] 2 6 8 3" xfId="36462"/>
    <cellStyle name="CALC Percent Total [1] 2 6 8 4" xfId="47147"/>
    <cellStyle name="CALC Percent Total [1] 2 6 9" xfId="22045"/>
    <cellStyle name="CALC Percent Total [1] 2 6 9 2" xfId="30343"/>
    <cellStyle name="CALC Percent Total [1] 2 6 9 2 2" xfId="47148"/>
    <cellStyle name="CALC Percent Total [1] 2 6 9 3" xfId="37380"/>
    <cellStyle name="CALC Percent Total [1] 2 6 9 4" xfId="47149"/>
    <cellStyle name="CALC Percent Total [1] 2 7" xfId="14647"/>
    <cellStyle name="CALC Percent Total [1] 2 7 10" xfId="23009"/>
    <cellStyle name="CALC Percent Total [1] 2 7 10 2" xfId="47150"/>
    <cellStyle name="CALC Percent Total [1] 2 7 11" xfId="47151"/>
    <cellStyle name="CALC Percent Total [1] 2 7 2" xfId="15728"/>
    <cellStyle name="CALC Percent Total [1] 2 7 2 2" xfId="24044"/>
    <cellStyle name="CALC Percent Total [1] 2 7 2 2 2" xfId="47152"/>
    <cellStyle name="CALC Percent Total [1] 2 7 2 3" xfId="31337"/>
    <cellStyle name="CALC Percent Total [1] 2 7 2 4" xfId="47153"/>
    <cellStyle name="CALC Percent Total [1] 2 7 3" xfId="16694"/>
    <cellStyle name="CALC Percent Total [1] 2 7 3 2" xfId="25015"/>
    <cellStyle name="CALC Percent Total [1] 2 7 3 2 2" xfId="47154"/>
    <cellStyle name="CALC Percent Total [1] 2 7 3 3" xfId="32270"/>
    <cellStyle name="CALC Percent Total [1] 2 7 3 4" xfId="47155"/>
    <cellStyle name="CALC Percent Total [1] 2 7 4" xfId="17718"/>
    <cellStyle name="CALC Percent Total [1] 2 7 4 2" xfId="26041"/>
    <cellStyle name="CALC Percent Total [1] 2 7 4 2 2" xfId="47156"/>
    <cellStyle name="CALC Percent Total [1] 2 7 4 3" xfId="33247"/>
    <cellStyle name="CALC Percent Total [1] 2 7 4 4" xfId="47157"/>
    <cellStyle name="CALC Percent Total [1] 2 7 5" xfId="18701"/>
    <cellStyle name="CALC Percent Total [1] 2 7 5 2" xfId="27022"/>
    <cellStyle name="CALC Percent Total [1] 2 7 5 2 2" xfId="47158"/>
    <cellStyle name="CALC Percent Total [1] 2 7 5 3" xfId="34186"/>
    <cellStyle name="CALC Percent Total [1] 2 7 5 4" xfId="47159"/>
    <cellStyle name="CALC Percent Total [1] 2 7 6" xfId="19670"/>
    <cellStyle name="CALC Percent Total [1] 2 7 6 2" xfId="27991"/>
    <cellStyle name="CALC Percent Total [1] 2 7 6 2 2" xfId="47160"/>
    <cellStyle name="CALC Percent Total [1] 2 7 6 3" xfId="35132"/>
    <cellStyle name="CALC Percent Total [1] 2 7 6 4" xfId="47161"/>
    <cellStyle name="CALC Percent Total [1] 2 7 7" xfId="20627"/>
    <cellStyle name="CALC Percent Total [1] 2 7 7 2" xfId="28948"/>
    <cellStyle name="CALC Percent Total [1] 2 7 7 2 2" xfId="47162"/>
    <cellStyle name="CALC Percent Total [1] 2 7 7 3" xfId="36047"/>
    <cellStyle name="CALC Percent Total [1] 2 7 7 4" xfId="47163"/>
    <cellStyle name="CALC Percent Total [1] 2 7 8" xfId="21159"/>
    <cellStyle name="CALC Percent Total [1] 2 7 8 2" xfId="29471"/>
    <cellStyle name="CALC Percent Total [1] 2 7 8 2 2" xfId="47164"/>
    <cellStyle name="CALC Percent Total [1] 2 7 8 3" xfId="36543"/>
    <cellStyle name="CALC Percent Total [1] 2 7 8 4" xfId="47165"/>
    <cellStyle name="CALC Percent Total [1] 2 7 9" xfId="22064"/>
    <cellStyle name="CALC Percent Total [1] 2 7 9 2" xfId="30362"/>
    <cellStyle name="CALC Percent Total [1] 2 7 9 2 2" xfId="47166"/>
    <cellStyle name="CALC Percent Total [1] 2 7 9 3" xfId="37398"/>
    <cellStyle name="CALC Percent Total [1] 2 7 9 4" xfId="47167"/>
    <cellStyle name="CALC Percent Total [1] 2 8" xfId="14693"/>
    <cellStyle name="CALC Percent Total [1] 2 8 10" xfId="23056"/>
    <cellStyle name="CALC Percent Total [1] 2 8 10 2" xfId="47168"/>
    <cellStyle name="CALC Percent Total [1] 2 8 11" xfId="47169"/>
    <cellStyle name="CALC Percent Total [1] 2 8 2" xfId="15774"/>
    <cellStyle name="CALC Percent Total [1] 2 8 2 2" xfId="24091"/>
    <cellStyle name="CALC Percent Total [1] 2 8 2 2 2" xfId="47170"/>
    <cellStyle name="CALC Percent Total [1] 2 8 2 3" xfId="31382"/>
    <cellStyle name="CALC Percent Total [1] 2 8 2 4" xfId="47171"/>
    <cellStyle name="CALC Percent Total [1] 2 8 3" xfId="16740"/>
    <cellStyle name="CALC Percent Total [1] 2 8 3 2" xfId="25062"/>
    <cellStyle name="CALC Percent Total [1] 2 8 3 2 2" xfId="47172"/>
    <cellStyle name="CALC Percent Total [1] 2 8 3 3" xfId="32315"/>
    <cellStyle name="CALC Percent Total [1] 2 8 3 4" xfId="47173"/>
    <cellStyle name="CALC Percent Total [1] 2 8 4" xfId="17764"/>
    <cellStyle name="CALC Percent Total [1] 2 8 4 2" xfId="26088"/>
    <cellStyle name="CALC Percent Total [1] 2 8 4 2 2" xfId="47174"/>
    <cellStyle name="CALC Percent Total [1] 2 8 4 3" xfId="33292"/>
    <cellStyle name="CALC Percent Total [1] 2 8 4 4" xfId="47175"/>
    <cellStyle name="CALC Percent Total [1] 2 8 5" xfId="18748"/>
    <cellStyle name="CALC Percent Total [1] 2 8 5 2" xfId="27069"/>
    <cellStyle name="CALC Percent Total [1] 2 8 5 2 2" xfId="47176"/>
    <cellStyle name="CALC Percent Total [1] 2 8 5 3" xfId="34231"/>
    <cellStyle name="CALC Percent Total [1] 2 8 5 4" xfId="47177"/>
    <cellStyle name="CALC Percent Total [1] 2 8 6" xfId="19717"/>
    <cellStyle name="CALC Percent Total [1] 2 8 6 2" xfId="28038"/>
    <cellStyle name="CALC Percent Total [1] 2 8 6 2 2" xfId="47178"/>
    <cellStyle name="CALC Percent Total [1] 2 8 6 3" xfId="35177"/>
    <cellStyle name="CALC Percent Total [1] 2 8 6 4" xfId="47179"/>
    <cellStyle name="CALC Percent Total [1] 2 8 7" xfId="20674"/>
    <cellStyle name="CALC Percent Total [1] 2 8 7 2" xfId="28995"/>
    <cellStyle name="CALC Percent Total [1] 2 8 7 2 2" xfId="47180"/>
    <cellStyle name="CALC Percent Total [1] 2 8 7 3" xfId="36092"/>
    <cellStyle name="CALC Percent Total [1] 2 8 7 4" xfId="47181"/>
    <cellStyle name="CALC Percent Total [1] 2 8 8" xfId="21328"/>
    <cellStyle name="CALC Percent Total [1] 2 8 8 2" xfId="29633"/>
    <cellStyle name="CALC Percent Total [1] 2 8 8 2 2" xfId="47182"/>
    <cellStyle name="CALC Percent Total [1] 2 8 8 3" xfId="36699"/>
    <cellStyle name="CALC Percent Total [1] 2 8 8 4" xfId="47183"/>
    <cellStyle name="CALC Percent Total [1] 2 8 9" xfId="22111"/>
    <cellStyle name="CALC Percent Total [1] 2 8 9 2" xfId="30409"/>
    <cellStyle name="CALC Percent Total [1] 2 8 9 2 2" xfId="47184"/>
    <cellStyle name="CALC Percent Total [1] 2 8 9 3" xfId="37443"/>
    <cellStyle name="CALC Percent Total [1] 2 8 9 4" xfId="47185"/>
    <cellStyle name="CALC Percent Total [1] 2 9" xfId="14780"/>
    <cellStyle name="CALC Percent Total [1] 2 9 10" xfId="23144"/>
    <cellStyle name="CALC Percent Total [1] 2 9 10 2" xfId="47186"/>
    <cellStyle name="CALC Percent Total [1] 2 9 11" xfId="47187"/>
    <cellStyle name="CALC Percent Total [1] 2 9 12" xfId="47188"/>
    <cellStyle name="CALC Percent Total [1] 2 9 2" xfId="15861"/>
    <cellStyle name="CALC Percent Total [1] 2 9 2 2" xfId="24179"/>
    <cellStyle name="CALC Percent Total [1] 2 9 2 2 2" xfId="47189"/>
    <cellStyle name="CALC Percent Total [1] 2 9 2 3" xfId="31467"/>
    <cellStyle name="CALC Percent Total [1] 2 9 2 4" xfId="47190"/>
    <cellStyle name="CALC Percent Total [1] 2 9 3" xfId="16827"/>
    <cellStyle name="CALC Percent Total [1] 2 9 3 2" xfId="25151"/>
    <cellStyle name="CALC Percent Total [1] 2 9 3 2 2" xfId="47191"/>
    <cellStyle name="CALC Percent Total [1] 2 9 3 3" xfId="32400"/>
    <cellStyle name="CALC Percent Total [1] 2 9 3 4" xfId="47192"/>
    <cellStyle name="CALC Percent Total [1] 2 9 4" xfId="17853"/>
    <cellStyle name="CALC Percent Total [1] 2 9 4 2" xfId="26177"/>
    <cellStyle name="CALC Percent Total [1] 2 9 4 2 2" xfId="47193"/>
    <cellStyle name="CALC Percent Total [1] 2 9 4 3" xfId="33377"/>
    <cellStyle name="CALC Percent Total [1] 2 9 4 4" xfId="47194"/>
    <cellStyle name="CALC Percent Total [1] 2 9 5" xfId="18837"/>
    <cellStyle name="CALC Percent Total [1] 2 9 5 2" xfId="27158"/>
    <cellStyle name="CALC Percent Total [1] 2 9 5 2 2" xfId="47195"/>
    <cellStyle name="CALC Percent Total [1] 2 9 5 3" xfId="34317"/>
    <cellStyle name="CALC Percent Total [1] 2 9 5 4" xfId="47196"/>
    <cellStyle name="CALC Percent Total [1] 2 9 6" xfId="19805"/>
    <cellStyle name="CALC Percent Total [1] 2 9 6 2" xfId="28127"/>
    <cellStyle name="CALC Percent Total [1] 2 9 6 2 2" xfId="47197"/>
    <cellStyle name="CALC Percent Total [1] 2 9 6 3" xfId="35263"/>
    <cellStyle name="CALC Percent Total [1] 2 9 6 4" xfId="47198"/>
    <cellStyle name="CALC Percent Total [1] 2 9 7" xfId="20763"/>
    <cellStyle name="CALC Percent Total [1] 2 9 7 2" xfId="29084"/>
    <cellStyle name="CALC Percent Total [1] 2 9 7 2 2" xfId="47199"/>
    <cellStyle name="CALC Percent Total [1] 2 9 7 3" xfId="36176"/>
    <cellStyle name="CALC Percent Total [1] 2 9 7 4" xfId="47200"/>
    <cellStyle name="CALC Percent Total [1] 2 9 8" xfId="21185"/>
    <cellStyle name="CALC Percent Total [1] 2 9 8 2" xfId="29497"/>
    <cellStyle name="CALC Percent Total [1] 2 9 8 2 2" xfId="47201"/>
    <cellStyle name="CALC Percent Total [1] 2 9 8 3" xfId="36568"/>
    <cellStyle name="CALC Percent Total [1] 2 9 8 4" xfId="47202"/>
    <cellStyle name="CALC Percent Total [1] 2 9 9" xfId="22199"/>
    <cellStyle name="CALC Percent Total [1] 2 9 9 2" xfId="30497"/>
    <cellStyle name="CALC Percent Total [1] 2 9 9 2 2" xfId="47203"/>
    <cellStyle name="CALC Percent Total [1] 2 9 9 3" xfId="37528"/>
    <cellStyle name="CALC Percent Total [1] 2 9 9 4" xfId="47204"/>
    <cellStyle name="CALC Percent Total [1] 20" xfId="15300"/>
    <cellStyle name="CALC Percent Total [1] 20 10" xfId="47205"/>
    <cellStyle name="CALC Percent Total [1] 20 11" xfId="47206"/>
    <cellStyle name="CALC Percent Total [1] 20 2" xfId="16380"/>
    <cellStyle name="CALC Percent Total [1] 20 2 2" xfId="24693"/>
    <cellStyle name="CALC Percent Total [1] 20 2 2 2" xfId="47207"/>
    <cellStyle name="CALC Percent Total [1] 20 2 3" xfId="31959"/>
    <cellStyle name="CALC Percent Total [1] 20 2 4" xfId="47208"/>
    <cellStyle name="CALC Percent Total [1] 20 3" xfId="17346"/>
    <cellStyle name="CALC Percent Total [1] 20 3 2" xfId="25667"/>
    <cellStyle name="CALC Percent Total [1] 20 3 2 2" xfId="47209"/>
    <cellStyle name="CALC Percent Total [1] 20 3 3" xfId="32892"/>
    <cellStyle name="CALC Percent Total [1] 20 3 4" xfId="47210"/>
    <cellStyle name="CALC Percent Total [1] 20 4" xfId="18374"/>
    <cellStyle name="CALC Percent Total [1] 20 4 2" xfId="26694"/>
    <cellStyle name="CALC Percent Total [1] 20 4 2 2" xfId="47211"/>
    <cellStyle name="CALC Percent Total [1] 20 4 3" xfId="33870"/>
    <cellStyle name="CALC Percent Total [1] 20 4 4" xfId="47212"/>
    <cellStyle name="CALC Percent Total [1] 20 5" xfId="19357"/>
    <cellStyle name="CALC Percent Total [1] 20 5 2" xfId="27678"/>
    <cellStyle name="CALC Percent Total [1] 20 5 2 2" xfId="47213"/>
    <cellStyle name="CALC Percent Total [1] 20 5 3" xfId="34826"/>
    <cellStyle name="CALC Percent Total [1] 20 5 4" xfId="47214"/>
    <cellStyle name="CALC Percent Total [1] 20 6" xfId="20326"/>
    <cellStyle name="CALC Percent Total [1] 20 6 2" xfId="28648"/>
    <cellStyle name="CALC Percent Total [1] 20 6 2 2" xfId="47215"/>
    <cellStyle name="CALC Percent Total [1] 20 6 3" xfId="35762"/>
    <cellStyle name="CALC Percent Total [1] 20 6 4" xfId="47216"/>
    <cellStyle name="CALC Percent Total [1] 20 7" xfId="21787"/>
    <cellStyle name="CALC Percent Total [1] 20 7 2" xfId="30088"/>
    <cellStyle name="CALC Percent Total [1] 20 7 2 2" xfId="47217"/>
    <cellStyle name="CALC Percent Total [1] 20 7 3" xfId="37136"/>
    <cellStyle name="CALC Percent Total [1] 20 7 4" xfId="47218"/>
    <cellStyle name="CALC Percent Total [1] 20 8" xfId="22715"/>
    <cellStyle name="CALC Percent Total [1] 20 8 2" xfId="31011"/>
    <cellStyle name="CALC Percent Total [1] 20 8 2 2" xfId="47219"/>
    <cellStyle name="CALC Percent Total [1] 20 8 3" xfId="38019"/>
    <cellStyle name="CALC Percent Total [1] 20 8 4" xfId="47220"/>
    <cellStyle name="CALC Percent Total [1] 20 9" xfId="23657"/>
    <cellStyle name="CALC Percent Total [1] 20 9 2" xfId="47221"/>
    <cellStyle name="CALC Percent Total [1] 21" xfId="15337"/>
    <cellStyle name="CALC Percent Total [1] 21 10" xfId="47222"/>
    <cellStyle name="CALC Percent Total [1] 21 11" xfId="47223"/>
    <cellStyle name="CALC Percent Total [1] 21 2" xfId="16417"/>
    <cellStyle name="CALC Percent Total [1] 21 2 2" xfId="24730"/>
    <cellStyle name="CALC Percent Total [1] 21 2 2 2" xfId="47224"/>
    <cellStyle name="CALC Percent Total [1] 21 2 3" xfId="31995"/>
    <cellStyle name="CALC Percent Total [1] 21 2 4" xfId="47225"/>
    <cellStyle name="CALC Percent Total [1] 21 3" xfId="17383"/>
    <cellStyle name="CALC Percent Total [1] 21 3 2" xfId="25704"/>
    <cellStyle name="CALC Percent Total [1] 21 3 2 2" xfId="47226"/>
    <cellStyle name="CALC Percent Total [1] 21 3 3" xfId="32928"/>
    <cellStyle name="CALC Percent Total [1] 21 3 4" xfId="47227"/>
    <cellStyle name="CALC Percent Total [1] 21 4" xfId="18411"/>
    <cellStyle name="CALC Percent Total [1] 21 4 2" xfId="26731"/>
    <cellStyle name="CALC Percent Total [1] 21 4 2 2" xfId="47228"/>
    <cellStyle name="CALC Percent Total [1] 21 4 3" xfId="33906"/>
    <cellStyle name="CALC Percent Total [1] 21 4 4" xfId="47229"/>
    <cellStyle name="CALC Percent Total [1] 21 5" xfId="19394"/>
    <cellStyle name="CALC Percent Total [1] 21 5 2" xfId="27715"/>
    <cellStyle name="CALC Percent Total [1] 21 5 2 2" xfId="47230"/>
    <cellStyle name="CALC Percent Total [1] 21 5 3" xfId="34863"/>
    <cellStyle name="CALC Percent Total [1] 21 5 4" xfId="47231"/>
    <cellStyle name="CALC Percent Total [1] 21 6" xfId="20363"/>
    <cellStyle name="CALC Percent Total [1] 21 6 2" xfId="28685"/>
    <cellStyle name="CALC Percent Total [1] 21 6 2 2" xfId="47232"/>
    <cellStyle name="CALC Percent Total [1] 21 6 3" xfId="35798"/>
    <cellStyle name="CALC Percent Total [1] 21 6 4" xfId="47233"/>
    <cellStyle name="CALC Percent Total [1] 21 7" xfId="21824"/>
    <cellStyle name="CALC Percent Total [1] 21 7 2" xfId="30125"/>
    <cellStyle name="CALC Percent Total [1] 21 7 2 2" xfId="47234"/>
    <cellStyle name="CALC Percent Total [1] 21 7 3" xfId="37172"/>
    <cellStyle name="CALC Percent Total [1] 21 7 4" xfId="47235"/>
    <cellStyle name="CALC Percent Total [1] 21 8" xfId="22752"/>
    <cellStyle name="CALC Percent Total [1] 21 8 2" xfId="31048"/>
    <cellStyle name="CALC Percent Total [1] 21 8 2 2" xfId="47236"/>
    <cellStyle name="CALC Percent Total [1] 21 8 3" xfId="38055"/>
    <cellStyle name="CALC Percent Total [1] 21 8 4" xfId="47237"/>
    <cellStyle name="CALC Percent Total [1] 21 9" xfId="23694"/>
    <cellStyle name="CALC Percent Total [1] 21 9 2" xfId="47238"/>
    <cellStyle name="CALC Percent Total [1] 22" xfId="15471"/>
    <cellStyle name="CALC Percent Total [1] 22 2" xfId="17517"/>
    <cellStyle name="CALC Percent Total [1] 22 2 2" xfId="25837"/>
    <cellStyle name="CALC Percent Total [1] 22 2 2 2" xfId="47239"/>
    <cellStyle name="CALC Percent Total [1] 22 2 3" xfId="33056"/>
    <cellStyle name="CALC Percent Total [1] 22 2 4" xfId="47240"/>
    <cellStyle name="CALC Percent Total [1] 22 3" xfId="19528"/>
    <cellStyle name="CALC Percent Total [1] 22 3 2" xfId="27849"/>
    <cellStyle name="CALC Percent Total [1] 22 3 2 2" xfId="47241"/>
    <cellStyle name="CALC Percent Total [1] 22 3 3" xfId="34997"/>
    <cellStyle name="CALC Percent Total [1] 22 3 4" xfId="47242"/>
    <cellStyle name="CALC Percent Total [1] 22 4" xfId="47243"/>
    <cellStyle name="CALC Percent Total [1] 22 4 2" xfId="47244"/>
    <cellStyle name="CALC Percent Total [1] 23" xfId="47245"/>
    <cellStyle name="CALC Percent Total [1] 23 2" xfId="47246"/>
    <cellStyle name="CALC Percent Total [1] 3" xfId="14536"/>
    <cellStyle name="CALC Percent Total [1] 3 2" xfId="15612"/>
    <cellStyle name="CALC Percent Total [1] 3 2 2" xfId="23926"/>
    <cellStyle name="CALC Percent Total [1] 3 2 2 2" xfId="47247"/>
    <cellStyle name="CALC Percent Total [1] 3 2 3" xfId="47248"/>
    <cellStyle name="CALC Percent Total [1] 3 2 4" xfId="47249"/>
    <cellStyle name="CALC Percent Total [1] 3 3" xfId="16581"/>
    <cellStyle name="CALC Percent Total [1] 3 3 2" xfId="24897"/>
    <cellStyle name="CALC Percent Total [1] 3 3 2 2" xfId="47250"/>
    <cellStyle name="CALC Percent Total [1] 3 3 3" xfId="32157"/>
    <cellStyle name="CALC Percent Total [1] 3 3 4" xfId="47251"/>
    <cellStyle name="CALC Percent Total [1] 3 4" xfId="17599"/>
    <cellStyle name="CALC Percent Total [1] 3 4 2" xfId="25921"/>
    <cellStyle name="CALC Percent Total [1] 3 4 2 2" xfId="47252"/>
    <cellStyle name="CALC Percent Total [1] 3 4 3" xfId="33134"/>
    <cellStyle name="CALC Percent Total [1] 3 4 4" xfId="47253"/>
    <cellStyle name="CALC Percent Total [1] 3 5" xfId="18580"/>
    <cellStyle name="CALC Percent Total [1] 3 5 2" xfId="26899"/>
    <cellStyle name="CALC Percent Total [1] 3 5 2 2" xfId="47254"/>
    <cellStyle name="CALC Percent Total [1] 3 5 3" xfId="34068"/>
    <cellStyle name="CALC Percent Total [1] 3 5 4" xfId="47255"/>
    <cellStyle name="CALC Percent Total [1] 3 6" xfId="19548"/>
    <cellStyle name="CALC Percent Total [1] 3 6 2" xfId="27869"/>
    <cellStyle name="CALC Percent Total [1] 3 6 2 2" xfId="47256"/>
    <cellStyle name="CALC Percent Total [1] 3 6 3" xfId="35017"/>
    <cellStyle name="CALC Percent Total [1] 3 6 4" xfId="47257"/>
    <cellStyle name="CALC Percent Total [1] 3 7" xfId="20506"/>
    <cellStyle name="CALC Percent Total [1] 3 7 2" xfId="28828"/>
    <cellStyle name="CALC Percent Total [1] 3 7 2 2" xfId="47258"/>
    <cellStyle name="CALC Percent Total [1] 3 7 3" xfId="35934"/>
    <cellStyle name="CALC Percent Total [1] 3 7 4" xfId="47259"/>
    <cellStyle name="CALC Percent Total [1] 3 8" xfId="22890"/>
    <cellStyle name="CALC Percent Total [1] 3 8 2" xfId="47260"/>
    <cellStyle name="CALC Percent Total [1] 4" xfId="14585"/>
    <cellStyle name="CALC Percent Total [1] 4 10" xfId="22944"/>
    <cellStyle name="CALC Percent Total [1] 4 10 2" xfId="47261"/>
    <cellStyle name="CALC Percent Total [1] 4 11" xfId="47262"/>
    <cellStyle name="CALC Percent Total [1] 4 2" xfId="15665"/>
    <cellStyle name="CALC Percent Total [1] 4 2 2" xfId="23980"/>
    <cellStyle name="CALC Percent Total [1] 4 2 2 2" xfId="47263"/>
    <cellStyle name="CALC Percent Total [1] 4 2 3" xfId="31277"/>
    <cellStyle name="CALC Percent Total [1] 4 2 4" xfId="47264"/>
    <cellStyle name="CALC Percent Total [1] 4 3" xfId="16632"/>
    <cellStyle name="CALC Percent Total [1] 4 3 2" xfId="24951"/>
    <cellStyle name="CALC Percent Total [1] 4 3 2 2" xfId="47265"/>
    <cellStyle name="CALC Percent Total [1] 4 3 3" xfId="32210"/>
    <cellStyle name="CALC Percent Total [1] 4 3 4" xfId="47266"/>
    <cellStyle name="CALC Percent Total [1] 4 4" xfId="17653"/>
    <cellStyle name="CALC Percent Total [1] 4 4 2" xfId="25977"/>
    <cellStyle name="CALC Percent Total [1] 4 4 2 2" xfId="47267"/>
    <cellStyle name="CALC Percent Total [1] 4 4 3" xfId="33187"/>
    <cellStyle name="CALC Percent Total [1] 4 4 4" xfId="47268"/>
    <cellStyle name="CALC Percent Total [1] 4 5" xfId="18636"/>
    <cellStyle name="CALC Percent Total [1] 4 5 2" xfId="26956"/>
    <cellStyle name="CALC Percent Total [1] 4 5 2 2" xfId="47269"/>
    <cellStyle name="CALC Percent Total [1] 4 5 3" xfId="34124"/>
    <cellStyle name="CALC Percent Total [1] 4 5 4" xfId="47270"/>
    <cellStyle name="CALC Percent Total [1] 4 6" xfId="19605"/>
    <cellStyle name="CALC Percent Total [1] 4 6 2" xfId="27925"/>
    <cellStyle name="CALC Percent Total [1] 4 6 2 2" xfId="47271"/>
    <cellStyle name="CALC Percent Total [1] 4 6 3" xfId="35070"/>
    <cellStyle name="CALC Percent Total [1] 4 6 4" xfId="47272"/>
    <cellStyle name="CALC Percent Total [1] 4 7" xfId="20562"/>
    <cellStyle name="CALC Percent Total [1] 4 7 2" xfId="28884"/>
    <cellStyle name="CALC Percent Total [1] 4 7 2 2" xfId="47273"/>
    <cellStyle name="CALC Percent Total [1] 4 7 3" xfId="35987"/>
    <cellStyle name="CALC Percent Total [1] 4 7 4" xfId="47274"/>
    <cellStyle name="CALC Percent Total [1] 4 8" xfId="21164"/>
    <cellStyle name="CALC Percent Total [1] 4 8 2" xfId="29476"/>
    <cellStyle name="CALC Percent Total [1] 4 8 2 2" xfId="47275"/>
    <cellStyle name="CALC Percent Total [1] 4 8 3" xfId="36548"/>
    <cellStyle name="CALC Percent Total [1] 4 8 4" xfId="47276"/>
    <cellStyle name="CALC Percent Total [1] 4 9" xfId="21998"/>
    <cellStyle name="CALC Percent Total [1] 4 9 2" xfId="30298"/>
    <cellStyle name="CALC Percent Total [1] 4 9 2 2" xfId="47277"/>
    <cellStyle name="CALC Percent Total [1] 4 9 3" xfId="37338"/>
    <cellStyle name="CALC Percent Total [1] 4 9 4" xfId="47278"/>
    <cellStyle name="CALC Percent Total [1] 5" xfId="14563"/>
    <cellStyle name="CALC Percent Total [1] 5 10" xfId="22919"/>
    <cellStyle name="CALC Percent Total [1] 5 10 2" xfId="47279"/>
    <cellStyle name="CALC Percent Total [1] 5 11" xfId="47280"/>
    <cellStyle name="CALC Percent Total [1] 5 2" xfId="15642"/>
    <cellStyle name="CALC Percent Total [1] 5 2 2" xfId="23955"/>
    <cellStyle name="CALC Percent Total [1] 5 2 2 2" xfId="47281"/>
    <cellStyle name="CALC Percent Total [1] 5 2 3" xfId="31252"/>
    <cellStyle name="CALC Percent Total [1] 5 2 4" xfId="47282"/>
    <cellStyle name="CALC Percent Total [1] 5 3" xfId="16609"/>
    <cellStyle name="CALC Percent Total [1] 5 3 2" xfId="24926"/>
    <cellStyle name="CALC Percent Total [1] 5 3 2 2" xfId="47283"/>
    <cellStyle name="CALC Percent Total [1] 5 3 3" xfId="32185"/>
    <cellStyle name="CALC Percent Total [1] 5 3 4" xfId="47284"/>
    <cellStyle name="CALC Percent Total [1] 5 4" xfId="17629"/>
    <cellStyle name="CALC Percent Total [1] 5 4 2" xfId="25952"/>
    <cellStyle name="CALC Percent Total [1] 5 4 2 2" xfId="47285"/>
    <cellStyle name="CALC Percent Total [1] 5 4 3" xfId="33162"/>
    <cellStyle name="CALC Percent Total [1] 5 4 4" xfId="47286"/>
    <cellStyle name="CALC Percent Total [1] 5 5" xfId="18611"/>
    <cellStyle name="CALC Percent Total [1] 5 5 2" xfId="26930"/>
    <cellStyle name="CALC Percent Total [1] 5 5 2 2" xfId="47287"/>
    <cellStyle name="CALC Percent Total [1] 5 5 3" xfId="34098"/>
    <cellStyle name="CALC Percent Total [1] 5 5 4" xfId="47288"/>
    <cellStyle name="CALC Percent Total [1] 5 6" xfId="19579"/>
    <cellStyle name="CALC Percent Total [1] 5 6 2" xfId="27900"/>
    <cellStyle name="CALC Percent Total [1] 5 6 2 2" xfId="47289"/>
    <cellStyle name="CALC Percent Total [1] 5 6 3" xfId="35045"/>
    <cellStyle name="CALC Percent Total [1] 5 6 4" xfId="47290"/>
    <cellStyle name="CALC Percent Total [1] 5 7" xfId="20537"/>
    <cellStyle name="CALC Percent Total [1] 5 7 2" xfId="28859"/>
    <cellStyle name="CALC Percent Total [1] 5 7 2 2" xfId="47291"/>
    <cellStyle name="CALC Percent Total [1] 5 7 3" xfId="35962"/>
    <cellStyle name="CALC Percent Total [1] 5 7 4" xfId="47292"/>
    <cellStyle name="CALC Percent Total [1] 5 8" xfId="21272"/>
    <cellStyle name="CALC Percent Total [1] 5 8 2" xfId="29580"/>
    <cellStyle name="CALC Percent Total [1] 5 8 2 2" xfId="47293"/>
    <cellStyle name="CALC Percent Total [1] 5 8 3" xfId="36647"/>
    <cellStyle name="CALC Percent Total [1] 5 8 4" xfId="47294"/>
    <cellStyle name="CALC Percent Total [1] 5 9" xfId="21972"/>
    <cellStyle name="CALC Percent Total [1] 5 9 2" xfId="30273"/>
    <cellStyle name="CALC Percent Total [1] 5 9 2 2" xfId="47295"/>
    <cellStyle name="CALC Percent Total [1] 5 9 3" xfId="37313"/>
    <cellStyle name="CALC Percent Total [1] 5 9 4" xfId="47296"/>
    <cellStyle name="CALC Percent Total [1] 6" xfId="14556"/>
    <cellStyle name="CALC Percent Total [1] 6 10" xfId="22912"/>
    <cellStyle name="CALC Percent Total [1] 6 10 2" xfId="47297"/>
    <cellStyle name="CALC Percent Total [1] 6 11" xfId="47298"/>
    <cellStyle name="CALC Percent Total [1] 6 2" xfId="15635"/>
    <cellStyle name="CALC Percent Total [1] 6 2 2" xfId="23948"/>
    <cellStyle name="CALC Percent Total [1] 6 2 2 2" xfId="47299"/>
    <cellStyle name="CALC Percent Total [1] 6 2 3" xfId="31245"/>
    <cellStyle name="CALC Percent Total [1] 6 2 4" xfId="47300"/>
    <cellStyle name="CALC Percent Total [1] 6 3" xfId="16602"/>
    <cellStyle name="CALC Percent Total [1] 6 3 2" xfId="24919"/>
    <cellStyle name="CALC Percent Total [1] 6 3 2 2" xfId="47301"/>
    <cellStyle name="CALC Percent Total [1] 6 3 3" xfId="32178"/>
    <cellStyle name="CALC Percent Total [1] 6 3 4" xfId="47302"/>
    <cellStyle name="CALC Percent Total [1] 6 4" xfId="17622"/>
    <cellStyle name="CALC Percent Total [1] 6 4 2" xfId="25945"/>
    <cellStyle name="CALC Percent Total [1] 6 4 2 2" xfId="47303"/>
    <cellStyle name="CALC Percent Total [1] 6 4 3" xfId="33155"/>
    <cellStyle name="CALC Percent Total [1] 6 4 4" xfId="47304"/>
    <cellStyle name="CALC Percent Total [1] 6 5" xfId="18604"/>
    <cellStyle name="CALC Percent Total [1] 6 5 2" xfId="26923"/>
    <cellStyle name="CALC Percent Total [1] 6 5 2 2" xfId="47305"/>
    <cellStyle name="CALC Percent Total [1] 6 5 3" xfId="34091"/>
    <cellStyle name="CALC Percent Total [1] 6 5 4" xfId="47306"/>
    <cellStyle name="CALC Percent Total [1] 6 6" xfId="19572"/>
    <cellStyle name="CALC Percent Total [1] 6 6 2" xfId="27893"/>
    <cellStyle name="CALC Percent Total [1] 6 6 2 2" xfId="47307"/>
    <cellStyle name="CALC Percent Total [1] 6 6 3" xfId="35038"/>
    <cellStyle name="CALC Percent Total [1] 6 6 4" xfId="47308"/>
    <cellStyle name="CALC Percent Total [1] 6 7" xfId="20530"/>
    <cellStyle name="CALC Percent Total [1] 6 7 2" xfId="28852"/>
    <cellStyle name="CALC Percent Total [1] 6 7 2 2" xfId="47309"/>
    <cellStyle name="CALC Percent Total [1] 6 7 3" xfId="35955"/>
    <cellStyle name="CALC Percent Total [1] 6 7 4" xfId="47310"/>
    <cellStyle name="CALC Percent Total [1] 6 8" xfId="21198"/>
    <cellStyle name="CALC Percent Total [1] 6 8 2" xfId="29510"/>
    <cellStyle name="CALC Percent Total [1] 6 8 2 2" xfId="47311"/>
    <cellStyle name="CALC Percent Total [1] 6 8 3" xfId="36580"/>
    <cellStyle name="CALC Percent Total [1] 6 8 4" xfId="47312"/>
    <cellStyle name="CALC Percent Total [1] 6 9" xfId="21965"/>
    <cellStyle name="CALC Percent Total [1] 6 9 2" xfId="30266"/>
    <cellStyle name="CALC Percent Total [1] 6 9 2 2" xfId="47313"/>
    <cellStyle name="CALC Percent Total [1] 6 9 3" xfId="37306"/>
    <cellStyle name="CALC Percent Total [1] 6 9 4" xfId="47314"/>
    <cellStyle name="CALC Percent Total [1] 7" xfId="14688"/>
    <cellStyle name="CALC Percent Total [1] 7 10" xfId="23051"/>
    <cellStyle name="CALC Percent Total [1] 7 10 2" xfId="47315"/>
    <cellStyle name="CALC Percent Total [1] 7 11" xfId="47316"/>
    <cellStyle name="CALC Percent Total [1] 7 2" xfId="15769"/>
    <cellStyle name="CALC Percent Total [1] 7 2 2" xfId="24086"/>
    <cellStyle name="CALC Percent Total [1] 7 2 2 2" xfId="47317"/>
    <cellStyle name="CALC Percent Total [1] 7 2 3" xfId="31377"/>
    <cellStyle name="CALC Percent Total [1] 7 2 4" xfId="47318"/>
    <cellStyle name="CALC Percent Total [1] 7 3" xfId="16735"/>
    <cellStyle name="CALC Percent Total [1] 7 3 2" xfId="25057"/>
    <cellStyle name="CALC Percent Total [1] 7 3 2 2" xfId="47319"/>
    <cellStyle name="CALC Percent Total [1] 7 3 3" xfId="32310"/>
    <cellStyle name="CALC Percent Total [1] 7 3 4" xfId="47320"/>
    <cellStyle name="CALC Percent Total [1] 7 4" xfId="17759"/>
    <cellStyle name="CALC Percent Total [1] 7 4 2" xfId="26083"/>
    <cellStyle name="CALC Percent Total [1] 7 4 2 2" xfId="47321"/>
    <cellStyle name="CALC Percent Total [1] 7 4 3" xfId="33287"/>
    <cellStyle name="CALC Percent Total [1] 7 4 4" xfId="47322"/>
    <cellStyle name="CALC Percent Total [1] 7 5" xfId="18743"/>
    <cellStyle name="CALC Percent Total [1] 7 5 2" xfId="27064"/>
    <cellStyle name="CALC Percent Total [1] 7 5 2 2" xfId="47323"/>
    <cellStyle name="CALC Percent Total [1] 7 5 3" xfId="34226"/>
    <cellStyle name="CALC Percent Total [1] 7 5 4" xfId="47324"/>
    <cellStyle name="CALC Percent Total [1] 7 6" xfId="19712"/>
    <cellStyle name="CALC Percent Total [1] 7 6 2" xfId="28033"/>
    <cellStyle name="CALC Percent Total [1] 7 6 2 2" xfId="47325"/>
    <cellStyle name="CALC Percent Total [1] 7 6 3" xfId="35172"/>
    <cellStyle name="CALC Percent Total [1] 7 6 4" xfId="47326"/>
    <cellStyle name="CALC Percent Total [1] 7 7" xfId="20669"/>
    <cellStyle name="CALC Percent Total [1] 7 7 2" xfId="28990"/>
    <cellStyle name="CALC Percent Total [1] 7 7 2 2" xfId="47327"/>
    <cellStyle name="CALC Percent Total [1] 7 7 3" xfId="36087"/>
    <cellStyle name="CALC Percent Total [1] 7 7 4" xfId="47328"/>
    <cellStyle name="CALC Percent Total [1] 7 8" xfId="21098"/>
    <cellStyle name="CALC Percent Total [1] 7 8 2" xfId="29415"/>
    <cellStyle name="CALC Percent Total [1] 7 8 2 2" xfId="47329"/>
    <cellStyle name="CALC Percent Total [1] 7 8 3" xfId="36489"/>
    <cellStyle name="CALC Percent Total [1] 7 8 4" xfId="47330"/>
    <cellStyle name="CALC Percent Total [1] 7 9" xfId="22106"/>
    <cellStyle name="CALC Percent Total [1] 7 9 2" xfId="30404"/>
    <cellStyle name="CALC Percent Total [1] 7 9 2 2" xfId="47331"/>
    <cellStyle name="CALC Percent Total [1] 7 9 3" xfId="37438"/>
    <cellStyle name="CALC Percent Total [1] 7 9 4" xfId="47332"/>
    <cellStyle name="CALC Percent Total [1] 8" xfId="14742"/>
    <cellStyle name="CALC Percent Total [1] 8 10" xfId="23106"/>
    <cellStyle name="CALC Percent Total [1] 8 10 2" xfId="47333"/>
    <cellStyle name="CALC Percent Total [1] 8 11" xfId="47334"/>
    <cellStyle name="CALC Percent Total [1] 8 12" xfId="47335"/>
    <cellStyle name="CALC Percent Total [1] 8 2" xfId="15823"/>
    <cellStyle name="CALC Percent Total [1] 8 2 2" xfId="24141"/>
    <cellStyle name="CALC Percent Total [1] 8 2 2 2" xfId="47336"/>
    <cellStyle name="CALC Percent Total [1] 8 2 3" xfId="31429"/>
    <cellStyle name="CALC Percent Total [1] 8 2 4" xfId="47337"/>
    <cellStyle name="CALC Percent Total [1] 8 3" xfId="16789"/>
    <cellStyle name="CALC Percent Total [1] 8 3 2" xfId="25113"/>
    <cellStyle name="CALC Percent Total [1] 8 3 2 2" xfId="47338"/>
    <cellStyle name="CALC Percent Total [1] 8 3 3" xfId="32362"/>
    <cellStyle name="CALC Percent Total [1] 8 3 4" xfId="47339"/>
    <cellStyle name="CALC Percent Total [1] 8 4" xfId="17815"/>
    <cellStyle name="CALC Percent Total [1] 8 4 2" xfId="26139"/>
    <cellStyle name="CALC Percent Total [1] 8 4 2 2" xfId="47340"/>
    <cellStyle name="CALC Percent Total [1] 8 4 3" xfId="33339"/>
    <cellStyle name="CALC Percent Total [1] 8 4 4" xfId="47341"/>
    <cellStyle name="CALC Percent Total [1] 8 5" xfId="18799"/>
    <cellStyle name="CALC Percent Total [1] 8 5 2" xfId="27120"/>
    <cellStyle name="CALC Percent Total [1] 8 5 2 2" xfId="47342"/>
    <cellStyle name="CALC Percent Total [1] 8 5 3" xfId="34279"/>
    <cellStyle name="CALC Percent Total [1] 8 5 4" xfId="47343"/>
    <cellStyle name="CALC Percent Total [1] 8 6" xfId="19767"/>
    <cellStyle name="CALC Percent Total [1] 8 6 2" xfId="28089"/>
    <cellStyle name="CALC Percent Total [1] 8 6 2 2" xfId="47344"/>
    <cellStyle name="CALC Percent Total [1] 8 6 3" xfId="35225"/>
    <cellStyle name="CALC Percent Total [1] 8 6 4" xfId="47345"/>
    <cellStyle name="CALC Percent Total [1] 8 7" xfId="20725"/>
    <cellStyle name="CALC Percent Total [1] 8 7 2" xfId="29046"/>
    <cellStyle name="CALC Percent Total [1] 8 7 2 2" xfId="47346"/>
    <cellStyle name="CALC Percent Total [1] 8 7 3" xfId="36138"/>
    <cellStyle name="CALC Percent Total [1] 8 7 4" xfId="47347"/>
    <cellStyle name="CALC Percent Total [1] 8 8" xfId="21227"/>
    <cellStyle name="CALC Percent Total [1] 8 8 2" xfId="29538"/>
    <cellStyle name="CALC Percent Total [1] 8 8 2 2" xfId="47348"/>
    <cellStyle name="CALC Percent Total [1] 8 8 3" xfId="36607"/>
    <cellStyle name="CALC Percent Total [1] 8 8 4" xfId="47349"/>
    <cellStyle name="CALC Percent Total [1] 8 9" xfId="22161"/>
    <cellStyle name="CALC Percent Total [1] 8 9 2" xfId="30459"/>
    <cellStyle name="CALC Percent Total [1] 8 9 2 2" xfId="47350"/>
    <cellStyle name="CALC Percent Total [1] 8 9 3" xfId="37490"/>
    <cellStyle name="CALC Percent Total [1] 8 9 4" xfId="47351"/>
    <cellStyle name="CALC Percent Total [1] 9" xfId="14751"/>
    <cellStyle name="CALC Percent Total [1] 9 10" xfId="23115"/>
    <cellStyle name="CALC Percent Total [1] 9 10 2" xfId="47352"/>
    <cellStyle name="CALC Percent Total [1] 9 11" xfId="47353"/>
    <cellStyle name="CALC Percent Total [1] 9 12" xfId="47354"/>
    <cellStyle name="CALC Percent Total [1] 9 2" xfId="15832"/>
    <cellStyle name="CALC Percent Total [1] 9 2 2" xfId="24150"/>
    <cellStyle name="CALC Percent Total [1] 9 2 2 2" xfId="47355"/>
    <cellStyle name="CALC Percent Total [1] 9 2 3" xfId="31438"/>
    <cellStyle name="CALC Percent Total [1] 9 2 4" xfId="47356"/>
    <cellStyle name="CALC Percent Total [1] 9 3" xfId="16798"/>
    <cellStyle name="CALC Percent Total [1] 9 3 2" xfId="25122"/>
    <cellStyle name="CALC Percent Total [1] 9 3 2 2" xfId="47357"/>
    <cellStyle name="CALC Percent Total [1] 9 3 3" xfId="32371"/>
    <cellStyle name="CALC Percent Total [1] 9 3 4" xfId="47358"/>
    <cellStyle name="CALC Percent Total [1] 9 4" xfId="17824"/>
    <cellStyle name="CALC Percent Total [1] 9 4 2" xfId="26148"/>
    <cellStyle name="CALC Percent Total [1] 9 4 2 2" xfId="47359"/>
    <cellStyle name="CALC Percent Total [1] 9 4 3" xfId="33348"/>
    <cellStyle name="CALC Percent Total [1] 9 4 4" xfId="47360"/>
    <cellStyle name="CALC Percent Total [1] 9 5" xfId="18808"/>
    <cellStyle name="CALC Percent Total [1] 9 5 2" xfId="27129"/>
    <cellStyle name="CALC Percent Total [1] 9 5 2 2" xfId="47361"/>
    <cellStyle name="CALC Percent Total [1] 9 5 3" xfId="34288"/>
    <cellStyle name="CALC Percent Total [1] 9 5 4" xfId="47362"/>
    <cellStyle name="CALC Percent Total [1] 9 6" xfId="19776"/>
    <cellStyle name="CALC Percent Total [1] 9 6 2" xfId="28098"/>
    <cellStyle name="CALC Percent Total [1] 9 6 2 2" xfId="47363"/>
    <cellStyle name="CALC Percent Total [1] 9 6 3" xfId="35234"/>
    <cellStyle name="CALC Percent Total [1] 9 6 4" xfId="47364"/>
    <cellStyle name="CALC Percent Total [1] 9 7" xfId="20734"/>
    <cellStyle name="CALC Percent Total [1] 9 7 2" xfId="29055"/>
    <cellStyle name="CALC Percent Total [1] 9 7 2 2" xfId="47365"/>
    <cellStyle name="CALC Percent Total [1] 9 7 3" xfId="36147"/>
    <cellStyle name="CALC Percent Total [1] 9 7 4" xfId="47366"/>
    <cellStyle name="CALC Percent Total [1] 9 8" xfId="21181"/>
    <cellStyle name="CALC Percent Total [1] 9 8 2" xfId="29493"/>
    <cellStyle name="CALC Percent Total [1] 9 8 2 2" xfId="47367"/>
    <cellStyle name="CALC Percent Total [1] 9 8 3" xfId="36564"/>
    <cellStyle name="CALC Percent Total [1] 9 8 4" xfId="47368"/>
    <cellStyle name="CALC Percent Total [1] 9 9" xfId="22170"/>
    <cellStyle name="CALC Percent Total [1] 9 9 2" xfId="30468"/>
    <cellStyle name="CALC Percent Total [1] 9 9 2 2" xfId="47369"/>
    <cellStyle name="CALC Percent Total [1] 9 9 3" xfId="37499"/>
    <cellStyle name="CALC Percent Total [1] 9 9 4" xfId="47370"/>
    <cellStyle name="CALC Percent Total [2]" xfId="14474"/>
    <cellStyle name="CALC Percent Total [2] 10" xfId="14719"/>
    <cellStyle name="CALC Percent Total [2] 10 10" xfId="23081"/>
    <cellStyle name="CALC Percent Total [2] 10 10 2" xfId="47371"/>
    <cellStyle name="CALC Percent Total [2] 10 11" xfId="47372"/>
    <cellStyle name="CALC Percent Total [2] 10 12" xfId="47373"/>
    <cellStyle name="CALC Percent Total [2] 10 2" xfId="15800"/>
    <cellStyle name="CALC Percent Total [2] 10 2 2" xfId="24116"/>
    <cellStyle name="CALC Percent Total [2] 10 2 2 2" xfId="47374"/>
    <cellStyle name="CALC Percent Total [2] 10 2 3" xfId="31404"/>
    <cellStyle name="CALC Percent Total [2] 10 2 4" xfId="47375"/>
    <cellStyle name="CALC Percent Total [2] 10 3" xfId="16766"/>
    <cellStyle name="CALC Percent Total [2] 10 3 2" xfId="25088"/>
    <cellStyle name="CALC Percent Total [2] 10 3 2 2" xfId="47376"/>
    <cellStyle name="CALC Percent Total [2] 10 3 3" xfId="32337"/>
    <cellStyle name="CALC Percent Total [2] 10 3 4" xfId="47377"/>
    <cellStyle name="CALC Percent Total [2] 10 4" xfId="17790"/>
    <cellStyle name="CALC Percent Total [2] 10 4 2" xfId="26114"/>
    <cellStyle name="CALC Percent Total [2] 10 4 2 2" xfId="47378"/>
    <cellStyle name="CALC Percent Total [2] 10 4 3" xfId="33314"/>
    <cellStyle name="CALC Percent Total [2] 10 4 4" xfId="47379"/>
    <cellStyle name="CALC Percent Total [2] 10 5" xfId="18774"/>
    <cellStyle name="CALC Percent Total [2] 10 5 2" xfId="27095"/>
    <cellStyle name="CALC Percent Total [2] 10 5 2 2" xfId="47380"/>
    <cellStyle name="CALC Percent Total [2] 10 5 3" xfId="34254"/>
    <cellStyle name="CALC Percent Total [2] 10 5 4" xfId="47381"/>
    <cellStyle name="CALC Percent Total [2] 10 6" xfId="19743"/>
    <cellStyle name="CALC Percent Total [2] 10 6 2" xfId="28064"/>
    <cellStyle name="CALC Percent Total [2] 10 6 2 2" xfId="47382"/>
    <cellStyle name="CALC Percent Total [2] 10 6 3" xfId="35200"/>
    <cellStyle name="CALC Percent Total [2] 10 6 4" xfId="47383"/>
    <cellStyle name="CALC Percent Total [2] 10 7" xfId="20700"/>
    <cellStyle name="CALC Percent Total [2] 10 7 2" xfId="29021"/>
    <cellStyle name="CALC Percent Total [2] 10 7 2 2" xfId="47384"/>
    <cellStyle name="CALC Percent Total [2] 10 7 3" xfId="36114"/>
    <cellStyle name="CALC Percent Total [2] 10 7 4" xfId="47385"/>
    <cellStyle name="CALC Percent Total [2] 10 8" xfId="21220"/>
    <cellStyle name="CALC Percent Total [2] 10 8 2" xfId="29531"/>
    <cellStyle name="CALC Percent Total [2] 10 8 2 2" xfId="47386"/>
    <cellStyle name="CALC Percent Total [2] 10 8 3" xfId="36600"/>
    <cellStyle name="CALC Percent Total [2] 10 8 4" xfId="47387"/>
    <cellStyle name="CALC Percent Total [2] 10 9" xfId="22136"/>
    <cellStyle name="CALC Percent Total [2] 10 9 2" xfId="30434"/>
    <cellStyle name="CALC Percent Total [2] 10 9 2 2" xfId="47388"/>
    <cellStyle name="CALC Percent Total [2] 10 9 3" xfId="37465"/>
    <cellStyle name="CALC Percent Total [2] 10 9 4" xfId="47389"/>
    <cellStyle name="CALC Percent Total [2] 11" xfId="14830"/>
    <cellStyle name="CALC Percent Total [2] 11 10" xfId="23194"/>
    <cellStyle name="CALC Percent Total [2] 11 10 2" xfId="47390"/>
    <cellStyle name="CALC Percent Total [2] 11 11" xfId="47391"/>
    <cellStyle name="CALC Percent Total [2] 11 12" xfId="47392"/>
    <cellStyle name="CALC Percent Total [2] 11 2" xfId="15911"/>
    <cellStyle name="CALC Percent Total [2] 11 2 2" xfId="24229"/>
    <cellStyle name="CALC Percent Total [2] 11 2 2 2" xfId="47393"/>
    <cellStyle name="CALC Percent Total [2] 11 2 3" xfId="31513"/>
    <cellStyle name="CALC Percent Total [2] 11 2 4" xfId="47394"/>
    <cellStyle name="CALC Percent Total [2] 11 3" xfId="16877"/>
    <cellStyle name="CALC Percent Total [2] 11 3 2" xfId="25201"/>
    <cellStyle name="CALC Percent Total [2] 11 3 2 2" xfId="47395"/>
    <cellStyle name="CALC Percent Total [2] 11 3 3" xfId="32446"/>
    <cellStyle name="CALC Percent Total [2] 11 3 4" xfId="47396"/>
    <cellStyle name="CALC Percent Total [2] 11 4" xfId="17904"/>
    <cellStyle name="CALC Percent Total [2] 11 4 2" xfId="26227"/>
    <cellStyle name="CALC Percent Total [2] 11 4 2 2" xfId="47397"/>
    <cellStyle name="CALC Percent Total [2] 11 4 3" xfId="33423"/>
    <cellStyle name="CALC Percent Total [2] 11 4 4" xfId="47398"/>
    <cellStyle name="CALC Percent Total [2] 11 5" xfId="18888"/>
    <cellStyle name="CALC Percent Total [2] 11 5 2" xfId="27208"/>
    <cellStyle name="CALC Percent Total [2] 11 5 2 2" xfId="47399"/>
    <cellStyle name="CALC Percent Total [2] 11 5 3" xfId="34363"/>
    <cellStyle name="CALC Percent Total [2] 11 5 4" xfId="47400"/>
    <cellStyle name="CALC Percent Total [2] 11 6" xfId="19856"/>
    <cellStyle name="CALC Percent Total [2] 11 6 2" xfId="28178"/>
    <cellStyle name="CALC Percent Total [2] 11 6 2 2" xfId="47401"/>
    <cellStyle name="CALC Percent Total [2] 11 6 3" xfId="35310"/>
    <cellStyle name="CALC Percent Total [2] 11 6 4" xfId="47402"/>
    <cellStyle name="CALC Percent Total [2] 11 7" xfId="20814"/>
    <cellStyle name="CALC Percent Total [2] 11 7 2" xfId="29134"/>
    <cellStyle name="CALC Percent Total [2] 11 7 2 2" xfId="47403"/>
    <cellStyle name="CALC Percent Total [2] 11 7 3" xfId="36221"/>
    <cellStyle name="CALC Percent Total [2] 11 7 4" xfId="47404"/>
    <cellStyle name="CALC Percent Total [2] 11 8" xfId="21359"/>
    <cellStyle name="CALC Percent Total [2] 11 8 2" xfId="29662"/>
    <cellStyle name="CALC Percent Total [2] 11 8 2 2" xfId="47405"/>
    <cellStyle name="CALC Percent Total [2] 11 8 3" xfId="36727"/>
    <cellStyle name="CALC Percent Total [2] 11 8 4" xfId="47406"/>
    <cellStyle name="CALC Percent Total [2] 11 9" xfId="22249"/>
    <cellStyle name="CALC Percent Total [2] 11 9 2" xfId="30548"/>
    <cellStyle name="CALC Percent Total [2] 11 9 2 2" xfId="47407"/>
    <cellStyle name="CALC Percent Total [2] 11 9 3" xfId="37574"/>
    <cellStyle name="CALC Percent Total [2] 11 9 4" xfId="47408"/>
    <cellStyle name="CALC Percent Total [2] 12" xfId="14953"/>
    <cellStyle name="CALC Percent Total [2] 12 10" xfId="23316"/>
    <cellStyle name="CALC Percent Total [2] 12 10 2" xfId="47409"/>
    <cellStyle name="CALC Percent Total [2] 12 11" xfId="47410"/>
    <cellStyle name="CALC Percent Total [2] 12 12" xfId="47411"/>
    <cellStyle name="CALC Percent Total [2] 12 2" xfId="16034"/>
    <cellStyle name="CALC Percent Total [2] 12 2 2" xfId="24351"/>
    <cellStyle name="CALC Percent Total [2] 12 2 2 2" xfId="47412"/>
    <cellStyle name="CALC Percent Total [2] 12 2 3" xfId="31631"/>
    <cellStyle name="CALC Percent Total [2] 12 2 4" xfId="47413"/>
    <cellStyle name="CALC Percent Total [2] 12 3" xfId="17000"/>
    <cellStyle name="CALC Percent Total [2] 12 3 2" xfId="25323"/>
    <cellStyle name="CALC Percent Total [2] 12 3 2 2" xfId="47414"/>
    <cellStyle name="CALC Percent Total [2] 12 3 3" xfId="32564"/>
    <cellStyle name="CALC Percent Total [2] 12 3 4" xfId="47415"/>
    <cellStyle name="CALC Percent Total [2] 12 4" xfId="18027"/>
    <cellStyle name="CALC Percent Total [2] 12 4 2" xfId="26349"/>
    <cellStyle name="CALC Percent Total [2] 12 4 2 2" xfId="47416"/>
    <cellStyle name="CALC Percent Total [2] 12 4 3" xfId="33541"/>
    <cellStyle name="CALC Percent Total [2] 12 4 4" xfId="47417"/>
    <cellStyle name="CALC Percent Total [2] 12 5" xfId="19011"/>
    <cellStyle name="CALC Percent Total [2] 12 5 2" xfId="27331"/>
    <cellStyle name="CALC Percent Total [2] 12 5 2 2" xfId="47418"/>
    <cellStyle name="CALC Percent Total [2] 12 5 3" xfId="34482"/>
    <cellStyle name="CALC Percent Total [2] 12 5 4" xfId="47419"/>
    <cellStyle name="CALC Percent Total [2] 12 6" xfId="19979"/>
    <cellStyle name="CALC Percent Total [2] 12 6 2" xfId="28301"/>
    <cellStyle name="CALC Percent Total [2] 12 6 2 2" xfId="47420"/>
    <cellStyle name="CALC Percent Total [2] 12 6 3" xfId="35429"/>
    <cellStyle name="CALC Percent Total [2] 12 6 4" xfId="47421"/>
    <cellStyle name="CALC Percent Total [2] 12 7" xfId="20937"/>
    <cellStyle name="CALC Percent Total [2] 12 7 2" xfId="29256"/>
    <cellStyle name="CALC Percent Total [2] 12 7 2 2" xfId="47422"/>
    <cellStyle name="CALC Percent Total [2] 12 7 3" xfId="36339"/>
    <cellStyle name="CALC Percent Total [2] 12 7 4" xfId="47423"/>
    <cellStyle name="CALC Percent Total [2] 12 8" xfId="21444"/>
    <cellStyle name="CALC Percent Total [2] 12 8 2" xfId="29747"/>
    <cellStyle name="CALC Percent Total [2] 12 8 2 2" xfId="47424"/>
    <cellStyle name="CALC Percent Total [2] 12 8 3" xfId="36809"/>
    <cellStyle name="CALC Percent Total [2] 12 8 4" xfId="47425"/>
    <cellStyle name="CALC Percent Total [2] 12 9" xfId="22372"/>
    <cellStyle name="CALC Percent Total [2] 12 9 2" xfId="30670"/>
    <cellStyle name="CALC Percent Total [2] 12 9 2 2" xfId="47426"/>
    <cellStyle name="CALC Percent Total [2] 12 9 3" xfId="37692"/>
    <cellStyle name="CALC Percent Total [2] 12 9 4" xfId="47427"/>
    <cellStyle name="CALC Percent Total [2] 13" xfId="15019"/>
    <cellStyle name="CALC Percent Total [2] 13 10" xfId="23379"/>
    <cellStyle name="CALC Percent Total [2] 13 10 2" xfId="47428"/>
    <cellStyle name="CALC Percent Total [2] 13 11" xfId="47429"/>
    <cellStyle name="CALC Percent Total [2] 13 12" xfId="47430"/>
    <cellStyle name="CALC Percent Total [2] 13 2" xfId="16099"/>
    <cellStyle name="CALC Percent Total [2] 13 2 2" xfId="24414"/>
    <cellStyle name="CALC Percent Total [2] 13 2 2 2" xfId="47431"/>
    <cellStyle name="CALC Percent Total [2] 13 2 3" xfId="31692"/>
    <cellStyle name="CALC Percent Total [2] 13 2 4" xfId="47432"/>
    <cellStyle name="CALC Percent Total [2] 13 3" xfId="17066"/>
    <cellStyle name="CALC Percent Total [2] 13 3 2" xfId="25387"/>
    <cellStyle name="CALC Percent Total [2] 13 3 2 2" xfId="47433"/>
    <cellStyle name="CALC Percent Total [2] 13 3 3" xfId="32626"/>
    <cellStyle name="CALC Percent Total [2] 13 3 4" xfId="47434"/>
    <cellStyle name="CALC Percent Total [2] 13 4" xfId="18093"/>
    <cellStyle name="CALC Percent Total [2] 13 4 2" xfId="26413"/>
    <cellStyle name="CALC Percent Total [2] 13 4 2 2" xfId="47435"/>
    <cellStyle name="CALC Percent Total [2] 13 4 3" xfId="33603"/>
    <cellStyle name="CALC Percent Total [2] 13 4 4" xfId="47436"/>
    <cellStyle name="CALC Percent Total [2] 13 5" xfId="19077"/>
    <cellStyle name="CALC Percent Total [2] 13 5 2" xfId="27397"/>
    <cellStyle name="CALC Percent Total [2] 13 5 2 2" xfId="47437"/>
    <cellStyle name="CALC Percent Total [2] 13 5 3" xfId="34546"/>
    <cellStyle name="CALC Percent Total [2] 13 5 4" xfId="47438"/>
    <cellStyle name="CALC Percent Total [2] 13 6" xfId="20045"/>
    <cellStyle name="CALC Percent Total [2] 13 6 2" xfId="28367"/>
    <cellStyle name="CALC Percent Total [2] 13 6 2 2" xfId="47439"/>
    <cellStyle name="CALC Percent Total [2] 13 6 3" xfId="35493"/>
    <cellStyle name="CALC Percent Total [2] 13 6 4" xfId="47440"/>
    <cellStyle name="CALC Percent Total [2] 13 7" xfId="21002"/>
    <cellStyle name="CALC Percent Total [2] 13 7 2" xfId="29319"/>
    <cellStyle name="CALC Percent Total [2] 13 7 2 2" xfId="47441"/>
    <cellStyle name="CALC Percent Total [2] 13 7 3" xfId="36400"/>
    <cellStyle name="CALC Percent Total [2] 13 7 4" xfId="47442"/>
    <cellStyle name="CALC Percent Total [2] 13 8" xfId="21509"/>
    <cellStyle name="CALC Percent Total [2] 13 8 2" xfId="29810"/>
    <cellStyle name="CALC Percent Total [2] 13 8 2 2" xfId="47443"/>
    <cellStyle name="CALC Percent Total [2] 13 8 3" xfId="36870"/>
    <cellStyle name="CALC Percent Total [2] 13 8 4" xfId="47444"/>
    <cellStyle name="CALC Percent Total [2] 13 9" xfId="22437"/>
    <cellStyle name="CALC Percent Total [2] 13 9 2" xfId="30733"/>
    <cellStyle name="CALC Percent Total [2] 13 9 2 2" xfId="47445"/>
    <cellStyle name="CALC Percent Total [2] 13 9 3" xfId="37753"/>
    <cellStyle name="CALC Percent Total [2] 13 9 4" xfId="47446"/>
    <cellStyle name="CALC Percent Total [2] 14" xfId="15045"/>
    <cellStyle name="CALC Percent Total [2] 14 10" xfId="23405"/>
    <cellStyle name="CALC Percent Total [2] 14 10 2" xfId="47447"/>
    <cellStyle name="CALC Percent Total [2] 14 11" xfId="47448"/>
    <cellStyle name="CALC Percent Total [2] 14 12" xfId="47449"/>
    <cellStyle name="CALC Percent Total [2] 14 2" xfId="16125"/>
    <cellStyle name="CALC Percent Total [2] 14 2 2" xfId="24440"/>
    <cellStyle name="CALC Percent Total [2] 14 2 2 2" xfId="47450"/>
    <cellStyle name="CALC Percent Total [2] 14 2 3" xfId="31717"/>
    <cellStyle name="CALC Percent Total [2] 14 2 4" xfId="47451"/>
    <cellStyle name="CALC Percent Total [2] 14 3" xfId="17092"/>
    <cellStyle name="CALC Percent Total [2] 14 3 2" xfId="25413"/>
    <cellStyle name="CALC Percent Total [2] 14 3 2 2" xfId="47452"/>
    <cellStyle name="CALC Percent Total [2] 14 3 3" xfId="32651"/>
    <cellStyle name="CALC Percent Total [2] 14 3 4" xfId="47453"/>
    <cellStyle name="CALC Percent Total [2] 14 4" xfId="18119"/>
    <cellStyle name="CALC Percent Total [2] 14 4 2" xfId="26439"/>
    <cellStyle name="CALC Percent Total [2] 14 4 2 2" xfId="47454"/>
    <cellStyle name="CALC Percent Total [2] 14 4 3" xfId="33628"/>
    <cellStyle name="CALC Percent Total [2] 14 4 4" xfId="47455"/>
    <cellStyle name="CALC Percent Total [2] 14 5" xfId="19103"/>
    <cellStyle name="CALC Percent Total [2] 14 5 2" xfId="27423"/>
    <cellStyle name="CALC Percent Total [2] 14 5 2 2" xfId="47456"/>
    <cellStyle name="CALC Percent Total [2] 14 5 3" xfId="34571"/>
    <cellStyle name="CALC Percent Total [2] 14 5 4" xfId="47457"/>
    <cellStyle name="CALC Percent Total [2] 14 6" xfId="20071"/>
    <cellStyle name="CALC Percent Total [2] 14 6 2" xfId="28393"/>
    <cellStyle name="CALC Percent Total [2] 14 6 2 2" xfId="47458"/>
    <cellStyle name="CALC Percent Total [2] 14 6 3" xfId="35518"/>
    <cellStyle name="CALC Percent Total [2] 14 6 4" xfId="47459"/>
    <cellStyle name="CALC Percent Total [2] 14 7" xfId="21028"/>
    <cellStyle name="CALC Percent Total [2] 14 7 2" xfId="29345"/>
    <cellStyle name="CALC Percent Total [2] 14 7 2 2" xfId="47460"/>
    <cellStyle name="CALC Percent Total [2] 14 7 3" xfId="36425"/>
    <cellStyle name="CALC Percent Total [2] 14 7 4" xfId="47461"/>
    <cellStyle name="CALC Percent Total [2] 14 8" xfId="21535"/>
    <cellStyle name="CALC Percent Total [2] 14 8 2" xfId="29836"/>
    <cellStyle name="CALC Percent Total [2] 14 8 2 2" xfId="47462"/>
    <cellStyle name="CALC Percent Total [2] 14 8 3" xfId="36895"/>
    <cellStyle name="CALC Percent Total [2] 14 8 4" xfId="47463"/>
    <cellStyle name="CALC Percent Total [2] 14 9" xfId="22463"/>
    <cellStyle name="CALC Percent Total [2] 14 9 2" xfId="30759"/>
    <cellStyle name="CALC Percent Total [2] 14 9 2 2" xfId="47464"/>
    <cellStyle name="CALC Percent Total [2] 14 9 3" xfId="37778"/>
    <cellStyle name="CALC Percent Total [2] 14 9 4" xfId="47465"/>
    <cellStyle name="CALC Percent Total [2] 15" xfId="15123"/>
    <cellStyle name="CALC Percent Total [2] 15 10" xfId="47466"/>
    <cellStyle name="CALC Percent Total [2] 15 11" xfId="47467"/>
    <cellStyle name="CALC Percent Total [2] 15 2" xfId="16203"/>
    <cellStyle name="CALC Percent Total [2] 15 2 2" xfId="24516"/>
    <cellStyle name="CALC Percent Total [2] 15 2 2 2" xfId="47468"/>
    <cellStyle name="CALC Percent Total [2] 15 2 3" xfId="31793"/>
    <cellStyle name="CALC Percent Total [2] 15 2 4" xfId="47469"/>
    <cellStyle name="CALC Percent Total [2] 15 3" xfId="17169"/>
    <cellStyle name="CALC Percent Total [2] 15 3 2" xfId="25490"/>
    <cellStyle name="CALC Percent Total [2] 15 3 2 2" xfId="47470"/>
    <cellStyle name="CALC Percent Total [2] 15 3 3" xfId="32726"/>
    <cellStyle name="CALC Percent Total [2] 15 3 4" xfId="47471"/>
    <cellStyle name="CALC Percent Total [2] 15 4" xfId="18197"/>
    <cellStyle name="CALC Percent Total [2] 15 4 2" xfId="26517"/>
    <cellStyle name="CALC Percent Total [2] 15 4 2 2" xfId="47472"/>
    <cellStyle name="CALC Percent Total [2] 15 4 3" xfId="33704"/>
    <cellStyle name="CALC Percent Total [2] 15 4 4" xfId="47473"/>
    <cellStyle name="CALC Percent Total [2] 15 5" xfId="19181"/>
    <cellStyle name="CALC Percent Total [2] 15 5 2" xfId="27501"/>
    <cellStyle name="CALC Percent Total [2] 15 5 2 2" xfId="47474"/>
    <cellStyle name="CALC Percent Total [2] 15 5 3" xfId="34649"/>
    <cellStyle name="CALC Percent Total [2] 15 5 4" xfId="47475"/>
    <cellStyle name="CALC Percent Total [2] 15 6" xfId="20149"/>
    <cellStyle name="CALC Percent Total [2] 15 6 2" xfId="28471"/>
    <cellStyle name="CALC Percent Total [2] 15 6 2 2" xfId="47476"/>
    <cellStyle name="CALC Percent Total [2] 15 6 3" xfId="35596"/>
    <cellStyle name="CALC Percent Total [2] 15 6 4" xfId="47477"/>
    <cellStyle name="CALC Percent Total [2] 15 7" xfId="21610"/>
    <cellStyle name="CALC Percent Total [2] 15 7 2" xfId="29911"/>
    <cellStyle name="CALC Percent Total [2] 15 7 2 2" xfId="47478"/>
    <cellStyle name="CALC Percent Total [2] 15 7 3" xfId="36970"/>
    <cellStyle name="CALC Percent Total [2] 15 7 4" xfId="47479"/>
    <cellStyle name="CALC Percent Total [2] 15 8" xfId="22538"/>
    <cellStyle name="CALC Percent Total [2] 15 8 2" xfId="30834"/>
    <cellStyle name="CALC Percent Total [2] 15 8 2 2" xfId="47480"/>
    <cellStyle name="CALC Percent Total [2] 15 8 3" xfId="37853"/>
    <cellStyle name="CALC Percent Total [2] 15 8 4" xfId="47481"/>
    <cellStyle name="CALC Percent Total [2] 15 9" xfId="23480"/>
    <cellStyle name="CALC Percent Total [2] 15 9 2" xfId="47482"/>
    <cellStyle name="CALC Percent Total [2] 16" xfId="15090"/>
    <cellStyle name="CALC Percent Total [2] 16 10" xfId="47483"/>
    <cellStyle name="CALC Percent Total [2] 16 11" xfId="47484"/>
    <cellStyle name="CALC Percent Total [2] 16 2" xfId="16170"/>
    <cellStyle name="CALC Percent Total [2] 16 2 2" xfId="24483"/>
    <cellStyle name="CALC Percent Total [2] 16 2 2 2" xfId="47485"/>
    <cellStyle name="CALC Percent Total [2] 16 2 3" xfId="31760"/>
    <cellStyle name="CALC Percent Total [2] 16 2 4" xfId="47486"/>
    <cellStyle name="CALC Percent Total [2] 16 3" xfId="17136"/>
    <cellStyle name="CALC Percent Total [2] 16 3 2" xfId="25457"/>
    <cellStyle name="CALC Percent Total [2] 16 3 2 2" xfId="47487"/>
    <cellStyle name="CALC Percent Total [2] 16 3 3" xfId="32693"/>
    <cellStyle name="CALC Percent Total [2] 16 3 4" xfId="47488"/>
    <cellStyle name="CALC Percent Total [2] 16 4" xfId="18164"/>
    <cellStyle name="CALC Percent Total [2] 16 4 2" xfId="26484"/>
    <cellStyle name="CALC Percent Total [2] 16 4 2 2" xfId="47489"/>
    <cellStyle name="CALC Percent Total [2] 16 4 3" xfId="33671"/>
    <cellStyle name="CALC Percent Total [2] 16 4 4" xfId="47490"/>
    <cellStyle name="CALC Percent Total [2] 16 5" xfId="19148"/>
    <cellStyle name="CALC Percent Total [2] 16 5 2" xfId="27468"/>
    <cellStyle name="CALC Percent Total [2] 16 5 2 2" xfId="47491"/>
    <cellStyle name="CALC Percent Total [2] 16 5 3" xfId="34616"/>
    <cellStyle name="CALC Percent Total [2] 16 5 4" xfId="47492"/>
    <cellStyle name="CALC Percent Total [2] 16 6" xfId="20116"/>
    <cellStyle name="CALC Percent Total [2] 16 6 2" xfId="28438"/>
    <cellStyle name="CALC Percent Total [2] 16 6 2 2" xfId="47493"/>
    <cellStyle name="CALC Percent Total [2] 16 6 3" xfId="35563"/>
    <cellStyle name="CALC Percent Total [2] 16 6 4" xfId="47494"/>
    <cellStyle name="CALC Percent Total [2] 16 7" xfId="21577"/>
    <cellStyle name="CALC Percent Total [2] 16 7 2" xfId="29878"/>
    <cellStyle name="CALC Percent Total [2] 16 7 2 2" xfId="47495"/>
    <cellStyle name="CALC Percent Total [2] 16 7 3" xfId="36937"/>
    <cellStyle name="CALC Percent Total [2] 16 7 4" xfId="47496"/>
    <cellStyle name="CALC Percent Total [2] 16 8" xfId="22505"/>
    <cellStyle name="CALC Percent Total [2] 16 8 2" xfId="30801"/>
    <cellStyle name="CALC Percent Total [2] 16 8 2 2" xfId="47497"/>
    <cellStyle name="CALC Percent Total [2] 16 8 3" xfId="37820"/>
    <cellStyle name="CALC Percent Total [2] 16 8 4" xfId="47498"/>
    <cellStyle name="CALC Percent Total [2] 16 9" xfId="23447"/>
    <cellStyle name="CALC Percent Total [2] 16 9 2" xfId="47499"/>
    <cellStyle name="CALC Percent Total [2] 17" xfId="15086"/>
    <cellStyle name="CALC Percent Total [2] 17 10" xfId="47500"/>
    <cellStyle name="CALC Percent Total [2] 17 11" xfId="47501"/>
    <cellStyle name="CALC Percent Total [2] 17 2" xfId="16166"/>
    <cellStyle name="CALC Percent Total [2] 17 2 2" xfId="24479"/>
    <cellStyle name="CALC Percent Total [2] 17 2 2 2" xfId="47502"/>
    <cellStyle name="CALC Percent Total [2] 17 2 3" xfId="31756"/>
    <cellStyle name="CALC Percent Total [2] 17 2 4" xfId="47503"/>
    <cellStyle name="CALC Percent Total [2] 17 3" xfId="17132"/>
    <cellStyle name="CALC Percent Total [2] 17 3 2" xfId="25453"/>
    <cellStyle name="CALC Percent Total [2] 17 3 2 2" xfId="47504"/>
    <cellStyle name="CALC Percent Total [2] 17 3 3" xfId="32689"/>
    <cellStyle name="CALC Percent Total [2] 17 3 4" xfId="47505"/>
    <cellStyle name="CALC Percent Total [2] 17 4" xfId="18160"/>
    <cellStyle name="CALC Percent Total [2] 17 4 2" xfId="26480"/>
    <cellStyle name="CALC Percent Total [2] 17 4 2 2" xfId="47506"/>
    <cellStyle name="CALC Percent Total [2] 17 4 3" xfId="33667"/>
    <cellStyle name="CALC Percent Total [2] 17 4 4" xfId="47507"/>
    <cellStyle name="CALC Percent Total [2] 17 5" xfId="19144"/>
    <cellStyle name="CALC Percent Total [2] 17 5 2" xfId="27464"/>
    <cellStyle name="CALC Percent Total [2] 17 5 2 2" xfId="47508"/>
    <cellStyle name="CALC Percent Total [2] 17 5 3" xfId="34612"/>
    <cellStyle name="CALC Percent Total [2] 17 5 4" xfId="47509"/>
    <cellStyle name="CALC Percent Total [2] 17 6" xfId="20112"/>
    <cellStyle name="CALC Percent Total [2] 17 6 2" xfId="28434"/>
    <cellStyle name="CALC Percent Total [2] 17 6 2 2" xfId="47510"/>
    <cellStyle name="CALC Percent Total [2] 17 6 3" xfId="35559"/>
    <cellStyle name="CALC Percent Total [2] 17 6 4" xfId="47511"/>
    <cellStyle name="CALC Percent Total [2] 17 7" xfId="21573"/>
    <cellStyle name="CALC Percent Total [2] 17 7 2" xfId="29874"/>
    <cellStyle name="CALC Percent Total [2] 17 7 2 2" xfId="47512"/>
    <cellStyle name="CALC Percent Total [2] 17 7 3" xfId="36933"/>
    <cellStyle name="CALC Percent Total [2] 17 7 4" xfId="47513"/>
    <cellStyle name="CALC Percent Total [2] 17 8" xfId="22501"/>
    <cellStyle name="CALC Percent Total [2] 17 8 2" xfId="30797"/>
    <cellStyle name="CALC Percent Total [2] 17 8 2 2" xfId="47514"/>
    <cellStyle name="CALC Percent Total [2] 17 8 3" xfId="37816"/>
    <cellStyle name="CALC Percent Total [2] 17 8 4" xfId="47515"/>
    <cellStyle name="CALC Percent Total [2] 17 9" xfId="23443"/>
    <cellStyle name="CALC Percent Total [2] 17 9 2" xfId="47516"/>
    <cellStyle name="CALC Percent Total [2] 18" xfId="15114"/>
    <cellStyle name="CALC Percent Total [2] 18 10" xfId="47517"/>
    <cellStyle name="CALC Percent Total [2] 18 11" xfId="47518"/>
    <cellStyle name="CALC Percent Total [2] 18 2" xfId="16194"/>
    <cellStyle name="CALC Percent Total [2] 18 2 2" xfId="24507"/>
    <cellStyle name="CALC Percent Total [2] 18 2 2 2" xfId="47519"/>
    <cellStyle name="CALC Percent Total [2] 18 2 3" xfId="31784"/>
    <cellStyle name="CALC Percent Total [2] 18 2 4" xfId="47520"/>
    <cellStyle name="CALC Percent Total [2] 18 3" xfId="17160"/>
    <cellStyle name="CALC Percent Total [2] 18 3 2" xfId="25481"/>
    <cellStyle name="CALC Percent Total [2] 18 3 2 2" xfId="47521"/>
    <cellStyle name="CALC Percent Total [2] 18 3 3" xfId="32717"/>
    <cellStyle name="CALC Percent Total [2] 18 3 4" xfId="47522"/>
    <cellStyle name="CALC Percent Total [2] 18 4" xfId="18188"/>
    <cellStyle name="CALC Percent Total [2] 18 4 2" xfId="26508"/>
    <cellStyle name="CALC Percent Total [2] 18 4 2 2" xfId="47523"/>
    <cellStyle name="CALC Percent Total [2] 18 4 3" xfId="33695"/>
    <cellStyle name="CALC Percent Total [2] 18 4 4" xfId="47524"/>
    <cellStyle name="CALC Percent Total [2] 18 5" xfId="19172"/>
    <cellStyle name="CALC Percent Total [2] 18 5 2" xfId="27492"/>
    <cellStyle name="CALC Percent Total [2] 18 5 2 2" xfId="47525"/>
    <cellStyle name="CALC Percent Total [2] 18 5 3" xfId="34640"/>
    <cellStyle name="CALC Percent Total [2] 18 5 4" xfId="47526"/>
    <cellStyle name="CALC Percent Total [2] 18 6" xfId="20140"/>
    <cellStyle name="CALC Percent Total [2] 18 6 2" xfId="28462"/>
    <cellStyle name="CALC Percent Total [2] 18 6 2 2" xfId="47527"/>
    <cellStyle name="CALC Percent Total [2] 18 6 3" xfId="35587"/>
    <cellStyle name="CALC Percent Total [2] 18 6 4" xfId="47528"/>
    <cellStyle name="CALC Percent Total [2] 18 7" xfId="21601"/>
    <cellStyle name="CALC Percent Total [2] 18 7 2" xfId="29902"/>
    <cellStyle name="CALC Percent Total [2] 18 7 2 2" xfId="47529"/>
    <cellStyle name="CALC Percent Total [2] 18 7 3" xfId="36961"/>
    <cellStyle name="CALC Percent Total [2] 18 7 4" xfId="47530"/>
    <cellStyle name="CALC Percent Total [2] 18 8" xfId="22529"/>
    <cellStyle name="CALC Percent Total [2] 18 8 2" xfId="30825"/>
    <cellStyle name="CALC Percent Total [2] 18 8 2 2" xfId="47531"/>
    <cellStyle name="CALC Percent Total [2] 18 8 3" xfId="37844"/>
    <cellStyle name="CALC Percent Total [2] 18 8 4" xfId="47532"/>
    <cellStyle name="CALC Percent Total [2] 18 9" xfId="23471"/>
    <cellStyle name="CALC Percent Total [2] 18 9 2" xfId="47533"/>
    <cellStyle name="CALC Percent Total [2] 19" xfId="15244"/>
    <cellStyle name="CALC Percent Total [2] 19 10" xfId="47534"/>
    <cellStyle name="CALC Percent Total [2] 19 11" xfId="47535"/>
    <cellStyle name="CALC Percent Total [2] 19 2" xfId="16324"/>
    <cellStyle name="CALC Percent Total [2] 19 2 2" xfId="24637"/>
    <cellStyle name="CALC Percent Total [2] 19 2 2 2" xfId="47536"/>
    <cellStyle name="CALC Percent Total [2] 19 2 3" xfId="31904"/>
    <cellStyle name="CALC Percent Total [2] 19 2 4" xfId="47537"/>
    <cellStyle name="CALC Percent Total [2] 19 3" xfId="17290"/>
    <cellStyle name="CALC Percent Total [2] 19 3 2" xfId="25611"/>
    <cellStyle name="CALC Percent Total [2] 19 3 2 2" xfId="47538"/>
    <cellStyle name="CALC Percent Total [2] 19 3 3" xfId="32837"/>
    <cellStyle name="CALC Percent Total [2] 19 3 4" xfId="47539"/>
    <cellStyle name="CALC Percent Total [2] 19 4" xfId="18318"/>
    <cellStyle name="CALC Percent Total [2] 19 4 2" xfId="26638"/>
    <cellStyle name="CALC Percent Total [2] 19 4 2 2" xfId="47540"/>
    <cellStyle name="CALC Percent Total [2] 19 4 3" xfId="33815"/>
    <cellStyle name="CALC Percent Total [2] 19 4 4" xfId="47541"/>
    <cellStyle name="CALC Percent Total [2] 19 5" xfId="19302"/>
    <cellStyle name="CALC Percent Total [2] 19 5 2" xfId="27622"/>
    <cellStyle name="CALC Percent Total [2] 19 5 2 2" xfId="47542"/>
    <cellStyle name="CALC Percent Total [2] 19 5 3" xfId="34770"/>
    <cellStyle name="CALC Percent Total [2] 19 5 4" xfId="47543"/>
    <cellStyle name="CALC Percent Total [2] 19 6" xfId="20270"/>
    <cellStyle name="CALC Percent Total [2] 19 6 2" xfId="28592"/>
    <cellStyle name="CALC Percent Total [2] 19 6 2 2" xfId="47544"/>
    <cellStyle name="CALC Percent Total [2] 19 6 3" xfId="35707"/>
    <cellStyle name="CALC Percent Total [2] 19 6 4" xfId="47545"/>
    <cellStyle name="CALC Percent Total [2] 19 7" xfId="21731"/>
    <cellStyle name="CALC Percent Total [2] 19 7 2" xfId="30032"/>
    <cellStyle name="CALC Percent Total [2] 19 7 2 2" xfId="47546"/>
    <cellStyle name="CALC Percent Total [2] 19 7 3" xfId="37081"/>
    <cellStyle name="CALC Percent Total [2] 19 7 4" xfId="47547"/>
    <cellStyle name="CALC Percent Total [2] 19 8" xfId="22659"/>
    <cellStyle name="CALC Percent Total [2] 19 8 2" xfId="30955"/>
    <cellStyle name="CALC Percent Total [2] 19 8 2 2" xfId="47548"/>
    <cellStyle name="CALC Percent Total [2] 19 8 3" xfId="37964"/>
    <cellStyle name="CALC Percent Total [2] 19 8 4" xfId="47549"/>
    <cellStyle name="CALC Percent Total [2] 19 9" xfId="23601"/>
    <cellStyle name="CALC Percent Total [2] 19 9 2" xfId="47550"/>
    <cellStyle name="CALC Percent Total [2] 2" xfId="14475"/>
    <cellStyle name="CALC Percent Total [2] 2 10" xfId="14827"/>
    <cellStyle name="CALC Percent Total [2] 2 10 10" xfId="23191"/>
    <cellStyle name="CALC Percent Total [2] 2 10 10 2" xfId="47551"/>
    <cellStyle name="CALC Percent Total [2] 2 10 11" xfId="47552"/>
    <cellStyle name="CALC Percent Total [2] 2 10 12" xfId="47553"/>
    <cellStyle name="CALC Percent Total [2] 2 10 2" xfId="15908"/>
    <cellStyle name="CALC Percent Total [2] 2 10 2 2" xfId="24226"/>
    <cellStyle name="CALC Percent Total [2] 2 10 2 2 2" xfId="47554"/>
    <cellStyle name="CALC Percent Total [2] 2 10 2 3" xfId="31511"/>
    <cellStyle name="CALC Percent Total [2] 2 10 2 4" xfId="47555"/>
    <cellStyle name="CALC Percent Total [2] 2 10 3" xfId="16874"/>
    <cellStyle name="CALC Percent Total [2] 2 10 3 2" xfId="25198"/>
    <cellStyle name="CALC Percent Total [2] 2 10 3 2 2" xfId="47556"/>
    <cellStyle name="CALC Percent Total [2] 2 10 3 3" xfId="32444"/>
    <cellStyle name="CALC Percent Total [2] 2 10 3 4" xfId="47557"/>
    <cellStyle name="CALC Percent Total [2] 2 10 4" xfId="17901"/>
    <cellStyle name="CALC Percent Total [2] 2 10 4 2" xfId="26224"/>
    <cellStyle name="CALC Percent Total [2] 2 10 4 2 2" xfId="47558"/>
    <cellStyle name="CALC Percent Total [2] 2 10 4 3" xfId="33421"/>
    <cellStyle name="CALC Percent Total [2] 2 10 4 4" xfId="47559"/>
    <cellStyle name="CALC Percent Total [2] 2 10 5" xfId="18885"/>
    <cellStyle name="CALC Percent Total [2] 2 10 5 2" xfId="27205"/>
    <cellStyle name="CALC Percent Total [2] 2 10 5 2 2" xfId="47560"/>
    <cellStyle name="CALC Percent Total [2] 2 10 5 3" xfId="34361"/>
    <cellStyle name="CALC Percent Total [2] 2 10 5 4" xfId="47561"/>
    <cellStyle name="CALC Percent Total [2] 2 10 6" xfId="19853"/>
    <cellStyle name="CALC Percent Total [2] 2 10 6 2" xfId="28175"/>
    <cellStyle name="CALC Percent Total [2] 2 10 6 2 2" xfId="47562"/>
    <cellStyle name="CALC Percent Total [2] 2 10 6 3" xfId="35308"/>
    <cellStyle name="CALC Percent Total [2] 2 10 6 4" xfId="47563"/>
    <cellStyle name="CALC Percent Total [2] 2 10 7" xfId="20811"/>
    <cellStyle name="CALC Percent Total [2] 2 10 7 2" xfId="29131"/>
    <cellStyle name="CALC Percent Total [2] 2 10 7 2 2" xfId="47564"/>
    <cellStyle name="CALC Percent Total [2] 2 10 7 3" xfId="36219"/>
    <cellStyle name="CALC Percent Total [2] 2 10 7 4" xfId="47565"/>
    <cellStyle name="CALC Percent Total [2] 2 10 8" xfId="21081"/>
    <cellStyle name="CALC Percent Total [2] 2 10 8 2" xfId="29398"/>
    <cellStyle name="CALC Percent Total [2] 2 10 8 2 2" xfId="47566"/>
    <cellStyle name="CALC Percent Total [2] 2 10 8 3" xfId="36474"/>
    <cellStyle name="CALC Percent Total [2] 2 10 8 4" xfId="47567"/>
    <cellStyle name="CALC Percent Total [2] 2 10 9" xfId="22246"/>
    <cellStyle name="CALC Percent Total [2] 2 10 9 2" xfId="30545"/>
    <cellStyle name="CALC Percent Total [2] 2 10 9 2 2" xfId="47568"/>
    <cellStyle name="CALC Percent Total [2] 2 10 9 3" xfId="37572"/>
    <cellStyle name="CALC Percent Total [2] 2 10 9 4" xfId="47569"/>
    <cellStyle name="CALC Percent Total [2] 2 11" xfId="14884"/>
    <cellStyle name="CALC Percent Total [2] 2 11 10" xfId="23247"/>
    <cellStyle name="CALC Percent Total [2] 2 11 10 2" xfId="47570"/>
    <cellStyle name="CALC Percent Total [2] 2 11 11" xfId="47571"/>
    <cellStyle name="CALC Percent Total [2] 2 11 12" xfId="47572"/>
    <cellStyle name="CALC Percent Total [2] 2 11 2" xfId="15965"/>
    <cellStyle name="CALC Percent Total [2] 2 11 2 2" xfId="24282"/>
    <cellStyle name="CALC Percent Total [2] 2 11 2 2 2" xfId="47573"/>
    <cellStyle name="CALC Percent Total [2] 2 11 2 3" xfId="31565"/>
    <cellStyle name="CALC Percent Total [2] 2 11 2 4" xfId="47574"/>
    <cellStyle name="CALC Percent Total [2] 2 11 3" xfId="16931"/>
    <cellStyle name="CALC Percent Total [2] 2 11 3 2" xfId="25254"/>
    <cellStyle name="CALC Percent Total [2] 2 11 3 2 2" xfId="47575"/>
    <cellStyle name="CALC Percent Total [2] 2 11 3 3" xfId="32498"/>
    <cellStyle name="CALC Percent Total [2] 2 11 3 4" xfId="47576"/>
    <cellStyle name="CALC Percent Total [2] 2 11 4" xfId="17958"/>
    <cellStyle name="CALC Percent Total [2] 2 11 4 2" xfId="26280"/>
    <cellStyle name="CALC Percent Total [2] 2 11 4 2 2" xfId="47577"/>
    <cellStyle name="CALC Percent Total [2] 2 11 4 3" xfId="33475"/>
    <cellStyle name="CALC Percent Total [2] 2 11 4 4" xfId="47578"/>
    <cellStyle name="CALC Percent Total [2] 2 11 5" xfId="18942"/>
    <cellStyle name="CALC Percent Total [2] 2 11 5 2" xfId="27262"/>
    <cellStyle name="CALC Percent Total [2] 2 11 5 2 2" xfId="47579"/>
    <cellStyle name="CALC Percent Total [2] 2 11 5 3" xfId="34416"/>
    <cellStyle name="CALC Percent Total [2] 2 11 5 4" xfId="47580"/>
    <cellStyle name="CALC Percent Total [2] 2 11 6" xfId="19910"/>
    <cellStyle name="CALC Percent Total [2] 2 11 6 2" xfId="28232"/>
    <cellStyle name="CALC Percent Total [2] 2 11 6 2 2" xfId="47581"/>
    <cellStyle name="CALC Percent Total [2] 2 11 6 3" xfId="35363"/>
    <cellStyle name="CALC Percent Total [2] 2 11 6 4" xfId="47582"/>
    <cellStyle name="CALC Percent Total [2] 2 11 7" xfId="20868"/>
    <cellStyle name="CALC Percent Total [2] 2 11 7 2" xfId="29187"/>
    <cellStyle name="CALC Percent Total [2] 2 11 7 2 2" xfId="47583"/>
    <cellStyle name="CALC Percent Total [2] 2 11 7 3" xfId="36273"/>
    <cellStyle name="CALC Percent Total [2] 2 11 7 4" xfId="47584"/>
    <cellStyle name="CALC Percent Total [2] 2 11 8" xfId="20505"/>
    <cellStyle name="CALC Percent Total [2] 2 11 8 2" xfId="28827"/>
    <cellStyle name="CALC Percent Total [2] 2 11 8 2 2" xfId="47585"/>
    <cellStyle name="CALC Percent Total [2] 2 11 8 3" xfId="35933"/>
    <cellStyle name="CALC Percent Total [2] 2 11 8 4" xfId="47586"/>
    <cellStyle name="CALC Percent Total [2] 2 11 9" xfId="22303"/>
    <cellStyle name="CALC Percent Total [2] 2 11 9 2" xfId="30601"/>
    <cellStyle name="CALC Percent Total [2] 2 11 9 2 2" xfId="47587"/>
    <cellStyle name="CALC Percent Total [2] 2 11 9 3" xfId="37626"/>
    <cellStyle name="CALC Percent Total [2] 2 11 9 4" xfId="47588"/>
    <cellStyle name="CALC Percent Total [2] 2 12" xfId="14900"/>
    <cellStyle name="CALC Percent Total [2] 2 12 10" xfId="23263"/>
    <cellStyle name="CALC Percent Total [2] 2 12 10 2" xfId="47589"/>
    <cellStyle name="CALC Percent Total [2] 2 12 11" xfId="47590"/>
    <cellStyle name="CALC Percent Total [2] 2 12 12" xfId="47591"/>
    <cellStyle name="CALC Percent Total [2] 2 12 2" xfId="15981"/>
    <cellStyle name="CALC Percent Total [2] 2 12 2 2" xfId="24298"/>
    <cellStyle name="CALC Percent Total [2] 2 12 2 2 2" xfId="47592"/>
    <cellStyle name="CALC Percent Total [2] 2 12 2 3" xfId="31579"/>
    <cellStyle name="CALC Percent Total [2] 2 12 2 4" xfId="47593"/>
    <cellStyle name="CALC Percent Total [2] 2 12 3" xfId="16947"/>
    <cellStyle name="CALC Percent Total [2] 2 12 3 2" xfId="25270"/>
    <cellStyle name="CALC Percent Total [2] 2 12 3 2 2" xfId="47594"/>
    <cellStyle name="CALC Percent Total [2] 2 12 3 3" xfId="32512"/>
    <cellStyle name="CALC Percent Total [2] 2 12 3 4" xfId="47595"/>
    <cellStyle name="CALC Percent Total [2] 2 12 4" xfId="17974"/>
    <cellStyle name="CALC Percent Total [2] 2 12 4 2" xfId="26296"/>
    <cellStyle name="CALC Percent Total [2] 2 12 4 2 2" xfId="47596"/>
    <cellStyle name="CALC Percent Total [2] 2 12 4 3" xfId="33489"/>
    <cellStyle name="CALC Percent Total [2] 2 12 4 4" xfId="47597"/>
    <cellStyle name="CALC Percent Total [2] 2 12 5" xfId="18958"/>
    <cellStyle name="CALC Percent Total [2] 2 12 5 2" xfId="27278"/>
    <cellStyle name="CALC Percent Total [2] 2 12 5 2 2" xfId="47598"/>
    <cellStyle name="CALC Percent Total [2] 2 12 5 3" xfId="34430"/>
    <cellStyle name="CALC Percent Total [2] 2 12 5 4" xfId="47599"/>
    <cellStyle name="CALC Percent Total [2] 2 12 6" xfId="19926"/>
    <cellStyle name="CALC Percent Total [2] 2 12 6 2" xfId="28248"/>
    <cellStyle name="CALC Percent Total [2] 2 12 6 2 2" xfId="47600"/>
    <cellStyle name="CALC Percent Total [2] 2 12 6 3" xfId="35377"/>
    <cellStyle name="CALC Percent Total [2] 2 12 6 4" xfId="47601"/>
    <cellStyle name="CALC Percent Total [2] 2 12 7" xfId="20884"/>
    <cellStyle name="CALC Percent Total [2] 2 12 7 2" xfId="29203"/>
    <cellStyle name="CALC Percent Total [2] 2 12 7 2 2" xfId="47602"/>
    <cellStyle name="CALC Percent Total [2] 2 12 7 3" xfId="36287"/>
    <cellStyle name="CALC Percent Total [2] 2 12 7 4" xfId="47603"/>
    <cellStyle name="CALC Percent Total [2] 2 12 8" xfId="21391"/>
    <cellStyle name="CALC Percent Total [2] 2 12 8 2" xfId="29694"/>
    <cellStyle name="CALC Percent Total [2] 2 12 8 2 2" xfId="47604"/>
    <cellStyle name="CALC Percent Total [2] 2 12 8 3" xfId="36757"/>
    <cellStyle name="CALC Percent Total [2] 2 12 8 4" xfId="47605"/>
    <cellStyle name="CALC Percent Total [2] 2 12 9" xfId="22319"/>
    <cellStyle name="CALC Percent Total [2] 2 12 9 2" xfId="30617"/>
    <cellStyle name="CALC Percent Total [2] 2 12 9 2 2" xfId="47606"/>
    <cellStyle name="CALC Percent Total [2] 2 12 9 3" xfId="37640"/>
    <cellStyle name="CALC Percent Total [2] 2 12 9 4" xfId="47607"/>
    <cellStyle name="CALC Percent Total [2] 2 13" xfId="14959"/>
    <cellStyle name="CALC Percent Total [2] 2 13 10" xfId="23321"/>
    <cellStyle name="CALC Percent Total [2] 2 13 10 2" xfId="47608"/>
    <cellStyle name="CALC Percent Total [2] 2 13 11" xfId="47609"/>
    <cellStyle name="CALC Percent Total [2] 2 13 12" xfId="47610"/>
    <cellStyle name="CALC Percent Total [2] 2 13 2" xfId="16040"/>
    <cellStyle name="CALC Percent Total [2] 2 13 2 2" xfId="24356"/>
    <cellStyle name="CALC Percent Total [2] 2 13 2 2 2" xfId="47611"/>
    <cellStyle name="CALC Percent Total [2] 2 13 2 3" xfId="31636"/>
    <cellStyle name="CALC Percent Total [2] 2 13 2 4" xfId="47612"/>
    <cellStyle name="CALC Percent Total [2] 2 13 3" xfId="17006"/>
    <cellStyle name="CALC Percent Total [2] 2 13 3 2" xfId="25328"/>
    <cellStyle name="CALC Percent Total [2] 2 13 3 2 2" xfId="47613"/>
    <cellStyle name="CALC Percent Total [2] 2 13 3 3" xfId="32569"/>
    <cellStyle name="CALC Percent Total [2] 2 13 3 4" xfId="47614"/>
    <cellStyle name="CALC Percent Total [2] 2 13 4" xfId="18033"/>
    <cellStyle name="CALC Percent Total [2] 2 13 4 2" xfId="26354"/>
    <cellStyle name="CALC Percent Total [2] 2 13 4 2 2" xfId="47615"/>
    <cellStyle name="CALC Percent Total [2] 2 13 4 3" xfId="33546"/>
    <cellStyle name="CALC Percent Total [2] 2 13 4 4" xfId="47616"/>
    <cellStyle name="CALC Percent Total [2] 2 13 5" xfId="19017"/>
    <cellStyle name="CALC Percent Total [2] 2 13 5 2" xfId="27337"/>
    <cellStyle name="CALC Percent Total [2] 2 13 5 2 2" xfId="47617"/>
    <cellStyle name="CALC Percent Total [2] 2 13 5 3" xfId="34488"/>
    <cellStyle name="CALC Percent Total [2] 2 13 5 4" xfId="47618"/>
    <cellStyle name="CALC Percent Total [2] 2 13 6" xfId="19985"/>
    <cellStyle name="CALC Percent Total [2] 2 13 6 2" xfId="28307"/>
    <cellStyle name="CALC Percent Total [2] 2 13 6 2 2" xfId="47619"/>
    <cellStyle name="CALC Percent Total [2] 2 13 6 3" xfId="35435"/>
    <cellStyle name="CALC Percent Total [2] 2 13 6 4" xfId="47620"/>
    <cellStyle name="CALC Percent Total [2] 2 13 7" xfId="20943"/>
    <cellStyle name="CALC Percent Total [2] 2 13 7 2" xfId="29261"/>
    <cellStyle name="CALC Percent Total [2] 2 13 7 2 2" xfId="47621"/>
    <cellStyle name="CALC Percent Total [2] 2 13 7 3" xfId="36344"/>
    <cellStyle name="CALC Percent Total [2] 2 13 7 4" xfId="47622"/>
    <cellStyle name="CALC Percent Total [2] 2 13 8" xfId="21450"/>
    <cellStyle name="CALC Percent Total [2] 2 13 8 2" xfId="29752"/>
    <cellStyle name="CALC Percent Total [2] 2 13 8 2 2" xfId="47623"/>
    <cellStyle name="CALC Percent Total [2] 2 13 8 3" xfId="36814"/>
    <cellStyle name="CALC Percent Total [2] 2 13 8 4" xfId="47624"/>
    <cellStyle name="CALC Percent Total [2] 2 13 9" xfId="22378"/>
    <cellStyle name="CALC Percent Total [2] 2 13 9 2" xfId="30675"/>
    <cellStyle name="CALC Percent Total [2] 2 13 9 2 2" xfId="47625"/>
    <cellStyle name="CALC Percent Total [2] 2 13 9 3" xfId="37697"/>
    <cellStyle name="CALC Percent Total [2] 2 13 9 4" xfId="47626"/>
    <cellStyle name="CALC Percent Total [2] 2 14" xfId="15035"/>
    <cellStyle name="CALC Percent Total [2] 2 14 10" xfId="23395"/>
    <cellStyle name="CALC Percent Total [2] 2 14 10 2" xfId="47627"/>
    <cellStyle name="CALC Percent Total [2] 2 14 11" xfId="47628"/>
    <cellStyle name="CALC Percent Total [2] 2 14 12" xfId="47629"/>
    <cellStyle name="CALC Percent Total [2] 2 14 2" xfId="16115"/>
    <cellStyle name="CALC Percent Total [2] 2 14 2 2" xfId="24430"/>
    <cellStyle name="CALC Percent Total [2] 2 14 2 2 2" xfId="47630"/>
    <cellStyle name="CALC Percent Total [2] 2 14 2 3" xfId="31708"/>
    <cellStyle name="CALC Percent Total [2] 2 14 2 4" xfId="47631"/>
    <cellStyle name="CALC Percent Total [2] 2 14 3" xfId="17082"/>
    <cellStyle name="CALC Percent Total [2] 2 14 3 2" xfId="25403"/>
    <cellStyle name="CALC Percent Total [2] 2 14 3 2 2" xfId="47632"/>
    <cellStyle name="CALC Percent Total [2] 2 14 3 3" xfId="32642"/>
    <cellStyle name="CALC Percent Total [2] 2 14 3 4" xfId="47633"/>
    <cellStyle name="CALC Percent Total [2] 2 14 4" xfId="18109"/>
    <cellStyle name="CALC Percent Total [2] 2 14 4 2" xfId="26429"/>
    <cellStyle name="CALC Percent Total [2] 2 14 4 2 2" xfId="47634"/>
    <cellStyle name="CALC Percent Total [2] 2 14 4 3" xfId="33619"/>
    <cellStyle name="CALC Percent Total [2] 2 14 4 4" xfId="47635"/>
    <cellStyle name="CALC Percent Total [2] 2 14 5" xfId="19093"/>
    <cellStyle name="CALC Percent Total [2] 2 14 5 2" xfId="27413"/>
    <cellStyle name="CALC Percent Total [2] 2 14 5 2 2" xfId="47636"/>
    <cellStyle name="CALC Percent Total [2] 2 14 5 3" xfId="34562"/>
    <cellStyle name="CALC Percent Total [2] 2 14 5 4" xfId="47637"/>
    <cellStyle name="CALC Percent Total [2] 2 14 6" xfId="20061"/>
    <cellStyle name="CALC Percent Total [2] 2 14 6 2" xfId="28383"/>
    <cellStyle name="CALC Percent Total [2] 2 14 6 2 2" xfId="47638"/>
    <cellStyle name="CALC Percent Total [2] 2 14 6 3" xfId="35509"/>
    <cellStyle name="CALC Percent Total [2] 2 14 6 4" xfId="47639"/>
    <cellStyle name="CALC Percent Total [2] 2 14 7" xfId="21018"/>
    <cellStyle name="CALC Percent Total [2] 2 14 7 2" xfId="29335"/>
    <cellStyle name="CALC Percent Total [2] 2 14 7 2 2" xfId="47640"/>
    <cellStyle name="CALC Percent Total [2] 2 14 7 3" xfId="36416"/>
    <cellStyle name="CALC Percent Total [2] 2 14 7 4" xfId="47641"/>
    <cellStyle name="CALC Percent Total [2] 2 14 8" xfId="21525"/>
    <cellStyle name="CALC Percent Total [2] 2 14 8 2" xfId="29826"/>
    <cellStyle name="CALC Percent Total [2] 2 14 8 2 2" xfId="47642"/>
    <cellStyle name="CALC Percent Total [2] 2 14 8 3" xfId="36886"/>
    <cellStyle name="CALC Percent Total [2] 2 14 8 4" xfId="47643"/>
    <cellStyle name="CALC Percent Total [2] 2 14 9" xfId="22453"/>
    <cellStyle name="CALC Percent Total [2] 2 14 9 2" xfId="30749"/>
    <cellStyle name="CALC Percent Total [2] 2 14 9 2 2" xfId="47644"/>
    <cellStyle name="CALC Percent Total [2] 2 14 9 3" xfId="37769"/>
    <cellStyle name="CALC Percent Total [2] 2 14 9 4" xfId="47645"/>
    <cellStyle name="CALC Percent Total [2] 2 15" xfId="15064"/>
    <cellStyle name="CALC Percent Total [2] 2 15 10" xfId="23424"/>
    <cellStyle name="CALC Percent Total [2] 2 15 10 2" xfId="47646"/>
    <cellStyle name="CALC Percent Total [2] 2 15 11" xfId="47647"/>
    <cellStyle name="CALC Percent Total [2] 2 15 12" xfId="47648"/>
    <cellStyle name="CALC Percent Total [2] 2 15 2" xfId="16144"/>
    <cellStyle name="CALC Percent Total [2] 2 15 2 2" xfId="24459"/>
    <cellStyle name="CALC Percent Total [2] 2 15 2 2 2" xfId="47649"/>
    <cellStyle name="CALC Percent Total [2] 2 15 2 3" xfId="31736"/>
    <cellStyle name="CALC Percent Total [2] 2 15 2 4" xfId="47650"/>
    <cellStyle name="CALC Percent Total [2] 2 15 3" xfId="17111"/>
    <cellStyle name="CALC Percent Total [2] 2 15 3 2" xfId="25432"/>
    <cellStyle name="CALC Percent Total [2] 2 15 3 2 2" xfId="47651"/>
    <cellStyle name="CALC Percent Total [2] 2 15 3 3" xfId="32670"/>
    <cellStyle name="CALC Percent Total [2] 2 15 3 4" xfId="47652"/>
    <cellStyle name="CALC Percent Total [2] 2 15 4" xfId="18138"/>
    <cellStyle name="CALC Percent Total [2] 2 15 4 2" xfId="26458"/>
    <cellStyle name="CALC Percent Total [2] 2 15 4 2 2" xfId="47653"/>
    <cellStyle name="CALC Percent Total [2] 2 15 4 3" xfId="33647"/>
    <cellStyle name="CALC Percent Total [2] 2 15 4 4" xfId="47654"/>
    <cellStyle name="CALC Percent Total [2] 2 15 5" xfId="19122"/>
    <cellStyle name="CALC Percent Total [2] 2 15 5 2" xfId="27442"/>
    <cellStyle name="CALC Percent Total [2] 2 15 5 2 2" xfId="47655"/>
    <cellStyle name="CALC Percent Total [2] 2 15 5 3" xfId="34590"/>
    <cellStyle name="CALC Percent Total [2] 2 15 5 4" xfId="47656"/>
    <cellStyle name="CALC Percent Total [2] 2 15 6" xfId="20090"/>
    <cellStyle name="CALC Percent Total [2] 2 15 6 2" xfId="28412"/>
    <cellStyle name="CALC Percent Total [2] 2 15 6 2 2" xfId="47657"/>
    <cellStyle name="CALC Percent Total [2] 2 15 6 3" xfId="35537"/>
    <cellStyle name="CALC Percent Total [2] 2 15 6 4" xfId="47658"/>
    <cellStyle name="CALC Percent Total [2] 2 15 7" xfId="21047"/>
    <cellStyle name="CALC Percent Total [2] 2 15 7 2" xfId="29364"/>
    <cellStyle name="CALC Percent Total [2] 2 15 7 2 2" xfId="47659"/>
    <cellStyle name="CALC Percent Total [2] 2 15 7 3" xfId="36444"/>
    <cellStyle name="CALC Percent Total [2] 2 15 7 4" xfId="47660"/>
    <cellStyle name="CALC Percent Total [2] 2 15 8" xfId="21554"/>
    <cellStyle name="CALC Percent Total [2] 2 15 8 2" xfId="29855"/>
    <cellStyle name="CALC Percent Total [2] 2 15 8 2 2" xfId="47661"/>
    <cellStyle name="CALC Percent Total [2] 2 15 8 3" xfId="36914"/>
    <cellStyle name="CALC Percent Total [2] 2 15 8 4" xfId="47662"/>
    <cellStyle name="CALC Percent Total [2] 2 15 9" xfId="22482"/>
    <cellStyle name="CALC Percent Total [2] 2 15 9 2" xfId="30778"/>
    <cellStyle name="CALC Percent Total [2] 2 15 9 2 2" xfId="47663"/>
    <cellStyle name="CALC Percent Total [2] 2 15 9 3" xfId="37797"/>
    <cellStyle name="CALC Percent Total [2] 2 15 9 4" xfId="47664"/>
    <cellStyle name="CALC Percent Total [2] 2 16" xfId="15149"/>
    <cellStyle name="CALC Percent Total [2] 2 16 10" xfId="47665"/>
    <cellStyle name="CALC Percent Total [2] 2 16 11" xfId="47666"/>
    <cellStyle name="CALC Percent Total [2] 2 16 2" xfId="16229"/>
    <cellStyle name="CALC Percent Total [2] 2 16 2 2" xfId="24542"/>
    <cellStyle name="CALC Percent Total [2] 2 16 2 2 2" xfId="47667"/>
    <cellStyle name="CALC Percent Total [2] 2 16 2 3" xfId="31817"/>
    <cellStyle name="CALC Percent Total [2] 2 16 2 4" xfId="47668"/>
    <cellStyle name="CALC Percent Total [2] 2 16 3" xfId="17195"/>
    <cellStyle name="CALC Percent Total [2] 2 16 3 2" xfId="25516"/>
    <cellStyle name="CALC Percent Total [2] 2 16 3 2 2" xfId="47669"/>
    <cellStyle name="CALC Percent Total [2] 2 16 3 3" xfId="32750"/>
    <cellStyle name="CALC Percent Total [2] 2 16 3 4" xfId="47670"/>
    <cellStyle name="CALC Percent Total [2] 2 16 4" xfId="18223"/>
    <cellStyle name="CALC Percent Total [2] 2 16 4 2" xfId="26543"/>
    <cellStyle name="CALC Percent Total [2] 2 16 4 2 2" xfId="47671"/>
    <cellStyle name="CALC Percent Total [2] 2 16 4 3" xfId="33728"/>
    <cellStyle name="CALC Percent Total [2] 2 16 4 4" xfId="47672"/>
    <cellStyle name="CALC Percent Total [2] 2 16 5" xfId="19207"/>
    <cellStyle name="CALC Percent Total [2] 2 16 5 2" xfId="27527"/>
    <cellStyle name="CALC Percent Total [2] 2 16 5 2 2" xfId="47673"/>
    <cellStyle name="CALC Percent Total [2] 2 16 5 3" xfId="34675"/>
    <cellStyle name="CALC Percent Total [2] 2 16 5 4" xfId="47674"/>
    <cellStyle name="CALC Percent Total [2] 2 16 6" xfId="20175"/>
    <cellStyle name="CALC Percent Total [2] 2 16 6 2" xfId="28497"/>
    <cellStyle name="CALC Percent Total [2] 2 16 6 2 2" xfId="47675"/>
    <cellStyle name="CALC Percent Total [2] 2 16 6 3" xfId="35620"/>
    <cellStyle name="CALC Percent Total [2] 2 16 6 4" xfId="47676"/>
    <cellStyle name="CALC Percent Total [2] 2 16 7" xfId="21636"/>
    <cellStyle name="CALC Percent Total [2] 2 16 7 2" xfId="29937"/>
    <cellStyle name="CALC Percent Total [2] 2 16 7 2 2" xfId="47677"/>
    <cellStyle name="CALC Percent Total [2] 2 16 7 3" xfId="36994"/>
    <cellStyle name="CALC Percent Total [2] 2 16 7 4" xfId="47678"/>
    <cellStyle name="CALC Percent Total [2] 2 16 8" xfId="22564"/>
    <cellStyle name="CALC Percent Total [2] 2 16 8 2" xfId="30860"/>
    <cellStyle name="CALC Percent Total [2] 2 16 8 2 2" xfId="47679"/>
    <cellStyle name="CALC Percent Total [2] 2 16 8 3" xfId="37877"/>
    <cellStyle name="CALC Percent Total [2] 2 16 8 4" xfId="47680"/>
    <cellStyle name="CALC Percent Total [2] 2 16 9" xfId="23506"/>
    <cellStyle name="CALC Percent Total [2] 2 16 9 2" xfId="47681"/>
    <cellStyle name="CALC Percent Total [2] 2 17" xfId="15169"/>
    <cellStyle name="CALC Percent Total [2] 2 17 10" xfId="47682"/>
    <cellStyle name="CALC Percent Total [2] 2 17 11" xfId="47683"/>
    <cellStyle name="CALC Percent Total [2] 2 17 2" xfId="16249"/>
    <cellStyle name="CALC Percent Total [2] 2 17 2 2" xfId="24562"/>
    <cellStyle name="CALC Percent Total [2] 2 17 2 2 2" xfId="47684"/>
    <cellStyle name="CALC Percent Total [2] 2 17 2 3" xfId="31835"/>
    <cellStyle name="CALC Percent Total [2] 2 17 2 4" xfId="47685"/>
    <cellStyle name="CALC Percent Total [2] 2 17 3" xfId="17215"/>
    <cellStyle name="CALC Percent Total [2] 2 17 3 2" xfId="25536"/>
    <cellStyle name="CALC Percent Total [2] 2 17 3 2 2" xfId="47686"/>
    <cellStyle name="CALC Percent Total [2] 2 17 3 3" xfId="32768"/>
    <cellStyle name="CALC Percent Total [2] 2 17 3 4" xfId="47687"/>
    <cellStyle name="CALC Percent Total [2] 2 17 4" xfId="18243"/>
    <cellStyle name="CALC Percent Total [2] 2 17 4 2" xfId="26563"/>
    <cellStyle name="CALC Percent Total [2] 2 17 4 2 2" xfId="47688"/>
    <cellStyle name="CALC Percent Total [2] 2 17 4 3" xfId="33746"/>
    <cellStyle name="CALC Percent Total [2] 2 17 4 4" xfId="47689"/>
    <cellStyle name="CALC Percent Total [2] 2 17 5" xfId="19227"/>
    <cellStyle name="CALC Percent Total [2] 2 17 5 2" xfId="27547"/>
    <cellStyle name="CALC Percent Total [2] 2 17 5 2 2" xfId="47690"/>
    <cellStyle name="CALC Percent Total [2] 2 17 5 3" xfId="34695"/>
    <cellStyle name="CALC Percent Total [2] 2 17 5 4" xfId="47691"/>
    <cellStyle name="CALC Percent Total [2] 2 17 6" xfId="20195"/>
    <cellStyle name="CALC Percent Total [2] 2 17 6 2" xfId="28517"/>
    <cellStyle name="CALC Percent Total [2] 2 17 6 2 2" xfId="47692"/>
    <cellStyle name="CALC Percent Total [2] 2 17 6 3" xfId="35638"/>
    <cellStyle name="CALC Percent Total [2] 2 17 6 4" xfId="47693"/>
    <cellStyle name="CALC Percent Total [2] 2 17 7" xfId="21656"/>
    <cellStyle name="CALC Percent Total [2] 2 17 7 2" xfId="29957"/>
    <cellStyle name="CALC Percent Total [2] 2 17 7 2 2" xfId="47694"/>
    <cellStyle name="CALC Percent Total [2] 2 17 7 3" xfId="37012"/>
    <cellStyle name="CALC Percent Total [2] 2 17 7 4" xfId="47695"/>
    <cellStyle name="CALC Percent Total [2] 2 17 8" xfId="22584"/>
    <cellStyle name="CALC Percent Total [2] 2 17 8 2" xfId="30880"/>
    <cellStyle name="CALC Percent Total [2] 2 17 8 2 2" xfId="47696"/>
    <cellStyle name="CALC Percent Total [2] 2 17 8 3" xfId="37895"/>
    <cellStyle name="CALC Percent Total [2] 2 17 8 4" xfId="47697"/>
    <cellStyle name="CALC Percent Total [2] 2 17 9" xfId="23526"/>
    <cellStyle name="CALC Percent Total [2] 2 17 9 2" xfId="47698"/>
    <cellStyle name="CALC Percent Total [2] 2 18" xfId="15191"/>
    <cellStyle name="CALC Percent Total [2] 2 18 10" xfId="47699"/>
    <cellStyle name="CALC Percent Total [2] 2 18 11" xfId="47700"/>
    <cellStyle name="CALC Percent Total [2] 2 18 2" xfId="16271"/>
    <cellStyle name="CALC Percent Total [2] 2 18 2 2" xfId="24584"/>
    <cellStyle name="CALC Percent Total [2] 2 18 2 2 2" xfId="47701"/>
    <cellStyle name="CALC Percent Total [2] 2 18 2 3" xfId="31856"/>
    <cellStyle name="CALC Percent Total [2] 2 18 2 4" xfId="47702"/>
    <cellStyle name="CALC Percent Total [2] 2 18 3" xfId="17237"/>
    <cellStyle name="CALC Percent Total [2] 2 18 3 2" xfId="25558"/>
    <cellStyle name="CALC Percent Total [2] 2 18 3 2 2" xfId="47703"/>
    <cellStyle name="CALC Percent Total [2] 2 18 3 3" xfId="32789"/>
    <cellStyle name="CALC Percent Total [2] 2 18 3 4" xfId="47704"/>
    <cellStyle name="CALC Percent Total [2] 2 18 4" xfId="18265"/>
    <cellStyle name="CALC Percent Total [2] 2 18 4 2" xfId="26585"/>
    <cellStyle name="CALC Percent Total [2] 2 18 4 2 2" xfId="47705"/>
    <cellStyle name="CALC Percent Total [2] 2 18 4 3" xfId="33767"/>
    <cellStyle name="CALC Percent Total [2] 2 18 4 4" xfId="47706"/>
    <cellStyle name="CALC Percent Total [2] 2 18 5" xfId="19249"/>
    <cellStyle name="CALC Percent Total [2] 2 18 5 2" xfId="27569"/>
    <cellStyle name="CALC Percent Total [2] 2 18 5 2 2" xfId="47707"/>
    <cellStyle name="CALC Percent Total [2] 2 18 5 3" xfId="34717"/>
    <cellStyle name="CALC Percent Total [2] 2 18 5 4" xfId="47708"/>
    <cellStyle name="CALC Percent Total [2] 2 18 6" xfId="20217"/>
    <cellStyle name="CALC Percent Total [2] 2 18 6 2" xfId="28539"/>
    <cellStyle name="CALC Percent Total [2] 2 18 6 2 2" xfId="47709"/>
    <cellStyle name="CALC Percent Total [2] 2 18 6 3" xfId="35659"/>
    <cellStyle name="CALC Percent Total [2] 2 18 6 4" xfId="47710"/>
    <cellStyle name="CALC Percent Total [2] 2 18 7" xfId="21678"/>
    <cellStyle name="CALC Percent Total [2] 2 18 7 2" xfId="29979"/>
    <cellStyle name="CALC Percent Total [2] 2 18 7 2 2" xfId="47711"/>
    <cellStyle name="CALC Percent Total [2] 2 18 7 3" xfId="37033"/>
    <cellStyle name="CALC Percent Total [2] 2 18 7 4" xfId="47712"/>
    <cellStyle name="CALC Percent Total [2] 2 18 8" xfId="22606"/>
    <cellStyle name="CALC Percent Total [2] 2 18 8 2" xfId="30902"/>
    <cellStyle name="CALC Percent Total [2] 2 18 8 2 2" xfId="47713"/>
    <cellStyle name="CALC Percent Total [2] 2 18 8 3" xfId="37916"/>
    <cellStyle name="CALC Percent Total [2] 2 18 8 4" xfId="47714"/>
    <cellStyle name="CALC Percent Total [2] 2 18 9" xfId="23548"/>
    <cellStyle name="CALC Percent Total [2] 2 18 9 2" xfId="47715"/>
    <cellStyle name="CALC Percent Total [2] 2 19" xfId="15207"/>
    <cellStyle name="CALC Percent Total [2] 2 19 10" xfId="47716"/>
    <cellStyle name="CALC Percent Total [2] 2 19 11" xfId="47717"/>
    <cellStyle name="CALC Percent Total [2] 2 19 2" xfId="16287"/>
    <cellStyle name="CALC Percent Total [2] 2 19 2 2" xfId="24600"/>
    <cellStyle name="CALC Percent Total [2] 2 19 2 2 2" xfId="47718"/>
    <cellStyle name="CALC Percent Total [2] 2 19 2 3" xfId="31870"/>
    <cellStyle name="CALC Percent Total [2] 2 19 2 4" xfId="47719"/>
    <cellStyle name="CALC Percent Total [2] 2 19 3" xfId="17253"/>
    <cellStyle name="CALC Percent Total [2] 2 19 3 2" xfId="25574"/>
    <cellStyle name="CALC Percent Total [2] 2 19 3 2 2" xfId="47720"/>
    <cellStyle name="CALC Percent Total [2] 2 19 3 3" xfId="32803"/>
    <cellStyle name="CALC Percent Total [2] 2 19 3 4" xfId="47721"/>
    <cellStyle name="CALC Percent Total [2] 2 19 4" xfId="18281"/>
    <cellStyle name="CALC Percent Total [2] 2 19 4 2" xfId="26601"/>
    <cellStyle name="CALC Percent Total [2] 2 19 4 2 2" xfId="47722"/>
    <cellStyle name="CALC Percent Total [2] 2 19 4 3" xfId="33781"/>
    <cellStyle name="CALC Percent Total [2] 2 19 4 4" xfId="47723"/>
    <cellStyle name="CALC Percent Total [2] 2 19 5" xfId="19265"/>
    <cellStyle name="CALC Percent Total [2] 2 19 5 2" xfId="27585"/>
    <cellStyle name="CALC Percent Total [2] 2 19 5 2 2" xfId="47724"/>
    <cellStyle name="CALC Percent Total [2] 2 19 5 3" xfId="34733"/>
    <cellStyle name="CALC Percent Total [2] 2 19 5 4" xfId="47725"/>
    <cellStyle name="CALC Percent Total [2] 2 19 6" xfId="20233"/>
    <cellStyle name="CALC Percent Total [2] 2 19 6 2" xfId="28555"/>
    <cellStyle name="CALC Percent Total [2] 2 19 6 2 2" xfId="47726"/>
    <cellStyle name="CALC Percent Total [2] 2 19 6 3" xfId="35673"/>
    <cellStyle name="CALC Percent Total [2] 2 19 6 4" xfId="47727"/>
    <cellStyle name="CALC Percent Total [2] 2 19 7" xfId="21694"/>
    <cellStyle name="CALC Percent Total [2] 2 19 7 2" xfId="29995"/>
    <cellStyle name="CALC Percent Total [2] 2 19 7 2 2" xfId="47728"/>
    <cellStyle name="CALC Percent Total [2] 2 19 7 3" xfId="37047"/>
    <cellStyle name="CALC Percent Total [2] 2 19 7 4" xfId="47729"/>
    <cellStyle name="CALC Percent Total [2] 2 19 8" xfId="22622"/>
    <cellStyle name="CALC Percent Total [2] 2 19 8 2" xfId="30918"/>
    <cellStyle name="CALC Percent Total [2] 2 19 8 2 2" xfId="47730"/>
    <cellStyle name="CALC Percent Total [2] 2 19 8 3" xfId="37930"/>
    <cellStyle name="CALC Percent Total [2] 2 19 8 4" xfId="47731"/>
    <cellStyle name="CALC Percent Total [2] 2 19 9" xfId="23564"/>
    <cellStyle name="CALC Percent Total [2] 2 19 9 2" xfId="47732"/>
    <cellStyle name="CALC Percent Total [2] 2 2" xfId="14522"/>
    <cellStyle name="CALC Percent Total [2] 2 2 2" xfId="15584"/>
    <cellStyle name="CALC Percent Total [2] 2 2 2 2" xfId="47733"/>
    <cellStyle name="CALC Percent Total [2] 2 2 2 2 2" xfId="47734"/>
    <cellStyle name="CALC Percent Total [2] 2 2 3" xfId="23896"/>
    <cellStyle name="CALC Percent Total [2] 2 2 3 2" xfId="47735"/>
    <cellStyle name="CALC Percent Total [2] 2 20" xfId="15272"/>
    <cellStyle name="CALC Percent Total [2] 2 20 10" xfId="47736"/>
    <cellStyle name="CALC Percent Total [2] 2 20 11" xfId="47737"/>
    <cellStyle name="CALC Percent Total [2] 2 20 2" xfId="16352"/>
    <cellStyle name="CALC Percent Total [2] 2 20 2 2" xfId="24665"/>
    <cellStyle name="CALC Percent Total [2] 2 20 2 2 2" xfId="47738"/>
    <cellStyle name="CALC Percent Total [2] 2 20 2 3" xfId="31932"/>
    <cellStyle name="CALC Percent Total [2] 2 20 2 4" xfId="47739"/>
    <cellStyle name="CALC Percent Total [2] 2 20 3" xfId="17318"/>
    <cellStyle name="CALC Percent Total [2] 2 20 3 2" xfId="25639"/>
    <cellStyle name="CALC Percent Total [2] 2 20 3 2 2" xfId="47740"/>
    <cellStyle name="CALC Percent Total [2] 2 20 3 3" xfId="32865"/>
    <cellStyle name="CALC Percent Total [2] 2 20 3 4" xfId="47741"/>
    <cellStyle name="CALC Percent Total [2] 2 20 4" xfId="18346"/>
    <cellStyle name="CALC Percent Total [2] 2 20 4 2" xfId="26666"/>
    <cellStyle name="CALC Percent Total [2] 2 20 4 2 2" xfId="47742"/>
    <cellStyle name="CALC Percent Total [2] 2 20 4 3" xfId="33843"/>
    <cellStyle name="CALC Percent Total [2] 2 20 4 4" xfId="47743"/>
    <cellStyle name="CALC Percent Total [2] 2 20 5" xfId="19330"/>
    <cellStyle name="CALC Percent Total [2] 2 20 5 2" xfId="27650"/>
    <cellStyle name="CALC Percent Total [2] 2 20 5 2 2" xfId="47744"/>
    <cellStyle name="CALC Percent Total [2] 2 20 5 3" xfId="34798"/>
    <cellStyle name="CALC Percent Total [2] 2 20 5 4" xfId="47745"/>
    <cellStyle name="CALC Percent Total [2] 2 20 6" xfId="20298"/>
    <cellStyle name="CALC Percent Total [2] 2 20 6 2" xfId="28620"/>
    <cellStyle name="CALC Percent Total [2] 2 20 6 2 2" xfId="47746"/>
    <cellStyle name="CALC Percent Total [2] 2 20 6 3" xfId="35735"/>
    <cellStyle name="CALC Percent Total [2] 2 20 6 4" xfId="47747"/>
    <cellStyle name="CALC Percent Total [2] 2 20 7" xfId="21759"/>
    <cellStyle name="CALC Percent Total [2] 2 20 7 2" xfId="30060"/>
    <cellStyle name="CALC Percent Total [2] 2 20 7 2 2" xfId="47748"/>
    <cellStyle name="CALC Percent Total [2] 2 20 7 3" xfId="37109"/>
    <cellStyle name="CALC Percent Total [2] 2 20 7 4" xfId="47749"/>
    <cellStyle name="CALC Percent Total [2] 2 20 8" xfId="22687"/>
    <cellStyle name="CALC Percent Total [2] 2 20 8 2" xfId="30983"/>
    <cellStyle name="CALC Percent Total [2] 2 20 8 2 2" xfId="47750"/>
    <cellStyle name="CALC Percent Total [2] 2 20 8 3" xfId="37992"/>
    <cellStyle name="CALC Percent Total [2] 2 20 8 4" xfId="47751"/>
    <cellStyle name="CALC Percent Total [2] 2 20 9" xfId="23629"/>
    <cellStyle name="CALC Percent Total [2] 2 20 9 2" xfId="47752"/>
    <cellStyle name="CALC Percent Total [2] 2 21" xfId="15288"/>
    <cellStyle name="CALC Percent Total [2] 2 21 10" xfId="47753"/>
    <cellStyle name="CALC Percent Total [2] 2 21 11" xfId="47754"/>
    <cellStyle name="CALC Percent Total [2] 2 21 2" xfId="16368"/>
    <cellStyle name="CALC Percent Total [2] 2 21 2 2" xfId="24681"/>
    <cellStyle name="CALC Percent Total [2] 2 21 2 2 2" xfId="47755"/>
    <cellStyle name="CALC Percent Total [2] 2 21 2 3" xfId="31948"/>
    <cellStyle name="CALC Percent Total [2] 2 21 2 4" xfId="47756"/>
    <cellStyle name="CALC Percent Total [2] 2 21 3" xfId="17334"/>
    <cellStyle name="CALC Percent Total [2] 2 21 3 2" xfId="25655"/>
    <cellStyle name="CALC Percent Total [2] 2 21 3 2 2" xfId="47757"/>
    <cellStyle name="CALC Percent Total [2] 2 21 3 3" xfId="32881"/>
    <cellStyle name="CALC Percent Total [2] 2 21 3 4" xfId="47758"/>
    <cellStyle name="CALC Percent Total [2] 2 21 4" xfId="18362"/>
    <cellStyle name="CALC Percent Total [2] 2 21 4 2" xfId="26682"/>
    <cellStyle name="CALC Percent Total [2] 2 21 4 2 2" xfId="47759"/>
    <cellStyle name="CALC Percent Total [2] 2 21 4 3" xfId="33859"/>
    <cellStyle name="CALC Percent Total [2] 2 21 4 4" xfId="47760"/>
    <cellStyle name="CALC Percent Total [2] 2 21 5" xfId="19346"/>
    <cellStyle name="CALC Percent Total [2] 2 21 5 2" xfId="27666"/>
    <cellStyle name="CALC Percent Total [2] 2 21 5 2 2" xfId="47761"/>
    <cellStyle name="CALC Percent Total [2] 2 21 5 3" xfId="34814"/>
    <cellStyle name="CALC Percent Total [2] 2 21 5 4" xfId="47762"/>
    <cellStyle name="CALC Percent Total [2] 2 21 6" xfId="20314"/>
    <cellStyle name="CALC Percent Total [2] 2 21 6 2" xfId="28636"/>
    <cellStyle name="CALC Percent Total [2] 2 21 6 2 2" xfId="47763"/>
    <cellStyle name="CALC Percent Total [2] 2 21 6 3" xfId="35751"/>
    <cellStyle name="CALC Percent Total [2] 2 21 6 4" xfId="47764"/>
    <cellStyle name="CALC Percent Total [2] 2 21 7" xfId="21775"/>
    <cellStyle name="CALC Percent Total [2] 2 21 7 2" xfId="30076"/>
    <cellStyle name="CALC Percent Total [2] 2 21 7 2 2" xfId="47765"/>
    <cellStyle name="CALC Percent Total [2] 2 21 7 3" xfId="37125"/>
    <cellStyle name="CALC Percent Total [2] 2 21 7 4" xfId="47766"/>
    <cellStyle name="CALC Percent Total [2] 2 21 8" xfId="22703"/>
    <cellStyle name="CALC Percent Total [2] 2 21 8 2" xfId="30999"/>
    <cellStyle name="CALC Percent Total [2] 2 21 8 2 2" xfId="47767"/>
    <cellStyle name="CALC Percent Total [2] 2 21 8 3" xfId="38008"/>
    <cellStyle name="CALC Percent Total [2] 2 21 8 4" xfId="47768"/>
    <cellStyle name="CALC Percent Total [2] 2 21 9" xfId="23645"/>
    <cellStyle name="CALC Percent Total [2] 2 21 9 2" xfId="47769"/>
    <cellStyle name="CALC Percent Total [2] 2 22" xfId="15307"/>
    <cellStyle name="CALC Percent Total [2] 2 22 10" xfId="47770"/>
    <cellStyle name="CALC Percent Total [2] 2 22 11" xfId="47771"/>
    <cellStyle name="CALC Percent Total [2] 2 22 2" xfId="16387"/>
    <cellStyle name="CALC Percent Total [2] 2 22 2 2" xfId="24700"/>
    <cellStyle name="CALC Percent Total [2] 2 22 2 2 2" xfId="47772"/>
    <cellStyle name="CALC Percent Total [2] 2 22 2 3" xfId="31966"/>
    <cellStyle name="CALC Percent Total [2] 2 22 2 4" xfId="47773"/>
    <cellStyle name="CALC Percent Total [2] 2 22 3" xfId="17353"/>
    <cellStyle name="CALC Percent Total [2] 2 22 3 2" xfId="25674"/>
    <cellStyle name="CALC Percent Total [2] 2 22 3 2 2" xfId="47774"/>
    <cellStyle name="CALC Percent Total [2] 2 22 3 3" xfId="32899"/>
    <cellStyle name="CALC Percent Total [2] 2 22 3 4" xfId="47775"/>
    <cellStyle name="CALC Percent Total [2] 2 22 4" xfId="18381"/>
    <cellStyle name="CALC Percent Total [2] 2 22 4 2" xfId="26701"/>
    <cellStyle name="CALC Percent Total [2] 2 22 4 2 2" xfId="47776"/>
    <cellStyle name="CALC Percent Total [2] 2 22 4 3" xfId="33877"/>
    <cellStyle name="CALC Percent Total [2] 2 22 4 4" xfId="47777"/>
    <cellStyle name="CALC Percent Total [2] 2 22 5" xfId="19364"/>
    <cellStyle name="CALC Percent Total [2] 2 22 5 2" xfId="27685"/>
    <cellStyle name="CALC Percent Total [2] 2 22 5 2 2" xfId="47778"/>
    <cellStyle name="CALC Percent Total [2] 2 22 5 3" xfId="34833"/>
    <cellStyle name="CALC Percent Total [2] 2 22 5 4" xfId="47779"/>
    <cellStyle name="CALC Percent Total [2] 2 22 6" xfId="20333"/>
    <cellStyle name="CALC Percent Total [2] 2 22 6 2" xfId="28655"/>
    <cellStyle name="CALC Percent Total [2] 2 22 6 2 2" xfId="47780"/>
    <cellStyle name="CALC Percent Total [2] 2 22 6 3" xfId="35769"/>
    <cellStyle name="CALC Percent Total [2] 2 22 6 4" xfId="47781"/>
    <cellStyle name="CALC Percent Total [2] 2 22 7" xfId="21794"/>
    <cellStyle name="CALC Percent Total [2] 2 22 7 2" xfId="30095"/>
    <cellStyle name="CALC Percent Total [2] 2 22 7 2 2" xfId="47782"/>
    <cellStyle name="CALC Percent Total [2] 2 22 7 3" xfId="37143"/>
    <cellStyle name="CALC Percent Total [2] 2 22 7 4" xfId="47783"/>
    <cellStyle name="CALC Percent Total [2] 2 22 8" xfId="22722"/>
    <cellStyle name="CALC Percent Total [2] 2 22 8 2" xfId="31018"/>
    <cellStyle name="CALC Percent Total [2] 2 22 8 2 2" xfId="47784"/>
    <cellStyle name="CALC Percent Total [2] 2 22 8 3" xfId="38026"/>
    <cellStyle name="CALC Percent Total [2] 2 22 8 4" xfId="47785"/>
    <cellStyle name="CALC Percent Total [2] 2 22 9" xfId="23664"/>
    <cellStyle name="CALC Percent Total [2] 2 22 9 2" xfId="47786"/>
    <cellStyle name="CALC Percent Total [2] 2 23" xfId="15381"/>
    <cellStyle name="CALC Percent Total [2] 2 23 10" xfId="47787"/>
    <cellStyle name="CALC Percent Total [2] 2 23 11" xfId="47788"/>
    <cellStyle name="CALC Percent Total [2] 2 23 2" xfId="16461"/>
    <cellStyle name="CALC Percent Total [2] 2 23 2 2" xfId="24774"/>
    <cellStyle name="CALC Percent Total [2] 2 23 2 2 2" xfId="47789"/>
    <cellStyle name="CALC Percent Total [2] 2 23 2 3" xfId="32038"/>
    <cellStyle name="CALC Percent Total [2] 2 23 2 4" xfId="47790"/>
    <cellStyle name="CALC Percent Total [2] 2 23 3" xfId="17427"/>
    <cellStyle name="CALC Percent Total [2] 2 23 3 2" xfId="25748"/>
    <cellStyle name="CALC Percent Total [2] 2 23 3 2 2" xfId="47791"/>
    <cellStyle name="CALC Percent Total [2] 2 23 3 3" xfId="32971"/>
    <cellStyle name="CALC Percent Total [2] 2 23 3 4" xfId="47792"/>
    <cellStyle name="CALC Percent Total [2] 2 23 4" xfId="18455"/>
    <cellStyle name="CALC Percent Total [2] 2 23 4 2" xfId="26775"/>
    <cellStyle name="CALC Percent Total [2] 2 23 4 2 2" xfId="47793"/>
    <cellStyle name="CALC Percent Total [2] 2 23 4 3" xfId="33949"/>
    <cellStyle name="CALC Percent Total [2] 2 23 4 4" xfId="47794"/>
    <cellStyle name="CALC Percent Total [2] 2 23 5" xfId="19438"/>
    <cellStyle name="CALC Percent Total [2] 2 23 5 2" xfId="27759"/>
    <cellStyle name="CALC Percent Total [2] 2 23 5 2 2" xfId="47795"/>
    <cellStyle name="CALC Percent Total [2] 2 23 5 3" xfId="34907"/>
    <cellStyle name="CALC Percent Total [2] 2 23 5 4" xfId="47796"/>
    <cellStyle name="CALC Percent Total [2] 2 23 6" xfId="20407"/>
    <cellStyle name="CALC Percent Total [2] 2 23 6 2" xfId="28729"/>
    <cellStyle name="CALC Percent Total [2] 2 23 6 2 2" xfId="47797"/>
    <cellStyle name="CALC Percent Total [2] 2 23 6 3" xfId="35841"/>
    <cellStyle name="CALC Percent Total [2] 2 23 6 4" xfId="47798"/>
    <cellStyle name="CALC Percent Total [2] 2 23 7" xfId="21868"/>
    <cellStyle name="CALC Percent Total [2] 2 23 7 2" xfId="30169"/>
    <cellStyle name="CALC Percent Total [2] 2 23 7 2 2" xfId="47799"/>
    <cellStyle name="CALC Percent Total [2] 2 23 7 3" xfId="37214"/>
    <cellStyle name="CALC Percent Total [2] 2 23 7 4" xfId="47800"/>
    <cellStyle name="CALC Percent Total [2] 2 23 8" xfId="22796"/>
    <cellStyle name="CALC Percent Total [2] 2 23 8 2" xfId="31092"/>
    <cellStyle name="CALC Percent Total [2] 2 23 8 2 2" xfId="47801"/>
    <cellStyle name="CALC Percent Total [2] 2 23 8 3" xfId="38098"/>
    <cellStyle name="CALC Percent Total [2] 2 23 8 4" xfId="47802"/>
    <cellStyle name="CALC Percent Total [2] 2 23 9" xfId="23738"/>
    <cellStyle name="CALC Percent Total [2] 2 23 9 2" xfId="47803"/>
    <cellStyle name="CALC Percent Total [2] 2 24" xfId="15395"/>
    <cellStyle name="CALC Percent Total [2] 2 24 10" xfId="47804"/>
    <cellStyle name="CALC Percent Total [2] 2 24 11" xfId="47805"/>
    <cellStyle name="CALC Percent Total [2] 2 24 2" xfId="16475"/>
    <cellStyle name="CALC Percent Total [2] 2 24 2 2" xfId="24788"/>
    <cellStyle name="CALC Percent Total [2] 2 24 2 2 2" xfId="47806"/>
    <cellStyle name="CALC Percent Total [2] 2 24 2 3" xfId="32052"/>
    <cellStyle name="CALC Percent Total [2] 2 24 2 4" xfId="47807"/>
    <cellStyle name="CALC Percent Total [2] 2 24 3" xfId="17441"/>
    <cellStyle name="CALC Percent Total [2] 2 24 3 2" xfId="25762"/>
    <cellStyle name="CALC Percent Total [2] 2 24 3 2 2" xfId="47808"/>
    <cellStyle name="CALC Percent Total [2] 2 24 3 3" xfId="32985"/>
    <cellStyle name="CALC Percent Total [2] 2 24 3 4" xfId="47809"/>
    <cellStyle name="CALC Percent Total [2] 2 24 4" xfId="18469"/>
    <cellStyle name="CALC Percent Total [2] 2 24 4 2" xfId="26789"/>
    <cellStyle name="CALC Percent Total [2] 2 24 4 2 2" xfId="47810"/>
    <cellStyle name="CALC Percent Total [2] 2 24 4 3" xfId="33963"/>
    <cellStyle name="CALC Percent Total [2] 2 24 4 4" xfId="47811"/>
    <cellStyle name="CALC Percent Total [2] 2 24 5" xfId="19452"/>
    <cellStyle name="CALC Percent Total [2] 2 24 5 2" xfId="27773"/>
    <cellStyle name="CALC Percent Total [2] 2 24 5 2 2" xfId="47812"/>
    <cellStyle name="CALC Percent Total [2] 2 24 5 3" xfId="34921"/>
    <cellStyle name="CALC Percent Total [2] 2 24 5 4" xfId="47813"/>
    <cellStyle name="CALC Percent Total [2] 2 24 6" xfId="20421"/>
    <cellStyle name="CALC Percent Total [2] 2 24 6 2" xfId="28743"/>
    <cellStyle name="CALC Percent Total [2] 2 24 6 2 2" xfId="47814"/>
    <cellStyle name="CALC Percent Total [2] 2 24 6 3" xfId="35855"/>
    <cellStyle name="CALC Percent Total [2] 2 24 6 4" xfId="47815"/>
    <cellStyle name="CALC Percent Total [2] 2 24 7" xfId="21882"/>
    <cellStyle name="CALC Percent Total [2] 2 24 7 2" xfId="30183"/>
    <cellStyle name="CALC Percent Total [2] 2 24 7 2 2" xfId="47816"/>
    <cellStyle name="CALC Percent Total [2] 2 24 7 3" xfId="37228"/>
    <cellStyle name="CALC Percent Total [2] 2 24 7 4" xfId="47817"/>
    <cellStyle name="CALC Percent Total [2] 2 24 8" xfId="22810"/>
    <cellStyle name="CALC Percent Total [2] 2 24 8 2" xfId="31106"/>
    <cellStyle name="CALC Percent Total [2] 2 24 8 2 2" xfId="47818"/>
    <cellStyle name="CALC Percent Total [2] 2 24 8 3" xfId="38112"/>
    <cellStyle name="CALC Percent Total [2] 2 24 8 4" xfId="47819"/>
    <cellStyle name="CALC Percent Total [2] 2 24 9" xfId="23752"/>
    <cellStyle name="CALC Percent Total [2] 2 24 9 2" xfId="47820"/>
    <cellStyle name="CALC Percent Total [2] 2 25" xfId="15411"/>
    <cellStyle name="CALC Percent Total [2] 2 25 10" xfId="47821"/>
    <cellStyle name="CALC Percent Total [2] 2 25 11" xfId="47822"/>
    <cellStyle name="CALC Percent Total [2] 2 25 2" xfId="16491"/>
    <cellStyle name="CALC Percent Total [2] 2 25 2 2" xfId="24804"/>
    <cellStyle name="CALC Percent Total [2] 2 25 2 2 2" xfId="47823"/>
    <cellStyle name="CALC Percent Total [2] 2 25 2 3" xfId="32066"/>
    <cellStyle name="CALC Percent Total [2] 2 25 2 4" xfId="47824"/>
    <cellStyle name="CALC Percent Total [2] 2 25 3" xfId="17457"/>
    <cellStyle name="CALC Percent Total [2] 2 25 3 2" xfId="25778"/>
    <cellStyle name="CALC Percent Total [2] 2 25 3 2 2" xfId="47825"/>
    <cellStyle name="CALC Percent Total [2] 2 25 3 3" xfId="32999"/>
    <cellStyle name="CALC Percent Total [2] 2 25 3 4" xfId="47826"/>
    <cellStyle name="CALC Percent Total [2] 2 25 4" xfId="18485"/>
    <cellStyle name="CALC Percent Total [2] 2 25 4 2" xfId="26805"/>
    <cellStyle name="CALC Percent Total [2] 2 25 4 2 2" xfId="47827"/>
    <cellStyle name="CALC Percent Total [2] 2 25 4 3" xfId="33977"/>
    <cellStyle name="CALC Percent Total [2] 2 25 4 4" xfId="47828"/>
    <cellStyle name="CALC Percent Total [2] 2 25 5" xfId="19468"/>
    <cellStyle name="CALC Percent Total [2] 2 25 5 2" xfId="27789"/>
    <cellStyle name="CALC Percent Total [2] 2 25 5 2 2" xfId="47829"/>
    <cellStyle name="CALC Percent Total [2] 2 25 5 3" xfId="34937"/>
    <cellStyle name="CALC Percent Total [2] 2 25 5 4" xfId="47830"/>
    <cellStyle name="CALC Percent Total [2] 2 25 6" xfId="20437"/>
    <cellStyle name="CALC Percent Total [2] 2 25 6 2" xfId="28759"/>
    <cellStyle name="CALC Percent Total [2] 2 25 6 2 2" xfId="47831"/>
    <cellStyle name="CALC Percent Total [2] 2 25 6 3" xfId="35869"/>
    <cellStyle name="CALC Percent Total [2] 2 25 6 4" xfId="47832"/>
    <cellStyle name="CALC Percent Total [2] 2 25 7" xfId="21898"/>
    <cellStyle name="CALC Percent Total [2] 2 25 7 2" xfId="30199"/>
    <cellStyle name="CALC Percent Total [2] 2 25 7 2 2" xfId="47833"/>
    <cellStyle name="CALC Percent Total [2] 2 25 7 3" xfId="37242"/>
    <cellStyle name="CALC Percent Total [2] 2 25 7 4" xfId="47834"/>
    <cellStyle name="CALC Percent Total [2] 2 25 8" xfId="22826"/>
    <cellStyle name="CALC Percent Total [2] 2 25 8 2" xfId="31122"/>
    <cellStyle name="CALC Percent Total [2] 2 25 8 2 2" xfId="47835"/>
    <cellStyle name="CALC Percent Total [2] 2 25 8 3" xfId="38126"/>
    <cellStyle name="CALC Percent Total [2] 2 25 8 4" xfId="47836"/>
    <cellStyle name="CALC Percent Total [2] 2 25 9" xfId="23768"/>
    <cellStyle name="CALC Percent Total [2] 2 25 9 2" xfId="47837"/>
    <cellStyle name="CALC Percent Total [2] 2 26" xfId="15427"/>
    <cellStyle name="CALC Percent Total [2] 2 26 10" xfId="47838"/>
    <cellStyle name="CALC Percent Total [2] 2 26 11" xfId="47839"/>
    <cellStyle name="CALC Percent Total [2] 2 26 2" xfId="16507"/>
    <cellStyle name="CALC Percent Total [2] 2 26 2 2" xfId="24820"/>
    <cellStyle name="CALC Percent Total [2] 2 26 2 2 2" xfId="47840"/>
    <cellStyle name="CALC Percent Total [2] 2 26 2 3" xfId="32081"/>
    <cellStyle name="CALC Percent Total [2] 2 26 2 4" xfId="47841"/>
    <cellStyle name="CALC Percent Total [2] 2 26 3" xfId="17473"/>
    <cellStyle name="CALC Percent Total [2] 2 26 3 2" xfId="25794"/>
    <cellStyle name="CALC Percent Total [2] 2 26 3 2 2" xfId="47842"/>
    <cellStyle name="CALC Percent Total [2] 2 26 3 3" xfId="33014"/>
    <cellStyle name="CALC Percent Total [2] 2 26 3 4" xfId="47843"/>
    <cellStyle name="CALC Percent Total [2] 2 26 4" xfId="18501"/>
    <cellStyle name="CALC Percent Total [2] 2 26 4 2" xfId="26821"/>
    <cellStyle name="CALC Percent Total [2] 2 26 4 2 2" xfId="47844"/>
    <cellStyle name="CALC Percent Total [2] 2 26 4 3" xfId="33992"/>
    <cellStyle name="CALC Percent Total [2] 2 26 4 4" xfId="47845"/>
    <cellStyle name="CALC Percent Total [2] 2 26 5" xfId="19484"/>
    <cellStyle name="CALC Percent Total [2] 2 26 5 2" xfId="27805"/>
    <cellStyle name="CALC Percent Total [2] 2 26 5 2 2" xfId="47846"/>
    <cellStyle name="CALC Percent Total [2] 2 26 5 3" xfId="34953"/>
    <cellStyle name="CALC Percent Total [2] 2 26 5 4" xfId="47847"/>
    <cellStyle name="CALC Percent Total [2] 2 26 6" xfId="20453"/>
    <cellStyle name="CALC Percent Total [2] 2 26 6 2" xfId="28775"/>
    <cellStyle name="CALC Percent Total [2] 2 26 6 2 2" xfId="47848"/>
    <cellStyle name="CALC Percent Total [2] 2 26 6 3" xfId="35884"/>
    <cellStyle name="CALC Percent Total [2] 2 26 6 4" xfId="47849"/>
    <cellStyle name="CALC Percent Total [2] 2 26 7" xfId="21914"/>
    <cellStyle name="CALC Percent Total [2] 2 26 7 2" xfId="30215"/>
    <cellStyle name="CALC Percent Total [2] 2 26 7 2 2" xfId="47850"/>
    <cellStyle name="CALC Percent Total [2] 2 26 7 3" xfId="37257"/>
    <cellStyle name="CALC Percent Total [2] 2 26 7 4" xfId="47851"/>
    <cellStyle name="CALC Percent Total [2] 2 26 8" xfId="22842"/>
    <cellStyle name="CALC Percent Total [2] 2 26 8 2" xfId="31138"/>
    <cellStyle name="CALC Percent Total [2] 2 26 8 2 2" xfId="47852"/>
    <cellStyle name="CALC Percent Total [2] 2 26 8 3" xfId="38141"/>
    <cellStyle name="CALC Percent Total [2] 2 26 8 4" xfId="47853"/>
    <cellStyle name="CALC Percent Total [2] 2 26 9" xfId="23784"/>
    <cellStyle name="CALC Percent Total [2] 2 26 9 2" xfId="47854"/>
    <cellStyle name="CALC Percent Total [2] 2 27" xfId="15441"/>
    <cellStyle name="CALC Percent Total [2] 2 27 10" xfId="47855"/>
    <cellStyle name="CALC Percent Total [2] 2 27 11" xfId="47856"/>
    <cellStyle name="CALC Percent Total [2] 2 27 2" xfId="16521"/>
    <cellStyle name="CALC Percent Total [2] 2 27 2 2" xfId="24834"/>
    <cellStyle name="CALC Percent Total [2] 2 27 2 2 2" xfId="47857"/>
    <cellStyle name="CALC Percent Total [2] 2 27 2 3" xfId="32095"/>
    <cellStyle name="CALC Percent Total [2] 2 27 2 4" xfId="47858"/>
    <cellStyle name="CALC Percent Total [2] 2 27 3" xfId="17487"/>
    <cellStyle name="CALC Percent Total [2] 2 27 3 2" xfId="25808"/>
    <cellStyle name="CALC Percent Total [2] 2 27 3 2 2" xfId="47859"/>
    <cellStyle name="CALC Percent Total [2] 2 27 3 3" xfId="33028"/>
    <cellStyle name="CALC Percent Total [2] 2 27 3 4" xfId="47860"/>
    <cellStyle name="CALC Percent Total [2] 2 27 4" xfId="18515"/>
    <cellStyle name="CALC Percent Total [2] 2 27 4 2" xfId="26835"/>
    <cellStyle name="CALC Percent Total [2] 2 27 4 2 2" xfId="47861"/>
    <cellStyle name="CALC Percent Total [2] 2 27 4 3" xfId="34006"/>
    <cellStyle name="CALC Percent Total [2] 2 27 4 4" xfId="47862"/>
    <cellStyle name="CALC Percent Total [2] 2 27 5" xfId="19498"/>
    <cellStyle name="CALC Percent Total [2] 2 27 5 2" xfId="27819"/>
    <cellStyle name="CALC Percent Total [2] 2 27 5 2 2" xfId="47863"/>
    <cellStyle name="CALC Percent Total [2] 2 27 5 3" xfId="34967"/>
    <cellStyle name="CALC Percent Total [2] 2 27 5 4" xfId="47864"/>
    <cellStyle name="CALC Percent Total [2] 2 27 6" xfId="20467"/>
    <cellStyle name="CALC Percent Total [2] 2 27 6 2" xfId="28789"/>
    <cellStyle name="CALC Percent Total [2] 2 27 6 2 2" xfId="47865"/>
    <cellStyle name="CALC Percent Total [2] 2 27 6 3" xfId="35898"/>
    <cellStyle name="CALC Percent Total [2] 2 27 6 4" xfId="47866"/>
    <cellStyle name="CALC Percent Total [2] 2 27 7" xfId="21928"/>
    <cellStyle name="CALC Percent Total [2] 2 27 7 2" xfId="30229"/>
    <cellStyle name="CALC Percent Total [2] 2 27 7 2 2" xfId="47867"/>
    <cellStyle name="CALC Percent Total [2] 2 27 7 3" xfId="37271"/>
    <cellStyle name="CALC Percent Total [2] 2 27 7 4" xfId="47868"/>
    <cellStyle name="CALC Percent Total [2] 2 27 8" xfId="22856"/>
    <cellStyle name="CALC Percent Total [2] 2 27 8 2" xfId="31152"/>
    <cellStyle name="CALC Percent Total [2] 2 27 8 2 2" xfId="47869"/>
    <cellStyle name="CALC Percent Total [2] 2 27 8 3" xfId="38155"/>
    <cellStyle name="CALC Percent Total [2] 2 27 8 4" xfId="47870"/>
    <cellStyle name="CALC Percent Total [2] 2 27 9" xfId="23798"/>
    <cellStyle name="CALC Percent Total [2] 2 27 9 2" xfId="47871"/>
    <cellStyle name="CALC Percent Total [2] 2 28" xfId="15455"/>
    <cellStyle name="CALC Percent Total [2] 2 28 10" xfId="47872"/>
    <cellStyle name="CALC Percent Total [2] 2 28 11" xfId="47873"/>
    <cellStyle name="CALC Percent Total [2] 2 28 2" xfId="16535"/>
    <cellStyle name="CALC Percent Total [2] 2 28 2 2" xfId="24848"/>
    <cellStyle name="CALC Percent Total [2] 2 28 2 2 2" xfId="47874"/>
    <cellStyle name="CALC Percent Total [2] 2 28 2 3" xfId="32109"/>
    <cellStyle name="CALC Percent Total [2] 2 28 2 4" xfId="47875"/>
    <cellStyle name="CALC Percent Total [2] 2 28 3" xfId="17501"/>
    <cellStyle name="CALC Percent Total [2] 2 28 3 2" xfId="25822"/>
    <cellStyle name="CALC Percent Total [2] 2 28 3 2 2" xfId="47876"/>
    <cellStyle name="CALC Percent Total [2] 2 28 3 3" xfId="33042"/>
    <cellStyle name="CALC Percent Total [2] 2 28 3 4" xfId="47877"/>
    <cellStyle name="CALC Percent Total [2] 2 28 4" xfId="18529"/>
    <cellStyle name="CALC Percent Total [2] 2 28 4 2" xfId="26849"/>
    <cellStyle name="CALC Percent Total [2] 2 28 4 2 2" xfId="47878"/>
    <cellStyle name="CALC Percent Total [2] 2 28 4 3" xfId="34020"/>
    <cellStyle name="CALC Percent Total [2] 2 28 4 4" xfId="47879"/>
    <cellStyle name="CALC Percent Total [2] 2 28 5" xfId="19512"/>
    <cellStyle name="CALC Percent Total [2] 2 28 5 2" xfId="27833"/>
    <cellStyle name="CALC Percent Total [2] 2 28 5 2 2" xfId="47880"/>
    <cellStyle name="CALC Percent Total [2] 2 28 5 3" xfId="34981"/>
    <cellStyle name="CALC Percent Total [2] 2 28 5 4" xfId="47881"/>
    <cellStyle name="CALC Percent Total [2] 2 28 6" xfId="20481"/>
    <cellStyle name="CALC Percent Total [2] 2 28 6 2" xfId="28803"/>
    <cellStyle name="CALC Percent Total [2] 2 28 6 2 2" xfId="47882"/>
    <cellStyle name="CALC Percent Total [2] 2 28 6 3" xfId="35912"/>
    <cellStyle name="CALC Percent Total [2] 2 28 6 4" xfId="47883"/>
    <cellStyle name="CALC Percent Total [2] 2 28 7" xfId="21942"/>
    <cellStyle name="CALC Percent Total [2] 2 28 7 2" xfId="30243"/>
    <cellStyle name="CALC Percent Total [2] 2 28 7 2 2" xfId="47884"/>
    <cellStyle name="CALC Percent Total [2] 2 28 7 3" xfId="37285"/>
    <cellStyle name="CALC Percent Total [2] 2 28 7 4" xfId="47885"/>
    <cellStyle name="CALC Percent Total [2] 2 28 8" xfId="22870"/>
    <cellStyle name="CALC Percent Total [2] 2 28 8 2" xfId="31166"/>
    <cellStyle name="CALC Percent Total [2] 2 28 8 2 2" xfId="47886"/>
    <cellStyle name="CALC Percent Total [2] 2 28 8 3" xfId="38169"/>
    <cellStyle name="CALC Percent Total [2] 2 28 8 4" xfId="47887"/>
    <cellStyle name="CALC Percent Total [2] 2 28 9" xfId="23812"/>
    <cellStyle name="CALC Percent Total [2] 2 28 9 2" xfId="47888"/>
    <cellStyle name="CALC Percent Total [2] 2 29" xfId="15487"/>
    <cellStyle name="CALC Percent Total [2] 2 29 2" xfId="17533"/>
    <cellStyle name="CALC Percent Total [2] 2 29 2 2" xfId="25853"/>
    <cellStyle name="CALC Percent Total [2] 2 29 2 2 2" xfId="47889"/>
    <cellStyle name="CALC Percent Total [2] 2 29 2 3" xfId="33071"/>
    <cellStyle name="CALC Percent Total [2] 2 29 2 4" xfId="47890"/>
    <cellStyle name="CALC Percent Total [2] 2 29 3" xfId="19544"/>
    <cellStyle name="CALC Percent Total [2] 2 29 3 2" xfId="27865"/>
    <cellStyle name="CALC Percent Total [2] 2 29 3 2 2" xfId="47891"/>
    <cellStyle name="CALC Percent Total [2] 2 29 3 3" xfId="35013"/>
    <cellStyle name="CALC Percent Total [2] 2 29 3 4" xfId="47892"/>
    <cellStyle name="CALC Percent Total [2] 2 29 4" xfId="47893"/>
    <cellStyle name="CALC Percent Total [2] 2 29 4 2" xfId="47894"/>
    <cellStyle name="CALC Percent Total [2] 2 3" xfId="14523"/>
    <cellStyle name="CALC Percent Total [2] 2 3 2" xfId="15585"/>
    <cellStyle name="CALC Percent Total [2] 2 3 2 2" xfId="47895"/>
    <cellStyle name="CALC Percent Total [2] 2 3 2 2 2" xfId="47896"/>
    <cellStyle name="CALC Percent Total [2] 2 3 3" xfId="14447"/>
    <cellStyle name="CALC Percent Total [2] 2 3 3 2" xfId="47897"/>
    <cellStyle name="CALC Percent Total [2] 2 30" xfId="47898"/>
    <cellStyle name="CALC Percent Total [2] 2 30 2" xfId="47899"/>
    <cellStyle name="CALC Percent Total [2] 2 4" xfId="14548"/>
    <cellStyle name="CALC Percent Total [2] 2 4 2" xfId="15627"/>
    <cellStyle name="CALC Percent Total [2] 2 4 2 2" xfId="23941"/>
    <cellStyle name="CALC Percent Total [2] 2 4 2 2 2" xfId="47900"/>
    <cellStyle name="CALC Percent Total [2] 2 4 2 3" xfId="47901"/>
    <cellStyle name="CALC Percent Total [2] 2 4 2 4" xfId="47902"/>
    <cellStyle name="CALC Percent Total [2] 2 4 3" xfId="16595"/>
    <cellStyle name="CALC Percent Total [2] 2 4 3 2" xfId="24912"/>
    <cellStyle name="CALC Percent Total [2] 2 4 3 2 2" xfId="47903"/>
    <cellStyle name="CALC Percent Total [2] 2 4 3 3" xfId="32172"/>
    <cellStyle name="CALC Percent Total [2] 2 4 3 4" xfId="47904"/>
    <cellStyle name="CALC Percent Total [2] 2 4 4" xfId="17614"/>
    <cellStyle name="CALC Percent Total [2] 2 4 4 2" xfId="25937"/>
    <cellStyle name="CALC Percent Total [2] 2 4 4 2 2" xfId="47905"/>
    <cellStyle name="CALC Percent Total [2] 2 4 4 3" xfId="33149"/>
    <cellStyle name="CALC Percent Total [2] 2 4 4 4" xfId="47906"/>
    <cellStyle name="CALC Percent Total [2] 2 4 5" xfId="18596"/>
    <cellStyle name="CALC Percent Total [2] 2 4 5 2" xfId="26915"/>
    <cellStyle name="CALC Percent Total [2] 2 4 5 2 2" xfId="47907"/>
    <cellStyle name="CALC Percent Total [2] 2 4 5 3" xfId="34084"/>
    <cellStyle name="CALC Percent Total [2] 2 4 5 4" xfId="47908"/>
    <cellStyle name="CALC Percent Total [2] 2 4 6" xfId="19564"/>
    <cellStyle name="CALC Percent Total [2] 2 4 6 2" xfId="27885"/>
    <cellStyle name="CALC Percent Total [2] 2 4 6 2 2" xfId="47909"/>
    <cellStyle name="CALC Percent Total [2] 2 4 6 3" xfId="35032"/>
    <cellStyle name="CALC Percent Total [2] 2 4 6 4" xfId="47910"/>
    <cellStyle name="CALC Percent Total [2] 2 4 7" xfId="20522"/>
    <cellStyle name="CALC Percent Total [2] 2 4 7 2" xfId="28844"/>
    <cellStyle name="CALC Percent Total [2] 2 4 7 2 2" xfId="47911"/>
    <cellStyle name="CALC Percent Total [2] 2 4 7 3" xfId="35949"/>
    <cellStyle name="CALC Percent Total [2] 2 4 7 4" xfId="47912"/>
    <cellStyle name="CALC Percent Total [2] 2 4 8" xfId="22905"/>
    <cellStyle name="CALC Percent Total [2] 2 4 8 2" xfId="47913"/>
    <cellStyle name="CALC Percent Total [2] 2 5" xfId="14609"/>
    <cellStyle name="CALC Percent Total [2] 2 5 10" xfId="22970"/>
    <cellStyle name="CALC Percent Total [2] 2 5 10 2" xfId="47914"/>
    <cellStyle name="CALC Percent Total [2] 2 5 11" xfId="47915"/>
    <cellStyle name="CALC Percent Total [2] 2 5 2" xfId="15689"/>
    <cellStyle name="CALC Percent Total [2] 2 5 2 2" xfId="24005"/>
    <cellStyle name="CALC Percent Total [2] 2 5 2 2 2" xfId="47916"/>
    <cellStyle name="CALC Percent Total [2] 2 5 2 3" xfId="31300"/>
    <cellStyle name="CALC Percent Total [2] 2 5 2 4" xfId="47917"/>
    <cellStyle name="CALC Percent Total [2] 2 5 3" xfId="16656"/>
    <cellStyle name="CALC Percent Total [2] 2 5 3 2" xfId="24976"/>
    <cellStyle name="CALC Percent Total [2] 2 5 3 2 2" xfId="47918"/>
    <cellStyle name="CALC Percent Total [2] 2 5 3 3" xfId="32233"/>
    <cellStyle name="CALC Percent Total [2] 2 5 3 4" xfId="47919"/>
    <cellStyle name="CALC Percent Total [2] 2 5 4" xfId="17678"/>
    <cellStyle name="CALC Percent Total [2] 2 5 4 2" xfId="26002"/>
    <cellStyle name="CALC Percent Total [2] 2 5 4 2 2" xfId="47920"/>
    <cellStyle name="CALC Percent Total [2] 2 5 4 3" xfId="33210"/>
    <cellStyle name="CALC Percent Total [2] 2 5 4 4" xfId="47921"/>
    <cellStyle name="CALC Percent Total [2] 2 5 5" xfId="18661"/>
    <cellStyle name="CALC Percent Total [2] 2 5 5 2" xfId="26982"/>
    <cellStyle name="CALC Percent Total [2] 2 5 5 2 2" xfId="47922"/>
    <cellStyle name="CALC Percent Total [2] 2 5 5 3" xfId="34148"/>
    <cellStyle name="CALC Percent Total [2] 2 5 5 4" xfId="47923"/>
    <cellStyle name="CALC Percent Total [2] 2 5 6" xfId="19630"/>
    <cellStyle name="CALC Percent Total [2] 2 5 6 2" xfId="27951"/>
    <cellStyle name="CALC Percent Total [2] 2 5 6 2 2" xfId="47924"/>
    <cellStyle name="CALC Percent Total [2] 2 5 6 3" xfId="35094"/>
    <cellStyle name="CALC Percent Total [2] 2 5 6 4" xfId="47925"/>
    <cellStyle name="CALC Percent Total [2] 2 5 7" xfId="20587"/>
    <cellStyle name="CALC Percent Total [2] 2 5 7 2" xfId="28909"/>
    <cellStyle name="CALC Percent Total [2] 2 5 7 2 2" xfId="47926"/>
    <cellStyle name="CALC Percent Total [2] 2 5 7 3" xfId="36010"/>
    <cellStyle name="CALC Percent Total [2] 2 5 7 4" xfId="47927"/>
    <cellStyle name="CALC Percent Total [2] 2 5 8" xfId="21285"/>
    <cellStyle name="CALC Percent Total [2] 2 5 8 2" xfId="29592"/>
    <cellStyle name="CALC Percent Total [2] 2 5 8 2 2" xfId="47928"/>
    <cellStyle name="CALC Percent Total [2] 2 5 8 3" xfId="36659"/>
    <cellStyle name="CALC Percent Total [2] 2 5 8 4" xfId="47929"/>
    <cellStyle name="CALC Percent Total [2] 2 5 9" xfId="22024"/>
    <cellStyle name="CALC Percent Total [2] 2 5 9 2" xfId="30323"/>
    <cellStyle name="CALC Percent Total [2] 2 5 9 2 2" xfId="47930"/>
    <cellStyle name="CALC Percent Total [2] 2 5 9 3" xfId="37361"/>
    <cellStyle name="CALC Percent Total [2] 2 5 9 4" xfId="47931"/>
    <cellStyle name="CALC Percent Total [2] 2 6" xfId="14629"/>
    <cellStyle name="CALC Percent Total [2] 2 6 10" xfId="22991"/>
    <cellStyle name="CALC Percent Total [2] 2 6 10 2" xfId="47932"/>
    <cellStyle name="CALC Percent Total [2] 2 6 11" xfId="47933"/>
    <cellStyle name="CALC Percent Total [2] 2 6 2" xfId="15710"/>
    <cellStyle name="CALC Percent Total [2] 2 6 2 2" xfId="24026"/>
    <cellStyle name="CALC Percent Total [2] 2 6 2 2 2" xfId="47934"/>
    <cellStyle name="CALC Percent Total [2] 2 6 2 3" xfId="31320"/>
    <cellStyle name="CALC Percent Total [2] 2 6 2 4" xfId="47935"/>
    <cellStyle name="CALC Percent Total [2] 2 6 3" xfId="16677"/>
    <cellStyle name="CALC Percent Total [2] 2 6 3 2" xfId="24997"/>
    <cellStyle name="CALC Percent Total [2] 2 6 3 2 2" xfId="47936"/>
    <cellStyle name="CALC Percent Total [2] 2 6 3 3" xfId="32253"/>
    <cellStyle name="CALC Percent Total [2] 2 6 3 4" xfId="47937"/>
    <cellStyle name="CALC Percent Total [2] 2 6 4" xfId="17700"/>
    <cellStyle name="CALC Percent Total [2] 2 6 4 2" xfId="26023"/>
    <cellStyle name="CALC Percent Total [2] 2 6 4 2 2" xfId="47938"/>
    <cellStyle name="CALC Percent Total [2] 2 6 4 3" xfId="33230"/>
    <cellStyle name="CALC Percent Total [2] 2 6 4 4" xfId="47939"/>
    <cellStyle name="CALC Percent Total [2] 2 6 5" xfId="18683"/>
    <cellStyle name="CALC Percent Total [2] 2 6 5 2" xfId="27004"/>
    <cellStyle name="CALC Percent Total [2] 2 6 5 2 2" xfId="47940"/>
    <cellStyle name="CALC Percent Total [2] 2 6 5 3" xfId="34169"/>
    <cellStyle name="CALC Percent Total [2] 2 6 5 4" xfId="47941"/>
    <cellStyle name="CALC Percent Total [2] 2 6 6" xfId="19652"/>
    <cellStyle name="CALC Percent Total [2] 2 6 6 2" xfId="27973"/>
    <cellStyle name="CALC Percent Total [2] 2 6 6 2 2" xfId="47942"/>
    <cellStyle name="CALC Percent Total [2] 2 6 6 3" xfId="35115"/>
    <cellStyle name="CALC Percent Total [2] 2 6 6 4" xfId="47943"/>
    <cellStyle name="CALC Percent Total [2] 2 6 7" xfId="20609"/>
    <cellStyle name="CALC Percent Total [2] 2 6 7 2" xfId="28930"/>
    <cellStyle name="CALC Percent Total [2] 2 6 7 2 2" xfId="47944"/>
    <cellStyle name="CALC Percent Total [2] 2 6 7 3" xfId="36030"/>
    <cellStyle name="CALC Percent Total [2] 2 6 7 4" xfId="47945"/>
    <cellStyle name="CALC Percent Total [2] 2 6 8" xfId="21071"/>
    <cellStyle name="CALC Percent Total [2] 2 6 8 2" xfId="29388"/>
    <cellStyle name="CALC Percent Total [2] 2 6 8 2 2" xfId="47946"/>
    <cellStyle name="CALC Percent Total [2] 2 6 8 3" xfId="36466"/>
    <cellStyle name="CALC Percent Total [2] 2 6 8 4" xfId="47947"/>
    <cellStyle name="CALC Percent Total [2] 2 6 9" xfId="22046"/>
    <cellStyle name="CALC Percent Total [2] 2 6 9 2" xfId="30344"/>
    <cellStyle name="CALC Percent Total [2] 2 6 9 2 2" xfId="47948"/>
    <cellStyle name="CALC Percent Total [2] 2 6 9 3" xfId="37381"/>
    <cellStyle name="CALC Percent Total [2] 2 6 9 4" xfId="47949"/>
    <cellStyle name="CALC Percent Total [2] 2 7" xfId="14648"/>
    <cellStyle name="CALC Percent Total [2] 2 7 10" xfId="23010"/>
    <cellStyle name="CALC Percent Total [2] 2 7 10 2" xfId="47950"/>
    <cellStyle name="CALC Percent Total [2] 2 7 11" xfId="47951"/>
    <cellStyle name="CALC Percent Total [2] 2 7 2" xfId="15729"/>
    <cellStyle name="CALC Percent Total [2] 2 7 2 2" xfId="24045"/>
    <cellStyle name="CALC Percent Total [2] 2 7 2 2 2" xfId="47952"/>
    <cellStyle name="CALC Percent Total [2] 2 7 2 3" xfId="31338"/>
    <cellStyle name="CALC Percent Total [2] 2 7 2 4" xfId="47953"/>
    <cellStyle name="CALC Percent Total [2] 2 7 3" xfId="16695"/>
    <cellStyle name="CALC Percent Total [2] 2 7 3 2" xfId="25016"/>
    <cellStyle name="CALC Percent Total [2] 2 7 3 2 2" xfId="47954"/>
    <cellStyle name="CALC Percent Total [2] 2 7 3 3" xfId="32271"/>
    <cellStyle name="CALC Percent Total [2] 2 7 3 4" xfId="47955"/>
    <cellStyle name="CALC Percent Total [2] 2 7 4" xfId="17719"/>
    <cellStyle name="CALC Percent Total [2] 2 7 4 2" xfId="26042"/>
    <cellStyle name="CALC Percent Total [2] 2 7 4 2 2" xfId="47956"/>
    <cellStyle name="CALC Percent Total [2] 2 7 4 3" xfId="33248"/>
    <cellStyle name="CALC Percent Total [2] 2 7 4 4" xfId="47957"/>
    <cellStyle name="CALC Percent Total [2] 2 7 5" xfId="18702"/>
    <cellStyle name="CALC Percent Total [2] 2 7 5 2" xfId="27023"/>
    <cellStyle name="CALC Percent Total [2] 2 7 5 2 2" xfId="47958"/>
    <cellStyle name="CALC Percent Total [2] 2 7 5 3" xfId="34187"/>
    <cellStyle name="CALC Percent Total [2] 2 7 5 4" xfId="47959"/>
    <cellStyle name="CALC Percent Total [2] 2 7 6" xfId="19671"/>
    <cellStyle name="CALC Percent Total [2] 2 7 6 2" xfId="27992"/>
    <cellStyle name="CALC Percent Total [2] 2 7 6 2 2" xfId="47960"/>
    <cellStyle name="CALC Percent Total [2] 2 7 6 3" xfId="35133"/>
    <cellStyle name="CALC Percent Total [2] 2 7 6 4" xfId="47961"/>
    <cellStyle name="CALC Percent Total [2] 2 7 7" xfId="20628"/>
    <cellStyle name="CALC Percent Total [2] 2 7 7 2" xfId="28949"/>
    <cellStyle name="CALC Percent Total [2] 2 7 7 2 2" xfId="47962"/>
    <cellStyle name="CALC Percent Total [2] 2 7 7 3" xfId="36048"/>
    <cellStyle name="CALC Percent Total [2] 2 7 7 4" xfId="47963"/>
    <cellStyle name="CALC Percent Total [2] 2 7 8" xfId="21147"/>
    <cellStyle name="CALC Percent Total [2] 2 7 8 2" xfId="29459"/>
    <cellStyle name="CALC Percent Total [2] 2 7 8 2 2" xfId="47964"/>
    <cellStyle name="CALC Percent Total [2] 2 7 8 3" xfId="36531"/>
    <cellStyle name="CALC Percent Total [2] 2 7 8 4" xfId="47965"/>
    <cellStyle name="CALC Percent Total [2] 2 7 9" xfId="22065"/>
    <cellStyle name="CALC Percent Total [2] 2 7 9 2" xfId="30363"/>
    <cellStyle name="CALC Percent Total [2] 2 7 9 2 2" xfId="47966"/>
    <cellStyle name="CALC Percent Total [2] 2 7 9 3" xfId="37399"/>
    <cellStyle name="CALC Percent Total [2] 2 7 9 4" xfId="47967"/>
    <cellStyle name="CALC Percent Total [2] 2 8" xfId="14694"/>
    <cellStyle name="CALC Percent Total [2] 2 8 10" xfId="23057"/>
    <cellStyle name="CALC Percent Total [2] 2 8 10 2" xfId="47968"/>
    <cellStyle name="CALC Percent Total [2] 2 8 11" xfId="47969"/>
    <cellStyle name="CALC Percent Total [2] 2 8 2" xfId="15775"/>
    <cellStyle name="CALC Percent Total [2] 2 8 2 2" xfId="24092"/>
    <cellStyle name="CALC Percent Total [2] 2 8 2 2 2" xfId="47970"/>
    <cellStyle name="CALC Percent Total [2] 2 8 2 3" xfId="31383"/>
    <cellStyle name="CALC Percent Total [2] 2 8 2 4" xfId="47971"/>
    <cellStyle name="CALC Percent Total [2] 2 8 3" xfId="16741"/>
    <cellStyle name="CALC Percent Total [2] 2 8 3 2" xfId="25063"/>
    <cellStyle name="CALC Percent Total [2] 2 8 3 2 2" xfId="47972"/>
    <cellStyle name="CALC Percent Total [2] 2 8 3 3" xfId="32316"/>
    <cellStyle name="CALC Percent Total [2] 2 8 3 4" xfId="47973"/>
    <cellStyle name="CALC Percent Total [2] 2 8 4" xfId="17765"/>
    <cellStyle name="CALC Percent Total [2] 2 8 4 2" xfId="26089"/>
    <cellStyle name="CALC Percent Total [2] 2 8 4 2 2" xfId="47974"/>
    <cellStyle name="CALC Percent Total [2] 2 8 4 3" xfId="33293"/>
    <cellStyle name="CALC Percent Total [2] 2 8 4 4" xfId="47975"/>
    <cellStyle name="CALC Percent Total [2] 2 8 5" xfId="18749"/>
    <cellStyle name="CALC Percent Total [2] 2 8 5 2" xfId="27070"/>
    <cellStyle name="CALC Percent Total [2] 2 8 5 2 2" xfId="47976"/>
    <cellStyle name="CALC Percent Total [2] 2 8 5 3" xfId="34232"/>
    <cellStyle name="CALC Percent Total [2] 2 8 5 4" xfId="47977"/>
    <cellStyle name="CALC Percent Total [2] 2 8 6" xfId="19718"/>
    <cellStyle name="CALC Percent Total [2] 2 8 6 2" xfId="28039"/>
    <cellStyle name="CALC Percent Total [2] 2 8 6 2 2" xfId="47978"/>
    <cellStyle name="CALC Percent Total [2] 2 8 6 3" xfId="35178"/>
    <cellStyle name="CALC Percent Total [2] 2 8 6 4" xfId="47979"/>
    <cellStyle name="CALC Percent Total [2] 2 8 7" xfId="20675"/>
    <cellStyle name="CALC Percent Total [2] 2 8 7 2" xfId="28996"/>
    <cellStyle name="CALC Percent Total [2] 2 8 7 2 2" xfId="47980"/>
    <cellStyle name="CALC Percent Total [2] 2 8 7 3" xfId="36093"/>
    <cellStyle name="CALC Percent Total [2] 2 8 7 4" xfId="47981"/>
    <cellStyle name="CALC Percent Total [2] 2 8 8" xfId="21314"/>
    <cellStyle name="CALC Percent Total [2] 2 8 8 2" xfId="29620"/>
    <cellStyle name="CALC Percent Total [2] 2 8 8 2 2" xfId="47982"/>
    <cellStyle name="CALC Percent Total [2] 2 8 8 3" xfId="36687"/>
    <cellStyle name="CALC Percent Total [2] 2 8 8 4" xfId="47983"/>
    <cellStyle name="CALC Percent Total [2] 2 8 9" xfId="22112"/>
    <cellStyle name="CALC Percent Total [2] 2 8 9 2" xfId="30410"/>
    <cellStyle name="CALC Percent Total [2] 2 8 9 2 2" xfId="47984"/>
    <cellStyle name="CALC Percent Total [2] 2 8 9 3" xfId="37444"/>
    <cellStyle name="CALC Percent Total [2] 2 8 9 4" xfId="47985"/>
    <cellStyle name="CALC Percent Total [2] 2 9" xfId="14781"/>
    <cellStyle name="CALC Percent Total [2] 2 9 10" xfId="23145"/>
    <cellStyle name="CALC Percent Total [2] 2 9 10 2" xfId="47986"/>
    <cellStyle name="CALC Percent Total [2] 2 9 11" xfId="47987"/>
    <cellStyle name="CALC Percent Total [2] 2 9 12" xfId="47988"/>
    <cellStyle name="CALC Percent Total [2] 2 9 2" xfId="15862"/>
    <cellStyle name="CALC Percent Total [2] 2 9 2 2" xfId="24180"/>
    <cellStyle name="CALC Percent Total [2] 2 9 2 2 2" xfId="47989"/>
    <cellStyle name="CALC Percent Total [2] 2 9 2 3" xfId="31468"/>
    <cellStyle name="CALC Percent Total [2] 2 9 2 4" xfId="47990"/>
    <cellStyle name="CALC Percent Total [2] 2 9 3" xfId="16828"/>
    <cellStyle name="CALC Percent Total [2] 2 9 3 2" xfId="25152"/>
    <cellStyle name="CALC Percent Total [2] 2 9 3 2 2" xfId="47991"/>
    <cellStyle name="CALC Percent Total [2] 2 9 3 3" xfId="32401"/>
    <cellStyle name="CALC Percent Total [2] 2 9 3 4" xfId="47992"/>
    <cellStyle name="CALC Percent Total [2] 2 9 4" xfId="17854"/>
    <cellStyle name="CALC Percent Total [2] 2 9 4 2" xfId="26178"/>
    <cellStyle name="CALC Percent Total [2] 2 9 4 2 2" xfId="47993"/>
    <cellStyle name="CALC Percent Total [2] 2 9 4 3" xfId="33378"/>
    <cellStyle name="CALC Percent Total [2] 2 9 4 4" xfId="47994"/>
    <cellStyle name="CALC Percent Total [2] 2 9 5" xfId="18838"/>
    <cellStyle name="CALC Percent Total [2] 2 9 5 2" xfId="27159"/>
    <cellStyle name="CALC Percent Total [2] 2 9 5 2 2" xfId="47995"/>
    <cellStyle name="CALC Percent Total [2] 2 9 5 3" xfId="34318"/>
    <cellStyle name="CALC Percent Total [2] 2 9 5 4" xfId="47996"/>
    <cellStyle name="CALC Percent Total [2] 2 9 6" xfId="19806"/>
    <cellStyle name="CALC Percent Total [2] 2 9 6 2" xfId="28128"/>
    <cellStyle name="CALC Percent Total [2] 2 9 6 2 2" xfId="47997"/>
    <cellStyle name="CALC Percent Total [2] 2 9 6 3" xfId="35264"/>
    <cellStyle name="CALC Percent Total [2] 2 9 6 4" xfId="47998"/>
    <cellStyle name="CALC Percent Total [2] 2 9 7" xfId="20764"/>
    <cellStyle name="CALC Percent Total [2] 2 9 7 2" xfId="29085"/>
    <cellStyle name="CALC Percent Total [2] 2 9 7 2 2" xfId="47999"/>
    <cellStyle name="CALC Percent Total [2] 2 9 7 3" xfId="36177"/>
    <cellStyle name="CALC Percent Total [2] 2 9 7 4" xfId="48000"/>
    <cellStyle name="CALC Percent Total [2] 2 9 8" xfId="21179"/>
    <cellStyle name="CALC Percent Total [2] 2 9 8 2" xfId="29491"/>
    <cellStyle name="CALC Percent Total [2] 2 9 8 2 2" xfId="48001"/>
    <cellStyle name="CALC Percent Total [2] 2 9 8 3" xfId="36562"/>
    <cellStyle name="CALC Percent Total [2] 2 9 8 4" xfId="48002"/>
    <cellStyle name="CALC Percent Total [2] 2 9 9" xfId="22200"/>
    <cellStyle name="CALC Percent Total [2] 2 9 9 2" xfId="30498"/>
    <cellStyle name="CALC Percent Total [2] 2 9 9 2 2" xfId="48003"/>
    <cellStyle name="CALC Percent Total [2] 2 9 9 3" xfId="37529"/>
    <cellStyle name="CALC Percent Total [2] 2 9 9 4" xfId="48004"/>
    <cellStyle name="CALC Percent Total [2] 20" xfId="15223"/>
    <cellStyle name="CALC Percent Total [2] 20 10" xfId="48005"/>
    <cellStyle name="CALC Percent Total [2] 20 11" xfId="48006"/>
    <cellStyle name="CALC Percent Total [2] 20 2" xfId="16303"/>
    <cellStyle name="CALC Percent Total [2] 20 2 2" xfId="24616"/>
    <cellStyle name="CALC Percent Total [2] 20 2 2 2" xfId="48007"/>
    <cellStyle name="CALC Percent Total [2] 20 2 3" xfId="31884"/>
    <cellStyle name="CALC Percent Total [2] 20 2 4" xfId="48008"/>
    <cellStyle name="CALC Percent Total [2] 20 3" xfId="17269"/>
    <cellStyle name="CALC Percent Total [2] 20 3 2" xfId="25590"/>
    <cellStyle name="CALC Percent Total [2] 20 3 2 2" xfId="48009"/>
    <cellStyle name="CALC Percent Total [2] 20 3 3" xfId="32817"/>
    <cellStyle name="CALC Percent Total [2] 20 3 4" xfId="48010"/>
    <cellStyle name="CALC Percent Total [2] 20 4" xfId="18297"/>
    <cellStyle name="CALC Percent Total [2] 20 4 2" xfId="26617"/>
    <cellStyle name="CALC Percent Total [2] 20 4 2 2" xfId="48011"/>
    <cellStyle name="CALC Percent Total [2] 20 4 3" xfId="33795"/>
    <cellStyle name="CALC Percent Total [2] 20 4 4" xfId="48012"/>
    <cellStyle name="CALC Percent Total [2] 20 5" xfId="19281"/>
    <cellStyle name="CALC Percent Total [2] 20 5 2" xfId="27601"/>
    <cellStyle name="CALC Percent Total [2] 20 5 2 2" xfId="48013"/>
    <cellStyle name="CALC Percent Total [2] 20 5 3" xfId="34749"/>
    <cellStyle name="CALC Percent Total [2] 20 5 4" xfId="48014"/>
    <cellStyle name="CALC Percent Total [2] 20 6" xfId="20249"/>
    <cellStyle name="CALC Percent Total [2] 20 6 2" xfId="28571"/>
    <cellStyle name="CALC Percent Total [2] 20 6 2 2" xfId="48015"/>
    <cellStyle name="CALC Percent Total [2] 20 6 3" xfId="35687"/>
    <cellStyle name="CALC Percent Total [2] 20 6 4" xfId="48016"/>
    <cellStyle name="CALC Percent Total [2] 20 7" xfId="21710"/>
    <cellStyle name="CALC Percent Total [2] 20 7 2" xfId="30011"/>
    <cellStyle name="CALC Percent Total [2] 20 7 2 2" xfId="48017"/>
    <cellStyle name="CALC Percent Total [2] 20 7 3" xfId="37061"/>
    <cellStyle name="CALC Percent Total [2] 20 7 4" xfId="48018"/>
    <cellStyle name="CALC Percent Total [2] 20 8" xfId="22638"/>
    <cellStyle name="CALC Percent Total [2] 20 8 2" xfId="30934"/>
    <cellStyle name="CALC Percent Total [2] 20 8 2 2" xfId="48019"/>
    <cellStyle name="CALC Percent Total [2] 20 8 3" xfId="37944"/>
    <cellStyle name="CALC Percent Total [2] 20 8 4" xfId="48020"/>
    <cellStyle name="CALC Percent Total [2] 20 9" xfId="23580"/>
    <cellStyle name="CALC Percent Total [2] 20 9 2" xfId="48021"/>
    <cellStyle name="CALC Percent Total [2] 21" xfId="15365"/>
    <cellStyle name="CALC Percent Total [2] 21 10" xfId="48022"/>
    <cellStyle name="CALC Percent Total [2] 21 11" xfId="48023"/>
    <cellStyle name="CALC Percent Total [2] 21 2" xfId="16445"/>
    <cellStyle name="CALC Percent Total [2] 21 2 2" xfId="24758"/>
    <cellStyle name="CALC Percent Total [2] 21 2 2 2" xfId="48024"/>
    <cellStyle name="CALC Percent Total [2] 21 2 3" xfId="32022"/>
    <cellStyle name="CALC Percent Total [2] 21 2 4" xfId="48025"/>
    <cellStyle name="CALC Percent Total [2] 21 3" xfId="17411"/>
    <cellStyle name="CALC Percent Total [2] 21 3 2" xfId="25732"/>
    <cellStyle name="CALC Percent Total [2] 21 3 2 2" xfId="48026"/>
    <cellStyle name="CALC Percent Total [2] 21 3 3" xfId="32955"/>
    <cellStyle name="CALC Percent Total [2] 21 3 4" xfId="48027"/>
    <cellStyle name="CALC Percent Total [2] 21 4" xfId="18439"/>
    <cellStyle name="CALC Percent Total [2] 21 4 2" xfId="26759"/>
    <cellStyle name="CALC Percent Total [2] 21 4 2 2" xfId="48028"/>
    <cellStyle name="CALC Percent Total [2] 21 4 3" xfId="33933"/>
    <cellStyle name="CALC Percent Total [2] 21 4 4" xfId="48029"/>
    <cellStyle name="CALC Percent Total [2] 21 5" xfId="19422"/>
    <cellStyle name="CALC Percent Total [2] 21 5 2" xfId="27743"/>
    <cellStyle name="CALC Percent Total [2] 21 5 2 2" xfId="48030"/>
    <cellStyle name="CALC Percent Total [2] 21 5 3" xfId="34891"/>
    <cellStyle name="CALC Percent Total [2] 21 5 4" xfId="48031"/>
    <cellStyle name="CALC Percent Total [2] 21 6" xfId="20391"/>
    <cellStyle name="CALC Percent Total [2] 21 6 2" xfId="28713"/>
    <cellStyle name="CALC Percent Total [2] 21 6 2 2" xfId="48032"/>
    <cellStyle name="CALC Percent Total [2] 21 6 3" xfId="35825"/>
    <cellStyle name="CALC Percent Total [2] 21 6 4" xfId="48033"/>
    <cellStyle name="CALC Percent Total [2] 21 7" xfId="21852"/>
    <cellStyle name="CALC Percent Total [2] 21 7 2" xfId="30153"/>
    <cellStyle name="CALC Percent Total [2] 21 7 2 2" xfId="48034"/>
    <cellStyle name="CALC Percent Total [2] 21 7 3" xfId="37198"/>
    <cellStyle name="CALC Percent Total [2] 21 7 4" xfId="48035"/>
    <cellStyle name="CALC Percent Total [2] 21 8" xfId="22780"/>
    <cellStyle name="CALC Percent Total [2] 21 8 2" xfId="31076"/>
    <cellStyle name="CALC Percent Total [2] 21 8 2 2" xfId="48036"/>
    <cellStyle name="CALC Percent Total [2] 21 8 3" xfId="38082"/>
    <cellStyle name="CALC Percent Total [2] 21 8 4" xfId="48037"/>
    <cellStyle name="CALC Percent Total [2] 21 9" xfId="23722"/>
    <cellStyle name="CALC Percent Total [2] 21 9 2" xfId="48038"/>
    <cellStyle name="CALC Percent Total [2] 22" xfId="15472"/>
    <cellStyle name="CALC Percent Total [2] 22 2" xfId="17518"/>
    <cellStyle name="CALC Percent Total [2] 22 2 2" xfId="25838"/>
    <cellStyle name="CALC Percent Total [2] 22 2 2 2" xfId="48039"/>
    <cellStyle name="CALC Percent Total [2] 22 2 3" xfId="33057"/>
    <cellStyle name="CALC Percent Total [2] 22 2 4" xfId="48040"/>
    <cellStyle name="CALC Percent Total [2] 22 3" xfId="19529"/>
    <cellStyle name="CALC Percent Total [2] 22 3 2" xfId="27850"/>
    <cellStyle name="CALC Percent Total [2] 22 3 2 2" xfId="48041"/>
    <cellStyle name="CALC Percent Total [2] 22 3 3" xfId="34998"/>
    <cellStyle name="CALC Percent Total [2] 22 3 4" xfId="48042"/>
    <cellStyle name="CALC Percent Total [2] 22 4" xfId="48043"/>
    <cellStyle name="CALC Percent Total [2] 22 4 2" xfId="48044"/>
    <cellStyle name="CALC Percent Total [2] 23" xfId="48045"/>
    <cellStyle name="CALC Percent Total [2] 23 2" xfId="48046"/>
    <cellStyle name="CALC Percent Total [2] 3" xfId="14537"/>
    <cellStyle name="CALC Percent Total [2] 3 2" xfId="15613"/>
    <cellStyle name="CALC Percent Total [2] 3 2 2" xfId="23927"/>
    <cellStyle name="CALC Percent Total [2] 3 2 2 2" xfId="48047"/>
    <cellStyle name="CALC Percent Total [2] 3 2 3" xfId="48048"/>
    <cellStyle name="CALC Percent Total [2] 3 2 4" xfId="48049"/>
    <cellStyle name="CALC Percent Total [2] 3 3" xfId="16582"/>
    <cellStyle name="CALC Percent Total [2] 3 3 2" xfId="24898"/>
    <cellStyle name="CALC Percent Total [2] 3 3 2 2" xfId="48050"/>
    <cellStyle name="CALC Percent Total [2] 3 3 3" xfId="32158"/>
    <cellStyle name="CALC Percent Total [2] 3 3 4" xfId="48051"/>
    <cellStyle name="CALC Percent Total [2] 3 4" xfId="17600"/>
    <cellStyle name="CALC Percent Total [2] 3 4 2" xfId="25922"/>
    <cellStyle name="CALC Percent Total [2] 3 4 2 2" xfId="48052"/>
    <cellStyle name="CALC Percent Total [2] 3 4 3" xfId="33135"/>
    <cellStyle name="CALC Percent Total [2] 3 4 4" xfId="48053"/>
    <cellStyle name="CALC Percent Total [2] 3 5" xfId="18581"/>
    <cellStyle name="CALC Percent Total [2] 3 5 2" xfId="26900"/>
    <cellStyle name="CALC Percent Total [2] 3 5 2 2" xfId="48054"/>
    <cellStyle name="CALC Percent Total [2] 3 5 3" xfId="34069"/>
    <cellStyle name="CALC Percent Total [2] 3 5 4" xfId="48055"/>
    <cellStyle name="CALC Percent Total [2] 3 6" xfId="19549"/>
    <cellStyle name="CALC Percent Total [2] 3 6 2" xfId="27870"/>
    <cellStyle name="CALC Percent Total [2] 3 6 2 2" xfId="48056"/>
    <cellStyle name="CALC Percent Total [2] 3 6 3" xfId="35018"/>
    <cellStyle name="CALC Percent Total [2] 3 6 4" xfId="48057"/>
    <cellStyle name="CALC Percent Total [2] 3 7" xfId="20507"/>
    <cellStyle name="CALC Percent Total [2] 3 7 2" xfId="28829"/>
    <cellStyle name="CALC Percent Total [2] 3 7 2 2" xfId="48058"/>
    <cellStyle name="CALC Percent Total [2] 3 7 3" xfId="35935"/>
    <cellStyle name="CALC Percent Total [2] 3 7 4" xfId="48059"/>
    <cellStyle name="CALC Percent Total [2] 3 8" xfId="22891"/>
    <cellStyle name="CALC Percent Total [2] 3 8 2" xfId="48060"/>
    <cellStyle name="CALC Percent Total [2] 4" xfId="14586"/>
    <cellStyle name="CALC Percent Total [2] 4 10" xfId="22945"/>
    <cellStyle name="CALC Percent Total [2] 4 10 2" xfId="48061"/>
    <cellStyle name="CALC Percent Total [2] 4 11" xfId="48062"/>
    <cellStyle name="CALC Percent Total [2] 4 2" xfId="15666"/>
    <cellStyle name="CALC Percent Total [2] 4 2 2" xfId="23981"/>
    <cellStyle name="CALC Percent Total [2] 4 2 2 2" xfId="48063"/>
    <cellStyle name="CALC Percent Total [2] 4 2 3" xfId="31278"/>
    <cellStyle name="CALC Percent Total [2] 4 2 4" xfId="48064"/>
    <cellStyle name="CALC Percent Total [2] 4 3" xfId="16633"/>
    <cellStyle name="CALC Percent Total [2] 4 3 2" xfId="24952"/>
    <cellStyle name="CALC Percent Total [2] 4 3 2 2" xfId="48065"/>
    <cellStyle name="CALC Percent Total [2] 4 3 3" xfId="32211"/>
    <cellStyle name="CALC Percent Total [2] 4 3 4" xfId="48066"/>
    <cellStyle name="CALC Percent Total [2] 4 4" xfId="17654"/>
    <cellStyle name="CALC Percent Total [2] 4 4 2" xfId="25978"/>
    <cellStyle name="CALC Percent Total [2] 4 4 2 2" xfId="48067"/>
    <cellStyle name="CALC Percent Total [2] 4 4 3" xfId="33188"/>
    <cellStyle name="CALC Percent Total [2] 4 4 4" xfId="48068"/>
    <cellStyle name="CALC Percent Total [2] 4 5" xfId="18637"/>
    <cellStyle name="CALC Percent Total [2] 4 5 2" xfId="26957"/>
    <cellStyle name="CALC Percent Total [2] 4 5 2 2" xfId="48069"/>
    <cellStyle name="CALC Percent Total [2] 4 5 3" xfId="34125"/>
    <cellStyle name="CALC Percent Total [2] 4 5 4" xfId="48070"/>
    <cellStyle name="CALC Percent Total [2] 4 6" xfId="19606"/>
    <cellStyle name="CALC Percent Total [2] 4 6 2" xfId="27926"/>
    <cellStyle name="CALC Percent Total [2] 4 6 2 2" xfId="48071"/>
    <cellStyle name="CALC Percent Total [2] 4 6 3" xfId="35071"/>
    <cellStyle name="CALC Percent Total [2] 4 6 4" xfId="48072"/>
    <cellStyle name="CALC Percent Total [2] 4 7" xfId="20563"/>
    <cellStyle name="CALC Percent Total [2] 4 7 2" xfId="28885"/>
    <cellStyle name="CALC Percent Total [2] 4 7 2 2" xfId="48073"/>
    <cellStyle name="CALC Percent Total [2] 4 7 3" xfId="35988"/>
    <cellStyle name="CALC Percent Total [2] 4 7 4" xfId="48074"/>
    <cellStyle name="CALC Percent Total [2] 4 8" xfId="21189"/>
    <cellStyle name="CALC Percent Total [2] 4 8 2" xfId="29501"/>
    <cellStyle name="CALC Percent Total [2] 4 8 2 2" xfId="48075"/>
    <cellStyle name="CALC Percent Total [2] 4 8 3" xfId="36572"/>
    <cellStyle name="CALC Percent Total [2] 4 8 4" xfId="48076"/>
    <cellStyle name="CALC Percent Total [2] 4 9" xfId="21999"/>
    <cellStyle name="CALC Percent Total [2] 4 9 2" xfId="30299"/>
    <cellStyle name="CALC Percent Total [2] 4 9 2 2" xfId="48077"/>
    <cellStyle name="CALC Percent Total [2] 4 9 3" xfId="37339"/>
    <cellStyle name="CALC Percent Total [2] 4 9 4" xfId="48078"/>
    <cellStyle name="CALC Percent Total [2] 5" xfId="14564"/>
    <cellStyle name="CALC Percent Total [2] 5 10" xfId="22920"/>
    <cellStyle name="CALC Percent Total [2] 5 10 2" xfId="48079"/>
    <cellStyle name="CALC Percent Total [2] 5 11" xfId="48080"/>
    <cellStyle name="CALC Percent Total [2] 5 2" xfId="15643"/>
    <cellStyle name="CALC Percent Total [2] 5 2 2" xfId="23956"/>
    <cellStyle name="CALC Percent Total [2] 5 2 2 2" xfId="48081"/>
    <cellStyle name="CALC Percent Total [2] 5 2 3" xfId="31253"/>
    <cellStyle name="CALC Percent Total [2] 5 2 4" xfId="48082"/>
    <cellStyle name="CALC Percent Total [2] 5 3" xfId="16610"/>
    <cellStyle name="CALC Percent Total [2] 5 3 2" xfId="24927"/>
    <cellStyle name="CALC Percent Total [2] 5 3 2 2" xfId="48083"/>
    <cellStyle name="CALC Percent Total [2] 5 3 3" xfId="32186"/>
    <cellStyle name="CALC Percent Total [2] 5 3 4" xfId="48084"/>
    <cellStyle name="CALC Percent Total [2] 5 4" xfId="17630"/>
    <cellStyle name="CALC Percent Total [2] 5 4 2" xfId="25953"/>
    <cellStyle name="CALC Percent Total [2] 5 4 2 2" xfId="48085"/>
    <cellStyle name="CALC Percent Total [2] 5 4 3" xfId="33163"/>
    <cellStyle name="CALC Percent Total [2] 5 4 4" xfId="48086"/>
    <cellStyle name="CALC Percent Total [2] 5 5" xfId="18612"/>
    <cellStyle name="CALC Percent Total [2] 5 5 2" xfId="26931"/>
    <cellStyle name="CALC Percent Total [2] 5 5 2 2" xfId="48087"/>
    <cellStyle name="CALC Percent Total [2] 5 5 3" xfId="34099"/>
    <cellStyle name="CALC Percent Total [2] 5 5 4" xfId="48088"/>
    <cellStyle name="CALC Percent Total [2] 5 6" xfId="19580"/>
    <cellStyle name="CALC Percent Total [2] 5 6 2" xfId="27901"/>
    <cellStyle name="CALC Percent Total [2] 5 6 2 2" xfId="48089"/>
    <cellStyle name="CALC Percent Total [2] 5 6 3" xfId="35046"/>
    <cellStyle name="CALC Percent Total [2] 5 6 4" xfId="48090"/>
    <cellStyle name="CALC Percent Total [2] 5 7" xfId="20538"/>
    <cellStyle name="CALC Percent Total [2] 5 7 2" xfId="28860"/>
    <cellStyle name="CALC Percent Total [2] 5 7 2 2" xfId="48091"/>
    <cellStyle name="CALC Percent Total [2] 5 7 3" xfId="35963"/>
    <cellStyle name="CALC Percent Total [2] 5 7 4" xfId="48092"/>
    <cellStyle name="CALC Percent Total [2] 5 8" xfId="21225"/>
    <cellStyle name="CALC Percent Total [2] 5 8 2" xfId="29536"/>
    <cellStyle name="CALC Percent Total [2] 5 8 2 2" xfId="48093"/>
    <cellStyle name="CALC Percent Total [2] 5 8 3" xfId="36605"/>
    <cellStyle name="CALC Percent Total [2] 5 8 4" xfId="48094"/>
    <cellStyle name="CALC Percent Total [2] 5 9" xfId="21973"/>
    <cellStyle name="CALC Percent Total [2] 5 9 2" xfId="30274"/>
    <cellStyle name="CALC Percent Total [2] 5 9 2 2" xfId="48095"/>
    <cellStyle name="CALC Percent Total [2] 5 9 3" xfId="37314"/>
    <cellStyle name="CALC Percent Total [2] 5 9 4" xfId="48096"/>
    <cellStyle name="CALC Percent Total [2] 6" xfId="14593"/>
    <cellStyle name="CALC Percent Total [2] 6 10" xfId="22953"/>
    <cellStyle name="CALC Percent Total [2] 6 10 2" xfId="48097"/>
    <cellStyle name="CALC Percent Total [2] 6 11" xfId="48098"/>
    <cellStyle name="CALC Percent Total [2] 6 2" xfId="15673"/>
    <cellStyle name="CALC Percent Total [2] 6 2 2" xfId="23988"/>
    <cellStyle name="CALC Percent Total [2] 6 2 2 2" xfId="48099"/>
    <cellStyle name="CALC Percent Total [2] 6 2 3" xfId="31284"/>
    <cellStyle name="CALC Percent Total [2] 6 2 4" xfId="48100"/>
    <cellStyle name="CALC Percent Total [2] 6 3" xfId="16640"/>
    <cellStyle name="CALC Percent Total [2] 6 3 2" xfId="24959"/>
    <cellStyle name="CALC Percent Total [2] 6 3 2 2" xfId="48101"/>
    <cellStyle name="CALC Percent Total [2] 6 3 3" xfId="32217"/>
    <cellStyle name="CALC Percent Total [2] 6 3 4" xfId="48102"/>
    <cellStyle name="CALC Percent Total [2] 6 4" xfId="17661"/>
    <cellStyle name="CALC Percent Total [2] 6 4 2" xfId="25985"/>
    <cellStyle name="CALC Percent Total [2] 6 4 2 2" xfId="48103"/>
    <cellStyle name="CALC Percent Total [2] 6 4 3" xfId="33194"/>
    <cellStyle name="CALC Percent Total [2] 6 4 4" xfId="48104"/>
    <cellStyle name="CALC Percent Total [2] 6 5" xfId="18644"/>
    <cellStyle name="CALC Percent Total [2] 6 5 2" xfId="26965"/>
    <cellStyle name="CALC Percent Total [2] 6 5 2 2" xfId="48105"/>
    <cellStyle name="CALC Percent Total [2] 6 5 3" xfId="34132"/>
    <cellStyle name="CALC Percent Total [2] 6 5 4" xfId="48106"/>
    <cellStyle name="CALC Percent Total [2] 6 6" xfId="19613"/>
    <cellStyle name="CALC Percent Total [2] 6 6 2" xfId="27934"/>
    <cellStyle name="CALC Percent Total [2] 6 6 2 2" xfId="48107"/>
    <cellStyle name="CALC Percent Total [2] 6 6 3" xfId="35078"/>
    <cellStyle name="CALC Percent Total [2] 6 6 4" xfId="48108"/>
    <cellStyle name="CALC Percent Total [2] 6 7" xfId="20570"/>
    <cellStyle name="CALC Percent Total [2] 6 7 2" xfId="28892"/>
    <cellStyle name="CALC Percent Total [2] 6 7 2 2" xfId="48109"/>
    <cellStyle name="CALC Percent Total [2] 6 7 3" xfId="35994"/>
    <cellStyle name="CALC Percent Total [2] 6 7 4" xfId="48110"/>
    <cellStyle name="CALC Percent Total [2] 6 8" xfId="21353"/>
    <cellStyle name="CALC Percent Total [2] 6 8 2" xfId="29656"/>
    <cellStyle name="CALC Percent Total [2] 6 8 2 2" xfId="48111"/>
    <cellStyle name="CALC Percent Total [2] 6 8 3" xfId="36721"/>
    <cellStyle name="CALC Percent Total [2] 6 8 4" xfId="48112"/>
    <cellStyle name="CALC Percent Total [2] 6 9" xfId="22007"/>
    <cellStyle name="CALC Percent Total [2] 6 9 2" xfId="30306"/>
    <cellStyle name="CALC Percent Total [2] 6 9 2 2" xfId="48113"/>
    <cellStyle name="CALC Percent Total [2] 6 9 3" xfId="37345"/>
    <cellStyle name="CALC Percent Total [2] 6 9 4" xfId="48114"/>
    <cellStyle name="CALC Percent Total [2] 7" xfId="14674"/>
    <cellStyle name="CALC Percent Total [2] 7 10" xfId="23036"/>
    <cellStyle name="CALC Percent Total [2] 7 10 2" xfId="48115"/>
    <cellStyle name="CALC Percent Total [2] 7 11" xfId="48116"/>
    <cellStyle name="CALC Percent Total [2] 7 2" xfId="15755"/>
    <cellStyle name="CALC Percent Total [2] 7 2 2" xfId="24071"/>
    <cellStyle name="CALC Percent Total [2] 7 2 2 2" xfId="48117"/>
    <cellStyle name="CALC Percent Total [2] 7 2 3" xfId="31362"/>
    <cellStyle name="CALC Percent Total [2] 7 2 4" xfId="48118"/>
    <cellStyle name="CALC Percent Total [2] 7 3" xfId="16721"/>
    <cellStyle name="CALC Percent Total [2] 7 3 2" xfId="25042"/>
    <cellStyle name="CALC Percent Total [2] 7 3 2 2" xfId="48119"/>
    <cellStyle name="CALC Percent Total [2] 7 3 3" xfId="32295"/>
    <cellStyle name="CALC Percent Total [2] 7 3 4" xfId="48120"/>
    <cellStyle name="CALC Percent Total [2] 7 4" xfId="17745"/>
    <cellStyle name="CALC Percent Total [2] 7 4 2" xfId="26068"/>
    <cellStyle name="CALC Percent Total [2] 7 4 2 2" xfId="48121"/>
    <cellStyle name="CALC Percent Total [2] 7 4 3" xfId="33272"/>
    <cellStyle name="CALC Percent Total [2] 7 4 4" xfId="48122"/>
    <cellStyle name="CALC Percent Total [2] 7 5" xfId="18728"/>
    <cellStyle name="CALC Percent Total [2] 7 5 2" xfId="27049"/>
    <cellStyle name="CALC Percent Total [2] 7 5 2 2" xfId="48123"/>
    <cellStyle name="CALC Percent Total [2] 7 5 3" xfId="34211"/>
    <cellStyle name="CALC Percent Total [2] 7 5 4" xfId="48124"/>
    <cellStyle name="CALC Percent Total [2] 7 6" xfId="19697"/>
    <cellStyle name="CALC Percent Total [2] 7 6 2" xfId="28018"/>
    <cellStyle name="CALC Percent Total [2] 7 6 2 2" xfId="48125"/>
    <cellStyle name="CALC Percent Total [2] 7 6 3" xfId="35157"/>
    <cellStyle name="CALC Percent Total [2] 7 6 4" xfId="48126"/>
    <cellStyle name="CALC Percent Total [2] 7 7" xfId="20654"/>
    <cellStyle name="CALC Percent Total [2] 7 7 2" xfId="28975"/>
    <cellStyle name="CALC Percent Total [2] 7 7 2 2" xfId="48127"/>
    <cellStyle name="CALC Percent Total [2] 7 7 3" xfId="36072"/>
    <cellStyle name="CALC Percent Total [2] 7 7 4" xfId="48128"/>
    <cellStyle name="CALC Percent Total [2] 7 8" xfId="21246"/>
    <cellStyle name="CALC Percent Total [2] 7 8 2" xfId="29555"/>
    <cellStyle name="CALC Percent Total [2] 7 8 2 2" xfId="48129"/>
    <cellStyle name="CALC Percent Total [2] 7 8 3" xfId="36623"/>
    <cellStyle name="CALC Percent Total [2] 7 8 4" xfId="48130"/>
    <cellStyle name="CALC Percent Total [2] 7 9" xfId="22091"/>
    <cellStyle name="CALC Percent Total [2] 7 9 2" xfId="30389"/>
    <cellStyle name="CALC Percent Total [2] 7 9 2 2" xfId="48131"/>
    <cellStyle name="CALC Percent Total [2] 7 9 3" xfId="37423"/>
    <cellStyle name="CALC Percent Total [2] 7 9 4" xfId="48132"/>
    <cellStyle name="CALC Percent Total [2] 8" xfId="14775"/>
    <cellStyle name="CALC Percent Total [2] 8 10" xfId="23139"/>
    <cellStyle name="CALC Percent Total [2] 8 10 2" xfId="48133"/>
    <cellStyle name="CALC Percent Total [2] 8 11" xfId="48134"/>
    <cellStyle name="CALC Percent Total [2] 8 12" xfId="48135"/>
    <cellStyle name="CALC Percent Total [2] 8 2" xfId="15856"/>
    <cellStyle name="CALC Percent Total [2] 8 2 2" xfId="24174"/>
    <cellStyle name="CALC Percent Total [2] 8 2 2 2" xfId="48136"/>
    <cellStyle name="CALC Percent Total [2] 8 2 3" xfId="31462"/>
    <cellStyle name="CALC Percent Total [2] 8 2 4" xfId="48137"/>
    <cellStyle name="CALC Percent Total [2] 8 3" xfId="16822"/>
    <cellStyle name="CALC Percent Total [2] 8 3 2" xfId="25146"/>
    <cellStyle name="CALC Percent Total [2] 8 3 2 2" xfId="48138"/>
    <cellStyle name="CALC Percent Total [2] 8 3 3" xfId="32395"/>
    <cellStyle name="CALC Percent Total [2] 8 3 4" xfId="48139"/>
    <cellStyle name="CALC Percent Total [2] 8 4" xfId="17848"/>
    <cellStyle name="CALC Percent Total [2] 8 4 2" xfId="26172"/>
    <cellStyle name="CALC Percent Total [2] 8 4 2 2" xfId="48140"/>
    <cellStyle name="CALC Percent Total [2] 8 4 3" xfId="33372"/>
    <cellStyle name="CALC Percent Total [2] 8 4 4" xfId="48141"/>
    <cellStyle name="CALC Percent Total [2] 8 5" xfId="18832"/>
    <cellStyle name="CALC Percent Total [2] 8 5 2" xfId="27153"/>
    <cellStyle name="CALC Percent Total [2] 8 5 2 2" xfId="48142"/>
    <cellStyle name="CALC Percent Total [2] 8 5 3" xfId="34312"/>
    <cellStyle name="CALC Percent Total [2] 8 5 4" xfId="48143"/>
    <cellStyle name="CALC Percent Total [2] 8 6" xfId="19800"/>
    <cellStyle name="CALC Percent Total [2] 8 6 2" xfId="28122"/>
    <cellStyle name="CALC Percent Total [2] 8 6 2 2" xfId="48144"/>
    <cellStyle name="CALC Percent Total [2] 8 6 3" xfId="35258"/>
    <cellStyle name="CALC Percent Total [2] 8 6 4" xfId="48145"/>
    <cellStyle name="CALC Percent Total [2] 8 7" xfId="20758"/>
    <cellStyle name="CALC Percent Total [2] 8 7 2" xfId="29079"/>
    <cellStyle name="CALC Percent Total [2] 8 7 2 2" xfId="48146"/>
    <cellStyle name="CALC Percent Total [2] 8 7 3" xfId="36171"/>
    <cellStyle name="CALC Percent Total [2] 8 7 4" xfId="48147"/>
    <cellStyle name="CALC Percent Total [2] 8 8" xfId="21174"/>
    <cellStyle name="CALC Percent Total [2] 8 8 2" xfId="29486"/>
    <cellStyle name="CALC Percent Total [2] 8 8 2 2" xfId="48148"/>
    <cellStyle name="CALC Percent Total [2] 8 8 3" xfId="36557"/>
    <cellStyle name="CALC Percent Total [2] 8 8 4" xfId="48149"/>
    <cellStyle name="CALC Percent Total [2] 8 9" xfId="22194"/>
    <cellStyle name="CALC Percent Total [2] 8 9 2" xfId="30492"/>
    <cellStyle name="CALC Percent Total [2] 8 9 2 2" xfId="48150"/>
    <cellStyle name="CALC Percent Total [2] 8 9 3" xfId="37523"/>
    <cellStyle name="CALC Percent Total [2] 8 9 4" xfId="48151"/>
    <cellStyle name="CALC Percent Total [2] 9" xfId="14765"/>
    <cellStyle name="CALC Percent Total [2] 9 10" xfId="23129"/>
    <cellStyle name="CALC Percent Total [2] 9 10 2" xfId="48152"/>
    <cellStyle name="CALC Percent Total [2] 9 11" xfId="48153"/>
    <cellStyle name="CALC Percent Total [2] 9 12" xfId="48154"/>
    <cellStyle name="CALC Percent Total [2] 9 2" xfId="15846"/>
    <cellStyle name="CALC Percent Total [2] 9 2 2" xfId="24164"/>
    <cellStyle name="CALC Percent Total [2] 9 2 2 2" xfId="48155"/>
    <cellStyle name="CALC Percent Total [2] 9 2 3" xfId="31452"/>
    <cellStyle name="CALC Percent Total [2] 9 2 4" xfId="48156"/>
    <cellStyle name="CALC Percent Total [2] 9 3" xfId="16812"/>
    <cellStyle name="CALC Percent Total [2] 9 3 2" xfId="25136"/>
    <cellStyle name="CALC Percent Total [2] 9 3 2 2" xfId="48157"/>
    <cellStyle name="CALC Percent Total [2] 9 3 3" xfId="32385"/>
    <cellStyle name="CALC Percent Total [2] 9 3 4" xfId="48158"/>
    <cellStyle name="CALC Percent Total [2] 9 4" xfId="17838"/>
    <cellStyle name="CALC Percent Total [2] 9 4 2" xfId="26162"/>
    <cellStyle name="CALC Percent Total [2] 9 4 2 2" xfId="48159"/>
    <cellStyle name="CALC Percent Total [2] 9 4 3" xfId="33362"/>
    <cellStyle name="CALC Percent Total [2] 9 4 4" xfId="48160"/>
    <cellStyle name="CALC Percent Total [2] 9 5" xfId="18822"/>
    <cellStyle name="CALC Percent Total [2] 9 5 2" xfId="27143"/>
    <cellStyle name="CALC Percent Total [2] 9 5 2 2" xfId="48161"/>
    <cellStyle name="CALC Percent Total [2] 9 5 3" xfId="34302"/>
    <cellStyle name="CALC Percent Total [2] 9 5 4" xfId="48162"/>
    <cellStyle name="CALC Percent Total [2] 9 6" xfId="19790"/>
    <cellStyle name="CALC Percent Total [2] 9 6 2" xfId="28112"/>
    <cellStyle name="CALC Percent Total [2] 9 6 2 2" xfId="48163"/>
    <cellStyle name="CALC Percent Total [2] 9 6 3" xfId="35248"/>
    <cellStyle name="CALC Percent Total [2] 9 6 4" xfId="48164"/>
    <cellStyle name="CALC Percent Total [2] 9 7" xfId="20748"/>
    <cellStyle name="CALC Percent Total [2] 9 7 2" xfId="29069"/>
    <cellStyle name="CALC Percent Total [2] 9 7 2 2" xfId="48165"/>
    <cellStyle name="CALC Percent Total [2] 9 7 3" xfId="36161"/>
    <cellStyle name="CALC Percent Total [2] 9 7 4" xfId="48166"/>
    <cellStyle name="CALC Percent Total [2] 9 8" xfId="21280"/>
    <cellStyle name="CALC Percent Total [2] 9 8 2" xfId="29587"/>
    <cellStyle name="CALC Percent Total [2] 9 8 2 2" xfId="48167"/>
    <cellStyle name="CALC Percent Total [2] 9 8 3" xfId="36654"/>
    <cellStyle name="CALC Percent Total [2] 9 8 4" xfId="48168"/>
    <cellStyle name="CALC Percent Total [2] 9 9" xfId="22184"/>
    <cellStyle name="CALC Percent Total [2] 9 9 2" xfId="30482"/>
    <cellStyle name="CALC Percent Total [2] 9 9 2 2" xfId="48169"/>
    <cellStyle name="CALC Percent Total [2] 9 9 3" xfId="37513"/>
    <cellStyle name="CALC Percent Total [2] 9 9 4" xfId="48170"/>
    <cellStyle name="CALC Percent Total 10" xfId="14660"/>
    <cellStyle name="CALC Percent Total 10 10" xfId="23022"/>
    <cellStyle name="CALC Percent Total 10 10 2" xfId="48171"/>
    <cellStyle name="CALC Percent Total 10 11" xfId="48172"/>
    <cellStyle name="CALC Percent Total 10 2" xfId="15741"/>
    <cellStyle name="CALC Percent Total 10 2 2" xfId="24057"/>
    <cellStyle name="CALC Percent Total 10 2 2 2" xfId="48173"/>
    <cellStyle name="CALC Percent Total 10 2 3" xfId="31349"/>
    <cellStyle name="CALC Percent Total 10 2 4" xfId="48174"/>
    <cellStyle name="CALC Percent Total 10 3" xfId="16707"/>
    <cellStyle name="CALC Percent Total 10 3 2" xfId="25028"/>
    <cellStyle name="CALC Percent Total 10 3 2 2" xfId="48175"/>
    <cellStyle name="CALC Percent Total 10 3 3" xfId="32282"/>
    <cellStyle name="CALC Percent Total 10 3 4" xfId="48176"/>
    <cellStyle name="CALC Percent Total 10 4" xfId="17731"/>
    <cellStyle name="CALC Percent Total 10 4 2" xfId="26054"/>
    <cellStyle name="CALC Percent Total 10 4 2 2" xfId="48177"/>
    <cellStyle name="CALC Percent Total 10 4 3" xfId="33259"/>
    <cellStyle name="CALC Percent Total 10 4 4" xfId="48178"/>
    <cellStyle name="CALC Percent Total 10 5" xfId="18714"/>
    <cellStyle name="CALC Percent Total 10 5 2" xfId="27035"/>
    <cellStyle name="CALC Percent Total 10 5 2 2" xfId="48179"/>
    <cellStyle name="CALC Percent Total 10 5 3" xfId="34198"/>
    <cellStyle name="CALC Percent Total 10 5 4" xfId="48180"/>
    <cellStyle name="CALC Percent Total 10 6" xfId="19683"/>
    <cellStyle name="CALC Percent Total 10 6 2" xfId="28004"/>
    <cellStyle name="CALC Percent Total 10 6 2 2" xfId="48181"/>
    <cellStyle name="CALC Percent Total 10 6 3" xfId="35144"/>
    <cellStyle name="CALC Percent Total 10 6 4" xfId="48182"/>
    <cellStyle name="CALC Percent Total 10 7" xfId="20640"/>
    <cellStyle name="CALC Percent Total 10 7 2" xfId="28961"/>
    <cellStyle name="CALC Percent Total 10 7 2 2" xfId="48183"/>
    <cellStyle name="CALC Percent Total 10 7 3" xfId="36059"/>
    <cellStyle name="CALC Percent Total 10 7 4" xfId="48184"/>
    <cellStyle name="CALC Percent Total 10 8" xfId="18553"/>
    <cellStyle name="CALC Percent Total 10 8 2" xfId="26870"/>
    <cellStyle name="CALC Percent Total 10 8 2 2" xfId="48185"/>
    <cellStyle name="CALC Percent Total 10 8 3" xfId="34040"/>
    <cellStyle name="CALC Percent Total 10 8 4" xfId="48186"/>
    <cellStyle name="CALC Percent Total 10 9" xfId="22077"/>
    <cellStyle name="CALC Percent Total 10 9 2" xfId="30375"/>
    <cellStyle name="CALC Percent Total 10 9 2 2" xfId="48187"/>
    <cellStyle name="CALC Percent Total 10 9 3" xfId="37410"/>
    <cellStyle name="CALC Percent Total 10 9 4" xfId="48188"/>
    <cellStyle name="CALC Percent Total 100" xfId="15470"/>
    <cellStyle name="CALC Percent Total 100 2" xfId="17516"/>
    <cellStyle name="CALC Percent Total 100 2 2" xfId="25836"/>
    <cellStyle name="CALC Percent Total 100 2 2 2" xfId="48189"/>
    <cellStyle name="CALC Percent Total 100 2 3" xfId="33055"/>
    <cellStyle name="CALC Percent Total 100 2 4" xfId="48190"/>
    <cellStyle name="CALC Percent Total 100 3" xfId="19527"/>
    <cellStyle name="CALC Percent Total 100 3 2" xfId="27848"/>
    <cellStyle name="CALC Percent Total 100 3 2 2" xfId="48191"/>
    <cellStyle name="CALC Percent Total 100 3 3" xfId="34996"/>
    <cellStyle name="CALC Percent Total 100 3 4" xfId="48192"/>
    <cellStyle name="CALC Percent Total 100 4" xfId="48193"/>
    <cellStyle name="CALC Percent Total 100 4 2" xfId="48194"/>
    <cellStyle name="CALC Percent Total 101" xfId="15526"/>
    <cellStyle name="CALC Percent Total 101 2" xfId="48195"/>
    <cellStyle name="CALC Percent Total 101 2 2" xfId="48196"/>
    <cellStyle name="CALC Percent Total 102" xfId="15491"/>
    <cellStyle name="CALC Percent Total 102 2" xfId="48197"/>
    <cellStyle name="CALC Percent Total 102 2 2" xfId="48198"/>
    <cellStyle name="CALC Percent Total 103" xfId="15551"/>
    <cellStyle name="CALC Percent Total 103 2" xfId="48199"/>
    <cellStyle name="CALC Percent Total 103 2 2" xfId="48200"/>
    <cellStyle name="CALC Percent Total 104" xfId="15490"/>
    <cellStyle name="CALC Percent Total 104 2" xfId="48201"/>
    <cellStyle name="CALC Percent Total 104 2 2" xfId="48202"/>
    <cellStyle name="CALC Percent Total 105" xfId="18851"/>
    <cellStyle name="CALC Percent Total 105 2" xfId="48203"/>
    <cellStyle name="CALC Percent Total 105 2 2" xfId="48204"/>
    <cellStyle name="CALC Percent Total 106" xfId="18540"/>
    <cellStyle name="CALC Percent Total 106 2" xfId="48205"/>
    <cellStyle name="CALC Percent Total 106 2 2" xfId="48206"/>
    <cellStyle name="CALC Percent Total 107" xfId="21345"/>
    <cellStyle name="CALC Percent Total 107 2" xfId="48207"/>
    <cellStyle name="CALC Percent Total 107 2 2" xfId="48208"/>
    <cellStyle name="CALC Percent Total 108" xfId="21104"/>
    <cellStyle name="CALC Percent Total 108 2" xfId="48209"/>
    <cellStyle name="CALC Percent Total 108 2 2" xfId="48210"/>
    <cellStyle name="CALC Percent Total 109" xfId="15602"/>
    <cellStyle name="CALC Percent Total 109 2" xfId="48211"/>
    <cellStyle name="CALC Percent Total 11" xfId="14657"/>
    <cellStyle name="CALC Percent Total 11 10" xfId="23019"/>
    <cellStyle name="CALC Percent Total 11 10 2" xfId="48212"/>
    <cellStyle name="CALC Percent Total 11 11" xfId="48213"/>
    <cellStyle name="CALC Percent Total 11 2" xfId="15738"/>
    <cellStyle name="CALC Percent Total 11 2 2" xfId="24054"/>
    <cellStyle name="CALC Percent Total 11 2 2 2" xfId="48214"/>
    <cellStyle name="CALC Percent Total 11 2 3" xfId="31346"/>
    <cellStyle name="CALC Percent Total 11 2 4" xfId="48215"/>
    <cellStyle name="CALC Percent Total 11 3" xfId="16704"/>
    <cellStyle name="CALC Percent Total 11 3 2" xfId="25025"/>
    <cellStyle name="CALC Percent Total 11 3 2 2" xfId="48216"/>
    <cellStyle name="CALC Percent Total 11 3 3" xfId="32279"/>
    <cellStyle name="CALC Percent Total 11 3 4" xfId="48217"/>
    <cellStyle name="CALC Percent Total 11 4" xfId="17728"/>
    <cellStyle name="CALC Percent Total 11 4 2" xfId="26051"/>
    <cellStyle name="CALC Percent Total 11 4 2 2" xfId="48218"/>
    <cellStyle name="CALC Percent Total 11 4 3" xfId="33256"/>
    <cellStyle name="CALC Percent Total 11 4 4" xfId="48219"/>
    <cellStyle name="CALC Percent Total 11 5" xfId="18711"/>
    <cellStyle name="CALC Percent Total 11 5 2" xfId="27032"/>
    <cellStyle name="CALC Percent Total 11 5 2 2" xfId="48220"/>
    <cellStyle name="CALC Percent Total 11 5 3" xfId="34195"/>
    <cellStyle name="CALC Percent Total 11 5 4" xfId="48221"/>
    <cellStyle name="CALC Percent Total 11 6" xfId="19680"/>
    <cellStyle name="CALC Percent Total 11 6 2" xfId="28001"/>
    <cellStyle name="CALC Percent Total 11 6 2 2" xfId="48222"/>
    <cellStyle name="CALC Percent Total 11 6 3" xfId="35141"/>
    <cellStyle name="CALC Percent Total 11 6 4" xfId="48223"/>
    <cellStyle name="CALC Percent Total 11 7" xfId="20637"/>
    <cellStyle name="CALC Percent Total 11 7 2" xfId="28958"/>
    <cellStyle name="CALC Percent Total 11 7 2 2" xfId="48224"/>
    <cellStyle name="CALC Percent Total 11 7 3" xfId="36056"/>
    <cellStyle name="CALC Percent Total 11 7 4" xfId="48225"/>
    <cellStyle name="CALC Percent Total 11 8" xfId="18542"/>
    <cellStyle name="CALC Percent Total 11 8 2" xfId="26859"/>
    <cellStyle name="CALC Percent Total 11 8 2 2" xfId="48226"/>
    <cellStyle name="CALC Percent Total 11 8 3" xfId="34029"/>
    <cellStyle name="CALC Percent Total 11 8 4" xfId="48227"/>
    <cellStyle name="CALC Percent Total 11 9" xfId="22074"/>
    <cellStyle name="CALC Percent Total 11 9 2" xfId="30372"/>
    <cellStyle name="CALC Percent Total 11 9 2 2" xfId="48228"/>
    <cellStyle name="CALC Percent Total 11 9 3" xfId="37407"/>
    <cellStyle name="CALC Percent Total 11 9 4" xfId="48229"/>
    <cellStyle name="CALC Percent Total 110" xfId="30511"/>
    <cellStyle name="CALC Percent Total 111" xfId="48230"/>
    <cellStyle name="CALC Percent Total 112" xfId="48231"/>
    <cellStyle name="CALC Percent Total 12" xfId="14679"/>
    <cellStyle name="CALC Percent Total 12 10" xfId="23041"/>
    <cellStyle name="CALC Percent Total 12 10 2" xfId="48232"/>
    <cellStyle name="CALC Percent Total 12 11" xfId="48233"/>
    <cellStyle name="CALC Percent Total 12 2" xfId="15760"/>
    <cellStyle name="CALC Percent Total 12 2 2" xfId="24076"/>
    <cellStyle name="CALC Percent Total 12 2 2 2" xfId="48234"/>
    <cellStyle name="CALC Percent Total 12 2 3" xfId="31367"/>
    <cellStyle name="CALC Percent Total 12 2 4" xfId="48235"/>
    <cellStyle name="CALC Percent Total 12 3" xfId="16726"/>
    <cellStyle name="CALC Percent Total 12 3 2" xfId="25047"/>
    <cellStyle name="CALC Percent Total 12 3 2 2" xfId="48236"/>
    <cellStyle name="CALC Percent Total 12 3 3" xfId="32300"/>
    <cellStyle name="CALC Percent Total 12 3 4" xfId="48237"/>
    <cellStyle name="CALC Percent Total 12 4" xfId="17750"/>
    <cellStyle name="CALC Percent Total 12 4 2" xfId="26073"/>
    <cellStyle name="CALC Percent Total 12 4 2 2" xfId="48238"/>
    <cellStyle name="CALC Percent Total 12 4 3" xfId="33277"/>
    <cellStyle name="CALC Percent Total 12 4 4" xfId="48239"/>
    <cellStyle name="CALC Percent Total 12 5" xfId="18733"/>
    <cellStyle name="CALC Percent Total 12 5 2" xfId="27054"/>
    <cellStyle name="CALC Percent Total 12 5 2 2" xfId="48240"/>
    <cellStyle name="CALC Percent Total 12 5 3" xfId="34216"/>
    <cellStyle name="CALC Percent Total 12 5 4" xfId="48241"/>
    <cellStyle name="CALC Percent Total 12 6" xfId="19702"/>
    <cellStyle name="CALC Percent Total 12 6 2" xfId="28023"/>
    <cellStyle name="CALC Percent Total 12 6 2 2" xfId="48242"/>
    <cellStyle name="CALC Percent Total 12 6 3" xfId="35162"/>
    <cellStyle name="CALC Percent Total 12 6 4" xfId="48243"/>
    <cellStyle name="CALC Percent Total 12 7" xfId="20659"/>
    <cellStyle name="CALC Percent Total 12 7 2" xfId="28980"/>
    <cellStyle name="CALC Percent Total 12 7 2 2" xfId="48244"/>
    <cellStyle name="CALC Percent Total 12 7 3" xfId="36077"/>
    <cellStyle name="CALC Percent Total 12 7 4" xfId="48245"/>
    <cellStyle name="CALC Percent Total 12 8" xfId="21190"/>
    <cellStyle name="CALC Percent Total 12 8 2" xfId="29502"/>
    <cellStyle name="CALC Percent Total 12 8 2 2" xfId="48246"/>
    <cellStyle name="CALC Percent Total 12 8 3" xfId="36573"/>
    <cellStyle name="CALC Percent Total 12 8 4" xfId="48247"/>
    <cellStyle name="CALC Percent Total 12 9" xfId="22096"/>
    <cellStyle name="CALC Percent Total 12 9 2" xfId="30394"/>
    <cellStyle name="CALC Percent Total 12 9 2 2" xfId="48248"/>
    <cellStyle name="CALC Percent Total 12 9 3" xfId="37428"/>
    <cellStyle name="CALC Percent Total 12 9 4" xfId="48249"/>
    <cellStyle name="CALC Percent Total 13" xfId="14687"/>
    <cellStyle name="CALC Percent Total 13 10" xfId="23050"/>
    <cellStyle name="CALC Percent Total 13 10 2" xfId="48250"/>
    <cellStyle name="CALC Percent Total 13 11" xfId="48251"/>
    <cellStyle name="CALC Percent Total 13 2" xfId="15768"/>
    <cellStyle name="CALC Percent Total 13 2 2" xfId="24085"/>
    <cellStyle name="CALC Percent Total 13 2 2 2" xfId="48252"/>
    <cellStyle name="CALC Percent Total 13 2 3" xfId="31376"/>
    <cellStyle name="CALC Percent Total 13 2 4" xfId="48253"/>
    <cellStyle name="CALC Percent Total 13 3" xfId="16734"/>
    <cellStyle name="CALC Percent Total 13 3 2" xfId="25056"/>
    <cellStyle name="CALC Percent Total 13 3 2 2" xfId="48254"/>
    <cellStyle name="CALC Percent Total 13 3 3" xfId="32309"/>
    <cellStyle name="CALC Percent Total 13 3 4" xfId="48255"/>
    <cellStyle name="CALC Percent Total 13 4" xfId="17758"/>
    <cellStyle name="CALC Percent Total 13 4 2" xfId="26082"/>
    <cellStyle name="CALC Percent Total 13 4 2 2" xfId="48256"/>
    <cellStyle name="CALC Percent Total 13 4 3" xfId="33286"/>
    <cellStyle name="CALC Percent Total 13 4 4" xfId="48257"/>
    <cellStyle name="CALC Percent Total 13 5" xfId="18742"/>
    <cellStyle name="CALC Percent Total 13 5 2" xfId="27063"/>
    <cellStyle name="CALC Percent Total 13 5 2 2" xfId="48258"/>
    <cellStyle name="CALC Percent Total 13 5 3" xfId="34225"/>
    <cellStyle name="CALC Percent Total 13 5 4" xfId="48259"/>
    <cellStyle name="CALC Percent Total 13 6" xfId="19711"/>
    <cellStyle name="CALC Percent Total 13 6 2" xfId="28032"/>
    <cellStyle name="CALC Percent Total 13 6 2 2" xfId="48260"/>
    <cellStyle name="CALC Percent Total 13 6 3" xfId="35171"/>
    <cellStyle name="CALC Percent Total 13 6 4" xfId="48261"/>
    <cellStyle name="CALC Percent Total 13 7" xfId="20668"/>
    <cellStyle name="CALC Percent Total 13 7 2" xfId="28989"/>
    <cellStyle name="CALC Percent Total 13 7 2 2" xfId="48262"/>
    <cellStyle name="CALC Percent Total 13 7 3" xfId="36086"/>
    <cellStyle name="CALC Percent Total 13 7 4" xfId="48263"/>
    <cellStyle name="CALC Percent Total 13 8" xfId="21078"/>
    <cellStyle name="CALC Percent Total 13 8 2" xfId="29395"/>
    <cellStyle name="CALC Percent Total 13 8 2 2" xfId="48264"/>
    <cellStyle name="CALC Percent Total 13 8 3" xfId="36471"/>
    <cellStyle name="CALC Percent Total 13 8 4" xfId="48265"/>
    <cellStyle name="CALC Percent Total 13 9" xfId="22105"/>
    <cellStyle name="CALC Percent Total 13 9 2" xfId="30403"/>
    <cellStyle name="CALC Percent Total 13 9 2 2" xfId="48266"/>
    <cellStyle name="CALC Percent Total 13 9 3" xfId="37437"/>
    <cellStyle name="CALC Percent Total 13 9 4" xfId="48267"/>
    <cellStyle name="CALC Percent Total 14" xfId="14698"/>
    <cellStyle name="CALC Percent Total 14 10" xfId="23060"/>
    <cellStyle name="CALC Percent Total 14 10 2" xfId="48268"/>
    <cellStyle name="CALC Percent Total 14 11" xfId="48269"/>
    <cellStyle name="CALC Percent Total 14 2" xfId="15779"/>
    <cellStyle name="CALC Percent Total 14 2 2" xfId="24095"/>
    <cellStyle name="CALC Percent Total 14 2 2 2" xfId="48270"/>
    <cellStyle name="CALC Percent Total 14 2 3" xfId="31386"/>
    <cellStyle name="CALC Percent Total 14 2 4" xfId="48271"/>
    <cellStyle name="CALC Percent Total 14 3" xfId="16745"/>
    <cellStyle name="CALC Percent Total 14 3 2" xfId="25067"/>
    <cellStyle name="CALC Percent Total 14 3 2 2" xfId="48272"/>
    <cellStyle name="CALC Percent Total 14 3 3" xfId="32319"/>
    <cellStyle name="CALC Percent Total 14 3 4" xfId="48273"/>
    <cellStyle name="CALC Percent Total 14 4" xfId="17769"/>
    <cellStyle name="CALC Percent Total 14 4 2" xfId="26093"/>
    <cellStyle name="CALC Percent Total 14 4 2 2" xfId="48274"/>
    <cellStyle name="CALC Percent Total 14 4 3" xfId="33296"/>
    <cellStyle name="CALC Percent Total 14 4 4" xfId="48275"/>
    <cellStyle name="CALC Percent Total 14 5" xfId="18753"/>
    <cellStyle name="CALC Percent Total 14 5 2" xfId="27074"/>
    <cellStyle name="CALC Percent Total 14 5 2 2" xfId="48276"/>
    <cellStyle name="CALC Percent Total 14 5 3" xfId="34236"/>
    <cellStyle name="CALC Percent Total 14 5 4" xfId="48277"/>
    <cellStyle name="CALC Percent Total 14 6" xfId="19722"/>
    <cellStyle name="CALC Percent Total 14 6 2" xfId="28043"/>
    <cellStyle name="CALC Percent Total 14 6 2 2" xfId="48278"/>
    <cellStyle name="CALC Percent Total 14 6 3" xfId="35182"/>
    <cellStyle name="CALC Percent Total 14 6 4" xfId="48279"/>
    <cellStyle name="CALC Percent Total 14 7" xfId="20679"/>
    <cellStyle name="CALC Percent Total 14 7 2" xfId="29000"/>
    <cellStyle name="CALC Percent Total 14 7 2 2" xfId="48280"/>
    <cellStyle name="CALC Percent Total 14 7 3" xfId="36096"/>
    <cellStyle name="CALC Percent Total 14 7 4" xfId="48281"/>
    <cellStyle name="CALC Percent Total 14 8" xfId="21218"/>
    <cellStyle name="CALC Percent Total 14 8 2" xfId="29529"/>
    <cellStyle name="CALC Percent Total 14 8 2 2" xfId="48282"/>
    <cellStyle name="CALC Percent Total 14 8 3" xfId="36598"/>
    <cellStyle name="CALC Percent Total 14 8 4" xfId="48283"/>
    <cellStyle name="CALC Percent Total 14 9" xfId="22115"/>
    <cellStyle name="CALC Percent Total 14 9 2" xfId="30413"/>
    <cellStyle name="CALC Percent Total 14 9 2 2" xfId="48284"/>
    <cellStyle name="CALC Percent Total 14 9 3" xfId="37447"/>
    <cellStyle name="CALC Percent Total 14 9 4" xfId="48285"/>
    <cellStyle name="CALC Percent Total 15" xfId="14743"/>
    <cellStyle name="CALC Percent Total 15 10" xfId="23107"/>
    <cellStyle name="CALC Percent Total 15 10 2" xfId="48286"/>
    <cellStyle name="CALC Percent Total 15 11" xfId="48287"/>
    <cellStyle name="CALC Percent Total 15 2" xfId="15824"/>
    <cellStyle name="CALC Percent Total 15 2 2" xfId="24142"/>
    <cellStyle name="CALC Percent Total 15 2 2 2" xfId="48288"/>
    <cellStyle name="CALC Percent Total 15 2 3" xfId="31430"/>
    <cellStyle name="CALC Percent Total 15 2 4" xfId="48289"/>
    <cellStyle name="CALC Percent Total 15 3" xfId="16790"/>
    <cellStyle name="CALC Percent Total 15 3 2" xfId="25114"/>
    <cellStyle name="CALC Percent Total 15 3 2 2" xfId="48290"/>
    <cellStyle name="CALC Percent Total 15 3 3" xfId="32363"/>
    <cellStyle name="CALC Percent Total 15 3 4" xfId="48291"/>
    <cellStyle name="CALC Percent Total 15 4" xfId="17816"/>
    <cellStyle name="CALC Percent Total 15 4 2" xfId="26140"/>
    <cellStyle name="CALC Percent Total 15 4 2 2" xfId="48292"/>
    <cellStyle name="CALC Percent Total 15 4 3" xfId="33340"/>
    <cellStyle name="CALC Percent Total 15 4 4" xfId="48293"/>
    <cellStyle name="CALC Percent Total 15 5" xfId="18800"/>
    <cellStyle name="CALC Percent Total 15 5 2" xfId="27121"/>
    <cellStyle name="CALC Percent Total 15 5 2 2" xfId="48294"/>
    <cellStyle name="CALC Percent Total 15 5 3" xfId="34280"/>
    <cellStyle name="CALC Percent Total 15 5 4" xfId="48295"/>
    <cellStyle name="CALC Percent Total 15 6" xfId="19768"/>
    <cellStyle name="CALC Percent Total 15 6 2" xfId="28090"/>
    <cellStyle name="CALC Percent Total 15 6 2 2" xfId="48296"/>
    <cellStyle name="CALC Percent Total 15 6 3" xfId="35226"/>
    <cellStyle name="CALC Percent Total 15 6 4" xfId="48297"/>
    <cellStyle name="CALC Percent Total 15 7" xfId="20726"/>
    <cellStyle name="CALC Percent Total 15 7 2" xfId="29047"/>
    <cellStyle name="CALC Percent Total 15 7 2 2" xfId="48298"/>
    <cellStyle name="CALC Percent Total 15 7 3" xfId="36139"/>
    <cellStyle name="CALC Percent Total 15 7 4" xfId="48299"/>
    <cellStyle name="CALC Percent Total 15 8" xfId="21219"/>
    <cellStyle name="CALC Percent Total 15 8 2" xfId="29530"/>
    <cellStyle name="CALC Percent Total 15 8 2 2" xfId="48300"/>
    <cellStyle name="CALC Percent Total 15 8 3" xfId="36599"/>
    <cellStyle name="CALC Percent Total 15 8 4" xfId="48301"/>
    <cellStyle name="CALC Percent Total 15 9" xfId="22162"/>
    <cellStyle name="CALC Percent Total 15 9 2" xfId="30460"/>
    <cellStyle name="CALC Percent Total 15 9 2 2" xfId="48302"/>
    <cellStyle name="CALC Percent Total 15 9 3" xfId="37491"/>
    <cellStyle name="CALC Percent Total 15 9 4" xfId="48303"/>
    <cellStyle name="CALC Percent Total 16" xfId="14736"/>
    <cellStyle name="CALC Percent Total 16 10" xfId="23100"/>
    <cellStyle name="CALC Percent Total 16 10 2" xfId="48304"/>
    <cellStyle name="CALC Percent Total 16 11" xfId="48305"/>
    <cellStyle name="CALC Percent Total 16 2" xfId="15817"/>
    <cellStyle name="CALC Percent Total 16 2 2" xfId="24135"/>
    <cellStyle name="CALC Percent Total 16 2 2 2" xfId="48306"/>
    <cellStyle name="CALC Percent Total 16 2 3" xfId="31423"/>
    <cellStyle name="CALC Percent Total 16 2 4" xfId="48307"/>
    <cellStyle name="CALC Percent Total 16 3" xfId="16783"/>
    <cellStyle name="CALC Percent Total 16 3 2" xfId="25107"/>
    <cellStyle name="CALC Percent Total 16 3 2 2" xfId="48308"/>
    <cellStyle name="CALC Percent Total 16 3 3" xfId="32356"/>
    <cellStyle name="CALC Percent Total 16 3 4" xfId="48309"/>
    <cellStyle name="CALC Percent Total 16 4" xfId="17809"/>
    <cellStyle name="CALC Percent Total 16 4 2" xfId="26133"/>
    <cellStyle name="CALC Percent Total 16 4 2 2" xfId="48310"/>
    <cellStyle name="CALC Percent Total 16 4 3" xfId="33333"/>
    <cellStyle name="CALC Percent Total 16 4 4" xfId="48311"/>
    <cellStyle name="CALC Percent Total 16 5" xfId="18793"/>
    <cellStyle name="CALC Percent Total 16 5 2" xfId="27114"/>
    <cellStyle name="CALC Percent Total 16 5 2 2" xfId="48312"/>
    <cellStyle name="CALC Percent Total 16 5 3" xfId="34273"/>
    <cellStyle name="CALC Percent Total 16 5 4" xfId="48313"/>
    <cellStyle name="CALC Percent Total 16 6" xfId="19761"/>
    <cellStyle name="CALC Percent Total 16 6 2" xfId="28083"/>
    <cellStyle name="CALC Percent Total 16 6 2 2" xfId="48314"/>
    <cellStyle name="CALC Percent Total 16 6 3" xfId="35219"/>
    <cellStyle name="CALC Percent Total 16 6 4" xfId="48315"/>
    <cellStyle name="CALC Percent Total 16 7" xfId="20719"/>
    <cellStyle name="CALC Percent Total 16 7 2" xfId="29040"/>
    <cellStyle name="CALC Percent Total 16 7 2 2" xfId="48316"/>
    <cellStyle name="CALC Percent Total 16 7 3" xfId="36133"/>
    <cellStyle name="CALC Percent Total 16 7 4" xfId="48317"/>
    <cellStyle name="CALC Percent Total 16 8" xfId="21351"/>
    <cellStyle name="CALC Percent Total 16 8 2" xfId="29654"/>
    <cellStyle name="CALC Percent Total 16 8 2 2" xfId="48318"/>
    <cellStyle name="CALC Percent Total 16 8 3" xfId="36719"/>
    <cellStyle name="CALC Percent Total 16 8 4" xfId="48319"/>
    <cellStyle name="CALC Percent Total 16 9" xfId="22155"/>
    <cellStyle name="CALC Percent Total 16 9 2" xfId="30453"/>
    <cellStyle name="CALC Percent Total 16 9 2 2" xfId="48320"/>
    <cellStyle name="CALC Percent Total 16 9 3" xfId="37484"/>
    <cellStyle name="CALC Percent Total 16 9 4" xfId="48321"/>
    <cellStyle name="CALC Percent Total 17" xfId="14760"/>
    <cellStyle name="CALC Percent Total 17 10" xfId="23124"/>
    <cellStyle name="CALC Percent Total 17 10 2" xfId="48322"/>
    <cellStyle name="CALC Percent Total 17 11" xfId="48323"/>
    <cellStyle name="CALC Percent Total 17 2" xfId="15841"/>
    <cellStyle name="CALC Percent Total 17 2 2" xfId="24159"/>
    <cellStyle name="CALC Percent Total 17 2 2 2" xfId="48324"/>
    <cellStyle name="CALC Percent Total 17 2 3" xfId="31447"/>
    <cellStyle name="CALC Percent Total 17 2 4" xfId="48325"/>
    <cellStyle name="CALC Percent Total 17 3" xfId="16807"/>
    <cellStyle name="CALC Percent Total 17 3 2" xfId="25131"/>
    <cellStyle name="CALC Percent Total 17 3 2 2" xfId="48326"/>
    <cellStyle name="CALC Percent Total 17 3 3" xfId="32380"/>
    <cellStyle name="CALC Percent Total 17 3 4" xfId="48327"/>
    <cellStyle name="CALC Percent Total 17 4" xfId="17833"/>
    <cellStyle name="CALC Percent Total 17 4 2" xfId="26157"/>
    <cellStyle name="CALC Percent Total 17 4 2 2" xfId="48328"/>
    <cellStyle name="CALC Percent Total 17 4 3" xfId="33357"/>
    <cellStyle name="CALC Percent Total 17 4 4" xfId="48329"/>
    <cellStyle name="CALC Percent Total 17 5" xfId="18817"/>
    <cellStyle name="CALC Percent Total 17 5 2" xfId="27138"/>
    <cellStyle name="CALC Percent Total 17 5 2 2" xfId="48330"/>
    <cellStyle name="CALC Percent Total 17 5 3" xfId="34297"/>
    <cellStyle name="CALC Percent Total 17 5 4" xfId="48331"/>
    <cellStyle name="CALC Percent Total 17 6" xfId="19785"/>
    <cellStyle name="CALC Percent Total 17 6 2" xfId="28107"/>
    <cellStyle name="CALC Percent Total 17 6 2 2" xfId="48332"/>
    <cellStyle name="CALC Percent Total 17 6 3" xfId="35243"/>
    <cellStyle name="CALC Percent Total 17 6 4" xfId="48333"/>
    <cellStyle name="CALC Percent Total 17 7" xfId="20743"/>
    <cellStyle name="CALC Percent Total 17 7 2" xfId="29064"/>
    <cellStyle name="CALC Percent Total 17 7 2 2" xfId="48334"/>
    <cellStyle name="CALC Percent Total 17 7 3" xfId="36156"/>
    <cellStyle name="CALC Percent Total 17 7 4" xfId="48335"/>
    <cellStyle name="CALC Percent Total 17 8" xfId="21321"/>
    <cellStyle name="CALC Percent Total 17 8 2" xfId="29626"/>
    <cellStyle name="CALC Percent Total 17 8 2 2" xfId="48336"/>
    <cellStyle name="CALC Percent Total 17 8 3" xfId="36693"/>
    <cellStyle name="CALC Percent Total 17 8 4" xfId="48337"/>
    <cellStyle name="CALC Percent Total 17 9" xfId="22179"/>
    <cellStyle name="CALC Percent Total 17 9 2" xfId="30477"/>
    <cellStyle name="CALC Percent Total 17 9 2 2" xfId="48338"/>
    <cellStyle name="CALC Percent Total 17 9 3" xfId="37508"/>
    <cellStyle name="CALC Percent Total 17 9 4" xfId="48339"/>
    <cellStyle name="CALC Percent Total 18" xfId="14707"/>
    <cellStyle name="CALC Percent Total 18 10" xfId="23069"/>
    <cellStyle name="CALC Percent Total 18 10 2" xfId="48340"/>
    <cellStyle name="CALC Percent Total 18 11" xfId="48341"/>
    <cellStyle name="CALC Percent Total 18 12" xfId="48342"/>
    <cellStyle name="CALC Percent Total 18 2" xfId="15788"/>
    <cellStyle name="CALC Percent Total 18 2 2" xfId="24104"/>
    <cellStyle name="CALC Percent Total 18 2 2 2" xfId="48343"/>
    <cellStyle name="CALC Percent Total 18 2 3" xfId="31393"/>
    <cellStyle name="CALC Percent Total 18 2 4" xfId="48344"/>
    <cellStyle name="CALC Percent Total 18 3" xfId="16754"/>
    <cellStyle name="CALC Percent Total 18 3 2" xfId="25076"/>
    <cellStyle name="CALC Percent Total 18 3 2 2" xfId="48345"/>
    <cellStyle name="CALC Percent Total 18 3 3" xfId="32326"/>
    <cellStyle name="CALC Percent Total 18 3 4" xfId="48346"/>
    <cellStyle name="CALC Percent Total 18 4" xfId="17778"/>
    <cellStyle name="CALC Percent Total 18 4 2" xfId="26102"/>
    <cellStyle name="CALC Percent Total 18 4 2 2" xfId="48347"/>
    <cellStyle name="CALC Percent Total 18 4 3" xfId="33303"/>
    <cellStyle name="CALC Percent Total 18 4 4" xfId="48348"/>
    <cellStyle name="CALC Percent Total 18 5" xfId="18762"/>
    <cellStyle name="CALC Percent Total 18 5 2" xfId="27083"/>
    <cellStyle name="CALC Percent Total 18 5 2 2" xfId="48349"/>
    <cellStyle name="CALC Percent Total 18 5 3" xfId="34243"/>
    <cellStyle name="CALC Percent Total 18 5 4" xfId="48350"/>
    <cellStyle name="CALC Percent Total 18 6" xfId="19731"/>
    <cellStyle name="CALC Percent Total 18 6 2" xfId="28052"/>
    <cellStyle name="CALC Percent Total 18 6 2 2" xfId="48351"/>
    <cellStyle name="CALC Percent Total 18 6 3" xfId="35189"/>
    <cellStyle name="CALC Percent Total 18 6 4" xfId="48352"/>
    <cellStyle name="CALC Percent Total 18 7" xfId="20688"/>
    <cellStyle name="CALC Percent Total 18 7 2" xfId="29009"/>
    <cellStyle name="CALC Percent Total 18 7 2 2" xfId="48353"/>
    <cellStyle name="CALC Percent Total 18 7 3" xfId="36103"/>
    <cellStyle name="CALC Percent Total 18 7 4" xfId="48354"/>
    <cellStyle name="CALC Percent Total 18 8" xfId="21363"/>
    <cellStyle name="CALC Percent Total 18 8 2" xfId="29666"/>
    <cellStyle name="CALC Percent Total 18 8 2 2" xfId="48355"/>
    <cellStyle name="CALC Percent Total 18 8 3" xfId="36731"/>
    <cellStyle name="CALC Percent Total 18 8 4" xfId="48356"/>
    <cellStyle name="CALC Percent Total 18 9" xfId="22124"/>
    <cellStyle name="CALC Percent Total 18 9 2" xfId="30422"/>
    <cellStyle name="CALC Percent Total 18 9 2 2" xfId="48357"/>
    <cellStyle name="CALC Percent Total 18 9 3" xfId="37454"/>
    <cellStyle name="CALC Percent Total 18 9 4" xfId="48358"/>
    <cellStyle name="CALC Percent Total 19" xfId="14730"/>
    <cellStyle name="CALC Percent Total 19 10" xfId="23094"/>
    <cellStyle name="CALC Percent Total 19 10 2" xfId="48359"/>
    <cellStyle name="CALC Percent Total 19 11" xfId="48360"/>
    <cellStyle name="CALC Percent Total 19 12" xfId="48361"/>
    <cellStyle name="CALC Percent Total 19 2" xfId="15811"/>
    <cellStyle name="CALC Percent Total 19 2 2" xfId="24129"/>
    <cellStyle name="CALC Percent Total 19 2 2 2" xfId="48362"/>
    <cellStyle name="CALC Percent Total 19 2 3" xfId="31417"/>
    <cellStyle name="CALC Percent Total 19 2 4" xfId="48363"/>
    <cellStyle name="CALC Percent Total 19 3" xfId="16777"/>
    <cellStyle name="CALC Percent Total 19 3 2" xfId="25101"/>
    <cellStyle name="CALC Percent Total 19 3 2 2" xfId="48364"/>
    <cellStyle name="CALC Percent Total 19 3 3" xfId="32350"/>
    <cellStyle name="CALC Percent Total 19 3 4" xfId="48365"/>
    <cellStyle name="CALC Percent Total 19 4" xfId="17803"/>
    <cellStyle name="CALC Percent Total 19 4 2" xfId="26127"/>
    <cellStyle name="CALC Percent Total 19 4 2 2" xfId="48366"/>
    <cellStyle name="CALC Percent Total 19 4 3" xfId="33327"/>
    <cellStyle name="CALC Percent Total 19 4 4" xfId="48367"/>
    <cellStyle name="CALC Percent Total 19 5" xfId="18787"/>
    <cellStyle name="CALC Percent Total 19 5 2" xfId="27108"/>
    <cellStyle name="CALC Percent Total 19 5 2 2" xfId="48368"/>
    <cellStyle name="CALC Percent Total 19 5 3" xfId="34267"/>
    <cellStyle name="CALC Percent Total 19 5 4" xfId="48369"/>
    <cellStyle name="CALC Percent Total 19 6" xfId="19755"/>
    <cellStyle name="CALC Percent Total 19 6 2" xfId="28077"/>
    <cellStyle name="CALC Percent Total 19 6 2 2" xfId="48370"/>
    <cellStyle name="CALC Percent Total 19 6 3" xfId="35213"/>
    <cellStyle name="CALC Percent Total 19 6 4" xfId="48371"/>
    <cellStyle name="CALC Percent Total 19 7" xfId="20713"/>
    <cellStyle name="CALC Percent Total 19 7 2" xfId="29034"/>
    <cellStyle name="CALC Percent Total 19 7 2 2" xfId="48372"/>
    <cellStyle name="CALC Percent Total 19 7 3" xfId="36127"/>
    <cellStyle name="CALC Percent Total 19 7 4" xfId="48373"/>
    <cellStyle name="CALC Percent Total 19 8" xfId="15547"/>
    <cellStyle name="CALC Percent Total 19 8 2" xfId="23880"/>
    <cellStyle name="CALC Percent Total 19 8 2 2" xfId="48374"/>
    <cellStyle name="CALC Percent Total 19 8 3" xfId="31224"/>
    <cellStyle name="CALC Percent Total 19 8 4" xfId="48375"/>
    <cellStyle name="CALC Percent Total 19 9" xfId="22149"/>
    <cellStyle name="CALC Percent Total 19 9 2" xfId="30447"/>
    <cellStyle name="CALC Percent Total 19 9 2 2" xfId="48376"/>
    <cellStyle name="CALC Percent Total 19 9 3" xfId="37478"/>
    <cellStyle name="CALC Percent Total 19 9 4" xfId="48377"/>
    <cellStyle name="CALC Percent Total 2" xfId="14476"/>
    <cellStyle name="CALC Percent Total 2 10" xfId="14805"/>
    <cellStyle name="CALC Percent Total 2 10 10" xfId="23169"/>
    <cellStyle name="CALC Percent Total 2 10 10 2" xfId="48378"/>
    <cellStyle name="CALC Percent Total 2 10 11" xfId="48379"/>
    <cellStyle name="CALC Percent Total 2 10 12" xfId="48380"/>
    <cellStyle name="CALC Percent Total 2 10 2" xfId="15886"/>
    <cellStyle name="CALC Percent Total 2 10 2 2" xfId="24204"/>
    <cellStyle name="CALC Percent Total 2 10 2 2 2" xfId="48381"/>
    <cellStyle name="CALC Percent Total 2 10 2 3" xfId="31490"/>
    <cellStyle name="CALC Percent Total 2 10 2 4" xfId="48382"/>
    <cellStyle name="CALC Percent Total 2 10 3" xfId="16852"/>
    <cellStyle name="CALC Percent Total 2 10 3 2" xfId="25176"/>
    <cellStyle name="CALC Percent Total 2 10 3 2 2" xfId="48383"/>
    <cellStyle name="CALC Percent Total 2 10 3 3" xfId="32423"/>
    <cellStyle name="CALC Percent Total 2 10 3 4" xfId="48384"/>
    <cellStyle name="CALC Percent Total 2 10 4" xfId="17879"/>
    <cellStyle name="CALC Percent Total 2 10 4 2" xfId="26202"/>
    <cellStyle name="CALC Percent Total 2 10 4 2 2" xfId="48385"/>
    <cellStyle name="CALC Percent Total 2 10 4 3" xfId="33400"/>
    <cellStyle name="CALC Percent Total 2 10 4 4" xfId="48386"/>
    <cellStyle name="CALC Percent Total 2 10 5" xfId="18863"/>
    <cellStyle name="CALC Percent Total 2 10 5 2" xfId="27183"/>
    <cellStyle name="CALC Percent Total 2 10 5 2 2" xfId="48387"/>
    <cellStyle name="CALC Percent Total 2 10 5 3" xfId="34340"/>
    <cellStyle name="CALC Percent Total 2 10 5 4" xfId="48388"/>
    <cellStyle name="CALC Percent Total 2 10 6" xfId="19831"/>
    <cellStyle name="CALC Percent Total 2 10 6 2" xfId="28153"/>
    <cellStyle name="CALC Percent Total 2 10 6 2 2" xfId="48389"/>
    <cellStyle name="CALC Percent Total 2 10 6 3" xfId="35287"/>
    <cellStyle name="CALC Percent Total 2 10 6 4" xfId="48390"/>
    <cellStyle name="CALC Percent Total 2 10 7" xfId="20789"/>
    <cellStyle name="CALC Percent Total 2 10 7 2" xfId="29109"/>
    <cellStyle name="CALC Percent Total 2 10 7 2 2" xfId="48391"/>
    <cellStyle name="CALC Percent Total 2 10 7 3" xfId="36198"/>
    <cellStyle name="CALC Percent Total 2 10 7 4" xfId="48392"/>
    <cellStyle name="CALC Percent Total 2 10 8" xfId="21294"/>
    <cellStyle name="CALC Percent Total 2 10 8 2" xfId="29601"/>
    <cellStyle name="CALC Percent Total 2 10 8 2 2" xfId="48393"/>
    <cellStyle name="CALC Percent Total 2 10 8 3" xfId="36668"/>
    <cellStyle name="CALC Percent Total 2 10 8 4" xfId="48394"/>
    <cellStyle name="CALC Percent Total 2 10 9" xfId="22224"/>
    <cellStyle name="CALC Percent Total 2 10 9 2" xfId="30523"/>
    <cellStyle name="CALC Percent Total 2 10 9 2 2" xfId="48395"/>
    <cellStyle name="CALC Percent Total 2 10 9 3" xfId="37551"/>
    <cellStyle name="CALC Percent Total 2 10 9 4" xfId="48396"/>
    <cellStyle name="CALC Percent Total 2 11" xfId="14882"/>
    <cellStyle name="CALC Percent Total 2 11 10" xfId="23245"/>
    <cellStyle name="CALC Percent Total 2 11 10 2" xfId="48397"/>
    <cellStyle name="CALC Percent Total 2 11 11" xfId="48398"/>
    <cellStyle name="CALC Percent Total 2 11 12" xfId="48399"/>
    <cellStyle name="CALC Percent Total 2 11 2" xfId="15963"/>
    <cellStyle name="CALC Percent Total 2 11 2 2" xfId="24280"/>
    <cellStyle name="CALC Percent Total 2 11 2 2 2" xfId="48400"/>
    <cellStyle name="CALC Percent Total 2 11 2 3" xfId="31563"/>
    <cellStyle name="CALC Percent Total 2 11 2 4" xfId="48401"/>
    <cellStyle name="CALC Percent Total 2 11 3" xfId="16929"/>
    <cellStyle name="CALC Percent Total 2 11 3 2" xfId="25252"/>
    <cellStyle name="CALC Percent Total 2 11 3 2 2" xfId="48402"/>
    <cellStyle name="CALC Percent Total 2 11 3 3" xfId="32496"/>
    <cellStyle name="CALC Percent Total 2 11 3 4" xfId="48403"/>
    <cellStyle name="CALC Percent Total 2 11 4" xfId="17956"/>
    <cellStyle name="CALC Percent Total 2 11 4 2" xfId="26278"/>
    <cellStyle name="CALC Percent Total 2 11 4 2 2" xfId="48404"/>
    <cellStyle name="CALC Percent Total 2 11 4 3" xfId="33473"/>
    <cellStyle name="CALC Percent Total 2 11 4 4" xfId="48405"/>
    <cellStyle name="CALC Percent Total 2 11 5" xfId="18940"/>
    <cellStyle name="CALC Percent Total 2 11 5 2" xfId="27260"/>
    <cellStyle name="CALC Percent Total 2 11 5 2 2" xfId="48406"/>
    <cellStyle name="CALC Percent Total 2 11 5 3" xfId="34414"/>
    <cellStyle name="CALC Percent Total 2 11 5 4" xfId="48407"/>
    <cellStyle name="CALC Percent Total 2 11 6" xfId="19908"/>
    <cellStyle name="CALC Percent Total 2 11 6 2" xfId="28230"/>
    <cellStyle name="CALC Percent Total 2 11 6 2 2" xfId="48408"/>
    <cellStyle name="CALC Percent Total 2 11 6 3" xfId="35361"/>
    <cellStyle name="CALC Percent Total 2 11 6 4" xfId="48409"/>
    <cellStyle name="CALC Percent Total 2 11 7" xfId="20866"/>
    <cellStyle name="CALC Percent Total 2 11 7 2" xfId="29185"/>
    <cellStyle name="CALC Percent Total 2 11 7 2 2" xfId="48410"/>
    <cellStyle name="CALC Percent Total 2 11 7 3" xfId="36271"/>
    <cellStyle name="CALC Percent Total 2 11 7 4" xfId="48411"/>
    <cellStyle name="CALC Percent Total 2 11 8" xfId="15556"/>
    <cellStyle name="CALC Percent Total 2 11 8 2" xfId="23884"/>
    <cellStyle name="CALC Percent Total 2 11 8 2 2" xfId="48412"/>
    <cellStyle name="CALC Percent Total 2 11 8 3" xfId="31228"/>
    <cellStyle name="CALC Percent Total 2 11 8 4" xfId="48413"/>
    <cellStyle name="CALC Percent Total 2 11 9" xfId="22301"/>
    <cellStyle name="CALC Percent Total 2 11 9 2" xfId="30599"/>
    <cellStyle name="CALC Percent Total 2 11 9 2 2" xfId="48414"/>
    <cellStyle name="CALC Percent Total 2 11 9 3" xfId="37624"/>
    <cellStyle name="CALC Percent Total 2 11 9 4" xfId="48415"/>
    <cellStyle name="CALC Percent Total 2 12" xfId="14898"/>
    <cellStyle name="CALC Percent Total 2 12 10" xfId="23261"/>
    <cellStyle name="CALC Percent Total 2 12 10 2" xfId="48416"/>
    <cellStyle name="CALC Percent Total 2 12 11" xfId="48417"/>
    <cellStyle name="CALC Percent Total 2 12 12" xfId="48418"/>
    <cellStyle name="CALC Percent Total 2 12 2" xfId="15979"/>
    <cellStyle name="CALC Percent Total 2 12 2 2" xfId="24296"/>
    <cellStyle name="CALC Percent Total 2 12 2 2 2" xfId="48419"/>
    <cellStyle name="CALC Percent Total 2 12 2 3" xfId="31577"/>
    <cellStyle name="CALC Percent Total 2 12 2 4" xfId="48420"/>
    <cellStyle name="CALC Percent Total 2 12 3" xfId="16945"/>
    <cellStyle name="CALC Percent Total 2 12 3 2" xfId="25268"/>
    <cellStyle name="CALC Percent Total 2 12 3 2 2" xfId="48421"/>
    <cellStyle name="CALC Percent Total 2 12 3 3" xfId="32510"/>
    <cellStyle name="CALC Percent Total 2 12 3 4" xfId="48422"/>
    <cellStyle name="CALC Percent Total 2 12 4" xfId="17972"/>
    <cellStyle name="CALC Percent Total 2 12 4 2" xfId="26294"/>
    <cellStyle name="CALC Percent Total 2 12 4 2 2" xfId="48423"/>
    <cellStyle name="CALC Percent Total 2 12 4 3" xfId="33487"/>
    <cellStyle name="CALC Percent Total 2 12 4 4" xfId="48424"/>
    <cellStyle name="CALC Percent Total 2 12 5" xfId="18956"/>
    <cellStyle name="CALC Percent Total 2 12 5 2" xfId="27276"/>
    <cellStyle name="CALC Percent Total 2 12 5 2 2" xfId="48425"/>
    <cellStyle name="CALC Percent Total 2 12 5 3" xfId="34428"/>
    <cellStyle name="CALC Percent Total 2 12 5 4" xfId="48426"/>
    <cellStyle name="CALC Percent Total 2 12 6" xfId="19924"/>
    <cellStyle name="CALC Percent Total 2 12 6 2" xfId="28246"/>
    <cellStyle name="CALC Percent Total 2 12 6 2 2" xfId="48427"/>
    <cellStyle name="CALC Percent Total 2 12 6 3" xfId="35375"/>
    <cellStyle name="CALC Percent Total 2 12 6 4" xfId="48428"/>
    <cellStyle name="CALC Percent Total 2 12 7" xfId="20882"/>
    <cellStyle name="CALC Percent Total 2 12 7 2" xfId="29201"/>
    <cellStyle name="CALC Percent Total 2 12 7 2 2" xfId="48429"/>
    <cellStyle name="CALC Percent Total 2 12 7 3" xfId="36285"/>
    <cellStyle name="CALC Percent Total 2 12 7 4" xfId="48430"/>
    <cellStyle name="CALC Percent Total 2 12 8" xfId="21389"/>
    <cellStyle name="CALC Percent Total 2 12 8 2" xfId="29692"/>
    <cellStyle name="CALC Percent Total 2 12 8 2 2" xfId="48431"/>
    <cellStyle name="CALC Percent Total 2 12 8 3" xfId="36755"/>
    <cellStyle name="CALC Percent Total 2 12 8 4" xfId="48432"/>
    <cellStyle name="CALC Percent Total 2 12 9" xfId="22317"/>
    <cellStyle name="CALC Percent Total 2 12 9 2" xfId="30615"/>
    <cellStyle name="CALC Percent Total 2 12 9 2 2" xfId="48433"/>
    <cellStyle name="CALC Percent Total 2 12 9 3" xfId="37638"/>
    <cellStyle name="CALC Percent Total 2 12 9 4" xfId="48434"/>
    <cellStyle name="CALC Percent Total 2 13" xfId="14929"/>
    <cellStyle name="CALC Percent Total 2 13 10" xfId="23292"/>
    <cellStyle name="CALC Percent Total 2 13 10 2" xfId="48435"/>
    <cellStyle name="CALC Percent Total 2 13 11" xfId="48436"/>
    <cellStyle name="CALC Percent Total 2 13 12" xfId="48437"/>
    <cellStyle name="CALC Percent Total 2 13 2" xfId="16010"/>
    <cellStyle name="CALC Percent Total 2 13 2 2" xfId="24327"/>
    <cellStyle name="CALC Percent Total 2 13 2 2 2" xfId="48438"/>
    <cellStyle name="CALC Percent Total 2 13 2 3" xfId="31607"/>
    <cellStyle name="CALC Percent Total 2 13 2 4" xfId="48439"/>
    <cellStyle name="CALC Percent Total 2 13 3" xfId="16976"/>
    <cellStyle name="CALC Percent Total 2 13 3 2" xfId="25299"/>
    <cellStyle name="CALC Percent Total 2 13 3 2 2" xfId="48440"/>
    <cellStyle name="CALC Percent Total 2 13 3 3" xfId="32540"/>
    <cellStyle name="CALC Percent Total 2 13 3 4" xfId="48441"/>
    <cellStyle name="CALC Percent Total 2 13 4" xfId="18003"/>
    <cellStyle name="CALC Percent Total 2 13 4 2" xfId="26325"/>
    <cellStyle name="CALC Percent Total 2 13 4 2 2" xfId="48442"/>
    <cellStyle name="CALC Percent Total 2 13 4 3" xfId="33517"/>
    <cellStyle name="CALC Percent Total 2 13 4 4" xfId="48443"/>
    <cellStyle name="CALC Percent Total 2 13 5" xfId="18987"/>
    <cellStyle name="CALC Percent Total 2 13 5 2" xfId="27307"/>
    <cellStyle name="CALC Percent Total 2 13 5 2 2" xfId="48444"/>
    <cellStyle name="CALC Percent Total 2 13 5 3" xfId="34458"/>
    <cellStyle name="CALC Percent Total 2 13 5 4" xfId="48445"/>
    <cellStyle name="CALC Percent Total 2 13 6" xfId="19955"/>
    <cellStyle name="CALC Percent Total 2 13 6 2" xfId="28277"/>
    <cellStyle name="CALC Percent Total 2 13 6 2 2" xfId="48446"/>
    <cellStyle name="CALC Percent Total 2 13 6 3" xfId="35405"/>
    <cellStyle name="CALC Percent Total 2 13 6 4" xfId="48447"/>
    <cellStyle name="CALC Percent Total 2 13 7" xfId="20913"/>
    <cellStyle name="CALC Percent Total 2 13 7 2" xfId="29232"/>
    <cellStyle name="CALC Percent Total 2 13 7 2 2" xfId="48448"/>
    <cellStyle name="CALC Percent Total 2 13 7 3" xfId="36315"/>
    <cellStyle name="CALC Percent Total 2 13 7 4" xfId="48449"/>
    <cellStyle name="CALC Percent Total 2 13 8" xfId="21420"/>
    <cellStyle name="CALC Percent Total 2 13 8 2" xfId="29723"/>
    <cellStyle name="CALC Percent Total 2 13 8 2 2" xfId="48450"/>
    <cellStyle name="CALC Percent Total 2 13 8 3" xfId="36785"/>
    <cellStyle name="CALC Percent Total 2 13 8 4" xfId="48451"/>
    <cellStyle name="CALC Percent Total 2 13 9" xfId="22348"/>
    <cellStyle name="CALC Percent Total 2 13 9 2" xfId="30646"/>
    <cellStyle name="CALC Percent Total 2 13 9 2 2" xfId="48452"/>
    <cellStyle name="CALC Percent Total 2 13 9 3" xfId="37668"/>
    <cellStyle name="CALC Percent Total 2 13 9 4" xfId="48453"/>
    <cellStyle name="CALC Percent Total 2 14" xfId="15029"/>
    <cellStyle name="CALC Percent Total 2 14 10" xfId="23389"/>
    <cellStyle name="CALC Percent Total 2 14 10 2" xfId="48454"/>
    <cellStyle name="CALC Percent Total 2 14 11" xfId="48455"/>
    <cellStyle name="CALC Percent Total 2 14 12" xfId="48456"/>
    <cellStyle name="CALC Percent Total 2 14 2" xfId="16109"/>
    <cellStyle name="CALC Percent Total 2 14 2 2" xfId="24424"/>
    <cellStyle name="CALC Percent Total 2 14 2 2 2" xfId="48457"/>
    <cellStyle name="CALC Percent Total 2 14 2 3" xfId="31702"/>
    <cellStyle name="CALC Percent Total 2 14 2 4" xfId="48458"/>
    <cellStyle name="CALC Percent Total 2 14 3" xfId="17076"/>
    <cellStyle name="CALC Percent Total 2 14 3 2" xfId="25397"/>
    <cellStyle name="CALC Percent Total 2 14 3 2 2" xfId="48459"/>
    <cellStyle name="CALC Percent Total 2 14 3 3" xfId="32636"/>
    <cellStyle name="CALC Percent Total 2 14 3 4" xfId="48460"/>
    <cellStyle name="CALC Percent Total 2 14 4" xfId="18103"/>
    <cellStyle name="CALC Percent Total 2 14 4 2" xfId="26423"/>
    <cellStyle name="CALC Percent Total 2 14 4 2 2" xfId="48461"/>
    <cellStyle name="CALC Percent Total 2 14 4 3" xfId="33613"/>
    <cellStyle name="CALC Percent Total 2 14 4 4" xfId="48462"/>
    <cellStyle name="CALC Percent Total 2 14 5" xfId="19087"/>
    <cellStyle name="CALC Percent Total 2 14 5 2" xfId="27407"/>
    <cellStyle name="CALC Percent Total 2 14 5 2 2" xfId="48463"/>
    <cellStyle name="CALC Percent Total 2 14 5 3" xfId="34556"/>
    <cellStyle name="CALC Percent Total 2 14 5 4" xfId="48464"/>
    <cellStyle name="CALC Percent Total 2 14 6" xfId="20055"/>
    <cellStyle name="CALC Percent Total 2 14 6 2" xfId="28377"/>
    <cellStyle name="CALC Percent Total 2 14 6 2 2" xfId="48465"/>
    <cellStyle name="CALC Percent Total 2 14 6 3" xfId="35503"/>
    <cellStyle name="CALC Percent Total 2 14 6 4" xfId="48466"/>
    <cellStyle name="CALC Percent Total 2 14 7" xfId="21012"/>
    <cellStyle name="CALC Percent Total 2 14 7 2" xfId="29329"/>
    <cellStyle name="CALC Percent Total 2 14 7 2 2" xfId="48467"/>
    <cellStyle name="CALC Percent Total 2 14 7 3" xfId="36410"/>
    <cellStyle name="CALC Percent Total 2 14 7 4" xfId="48468"/>
    <cellStyle name="CALC Percent Total 2 14 8" xfId="21519"/>
    <cellStyle name="CALC Percent Total 2 14 8 2" xfId="29820"/>
    <cellStyle name="CALC Percent Total 2 14 8 2 2" xfId="48469"/>
    <cellStyle name="CALC Percent Total 2 14 8 3" xfId="36880"/>
    <cellStyle name="CALC Percent Total 2 14 8 4" xfId="48470"/>
    <cellStyle name="CALC Percent Total 2 14 9" xfId="22447"/>
    <cellStyle name="CALC Percent Total 2 14 9 2" xfId="30743"/>
    <cellStyle name="CALC Percent Total 2 14 9 2 2" xfId="48471"/>
    <cellStyle name="CALC Percent Total 2 14 9 3" xfId="37763"/>
    <cellStyle name="CALC Percent Total 2 14 9 4" xfId="48472"/>
    <cellStyle name="CALC Percent Total 2 15" xfId="15062"/>
    <cellStyle name="CALC Percent Total 2 15 10" xfId="23422"/>
    <cellStyle name="CALC Percent Total 2 15 10 2" xfId="48473"/>
    <cellStyle name="CALC Percent Total 2 15 11" xfId="48474"/>
    <cellStyle name="CALC Percent Total 2 15 12" xfId="48475"/>
    <cellStyle name="CALC Percent Total 2 15 2" xfId="16142"/>
    <cellStyle name="CALC Percent Total 2 15 2 2" xfId="24457"/>
    <cellStyle name="CALC Percent Total 2 15 2 2 2" xfId="48476"/>
    <cellStyle name="CALC Percent Total 2 15 2 3" xfId="31734"/>
    <cellStyle name="CALC Percent Total 2 15 2 4" xfId="48477"/>
    <cellStyle name="CALC Percent Total 2 15 3" xfId="17109"/>
    <cellStyle name="CALC Percent Total 2 15 3 2" xfId="25430"/>
    <cellStyle name="CALC Percent Total 2 15 3 2 2" xfId="48478"/>
    <cellStyle name="CALC Percent Total 2 15 3 3" xfId="32668"/>
    <cellStyle name="CALC Percent Total 2 15 3 4" xfId="48479"/>
    <cellStyle name="CALC Percent Total 2 15 4" xfId="18136"/>
    <cellStyle name="CALC Percent Total 2 15 4 2" xfId="26456"/>
    <cellStyle name="CALC Percent Total 2 15 4 2 2" xfId="48480"/>
    <cellStyle name="CALC Percent Total 2 15 4 3" xfId="33645"/>
    <cellStyle name="CALC Percent Total 2 15 4 4" xfId="48481"/>
    <cellStyle name="CALC Percent Total 2 15 5" xfId="19120"/>
    <cellStyle name="CALC Percent Total 2 15 5 2" xfId="27440"/>
    <cellStyle name="CALC Percent Total 2 15 5 2 2" xfId="48482"/>
    <cellStyle name="CALC Percent Total 2 15 5 3" xfId="34588"/>
    <cellStyle name="CALC Percent Total 2 15 5 4" xfId="48483"/>
    <cellStyle name="CALC Percent Total 2 15 6" xfId="20088"/>
    <cellStyle name="CALC Percent Total 2 15 6 2" xfId="28410"/>
    <cellStyle name="CALC Percent Total 2 15 6 2 2" xfId="48484"/>
    <cellStyle name="CALC Percent Total 2 15 6 3" xfId="35535"/>
    <cellStyle name="CALC Percent Total 2 15 6 4" xfId="48485"/>
    <cellStyle name="CALC Percent Total 2 15 7" xfId="21045"/>
    <cellStyle name="CALC Percent Total 2 15 7 2" xfId="29362"/>
    <cellStyle name="CALC Percent Total 2 15 7 2 2" xfId="48486"/>
    <cellStyle name="CALC Percent Total 2 15 7 3" xfId="36442"/>
    <cellStyle name="CALC Percent Total 2 15 7 4" xfId="48487"/>
    <cellStyle name="CALC Percent Total 2 15 8" xfId="21552"/>
    <cellStyle name="CALC Percent Total 2 15 8 2" xfId="29853"/>
    <cellStyle name="CALC Percent Total 2 15 8 2 2" xfId="48488"/>
    <cellStyle name="CALC Percent Total 2 15 8 3" xfId="36912"/>
    <cellStyle name="CALC Percent Total 2 15 8 4" xfId="48489"/>
    <cellStyle name="CALC Percent Total 2 15 9" xfId="22480"/>
    <cellStyle name="CALC Percent Total 2 15 9 2" xfId="30776"/>
    <cellStyle name="CALC Percent Total 2 15 9 2 2" xfId="48490"/>
    <cellStyle name="CALC Percent Total 2 15 9 3" xfId="37795"/>
    <cellStyle name="CALC Percent Total 2 15 9 4" xfId="48491"/>
    <cellStyle name="CALC Percent Total 2 16" xfId="15147"/>
    <cellStyle name="CALC Percent Total 2 16 10" xfId="48492"/>
    <cellStyle name="CALC Percent Total 2 16 11" xfId="48493"/>
    <cellStyle name="CALC Percent Total 2 16 2" xfId="16227"/>
    <cellStyle name="CALC Percent Total 2 16 2 2" xfId="24540"/>
    <cellStyle name="CALC Percent Total 2 16 2 2 2" xfId="48494"/>
    <cellStyle name="CALC Percent Total 2 16 2 3" xfId="31815"/>
    <cellStyle name="CALC Percent Total 2 16 2 4" xfId="48495"/>
    <cellStyle name="CALC Percent Total 2 16 3" xfId="17193"/>
    <cellStyle name="CALC Percent Total 2 16 3 2" xfId="25514"/>
    <cellStyle name="CALC Percent Total 2 16 3 2 2" xfId="48496"/>
    <cellStyle name="CALC Percent Total 2 16 3 3" xfId="32748"/>
    <cellStyle name="CALC Percent Total 2 16 3 4" xfId="48497"/>
    <cellStyle name="CALC Percent Total 2 16 4" xfId="18221"/>
    <cellStyle name="CALC Percent Total 2 16 4 2" xfId="26541"/>
    <cellStyle name="CALC Percent Total 2 16 4 2 2" xfId="48498"/>
    <cellStyle name="CALC Percent Total 2 16 4 3" xfId="33726"/>
    <cellStyle name="CALC Percent Total 2 16 4 4" xfId="48499"/>
    <cellStyle name="CALC Percent Total 2 16 5" xfId="19205"/>
    <cellStyle name="CALC Percent Total 2 16 5 2" xfId="27525"/>
    <cellStyle name="CALC Percent Total 2 16 5 2 2" xfId="48500"/>
    <cellStyle name="CALC Percent Total 2 16 5 3" xfId="34673"/>
    <cellStyle name="CALC Percent Total 2 16 5 4" xfId="48501"/>
    <cellStyle name="CALC Percent Total 2 16 6" xfId="20173"/>
    <cellStyle name="CALC Percent Total 2 16 6 2" xfId="28495"/>
    <cellStyle name="CALC Percent Total 2 16 6 2 2" xfId="48502"/>
    <cellStyle name="CALC Percent Total 2 16 6 3" xfId="35618"/>
    <cellStyle name="CALC Percent Total 2 16 6 4" xfId="48503"/>
    <cellStyle name="CALC Percent Total 2 16 7" xfId="21634"/>
    <cellStyle name="CALC Percent Total 2 16 7 2" xfId="29935"/>
    <cellStyle name="CALC Percent Total 2 16 7 2 2" xfId="48504"/>
    <cellStyle name="CALC Percent Total 2 16 7 3" xfId="36992"/>
    <cellStyle name="CALC Percent Total 2 16 7 4" xfId="48505"/>
    <cellStyle name="CALC Percent Total 2 16 8" xfId="22562"/>
    <cellStyle name="CALC Percent Total 2 16 8 2" xfId="30858"/>
    <cellStyle name="CALC Percent Total 2 16 8 2 2" xfId="48506"/>
    <cellStyle name="CALC Percent Total 2 16 8 3" xfId="37875"/>
    <cellStyle name="CALC Percent Total 2 16 8 4" xfId="48507"/>
    <cellStyle name="CALC Percent Total 2 16 9" xfId="23504"/>
    <cellStyle name="CALC Percent Total 2 16 9 2" xfId="48508"/>
    <cellStyle name="CALC Percent Total 2 17" xfId="15167"/>
    <cellStyle name="CALC Percent Total 2 17 10" xfId="48509"/>
    <cellStyle name="CALC Percent Total 2 17 11" xfId="48510"/>
    <cellStyle name="CALC Percent Total 2 17 2" xfId="16247"/>
    <cellStyle name="CALC Percent Total 2 17 2 2" xfId="24560"/>
    <cellStyle name="CALC Percent Total 2 17 2 2 2" xfId="48511"/>
    <cellStyle name="CALC Percent Total 2 17 2 3" xfId="31833"/>
    <cellStyle name="CALC Percent Total 2 17 2 4" xfId="48512"/>
    <cellStyle name="CALC Percent Total 2 17 3" xfId="17213"/>
    <cellStyle name="CALC Percent Total 2 17 3 2" xfId="25534"/>
    <cellStyle name="CALC Percent Total 2 17 3 2 2" xfId="48513"/>
    <cellStyle name="CALC Percent Total 2 17 3 3" xfId="32766"/>
    <cellStyle name="CALC Percent Total 2 17 3 4" xfId="48514"/>
    <cellStyle name="CALC Percent Total 2 17 4" xfId="18241"/>
    <cellStyle name="CALC Percent Total 2 17 4 2" xfId="26561"/>
    <cellStyle name="CALC Percent Total 2 17 4 2 2" xfId="48515"/>
    <cellStyle name="CALC Percent Total 2 17 4 3" xfId="33744"/>
    <cellStyle name="CALC Percent Total 2 17 4 4" xfId="48516"/>
    <cellStyle name="CALC Percent Total 2 17 5" xfId="19225"/>
    <cellStyle name="CALC Percent Total 2 17 5 2" xfId="27545"/>
    <cellStyle name="CALC Percent Total 2 17 5 2 2" xfId="48517"/>
    <cellStyle name="CALC Percent Total 2 17 5 3" xfId="34693"/>
    <cellStyle name="CALC Percent Total 2 17 5 4" xfId="48518"/>
    <cellStyle name="CALC Percent Total 2 17 6" xfId="20193"/>
    <cellStyle name="CALC Percent Total 2 17 6 2" xfId="28515"/>
    <cellStyle name="CALC Percent Total 2 17 6 2 2" xfId="48519"/>
    <cellStyle name="CALC Percent Total 2 17 6 3" xfId="35636"/>
    <cellStyle name="CALC Percent Total 2 17 6 4" xfId="48520"/>
    <cellStyle name="CALC Percent Total 2 17 7" xfId="21654"/>
    <cellStyle name="CALC Percent Total 2 17 7 2" xfId="29955"/>
    <cellStyle name="CALC Percent Total 2 17 7 2 2" xfId="48521"/>
    <cellStyle name="CALC Percent Total 2 17 7 3" xfId="37010"/>
    <cellStyle name="CALC Percent Total 2 17 7 4" xfId="48522"/>
    <cellStyle name="CALC Percent Total 2 17 8" xfId="22582"/>
    <cellStyle name="CALC Percent Total 2 17 8 2" xfId="30878"/>
    <cellStyle name="CALC Percent Total 2 17 8 2 2" xfId="48523"/>
    <cellStyle name="CALC Percent Total 2 17 8 3" xfId="37893"/>
    <cellStyle name="CALC Percent Total 2 17 8 4" xfId="48524"/>
    <cellStyle name="CALC Percent Total 2 17 9" xfId="23524"/>
    <cellStyle name="CALC Percent Total 2 17 9 2" xfId="48525"/>
    <cellStyle name="CALC Percent Total 2 18" xfId="15189"/>
    <cellStyle name="CALC Percent Total 2 18 10" xfId="48526"/>
    <cellStyle name="CALC Percent Total 2 18 11" xfId="48527"/>
    <cellStyle name="CALC Percent Total 2 18 2" xfId="16269"/>
    <cellStyle name="CALC Percent Total 2 18 2 2" xfId="24582"/>
    <cellStyle name="CALC Percent Total 2 18 2 2 2" xfId="48528"/>
    <cellStyle name="CALC Percent Total 2 18 2 3" xfId="31854"/>
    <cellStyle name="CALC Percent Total 2 18 2 4" xfId="48529"/>
    <cellStyle name="CALC Percent Total 2 18 3" xfId="17235"/>
    <cellStyle name="CALC Percent Total 2 18 3 2" xfId="25556"/>
    <cellStyle name="CALC Percent Total 2 18 3 2 2" xfId="48530"/>
    <cellStyle name="CALC Percent Total 2 18 3 3" xfId="32787"/>
    <cellStyle name="CALC Percent Total 2 18 3 4" xfId="48531"/>
    <cellStyle name="CALC Percent Total 2 18 4" xfId="18263"/>
    <cellStyle name="CALC Percent Total 2 18 4 2" xfId="26583"/>
    <cellStyle name="CALC Percent Total 2 18 4 2 2" xfId="48532"/>
    <cellStyle name="CALC Percent Total 2 18 4 3" xfId="33765"/>
    <cellStyle name="CALC Percent Total 2 18 4 4" xfId="48533"/>
    <cellStyle name="CALC Percent Total 2 18 5" xfId="19247"/>
    <cellStyle name="CALC Percent Total 2 18 5 2" xfId="27567"/>
    <cellStyle name="CALC Percent Total 2 18 5 2 2" xfId="48534"/>
    <cellStyle name="CALC Percent Total 2 18 5 3" xfId="34715"/>
    <cellStyle name="CALC Percent Total 2 18 5 4" xfId="48535"/>
    <cellStyle name="CALC Percent Total 2 18 6" xfId="20215"/>
    <cellStyle name="CALC Percent Total 2 18 6 2" xfId="28537"/>
    <cellStyle name="CALC Percent Total 2 18 6 2 2" xfId="48536"/>
    <cellStyle name="CALC Percent Total 2 18 6 3" xfId="35657"/>
    <cellStyle name="CALC Percent Total 2 18 6 4" xfId="48537"/>
    <cellStyle name="CALC Percent Total 2 18 7" xfId="21676"/>
    <cellStyle name="CALC Percent Total 2 18 7 2" xfId="29977"/>
    <cellStyle name="CALC Percent Total 2 18 7 2 2" xfId="48538"/>
    <cellStyle name="CALC Percent Total 2 18 7 3" xfId="37031"/>
    <cellStyle name="CALC Percent Total 2 18 7 4" xfId="48539"/>
    <cellStyle name="CALC Percent Total 2 18 8" xfId="22604"/>
    <cellStyle name="CALC Percent Total 2 18 8 2" xfId="30900"/>
    <cellStyle name="CALC Percent Total 2 18 8 2 2" xfId="48540"/>
    <cellStyle name="CALC Percent Total 2 18 8 3" xfId="37914"/>
    <cellStyle name="CALC Percent Total 2 18 8 4" xfId="48541"/>
    <cellStyle name="CALC Percent Total 2 18 9" xfId="23546"/>
    <cellStyle name="CALC Percent Total 2 18 9 2" xfId="48542"/>
    <cellStyle name="CALC Percent Total 2 19" xfId="15205"/>
    <cellStyle name="CALC Percent Total 2 19 10" xfId="48543"/>
    <cellStyle name="CALC Percent Total 2 19 11" xfId="48544"/>
    <cellStyle name="CALC Percent Total 2 19 2" xfId="16285"/>
    <cellStyle name="CALC Percent Total 2 19 2 2" xfId="24598"/>
    <cellStyle name="CALC Percent Total 2 19 2 2 2" xfId="48545"/>
    <cellStyle name="CALC Percent Total 2 19 2 3" xfId="31868"/>
    <cellStyle name="CALC Percent Total 2 19 2 4" xfId="48546"/>
    <cellStyle name="CALC Percent Total 2 19 3" xfId="17251"/>
    <cellStyle name="CALC Percent Total 2 19 3 2" xfId="25572"/>
    <cellStyle name="CALC Percent Total 2 19 3 2 2" xfId="48547"/>
    <cellStyle name="CALC Percent Total 2 19 3 3" xfId="32801"/>
    <cellStyle name="CALC Percent Total 2 19 3 4" xfId="48548"/>
    <cellStyle name="CALC Percent Total 2 19 4" xfId="18279"/>
    <cellStyle name="CALC Percent Total 2 19 4 2" xfId="26599"/>
    <cellStyle name="CALC Percent Total 2 19 4 2 2" xfId="48549"/>
    <cellStyle name="CALC Percent Total 2 19 4 3" xfId="33779"/>
    <cellStyle name="CALC Percent Total 2 19 4 4" xfId="48550"/>
    <cellStyle name="CALC Percent Total 2 19 5" xfId="19263"/>
    <cellStyle name="CALC Percent Total 2 19 5 2" xfId="27583"/>
    <cellStyle name="CALC Percent Total 2 19 5 2 2" xfId="48551"/>
    <cellStyle name="CALC Percent Total 2 19 5 3" xfId="34731"/>
    <cellStyle name="CALC Percent Total 2 19 5 4" xfId="48552"/>
    <cellStyle name="CALC Percent Total 2 19 6" xfId="20231"/>
    <cellStyle name="CALC Percent Total 2 19 6 2" xfId="28553"/>
    <cellStyle name="CALC Percent Total 2 19 6 2 2" xfId="48553"/>
    <cellStyle name="CALC Percent Total 2 19 6 3" xfId="35671"/>
    <cellStyle name="CALC Percent Total 2 19 6 4" xfId="48554"/>
    <cellStyle name="CALC Percent Total 2 19 7" xfId="21692"/>
    <cellStyle name="CALC Percent Total 2 19 7 2" xfId="29993"/>
    <cellStyle name="CALC Percent Total 2 19 7 2 2" xfId="48555"/>
    <cellStyle name="CALC Percent Total 2 19 7 3" xfId="37045"/>
    <cellStyle name="CALC Percent Total 2 19 7 4" xfId="48556"/>
    <cellStyle name="CALC Percent Total 2 19 8" xfId="22620"/>
    <cellStyle name="CALC Percent Total 2 19 8 2" xfId="30916"/>
    <cellStyle name="CALC Percent Total 2 19 8 2 2" xfId="48557"/>
    <cellStyle name="CALC Percent Total 2 19 8 3" xfId="37928"/>
    <cellStyle name="CALC Percent Total 2 19 8 4" xfId="48558"/>
    <cellStyle name="CALC Percent Total 2 19 9" xfId="23562"/>
    <cellStyle name="CALC Percent Total 2 19 9 2" xfId="48559"/>
    <cellStyle name="CALC Percent Total 2 2" xfId="14524"/>
    <cellStyle name="CALC Percent Total 2 2 2" xfId="15586"/>
    <cellStyle name="CALC Percent Total 2 2 2 2" xfId="48560"/>
    <cellStyle name="CALC Percent Total 2 2 2 2 2" xfId="48561"/>
    <cellStyle name="CALC Percent Total 2 2 3" xfId="19656"/>
    <cellStyle name="CALC Percent Total 2 2 3 2" xfId="48562"/>
    <cellStyle name="CALC Percent Total 2 20" xfId="15270"/>
    <cellStyle name="CALC Percent Total 2 20 10" xfId="48563"/>
    <cellStyle name="CALC Percent Total 2 20 11" xfId="48564"/>
    <cellStyle name="CALC Percent Total 2 20 2" xfId="16350"/>
    <cellStyle name="CALC Percent Total 2 20 2 2" xfId="24663"/>
    <cellStyle name="CALC Percent Total 2 20 2 2 2" xfId="48565"/>
    <cellStyle name="CALC Percent Total 2 20 2 3" xfId="31930"/>
    <cellStyle name="CALC Percent Total 2 20 2 4" xfId="48566"/>
    <cellStyle name="CALC Percent Total 2 20 3" xfId="17316"/>
    <cellStyle name="CALC Percent Total 2 20 3 2" xfId="25637"/>
    <cellStyle name="CALC Percent Total 2 20 3 2 2" xfId="48567"/>
    <cellStyle name="CALC Percent Total 2 20 3 3" xfId="32863"/>
    <cellStyle name="CALC Percent Total 2 20 3 4" xfId="48568"/>
    <cellStyle name="CALC Percent Total 2 20 4" xfId="18344"/>
    <cellStyle name="CALC Percent Total 2 20 4 2" xfId="26664"/>
    <cellStyle name="CALC Percent Total 2 20 4 2 2" xfId="48569"/>
    <cellStyle name="CALC Percent Total 2 20 4 3" xfId="33841"/>
    <cellStyle name="CALC Percent Total 2 20 4 4" xfId="48570"/>
    <cellStyle name="CALC Percent Total 2 20 5" xfId="19328"/>
    <cellStyle name="CALC Percent Total 2 20 5 2" xfId="27648"/>
    <cellStyle name="CALC Percent Total 2 20 5 2 2" xfId="48571"/>
    <cellStyle name="CALC Percent Total 2 20 5 3" xfId="34796"/>
    <cellStyle name="CALC Percent Total 2 20 5 4" xfId="48572"/>
    <cellStyle name="CALC Percent Total 2 20 6" xfId="20296"/>
    <cellStyle name="CALC Percent Total 2 20 6 2" xfId="28618"/>
    <cellStyle name="CALC Percent Total 2 20 6 2 2" xfId="48573"/>
    <cellStyle name="CALC Percent Total 2 20 6 3" xfId="35733"/>
    <cellStyle name="CALC Percent Total 2 20 6 4" xfId="48574"/>
    <cellStyle name="CALC Percent Total 2 20 7" xfId="21757"/>
    <cellStyle name="CALC Percent Total 2 20 7 2" xfId="30058"/>
    <cellStyle name="CALC Percent Total 2 20 7 2 2" xfId="48575"/>
    <cellStyle name="CALC Percent Total 2 20 7 3" xfId="37107"/>
    <cellStyle name="CALC Percent Total 2 20 7 4" xfId="48576"/>
    <cellStyle name="CALC Percent Total 2 20 8" xfId="22685"/>
    <cellStyle name="CALC Percent Total 2 20 8 2" xfId="30981"/>
    <cellStyle name="CALC Percent Total 2 20 8 2 2" xfId="48577"/>
    <cellStyle name="CALC Percent Total 2 20 8 3" xfId="37990"/>
    <cellStyle name="CALC Percent Total 2 20 8 4" xfId="48578"/>
    <cellStyle name="CALC Percent Total 2 20 9" xfId="23627"/>
    <cellStyle name="CALC Percent Total 2 20 9 2" xfId="48579"/>
    <cellStyle name="CALC Percent Total 2 21" xfId="15286"/>
    <cellStyle name="CALC Percent Total 2 21 10" xfId="48580"/>
    <cellStyle name="CALC Percent Total 2 21 11" xfId="48581"/>
    <cellStyle name="CALC Percent Total 2 21 2" xfId="16366"/>
    <cellStyle name="CALC Percent Total 2 21 2 2" xfId="24679"/>
    <cellStyle name="CALC Percent Total 2 21 2 2 2" xfId="48582"/>
    <cellStyle name="CALC Percent Total 2 21 2 3" xfId="31946"/>
    <cellStyle name="CALC Percent Total 2 21 2 4" xfId="48583"/>
    <cellStyle name="CALC Percent Total 2 21 3" xfId="17332"/>
    <cellStyle name="CALC Percent Total 2 21 3 2" xfId="25653"/>
    <cellStyle name="CALC Percent Total 2 21 3 2 2" xfId="48584"/>
    <cellStyle name="CALC Percent Total 2 21 3 3" xfId="32879"/>
    <cellStyle name="CALC Percent Total 2 21 3 4" xfId="48585"/>
    <cellStyle name="CALC Percent Total 2 21 4" xfId="18360"/>
    <cellStyle name="CALC Percent Total 2 21 4 2" xfId="26680"/>
    <cellStyle name="CALC Percent Total 2 21 4 2 2" xfId="48586"/>
    <cellStyle name="CALC Percent Total 2 21 4 3" xfId="33857"/>
    <cellStyle name="CALC Percent Total 2 21 4 4" xfId="48587"/>
    <cellStyle name="CALC Percent Total 2 21 5" xfId="19344"/>
    <cellStyle name="CALC Percent Total 2 21 5 2" xfId="27664"/>
    <cellStyle name="CALC Percent Total 2 21 5 2 2" xfId="48588"/>
    <cellStyle name="CALC Percent Total 2 21 5 3" xfId="34812"/>
    <cellStyle name="CALC Percent Total 2 21 5 4" xfId="48589"/>
    <cellStyle name="CALC Percent Total 2 21 6" xfId="20312"/>
    <cellStyle name="CALC Percent Total 2 21 6 2" xfId="28634"/>
    <cellStyle name="CALC Percent Total 2 21 6 2 2" xfId="48590"/>
    <cellStyle name="CALC Percent Total 2 21 6 3" xfId="35749"/>
    <cellStyle name="CALC Percent Total 2 21 6 4" xfId="48591"/>
    <cellStyle name="CALC Percent Total 2 21 7" xfId="21773"/>
    <cellStyle name="CALC Percent Total 2 21 7 2" xfId="30074"/>
    <cellStyle name="CALC Percent Total 2 21 7 2 2" xfId="48592"/>
    <cellStyle name="CALC Percent Total 2 21 7 3" xfId="37123"/>
    <cellStyle name="CALC Percent Total 2 21 7 4" xfId="48593"/>
    <cellStyle name="CALC Percent Total 2 21 8" xfId="22701"/>
    <cellStyle name="CALC Percent Total 2 21 8 2" xfId="30997"/>
    <cellStyle name="CALC Percent Total 2 21 8 2 2" xfId="48594"/>
    <cellStyle name="CALC Percent Total 2 21 8 3" xfId="38006"/>
    <cellStyle name="CALC Percent Total 2 21 8 4" xfId="48595"/>
    <cellStyle name="CALC Percent Total 2 21 9" xfId="23643"/>
    <cellStyle name="CALC Percent Total 2 21 9 2" xfId="48596"/>
    <cellStyle name="CALC Percent Total 2 22" xfId="15220"/>
    <cellStyle name="CALC Percent Total 2 22 10" xfId="48597"/>
    <cellStyle name="CALC Percent Total 2 22 11" xfId="48598"/>
    <cellStyle name="CALC Percent Total 2 22 2" xfId="16300"/>
    <cellStyle name="CALC Percent Total 2 22 2 2" xfId="24613"/>
    <cellStyle name="CALC Percent Total 2 22 2 2 2" xfId="48599"/>
    <cellStyle name="CALC Percent Total 2 22 2 3" xfId="31882"/>
    <cellStyle name="CALC Percent Total 2 22 2 4" xfId="48600"/>
    <cellStyle name="CALC Percent Total 2 22 3" xfId="17266"/>
    <cellStyle name="CALC Percent Total 2 22 3 2" xfId="25587"/>
    <cellStyle name="CALC Percent Total 2 22 3 2 2" xfId="48601"/>
    <cellStyle name="CALC Percent Total 2 22 3 3" xfId="32815"/>
    <cellStyle name="CALC Percent Total 2 22 3 4" xfId="48602"/>
    <cellStyle name="CALC Percent Total 2 22 4" xfId="18294"/>
    <cellStyle name="CALC Percent Total 2 22 4 2" xfId="26614"/>
    <cellStyle name="CALC Percent Total 2 22 4 2 2" xfId="48603"/>
    <cellStyle name="CALC Percent Total 2 22 4 3" xfId="33793"/>
    <cellStyle name="CALC Percent Total 2 22 4 4" xfId="48604"/>
    <cellStyle name="CALC Percent Total 2 22 5" xfId="19278"/>
    <cellStyle name="CALC Percent Total 2 22 5 2" xfId="27598"/>
    <cellStyle name="CALC Percent Total 2 22 5 2 2" xfId="48605"/>
    <cellStyle name="CALC Percent Total 2 22 5 3" xfId="34746"/>
    <cellStyle name="CALC Percent Total 2 22 5 4" xfId="48606"/>
    <cellStyle name="CALC Percent Total 2 22 6" xfId="20246"/>
    <cellStyle name="CALC Percent Total 2 22 6 2" xfId="28568"/>
    <cellStyle name="CALC Percent Total 2 22 6 2 2" xfId="48607"/>
    <cellStyle name="CALC Percent Total 2 22 6 3" xfId="35685"/>
    <cellStyle name="CALC Percent Total 2 22 6 4" xfId="48608"/>
    <cellStyle name="CALC Percent Total 2 22 7" xfId="21707"/>
    <cellStyle name="CALC Percent Total 2 22 7 2" xfId="30008"/>
    <cellStyle name="CALC Percent Total 2 22 7 2 2" xfId="48609"/>
    <cellStyle name="CALC Percent Total 2 22 7 3" xfId="37059"/>
    <cellStyle name="CALC Percent Total 2 22 7 4" xfId="48610"/>
    <cellStyle name="CALC Percent Total 2 22 8" xfId="22635"/>
    <cellStyle name="CALC Percent Total 2 22 8 2" xfId="30931"/>
    <cellStyle name="CALC Percent Total 2 22 8 2 2" xfId="48611"/>
    <cellStyle name="CALC Percent Total 2 22 8 3" xfId="37942"/>
    <cellStyle name="CALC Percent Total 2 22 8 4" xfId="48612"/>
    <cellStyle name="CALC Percent Total 2 22 9" xfId="23577"/>
    <cellStyle name="CALC Percent Total 2 22 9 2" xfId="48613"/>
    <cellStyle name="CALC Percent Total 2 23" xfId="15379"/>
    <cellStyle name="CALC Percent Total 2 23 10" xfId="48614"/>
    <cellStyle name="CALC Percent Total 2 23 11" xfId="48615"/>
    <cellStyle name="CALC Percent Total 2 23 2" xfId="16459"/>
    <cellStyle name="CALC Percent Total 2 23 2 2" xfId="24772"/>
    <cellStyle name="CALC Percent Total 2 23 2 2 2" xfId="48616"/>
    <cellStyle name="CALC Percent Total 2 23 2 3" xfId="32036"/>
    <cellStyle name="CALC Percent Total 2 23 2 4" xfId="48617"/>
    <cellStyle name="CALC Percent Total 2 23 3" xfId="17425"/>
    <cellStyle name="CALC Percent Total 2 23 3 2" xfId="25746"/>
    <cellStyle name="CALC Percent Total 2 23 3 2 2" xfId="48618"/>
    <cellStyle name="CALC Percent Total 2 23 3 3" xfId="32969"/>
    <cellStyle name="CALC Percent Total 2 23 3 4" xfId="48619"/>
    <cellStyle name="CALC Percent Total 2 23 4" xfId="18453"/>
    <cellStyle name="CALC Percent Total 2 23 4 2" xfId="26773"/>
    <cellStyle name="CALC Percent Total 2 23 4 2 2" xfId="48620"/>
    <cellStyle name="CALC Percent Total 2 23 4 3" xfId="33947"/>
    <cellStyle name="CALC Percent Total 2 23 4 4" xfId="48621"/>
    <cellStyle name="CALC Percent Total 2 23 5" xfId="19436"/>
    <cellStyle name="CALC Percent Total 2 23 5 2" xfId="27757"/>
    <cellStyle name="CALC Percent Total 2 23 5 2 2" xfId="48622"/>
    <cellStyle name="CALC Percent Total 2 23 5 3" xfId="34905"/>
    <cellStyle name="CALC Percent Total 2 23 5 4" xfId="48623"/>
    <cellStyle name="CALC Percent Total 2 23 6" xfId="20405"/>
    <cellStyle name="CALC Percent Total 2 23 6 2" xfId="28727"/>
    <cellStyle name="CALC Percent Total 2 23 6 2 2" xfId="48624"/>
    <cellStyle name="CALC Percent Total 2 23 6 3" xfId="35839"/>
    <cellStyle name="CALC Percent Total 2 23 6 4" xfId="48625"/>
    <cellStyle name="CALC Percent Total 2 23 7" xfId="21866"/>
    <cellStyle name="CALC Percent Total 2 23 7 2" xfId="30167"/>
    <cellStyle name="CALC Percent Total 2 23 7 2 2" xfId="48626"/>
    <cellStyle name="CALC Percent Total 2 23 7 3" xfId="37212"/>
    <cellStyle name="CALC Percent Total 2 23 7 4" xfId="48627"/>
    <cellStyle name="CALC Percent Total 2 23 8" xfId="22794"/>
    <cellStyle name="CALC Percent Total 2 23 8 2" xfId="31090"/>
    <cellStyle name="CALC Percent Total 2 23 8 2 2" xfId="48628"/>
    <cellStyle name="CALC Percent Total 2 23 8 3" xfId="38096"/>
    <cellStyle name="CALC Percent Total 2 23 8 4" xfId="48629"/>
    <cellStyle name="CALC Percent Total 2 23 9" xfId="23736"/>
    <cellStyle name="CALC Percent Total 2 23 9 2" xfId="48630"/>
    <cellStyle name="CALC Percent Total 2 24" xfId="15393"/>
    <cellStyle name="CALC Percent Total 2 24 10" xfId="48631"/>
    <cellStyle name="CALC Percent Total 2 24 11" xfId="48632"/>
    <cellStyle name="CALC Percent Total 2 24 2" xfId="16473"/>
    <cellStyle name="CALC Percent Total 2 24 2 2" xfId="24786"/>
    <cellStyle name="CALC Percent Total 2 24 2 2 2" xfId="48633"/>
    <cellStyle name="CALC Percent Total 2 24 2 3" xfId="32050"/>
    <cellStyle name="CALC Percent Total 2 24 2 4" xfId="48634"/>
    <cellStyle name="CALC Percent Total 2 24 3" xfId="17439"/>
    <cellStyle name="CALC Percent Total 2 24 3 2" xfId="25760"/>
    <cellStyle name="CALC Percent Total 2 24 3 2 2" xfId="48635"/>
    <cellStyle name="CALC Percent Total 2 24 3 3" xfId="32983"/>
    <cellStyle name="CALC Percent Total 2 24 3 4" xfId="48636"/>
    <cellStyle name="CALC Percent Total 2 24 4" xfId="18467"/>
    <cellStyle name="CALC Percent Total 2 24 4 2" xfId="26787"/>
    <cellStyle name="CALC Percent Total 2 24 4 2 2" xfId="48637"/>
    <cellStyle name="CALC Percent Total 2 24 4 3" xfId="33961"/>
    <cellStyle name="CALC Percent Total 2 24 4 4" xfId="48638"/>
    <cellStyle name="CALC Percent Total 2 24 5" xfId="19450"/>
    <cellStyle name="CALC Percent Total 2 24 5 2" xfId="27771"/>
    <cellStyle name="CALC Percent Total 2 24 5 2 2" xfId="48639"/>
    <cellStyle name="CALC Percent Total 2 24 5 3" xfId="34919"/>
    <cellStyle name="CALC Percent Total 2 24 5 4" xfId="48640"/>
    <cellStyle name="CALC Percent Total 2 24 6" xfId="20419"/>
    <cellStyle name="CALC Percent Total 2 24 6 2" xfId="28741"/>
    <cellStyle name="CALC Percent Total 2 24 6 2 2" xfId="48641"/>
    <cellStyle name="CALC Percent Total 2 24 6 3" xfId="35853"/>
    <cellStyle name="CALC Percent Total 2 24 6 4" xfId="48642"/>
    <cellStyle name="CALC Percent Total 2 24 7" xfId="21880"/>
    <cellStyle name="CALC Percent Total 2 24 7 2" xfId="30181"/>
    <cellStyle name="CALC Percent Total 2 24 7 2 2" xfId="48643"/>
    <cellStyle name="CALC Percent Total 2 24 7 3" xfId="37226"/>
    <cellStyle name="CALC Percent Total 2 24 7 4" xfId="48644"/>
    <cellStyle name="CALC Percent Total 2 24 8" xfId="22808"/>
    <cellStyle name="CALC Percent Total 2 24 8 2" xfId="31104"/>
    <cellStyle name="CALC Percent Total 2 24 8 2 2" xfId="48645"/>
    <cellStyle name="CALC Percent Total 2 24 8 3" xfId="38110"/>
    <cellStyle name="CALC Percent Total 2 24 8 4" xfId="48646"/>
    <cellStyle name="CALC Percent Total 2 24 9" xfId="23750"/>
    <cellStyle name="CALC Percent Total 2 24 9 2" xfId="48647"/>
    <cellStyle name="CALC Percent Total 2 25" xfId="15409"/>
    <cellStyle name="CALC Percent Total 2 25 10" xfId="48648"/>
    <cellStyle name="CALC Percent Total 2 25 11" xfId="48649"/>
    <cellStyle name="CALC Percent Total 2 25 2" xfId="16489"/>
    <cellStyle name="CALC Percent Total 2 25 2 2" xfId="24802"/>
    <cellStyle name="CALC Percent Total 2 25 2 2 2" xfId="48650"/>
    <cellStyle name="CALC Percent Total 2 25 2 3" xfId="32064"/>
    <cellStyle name="CALC Percent Total 2 25 2 4" xfId="48651"/>
    <cellStyle name="CALC Percent Total 2 25 3" xfId="17455"/>
    <cellStyle name="CALC Percent Total 2 25 3 2" xfId="25776"/>
    <cellStyle name="CALC Percent Total 2 25 3 2 2" xfId="48652"/>
    <cellStyle name="CALC Percent Total 2 25 3 3" xfId="32997"/>
    <cellStyle name="CALC Percent Total 2 25 3 4" xfId="48653"/>
    <cellStyle name="CALC Percent Total 2 25 4" xfId="18483"/>
    <cellStyle name="CALC Percent Total 2 25 4 2" xfId="26803"/>
    <cellStyle name="CALC Percent Total 2 25 4 2 2" xfId="48654"/>
    <cellStyle name="CALC Percent Total 2 25 4 3" xfId="33975"/>
    <cellStyle name="CALC Percent Total 2 25 4 4" xfId="48655"/>
    <cellStyle name="CALC Percent Total 2 25 5" xfId="19466"/>
    <cellStyle name="CALC Percent Total 2 25 5 2" xfId="27787"/>
    <cellStyle name="CALC Percent Total 2 25 5 2 2" xfId="48656"/>
    <cellStyle name="CALC Percent Total 2 25 5 3" xfId="34935"/>
    <cellStyle name="CALC Percent Total 2 25 5 4" xfId="48657"/>
    <cellStyle name="CALC Percent Total 2 25 6" xfId="20435"/>
    <cellStyle name="CALC Percent Total 2 25 6 2" xfId="28757"/>
    <cellStyle name="CALC Percent Total 2 25 6 2 2" xfId="48658"/>
    <cellStyle name="CALC Percent Total 2 25 6 3" xfId="35867"/>
    <cellStyle name="CALC Percent Total 2 25 6 4" xfId="48659"/>
    <cellStyle name="CALC Percent Total 2 25 7" xfId="21896"/>
    <cellStyle name="CALC Percent Total 2 25 7 2" xfId="30197"/>
    <cellStyle name="CALC Percent Total 2 25 7 2 2" xfId="48660"/>
    <cellStyle name="CALC Percent Total 2 25 7 3" xfId="37240"/>
    <cellStyle name="CALC Percent Total 2 25 7 4" xfId="48661"/>
    <cellStyle name="CALC Percent Total 2 25 8" xfId="22824"/>
    <cellStyle name="CALC Percent Total 2 25 8 2" xfId="31120"/>
    <cellStyle name="CALC Percent Total 2 25 8 2 2" xfId="48662"/>
    <cellStyle name="CALC Percent Total 2 25 8 3" xfId="38124"/>
    <cellStyle name="CALC Percent Total 2 25 8 4" xfId="48663"/>
    <cellStyle name="CALC Percent Total 2 25 9" xfId="23766"/>
    <cellStyle name="CALC Percent Total 2 25 9 2" xfId="48664"/>
    <cellStyle name="CALC Percent Total 2 26" xfId="15425"/>
    <cellStyle name="CALC Percent Total 2 26 10" xfId="48665"/>
    <cellStyle name="CALC Percent Total 2 26 11" xfId="48666"/>
    <cellStyle name="CALC Percent Total 2 26 2" xfId="16505"/>
    <cellStyle name="CALC Percent Total 2 26 2 2" xfId="24818"/>
    <cellStyle name="CALC Percent Total 2 26 2 2 2" xfId="48667"/>
    <cellStyle name="CALC Percent Total 2 26 2 3" xfId="32079"/>
    <cellStyle name="CALC Percent Total 2 26 2 4" xfId="48668"/>
    <cellStyle name="CALC Percent Total 2 26 3" xfId="17471"/>
    <cellStyle name="CALC Percent Total 2 26 3 2" xfId="25792"/>
    <cellStyle name="CALC Percent Total 2 26 3 2 2" xfId="48669"/>
    <cellStyle name="CALC Percent Total 2 26 3 3" xfId="33012"/>
    <cellStyle name="CALC Percent Total 2 26 3 4" xfId="48670"/>
    <cellStyle name="CALC Percent Total 2 26 4" xfId="18499"/>
    <cellStyle name="CALC Percent Total 2 26 4 2" xfId="26819"/>
    <cellStyle name="CALC Percent Total 2 26 4 2 2" xfId="48671"/>
    <cellStyle name="CALC Percent Total 2 26 4 3" xfId="33990"/>
    <cellStyle name="CALC Percent Total 2 26 4 4" xfId="48672"/>
    <cellStyle name="CALC Percent Total 2 26 5" xfId="19482"/>
    <cellStyle name="CALC Percent Total 2 26 5 2" xfId="27803"/>
    <cellStyle name="CALC Percent Total 2 26 5 2 2" xfId="48673"/>
    <cellStyle name="CALC Percent Total 2 26 5 3" xfId="34951"/>
    <cellStyle name="CALC Percent Total 2 26 5 4" xfId="48674"/>
    <cellStyle name="CALC Percent Total 2 26 6" xfId="20451"/>
    <cellStyle name="CALC Percent Total 2 26 6 2" xfId="28773"/>
    <cellStyle name="CALC Percent Total 2 26 6 2 2" xfId="48675"/>
    <cellStyle name="CALC Percent Total 2 26 6 3" xfId="35882"/>
    <cellStyle name="CALC Percent Total 2 26 6 4" xfId="48676"/>
    <cellStyle name="CALC Percent Total 2 26 7" xfId="21912"/>
    <cellStyle name="CALC Percent Total 2 26 7 2" xfId="30213"/>
    <cellStyle name="CALC Percent Total 2 26 7 2 2" xfId="48677"/>
    <cellStyle name="CALC Percent Total 2 26 7 3" xfId="37255"/>
    <cellStyle name="CALC Percent Total 2 26 7 4" xfId="48678"/>
    <cellStyle name="CALC Percent Total 2 26 8" xfId="22840"/>
    <cellStyle name="CALC Percent Total 2 26 8 2" xfId="31136"/>
    <cellStyle name="CALC Percent Total 2 26 8 2 2" xfId="48679"/>
    <cellStyle name="CALC Percent Total 2 26 8 3" xfId="38139"/>
    <cellStyle name="CALC Percent Total 2 26 8 4" xfId="48680"/>
    <cellStyle name="CALC Percent Total 2 26 9" xfId="23782"/>
    <cellStyle name="CALC Percent Total 2 26 9 2" xfId="48681"/>
    <cellStyle name="CALC Percent Total 2 27" xfId="15439"/>
    <cellStyle name="CALC Percent Total 2 27 10" xfId="48682"/>
    <cellStyle name="CALC Percent Total 2 27 11" xfId="48683"/>
    <cellStyle name="CALC Percent Total 2 27 2" xfId="16519"/>
    <cellStyle name="CALC Percent Total 2 27 2 2" xfId="24832"/>
    <cellStyle name="CALC Percent Total 2 27 2 2 2" xfId="48684"/>
    <cellStyle name="CALC Percent Total 2 27 2 3" xfId="32093"/>
    <cellStyle name="CALC Percent Total 2 27 2 4" xfId="48685"/>
    <cellStyle name="CALC Percent Total 2 27 3" xfId="17485"/>
    <cellStyle name="CALC Percent Total 2 27 3 2" xfId="25806"/>
    <cellStyle name="CALC Percent Total 2 27 3 2 2" xfId="48686"/>
    <cellStyle name="CALC Percent Total 2 27 3 3" xfId="33026"/>
    <cellStyle name="CALC Percent Total 2 27 3 4" xfId="48687"/>
    <cellStyle name="CALC Percent Total 2 27 4" xfId="18513"/>
    <cellStyle name="CALC Percent Total 2 27 4 2" xfId="26833"/>
    <cellStyle name="CALC Percent Total 2 27 4 2 2" xfId="48688"/>
    <cellStyle name="CALC Percent Total 2 27 4 3" xfId="34004"/>
    <cellStyle name="CALC Percent Total 2 27 4 4" xfId="48689"/>
    <cellStyle name="CALC Percent Total 2 27 5" xfId="19496"/>
    <cellStyle name="CALC Percent Total 2 27 5 2" xfId="27817"/>
    <cellStyle name="CALC Percent Total 2 27 5 2 2" xfId="48690"/>
    <cellStyle name="CALC Percent Total 2 27 5 3" xfId="34965"/>
    <cellStyle name="CALC Percent Total 2 27 5 4" xfId="48691"/>
    <cellStyle name="CALC Percent Total 2 27 6" xfId="20465"/>
    <cellStyle name="CALC Percent Total 2 27 6 2" xfId="28787"/>
    <cellStyle name="CALC Percent Total 2 27 6 2 2" xfId="48692"/>
    <cellStyle name="CALC Percent Total 2 27 6 3" xfId="35896"/>
    <cellStyle name="CALC Percent Total 2 27 6 4" xfId="48693"/>
    <cellStyle name="CALC Percent Total 2 27 7" xfId="21926"/>
    <cellStyle name="CALC Percent Total 2 27 7 2" xfId="30227"/>
    <cellStyle name="CALC Percent Total 2 27 7 2 2" xfId="48694"/>
    <cellStyle name="CALC Percent Total 2 27 7 3" xfId="37269"/>
    <cellStyle name="CALC Percent Total 2 27 7 4" xfId="48695"/>
    <cellStyle name="CALC Percent Total 2 27 8" xfId="22854"/>
    <cellStyle name="CALC Percent Total 2 27 8 2" xfId="31150"/>
    <cellStyle name="CALC Percent Total 2 27 8 2 2" xfId="48696"/>
    <cellStyle name="CALC Percent Total 2 27 8 3" xfId="38153"/>
    <cellStyle name="CALC Percent Total 2 27 8 4" xfId="48697"/>
    <cellStyle name="CALC Percent Total 2 27 9" xfId="23796"/>
    <cellStyle name="CALC Percent Total 2 27 9 2" xfId="48698"/>
    <cellStyle name="CALC Percent Total 2 28" xfId="15453"/>
    <cellStyle name="CALC Percent Total 2 28 10" xfId="48699"/>
    <cellStyle name="CALC Percent Total 2 28 11" xfId="48700"/>
    <cellStyle name="CALC Percent Total 2 28 2" xfId="16533"/>
    <cellStyle name="CALC Percent Total 2 28 2 2" xfId="24846"/>
    <cellStyle name="CALC Percent Total 2 28 2 2 2" xfId="48701"/>
    <cellStyle name="CALC Percent Total 2 28 2 3" xfId="32107"/>
    <cellStyle name="CALC Percent Total 2 28 2 4" xfId="48702"/>
    <cellStyle name="CALC Percent Total 2 28 3" xfId="17499"/>
    <cellStyle name="CALC Percent Total 2 28 3 2" xfId="25820"/>
    <cellStyle name="CALC Percent Total 2 28 3 2 2" xfId="48703"/>
    <cellStyle name="CALC Percent Total 2 28 3 3" xfId="33040"/>
    <cellStyle name="CALC Percent Total 2 28 3 4" xfId="48704"/>
    <cellStyle name="CALC Percent Total 2 28 4" xfId="18527"/>
    <cellStyle name="CALC Percent Total 2 28 4 2" xfId="26847"/>
    <cellStyle name="CALC Percent Total 2 28 4 2 2" xfId="48705"/>
    <cellStyle name="CALC Percent Total 2 28 4 3" xfId="34018"/>
    <cellStyle name="CALC Percent Total 2 28 4 4" xfId="48706"/>
    <cellStyle name="CALC Percent Total 2 28 5" xfId="19510"/>
    <cellStyle name="CALC Percent Total 2 28 5 2" xfId="27831"/>
    <cellStyle name="CALC Percent Total 2 28 5 2 2" xfId="48707"/>
    <cellStyle name="CALC Percent Total 2 28 5 3" xfId="34979"/>
    <cellStyle name="CALC Percent Total 2 28 5 4" xfId="48708"/>
    <cellStyle name="CALC Percent Total 2 28 6" xfId="20479"/>
    <cellStyle name="CALC Percent Total 2 28 6 2" xfId="28801"/>
    <cellStyle name="CALC Percent Total 2 28 6 2 2" xfId="48709"/>
    <cellStyle name="CALC Percent Total 2 28 6 3" xfId="35910"/>
    <cellStyle name="CALC Percent Total 2 28 6 4" xfId="48710"/>
    <cellStyle name="CALC Percent Total 2 28 7" xfId="21940"/>
    <cellStyle name="CALC Percent Total 2 28 7 2" xfId="30241"/>
    <cellStyle name="CALC Percent Total 2 28 7 2 2" xfId="48711"/>
    <cellStyle name="CALC Percent Total 2 28 7 3" xfId="37283"/>
    <cellStyle name="CALC Percent Total 2 28 7 4" xfId="48712"/>
    <cellStyle name="CALC Percent Total 2 28 8" xfId="22868"/>
    <cellStyle name="CALC Percent Total 2 28 8 2" xfId="31164"/>
    <cellStyle name="CALC Percent Total 2 28 8 2 2" xfId="48713"/>
    <cellStyle name="CALC Percent Total 2 28 8 3" xfId="38167"/>
    <cellStyle name="CALC Percent Total 2 28 8 4" xfId="48714"/>
    <cellStyle name="CALC Percent Total 2 28 9" xfId="23810"/>
    <cellStyle name="CALC Percent Total 2 28 9 2" xfId="48715"/>
    <cellStyle name="CALC Percent Total 2 29" xfId="15485"/>
    <cellStyle name="CALC Percent Total 2 29 2" xfId="17531"/>
    <cellStyle name="CALC Percent Total 2 29 2 2" xfId="25851"/>
    <cellStyle name="CALC Percent Total 2 29 2 2 2" xfId="48716"/>
    <cellStyle name="CALC Percent Total 2 29 2 3" xfId="33069"/>
    <cellStyle name="CALC Percent Total 2 29 2 4" xfId="48717"/>
    <cellStyle name="CALC Percent Total 2 29 3" xfId="19542"/>
    <cellStyle name="CALC Percent Total 2 29 3 2" xfId="27863"/>
    <cellStyle name="CALC Percent Total 2 29 3 2 2" xfId="48718"/>
    <cellStyle name="CALC Percent Total 2 29 3 3" xfId="35011"/>
    <cellStyle name="CALC Percent Total 2 29 3 4" xfId="48719"/>
    <cellStyle name="CALC Percent Total 2 29 4" xfId="48720"/>
    <cellStyle name="CALC Percent Total 2 29 4 2" xfId="48721"/>
    <cellStyle name="CALC Percent Total 2 3" xfId="14525"/>
    <cellStyle name="CALC Percent Total 2 3 2" xfId="15587"/>
    <cellStyle name="CALC Percent Total 2 3 2 2" xfId="48722"/>
    <cellStyle name="CALC Percent Total 2 3 2 2 2" xfId="48723"/>
    <cellStyle name="CALC Percent Total 2 3 3" xfId="14528"/>
    <cellStyle name="CALC Percent Total 2 3 3 2" xfId="48724"/>
    <cellStyle name="CALC Percent Total 2 30" xfId="48725"/>
    <cellStyle name="CALC Percent Total 2 30 2" xfId="48726"/>
    <cellStyle name="CALC Percent Total 2 4" xfId="14546"/>
    <cellStyle name="CALC Percent Total 2 4 2" xfId="15625"/>
    <cellStyle name="CALC Percent Total 2 4 2 2" xfId="23939"/>
    <cellStyle name="CALC Percent Total 2 4 2 2 2" xfId="48727"/>
    <cellStyle name="CALC Percent Total 2 4 2 3" xfId="48728"/>
    <cellStyle name="CALC Percent Total 2 4 2 4" xfId="48729"/>
    <cellStyle name="CALC Percent Total 2 4 3" xfId="16593"/>
    <cellStyle name="CALC Percent Total 2 4 3 2" xfId="24910"/>
    <cellStyle name="CALC Percent Total 2 4 3 2 2" xfId="48730"/>
    <cellStyle name="CALC Percent Total 2 4 3 3" xfId="32170"/>
    <cellStyle name="CALC Percent Total 2 4 3 4" xfId="48731"/>
    <cellStyle name="CALC Percent Total 2 4 4" xfId="17612"/>
    <cellStyle name="CALC Percent Total 2 4 4 2" xfId="25935"/>
    <cellStyle name="CALC Percent Total 2 4 4 2 2" xfId="48732"/>
    <cellStyle name="CALC Percent Total 2 4 4 3" xfId="33147"/>
    <cellStyle name="CALC Percent Total 2 4 4 4" xfId="48733"/>
    <cellStyle name="CALC Percent Total 2 4 5" xfId="18594"/>
    <cellStyle name="CALC Percent Total 2 4 5 2" xfId="26913"/>
    <cellStyle name="CALC Percent Total 2 4 5 2 2" xfId="48734"/>
    <cellStyle name="CALC Percent Total 2 4 5 3" xfId="34082"/>
    <cellStyle name="CALC Percent Total 2 4 5 4" xfId="48735"/>
    <cellStyle name="CALC Percent Total 2 4 6" xfId="19562"/>
    <cellStyle name="CALC Percent Total 2 4 6 2" xfId="27883"/>
    <cellStyle name="CALC Percent Total 2 4 6 2 2" xfId="48736"/>
    <cellStyle name="CALC Percent Total 2 4 6 3" xfId="35030"/>
    <cellStyle name="CALC Percent Total 2 4 6 4" xfId="48737"/>
    <cellStyle name="CALC Percent Total 2 4 7" xfId="20520"/>
    <cellStyle name="CALC Percent Total 2 4 7 2" xfId="28842"/>
    <cellStyle name="CALC Percent Total 2 4 7 2 2" xfId="48738"/>
    <cellStyle name="CALC Percent Total 2 4 7 3" xfId="35947"/>
    <cellStyle name="CALC Percent Total 2 4 7 4" xfId="48739"/>
    <cellStyle name="CALC Percent Total 2 4 8" xfId="22903"/>
    <cellStyle name="CALC Percent Total 2 4 8 2" xfId="48740"/>
    <cellStyle name="CALC Percent Total 2 5" xfId="14607"/>
    <cellStyle name="CALC Percent Total 2 5 10" xfId="22968"/>
    <cellStyle name="CALC Percent Total 2 5 10 2" xfId="48741"/>
    <cellStyle name="CALC Percent Total 2 5 11" xfId="48742"/>
    <cellStyle name="CALC Percent Total 2 5 2" xfId="15687"/>
    <cellStyle name="CALC Percent Total 2 5 2 2" xfId="24003"/>
    <cellStyle name="CALC Percent Total 2 5 2 2 2" xfId="48743"/>
    <cellStyle name="CALC Percent Total 2 5 2 3" xfId="31298"/>
    <cellStyle name="CALC Percent Total 2 5 2 4" xfId="48744"/>
    <cellStyle name="CALC Percent Total 2 5 3" xfId="16654"/>
    <cellStyle name="CALC Percent Total 2 5 3 2" xfId="24974"/>
    <cellStyle name="CALC Percent Total 2 5 3 2 2" xfId="48745"/>
    <cellStyle name="CALC Percent Total 2 5 3 3" xfId="32231"/>
    <cellStyle name="CALC Percent Total 2 5 3 4" xfId="48746"/>
    <cellStyle name="CALC Percent Total 2 5 4" xfId="17676"/>
    <cellStyle name="CALC Percent Total 2 5 4 2" xfId="26000"/>
    <cellStyle name="CALC Percent Total 2 5 4 2 2" xfId="48747"/>
    <cellStyle name="CALC Percent Total 2 5 4 3" xfId="33208"/>
    <cellStyle name="CALC Percent Total 2 5 4 4" xfId="48748"/>
    <cellStyle name="CALC Percent Total 2 5 5" xfId="18659"/>
    <cellStyle name="CALC Percent Total 2 5 5 2" xfId="26980"/>
    <cellStyle name="CALC Percent Total 2 5 5 2 2" xfId="48749"/>
    <cellStyle name="CALC Percent Total 2 5 5 3" xfId="34146"/>
    <cellStyle name="CALC Percent Total 2 5 5 4" xfId="48750"/>
    <cellStyle name="CALC Percent Total 2 5 6" xfId="19628"/>
    <cellStyle name="CALC Percent Total 2 5 6 2" xfId="27949"/>
    <cellStyle name="CALC Percent Total 2 5 6 2 2" xfId="48751"/>
    <cellStyle name="CALC Percent Total 2 5 6 3" xfId="35092"/>
    <cellStyle name="CALC Percent Total 2 5 6 4" xfId="48752"/>
    <cellStyle name="CALC Percent Total 2 5 7" xfId="20585"/>
    <cellStyle name="CALC Percent Total 2 5 7 2" xfId="28907"/>
    <cellStyle name="CALC Percent Total 2 5 7 2 2" xfId="48753"/>
    <cellStyle name="CALC Percent Total 2 5 7 3" xfId="36008"/>
    <cellStyle name="CALC Percent Total 2 5 7 4" xfId="48754"/>
    <cellStyle name="CALC Percent Total 2 5 8" xfId="21364"/>
    <cellStyle name="CALC Percent Total 2 5 8 2" xfId="29667"/>
    <cellStyle name="CALC Percent Total 2 5 8 2 2" xfId="48755"/>
    <cellStyle name="CALC Percent Total 2 5 8 3" xfId="36732"/>
    <cellStyle name="CALC Percent Total 2 5 8 4" xfId="48756"/>
    <cellStyle name="CALC Percent Total 2 5 9" xfId="22022"/>
    <cellStyle name="CALC Percent Total 2 5 9 2" xfId="30321"/>
    <cellStyle name="CALC Percent Total 2 5 9 2 2" xfId="48757"/>
    <cellStyle name="CALC Percent Total 2 5 9 3" xfId="37359"/>
    <cellStyle name="CALC Percent Total 2 5 9 4" xfId="48758"/>
    <cellStyle name="CALC Percent Total 2 6" xfId="14627"/>
    <cellStyle name="CALC Percent Total 2 6 10" xfId="22989"/>
    <cellStyle name="CALC Percent Total 2 6 10 2" xfId="48759"/>
    <cellStyle name="CALC Percent Total 2 6 11" xfId="48760"/>
    <cellStyle name="CALC Percent Total 2 6 2" xfId="15708"/>
    <cellStyle name="CALC Percent Total 2 6 2 2" xfId="24024"/>
    <cellStyle name="CALC Percent Total 2 6 2 2 2" xfId="48761"/>
    <cellStyle name="CALC Percent Total 2 6 2 3" xfId="31318"/>
    <cellStyle name="CALC Percent Total 2 6 2 4" xfId="48762"/>
    <cellStyle name="CALC Percent Total 2 6 3" xfId="16675"/>
    <cellStyle name="CALC Percent Total 2 6 3 2" xfId="24995"/>
    <cellStyle name="CALC Percent Total 2 6 3 2 2" xfId="48763"/>
    <cellStyle name="CALC Percent Total 2 6 3 3" xfId="32251"/>
    <cellStyle name="CALC Percent Total 2 6 3 4" xfId="48764"/>
    <cellStyle name="CALC Percent Total 2 6 4" xfId="17698"/>
    <cellStyle name="CALC Percent Total 2 6 4 2" xfId="26021"/>
    <cellStyle name="CALC Percent Total 2 6 4 2 2" xfId="48765"/>
    <cellStyle name="CALC Percent Total 2 6 4 3" xfId="33228"/>
    <cellStyle name="CALC Percent Total 2 6 4 4" xfId="48766"/>
    <cellStyle name="CALC Percent Total 2 6 5" xfId="18681"/>
    <cellStyle name="CALC Percent Total 2 6 5 2" xfId="27002"/>
    <cellStyle name="CALC Percent Total 2 6 5 2 2" xfId="48767"/>
    <cellStyle name="CALC Percent Total 2 6 5 3" xfId="34167"/>
    <cellStyle name="CALC Percent Total 2 6 5 4" xfId="48768"/>
    <cellStyle name="CALC Percent Total 2 6 6" xfId="19650"/>
    <cellStyle name="CALC Percent Total 2 6 6 2" xfId="27971"/>
    <cellStyle name="CALC Percent Total 2 6 6 2 2" xfId="48769"/>
    <cellStyle name="CALC Percent Total 2 6 6 3" xfId="35113"/>
    <cellStyle name="CALC Percent Total 2 6 6 4" xfId="48770"/>
    <cellStyle name="CALC Percent Total 2 6 7" xfId="20607"/>
    <cellStyle name="CALC Percent Total 2 6 7 2" xfId="28928"/>
    <cellStyle name="CALC Percent Total 2 6 7 2 2" xfId="48771"/>
    <cellStyle name="CALC Percent Total 2 6 7 3" xfId="36028"/>
    <cellStyle name="CALC Percent Total 2 6 7 4" xfId="48772"/>
    <cellStyle name="CALC Percent Total 2 6 8" xfId="21094"/>
    <cellStyle name="CALC Percent Total 2 6 8 2" xfId="29411"/>
    <cellStyle name="CALC Percent Total 2 6 8 2 2" xfId="48773"/>
    <cellStyle name="CALC Percent Total 2 6 8 3" xfId="36486"/>
    <cellStyle name="CALC Percent Total 2 6 8 4" xfId="48774"/>
    <cellStyle name="CALC Percent Total 2 6 9" xfId="22044"/>
    <cellStyle name="CALC Percent Total 2 6 9 2" xfId="30342"/>
    <cellStyle name="CALC Percent Total 2 6 9 2 2" xfId="48775"/>
    <cellStyle name="CALC Percent Total 2 6 9 3" xfId="37379"/>
    <cellStyle name="CALC Percent Total 2 6 9 4" xfId="48776"/>
    <cellStyle name="CALC Percent Total 2 7" xfId="14646"/>
    <cellStyle name="CALC Percent Total 2 7 10" xfId="23008"/>
    <cellStyle name="CALC Percent Total 2 7 10 2" xfId="48777"/>
    <cellStyle name="CALC Percent Total 2 7 11" xfId="48778"/>
    <cellStyle name="CALC Percent Total 2 7 2" xfId="15727"/>
    <cellStyle name="CALC Percent Total 2 7 2 2" xfId="24043"/>
    <cellStyle name="CALC Percent Total 2 7 2 2 2" xfId="48779"/>
    <cellStyle name="CALC Percent Total 2 7 2 3" xfId="31336"/>
    <cellStyle name="CALC Percent Total 2 7 2 4" xfId="48780"/>
    <cellStyle name="CALC Percent Total 2 7 3" xfId="16693"/>
    <cellStyle name="CALC Percent Total 2 7 3 2" xfId="25014"/>
    <cellStyle name="CALC Percent Total 2 7 3 2 2" xfId="48781"/>
    <cellStyle name="CALC Percent Total 2 7 3 3" xfId="32269"/>
    <cellStyle name="CALC Percent Total 2 7 3 4" xfId="48782"/>
    <cellStyle name="CALC Percent Total 2 7 4" xfId="17717"/>
    <cellStyle name="CALC Percent Total 2 7 4 2" xfId="26040"/>
    <cellStyle name="CALC Percent Total 2 7 4 2 2" xfId="48783"/>
    <cellStyle name="CALC Percent Total 2 7 4 3" xfId="33246"/>
    <cellStyle name="CALC Percent Total 2 7 4 4" xfId="48784"/>
    <cellStyle name="CALC Percent Total 2 7 5" xfId="18700"/>
    <cellStyle name="CALC Percent Total 2 7 5 2" xfId="27021"/>
    <cellStyle name="CALC Percent Total 2 7 5 2 2" xfId="48785"/>
    <cellStyle name="CALC Percent Total 2 7 5 3" xfId="34185"/>
    <cellStyle name="CALC Percent Total 2 7 5 4" xfId="48786"/>
    <cellStyle name="CALC Percent Total 2 7 6" xfId="19669"/>
    <cellStyle name="CALC Percent Total 2 7 6 2" xfId="27990"/>
    <cellStyle name="CALC Percent Total 2 7 6 2 2" xfId="48787"/>
    <cellStyle name="CALC Percent Total 2 7 6 3" xfId="35131"/>
    <cellStyle name="CALC Percent Total 2 7 6 4" xfId="48788"/>
    <cellStyle name="CALC Percent Total 2 7 7" xfId="20626"/>
    <cellStyle name="CALC Percent Total 2 7 7 2" xfId="28947"/>
    <cellStyle name="CALC Percent Total 2 7 7 2 2" xfId="48789"/>
    <cellStyle name="CALC Percent Total 2 7 7 3" xfId="36046"/>
    <cellStyle name="CALC Percent Total 2 7 7 4" xfId="48790"/>
    <cellStyle name="CALC Percent Total 2 7 8" xfId="15540"/>
    <cellStyle name="CALC Percent Total 2 7 8 2" xfId="23875"/>
    <cellStyle name="CALC Percent Total 2 7 8 2 2" xfId="48791"/>
    <cellStyle name="CALC Percent Total 2 7 8 3" xfId="31220"/>
    <cellStyle name="CALC Percent Total 2 7 8 4" xfId="48792"/>
    <cellStyle name="CALC Percent Total 2 7 9" xfId="22063"/>
    <cellStyle name="CALC Percent Total 2 7 9 2" xfId="30361"/>
    <cellStyle name="CALC Percent Total 2 7 9 2 2" xfId="48793"/>
    <cellStyle name="CALC Percent Total 2 7 9 3" xfId="37397"/>
    <cellStyle name="CALC Percent Total 2 7 9 4" xfId="48794"/>
    <cellStyle name="CALC Percent Total 2 8" xfId="14692"/>
    <cellStyle name="CALC Percent Total 2 8 10" xfId="23055"/>
    <cellStyle name="CALC Percent Total 2 8 10 2" xfId="48795"/>
    <cellStyle name="CALC Percent Total 2 8 11" xfId="48796"/>
    <cellStyle name="CALC Percent Total 2 8 2" xfId="15773"/>
    <cellStyle name="CALC Percent Total 2 8 2 2" xfId="24090"/>
    <cellStyle name="CALC Percent Total 2 8 2 2 2" xfId="48797"/>
    <cellStyle name="CALC Percent Total 2 8 2 3" xfId="31381"/>
    <cellStyle name="CALC Percent Total 2 8 2 4" xfId="48798"/>
    <cellStyle name="CALC Percent Total 2 8 3" xfId="16739"/>
    <cellStyle name="CALC Percent Total 2 8 3 2" xfId="25061"/>
    <cellStyle name="CALC Percent Total 2 8 3 2 2" xfId="48799"/>
    <cellStyle name="CALC Percent Total 2 8 3 3" xfId="32314"/>
    <cellStyle name="CALC Percent Total 2 8 3 4" xfId="48800"/>
    <cellStyle name="CALC Percent Total 2 8 4" xfId="17763"/>
    <cellStyle name="CALC Percent Total 2 8 4 2" xfId="26087"/>
    <cellStyle name="CALC Percent Total 2 8 4 2 2" xfId="48801"/>
    <cellStyle name="CALC Percent Total 2 8 4 3" xfId="33291"/>
    <cellStyle name="CALC Percent Total 2 8 4 4" xfId="48802"/>
    <cellStyle name="CALC Percent Total 2 8 5" xfId="18747"/>
    <cellStyle name="CALC Percent Total 2 8 5 2" xfId="27068"/>
    <cellStyle name="CALC Percent Total 2 8 5 2 2" xfId="48803"/>
    <cellStyle name="CALC Percent Total 2 8 5 3" xfId="34230"/>
    <cellStyle name="CALC Percent Total 2 8 5 4" xfId="48804"/>
    <cellStyle name="CALC Percent Total 2 8 6" xfId="19716"/>
    <cellStyle name="CALC Percent Total 2 8 6 2" xfId="28037"/>
    <cellStyle name="CALC Percent Total 2 8 6 2 2" xfId="48805"/>
    <cellStyle name="CALC Percent Total 2 8 6 3" xfId="35176"/>
    <cellStyle name="CALC Percent Total 2 8 6 4" xfId="48806"/>
    <cellStyle name="CALC Percent Total 2 8 7" xfId="20673"/>
    <cellStyle name="CALC Percent Total 2 8 7 2" xfId="28994"/>
    <cellStyle name="CALC Percent Total 2 8 7 2 2" xfId="48807"/>
    <cellStyle name="CALC Percent Total 2 8 7 3" xfId="36091"/>
    <cellStyle name="CALC Percent Total 2 8 7 4" xfId="48808"/>
    <cellStyle name="CALC Percent Total 2 8 8" xfId="21339"/>
    <cellStyle name="CALC Percent Total 2 8 8 2" xfId="29643"/>
    <cellStyle name="CALC Percent Total 2 8 8 2 2" xfId="48809"/>
    <cellStyle name="CALC Percent Total 2 8 8 3" xfId="36709"/>
    <cellStyle name="CALC Percent Total 2 8 8 4" xfId="48810"/>
    <cellStyle name="CALC Percent Total 2 8 9" xfId="22110"/>
    <cellStyle name="CALC Percent Total 2 8 9 2" xfId="30408"/>
    <cellStyle name="CALC Percent Total 2 8 9 2 2" xfId="48811"/>
    <cellStyle name="CALC Percent Total 2 8 9 3" xfId="37442"/>
    <cellStyle name="CALC Percent Total 2 8 9 4" xfId="48812"/>
    <cellStyle name="CALC Percent Total 2 9" xfId="14746"/>
    <cellStyle name="CALC Percent Total 2 9 10" xfId="23110"/>
    <cellStyle name="CALC Percent Total 2 9 10 2" xfId="48813"/>
    <cellStyle name="CALC Percent Total 2 9 11" xfId="48814"/>
    <cellStyle name="CALC Percent Total 2 9 12" xfId="48815"/>
    <cellStyle name="CALC Percent Total 2 9 2" xfId="15827"/>
    <cellStyle name="CALC Percent Total 2 9 2 2" xfId="24145"/>
    <cellStyle name="CALC Percent Total 2 9 2 2 2" xfId="48816"/>
    <cellStyle name="CALC Percent Total 2 9 2 3" xfId="31433"/>
    <cellStyle name="CALC Percent Total 2 9 2 4" xfId="48817"/>
    <cellStyle name="CALC Percent Total 2 9 3" xfId="16793"/>
    <cellStyle name="CALC Percent Total 2 9 3 2" xfId="25117"/>
    <cellStyle name="CALC Percent Total 2 9 3 2 2" xfId="48818"/>
    <cellStyle name="CALC Percent Total 2 9 3 3" xfId="32366"/>
    <cellStyle name="CALC Percent Total 2 9 3 4" xfId="48819"/>
    <cellStyle name="CALC Percent Total 2 9 4" xfId="17819"/>
    <cellStyle name="CALC Percent Total 2 9 4 2" xfId="26143"/>
    <cellStyle name="CALC Percent Total 2 9 4 2 2" xfId="48820"/>
    <cellStyle name="CALC Percent Total 2 9 4 3" xfId="33343"/>
    <cellStyle name="CALC Percent Total 2 9 4 4" xfId="48821"/>
    <cellStyle name="CALC Percent Total 2 9 5" xfId="18803"/>
    <cellStyle name="CALC Percent Total 2 9 5 2" xfId="27124"/>
    <cellStyle name="CALC Percent Total 2 9 5 2 2" xfId="48822"/>
    <cellStyle name="CALC Percent Total 2 9 5 3" xfId="34283"/>
    <cellStyle name="CALC Percent Total 2 9 5 4" xfId="48823"/>
    <cellStyle name="CALC Percent Total 2 9 6" xfId="19771"/>
    <cellStyle name="CALC Percent Total 2 9 6 2" xfId="28093"/>
    <cellStyle name="CALC Percent Total 2 9 6 2 2" xfId="48824"/>
    <cellStyle name="CALC Percent Total 2 9 6 3" xfId="35229"/>
    <cellStyle name="CALC Percent Total 2 9 6 4" xfId="48825"/>
    <cellStyle name="CALC Percent Total 2 9 7" xfId="20729"/>
    <cellStyle name="CALC Percent Total 2 9 7 2" xfId="29050"/>
    <cellStyle name="CALC Percent Total 2 9 7 2 2" xfId="48826"/>
    <cellStyle name="CALC Percent Total 2 9 7 3" xfId="36142"/>
    <cellStyle name="CALC Percent Total 2 9 7 4" xfId="48827"/>
    <cellStyle name="CALC Percent Total 2 9 8" xfId="21156"/>
    <cellStyle name="CALC Percent Total 2 9 8 2" xfId="29468"/>
    <cellStyle name="CALC Percent Total 2 9 8 2 2" xfId="48828"/>
    <cellStyle name="CALC Percent Total 2 9 8 3" xfId="36540"/>
    <cellStyle name="CALC Percent Total 2 9 8 4" xfId="48829"/>
    <cellStyle name="CALC Percent Total 2 9 9" xfId="22165"/>
    <cellStyle name="CALC Percent Total 2 9 9 2" xfId="30463"/>
    <cellStyle name="CALC Percent Total 2 9 9 2 2" xfId="48830"/>
    <cellStyle name="CALC Percent Total 2 9 9 3" xfId="37494"/>
    <cellStyle name="CALC Percent Total 2 9 9 4" xfId="48831"/>
    <cellStyle name="CALC Percent Total 20" xfId="14799"/>
    <cellStyle name="CALC Percent Total 20 10" xfId="23163"/>
    <cellStyle name="CALC Percent Total 20 10 2" xfId="48832"/>
    <cellStyle name="CALC Percent Total 20 11" xfId="48833"/>
    <cellStyle name="CALC Percent Total 20 12" xfId="48834"/>
    <cellStyle name="CALC Percent Total 20 2" xfId="15880"/>
    <cellStyle name="CALC Percent Total 20 2 2" xfId="24198"/>
    <cellStyle name="CALC Percent Total 20 2 2 2" xfId="48835"/>
    <cellStyle name="CALC Percent Total 20 2 3" xfId="31484"/>
    <cellStyle name="CALC Percent Total 20 2 4" xfId="48836"/>
    <cellStyle name="CALC Percent Total 20 3" xfId="16846"/>
    <cellStyle name="CALC Percent Total 20 3 2" xfId="25170"/>
    <cellStyle name="CALC Percent Total 20 3 2 2" xfId="48837"/>
    <cellStyle name="CALC Percent Total 20 3 3" xfId="32417"/>
    <cellStyle name="CALC Percent Total 20 3 4" xfId="48838"/>
    <cellStyle name="CALC Percent Total 20 4" xfId="17873"/>
    <cellStyle name="CALC Percent Total 20 4 2" xfId="26196"/>
    <cellStyle name="CALC Percent Total 20 4 2 2" xfId="48839"/>
    <cellStyle name="CALC Percent Total 20 4 3" xfId="33394"/>
    <cellStyle name="CALC Percent Total 20 4 4" xfId="48840"/>
    <cellStyle name="CALC Percent Total 20 5" xfId="18857"/>
    <cellStyle name="CALC Percent Total 20 5 2" xfId="27177"/>
    <cellStyle name="CALC Percent Total 20 5 2 2" xfId="48841"/>
    <cellStyle name="CALC Percent Total 20 5 3" xfId="34334"/>
    <cellStyle name="CALC Percent Total 20 5 4" xfId="48842"/>
    <cellStyle name="CALC Percent Total 20 6" xfId="19825"/>
    <cellStyle name="CALC Percent Total 20 6 2" xfId="28147"/>
    <cellStyle name="CALC Percent Total 20 6 2 2" xfId="48843"/>
    <cellStyle name="CALC Percent Total 20 6 3" xfId="35281"/>
    <cellStyle name="CALC Percent Total 20 6 4" xfId="48844"/>
    <cellStyle name="CALC Percent Total 20 7" xfId="20783"/>
    <cellStyle name="CALC Percent Total 20 7 2" xfId="29103"/>
    <cellStyle name="CALC Percent Total 20 7 2 2" xfId="48845"/>
    <cellStyle name="CALC Percent Total 20 7 3" xfId="36193"/>
    <cellStyle name="CALC Percent Total 20 7 4" xfId="48846"/>
    <cellStyle name="CALC Percent Total 20 8" xfId="21122"/>
    <cellStyle name="CALC Percent Total 20 8 2" xfId="29436"/>
    <cellStyle name="CALC Percent Total 20 8 2 2" xfId="48847"/>
    <cellStyle name="CALC Percent Total 20 8 3" xfId="36509"/>
    <cellStyle name="CALC Percent Total 20 8 4" xfId="48848"/>
    <cellStyle name="CALC Percent Total 20 9" xfId="22219"/>
    <cellStyle name="CALC Percent Total 20 9 2" xfId="30517"/>
    <cellStyle name="CALC Percent Total 20 9 2 2" xfId="48849"/>
    <cellStyle name="CALC Percent Total 20 9 3" xfId="37545"/>
    <cellStyle name="CALC Percent Total 20 9 4" xfId="48850"/>
    <cellStyle name="CALC Percent Total 21" xfId="14750"/>
    <cellStyle name="CALC Percent Total 21 10" xfId="23114"/>
    <cellStyle name="CALC Percent Total 21 10 2" xfId="48851"/>
    <cellStyle name="CALC Percent Total 21 11" xfId="48852"/>
    <cellStyle name="CALC Percent Total 21 12" xfId="48853"/>
    <cellStyle name="CALC Percent Total 21 2" xfId="15831"/>
    <cellStyle name="CALC Percent Total 21 2 2" xfId="24149"/>
    <cellStyle name="CALC Percent Total 21 2 2 2" xfId="48854"/>
    <cellStyle name="CALC Percent Total 21 2 3" xfId="31437"/>
    <cellStyle name="CALC Percent Total 21 2 4" xfId="48855"/>
    <cellStyle name="CALC Percent Total 21 3" xfId="16797"/>
    <cellStyle name="CALC Percent Total 21 3 2" xfId="25121"/>
    <cellStyle name="CALC Percent Total 21 3 2 2" xfId="48856"/>
    <cellStyle name="CALC Percent Total 21 3 3" xfId="32370"/>
    <cellStyle name="CALC Percent Total 21 3 4" xfId="48857"/>
    <cellStyle name="CALC Percent Total 21 4" xfId="17823"/>
    <cellStyle name="CALC Percent Total 21 4 2" xfId="26147"/>
    <cellStyle name="CALC Percent Total 21 4 2 2" xfId="48858"/>
    <cellStyle name="CALC Percent Total 21 4 3" xfId="33347"/>
    <cellStyle name="CALC Percent Total 21 4 4" xfId="48859"/>
    <cellStyle name="CALC Percent Total 21 5" xfId="18807"/>
    <cellStyle name="CALC Percent Total 21 5 2" xfId="27128"/>
    <cellStyle name="CALC Percent Total 21 5 2 2" xfId="48860"/>
    <cellStyle name="CALC Percent Total 21 5 3" xfId="34287"/>
    <cellStyle name="CALC Percent Total 21 5 4" xfId="48861"/>
    <cellStyle name="CALC Percent Total 21 6" xfId="19775"/>
    <cellStyle name="CALC Percent Total 21 6 2" xfId="28097"/>
    <cellStyle name="CALC Percent Total 21 6 2 2" xfId="48862"/>
    <cellStyle name="CALC Percent Total 21 6 3" xfId="35233"/>
    <cellStyle name="CALC Percent Total 21 6 4" xfId="48863"/>
    <cellStyle name="CALC Percent Total 21 7" xfId="20733"/>
    <cellStyle name="CALC Percent Total 21 7 2" xfId="29054"/>
    <cellStyle name="CALC Percent Total 21 7 2 2" xfId="48864"/>
    <cellStyle name="CALC Percent Total 21 7 3" xfId="36146"/>
    <cellStyle name="CALC Percent Total 21 7 4" xfId="48865"/>
    <cellStyle name="CALC Percent Total 21 8" xfId="17558"/>
    <cellStyle name="CALC Percent Total 21 8 2" xfId="25877"/>
    <cellStyle name="CALC Percent Total 21 8 2 2" xfId="48866"/>
    <cellStyle name="CALC Percent Total 21 8 3" xfId="33092"/>
    <cellStyle name="CALC Percent Total 21 8 4" xfId="48867"/>
    <cellStyle name="CALC Percent Total 21 9" xfId="22169"/>
    <cellStyle name="CALC Percent Total 21 9 2" xfId="30467"/>
    <cellStyle name="CALC Percent Total 21 9 2 2" xfId="48868"/>
    <cellStyle name="CALC Percent Total 21 9 3" xfId="37498"/>
    <cellStyle name="CALC Percent Total 21 9 4" xfId="48869"/>
    <cellStyle name="CALC Percent Total 22" xfId="14809"/>
    <cellStyle name="CALC Percent Total 22 10" xfId="23173"/>
    <cellStyle name="CALC Percent Total 22 10 2" xfId="48870"/>
    <cellStyle name="CALC Percent Total 22 11" xfId="48871"/>
    <cellStyle name="CALC Percent Total 22 12" xfId="48872"/>
    <cellStyle name="CALC Percent Total 22 2" xfId="15890"/>
    <cellStyle name="CALC Percent Total 22 2 2" xfId="24208"/>
    <cellStyle name="CALC Percent Total 22 2 2 2" xfId="48873"/>
    <cellStyle name="CALC Percent Total 22 2 3" xfId="31494"/>
    <cellStyle name="CALC Percent Total 22 2 4" xfId="48874"/>
    <cellStyle name="CALC Percent Total 22 3" xfId="16856"/>
    <cellStyle name="CALC Percent Total 22 3 2" xfId="25180"/>
    <cellStyle name="CALC Percent Total 22 3 2 2" xfId="48875"/>
    <cellStyle name="CALC Percent Total 22 3 3" xfId="32427"/>
    <cellStyle name="CALC Percent Total 22 3 4" xfId="48876"/>
    <cellStyle name="CALC Percent Total 22 4" xfId="17883"/>
    <cellStyle name="CALC Percent Total 22 4 2" xfId="26206"/>
    <cellStyle name="CALC Percent Total 22 4 2 2" xfId="48877"/>
    <cellStyle name="CALC Percent Total 22 4 3" xfId="33404"/>
    <cellStyle name="CALC Percent Total 22 4 4" xfId="48878"/>
    <cellStyle name="CALC Percent Total 22 5" xfId="18867"/>
    <cellStyle name="CALC Percent Total 22 5 2" xfId="27187"/>
    <cellStyle name="CALC Percent Total 22 5 2 2" xfId="48879"/>
    <cellStyle name="CALC Percent Total 22 5 3" xfId="34344"/>
    <cellStyle name="CALC Percent Total 22 5 4" xfId="48880"/>
    <cellStyle name="CALC Percent Total 22 6" xfId="19835"/>
    <cellStyle name="CALC Percent Total 22 6 2" xfId="28157"/>
    <cellStyle name="CALC Percent Total 22 6 2 2" xfId="48881"/>
    <cellStyle name="CALC Percent Total 22 6 3" xfId="35291"/>
    <cellStyle name="CALC Percent Total 22 6 4" xfId="48882"/>
    <cellStyle name="CALC Percent Total 22 7" xfId="20793"/>
    <cellStyle name="CALC Percent Total 22 7 2" xfId="29113"/>
    <cellStyle name="CALC Percent Total 22 7 2 2" xfId="48883"/>
    <cellStyle name="CALC Percent Total 22 7 3" xfId="36202"/>
    <cellStyle name="CALC Percent Total 22 7 4" xfId="48884"/>
    <cellStyle name="CALC Percent Total 22 8" xfId="21349"/>
    <cellStyle name="CALC Percent Total 22 8 2" xfId="29652"/>
    <cellStyle name="CALC Percent Total 22 8 2 2" xfId="48885"/>
    <cellStyle name="CALC Percent Total 22 8 3" xfId="36717"/>
    <cellStyle name="CALC Percent Total 22 8 4" xfId="48886"/>
    <cellStyle name="CALC Percent Total 22 9" xfId="22228"/>
    <cellStyle name="CALC Percent Total 22 9 2" xfId="30527"/>
    <cellStyle name="CALC Percent Total 22 9 2 2" xfId="48887"/>
    <cellStyle name="CALC Percent Total 22 9 3" xfId="37555"/>
    <cellStyle name="CALC Percent Total 22 9 4" xfId="48888"/>
    <cellStyle name="CALC Percent Total 23" xfId="14806"/>
    <cellStyle name="CALC Percent Total 23 10" xfId="23170"/>
    <cellStyle name="CALC Percent Total 23 10 2" xfId="48889"/>
    <cellStyle name="CALC Percent Total 23 11" xfId="48890"/>
    <cellStyle name="CALC Percent Total 23 12" xfId="48891"/>
    <cellStyle name="CALC Percent Total 23 2" xfId="15887"/>
    <cellStyle name="CALC Percent Total 23 2 2" xfId="24205"/>
    <cellStyle name="CALC Percent Total 23 2 2 2" xfId="48892"/>
    <cellStyle name="CALC Percent Total 23 2 3" xfId="31491"/>
    <cellStyle name="CALC Percent Total 23 2 4" xfId="48893"/>
    <cellStyle name="CALC Percent Total 23 3" xfId="16853"/>
    <cellStyle name="CALC Percent Total 23 3 2" xfId="25177"/>
    <cellStyle name="CALC Percent Total 23 3 2 2" xfId="48894"/>
    <cellStyle name="CALC Percent Total 23 3 3" xfId="32424"/>
    <cellStyle name="CALC Percent Total 23 3 4" xfId="48895"/>
    <cellStyle name="CALC Percent Total 23 4" xfId="17880"/>
    <cellStyle name="CALC Percent Total 23 4 2" xfId="26203"/>
    <cellStyle name="CALC Percent Total 23 4 2 2" xfId="48896"/>
    <cellStyle name="CALC Percent Total 23 4 3" xfId="33401"/>
    <cellStyle name="CALC Percent Total 23 4 4" xfId="48897"/>
    <cellStyle name="CALC Percent Total 23 5" xfId="18864"/>
    <cellStyle name="CALC Percent Total 23 5 2" xfId="27184"/>
    <cellStyle name="CALC Percent Total 23 5 2 2" xfId="48898"/>
    <cellStyle name="CALC Percent Total 23 5 3" xfId="34341"/>
    <cellStyle name="CALC Percent Total 23 5 4" xfId="48899"/>
    <cellStyle name="CALC Percent Total 23 6" xfId="19832"/>
    <cellStyle name="CALC Percent Total 23 6 2" xfId="28154"/>
    <cellStyle name="CALC Percent Total 23 6 2 2" xfId="48900"/>
    <cellStyle name="CALC Percent Total 23 6 3" xfId="35288"/>
    <cellStyle name="CALC Percent Total 23 6 4" xfId="48901"/>
    <cellStyle name="CALC Percent Total 23 7" xfId="20790"/>
    <cellStyle name="CALC Percent Total 23 7 2" xfId="29110"/>
    <cellStyle name="CALC Percent Total 23 7 2 2" xfId="48902"/>
    <cellStyle name="CALC Percent Total 23 7 3" xfId="36199"/>
    <cellStyle name="CALC Percent Total 23 7 4" xfId="48903"/>
    <cellStyle name="CALC Percent Total 23 8" xfId="21210"/>
    <cellStyle name="CALC Percent Total 23 8 2" xfId="29521"/>
    <cellStyle name="CALC Percent Total 23 8 2 2" xfId="48904"/>
    <cellStyle name="CALC Percent Total 23 8 3" xfId="36590"/>
    <cellStyle name="CALC Percent Total 23 8 4" xfId="48905"/>
    <cellStyle name="CALC Percent Total 23 9" xfId="22225"/>
    <cellStyle name="CALC Percent Total 23 9 2" xfId="30524"/>
    <cellStyle name="CALC Percent Total 23 9 2 2" xfId="48906"/>
    <cellStyle name="CALC Percent Total 23 9 3" xfId="37552"/>
    <cellStyle name="CALC Percent Total 23 9 4" xfId="48907"/>
    <cellStyle name="CALC Percent Total 24" xfId="14816"/>
    <cellStyle name="CALC Percent Total 24 10" xfId="23180"/>
    <cellStyle name="CALC Percent Total 24 10 2" xfId="48908"/>
    <cellStyle name="CALC Percent Total 24 11" xfId="48909"/>
    <cellStyle name="CALC Percent Total 24 12" xfId="48910"/>
    <cellStyle name="CALC Percent Total 24 2" xfId="15897"/>
    <cellStyle name="CALC Percent Total 24 2 2" xfId="24215"/>
    <cellStyle name="CALC Percent Total 24 2 2 2" xfId="48911"/>
    <cellStyle name="CALC Percent Total 24 2 3" xfId="31501"/>
    <cellStyle name="CALC Percent Total 24 2 4" xfId="48912"/>
    <cellStyle name="CALC Percent Total 24 3" xfId="16863"/>
    <cellStyle name="CALC Percent Total 24 3 2" xfId="25187"/>
    <cellStyle name="CALC Percent Total 24 3 2 2" xfId="48913"/>
    <cellStyle name="CALC Percent Total 24 3 3" xfId="32434"/>
    <cellStyle name="CALC Percent Total 24 3 4" xfId="48914"/>
    <cellStyle name="CALC Percent Total 24 4" xfId="17890"/>
    <cellStyle name="CALC Percent Total 24 4 2" xfId="26213"/>
    <cellStyle name="CALC Percent Total 24 4 2 2" xfId="48915"/>
    <cellStyle name="CALC Percent Total 24 4 3" xfId="33411"/>
    <cellStyle name="CALC Percent Total 24 4 4" xfId="48916"/>
    <cellStyle name="CALC Percent Total 24 5" xfId="18874"/>
    <cellStyle name="CALC Percent Total 24 5 2" xfId="27194"/>
    <cellStyle name="CALC Percent Total 24 5 2 2" xfId="48917"/>
    <cellStyle name="CALC Percent Total 24 5 3" xfId="34351"/>
    <cellStyle name="CALC Percent Total 24 5 4" xfId="48918"/>
    <cellStyle name="CALC Percent Total 24 6" xfId="19842"/>
    <cellStyle name="CALC Percent Total 24 6 2" xfId="28164"/>
    <cellStyle name="CALC Percent Total 24 6 2 2" xfId="48919"/>
    <cellStyle name="CALC Percent Total 24 6 3" xfId="35298"/>
    <cellStyle name="CALC Percent Total 24 6 4" xfId="48920"/>
    <cellStyle name="CALC Percent Total 24 7" xfId="20800"/>
    <cellStyle name="CALC Percent Total 24 7 2" xfId="29120"/>
    <cellStyle name="CALC Percent Total 24 7 2 2" xfId="48921"/>
    <cellStyle name="CALC Percent Total 24 7 3" xfId="36209"/>
    <cellStyle name="CALC Percent Total 24 7 4" xfId="48922"/>
    <cellStyle name="CALC Percent Total 24 8" xfId="21217"/>
    <cellStyle name="CALC Percent Total 24 8 2" xfId="29528"/>
    <cellStyle name="CALC Percent Total 24 8 2 2" xfId="48923"/>
    <cellStyle name="CALC Percent Total 24 8 3" xfId="36597"/>
    <cellStyle name="CALC Percent Total 24 8 4" xfId="48924"/>
    <cellStyle name="CALC Percent Total 24 9" xfId="22235"/>
    <cellStyle name="CALC Percent Total 24 9 2" xfId="30534"/>
    <cellStyle name="CALC Percent Total 24 9 2 2" xfId="48925"/>
    <cellStyle name="CALC Percent Total 24 9 3" xfId="37562"/>
    <cellStyle name="CALC Percent Total 24 9 4" xfId="48926"/>
    <cellStyle name="CALC Percent Total 25" xfId="14783"/>
    <cellStyle name="CALC Percent Total 25 10" xfId="23147"/>
    <cellStyle name="CALC Percent Total 25 10 2" xfId="48927"/>
    <cellStyle name="CALC Percent Total 25 11" xfId="48928"/>
    <cellStyle name="CALC Percent Total 25 12" xfId="48929"/>
    <cellStyle name="CALC Percent Total 25 2" xfId="15864"/>
    <cellStyle name="CALC Percent Total 25 2 2" xfId="24182"/>
    <cellStyle name="CALC Percent Total 25 2 2 2" xfId="48930"/>
    <cellStyle name="CALC Percent Total 25 2 3" xfId="31469"/>
    <cellStyle name="CALC Percent Total 25 2 4" xfId="48931"/>
    <cellStyle name="CALC Percent Total 25 3" xfId="16830"/>
    <cellStyle name="CALC Percent Total 25 3 2" xfId="25154"/>
    <cellStyle name="CALC Percent Total 25 3 2 2" xfId="48932"/>
    <cellStyle name="CALC Percent Total 25 3 3" xfId="32402"/>
    <cellStyle name="CALC Percent Total 25 3 4" xfId="48933"/>
    <cellStyle name="CALC Percent Total 25 4" xfId="17856"/>
    <cellStyle name="CALC Percent Total 25 4 2" xfId="26180"/>
    <cellStyle name="CALC Percent Total 25 4 2 2" xfId="48934"/>
    <cellStyle name="CALC Percent Total 25 4 3" xfId="33379"/>
    <cellStyle name="CALC Percent Total 25 4 4" xfId="48935"/>
    <cellStyle name="CALC Percent Total 25 5" xfId="18840"/>
    <cellStyle name="CALC Percent Total 25 5 2" xfId="27161"/>
    <cellStyle name="CALC Percent Total 25 5 2 2" xfId="48936"/>
    <cellStyle name="CALC Percent Total 25 5 3" xfId="34319"/>
    <cellStyle name="CALC Percent Total 25 5 4" xfId="48937"/>
    <cellStyle name="CALC Percent Total 25 6" xfId="19808"/>
    <cellStyle name="CALC Percent Total 25 6 2" xfId="28130"/>
    <cellStyle name="CALC Percent Total 25 6 2 2" xfId="48938"/>
    <cellStyle name="CALC Percent Total 25 6 3" xfId="35265"/>
    <cellStyle name="CALC Percent Total 25 6 4" xfId="48939"/>
    <cellStyle name="CALC Percent Total 25 7" xfId="20766"/>
    <cellStyle name="CALC Percent Total 25 7 2" xfId="29087"/>
    <cellStyle name="CALC Percent Total 25 7 2 2" xfId="48940"/>
    <cellStyle name="CALC Percent Total 25 7 3" xfId="36178"/>
    <cellStyle name="CALC Percent Total 25 7 4" xfId="48941"/>
    <cellStyle name="CALC Percent Total 25 8" xfId="21087"/>
    <cellStyle name="CALC Percent Total 25 8 2" xfId="29404"/>
    <cellStyle name="CALC Percent Total 25 8 2 2" xfId="48942"/>
    <cellStyle name="CALC Percent Total 25 8 3" xfId="36480"/>
    <cellStyle name="CALC Percent Total 25 8 4" xfId="48943"/>
    <cellStyle name="CALC Percent Total 25 9" xfId="22202"/>
    <cellStyle name="CALC Percent Total 25 9 2" xfId="30500"/>
    <cellStyle name="CALC Percent Total 25 9 2 2" xfId="48944"/>
    <cellStyle name="CALC Percent Total 25 9 3" xfId="37530"/>
    <cellStyle name="CALC Percent Total 25 9 4" xfId="48945"/>
    <cellStyle name="CALC Percent Total 26" xfId="14812"/>
    <cellStyle name="CALC Percent Total 26 10" xfId="23176"/>
    <cellStyle name="CALC Percent Total 26 10 2" xfId="48946"/>
    <cellStyle name="CALC Percent Total 26 11" xfId="48947"/>
    <cellStyle name="CALC Percent Total 26 12" xfId="48948"/>
    <cellStyle name="CALC Percent Total 26 2" xfId="15893"/>
    <cellStyle name="CALC Percent Total 26 2 2" xfId="24211"/>
    <cellStyle name="CALC Percent Total 26 2 2 2" xfId="48949"/>
    <cellStyle name="CALC Percent Total 26 2 3" xfId="31497"/>
    <cellStyle name="CALC Percent Total 26 2 4" xfId="48950"/>
    <cellStyle name="CALC Percent Total 26 3" xfId="16859"/>
    <cellStyle name="CALC Percent Total 26 3 2" xfId="25183"/>
    <cellStyle name="CALC Percent Total 26 3 2 2" xfId="48951"/>
    <cellStyle name="CALC Percent Total 26 3 3" xfId="32430"/>
    <cellStyle name="CALC Percent Total 26 3 4" xfId="48952"/>
    <cellStyle name="CALC Percent Total 26 4" xfId="17886"/>
    <cellStyle name="CALC Percent Total 26 4 2" xfId="26209"/>
    <cellStyle name="CALC Percent Total 26 4 2 2" xfId="48953"/>
    <cellStyle name="CALC Percent Total 26 4 3" xfId="33407"/>
    <cellStyle name="CALC Percent Total 26 4 4" xfId="48954"/>
    <cellStyle name="CALC Percent Total 26 5" xfId="18870"/>
    <cellStyle name="CALC Percent Total 26 5 2" xfId="27190"/>
    <cellStyle name="CALC Percent Total 26 5 2 2" xfId="48955"/>
    <cellStyle name="CALC Percent Total 26 5 3" xfId="34347"/>
    <cellStyle name="CALC Percent Total 26 5 4" xfId="48956"/>
    <cellStyle name="CALC Percent Total 26 6" xfId="19838"/>
    <cellStyle name="CALC Percent Total 26 6 2" xfId="28160"/>
    <cellStyle name="CALC Percent Total 26 6 2 2" xfId="48957"/>
    <cellStyle name="CALC Percent Total 26 6 3" xfId="35294"/>
    <cellStyle name="CALC Percent Total 26 6 4" xfId="48958"/>
    <cellStyle name="CALC Percent Total 26 7" xfId="20796"/>
    <cellStyle name="CALC Percent Total 26 7 2" xfId="29116"/>
    <cellStyle name="CALC Percent Total 26 7 2 2" xfId="48959"/>
    <cellStyle name="CALC Percent Total 26 7 3" xfId="36205"/>
    <cellStyle name="CALC Percent Total 26 7 4" xfId="48960"/>
    <cellStyle name="CALC Percent Total 26 8" xfId="21313"/>
    <cellStyle name="CALC Percent Total 26 8 2" xfId="29619"/>
    <cellStyle name="CALC Percent Total 26 8 2 2" xfId="48961"/>
    <cellStyle name="CALC Percent Total 26 8 3" xfId="36686"/>
    <cellStyle name="CALC Percent Total 26 8 4" xfId="48962"/>
    <cellStyle name="CALC Percent Total 26 9" xfId="22231"/>
    <cellStyle name="CALC Percent Total 26 9 2" xfId="30530"/>
    <cellStyle name="CALC Percent Total 26 9 2 2" xfId="48963"/>
    <cellStyle name="CALC Percent Total 26 9 3" xfId="37558"/>
    <cellStyle name="CALC Percent Total 26 9 4" xfId="48964"/>
    <cellStyle name="CALC Percent Total 27" xfId="14786"/>
    <cellStyle name="CALC Percent Total 27 10" xfId="23151"/>
    <cellStyle name="CALC Percent Total 27 10 2" xfId="48965"/>
    <cellStyle name="CALC Percent Total 27 11" xfId="48966"/>
    <cellStyle name="CALC Percent Total 27 12" xfId="48967"/>
    <cellStyle name="CALC Percent Total 27 2" xfId="15867"/>
    <cellStyle name="CALC Percent Total 27 2 2" xfId="24186"/>
    <cellStyle name="CALC Percent Total 27 2 2 2" xfId="48968"/>
    <cellStyle name="CALC Percent Total 27 2 3" xfId="31473"/>
    <cellStyle name="CALC Percent Total 27 2 4" xfId="48969"/>
    <cellStyle name="CALC Percent Total 27 3" xfId="16833"/>
    <cellStyle name="CALC Percent Total 27 3 2" xfId="25158"/>
    <cellStyle name="CALC Percent Total 27 3 2 2" xfId="48970"/>
    <cellStyle name="CALC Percent Total 27 3 3" xfId="32406"/>
    <cellStyle name="CALC Percent Total 27 3 4" xfId="48971"/>
    <cellStyle name="CALC Percent Total 27 4" xfId="17860"/>
    <cellStyle name="CALC Percent Total 27 4 2" xfId="26184"/>
    <cellStyle name="CALC Percent Total 27 4 2 2" xfId="48972"/>
    <cellStyle name="CALC Percent Total 27 4 3" xfId="33383"/>
    <cellStyle name="CALC Percent Total 27 4 4" xfId="48973"/>
    <cellStyle name="CALC Percent Total 27 5" xfId="18844"/>
    <cellStyle name="CALC Percent Total 27 5 2" xfId="27165"/>
    <cellStyle name="CALC Percent Total 27 5 2 2" xfId="48974"/>
    <cellStyle name="CALC Percent Total 27 5 3" xfId="34323"/>
    <cellStyle name="CALC Percent Total 27 5 4" xfId="48975"/>
    <cellStyle name="CALC Percent Total 27 6" xfId="19812"/>
    <cellStyle name="CALC Percent Total 27 6 2" xfId="28134"/>
    <cellStyle name="CALC Percent Total 27 6 2 2" xfId="48976"/>
    <cellStyle name="CALC Percent Total 27 6 3" xfId="35269"/>
    <cellStyle name="CALC Percent Total 27 6 4" xfId="48977"/>
    <cellStyle name="CALC Percent Total 27 7" xfId="20770"/>
    <cellStyle name="CALC Percent Total 27 7 2" xfId="29091"/>
    <cellStyle name="CALC Percent Total 27 7 2 2" xfId="48978"/>
    <cellStyle name="CALC Percent Total 27 7 3" xfId="36182"/>
    <cellStyle name="CALC Percent Total 27 7 4" xfId="48979"/>
    <cellStyle name="CALC Percent Total 27 8" xfId="15498"/>
    <cellStyle name="CALC Percent Total 27 8 2" xfId="23838"/>
    <cellStyle name="CALC Percent Total 27 8 2 2" xfId="48980"/>
    <cellStyle name="CALC Percent Total 27 8 3" xfId="31187"/>
    <cellStyle name="CALC Percent Total 27 8 4" xfId="48981"/>
    <cellStyle name="CALC Percent Total 27 9" xfId="22206"/>
    <cellStyle name="CALC Percent Total 27 9 2" xfId="30504"/>
    <cellStyle name="CALC Percent Total 27 9 2 2" xfId="48982"/>
    <cellStyle name="CALC Percent Total 27 9 3" xfId="37534"/>
    <cellStyle name="CALC Percent Total 27 9 4" xfId="48983"/>
    <cellStyle name="CALC Percent Total 28" xfId="14839"/>
    <cellStyle name="CALC Percent Total 28 10" xfId="23202"/>
    <cellStyle name="CALC Percent Total 28 10 2" xfId="48984"/>
    <cellStyle name="CALC Percent Total 28 11" xfId="48985"/>
    <cellStyle name="CALC Percent Total 28 12" xfId="48986"/>
    <cellStyle name="CALC Percent Total 28 2" xfId="15920"/>
    <cellStyle name="CALC Percent Total 28 2 2" xfId="24237"/>
    <cellStyle name="CALC Percent Total 28 2 2 2" xfId="48987"/>
    <cellStyle name="CALC Percent Total 28 2 3" xfId="31521"/>
    <cellStyle name="CALC Percent Total 28 2 4" xfId="48988"/>
    <cellStyle name="CALC Percent Total 28 3" xfId="16886"/>
    <cellStyle name="CALC Percent Total 28 3 2" xfId="25209"/>
    <cellStyle name="CALC Percent Total 28 3 2 2" xfId="48989"/>
    <cellStyle name="CALC Percent Total 28 3 3" xfId="32454"/>
    <cellStyle name="CALC Percent Total 28 3 4" xfId="48990"/>
    <cellStyle name="CALC Percent Total 28 4" xfId="17913"/>
    <cellStyle name="CALC Percent Total 28 4 2" xfId="26235"/>
    <cellStyle name="CALC Percent Total 28 4 2 2" xfId="48991"/>
    <cellStyle name="CALC Percent Total 28 4 3" xfId="33431"/>
    <cellStyle name="CALC Percent Total 28 4 4" xfId="48992"/>
    <cellStyle name="CALC Percent Total 28 5" xfId="18897"/>
    <cellStyle name="CALC Percent Total 28 5 2" xfId="27217"/>
    <cellStyle name="CALC Percent Total 28 5 2 2" xfId="48993"/>
    <cellStyle name="CALC Percent Total 28 5 3" xfId="34372"/>
    <cellStyle name="CALC Percent Total 28 5 4" xfId="48994"/>
    <cellStyle name="CALC Percent Total 28 6" xfId="19865"/>
    <cellStyle name="CALC Percent Total 28 6 2" xfId="28187"/>
    <cellStyle name="CALC Percent Total 28 6 2 2" xfId="48995"/>
    <cellStyle name="CALC Percent Total 28 6 3" xfId="35319"/>
    <cellStyle name="CALC Percent Total 28 6 4" xfId="48996"/>
    <cellStyle name="CALC Percent Total 28 7" xfId="20823"/>
    <cellStyle name="CALC Percent Total 28 7 2" xfId="29142"/>
    <cellStyle name="CALC Percent Total 28 7 2 2" xfId="48997"/>
    <cellStyle name="CALC Percent Total 28 7 3" xfId="36229"/>
    <cellStyle name="CALC Percent Total 28 7 4" xfId="48998"/>
    <cellStyle name="CALC Percent Total 28 8" xfId="21302"/>
    <cellStyle name="CALC Percent Total 28 8 2" xfId="29609"/>
    <cellStyle name="CALC Percent Total 28 8 2 2" xfId="48999"/>
    <cellStyle name="CALC Percent Total 28 8 3" xfId="36676"/>
    <cellStyle name="CALC Percent Total 28 8 4" xfId="49000"/>
    <cellStyle name="CALC Percent Total 28 9" xfId="22258"/>
    <cellStyle name="CALC Percent Total 28 9 2" xfId="30556"/>
    <cellStyle name="CALC Percent Total 28 9 2 2" xfId="49001"/>
    <cellStyle name="CALC Percent Total 28 9 3" xfId="37582"/>
    <cellStyle name="CALC Percent Total 28 9 4" xfId="49002"/>
    <cellStyle name="CALC Percent Total 29" xfId="14843"/>
    <cellStyle name="CALC Percent Total 29 10" xfId="23206"/>
    <cellStyle name="CALC Percent Total 29 10 2" xfId="49003"/>
    <cellStyle name="CALC Percent Total 29 11" xfId="49004"/>
    <cellStyle name="CALC Percent Total 29 12" xfId="49005"/>
    <cellStyle name="CALC Percent Total 29 2" xfId="15924"/>
    <cellStyle name="CALC Percent Total 29 2 2" xfId="24241"/>
    <cellStyle name="CALC Percent Total 29 2 2 2" xfId="49006"/>
    <cellStyle name="CALC Percent Total 29 2 3" xfId="31525"/>
    <cellStyle name="CALC Percent Total 29 2 4" xfId="49007"/>
    <cellStyle name="CALC Percent Total 29 3" xfId="16890"/>
    <cellStyle name="CALC Percent Total 29 3 2" xfId="25213"/>
    <cellStyle name="CALC Percent Total 29 3 2 2" xfId="49008"/>
    <cellStyle name="CALC Percent Total 29 3 3" xfId="32458"/>
    <cellStyle name="CALC Percent Total 29 3 4" xfId="49009"/>
    <cellStyle name="CALC Percent Total 29 4" xfId="17917"/>
    <cellStyle name="CALC Percent Total 29 4 2" xfId="26239"/>
    <cellStyle name="CALC Percent Total 29 4 2 2" xfId="49010"/>
    <cellStyle name="CALC Percent Total 29 4 3" xfId="33435"/>
    <cellStyle name="CALC Percent Total 29 4 4" xfId="49011"/>
    <cellStyle name="CALC Percent Total 29 5" xfId="18901"/>
    <cellStyle name="CALC Percent Total 29 5 2" xfId="27221"/>
    <cellStyle name="CALC Percent Total 29 5 2 2" xfId="49012"/>
    <cellStyle name="CALC Percent Total 29 5 3" xfId="34376"/>
    <cellStyle name="CALC Percent Total 29 5 4" xfId="49013"/>
    <cellStyle name="CALC Percent Total 29 6" xfId="19869"/>
    <cellStyle name="CALC Percent Total 29 6 2" xfId="28191"/>
    <cellStyle name="CALC Percent Total 29 6 2 2" xfId="49014"/>
    <cellStyle name="CALC Percent Total 29 6 3" xfId="35323"/>
    <cellStyle name="CALC Percent Total 29 6 4" xfId="49015"/>
    <cellStyle name="CALC Percent Total 29 7" xfId="20827"/>
    <cellStyle name="CALC Percent Total 29 7 2" xfId="29146"/>
    <cellStyle name="CALC Percent Total 29 7 2 2" xfId="49016"/>
    <cellStyle name="CALC Percent Total 29 7 3" xfId="36233"/>
    <cellStyle name="CALC Percent Total 29 7 4" xfId="49017"/>
    <cellStyle name="CALC Percent Total 29 8" xfId="21201"/>
    <cellStyle name="CALC Percent Total 29 8 2" xfId="29513"/>
    <cellStyle name="CALC Percent Total 29 8 2 2" xfId="49018"/>
    <cellStyle name="CALC Percent Total 29 8 3" xfId="36583"/>
    <cellStyle name="CALC Percent Total 29 8 4" xfId="49019"/>
    <cellStyle name="CALC Percent Total 29 9" xfId="22262"/>
    <cellStyle name="CALC Percent Total 29 9 2" xfId="30560"/>
    <cellStyle name="CALC Percent Total 29 9 2 2" xfId="49020"/>
    <cellStyle name="CALC Percent Total 29 9 3" xfId="37586"/>
    <cellStyle name="CALC Percent Total 29 9 4" xfId="49021"/>
    <cellStyle name="CALC Percent Total 3" xfId="14535"/>
    <cellStyle name="CALC Percent Total 3 2" xfId="15611"/>
    <cellStyle name="CALC Percent Total 3 2 2" xfId="23925"/>
    <cellStyle name="CALC Percent Total 3 2 2 2" xfId="49022"/>
    <cellStyle name="CALC Percent Total 3 2 3" xfId="49023"/>
    <cellStyle name="CALC Percent Total 3 2 4" xfId="49024"/>
    <cellStyle name="CALC Percent Total 3 3" xfId="16580"/>
    <cellStyle name="CALC Percent Total 3 3 2" xfId="24896"/>
    <cellStyle name="CALC Percent Total 3 3 2 2" xfId="49025"/>
    <cellStyle name="CALC Percent Total 3 3 3" xfId="32156"/>
    <cellStyle name="CALC Percent Total 3 3 4" xfId="49026"/>
    <cellStyle name="CALC Percent Total 3 4" xfId="17598"/>
    <cellStyle name="CALC Percent Total 3 4 2" xfId="25920"/>
    <cellStyle name="CALC Percent Total 3 4 2 2" xfId="49027"/>
    <cellStyle name="CALC Percent Total 3 4 3" xfId="33133"/>
    <cellStyle name="CALC Percent Total 3 4 4" xfId="49028"/>
    <cellStyle name="CALC Percent Total 3 5" xfId="18579"/>
    <cellStyle name="CALC Percent Total 3 5 2" xfId="26898"/>
    <cellStyle name="CALC Percent Total 3 5 2 2" xfId="49029"/>
    <cellStyle name="CALC Percent Total 3 5 3" xfId="34067"/>
    <cellStyle name="CALC Percent Total 3 5 4" xfId="49030"/>
    <cellStyle name="CALC Percent Total 3 6" xfId="19547"/>
    <cellStyle name="CALC Percent Total 3 6 2" xfId="27868"/>
    <cellStyle name="CALC Percent Total 3 6 2 2" xfId="49031"/>
    <cellStyle name="CALC Percent Total 3 6 3" xfId="35016"/>
    <cellStyle name="CALC Percent Total 3 6 4" xfId="49032"/>
    <cellStyle name="CALC Percent Total 3 7" xfId="19454"/>
    <cellStyle name="CALC Percent Total 3 7 2" xfId="27775"/>
    <cellStyle name="CALC Percent Total 3 7 2 2" xfId="49033"/>
    <cellStyle name="CALC Percent Total 3 7 3" xfId="34923"/>
    <cellStyle name="CALC Percent Total 3 7 4" xfId="49034"/>
    <cellStyle name="CALC Percent Total 3 8" xfId="22889"/>
    <cellStyle name="CALC Percent Total 3 8 2" xfId="49035"/>
    <cellStyle name="CALC Percent Total 30" xfId="14840"/>
    <cellStyle name="CALC Percent Total 30 10" xfId="23203"/>
    <cellStyle name="CALC Percent Total 30 10 2" xfId="49036"/>
    <cellStyle name="CALC Percent Total 30 11" xfId="49037"/>
    <cellStyle name="CALC Percent Total 30 12" xfId="49038"/>
    <cellStyle name="CALC Percent Total 30 2" xfId="15921"/>
    <cellStyle name="CALC Percent Total 30 2 2" xfId="24238"/>
    <cellStyle name="CALC Percent Total 30 2 2 2" xfId="49039"/>
    <cellStyle name="CALC Percent Total 30 2 3" xfId="31522"/>
    <cellStyle name="CALC Percent Total 30 2 4" xfId="49040"/>
    <cellStyle name="CALC Percent Total 30 3" xfId="16887"/>
    <cellStyle name="CALC Percent Total 30 3 2" xfId="25210"/>
    <cellStyle name="CALC Percent Total 30 3 2 2" xfId="49041"/>
    <cellStyle name="CALC Percent Total 30 3 3" xfId="32455"/>
    <cellStyle name="CALC Percent Total 30 3 4" xfId="49042"/>
    <cellStyle name="CALC Percent Total 30 4" xfId="17914"/>
    <cellStyle name="CALC Percent Total 30 4 2" xfId="26236"/>
    <cellStyle name="CALC Percent Total 30 4 2 2" xfId="49043"/>
    <cellStyle name="CALC Percent Total 30 4 3" xfId="33432"/>
    <cellStyle name="CALC Percent Total 30 4 4" xfId="49044"/>
    <cellStyle name="CALC Percent Total 30 5" xfId="18898"/>
    <cellStyle name="CALC Percent Total 30 5 2" xfId="27218"/>
    <cellStyle name="CALC Percent Total 30 5 2 2" xfId="49045"/>
    <cellStyle name="CALC Percent Total 30 5 3" xfId="34373"/>
    <cellStyle name="CALC Percent Total 30 5 4" xfId="49046"/>
    <cellStyle name="CALC Percent Total 30 6" xfId="19866"/>
    <cellStyle name="CALC Percent Total 30 6 2" xfId="28188"/>
    <cellStyle name="CALC Percent Total 30 6 2 2" xfId="49047"/>
    <cellStyle name="CALC Percent Total 30 6 3" xfId="35320"/>
    <cellStyle name="CALC Percent Total 30 6 4" xfId="49048"/>
    <cellStyle name="CALC Percent Total 30 7" xfId="20824"/>
    <cellStyle name="CALC Percent Total 30 7 2" xfId="29143"/>
    <cellStyle name="CALC Percent Total 30 7 2 2" xfId="49049"/>
    <cellStyle name="CALC Percent Total 30 7 3" xfId="36230"/>
    <cellStyle name="CALC Percent Total 30 7 4" xfId="49050"/>
    <cellStyle name="CALC Percent Total 30 8" xfId="21259"/>
    <cellStyle name="CALC Percent Total 30 8 2" xfId="29568"/>
    <cellStyle name="CALC Percent Total 30 8 2 2" xfId="49051"/>
    <cellStyle name="CALC Percent Total 30 8 3" xfId="36636"/>
    <cellStyle name="CALC Percent Total 30 8 4" xfId="49052"/>
    <cellStyle name="CALC Percent Total 30 9" xfId="22259"/>
    <cellStyle name="CALC Percent Total 30 9 2" xfId="30557"/>
    <cellStyle name="CALC Percent Total 30 9 2 2" xfId="49053"/>
    <cellStyle name="CALC Percent Total 30 9 3" xfId="37583"/>
    <cellStyle name="CALC Percent Total 30 9 4" xfId="49054"/>
    <cellStyle name="CALC Percent Total 31" xfId="14844"/>
    <cellStyle name="CALC Percent Total 31 10" xfId="23207"/>
    <cellStyle name="CALC Percent Total 31 10 2" xfId="49055"/>
    <cellStyle name="CALC Percent Total 31 11" xfId="49056"/>
    <cellStyle name="CALC Percent Total 31 12" xfId="49057"/>
    <cellStyle name="CALC Percent Total 31 2" xfId="15925"/>
    <cellStyle name="CALC Percent Total 31 2 2" xfId="24242"/>
    <cellStyle name="CALC Percent Total 31 2 2 2" xfId="49058"/>
    <cellStyle name="CALC Percent Total 31 2 3" xfId="31526"/>
    <cellStyle name="CALC Percent Total 31 2 4" xfId="49059"/>
    <cellStyle name="CALC Percent Total 31 3" xfId="16891"/>
    <cellStyle name="CALC Percent Total 31 3 2" xfId="25214"/>
    <cellStyle name="CALC Percent Total 31 3 2 2" xfId="49060"/>
    <cellStyle name="CALC Percent Total 31 3 3" xfId="32459"/>
    <cellStyle name="CALC Percent Total 31 3 4" xfId="49061"/>
    <cellStyle name="CALC Percent Total 31 4" xfId="17918"/>
    <cellStyle name="CALC Percent Total 31 4 2" xfId="26240"/>
    <cellStyle name="CALC Percent Total 31 4 2 2" xfId="49062"/>
    <cellStyle name="CALC Percent Total 31 4 3" xfId="33436"/>
    <cellStyle name="CALC Percent Total 31 4 4" xfId="49063"/>
    <cellStyle name="CALC Percent Total 31 5" xfId="18902"/>
    <cellStyle name="CALC Percent Total 31 5 2" xfId="27222"/>
    <cellStyle name="CALC Percent Total 31 5 2 2" xfId="49064"/>
    <cellStyle name="CALC Percent Total 31 5 3" xfId="34377"/>
    <cellStyle name="CALC Percent Total 31 5 4" xfId="49065"/>
    <cellStyle name="CALC Percent Total 31 6" xfId="19870"/>
    <cellStyle name="CALC Percent Total 31 6 2" xfId="28192"/>
    <cellStyle name="CALC Percent Total 31 6 2 2" xfId="49066"/>
    <cellStyle name="CALC Percent Total 31 6 3" xfId="35324"/>
    <cellStyle name="CALC Percent Total 31 6 4" xfId="49067"/>
    <cellStyle name="CALC Percent Total 31 7" xfId="20828"/>
    <cellStyle name="CALC Percent Total 31 7 2" xfId="29147"/>
    <cellStyle name="CALC Percent Total 31 7 2 2" xfId="49068"/>
    <cellStyle name="CALC Percent Total 31 7 3" xfId="36234"/>
    <cellStyle name="CALC Percent Total 31 7 4" xfId="49069"/>
    <cellStyle name="CALC Percent Total 31 8" xfId="17564"/>
    <cellStyle name="CALC Percent Total 31 8 2" xfId="25883"/>
    <cellStyle name="CALC Percent Total 31 8 2 2" xfId="49070"/>
    <cellStyle name="CALC Percent Total 31 8 3" xfId="33098"/>
    <cellStyle name="CALC Percent Total 31 8 4" xfId="49071"/>
    <cellStyle name="CALC Percent Total 31 9" xfId="22263"/>
    <cellStyle name="CALC Percent Total 31 9 2" xfId="30561"/>
    <cellStyle name="CALC Percent Total 31 9 2 2" xfId="49072"/>
    <cellStyle name="CALC Percent Total 31 9 3" xfId="37587"/>
    <cellStyle name="CALC Percent Total 31 9 4" xfId="49073"/>
    <cellStyle name="CALC Percent Total 32" xfId="14847"/>
    <cellStyle name="CALC Percent Total 32 10" xfId="23210"/>
    <cellStyle name="CALC Percent Total 32 10 2" xfId="49074"/>
    <cellStyle name="CALC Percent Total 32 11" xfId="49075"/>
    <cellStyle name="CALC Percent Total 32 12" xfId="49076"/>
    <cellStyle name="CALC Percent Total 32 2" xfId="15928"/>
    <cellStyle name="CALC Percent Total 32 2 2" xfId="24245"/>
    <cellStyle name="CALC Percent Total 32 2 2 2" xfId="49077"/>
    <cellStyle name="CALC Percent Total 32 2 3" xfId="31529"/>
    <cellStyle name="CALC Percent Total 32 2 4" xfId="49078"/>
    <cellStyle name="CALC Percent Total 32 3" xfId="16894"/>
    <cellStyle name="CALC Percent Total 32 3 2" xfId="25217"/>
    <cellStyle name="CALC Percent Total 32 3 2 2" xfId="49079"/>
    <cellStyle name="CALC Percent Total 32 3 3" xfId="32462"/>
    <cellStyle name="CALC Percent Total 32 3 4" xfId="49080"/>
    <cellStyle name="CALC Percent Total 32 4" xfId="17921"/>
    <cellStyle name="CALC Percent Total 32 4 2" xfId="26243"/>
    <cellStyle name="CALC Percent Total 32 4 2 2" xfId="49081"/>
    <cellStyle name="CALC Percent Total 32 4 3" xfId="33439"/>
    <cellStyle name="CALC Percent Total 32 4 4" xfId="49082"/>
    <cellStyle name="CALC Percent Total 32 5" xfId="18905"/>
    <cellStyle name="CALC Percent Total 32 5 2" xfId="27225"/>
    <cellStyle name="CALC Percent Total 32 5 2 2" xfId="49083"/>
    <cellStyle name="CALC Percent Total 32 5 3" xfId="34380"/>
    <cellStyle name="CALC Percent Total 32 5 4" xfId="49084"/>
    <cellStyle name="CALC Percent Total 32 6" xfId="19873"/>
    <cellStyle name="CALC Percent Total 32 6 2" xfId="28195"/>
    <cellStyle name="CALC Percent Total 32 6 2 2" xfId="49085"/>
    <cellStyle name="CALC Percent Total 32 6 3" xfId="35327"/>
    <cellStyle name="CALC Percent Total 32 6 4" xfId="49086"/>
    <cellStyle name="CALC Percent Total 32 7" xfId="20831"/>
    <cellStyle name="CALC Percent Total 32 7 2" xfId="29150"/>
    <cellStyle name="CALC Percent Total 32 7 2 2" xfId="49087"/>
    <cellStyle name="CALC Percent Total 32 7 3" xfId="36237"/>
    <cellStyle name="CALC Percent Total 32 7 4" xfId="49088"/>
    <cellStyle name="CALC Percent Total 32 8" xfId="21127"/>
    <cellStyle name="CALC Percent Total 32 8 2" xfId="29441"/>
    <cellStyle name="CALC Percent Total 32 8 2 2" xfId="49089"/>
    <cellStyle name="CALC Percent Total 32 8 3" xfId="36514"/>
    <cellStyle name="CALC Percent Total 32 8 4" xfId="49090"/>
    <cellStyle name="CALC Percent Total 32 9" xfId="22266"/>
    <cellStyle name="CALC Percent Total 32 9 2" xfId="30564"/>
    <cellStyle name="CALC Percent Total 32 9 2 2" xfId="49091"/>
    <cellStyle name="CALC Percent Total 32 9 3" xfId="37590"/>
    <cellStyle name="CALC Percent Total 32 9 4" xfId="49092"/>
    <cellStyle name="CALC Percent Total 33" xfId="14789"/>
    <cellStyle name="CALC Percent Total 33 10" xfId="23154"/>
    <cellStyle name="CALC Percent Total 33 10 2" xfId="49093"/>
    <cellStyle name="CALC Percent Total 33 11" xfId="49094"/>
    <cellStyle name="CALC Percent Total 33 12" xfId="49095"/>
    <cellStyle name="CALC Percent Total 33 2" xfId="15870"/>
    <cellStyle name="CALC Percent Total 33 2 2" xfId="24189"/>
    <cellStyle name="CALC Percent Total 33 2 2 2" xfId="49096"/>
    <cellStyle name="CALC Percent Total 33 2 3" xfId="31475"/>
    <cellStyle name="CALC Percent Total 33 2 4" xfId="49097"/>
    <cellStyle name="CALC Percent Total 33 3" xfId="16836"/>
    <cellStyle name="CALC Percent Total 33 3 2" xfId="25161"/>
    <cellStyle name="CALC Percent Total 33 3 2 2" xfId="49098"/>
    <cellStyle name="CALC Percent Total 33 3 3" xfId="32408"/>
    <cellStyle name="CALC Percent Total 33 3 4" xfId="49099"/>
    <cellStyle name="CALC Percent Total 33 4" xfId="17863"/>
    <cellStyle name="CALC Percent Total 33 4 2" xfId="26187"/>
    <cellStyle name="CALC Percent Total 33 4 2 2" xfId="49100"/>
    <cellStyle name="CALC Percent Total 33 4 3" xfId="33385"/>
    <cellStyle name="CALC Percent Total 33 4 4" xfId="49101"/>
    <cellStyle name="CALC Percent Total 33 5" xfId="18847"/>
    <cellStyle name="CALC Percent Total 33 5 2" xfId="27168"/>
    <cellStyle name="CALC Percent Total 33 5 2 2" xfId="49102"/>
    <cellStyle name="CALC Percent Total 33 5 3" xfId="34325"/>
    <cellStyle name="CALC Percent Total 33 5 4" xfId="49103"/>
    <cellStyle name="CALC Percent Total 33 6" xfId="19815"/>
    <cellStyle name="CALC Percent Total 33 6 2" xfId="28137"/>
    <cellStyle name="CALC Percent Total 33 6 2 2" xfId="49104"/>
    <cellStyle name="CALC Percent Total 33 6 3" xfId="35271"/>
    <cellStyle name="CALC Percent Total 33 6 4" xfId="49105"/>
    <cellStyle name="CALC Percent Total 33 7" xfId="20773"/>
    <cellStyle name="CALC Percent Total 33 7 2" xfId="29094"/>
    <cellStyle name="CALC Percent Total 33 7 2 2" xfId="49106"/>
    <cellStyle name="CALC Percent Total 33 7 3" xfId="36184"/>
    <cellStyle name="CALC Percent Total 33 7 4" xfId="49107"/>
    <cellStyle name="CALC Percent Total 33 8" xfId="21336"/>
    <cellStyle name="CALC Percent Total 33 8 2" xfId="29640"/>
    <cellStyle name="CALC Percent Total 33 8 2 2" xfId="49108"/>
    <cellStyle name="CALC Percent Total 33 8 3" xfId="36706"/>
    <cellStyle name="CALC Percent Total 33 8 4" xfId="49109"/>
    <cellStyle name="CALC Percent Total 33 9" xfId="22209"/>
    <cellStyle name="CALC Percent Total 33 9 2" xfId="30507"/>
    <cellStyle name="CALC Percent Total 33 9 2 2" xfId="49110"/>
    <cellStyle name="CALC Percent Total 33 9 3" xfId="37536"/>
    <cellStyle name="CALC Percent Total 33 9 4" xfId="49111"/>
    <cellStyle name="CALC Percent Total 34" xfId="14734"/>
    <cellStyle name="CALC Percent Total 34 10" xfId="23098"/>
    <cellStyle name="CALC Percent Total 34 10 2" xfId="49112"/>
    <cellStyle name="CALC Percent Total 34 11" xfId="49113"/>
    <cellStyle name="CALC Percent Total 34 12" xfId="49114"/>
    <cellStyle name="CALC Percent Total 34 2" xfId="15815"/>
    <cellStyle name="CALC Percent Total 34 2 2" xfId="24133"/>
    <cellStyle name="CALC Percent Total 34 2 2 2" xfId="49115"/>
    <cellStyle name="CALC Percent Total 34 2 3" xfId="31421"/>
    <cellStyle name="CALC Percent Total 34 2 4" xfId="49116"/>
    <cellStyle name="CALC Percent Total 34 3" xfId="16781"/>
    <cellStyle name="CALC Percent Total 34 3 2" xfId="25105"/>
    <cellStyle name="CALC Percent Total 34 3 2 2" xfId="49117"/>
    <cellStyle name="CALC Percent Total 34 3 3" xfId="32354"/>
    <cellStyle name="CALC Percent Total 34 3 4" xfId="49118"/>
    <cellStyle name="CALC Percent Total 34 4" xfId="17807"/>
    <cellStyle name="CALC Percent Total 34 4 2" xfId="26131"/>
    <cellStyle name="CALC Percent Total 34 4 2 2" xfId="49119"/>
    <cellStyle name="CALC Percent Total 34 4 3" xfId="33331"/>
    <cellStyle name="CALC Percent Total 34 4 4" xfId="49120"/>
    <cellStyle name="CALC Percent Total 34 5" xfId="18791"/>
    <cellStyle name="CALC Percent Total 34 5 2" xfId="27112"/>
    <cellStyle name="CALC Percent Total 34 5 2 2" xfId="49121"/>
    <cellStyle name="CALC Percent Total 34 5 3" xfId="34271"/>
    <cellStyle name="CALC Percent Total 34 5 4" xfId="49122"/>
    <cellStyle name="CALC Percent Total 34 6" xfId="19759"/>
    <cellStyle name="CALC Percent Total 34 6 2" xfId="28081"/>
    <cellStyle name="CALC Percent Total 34 6 2 2" xfId="49123"/>
    <cellStyle name="CALC Percent Total 34 6 3" xfId="35217"/>
    <cellStyle name="CALC Percent Total 34 6 4" xfId="49124"/>
    <cellStyle name="CALC Percent Total 34 7" xfId="20717"/>
    <cellStyle name="CALC Percent Total 34 7 2" xfId="29038"/>
    <cellStyle name="CALC Percent Total 34 7 2 2" xfId="49125"/>
    <cellStyle name="CALC Percent Total 34 7 3" xfId="36131"/>
    <cellStyle name="CALC Percent Total 34 7 4" xfId="49126"/>
    <cellStyle name="CALC Percent Total 34 8" xfId="17554"/>
    <cellStyle name="CALC Percent Total 34 8 2" xfId="25873"/>
    <cellStyle name="CALC Percent Total 34 8 2 2" xfId="49127"/>
    <cellStyle name="CALC Percent Total 34 8 3" xfId="33090"/>
    <cellStyle name="CALC Percent Total 34 8 4" xfId="49128"/>
    <cellStyle name="CALC Percent Total 34 9" xfId="22153"/>
    <cellStyle name="CALC Percent Total 34 9 2" xfId="30451"/>
    <cellStyle name="CALC Percent Total 34 9 2 2" xfId="49129"/>
    <cellStyle name="CALC Percent Total 34 9 3" xfId="37482"/>
    <cellStyle name="CALC Percent Total 34 9 4" xfId="49130"/>
    <cellStyle name="CALC Percent Total 35" xfId="14848"/>
    <cellStyle name="CALC Percent Total 35 10" xfId="23211"/>
    <cellStyle name="CALC Percent Total 35 10 2" xfId="49131"/>
    <cellStyle name="CALC Percent Total 35 11" xfId="49132"/>
    <cellStyle name="CALC Percent Total 35 12" xfId="49133"/>
    <cellStyle name="CALC Percent Total 35 2" xfId="15929"/>
    <cellStyle name="CALC Percent Total 35 2 2" xfId="24246"/>
    <cellStyle name="CALC Percent Total 35 2 2 2" xfId="49134"/>
    <cellStyle name="CALC Percent Total 35 2 3" xfId="31530"/>
    <cellStyle name="CALC Percent Total 35 2 4" xfId="49135"/>
    <cellStyle name="CALC Percent Total 35 3" xfId="16895"/>
    <cellStyle name="CALC Percent Total 35 3 2" xfId="25218"/>
    <cellStyle name="CALC Percent Total 35 3 2 2" xfId="49136"/>
    <cellStyle name="CALC Percent Total 35 3 3" xfId="32463"/>
    <cellStyle name="CALC Percent Total 35 3 4" xfId="49137"/>
    <cellStyle name="CALC Percent Total 35 4" xfId="17922"/>
    <cellStyle name="CALC Percent Total 35 4 2" xfId="26244"/>
    <cellStyle name="CALC Percent Total 35 4 2 2" xfId="49138"/>
    <cellStyle name="CALC Percent Total 35 4 3" xfId="33440"/>
    <cellStyle name="CALC Percent Total 35 4 4" xfId="49139"/>
    <cellStyle name="CALC Percent Total 35 5" xfId="18906"/>
    <cellStyle name="CALC Percent Total 35 5 2" xfId="27226"/>
    <cellStyle name="CALC Percent Total 35 5 2 2" xfId="49140"/>
    <cellStyle name="CALC Percent Total 35 5 3" xfId="34381"/>
    <cellStyle name="CALC Percent Total 35 5 4" xfId="49141"/>
    <cellStyle name="CALC Percent Total 35 6" xfId="19874"/>
    <cellStyle name="CALC Percent Total 35 6 2" xfId="28196"/>
    <cellStyle name="CALC Percent Total 35 6 2 2" xfId="49142"/>
    <cellStyle name="CALC Percent Total 35 6 3" xfId="35328"/>
    <cellStyle name="CALC Percent Total 35 6 4" xfId="49143"/>
    <cellStyle name="CALC Percent Total 35 7" xfId="20832"/>
    <cellStyle name="CALC Percent Total 35 7 2" xfId="29151"/>
    <cellStyle name="CALC Percent Total 35 7 2 2" xfId="49144"/>
    <cellStyle name="CALC Percent Total 35 7 3" xfId="36238"/>
    <cellStyle name="CALC Percent Total 35 7 4" xfId="49145"/>
    <cellStyle name="CALC Percent Total 35 8" xfId="21114"/>
    <cellStyle name="CALC Percent Total 35 8 2" xfId="29428"/>
    <cellStyle name="CALC Percent Total 35 8 2 2" xfId="49146"/>
    <cellStyle name="CALC Percent Total 35 8 3" xfId="36501"/>
    <cellStyle name="CALC Percent Total 35 8 4" xfId="49147"/>
    <cellStyle name="CALC Percent Total 35 9" xfId="22267"/>
    <cellStyle name="CALC Percent Total 35 9 2" xfId="30565"/>
    <cellStyle name="CALC Percent Total 35 9 2 2" xfId="49148"/>
    <cellStyle name="CALC Percent Total 35 9 3" xfId="37591"/>
    <cellStyle name="CALC Percent Total 35 9 4" xfId="49149"/>
    <cellStyle name="CALC Percent Total 36" xfId="14845"/>
    <cellStyle name="CALC Percent Total 36 10" xfId="23208"/>
    <cellStyle name="CALC Percent Total 36 10 2" xfId="49150"/>
    <cellStyle name="CALC Percent Total 36 11" xfId="49151"/>
    <cellStyle name="CALC Percent Total 36 12" xfId="49152"/>
    <cellStyle name="CALC Percent Total 36 2" xfId="15926"/>
    <cellStyle name="CALC Percent Total 36 2 2" xfId="24243"/>
    <cellStyle name="CALC Percent Total 36 2 2 2" xfId="49153"/>
    <cellStyle name="CALC Percent Total 36 2 3" xfId="31527"/>
    <cellStyle name="CALC Percent Total 36 2 4" xfId="49154"/>
    <cellStyle name="CALC Percent Total 36 3" xfId="16892"/>
    <cellStyle name="CALC Percent Total 36 3 2" xfId="25215"/>
    <cellStyle name="CALC Percent Total 36 3 2 2" xfId="49155"/>
    <cellStyle name="CALC Percent Total 36 3 3" xfId="32460"/>
    <cellStyle name="CALC Percent Total 36 3 4" xfId="49156"/>
    <cellStyle name="CALC Percent Total 36 4" xfId="17919"/>
    <cellStyle name="CALC Percent Total 36 4 2" xfId="26241"/>
    <cellStyle name="CALC Percent Total 36 4 2 2" xfId="49157"/>
    <cellStyle name="CALC Percent Total 36 4 3" xfId="33437"/>
    <cellStyle name="CALC Percent Total 36 4 4" xfId="49158"/>
    <cellStyle name="CALC Percent Total 36 5" xfId="18903"/>
    <cellStyle name="CALC Percent Total 36 5 2" xfId="27223"/>
    <cellStyle name="CALC Percent Total 36 5 2 2" xfId="49159"/>
    <cellStyle name="CALC Percent Total 36 5 3" xfId="34378"/>
    <cellStyle name="CALC Percent Total 36 5 4" xfId="49160"/>
    <cellStyle name="CALC Percent Total 36 6" xfId="19871"/>
    <cellStyle name="CALC Percent Total 36 6 2" xfId="28193"/>
    <cellStyle name="CALC Percent Total 36 6 2 2" xfId="49161"/>
    <cellStyle name="CALC Percent Total 36 6 3" xfId="35325"/>
    <cellStyle name="CALC Percent Total 36 6 4" xfId="49162"/>
    <cellStyle name="CALC Percent Total 36 7" xfId="20829"/>
    <cellStyle name="CALC Percent Total 36 7 2" xfId="29148"/>
    <cellStyle name="CALC Percent Total 36 7 2 2" xfId="49163"/>
    <cellStyle name="CALC Percent Total 36 7 3" xfId="36235"/>
    <cellStyle name="CALC Percent Total 36 7 4" xfId="49164"/>
    <cellStyle name="CALC Percent Total 36 8" xfId="21153"/>
    <cellStyle name="CALC Percent Total 36 8 2" xfId="29465"/>
    <cellStyle name="CALC Percent Total 36 8 2 2" xfId="49165"/>
    <cellStyle name="CALC Percent Total 36 8 3" xfId="36537"/>
    <cellStyle name="CALC Percent Total 36 8 4" xfId="49166"/>
    <cellStyle name="CALC Percent Total 36 9" xfId="22264"/>
    <cellStyle name="CALC Percent Total 36 9 2" xfId="30562"/>
    <cellStyle name="CALC Percent Total 36 9 2 2" xfId="49167"/>
    <cellStyle name="CALC Percent Total 36 9 3" xfId="37588"/>
    <cellStyle name="CALC Percent Total 36 9 4" xfId="49168"/>
    <cellStyle name="CALC Percent Total 37" xfId="14785"/>
    <cellStyle name="CALC Percent Total 37 10" xfId="23150"/>
    <cellStyle name="CALC Percent Total 37 10 2" xfId="49169"/>
    <cellStyle name="CALC Percent Total 37 11" xfId="49170"/>
    <cellStyle name="CALC Percent Total 37 12" xfId="49171"/>
    <cellStyle name="CALC Percent Total 37 2" xfId="15866"/>
    <cellStyle name="CALC Percent Total 37 2 2" xfId="24185"/>
    <cellStyle name="CALC Percent Total 37 2 2 2" xfId="49172"/>
    <cellStyle name="CALC Percent Total 37 2 3" xfId="31472"/>
    <cellStyle name="CALC Percent Total 37 2 4" xfId="49173"/>
    <cellStyle name="CALC Percent Total 37 3" xfId="16832"/>
    <cellStyle name="CALC Percent Total 37 3 2" xfId="25157"/>
    <cellStyle name="CALC Percent Total 37 3 2 2" xfId="49174"/>
    <cellStyle name="CALC Percent Total 37 3 3" xfId="32405"/>
    <cellStyle name="CALC Percent Total 37 3 4" xfId="49175"/>
    <cellStyle name="CALC Percent Total 37 4" xfId="17859"/>
    <cellStyle name="CALC Percent Total 37 4 2" xfId="26183"/>
    <cellStyle name="CALC Percent Total 37 4 2 2" xfId="49176"/>
    <cellStyle name="CALC Percent Total 37 4 3" xfId="33382"/>
    <cellStyle name="CALC Percent Total 37 4 4" xfId="49177"/>
    <cellStyle name="CALC Percent Total 37 5" xfId="18843"/>
    <cellStyle name="CALC Percent Total 37 5 2" xfId="27164"/>
    <cellStyle name="CALC Percent Total 37 5 2 2" xfId="49178"/>
    <cellStyle name="CALC Percent Total 37 5 3" xfId="34322"/>
    <cellStyle name="CALC Percent Total 37 5 4" xfId="49179"/>
    <cellStyle name="CALC Percent Total 37 6" xfId="19811"/>
    <cellStyle name="CALC Percent Total 37 6 2" xfId="28133"/>
    <cellStyle name="CALC Percent Total 37 6 2 2" xfId="49180"/>
    <cellStyle name="CALC Percent Total 37 6 3" xfId="35268"/>
    <cellStyle name="CALC Percent Total 37 6 4" xfId="49181"/>
    <cellStyle name="CALC Percent Total 37 7" xfId="20769"/>
    <cellStyle name="CALC Percent Total 37 7 2" xfId="29090"/>
    <cellStyle name="CALC Percent Total 37 7 2 2" xfId="49182"/>
    <cellStyle name="CALC Percent Total 37 7 3" xfId="36181"/>
    <cellStyle name="CALC Percent Total 37 7 4" xfId="49183"/>
    <cellStyle name="CALC Percent Total 37 8" xfId="21095"/>
    <cellStyle name="CALC Percent Total 37 8 2" xfId="29412"/>
    <cellStyle name="CALC Percent Total 37 8 2 2" xfId="49184"/>
    <cellStyle name="CALC Percent Total 37 8 3" xfId="36487"/>
    <cellStyle name="CALC Percent Total 37 8 4" xfId="49185"/>
    <cellStyle name="CALC Percent Total 37 9" xfId="22205"/>
    <cellStyle name="CALC Percent Total 37 9 2" xfId="30503"/>
    <cellStyle name="CALC Percent Total 37 9 2 2" xfId="49186"/>
    <cellStyle name="CALC Percent Total 37 9 3" xfId="37533"/>
    <cellStyle name="CALC Percent Total 37 9 4" xfId="49187"/>
    <cellStyle name="CALC Percent Total 38" xfId="14749"/>
    <cellStyle name="CALC Percent Total 38 10" xfId="23113"/>
    <cellStyle name="CALC Percent Total 38 10 2" xfId="49188"/>
    <cellStyle name="CALC Percent Total 38 11" xfId="49189"/>
    <cellStyle name="CALC Percent Total 38 12" xfId="49190"/>
    <cellStyle name="CALC Percent Total 38 2" xfId="15830"/>
    <cellStyle name="CALC Percent Total 38 2 2" xfId="24148"/>
    <cellStyle name="CALC Percent Total 38 2 2 2" xfId="49191"/>
    <cellStyle name="CALC Percent Total 38 2 3" xfId="31436"/>
    <cellStyle name="CALC Percent Total 38 2 4" xfId="49192"/>
    <cellStyle name="CALC Percent Total 38 3" xfId="16796"/>
    <cellStyle name="CALC Percent Total 38 3 2" xfId="25120"/>
    <cellStyle name="CALC Percent Total 38 3 2 2" xfId="49193"/>
    <cellStyle name="CALC Percent Total 38 3 3" xfId="32369"/>
    <cellStyle name="CALC Percent Total 38 3 4" xfId="49194"/>
    <cellStyle name="CALC Percent Total 38 4" xfId="17822"/>
    <cellStyle name="CALC Percent Total 38 4 2" xfId="26146"/>
    <cellStyle name="CALC Percent Total 38 4 2 2" xfId="49195"/>
    <cellStyle name="CALC Percent Total 38 4 3" xfId="33346"/>
    <cellStyle name="CALC Percent Total 38 4 4" xfId="49196"/>
    <cellStyle name="CALC Percent Total 38 5" xfId="18806"/>
    <cellStyle name="CALC Percent Total 38 5 2" xfId="27127"/>
    <cellStyle name="CALC Percent Total 38 5 2 2" xfId="49197"/>
    <cellStyle name="CALC Percent Total 38 5 3" xfId="34286"/>
    <cellStyle name="CALC Percent Total 38 5 4" xfId="49198"/>
    <cellStyle name="CALC Percent Total 38 6" xfId="19774"/>
    <cellStyle name="CALC Percent Total 38 6 2" xfId="28096"/>
    <cellStyle name="CALC Percent Total 38 6 2 2" xfId="49199"/>
    <cellStyle name="CALC Percent Total 38 6 3" xfId="35232"/>
    <cellStyle name="CALC Percent Total 38 6 4" xfId="49200"/>
    <cellStyle name="CALC Percent Total 38 7" xfId="20732"/>
    <cellStyle name="CALC Percent Total 38 7 2" xfId="29053"/>
    <cellStyle name="CALC Percent Total 38 7 2 2" xfId="49201"/>
    <cellStyle name="CALC Percent Total 38 7 3" xfId="36145"/>
    <cellStyle name="CALC Percent Total 38 7 4" xfId="49202"/>
    <cellStyle name="CALC Percent Total 38 8" xfId="21117"/>
    <cellStyle name="CALC Percent Total 38 8 2" xfId="29431"/>
    <cellStyle name="CALC Percent Total 38 8 2 2" xfId="49203"/>
    <cellStyle name="CALC Percent Total 38 8 3" xfId="36504"/>
    <cellStyle name="CALC Percent Total 38 8 4" xfId="49204"/>
    <cellStyle name="CALC Percent Total 38 9" xfId="22168"/>
    <cellStyle name="CALC Percent Total 38 9 2" xfId="30466"/>
    <cellStyle name="CALC Percent Total 38 9 2 2" xfId="49205"/>
    <cellStyle name="CALC Percent Total 38 9 3" xfId="37497"/>
    <cellStyle name="CALC Percent Total 38 9 4" xfId="49206"/>
    <cellStyle name="CALC Percent Total 39" xfId="14920"/>
    <cellStyle name="CALC Percent Total 39 10" xfId="23283"/>
    <cellStyle name="CALC Percent Total 39 10 2" xfId="49207"/>
    <cellStyle name="CALC Percent Total 39 11" xfId="49208"/>
    <cellStyle name="CALC Percent Total 39 12" xfId="49209"/>
    <cellStyle name="CALC Percent Total 39 2" xfId="16001"/>
    <cellStyle name="CALC Percent Total 39 2 2" xfId="24318"/>
    <cellStyle name="CALC Percent Total 39 2 2 2" xfId="49210"/>
    <cellStyle name="CALC Percent Total 39 2 3" xfId="31598"/>
    <cellStyle name="CALC Percent Total 39 2 4" xfId="49211"/>
    <cellStyle name="CALC Percent Total 39 3" xfId="16967"/>
    <cellStyle name="CALC Percent Total 39 3 2" xfId="25290"/>
    <cellStyle name="CALC Percent Total 39 3 2 2" xfId="49212"/>
    <cellStyle name="CALC Percent Total 39 3 3" xfId="32531"/>
    <cellStyle name="CALC Percent Total 39 3 4" xfId="49213"/>
    <cellStyle name="CALC Percent Total 39 4" xfId="17994"/>
    <cellStyle name="CALC Percent Total 39 4 2" xfId="26316"/>
    <cellStyle name="CALC Percent Total 39 4 2 2" xfId="49214"/>
    <cellStyle name="CALC Percent Total 39 4 3" xfId="33508"/>
    <cellStyle name="CALC Percent Total 39 4 4" xfId="49215"/>
    <cellStyle name="CALC Percent Total 39 5" xfId="18978"/>
    <cellStyle name="CALC Percent Total 39 5 2" xfId="27298"/>
    <cellStyle name="CALC Percent Total 39 5 2 2" xfId="49216"/>
    <cellStyle name="CALC Percent Total 39 5 3" xfId="34449"/>
    <cellStyle name="CALC Percent Total 39 5 4" xfId="49217"/>
    <cellStyle name="CALC Percent Total 39 6" xfId="19946"/>
    <cellStyle name="CALC Percent Total 39 6 2" xfId="28268"/>
    <cellStyle name="CALC Percent Total 39 6 2 2" xfId="49218"/>
    <cellStyle name="CALC Percent Total 39 6 3" xfId="35396"/>
    <cellStyle name="CALC Percent Total 39 6 4" xfId="49219"/>
    <cellStyle name="CALC Percent Total 39 7" xfId="20904"/>
    <cellStyle name="CALC Percent Total 39 7 2" xfId="29223"/>
    <cellStyle name="CALC Percent Total 39 7 2 2" xfId="49220"/>
    <cellStyle name="CALC Percent Total 39 7 3" xfId="36306"/>
    <cellStyle name="CALC Percent Total 39 7 4" xfId="49221"/>
    <cellStyle name="CALC Percent Total 39 8" xfId="21411"/>
    <cellStyle name="CALC Percent Total 39 8 2" xfId="29714"/>
    <cellStyle name="CALC Percent Total 39 8 2 2" xfId="49222"/>
    <cellStyle name="CALC Percent Total 39 8 3" xfId="36776"/>
    <cellStyle name="CALC Percent Total 39 8 4" xfId="49223"/>
    <cellStyle name="CALC Percent Total 39 9" xfId="22339"/>
    <cellStyle name="CALC Percent Total 39 9 2" xfId="30637"/>
    <cellStyle name="CALC Percent Total 39 9 2 2" xfId="49224"/>
    <cellStyle name="CALC Percent Total 39 9 3" xfId="37659"/>
    <cellStyle name="CALC Percent Total 39 9 4" xfId="49225"/>
    <cellStyle name="CALC Percent Total 4" xfId="14584"/>
    <cellStyle name="CALC Percent Total 4 10" xfId="22943"/>
    <cellStyle name="CALC Percent Total 4 10 2" xfId="49226"/>
    <cellStyle name="CALC Percent Total 4 11" xfId="49227"/>
    <cellStyle name="CALC Percent Total 4 2" xfId="15664"/>
    <cellStyle name="CALC Percent Total 4 2 2" xfId="23979"/>
    <cellStyle name="CALC Percent Total 4 2 2 2" xfId="49228"/>
    <cellStyle name="CALC Percent Total 4 2 3" xfId="31276"/>
    <cellStyle name="CALC Percent Total 4 2 4" xfId="49229"/>
    <cellStyle name="CALC Percent Total 4 3" xfId="16631"/>
    <cellStyle name="CALC Percent Total 4 3 2" xfId="24950"/>
    <cellStyle name="CALC Percent Total 4 3 2 2" xfId="49230"/>
    <cellStyle name="CALC Percent Total 4 3 3" xfId="32209"/>
    <cellStyle name="CALC Percent Total 4 3 4" xfId="49231"/>
    <cellStyle name="CALC Percent Total 4 4" xfId="17652"/>
    <cellStyle name="CALC Percent Total 4 4 2" xfId="25976"/>
    <cellStyle name="CALC Percent Total 4 4 2 2" xfId="49232"/>
    <cellStyle name="CALC Percent Total 4 4 3" xfId="33186"/>
    <cellStyle name="CALC Percent Total 4 4 4" xfId="49233"/>
    <cellStyle name="CALC Percent Total 4 5" xfId="18635"/>
    <cellStyle name="CALC Percent Total 4 5 2" xfId="26955"/>
    <cellStyle name="CALC Percent Total 4 5 2 2" xfId="49234"/>
    <cellStyle name="CALC Percent Total 4 5 3" xfId="34123"/>
    <cellStyle name="CALC Percent Total 4 5 4" xfId="49235"/>
    <cellStyle name="CALC Percent Total 4 6" xfId="19604"/>
    <cellStyle name="CALC Percent Total 4 6 2" xfId="27924"/>
    <cellStyle name="CALC Percent Total 4 6 2 2" xfId="49236"/>
    <cellStyle name="CALC Percent Total 4 6 3" xfId="35069"/>
    <cellStyle name="CALC Percent Total 4 6 4" xfId="49237"/>
    <cellStyle name="CALC Percent Total 4 7" xfId="20561"/>
    <cellStyle name="CALC Percent Total 4 7 2" xfId="28883"/>
    <cellStyle name="CALC Percent Total 4 7 2 2" xfId="49238"/>
    <cellStyle name="CALC Percent Total 4 7 3" xfId="35986"/>
    <cellStyle name="CALC Percent Total 4 7 4" xfId="49239"/>
    <cellStyle name="CALC Percent Total 4 8" xfId="21184"/>
    <cellStyle name="CALC Percent Total 4 8 2" xfId="29496"/>
    <cellStyle name="CALC Percent Total 4 8 2 2" xfId="49240"/>
    <cellStyle name="CALC Percent Total 4 8 3" xfId="36567"/>
    <cellStyle name="CALC Percent Total 4 8 4" xfId="49241"/>
    <cellStyle name="CALC Percent Total 4 9" xfId="21997"/>
    <cellStyle name="CALC Percent Total 4 9 2" xfId="30297"/>
    <cellStyle name="CALC Percent Total 4 9 2 2" xfId="49242"/>
    <cellStyle name="CALC Percent Total 4 9 3" xfId="37337"/>
    <cellStyle name="CALC Percent Total 4 9 4" xfId="49243"/>
    <cellStyle name="CALC Percent Total 40" xfId="14937"/>
    <cellStyle name="CALC Percent Total 40 10" xfId="23300"/>
    <cellStyle name="CALC Percent Total 40 10 2" xfId="49244"/>
    <cellStyle name="CALC Percent Total 40 11" xfId="49245"/>
    <cellStyle name="CALC Percent Total 40 12" xfId="49246"/>
    <cellStyle name="CALC Percent Total 40 2" xfId="16018"/>
    <cellStyle name="CALC Percent Total 40 2 2" xfId="24335"/>
    <cellStyle name="CALC Percent Total 40 2 2 2" xfId="49247"/>
    <cellStyle name="CALC Percent Total 40 2 3" xfId="31615"/>
    <cellStyle name="CALC Percent Total 40 2 4" xfId="49248"/>
    <cellStyle name="CALC Percent Total 40 3" xfId="16984"/>
    <cellStyle name="CALC Percent Total 40 3 2" xfId="25307"/>
    <cellStyle name="CALC Percent Total 40 3 2 2" xfId="49249"/>
    <cellStyle name="CALC Percent Total 40 3 3" xfId="32548"/>
    <cellStyle name="CALC Percent Total 40 3 4" xfId="49250"/>
    <cellStyle name="CALC Percent Total 40 4" xfId="18011"/>
    <cellStyle name="CALC Percent Total 40 4 2" xfId="26333"/>
    <cellStyle name="CALC Percent Total 40 4 2 2" xfId="49251"/>
    <cellStyle name="CALC Percent Total 40 4 3" xfId="33525"/>
    <cellStyle name="CALC Percent Total 40 4 4" xfId="49252"/>
    <cellStyle name="CALC Percent Total 40 5" xfId="18995"/>
    <cellStyle name="CALC Percent Total 40 5 2" xfId="27315"/>
    <cellStyle name="CALC Percent Total 40 5 2 2" xfId="49253"/>
    <cellStyle name="CALC Percent Total 40 5 3" xfId="34466"/>
    <cellStyle name="CALC Percent Total 40 5 4" xfId="49254"/>
    <cellStyle name="CALC Percent Total 40 6" xfId="19963"/>
    <cellStyle name="CALC Percent Total 40 6 2" xfId="28285"/>
    <cellStyle name="CALC Percent Total 40 6 2 2" xfId="49255"/>
    <cellStyle name="CALC Percent Total 40 6 3" xfId="35413"/>
    <cellStyle name="CALC Percent Total 40 6 4" xfId="49256"/>
    <cellStyle name="CALC Percent Total 40 7" xfId="20921"/>
    <cellStyle name="CALC Percent Total 40 7 2" xfId="29240"/>
    <cellStyle name="CALC Percent Total 40 7 2 2" xfId="49257"/>
    <cellStyle name="CALC Percent Total 40 7 3" xfId="36323"/>
    <cellStyle name="CALC Percent Total 40 7 4" xfId="49258"/>
    <cellStyle name="CALC Percent Total 40 8" xfId="21428"/>
    <cellStyle name="CALC Percent Total 40 8 2" xfId="29731"/>
    <cellStyle name="CALC Percent Total 40 8 2 2" xfId="49259"/>
    <cellStyle name="CALC Percent Total 40 8 3" xfId="36793"/>
    <cellStyle name="CALC Percent Total 40 8 4" xfId="49260"/>
    <cellStyle name="CALC Percent Total 40 9" xfId="22356"/>
    <cellStyle name="CALC Percent Total 40 9 2" xfId="30654"/>
    <cellStyle name="CALC Percent Total 40 9 2 2" xfId="49261"/>
    <cellStyle name="CALC Percent Total 40 9 3" xfId="37676"/>
    <cellStyle name="CALC Percent Total 40 9 4" xfId="49262"/>
    <cellStyle name="CALC Percent Total 41" xfId="14916"/>
    <cellStyle name="CALC Percent Total 41 10" xfId="23279"/>
    <cellStyle name="CALC Percent Total 41 10 2" xfId="49263"/>
    <cellStyle name="CALC Percent Total 41 11" xfId="49264"/>
    <cellStyle name="CALC Percent Total 41 12" xfId="49265"/>
    <cellStyle name="CALC Percent Total 41 2" xfId="15997"/>
    <cellStyle name="CALC Percent Total 41 2 2" xfId="24314"/>
    <cellStyle name="CALC Percent Total 41 2 2 2" xfId="49266"/>
    <cellStyle name="CALC Percent Total 41 2 3" xfId="31594"/>
    <cellStyle name="CALC Percent Total 41 2 4" xfId="49267"/>
    <cellStyle name="CALC Percent Total 41 3" xfId="16963"/>
    <cellStyle name="CALC Percent Total 41 3 2" xfId="25286"/>
    <cellStyle name="CALC Percent Total 41 3 2 2" xfId="49268"/>
    <cellStyle name="CALC Percent Total 41 3 3" xfId="32527"/>
    <cellStyle name="CALC Percent Total 41 3 4" xfId="49269"/>
    <cellStyle name="CALC Percent Total 41 4" xfId="17990"/>
    <cellStyle name="CALC Percent Total 41 4 2" xfId="26312"/>
    <cellStyle name="CALC Percent Total 41 4 2 2" xfId="49270"/>
    <cellStyle name="CALC Percent Total 41 4 3" xfId="33504"/>
    <cellStyle name="CALC Percent Total 41 4 4" xfId="49271"/>
    <cellStyle name="CALC Percent Total 41 5" xfId="18974"/>
    <cellStyle name="CALC Percent Total 41 5 2" xfId="27294"/>
    <cellStyle name="CALC Percent Total 41 5 2 2" xfId="49272"/>
    <cellStyle name="CALC Percent Total 41 5 3" xfId="34445"/>
    <cellStyle name="CALC Percent Total 41 5 4" xfId="49273"/>
    <cellStyle name="CALC Percent Total 41 6" xfId="19942"/>
    <cellStyle name="CALC Percent Total 41 6 2" xfId="28264"/>
    <cellStyle name="CALC Percent Total 41 6 2 2" xfId="49274"/>
    <cellStyle name="CALC Percent Total 41 6 3" xfId="35392"/>
    <cellStyle name="CALC Percent Total 41 6 4" xfId="49275"/>
    <cellStyle name="CALC Percent Total 41 7" xfId="20900"/>
    <cellStyle name="CALC Percent Total 41 7 2" xfId="29219"/>
    <cellStyle name="CALC Percent Total 41 7 2 2" xfId="49276"/>
    <cellStyle name="CALC Percent Total 41 7 3" xfId="36302"/>
    <cellStyle name="CALC Percent Total 41 7 4" xfId="49277"/>
    <cellStyle name="CALC Percent Total 41 8" xfId="21407"/>
    <cellStyle name="CALC Percent Total 41 8 2" xfId="29710"/>
    <cellStyle name="CALC Percent Total 41 8 2 2" xfId="49278"/>
    <cellStyle name="CALC Percent Total 41 8 3" xfId="36772"/>
    <cellStyle name="CALC Percent Total 41 8 4" xfId="49279"/>
    <cellStyle name="CALC Percent Total 41 9" xfId="22335"/>
    <cellStyle name="CALC Percent Total 41 9 2" xfId="30633"/>
    <cellStyle name="CALC Percent Total 41 9 2 2" xfId="49280"/>
    <cellStyle name="CALC Percent Total 41 9 3" xfId="37655"/>
    <cellStyle name="CALC Percent Total 41 9 4" xfId="49281"/>
    <cellStyle name="CALC Percent Total 42" xfId="14911"/>
    <cellStyle name="CALC Percent Total 42 10" xfId="23274"/>
    <cellStyle name="CALC Percent Total 42 10 2" xfId="49282"/>
    <cellStyle name="CALC Percent Total 42 11" xfId="49283"/>
    <cellStyle name="CALC Percent Total 42 12" xfId="49284"/>
    <cellStyle name="CALC Percent Total 42 2" xfId="15992"/>
    <cellStyle name="CALC Percent Total 42 2 2" xfId="24309"/>
    <cellStyle name="CALC Percent Total 42 2 2 2" xfId="49285"/>
    <cellStyle name="CALC Percent Total 42 2 3" xfId="31589"/>
    <cellStyle name="CALC Percent Total 42 2 4" xfId="49286"/>
    <cellStyle name="CALC Percent Total 42 3" xfId="16958"/>
    <cellStyle name="CALC Percent Total 42 3 2" xfId="25281"/>
    <cellStyle name="CALC Percent Total 42 3 2 2" xfId="49287"/>
    <cellStyle name="CALC Percent Total 42 3 3" xfId="32522"/>
    <cellStyle name="CALC Percent Total 42 3 4" xfId="49288"/>
    <cellStyle name="CALC Percent Total 42 4" xfId="17985"/>
    <cellStyle name="CALC Percent Total 42 4 2" xfId="26307"/>
    <cellStyle name="CALC Percent Total 42 4 2 2" xfId="49289"/>
    <cellStyle name="CALC Percent Total 42 4 3" xfId="33499"/>
    <cellStyle name="CALC Percent Total 42 4 4" xfId="49290"/>
    <cellStyle name="CALC Percent Total 42 5" xfId="18969"/>
    <cellStyle name="CALC Percent Total 42 5 2" xfId="27289"/>
    <cellStyle name="CALC Percent Total 42 5 2 2" xfId="49291"/>
    <cellStyle name="CALC Percent Total 42 5 3" xfId="34440"/>
    <cellStyle name="CALC Percent Total 42 5 4" xfId="49292"/>
    <cellStyle name="CALC Percent Total 42 6" xfId="19937"/>
    <cellStyle name="CALC Percent Total 42 6 2" xfId="28259"/>
    <cellStyle name="CALC Percent Total 42 6 2 2" xfId="49293"/>
    <cellStyle name="CALC Percent Total 42 6 3" xfId="35387"/>
    <cellStyle name="CALC Percent Total 42 6 4" xfId="49294"/>
    <cellStyle name="CALC Percent Total 42 7" xfId="20895"/>
    <cellStyle name="CALC Percent Total 42 7 2" xfId="29214"/>
    <cellStyle name="CALC Percent Total 42 7 2 2" xfId="49295"/>
    <cellStyle name="CALC Percent Total 42 7 3" xfId="36297"/>
    <cellStyle name="CALC Percent Total 42 7 4" xfId="49296"/>
    <cellStyle name="CALC Percent Total 42 8" xfId="21402"/>
    <cellStyle name="CALC Percent Total 42 8 2" xfId="29705"/>
    <cellStyle name="CALC Percent Total 42 8 2 2" xfId="49297"/>
    <cellStyle name="CALC Percent Total 42 8 3" xfId="36767"/>
    <cellStyle name="CALC Percent Total 42 8 4" xfId="49298"/>
    <cellStyle name="CALC Percent Total 42 9" xfId="22330"/>
    <cellStyle name="CALC Percent Total 42 9 2" xfId="30628"/>
    <cellStyle name="CALC Percent Total 42 9 2 2" xfId="49299"/>
    <cellStyle name="CALC Percent Total 42 9 3" xfId="37650"/>
    <cellStyle name="CALC Percent Total 42 9 4" xfId="49300"/>
    <cellStyle name="CALC Percent Total 43" xfId="14915"/>
    <cellStyle name="CALC Percent Total 43 10" xfId="23278"/>
    <cellStyle name="CALC Percent Total 43 10 2" xfId="49301"/>
    <cellStyle name="CALC Percent Total 43 11" xfId="49302"/>
    <cellStyle name="CALC Percent Total 43 12" xfId="49303"/>
    <cellStyle name="CALC Percent Total 43 2" xfId="15996"/>
    <cellStyle name="CALC Percent Total 43 2 2" xfId="24313"/>
    <cellStyle name="CALC Percent Total 43 2 2 2" xfId="49304"/>
    <cellStyle name="CALC Percent Total 43 2 3" xfId="31593"/>
    <cellStyle name="CALC Percent Total 43 2 4" xfId="49305"/>
    <cellStyle name="CALC Percent Total 43 3" xfId="16962"/>
    <cellStyle name="CALC Percent Total 43 3 2" xfId="25285"/>
    <cellStyle name="CALC Percent Total 43 3 2 2" xfId="49306"/>
    <cellStyle name="CALC Percent Total 43 3 3" xfId="32526"/>
    <cellStyle name="CALC Percent Total 43 3 4" xfId="49307"/>
    <cellStyle name="CALC Percent Total 43 4" xfId="17989"/>
    <cellStyle name="CALC Percent Total 43 4 2" xfId="26311"/>
    <cellStyle name="CALC Percent Total 43 4 2 2" xfId="49308"/>
    <cellStyle name="CALC Percent Total 43 4 3" xfId="33503"/>
    <cellStyle name="CALC Percent Total 43 4 4" xfId="49309"/>
    <cellStyle name="CALC Percent Total 43 5" xfId="18973"/>
    <cellStyle name="CALC Percent Total 43 5 2" xfId="27293"/>
    <cellStyle name="CALC Percent Total 43 5 2 2" xfId="49310"/>
    <cellStyle name="CALC Percent Total 43 5 3" xfId="34444"/>
    <cellStyle name="CALC Percent Total 43 5 4" xfId="49311"/>
    <cellStyle name="CALC Percent Total 43 6" xfId="19941"/>
    <cellStyle name="CALC Percent Total 43 6 2" xfId="28263"/>
    <cellStyle name="CALC Percent Total 43 6 2 2" xfId="49312"/>
    <cellStyle name="CALC Percent Total 43 6 3" xfId="35391"/>
    <cellStyle name="CALC Percent Total 43 6 4" xfId="49313"/>
    <cellStyle name="CALC Percent Total 43 7" xfId="20899"/>
    <cellStyle name="CALC Percent Total 43 7 2" xfId="29218"/>
    <cellStyle name="CALC Percent Total 43 7 2 2" xfId="49314"/>
    <cellStyle name="CALC Percent Total 43 7 3" xfId="36301"/>
    <cellStyle name="CALC Percent Total 43 7 4" xfId="49315"/>
    <cellStyle name="CALC Percent Total 43 8" xfId="21406"/>
    <cellStyle name="CALC Percent Total 43 8 2" xfId="29709"/>
    <cellStyle name="CALC Percent Total 43 8 2 2" xfId="49316"/>
    <cellStyle name="CALC Percent Total 43 8 3" xfId="36771"/>
    <cellStyle name="CALC Percent Total 43 8 4" xfId="49317"/>
    <cellStyle name="CALC Percent Total 43 9" xfId="22334"/>
    <cellStyle name="CALC Percent Total 43 9 2" xfId="30632"/>
    <cellStyle name="CALC Percent Total 43 9 2 2" xfId="49318"/>
    <cellStyle name="CALC Percent Total 43 9 3" xfId="37654"/>
    <cellStyle name="CALC Percent Total 43 9 4" xfId="49319"/>
    <cellStyle name="CALC Percent Total 44" xfId="14914"/>
    <cellStyle name="CALC Percent Total 44 10" xfId="23277"/>
    <cellStyle name="CALC Percent Total 44 10 2" xfId="49320"/>
    <cellStyle name="CALC Percent Total 44 11" xfId="49321"/>
    <cellStyle name="CALC Percent Total 44 12" xfId="49322"/>
    <cellStyle name="CALC Percent Total 44 2" xfId="15995"/>
    <cellStyle name="CALC Percent Total 44 2 2" xfId="24312"/>
    <cellStyle name="CALC Percent Total 44 2 2 2" xfId="49323"/>
    <cellStyle name="CALC Percent Total 44 2 3" xfId="31592"/>
    <cellStyle name="CALC Percent Total 44 2 4" xfId="49324"/>
    <cellStyle name="CALC Percent Total 44 3" xfId="16961"/>
    <cellStyle name="CALC Percent Total 44 3 2" xfId="25284"/>
    <cellStyle name="CALC Percent Total 44 3 2 2" xfId="49325"/>
    <cellStyle name="CALC Percent Total 44 3 3" xfId="32525"/>
    <cellStyle name="CALC Percent Total 44 3 4" xfId="49326"/>
    <cellStyle name="CALC Percent Total 44 4" xfId="17988"/>
    <cellStyle name="CALC Percent Total 44 4 2" xfId="26310"/>
    <cellStyle name="CALC Percent Total 44 4 2 2" xfId="49327"/>
    <cellStyle name="CALC Percent Total 44 4 3" xfId="33502"/>
    <cellStyle name="CALC Percent Total 44 4 4" xfId="49328"/>
    <cellStyle name="CALC Percent Total 44 5" xfId="18972"/>
    <cellStyle name="CALC Percent Total 44 5 2" xfId="27292"/>
    <cellStyle name="CALC Percent Total 44 5 2 2" xfId="49329"/>
    <cellStyle name="CALC Percent Total 44 5 3" xfId="34443"/>
    <cellStyle name="CALC Percent Total 44 5 4" xfId="49330"/>
    <cellStyle name="CALC Percent Total 44 6" xfId="19940"/>
    <cellStyle name="CALC Percent Total 44 6 2" xfId="28262"/>
    <cellStyle name="CALC Percent Total 44 6 2 2" xfId="49331"/>
    <cellStyle name="CALC Percent Total 44 6 3" xfId="35390"/>
    <cellStyle name="CALC Percent Total 44 6 4" xfId="49332"/>
    <cellStyle name="CALC Percent Total 44 7" xfId="20898"/>
    <cellStyle name="CALC Percent Total 44 7 2" xfId="29217"/>
    <cellStyle name="CALC Percent Total 44 7 2 2" xfId="49333"/>
    <cellStyle name="CALC Percent Total 44 7 3" xfId="36300"/>
    <cellStyle name="CALC Percent Total 44 7 4" xfId="49334"/>
    <cellStyle name="CALC Percent Total 44 8" xfId="21405"/>
    <cellStyle name="CALC Percent Total 44 8 2" xfId="29708"/>
    <cellStyle name="CALC Percent Total 44 8 2 2" xfId="49335"/>
    <cellStyle name="CALC Percent Total 44 8 3" xfId="36770"/>
    <cellStyle name="CALC Percent Total 44 8 4" xfId="49336"/>
    <cellStyle name="CALC Percent Total 44 9" xfId="22333"/>
    <cellStyle name="CALC Percent Total 44 9 2" xfId="30631"/>
    <cellStyle name="CALC Percent Total 44 9 2 2" xfId="49337"/>
    <cellStyle name="CALC Percent Total 44 9 3" xfId="37653"/>
    <cellStyle name="CALC Percent Total 44 9 4" xfId="49338"/>
    <cellStyle name="CALC Percent Total 45" xfId="14922"/>
    <cellStyle name="CALC Percent Total 45 10" xfId="23285"/>
    <cellStyle name="CALC Percent Total 45 10 2" xfId="49339"/>
    <cellStyle name="CALC Percent Total 45 11" xfId="49340"/>
    <cellStyle name="CALC Percent Total 45 12" xfId="49341"/>
    <cellStyle name="CALC Percent Total 45 2" xfId="16003"/>
    <cellStyle name="CALC Percent Total 45 2 2" xfId="24320"/>
    <cellStyle name="CALC Percent Total 45 2 2 2" xfId="49342"/>
    <cellStyle name="CALC Percent Total 45 2 3" xfId="31600"/>
    <cellStyle name="CALC Percent Total 45 2 4" xfId="49343"/>
    <cellStyle name="CALC Percent Total 45 3" xfId="16969"/>
    <cellStyle name="CALC Percent Total 45 3 2" xfId="25292"/>
    <cellStyle name="CALC Percent Total 45 3 2 2" xfId="49344"/>
    <cellStyle name="CALC Percent Total 45 3 3" xfId="32533"/>
    <cellStyle name="CALC Percent Total 45 3 4" xfId="49345"/>
    <cellStyle name="CALC Percent Total 45 4" xfId="17996"/>
    <cellStyle name="CALC Percent Total 45 4 2" xfId="26318"/>
    <cellStyle name="CALC Percent Total 45 4 2 2" xfId="49346"/>
    <cellStyle name="CALC Percent Total 45 4 3" xfId="33510"/>
    <cellStyle name="CALC Percent Total 45 4 4" xfId="49347"/>
    <cellStyle name="CALC Percent Total 45 5" xfId="18980"/>
    <cellStyle name="CALC Percent Total 45 5 2" xfId="27300"/>
    <cellStyle name="CALC Percent Total 45 5 2 2" xfId="49348"/>
    <cellStyle name="CALC Percent Total 45 5 3" xfId="34451"/>
    <cellStyle name="CALC Percent Total 45 5 4" xfId="49349"/>
    <cellStyle name="CALC Percent Total 45 6" xfId="19948"/>
    <cellStyle name="CALC Percent Total 45 6 2" xfId="28270"/>
    <cellStyle name="CALC Percent Total 45 6 2 2" xfId="49350"/>
    <cellStyle name="CALC Percent Total 45 6 3" xfId="35398"/>
    <cellStyle name="CALC Percent Total 45 6 4" xfId="49351"/>
    <cellStyle name="CALC Percent Total 45 7" xfId="20906"/>
    <cellStyle name="CALC Percent Total 45 7 2" xfId="29225"/>
    <cellStyle name="CALC Percent Total 45 7 2 2" xfId="49352"/>
    <cellStyle name="CALC Percent Total 45 7 3" xfId="36308"/>
    <cellStyle name="CALC Percent Total 45 7 4" xfId="49353"/>
    <cellStyle name="CALC Percent Total 45 8" xfId="21413"/>
    <cellStyle name="CALC Percent Total 45 8 2" xfId="29716"/>
    <cellStyle name="CALC Percent Total 45 8 2 2" xfId="49354"/>
    <cellStyle name="CALC Percent Total 45 8 3" xfId="36778"/>
    <cellStyle name="CALC Percent Total 45 8 4" xfId="49355"/>
    <cellStyle name="CALC Percent Total 45 9" xfId="22341"/>
    <cellStyle name="CALC Percent Total 45 9 2" xfId="30639"/>
    <cellStyle name="CALC Percent Total 45 9 2 2" xfId="49356"/>
    <cellStyle name="CALC Percent Total 45 9 3" xfId="37661"/>
    <cellStyle name="CALC Percent Total 45 9 4" xfId="49357"/>
    <cellStyle name="CALC Percent Total 46" xfId="14943"/>
    <cellStyle name="CALC Percent Total 46 10" xfId="23306"/>
    <cellStyle name="CALC Percent Total 46 10 2" xfId="49358"/>
    <cellStyle name="CALC Percent Total 46 11" xfId="49359"/>
    <cellStyle name="CALC Percent Total 46 12" xfId="49360"/>
    <cellStyle name="CALC Percent Total 46 2" xfId="16024"/>
    <cellStyle name="CALC Percent Total 46 2 2" xfId="24341"/>
    <cellStyle name="CALC Percent Total 46 2 2 2" xfId="49361"/>
    <cellStyle name="CALC Percent Total 46 2 3" xfId="31621"/>
    <cellStyle name="CALC Percent Total 46 2 4" xfId="49362"/>
    <cellStyle name="CALC Percent Total 46 3" xfId="16990"/>
    <cellStyle name="CALC Percent Total 46 3 2" xfId="25313"/>
    <cellStyle name="CALC Percent Total 46 3 2 2" xfId="49363"/>
    <cellStyle name="CALC Percent Total 46 3 3" xfId="32554"/>
    <cellStyle name="CALC Percent Total 46 3 4" xfId="49364"/>
    <cellStyle name="CALC Percent Total 46 4" xfId="18017"/>
    <cellStyle name="CALC Percent Total 46 4 2" xfId="26339"/>
    <cellStyle name="CALC Percent Total 46 4 2 2" xfId="49365"/>
    <cellStyle name="CALC Percent Total 46 4 3" xfId="33531"/>
    <cellStyle name="CALC Percent Total 46 4 4" xfId="49366"/>
    <cellStyle name="CALC Percent Total 46 5" xfId="19001"/>
    <cellStyle name="CALC Percent Total 46 5 2" xfId="27321"/>
    <cellStyle name="CALC Percent Total 46 5 2 2" xfId="49367"/>
    <cellStyle name="CALC Percent Total 46 5 3" xfId="34472"/>
    <cellStyle name="CALC Percent Total 46 5 4" xfId="49368"/>
    <cellStyle name="CALC Percent Total 46 6" xfId="19969"/>
    <cellStyle name="CALC Percent Total 46 6 2" xfId="28291"/>
    <cellStyle name="CALC Percent Total 46 6 2 2" xfId="49369"/>
    <cellStyle name="CALC Percent Total 46 6 3" xfId="35419"/>
    <cellStyle name="CALC Percent Total 46 6 4" xfId="49370"/>
    <cellStyle name="CALC Percent Total 46 7" xfId="20927"/>
    <cellStyle name="CALC Percent Total 46 7 2" xfId="29246"/>
    <cellStyle name="CALC Percent Total 46 7 2 2" xfId="49371"/>
    <cellStyle name="CALC Percent Total 46 7 3" xfId="36329"/>
    <cellStyle name="CALC Percent Total 46 7 4" xfId="49372"/>
    <cellStyle name="CALC Percent Total 46 8" xfId="21434"/>
    <cellStyle name="CALC Percent Total 46 8 2" xfId="29737"/>
    <cellStyle name="CALC Percent Total 46 8 2 2" xfId="49373"/>
    <cellStyle name="CALC Percent Total 46 8 3" xfId="36799"/>
    <cellStyle name="CALC Percent Total 46 8 4" xfId="49374"/>
    <cellStyle name="CALC Percent Total 46 9" xfId="22362"/>
    <cellStyle name="CALC Percent Total 46 9 2" xfId="30660"/>
    <cellStyle name="CALC Percent Total 46 9 2 2" xfId="49375"/>
    <cellStyle name="CALC Percent Total 46 9 3" xfId="37682"/>
    <cellStyle name="CALC Percent Total 46 9 4" xfId="49376"/>
    <cellStyle name="CALC Percent Total 47" xfId="14923"/>
    <cellStyle name="CALC Percent Total 47 10" xfId="23286"/>
    <cellStyle name="CALC Percent Total 47 10 2" xfId="49377"/>
    <cellStyle name="CALC Percent Total 47 11" xfId="49378"/>
    <cellStyle name="CALC Percent Total 47 12" xfId="49379"/>
    <cellStyle name="CALC Percent Total 47 2" xfId="16004"/>
    <cellStyle name="CALC Percent Total 47 2 2" xfId="24321"/>
    <cellStyle name="CALC Percent Total 47 2 2 2" xfId="49380"/>
    <cellStyle name="CALC Percent Total 47 2 3" xfId="31601"/>
    <cellStyle name="CALC Percent Total 47 2 4" xfId="49381"/>
    <cellStyle name="CALC Percent Total 47 3" xfId="16970"/>
    <cellStyle name="CALC Percent Total 47 3 2" xfId="25293"/>
    <cellStyle name="CALC Percent Total 47 3 2 2" xfId="49382"/>
    <cellStyle name="CALC Percent Total 47 3 3" xfId="32534"/>
    <cellStyle name="CALC Percent Total 47 3 4" xfId="49383"/>
    <cellStyle name="CALC Percent Total 47 4" xfId="17997"/>
    <cellStyle name="CALC Percent Total 47 4 2" xfId="26319"/>
    <cellStyle name="CALC Percent Total 47 4 2 2" xfId="49384"/>
    <cellStyle name="CALC Percent Total 47 4 3" xfId="33511"/>
    <cellStyle name="CALC Percent Total 47 4 4" xfId="49385"/>
    <cellStyle name="CALC Percent Total 47 5" xfId="18981"/>
    <cellStyle name="CALC Percent Total 47 5 2" xfId="27301"/>
    <cellStyle name="CALC Percent Total 47 5 2 2" xfId="49386"/>
    <cellStyle name="CALC Percent Total 47 5 3" xfId="34452"/>
    <cellStyle name="CALC Percent Total 47 5 4" xfId="49387"/>
    <cellStyle name="CALC Percent Total 47 6" xfId="19949"/>
    <cellStyle name="CALC Percent Total 47 6 2" xfId="28271"/>
    <cellStyle name="CALC Percent Total 47 6 2 2" xfId="49388"/>
    <cellStyle name="CALC Percent Total 47 6 3" xfId="35399"/>
    <cellStyle name="CALC Percent Total 47 6 4" xfId="49389"/>
    <cellStyle name="CALC Percent Total 47 7" xfId="20907"/>
    <cellStyle name="CALC Percent Total 47 7 2" xfId="29226"/>
    <cellStyle name="CALC Percent Total 47 7 2 2" xfId="49390"/>
    <cellStyle name="CALC Percent Total 47 7 3" xfId="36309"/>
    <cellStyle name="CALC Percent Total 47 7 4" xfId="49391"/>
    <cellStyle name="CALC Percent Total 47 8" xfId="21414"/>
    <cellStyle name="CALC Percent Total 47 8 2" xfId="29717"/>
    <cellStyle name="CALC Percent Total 47 8 2 2" xfId="49392"/>
    <cellStyle name="CALC Percent Total 47 8 3" xfId="36779"/>
    <cellStyle name="CALC Percent Total 47 8 4" xfId="49393"/>
    <cellStyle name="CALC Percent Total 47 9" xfId="22342"/>
    <cellStyle name="CALC Percent Total 47 9 2" xfId="30640"/>
    <cellStyle name="CALC Percent Total 47 9 2 2" xfId="49394"/>
    <cellStyle name="CALC Percent Total 47 9 3" xfId="37662"/>
    <cellStyle name="CALC Percent Total 47 9 4" xfId="49395"/>
    <cellStyle name="CALC Percent Total 48" xfId="14908"/>
    <cellStyle name="CALC Percent Total 48 10" xfId="23271"/>
    <cellStyle name="CALC Percent Total 48 10 2" xfId="49396"/>
    <cellStyle name="CALC Percent Total 48 11" xfId="49397"/>
    <cellStyle name="CALC Percent Total 48 12" xfId="49398"/>
    <cellStyle name="CALC Percent Total 48 2" xfId="15989"/>
    <cellStyle name="CALC Percent Total 48 2 2" xfId="24306"/>
    <cellStyle name="CALC Percent Total 48 2 2 2" xfId="49399"/>
    <cellStyle name="CALC Percent Total 48 2 3" xfId="31586"/>
    <cellStyle name="CALC Percent Total 48 2 4" xfId="49400"/>
    <cellStyle name="CALC Percent Total 48 3" xfId="16955"/>
    <cellStyle name="CALC Percent Total 48 3 2" xfId="25278"/>
    <cellStyle name="CALC Percent Total 48 3 2 2" xfId="49401"/>
    <cellStyle name="CALC Percent Total 48 3 3" xfId="32519"/>
    <cellStyle name="CALC Percent Total 48 3 4" xfId="49402"/>
    <cellStyle name="CALC Percent Total 48 4" xfId="17982"/>
    <cellStyle name="CALC Percent Total 48 4 2" xfId="26304"/>
    <cellStyle name="CALC Percent Total 48 4 2 2" xfId="49403"/>
    <cellStyle name="CALC Percent Total 48 4 3" xfId="33496"/>
    <cellStyle name="CALC Percent Total 48 4 4" xfId="49404"/>
    <cellStyle name="CALC Percent Total 48 5" xfId="18966"/>
    <cellStyle name="CALC Percent Total 48 5 2" xfId="27286"/>
    <cellStyle name="CALC Percent Total 48 5 2 2" xfId="49405"/>
    <cellStyle name="CALC Percent Total 48 5 3" xfId="34437"/>
    <cellStyle name="CALC Percent Total 48 5 4" xfId="49406"/>
    <cellStyle name="CALC Percent Total 48 6" xfId="19934"/>
    <cellStyle name="CALC Percent Total 48 6 2" xfId="28256"/>
    <cellStyle name="CALC Percent Total 48 6 2 2" xfId="49407"/>
    <cellStyle name="CALC Percent Total 48 6 3" xfId="35384"/>
    <cellStyle name="CALC Percent Total 48 6 4" xfId="49408"/>
    <cellStyle name="CALC Percent Total 48 7" xfId="20892"/>
    <cellStyle name="CALC Percent Total 48 7 2" xfId="29211"/>
    <cellStyle name="CALC Percent Total 48 7 2 2" xfId="49409"/>
    <cellStyle name="CALC Percent Total 48 7 3" xfId="36294"/>
    <cellStyle name="CALC Percent Total 48 7 4" xfId="49410"/>
    <cellStyle name="CALC Percent Total 48 8" xfId="21399"/>
    <cellStyle name="CALC Percent Total 48 8 2" xfId="29702"/>
    <cellStyle name="CALC Percent Total 48 8 2 2" xfId="49411"/>
    <cellStyle name="CALC Percent Total 48 8 3" xfId="36764"/>
    <cellStyle name="CALC Percent Total 48 8 4" xfId="49412"/>
    <cellStyle name="CALC Percent Total 48 9" xfId="22327"/>
    <cellStyle name="CALC Percent Total 48 9 2" xfId="30625"/>
    <cellStyle name="CALC Percent Total 48 9 2 2" xfId="49413"/>
    <cellStyle name="CALC Percent Total 48 9 3" xfId="37647"/>
    <cellStyle name="CALC Percent Total 48 9 4" xfId="49414"/>
    <cellStyle name="CALC Percent Total 49" xfId="14948"/>
    <cellStyle name="CALC Percent Total 49 10" xfId="23311"/>
    <cellStyle name="CALC Percent Total 49 10 2" xfId="49415"/>
    <cellStyle name="CALC Percent Total 49 11" xfId="49416"/>
    <cellStyle name="CALC Percent Total 49 12" xfId="49417"/>
    <cellStyle name="CALC Percent Total 49 2" xfId="16029"/>
    <cellStyle name="CALC Percent Total 49 2 2" xfId="24346"/>
    <cellStyle name="CALC Percent Total 49 2 2 2" xfId="49418"/>
    <cellStyle name="CALC Percent Total 49 2 3" xfId="31626"/>
    <cellStyle name="CALC Percent Total 49 2 4" xfId="49419"/>
    <cellStyle name="CALC Percent Total 49 3" xfId="16995"/>
    <cellStyle name="CALC Percent Total 49 3 2" xfId="25318"/>
    <cellStyle name="CALC Percent Total 49 3 2 2" xfId="49420"/>
    <cellStyle name="CALC Percent Total 49 3 3" xfId="32559"/>
    <cellStyle name="CALC Percent Total 49 3 4" xfId="49421"/>
    <cellStyle name="CALC Percent Total 49 4" xfId="18022"/>
    <cellStyle name="CALC Percent Total 49 4 2" xfId="26344"/>
    <cellStyle name="CALC Percent Total 49 4 2 2" xfId="49422"/>
    <cellStyle name="CALC Percent Total 49 4 3" xfId="33536"/>
    <cellStyle name="CALC Percent Total 49 4 4" xfId="49423"/>
    <cellStyle name="CALC Percent Total 49 5" xfId="19006"/>
    <cellStyle name="CALC Percent Total 49 5 2" xfId="27326"/>
    <cellStyle name="CALC Percent Total 49 5 2 2" xfId="49424"/>
    <cellStyle name="CALC Percent Total 49 5 3" xfId="34477"/>
    <cellStyle name="CALC Percent Total 49 5 4" xfId="49425"/>
    <cellStyle name="CALC Percent Total 49 6" xfId="19974"/>
    <cellStyle name="CALC Percent Total 49 6 2" xfId="28296"/>
    <cellStyle name="CALC Percent Total 49 6 2 2" xfId="49426"/>
    <cellStyle name="CALC Percent Total 49 6 3" xfId="35424"/>
    <cellStyle name="CALC Percent Total 49 6 4" xfId="49427"/>
    <cellStyle name="CALC Percent Total 49 7" xfId="20932"/>
    <cellStyle name="CALC Percent Total 49 7 2" xfId="29251"/>
    <cellStyle name="CALC Percent Total 49 7 2 2" xfId="49428"/>
    <cellStyle name="CALC Percent Total 49 7 3" xfId="36334"/>
    <cellStyle name="CALC Percent Total 49 7 4" xfId="49429"/>
    <cellStyle name="CALC Percent Total 49 8" xfId="21439"/>
    <cellStyle name="CALC Percent Total 49 8 2" xfId="29742"/>
    <cellStyle name="CALC Percent Total 49 8 2 2" xfId="49430"/>
    <cellStyle name="CALC Percent Total 49 8 3" xfId="36804"/>
    <cellStyle name="CALC Percent Total 49 8 4" xfId="49431"/>
    <cellStyle name="CALC Percent Total 49 9" xfId="22367"/>
    <cellStyle name="CALC Percent Total 49 9 2" xfId="30665"/>
    <cellStyle name="CALC Percent Total 49 9 2 2" xfId="49432"/>
    <cellStyle name="CALC Percent Total 49 9 3" xfId="37687"/>
    <cellStyle name="CALC Percent Total 49 9 4" xfId="49433"/>
    <cellStyle name="CALC Percent Total 5" xfId="14554"/>
    <cellStyle name="CALC Percent Total 5 10" xfId="22910"/>
    <cellStyle name="CALC Percent Total 5 10 2" xfId="49434"/>
    <cellStyle name="CALC Percent Total 5 11" xfId="49435"/>
    <cellStyle name="CALC Percent Total 5 2" xfId="15633"/>
    <cellStyle name="CALC Percent Total 5 2 2" xfId="23946"/>
    <cellStyle name="CALC Percent Total 5 2 2 2" xfId="49436"/>
    <cellStyle name="CALC Percent Total 5 2 3" xfId="31243"/>
    <cellStyle name="CALC Percent Total 5 2 4" xfId="49437"/>
    <cellStyle name="CALC Percent Total 5 3" xfId="16600"/>
    <cellStyle name="CALC Percent Total 5 3 2" xfId="24917"/>
    <cellStyle name="CALC Percent Total 5 3 2 2" xfId="49438"/>
    <cellStyle name="CALC Percent Total 5 3 3" xfId="32176"/>
    <cellStyle name="CALC Percent Total 5 3 4" xfId="49439"/>
    <cellStyle name="CALC Percent Total 5 4" xfId="17620"/>
    <cellStyle name="CALC Percent Total 5 4 2" xfId="25943"/>
    <cellStyle name="CALC Percent Total 5 4 2 2" xfId="49440"/>
    <cellStyle name="CALC Percent Total 5 4 3" xfId="33153"/>
    <cellStyle name="CALC Percent Total 5 4 4" xfId="49441"/>
    <cellStyle name="CALC Percent Total 5 5" xfId="18602"/>
    <cellStyle name="CALC Percent Total 5 5 2" xfId="26921"/>
    <cellStyle name="CALC Percent Total 5 5 2 2" xfId="49442"/>
    <cellStyle name="CALC Percent Total 5 5 3" xfId="34089"/>
    <cellStyle name="CALC Percent Total 5 5 4" xfId="49443"/>
    <cellStyle name="CALC Percent Total 5 6" xfId="19570"/>
    <cellStyle name="CALC Percent Total 5 6 2" xfId="27891"/>
    <cellStyle name="CALC Percent Total 5 6 2 2" xfId="49444"/>
    <cellStyle name="CALC Percent Total 5 6 3" xfId="35036"/>
    <cellStyle name="CALC Percent Total 5 6 4" xfId="49445"/>
    <cellStyle name="CALC Percent Total 5 7" xfId="20528"/>
    <cellStyle name="CALC Percent Total 5 7 2" xfId="28850"/>
    <cellStyle name="CALC Percent Total 5 7 2 2" xfId="49446"/>
    <cellStyle name="CALC Percent Total 5 7 3" xfId="35953"/>
    <cellStyle name="CALC Percent Total 5 7 4" xfId="49447"/>
    <cellStyle name="CALC Percent Total 5 8" xfId="21229"/>
    <cellStyle name="CALC Percent Total 5 8 2" xfId="29540"/>
    <cellStyle name="CALC Percent Total 5 8 2 2" xfId="49448"/>
    <cellStyle name="CALC Percent Total 5 8 3" xfId="36609"/>
    <cellStyle name="CALC Percent Total 5 8 4" xfId="49449"/>
    <cellStyle name="CALC Percent Total 5 9" xfId="21963"/>
    <cellStyle name="CALC Percent Total 5 9 2" xfId="30264"/>
    <cellStyle name="CALC Percent Total 5 9 2 2" xfId="49450"/>
    <cellStyle name="CALC Percent Total 5 9 3" xfId="37304"/>
    <cellStyle name="CALC Percent Total 5 9 4" xfId="49451"/>
    <cellStyle name="CALC Percent Total 50" xfId="14957"/>
    <cellStyle name="CALC Percent Total 50 10" xfId="23319"/>
    <cellStyle name="CALC Percent Total 50 10 2" xfId="49452"/>
    <cellStyle name="CALC Percent Total 50 11" xfId="49453"/>
    <cellStyle name="CALC Percent Total 50 12" xfId="49454"/>
    <cellStyle name="CALC Percent Total 50 2" xfId="16038"/>
    <cellStyle name="CALC Percent Total 50 2 2" xfId="24354"/>
    <cellStyle name="CALC Percent Total 50 2 2 2" xfId="49455"/>
    <cellStyle name="CALC Percent Total 50 2 3" xfId="31634"/>
    <cellStyle name="CALC Percent Total 50 2 4" xfId="49456"/>
    <cellStyle name="CALC Percent Total 50 3" xfId="17004"/>
    <cellStyle name="CALC Percent Total 50 3 2" xfId="25326"/>
    <cellStyle name="CALC Percent Total 50 3 2 2" xfId="49457"/>
    <cellStyle name="CALC Percent Total 50 3 3" xfId="32567"/>
    <cellStyle name="CALC Percent Total 50 3 4" xfId="49458"/>
    <cellStyle name="CALC Percent Total 50 4" xfId="18031"/>
    <cellStyle name="CALC Percent Total 50 4 2" xfId="26352"/>
    <cellStyle name="CALC Percent Total 50 4 2 2" xfId="49459"/>
    <cellStyle name="CALC Percent Total 50 4 3" xfId="33544"/>
    <cellStyle name="CALC Percent Total 50 4 4" xfId="49460"/>
    <cellStyle name="CALC Percent Total 50 5" xfId="19015"/>
    <cellStyle name="CALC Percent Total 50 5 2" xfId="27335"/>
    <cellStyle name="CALC Percent Total 50 5 2 2" xfId="49461"/>
    <cellStyle name="CALC Percent Total 50 5 3" xfId="34486"/>
    <cellStyle name="CALC Percent Total 50 5 4" xfId="49462"/>
    <cellStyle name="CALC Percent Total 50 6" xfId="19983"/>
    <cellStyle name="CALC Percent Total 50 6 2" xfId="28305"/>
    <cellStyle name="CALC Percent Total 50 6 2 2" xfId="49463"/>
    <cellStyle name="CALC Percent Total 50 6 3" xfId="35433"/>
    <cellStyle name="CALC Percent Total 50 6 4" xfId="49464"/>
    <cellStyle name="CALC Percent Total 50 7" xfId="20941"/>
    <cellStyle name="CALC Percent Total 50 7 2" xfId="29259"/>
    <cellStyle name="CALC Percent Total 50 7 2 2" xfId="49465"/>
    <cellStyle name="CALC Percent Total 50 7 3" xfId="36342"/>
    <cellStyle name="CALC Percent Total 50 7 4" xfId="49466"/>
    <cellStyle name="CALC Percent Total 50 8" xfId="21448"/>
    <cellStyle name="CALC Percent Total 50 8 2" xfId="29750"/>
    <cellStyle name="CALC Percent Total 50 8 2 2" xfId="49467"/>
    <cellStyle name="CALC Percent Total 50 8 3" xfId="36812"/>
    <cellStyle name="CALC Percent Total 50 8 4" xfId="49468"/>
    <cellStyle name="CALC Percent Total 50 9" xfId="22376"/>
    <cellStyle name="CALC Percent Total 50 9 2" xfId="30673"/>
    <cellStyle name="CALC Percent Total 50 9 2 2" xfId="49469"/>
    <cellStyle name="CALC Percent Total 50 9 3" xfId="37695"/>
    <cellStyle name="CALC Percent Total 50 9 4" xfId="49470"/>
    <cellStyle name="CALC Percent Total 51" xfId="14868"/>
    <cellStyle name="CALC Percent Total 51 10" xfId="23231"/>
    <cellStyle name="CALC Percent Total 51 10 2" xfId="49471"/>
    <cellStyle name="CALC Percent Total 51 11" xfId="49472"/>
    <cellStyle name="CALC Percent Total 51 12" xfId="49473"/>
    <cellStyle name="CALC Percent Total 51 2" xfId="15949"/>
    <cellStyle name="CALC Percent Total 51 2 2" xfId="24266"/>
    <cellStyle name="CALC Percent Total 51 2 2 2" xfId="49474"/>
    <cellStyle name="CALC Percent Total 51 2 3" xfId="31550"/>
    <cellStyle name="CALC Percent Total 51 2 4" xfId="49475"/>
    <cellStyle name="CALC Percent Total 51 3" xfId="16915"/>
    <cellStyle name="CALC Percent Total 51 3 2" xfId="25238"/>
    <cellStyle name="CALC Percent Total 51 3 2 2" xfId="49476"/>
    <cellStyle name="CALC Percent Total 51 3 3" xfId="32483"/>
    <cellStyle name="CALC Percent Total 51 3 4" xfId="49477"/>
    <cellStyle name="CALC Percent Total 51 4" xfId="17942"/>
    <cellStyle name="CALC Percent Total 51 4 2" xfId="26264"/>
    <cellStyle name="CALC Percent Total 51 4 2 2" xfId="49478"/>
    <cellStyle name="CALC Percent Total 51 4 3" xfId="33460"/>
    <cellStyle name="CALC Percent Total 51 4 4" xfId="49479"/>
    <cellStyle name="CALC Percent Total 51 5" xfId="18926"/>
    <cellStyle name="CALC Percent Total 51 5 2" xfId="27246"/>
    <cellStyle name="CALC Percent Total 51 5 2 2" xfId="49480"/>
    <cellStyle name="CALC Percent Total 51 5 3" xfId="34401"/>
    <cellStyle name="CALC Percent Total 51 5 4" xfId="49481"/>
    <cellStyle name="CALC Percent Total 51 6" xfId="19894"/>
    <cellStyle name="CALC Percent Total 51 6 2" xfId="28216"/>
    <cellStyle name="CALC Percent Total 51 6 2 2" xfId="49482"/>
    <cellStyle name="CALC Percent Total 51 6 3" xfId="35348"/>
    <cellStyle name="CALC Percent Total 51 6 4" xfId="49483"/>
    <cellStyle name="CALC Percent Total 51 7" xfId="20852"/>
    <cellStyle name="CALC Percent Total 51 7 2" xfId="29171"/>
    <cellStyle name="CALC Percent Total 51 7 2 2" xfId="49484"/>
    <cellStyle name="CALC Percent Total 51 7 3" xfId="36258"/>
    <cellStyle name="CALC Percent Total 51 7 4" xfId="49485"/>
    <cellStyle name="CALC Percent Total 51 8" xfId="15493"/>
    <cellStyle name="CALC Percent Total 51 8 2" xfId="23833"/>
    <cellStyle name="CALC Percent Total 51 8 2 2" xfId="49486"/>
    <cellStyle name="CALC Percent Total 51 8 3" xfId="31182"/>
    <cellStyle name="CALC Percent Total 51 8 4" xfId="49487"/>
    <cellStyle name="CALC Percent Total 51 9" xfId="22287"/>
    <cellStyle name="CALC Percent Total 51 9 2" xfId="30585"/>
    <cellStyle name="CALC Percent Total 51 9 2 2" xfId="49488"/>
    <cellStyle name="CALC Percent Total 51 9 3" xfId="37611"/>
    <cellStyle name="CALC Percent Total 51 9 4" xfId="49489"/>
    <cellStyle name="CALC Percent Total 52" xfId="14904"/>
    <cellStyle name="CALC Percent Total 52 10" xfId="23267"/>
    <cellStyle name="CALC Percent Total 52 10 2" xfId="49490"/>
    <cellStyle name="CALC Percent Total 52 11" xfId="49491"/>
    <cellStyle name="CALC Percent Total 52 12" xfId="49492"/>
    <cellStyle name="CALC Percent Total 52 2" xfId="15985"/>
    <cellStyle name="CALC Percent Total 52 2 2" xfId="24302"/>
    <cellStyle name="CALC Percent Total 52 2 2 2" xfId="49493"/>
    <cellStyle name="CALC Percent Total 52 2 3" xfId="31582"/>
    <cellStyle name="CALC Percent Total 52 2 4" xfId="49494"/>
    <cellStyle name="CALC Percent Total 52 3" xfId="16951"/>
    <cellStyle name="CALC Percent Total 52 3 2" xfId="25274"/>
    <cellStyle name="CALC Percent Total 52 3 2 2" xfId="49495"/>
    <cellStyle name="CALC Percent Total 52 3 3" xfId="32515"/>
    <cellStyle name="CALC Percent Total 52 3 4" xfId="49496"/>
    <cellStyle name="CALC Percent Total 52 4" xfId="17978"/>
    <cellStyle name="CALC Percent Total 52 4 2" xfId="26300"/>
    <cellStyle name="CALC Percent Total 52 4 2 2" xfId="49497"/>
    <cellStyle name="CALC Percent Total 52 4 3" xfId="33492"/>
    <cellStyle name="CALC Percent Total 52 4 4" xfId="49498"/>
    <cellStyle name="CALC Percent Total 52 5" xfId="18962"/>
    <cellStyle name="CALC Percent Total 52 5 2" xfId="27282"/>
    <cellStyle name="CALC Percent Total 52 5 2 2" xfId="49499"/>
    <cellStyle name="CALC Percent Total 52 5 3" xfId="34433"/>
    <cellStyle name="CALC Percent Total 52 5 4" xfId="49500"/>
    <cellStyle name="CALC Percent Total 52 6" xfId="19930"/>
    <cellStyle name="CALC Percent Total 52 6 2" xfId="28252"/>
    <cellStyle name="CALC Percent Total 52 6 2 2" xfId="49501"/>
    <cellStyle name="CALC Percent Total 52 6 3" xfId="35380"/>
    <cellStyle name="CALC Percent Total 52 6 4" xfId="49502"/>
    <cellStyle name="CALC Percent Total 52 7" xfId="20888"/>
    <cellStyle name="CALC Percent Total 52 7 2" xfId="29207"/>
    <cellStyle name="CALC Percent Total 52 7 2 2" xfId="49503"/>
    <cellStyle name="CALC Percent Total 52 7 3" xfId="36290"/>
    <cellStyle name="CALC Percent Total 52 7 4" xfId="49504"/>
    <cellStyle name="CALC Percent Total 52 8" xfId="21395"/>
    <cellStyle name="CALC Percent Total 52 8 2" xfId="29698"/>
    <cellStyle name="CALC Percent Total 52 8 2 2" xfId="49505"/>
    <cellStyle name="CALC Percent Total 52 8 3" xfId="36760"/>
    <cellStyle name="CALC Percent Total 52 8 4" xfId="49506"/>
    <cellStyle name="CALC Percent Total 52 9" xfId="22323"/>
    <cellStyle name="CALC Percent Total 52 9 2" xfId="30621"/>
    <cellStyle name="CALC Percent Total 52 9 2 2" xfId="49507"/>
    <cellStyle name="CALC Percent Total 52 9 3" xfId="37643"/>
    <cellStyle name="CALC Percent Total 52 9 4" xfId="49508"/>
    <cellStyle name="CALC Percent Total 53" xfId="15005"/>
    <cellStyle name="CALC Percent Total 53 10" xfId="23366"/>
    <cellStyle name="CALC Percent Total 53 10 2" xfId="49509"/>
    <cellStyle name="CALC Percent Total 53 11" xfId="49510"/>
    <cellStyle name="CALC Percent Total 53 12" xfId="49511"/>
    <cellStyle name="CALC Percent Total 53 2" xfId="16086"/>
    <cellStyle name="CALC Percent Total 53 2 2" xfId="24401"/>
    <cellStyle name="CALC Percent Total 53 2 2 2" xfId="49512"/>
    <cellStyle name="CALC Percent Total 53 2 3" xfId="31680"/>
    <cellStyle name="CALC Percent Total 53 2 4" xfId="49513"/>
    <cellStyle name="CALC Percent Total 53 3" xfId="17052"/>
    <cellStyle name="CALC Percent Total 53 3 2" xfId="25373"/>
    <cellStyle name="CALC Percent Total 53 3 2 2" xfId="49514"/>
    <cellStyle name="CALC Percent Total 53 3 3" xfId="32613"/>
    <cellStyle name="CALC Percent Total 53 3 4" xfId="49515"/>
    <cellStyle name="CALC Percent Total 53 4" xfId="18079"/>
    <cellStyle name="CALC Percent Total 53 4 2" xfId="26399"/>
    <cellStyle name="CALC Percent Total 53 4 2 2" xfId="49516"/>
    <cellStyle name="CALC Percent Total 53 4 3" xfId="33590"/>
    <cellStyle name="CALC Percent Total 53 4 4" xfId="49517"/>
    <cellStyle name="CALC Percent Total 53 5" xfId="19063"/>
    <cellStyle name="CALC Percent Total 53 5 2" xfId="27383"/>
    <cellStyle name="CALC Percent Total 53 5 2 2" xfId="49518"/>
    <cellStyle name="CALC Percent Total 53 5 3" xfId="34533"/>
    <cellStyle name="CALC Percent Total 53 5 4" xfId="49519"/>
    <cellStyle name="CALC Percent Total 53 6" xfId="20031"/>
    <cellStyle name="CALC Percent Total 53 6 2" xfId="28353"/>
    <cellStyle name="CALC Percent Total 53 6 2 2" xfId="49520"/>
    <cellStyle name="CALC Percent Total 53 6 3" xfId="35480"/>
    <cellStyle name="CALC Percent Total 53 6 4" xfId="49521"/>
    <cellStyle name="CALC Percent Total 53 7" xfId="20989"/>
    <cellStyle name="CALC Percent Total 53 7 2" xfId="29306"/>
    <cellStyle name="CALC Percent Total 53 7 2 2" xfId="49522"/>
    <cellStyle name="CALC Percent Total 53 7 3" xfId="36388"/>
    <cellStyle name="CALC Percent Total 53 7 4" xfId="49523"/>
    <cellStyle name="CALC Percent Total 53 8" xfId="21496"/>
    <cellStyle name="CALC Percent Total 53 8 2" xfId="29797"/>
    <cellStyle name="CALC Percent Total 53 8 2 2" xfId="49524"/>
    <cellStyle name="CALC Percent Total 53 8 3" xfId="36858"/>
    <cellStyle name="CALC Percent Total 53 8 4" xfId="49525"/>
    <cellStyle name="CALC Percent Total 53 9" xfId="22424"/>
    <cellStyle name="CALC Percent Total 53 9 2" xfId="30720"/>
    <cellStyle name="CALC Percent Total 53 9 2 2" xfId="49526"/>
    <cellStyle name="CALC Percent Total 53 9 3" xfId="37741"/>
    <cellStyle name="CALC Percent Total 53 9 4" xfId="49527"/>
    <cellStyle name="CALC Percent Total 54" xfId="14998"/>
    <cellStyle name="CALC Percent Total 54 10" xfId="23359"/>
    <cellStyle name="CALC Percent Total 54 10 2" xfId="49528"/>
    <cellStyle name="CALC Percent Total 54 11" xfId="49529"/>
    <cellStyle name="CALC Percent Total 54 12" xfId="49530"/>
    <cellStyle name="CALC Percent Total 54 2" xfId="16079"/>
    <cellStyle name="CALC Percent Total 54 2 2" xfId="24394"/>
    <cellStyle name="CALC Percent Total 54 2 2 2" xfId="49531"/>
    <cellStyle name="CALC Percent Total 54 2 3" xfId="31673"/>
    <cellStyle name="CALC Percent Total 54 2 4" xfId="49532"/>
    <cellStyle name="CALC Percent Total 54 3" xfId="17045"/>
    <cellStyle name="CALC Percent Total 54 3 2" xfId="25366"/>
    <cellStyle name="CALC Percent Total 54 3 2 2" xfId="49533"/>
    <cellStyle name="CALC Percent Total 54 3 3" xfId="32606"/>
    <cellStyle name="CALC Percent Total 54 3 4" xfId="49534"/>
    <cellStyle name="CALC Percent Total 54 4" xfId="18072"/>
    <cellStyle name="CALC Percent Total 54 4 2" xfId="26392"/>
    <cellStyle name="CALC Percent Total 54 4 2 2" xfId="49535"/>
    <cellStyle name="CALC Percent Total 54 4 3" xfId="33583"/>
    <cellStyle name="CALC Percent Total 54 4 4" xfId="49536"/>
    <cellStyle name="CALC Percent Total 54 5" xfId="19056"/>
    <cellStyle name="CALC Percent Total 54 5 2" xfId="27376"/>
    <cellStyle name="CALC Percent Total 54 5 2 2" xfId="49537"/>
    <cellStyle name="CALC Percent Total 54 5 3" xfId="34526"/>
    <cellStyle name="CALC Percent Total 54 5 4" xfId="49538"/>
    <cellStyle name="CALC Percent Total 54 6" xfId="20024"/>
    <cellStyle name="CALC Percent Total 54 6 2" xfId="28346"/>
    <cellStyle name="CALC Percent Total 54 6 2 2" xfId="49539"/>
    <cellStyle name="CALC Percent Total 54 6 3" xfId="35473"/>
    <cellStyle name="CALC Percent Total 54 6 4" xfId="49540"/>
    <cellStyle name="CALC Percent Total 54 7" xfId="20982"/>
    <cellStyle name="CALC Percent Total 54 7 2" xfId="29299"/>
    <cellStyle name="CALC Percent Total 54 7 2 2" xfId="49541"/>
    <cellStyle name="CALC Percent Total 54 7 3" xfId="36381"/>
    <cellStyle name="CALC Percent Total 54 7 4" xfId="49542"/>
    <cellStyle name="CALC Percent Total 54 8" xfId="21489"/>
    <cellStyle name="CALC Percent Total 54 8 2" xfId="29790"/>
    <cellStyle name="CALC Percent Total 54 8 2 2" xfId="49543"/>
    <cellStyle name="CALC Percent Total 54 8 3" xfId="36851"/>
    <cellStyle name="CALC Percent Total 54 8 4" xfId="49544"/>
    <cellStyle name="CALC Percent Total 54 9" xfId="22417"/>
    <cellStyle name="CALC Percent Total 54 9 2" xfId="30713"/>
    <cellStyle name="CALC Percent Total 54 9 2 2" xfId="49545"/>
    <cellStyle name="CALC Percent Total 54 9 3" xfId="37734"/>
    <cellStyle name="CALC Percent Total 54 9 4" xfId="49546"/>
    <cellStyle name="CALC Percent Total 55" xfId="15006"/>
    <cellStyle name="CALC Percent Total 55 10" xfId="23367"/>
    <cellStyle name="CALC Percent Total 55 10 2" xfId="49547"/>
    <cellStyle name="CALC Percent Total 55 11" xfId="49548"/>
    <cellStyle name="CALC Percent Total 55 12" xfId="49549"/>
    <cellStyle name="CALC Percent Total 55 2" xfId="16087"/>
    <cellStyle name="CALC Percent Total 55 2 2" xfId="24402"/>
    <cellStyle name="CALC Percent Total 55 2 2 2" xfId="49550"/>
    <cellStyle name="CALC Percent Total 55 2 3" xfId="31681"/>
    <cellStyle name="CALC Percent Total 55 2 4" xfId="49551"/>
    <cellStyle name="CALC Percent Total 55 3" xfId="17053"/>
    <cellStyle name="CALC Percent Total 55 3 2" xfId="25374"/>
    <cellStyle name="CALC Percent Total 55 3 2 2" xfId="49552"/>
    <cellStyle name="CALC Percent Total 55 3 3" xfId="32614"/>
    <cellStyle name="CALC Percent Total 55 3 4" xfId="49553"/>
    <cellStyle name="CALC Percent Total 55 4" xfId="18080"/>
    <cellStyle name="CALC Percent Total 55 4 2" xfId="26400"/>
    <cellStyle name="CALC Percent Total 55 4 2 2" xfId="49554"/>
    <cellStyle name="CALC Percent Total 55 4 3" xfId="33591"/>
    <cellStyle name="CALC Percent Total 55 4 4" xfId="49555"/>
    <cellStyle name="CALC Percent Total 55 5" xfId="19064"/>
    <cellStyle name="CALC Percent Total 55 5 2" xfId="27384"/>
    <cellStyle name="CALC Percent Total 55 5 2 2" xfId="49556"/>
    <cellStyle name="CALC Percent Total 55 5 3" xfId="34534"/>
    <cellStyle name="CALC Percent Total 55 5 4" xfId="49557"/>
    <cellStyle name="CALC Percent Total 55 6" xfId="20032"/>
    <cellStyle name="CALC Percent Total 55 6 2" xfId="28354"/>
    <cellStyle name="CALC Percent Total 55 6 2 2" xfId="49558"/>
    <cellStyle name="CALC Percent Total 55 6 3" xfId="35481"/>
    <cellStyle name="CALC Percent Total 55 6 4" xfId="49559"/>
    <cellStyle name="CALC Percent Total 55 7" xfId="20990"/>
    <cellStyle name="CALC Percent Total 55 7 2" xfId="29307"/>
    <cellStyle name="CALC Percent Total 55 7 2 2" xfId="49560"/>
    <cellStyle name="CALC Percent Total 55 7 3" xfId="36389"/>
    <cellStyle name="CALC Percent Total 55 7 4" xfId="49561"/>
    <cellStyle name="CALC Percent Total 55 8" xfId="21497"/>
    <cellStyle name="CALC Percent Total 55 8 2" xfId="29798"/>
    <cellStyle name="CALC Percent Total 55 8 2 2" xfId="49562"/>
    <cellStyle name="CALC Percent Total 55 8 3" xfId="36859"/>
    <cellStyle name="CALC Percent Total 55 8 4" xfId="49563"/>
    <cellStyle name="CALC Percent Total 55 9" xfId="22425"/>
    <cellStyle name="CALC Percent Total 55 9 2" xfId="30721"/>
    <cellStyle name="CALC Percent Total 55 9 2 2" xfId="49564"/>
    <cellStyle name="CALC Percent Total 55 9 3" xfId="37742"/>
    <cellStyle name="CALC Percent Total 55 9 4" xfId="49565"/>
    <cellStyle name="CALC Percent Total 56" xfId="14974"/>
    <cellStyle name="CALC Percent Total 56 10" xfId="23335"/>
    <cellStyle name="CALC Percent Total 56 10 2" xfId="49566"/>
    <cellStyle name="CALC Percent Total 56 11" xfId="49567"/>
    <cellStyle name="CALC Percent Total 56 12" xfId="49568"/>
    <cellStyle name="CALC Percent Total 56 2" xfId="16055"/>
    <cellStyle name="CALC Percent Total 56 2 2" xfId="24370"/>
    <cellStyle name="CALC Percent Total 56 2 2 2" xfId="49569"/>
    <cellStyle name="CALC Percent Total 56 2 3" xfId="31649"/>
    <cellStyle name="CALC Percent Total 56 2 4" xfId="49570"/>
    <cellStyle name="CALC Percent Total 56 3" xfId="17021"/>
    <cellStyle name="CALC Percent Total 56 3 2" xfId="25342"/>
    <cellStyle name="CALC Percent Total 56 3 2 2" xfId="49571"/>
    <cellStyle name="CALC Percent Total 56 3 3" xfId="32582"/>
    <cellStyle name="CALC Percent Total 56 3 4" xfId="49572"/>
    <cellStyle name="CALC Percent Total 56 4" xfId="18048"/>
    <cellStyle name="CALC Percent Total 56 4 2" xfId="26368"/>
    <cellStyle name="CALC Percent Total 56 4 2 2" xfId="49573"/>
    <cellStyle name="CALC Percent Total 56 4 3" xfId="33559"/>
    <cellStyle name="CALC Percent Total 56 4 4" xfId="49574"/>
    <cellStyle name="CALC Percent Total 56 5" xfId="19032"/>
    <cellStyle name="CALC Percent Total 56 5 2" xfId="27352"/>
    <cellStyle name="CALC Percent Total 56 5 2 2" xfId="49575"/>
    <cellStyle name="CALC Percent Total 56 5 3" xfId="34502"/>
    <cellStyle name="CALC Percent Total 56 5 4" xfId="49576"/>
    <cellStyle name="CALC Percent Total 56 6" xfId="20000"/>
    <cellStyle name="CALC Percent Total 56 6 2" xfId="28322"/>
    <cellStyle name="CALC Percent Total 56 6 2 2" xfId="49577"/>
    <cellStyle name="CALC Percent Total 56 6 3" xfId="35449"/>
    <cellStyle name="CALC Percent Total 56 6 4" xfId="49578"/>
    <cellStyle name="CALC Percent Total 56 7" xfId="20958"/>
    <cellStyle name="CALC Percent Total 56 7 2" xfId="29275"/>
    <cellStyle name="CALC Percent Total 56 7 2 2" xfId="49579"/>
    <cellStyle name="CALC Percent Total 56 7 3" xfId="36357"/>
    <cellStyle name="CALC Percent Total 56 7 4" xfId="49580"/>
    <cellStyle name="CALC Percent Total 56 8" xfId="21465"/>
    <cellStyle name="CALC Percent Total 56 8 2" xfId="29766"/>
    <cellStyle name="CALC Percent Total 56 8 2 2" xfId="49581"/>
    <cellStyle name="CALC Percent Total 56 8 3" xfId="36827"/>
    <cellStyle name="CALC Percent Total 56 8 4" xfId="49582"/>
    <cellStyle name="CALC Percent Total 56 9" xfId="22393"/>
    <cellStyle name="CALC Percent Total 56 9 2" xfId="30689"/>
    <cellStyle name="CALC Percent Total 56 9 2 2" xfId="49583"/>
    <cellStyle name="CALC Percent Total 56 9 3" xfId="37710"/>
    <cellStyle name="CALC Percent Total 56 9 4" xfId="49584"/>
    <cellStyle name="CALC Percent Total 57" xfId="14996"/>
    <cellStyle name="CALC Percent Total 57 10" xfId="23357"/>
    <cellStyle name="CALC Percent Total 57 10 2" xfId="49585"/>
    <cellStyle name="CALC Percent Total 57 11" xfId="49586"/>
    <cellStyle name="CALC Percent Total 57 12" xfId="49587"/>
    <cellStyle name="CALC Percent Total 57 2" xfId="16077"/>
    <cellStyle name="CALC Percent Total 57 2 2" xfId="24392"/>
    <cellStyle name="CALC Percent Total 57 2 2 2" xfId="49588"/>
    <cellStyle name="CALC Percent Total 57 2 3" xfId="31671"/>
    <cellStyle name="CALC Percent Total 57 2 4" xfId="49589"/>
    <cellStyle name="CALC Percent Total 57 3" xfId="17043"/>
    <cellStyle name="CALC Percent Total 57 3 2" xfId="25364"/>
    <cellStyle name="CALC Percent Total 57 3 2 2" xfId="49590"/>
    <cellStyle name="CALC Percent Total 57 3 3" xfId="32604"/>
    <cellStyle name="CALC Percent Total 57 3 4" xfId="49591"/>
    <cellStyle name="CALC Percent Total 57 4" xfId="18070"/>
    <cellStyle name="CALC Percent Total 57 4 2" xfId="26390"/>
    <cellStyle name="CALC Percent Total 57 4 2 2" xfId="49592"/>
    <cellStyle name="CALC Percent Total 57 4 3" xfId="33581"/>
    <cellStyle name="CALC Percent Total 57 4 4" xfId="49593"/>
    <cellStyle name="CALC Percent Total 57 5" xfId="19054"/>
    <cellStyle name="CALC Percent Total 57 5 2" xfId="27374"/>
    <cellStyle name="CALC Percent Total 57 5 2 2" xfId="49594"/>
    <cellStyle name="CALC Percent Total 57 5 3" xfId="34524"/>
    <cellStyle name="CALC Percent Total 57 5 4" xfId="49595"/>
    <cellStyle name="CALC Percent Total 57 6" xfId="20022"/>
    <cellStyle name="CALC Percent Total 57 6 2" xfId="28344"/>
    <cellStyle name="CALC Percent Total 57 6 2 2" xfId="49596"/>
    <cellStyle name="CALC Percent Total 57 6 3" xfId="35471"/>
    <cellStyle name="CALC Percent Total 57 6 4" xfId="49597"/>
    <cellStyle name="CALC Percent Total 57 7" xfId="20980"/>
    <cellStyle name="CALC Percent Total 57 7 2" xfId="29297"/>
    <cellStyle name="CALC Percent Total 57 7 2 2" xfId="49598"/>
    <cellStyle name="CALC Percent Total 57 7 3" xfId="36379"/>
    <cellStyle name="CALC Percent Total 57 7 4" xfId="49599"/>
    <cellStyle name="CALC Percent Total 57 8" xfId="21487"/>
    <cellStyle name="CALC Percent Total 57 8 2" xfId="29788"/>
    <cellStyle name="CALC Percent Total 57 8 2 2" xfId="49600"/>
    <cellStyle name="CALC Percent Total 57 8 3" xfId="36849"/>
    <cellStyle name="CALC Percent Total 57 8 4" xfId="49601"/>
    <cellStyle name="CALC Percent Total 57 9" xfId="22415"/>
    <cellStyle name="CALC Percent Total 57 9 2" xfId="30711"/>
    <cellStyle name="CALC Percent Total 57 9 2 2" xfId="49602"/>
    <cellStyle name="CALC Percent Total 57 9 3" xfId="37732"/>
    <cellStyle name="CALC Percent Total 57 9 4" xfId="49603"/>
    <cellStyle name="CALC Percent Total 58" xfId="14983"/>
    <cellStyle name="CALC Percent Total 58 10" xfId="23344"/>
    <cellStyle name="CALC Percent Total 58 10 2" xfId="49604"/>
    <cellStyle name="CALC Percent Total 58 11" xfId="49605"/>
    <cellStyle name="CALC Percent Total 58 12" xfId="49606"/>
    <cellStyle name="CALC Percent Total 58 2" xfId="16064"/>
    <cellStyle name="CALC Percent Total 58 2 2" xfId="24379"/>
    <cellStyle name="CALC Percent Total 58 2 2 2" xfId="49607"/>
    <cellStyle name="CALC Percent Total 58 2 3" xfId="31658"/>
    <cellStyle name="CALC Percent Total 58 2 4" xfId="49608"/>
    <cellStyle name="CALC Percent Total 58 3" xfId="17030"/>
    <cellStyle name="CALC Percent Total 58 3 2" xfId="25351"/>
    <cellStyle name="CALC Percent Total 58 3 2 2" xfId="49609"/>
    <cellStyle name="CALC Percent Total 58 3 3" xfId="32591"/>
    <cellStyle name="CALC Percent Total 58 3 4" xfId="49610"/>
    <cellStyle name="CALC Percent Total 58 4" xfId="18057"/>
    <cellStyle name="CALC Percent Total 58 4 2" xfId="26377"/>
    <cellStyle name="CALC Percent Total 58 4 2 2" xfId="49611"/>
    <cellStyle name="CALC Percent Total 58 4 3" xfId="33568"/>
    <cellStyle name="CALC Percent Total 58 4 4" xfId="49612"/>
    <cellStyle name="CALC Percent Total 58 5" xfId="19041"/>
    <cellStyle name="CALC Percent Total 58 5 2" xfId="27361"/>
    <cellStyle name="CALC Percent Total 58 5 2 2" xfId="49613"/>
    <cellStyle name="CALC Percent Total 58 5 3" xfId="34511"/>
    <cellStyle name="CALC Percent Total 58 5 4" xfId="49614"/>
    <cellStyle name="CALC Percent Total 58 6" xfId="20009"/>
    <cellStyle name="CALC Percent Total 58 6 2" xfId="28331"/>
    <cellStyle name="CALC Percent Total 58 6 2 2" xfId="49615"/>
    <cellStyle name="CALC Percent Total 58 6 3" xfId="35458"/>
    <cellStyle name="CALC Percent Total 58 6 4" xfId="49616"/>
    <cellStyle name="CALC Percent Total 58 7" xfId="20967"/>
    <cellStyle name="CALC Percent Total 58 7 2" xfId="29284"/>
    <cellStyle name="CALC Percent Total 58 7 2 2" xfId="49617"/>
    <cellStyle name="CALC Percent Total 58 7 3" xfId="36366"/>
    <cellStyle name="CALC Percent Total 58 7 4" xfId="49618"/>
    <cellStyle name="CALC Percent Total 58 8" xfId="21474"/>
    <cellStyle name="CALC Percent Total 58 8 2" xfId="29775"/>
    <cellStyle name="CALC Percent Total 58 8 2 2" xfId="49619"/>
    <cellStyle name="CALC Percent Total 58 8 3" xfId="36836"/>
    <cellStyle name="CALC Percent Total 58 8 4" xfId="49620"/>
    <cellStyle name="CALC Percent Total 58 9" xfId="22402"/>
    <cellStyle name="CALC Percent Total 58 9 2" xfId="30698"/>
    <cellStyle name="CALC Percent Total 58 9 2 2" xfId="49621"/>
    <cellStyle name="CALC Percent Total 58 9 3" xfId="37719"/>
    <cellStyle name="CALC Percent Total 58 9 4" xfId="49622"/>
    <cellStyle name="CALC Percent Total 59" xfId="15048"/>
    <cellStyle name="CALC Percent Total 59 10" xfId="23408"/>
    <cellStyle name="CALC Percent Total 59 10 2" xfId="49623"/>
    <cellStyle name="CALC Percent Total 59 11" xfId="49624"/>
    <cellStyle name="CALC Percent Total 59 12" xfId="49625"/>
    <cellStyle name="CALC Percent Total 59 2" xfId="16128"/>
    <cellStyle name="CALC Percent Total 59 2 2" xfId="24443"/>
    <cellStyle name="CALC Percent Total 59 2 2 2" xfId="49626"/>
    <cellStyle name="CALC Percent Total 59 2 3" xfId="31720"/>
    <cellStyle name="CALC Percent Total 59 2 4" xfId="49627"/>
    <cellStyle name="CALC Percent Total 59 3" xfId="17095"/>
    <cellStyle name="CALC Percent Total 59 3 2" xfId="25416"/>
    <cellStyle name="CALC Percent Total 59 3 2 2" xfId="49628"/>
    <cellStyle name="CALC Percent Total 59 3 3" xfId="32654"/>
    <cellStyle name="CALC Percent Total 59 3 4" xfId="49629"/>
    <cellStyle name="CALC Percent Total 59 4" xfId="18122"/>
    <cellStyle name="CALC Percent Total 59 4 2" xfId="26442"/>
    <cellStyle name="CALC Percent Total 59 4 2 2" xfId="49630"/>
    <cellStyle name="CALC Percent Total 59 4 3" xfId="33631"/>
    <cellStyle name="CALC Percent Total 59 4 4" xfId="49631"/>
    <cellStyle name="CALC Percent Total 59 5" xfId="19106"/>
    <cellStyle name="CALC Percent Total 59 5 2" xfId="27426"/>
    <cellStyle name="CALC Percent Total 59 5 2 2" xfId="49632"/>
    <cellStyle name="CALC Percent Total 59 5 3" xfId="34574"/>
    <cellStyle name="CALC Percent Total 59 5 4" xfId="49633"/>
    <cellStyle name="CALC Percent Total 59 6" xfId="20074"/>
    <cellStyle name="CALC Percent Total 59 6 2" xfId="28396"/>
    <cellStyle name="CALC Percent Total 59 6 2 2" xfId="49634"/>
    <cellStyle name="CALC Percent Total 59 6 3" xfId="35521"/>
    <cellStyle name="CALC Percent Total 59 6 4" xfId="49635"/>
    <cellStyle name="CALC Percent Total 59 7" xfId="21031"/>
    <cellStyle name="CALC Percent Total 59 7 2" xfId="29348"/>
    <cellStyle name="CALC Percent Total 59 7 2 2" xfId="49636"/>
    <cellStyle name="CALC Percent Total 59 7 3" xfId="36428"/>
    <cellStyle name="CALC Percent Total 59 7 4" xfId="49637"/>
    <cellStyle name="CALC Percent Total 59 8" xfId="21538"/>
    <cellStyle name="CALC Percent Total 59 8 2" xfId="29839"/>
    <cellStyle name="CALC Percent Total 59 8 2 2" xfId="49638"/>
    <cellStyle name="CALC Percent Total 59 8 3" xfId="36898"/>
    <cellStyle name="CALC Percent Total 59 8 4" xfId="49639"/>
    <cellStyle name="CALC Percent Total 59 9" xfId="22466"/>
    <cellStyle name="CALC Percent Total 59 9 2" xfId="30762"/>
    <cellStyle name="CALC Percent Total 59 9 2 2" xfId="49640"/>
    <cellStyle name="CALC Percent Total 59 9 3" xfId="37781"/>
    <cellStyle name="CALC Percent Total 59 9 4" xfId="49641"/>
    <cellStyle name="CALC Percent Total 6" xfId="14562"/>
    <cellStyle name="CALC Percent Total 6 10" xfId="22918"/>
    <cellStyle name="CALC Percent Total 6 10 2" xfId="49642"/>
    <cellStyle name="CALC Percent Total 6 11" xfId="49643"/>
    <cellStyle name="CALC Percent Total 6 2" xfId="15641"/>
    <cellStyle name="CALC Percent Total 6 2 2" xfId="23954"/>
    <cellStyle name="CALC Percent Total 6 2 2 2" xfId="49644"/>
    <cellStyle name="CALC Percent Total 6 2 3" xfId="31251"/>
    <cellStyle name="CALC Percent Total 6 2 4" xfId="49645"/>
    <cellStyle name="CALC Percent Total 6 3" xfId="16608"/>
    <cellStyle name="CALC Percent Total 6 3 2" xfId="24925"/>
    <cellStyle name="CALC Percent Total 6 3 2 2" xfId="49646"/>
    <cellStyle name="CALC Percent Total 6 3 3" xfId="32184"/>
    <cellStyle name="CALC Percent Total 6 3 4" xfId="49647"/>
    <cellStyle name="CALC Percent Total 6 4" xfId="17628"/>
    <cellStyle name="CALC Percent Total 6 4 2" xfId="25951"/>
    <cellStyle name="CALC Percent Total 6 4 2 2" xfId="49648"/>
    <cellStyle name="CALC Percent Total 6 4 3" xfId="33161"/>
    <cellStyle name="CALC Percent Total 6 4 4" xfId="49649"/>
    <cellStyle name="CALC Percent Total 6 5" xfId="18610"/>
    <cellStyle name="CALC Percent Total 6 5 2" xfId="26929"/>
    <cellStyle name="CALC Percent Total 6 5 2 2" xfId="49650"/>
    <cellStyle name="CALC Percent Total 6 5 3" xfId="34097"/>
    <cellStyle name="CALC Percent Total 6 5 4" xfId="49651"/>
    <cellStyle name="CALC Percent Total 6 6" xfId="19578"/>
    <cellStyle name="CALC Percent Total 6 6 2" xfId="27899"/>
    <cellStyle name="CALC Percent Total 6 6 2 2" xfId="49652"/>
    <cellStyle name="CALC Percent Total 6 6 3" xfId="35044"/>
    <cellStyle name="CALC Percent Total 6 6 4" xfId="49653"/>
    <cellStyle name="CALC Percent Total 6 7" xfId="20536"/>
    <cellStyle name="CALC Percent Total 6 7 2" xfId="28858"/>
    <cellStyle name="CALC Percent Total 6 7 2 2" xfId="49654"/>
    <cellStyle name="CALC Percent Total 6 7 3" xfId="35961"/>
    <cellStyle name="CALC Percent Total 6 7 4" xfId="49655"/>
    <cellStyle name="CALC Percent Total 6 8" xfId="21059"/>
    <cellStyle name="CALC Percent Total 6 8 2" xfId="29376"/>
    <cellStyle name="CALC Percent Total 6 8 2 2" xfId="49656"/>
    <cellStyle name="CALC Percent Total 6 8 3" xfId="36455"/>
    <cellStyle name="CALC Percent Total 6 8 4" xfId="49657"/>
    <cellStyle name="CALC Percent Total 6 9" xfId="21971"/>
    <cellStyle name="CALC Percent Total 6 9 2" xfId="30272"/>
    <cellStyle name="CALC Percent Total 6 9 2 2" xfId="49658"/>
    <cellStyle name="CALC Percent Total 6 9 3" xfId="37312"/>
    <cellStyle name="CALC Percent Total 6 9 4" xfId="49659"/>
    <cellStyle name="CALC Percent Total 60" xfId="14994"/>
    <cellStyle name="CALC Percent Total 60 10" xfId="23355"/>
    <cellStyle name="CALC Percent Total 60 10 2" xfId="49660"/>
    <cellStyle name="CALC Percent Total 60 11" xfId="49661"/>
    <cellStyle name="CALC Percent Total 60 12" xfId="49662"/>
    <cellStyle name="CALC Percent Total 60 2" xfId="16075"/>
    <cellStyle name="CALC Percent Total 60 2 2" xfId="24390"/>
    <cellStyle name="CALC Percent Total 60 2 2 2" xfId="49663"/>
    <cellStyle name="CALC Percent Total 60 2 3" xfId="31669"/>
    <cellStyle name="CALC Percent Total 60 2 4" xfId="49664"/>
    <cellStyle name="CALC Percent Total 60 3" xfId="17041"/>
    <cellStyle name="CALC Percent Total 60 3 2" xfId="25362"/>
    <cellStyle name="CALC Percent Total 60 3 2 2" xfId="49665"/>
    <cellStyle name="CALC Percent Total 60 3 3" xfId="32602"/>
    <cellStyle name="CALC Percent Total 60 3 4" xfId="49666"/>
    <cellStyle name="CALC Percent Total 60 4" xfId="18068"/>
    <cellStyle name="CALC Percent Total 60 4 2" xfId="26388"/>
    <cellStyle name="CALC Percent Total 60 4 2 2" xfId="49667"/>
    <cellStyle name="CALC Percent Total 60 4 3" xfId="33579"/>
    <cellStyle name="CALC Percent Total 60 4 4" xfId="49668"/>
    <cellStyle name="CALC Percent Total 60 5" xfId="19052"/>
    <cellStyle name="CALC Percent Total 60 5 2" xfId="27372"/>
    <cellStyle name="CALC Percent Total 60 5 2 2" xfId="49669"/>
    <cellStyle name="CALC Percent Total 60 5 3" xfId="34522"/>
    <cellStyle name="CALC Percent Total 60 5 4" xfId="49670"/>
    <cellStyle name="CALC Percent Total 60 6" xfId="20020"/>
    <cellStyle name="CALC Percent Total 60 6 2" xfId="28342"/>
    <cellStyle name="CALC Percent Total 60 6 2 2" xfId="49671"/>
    <cellStyle name="CALC Percent Total 60 6 3" xfId="35469"/>
    <cellStyle name="CALC Percent Total 60 6 4" xfId="49672"/>
    <cellStyle name="CALC Percent Total 60 7" xfId="20978"/>
    <cellStyle name="CALC Percent Total 60 7 2" xfId="29295"/>
    <cellStyle name="CALC Percent Total 60 7 2 2" xfId="49673"/>
    <cellStyle name="CALC Percent Total 60 7 3" xfId="36377"/>
    <cellStyle name="CALC Percent Total 60 7 4" xfId="49674"/>
    <cellStyle name="CALC Percent Total 60 8" xfId="21485"/>
    <cellStyle name="CALC Percent Total 60 8 2" xfId="29786"/>
    <cellStyle name="CALC Percent Total 60 8 2 2" xfId="49675"/>
    <cellStyle name="CALC Percent Total 60 8 3" xfId="36847"/>
    <cellStyle name="CALC Percent Total 60 8 4" xfId="49676"/>
    <cellStyle name="CALC Percent Total 60 9" xfId="22413"/>
    <cellStyle name="CALC Percent Total 60 9 2" xfId="30709"/>
    <cellStyle name="CALC Percent Total 60 9 2 2" xfId="49677"/>
    <cellStyle name="CALC Percent Total 60 9 3" xfId="37730"/>
    <cellStyle name="CALC Percent Total 60 9 4" xfId="49678"/>
    <cellStyle name="CALC Percent Total 61" xfId="14984"/>
    <cellStyle name="CALC Percent Total 61 10" xfId="23345"/>
    <cellStyle name="CALC Percent Total 61 10 2" xfId="49679"/>
    <cellStyle name="CALC Percent Total 61 11" xfId="49680"/>
    <cellStyle name="CALC Percent Total 61 12" xfId="49681"/>
    <cellStyle name="CALC Percent Total 61 2" xfId="16065"/>
    <cellStyle name="CALC Percent Total 61 2 2" xfId="24380"/>
    <cellStyle name="CALC Percent Total 61 2 2 2" xfId="49682"/>
    <cellStyle name="CALC Percent Total 61 2 3" xfId="31659"/>
    <cellStyle name="CALC Percent Total 61 2 4" xfId="49683"/>
    <cellStyle name="CALC Percent Total 61 3" xfId="17031"/>
    <cellStyle name="CALC Percent Total 61 3 2" xfId="25352"/>
    <cellStyle name="CALC Percent Total 61 3 2 2" xfId="49684"/>
    <cellStyle name="CALC Percent Total 61 3 3" xfId="32592"/>
    <cellStyle name="CALC Percent Total 61 3 4" xfId="49685"/>
    <cellStyle name="CALC Percent Total 61 4" xfId="18058"/>
    <cellStyle name="CALC Percent Total 61 4 2" xfId="26378"/>
    <cellStyle name="CALC Percent Total 61 4 2 2" xfId="49686"/>
    <cellStyle name="CALC Percent Total 61 4 3" xfId="33569"/>
    <cellStyle name="CALC Percent Total 61 4 4" xfId="49687"/>
    <cellStyle name="CALC Percent Total 61 5" xfId="19042"/>
    <cellStyle name="CALC Percent Total 61 5 2" xfId="27362"/>
    <cellStyle name="CALC Percent Total 61 5 2 2" xfId="49688"/>
    <cellStyle name="CALC Percent Total 61 5 3" xfId="34512"/>
    <cellStyle name="CALC Percent Total 61 5 4" xfId="49689"/>
    <cellStyle name="CALC Percent Total 61 6" xfId="20010"/>
    <cellStyle name="CALC Percent Total 61 6 2" xfId="28332"/>
    <cellStyle name="CALC Percent Total 61 6 2 2" xfId="49690"/>
    <cellStyle name="CALC Percent Total 61 6 3" xfId="35459"/>
    <cellStyle name="CALC Percent Total 61 6 4" xfId="49691"/>
    <cellStyle name="CALC Percent Total 61 7" xfId="20968"/>
    <cellStyle name="CALC Percent Total 61 7 2" xfId="29285"/>
    <cellStyle name="CALC Percent Total 61 7 2 2" xfId="49692"/>
    <cellStyle name="CALC Percent Total 61 7 3" xfId="36367"/>
    <cellStyle name="CALC Percent Total 61 7 4" xfId="49693"/>
    <cellStyle name="CALC Percent Total 61 8" xfId="21475"/>
    <cellStyle name="CALC Percent Total 61 8 2" xfId="29776"/>
    <cellStyle name="CALC Percent Total 61 8 2 2" xfId="49694"/>
    <cellStyle name="CALC Percent Total 61 8 3" xfId="36837"/>
    <cellStyle name="CALC Percent Total 61 8 4" xfId="49695"/>
    <cellStyle name="CALC Percent Total 61 9" xfId="22403"/>
    <cellStyle name="CALC Percent Total 61 9 2" xfId="30699"/>
    <cellStyle name="CALC Percent Total 61 9 2 2" xfId="49696"/>
    <cellStyle name="CALC Percent Total 61 9 3" xfId="37720"/>
    <cellStyle name="CALC Percent Total 61 9 4" xfId="49697"/>
    <cellStyle name="CALC Percent Total 62" xfId="14985"/>
    <cellStyle name="CALC Percent Total 62 10" xfId="23346"/>
    <cellStyle name="CALC Percent Total 62 10 2" xfId="49698"/>
    <cellStyle name="CALC Percent Total 62 11" xfId="49699"/>
    <cellStyle name="CALC Percent Total 62 12" xfId="49700"/>
    <cellStyle name="CALC Percent Total 62 2" xfId="16066"/>
    <cellStyle name="CALC Percent Total 62 2 2" xfId="24381"/>
    <cellStyle name="CALC Percent Total 62 2 2 2" xfId="49701"/>
    <cellStyle name="CALC Percent Total 62 2 3" xfId="31660"/>
    <cellStyle name="CALC Percent Total 62 2 4" xfId="49702"/>
    <cellStyle name="CALC Percent Total 62 3" xfId="17032"/>
    <cellStyle name="CALC Percent Total 62 3 2" xfId="25353"/>
    <cellStyle name="CALC Percent Total 62 3 2 2" xfId="49703"/>
    <cellStyle name="CALC Percent Total 62 3 3" xfId="32593"/>
    <cellStyle name="CALC Percent Total 62 3 4" xfId="49704"/>
    <cellStyle name="CALC Percent Total 62 4" xfId="18059"/>
    <cellStyle name="CALC Percent Total 62 4 2" xfId="26379"/>
    <cellStyle name="CALC Percent Total 62 4 2 2" xfId="49705"/>
    <cellStyle name="CALC Percent Total 62 4 3" xfId="33570"/>
    <cellStyle name="CALC Percent Total 62 4 4" xfId="49706"/>
    <cellStyle name="CALC Percent Total 62 5" xfId="19043"/>
    <cellStyle name="CALC Percent Total 62 5 2" xfId="27363"/>
    <cellStyle name="CALC Percent Total 62 5 2 2" xfId="49707"/>
    <cellStyle name="CALC Percent Total 62 5 3" xfId="34513"/>
    <cellStyle name="CALC Percent Total 62 5 4" xfId="49708"/>
    <cellStyle name="CALC Percent Total 62 6" xfId="20011"/>
    <cellStyle name="CALC Percent Total 62 6 2" xfId="28333"/>
    <cellStyle name="CALC Percent Total 62 6 2 2" xfId="49709"/>
    <cellStyle name="CALC Percent Total 62 6 3" xfId="35460"/>
    <cellStyle name="CALC Percent Total 62 6 4" xfId="49710"/>
    <cellStyle name="CALC Percent Total 62 7" xfId="20969"/>
    <cellStyle name="CALC Percent Total 62 7 2" xfId="29286"/>
    <cellStyle name="CALC Percent Total 62 7 2 2" xfId="49711"/>
    <cellStyle name="CALC Percent Total 62 7 3" xfId="36368"/>
    <cellStyle name="CALC Percent Total 62 7 4" xfId="49712"/>
    <cellStyle name="CALC Percent Total 62 8" xfId="21476"/>
    <cellStyle name="CALC Percent Total 62 8 2" xfId="29777"/>
    <cellStyle name="CALC Percent Total 62 8 2 2" xfId="49713"/>
    <cellStyle name="CALC Percent Total 62 8 3" xfId="36838"/>
    <cellStyle name="CALC Percent Total 62 8 4" xfId="49714"/>
    <cellStyle name="CALC Percent Total 62 9" xfId="22404"/>
    <cellStyle name="CALC Percent Total 62 9 2" xfId="30700"/>
    <cellStyle name="CALC Percent Total 62 9 2 2" xfId="49715"/>
    <cellStyle name="CALC Percent Total 62 9 3" xfId="37721"/>
    <cellStyle name="CALC Percent Total 62 9 4" xfId="49716"/>
    <cellStyle name="CALC Percent Total 63" xfId="15069"/>
    <cellStyle name="CALC Percent Total 63 10" xfId="23429"/>
    <cellStyle name="CALC Percent Total 63 10 2" xfId="49717"/>
    <cellStyle name="CALC Percent Total 63 11" xfId="49718"/>
    <cellStyle name="CALC Percent Total 63 12" xfId="49719"/>
    <cellStyle name="CALC Percent Total 63 2" xfId="16149"/>
    <cellStyle name="CALC Percent Total 63 2 2" xfId="24464"/>
    <cellStyle name="CALC Percent Total 63 2 2 2" xfId="49720"/>
    <cellStyle name="CALC Percent Total 63 2 3" xfId="31741"/>
    <cellStyle name="CALC Percent Total 63 2 4" xfId="49721"/>
    <cellStyle name="CALC Percent Total 63 3" xfId="17116"/>
    <cellStyle name="CALC Percent Total 63 3 2" xfId="25437"/>
    <cellStyle name="CALC Percent Total 63 3 2 2" xfId="49722"/>
    <cellStyle name="CALC Percent Total 63 3 3" xfId="32675"/>
    <cellStyle name="CALC Percent Total 63 3 4" xfId="49723"/>
    <cellStyle name="CALC Percent Total 63 4" xfId="18143"/>
    <cellStyle name="CALC Percent Total 63 4 2" xfId="26463"/>
    <cellStyle name="CALC Percent Total 63 4 2 2" xfId="49724"/>
    <cellStyle name="CALC Percent Total 63 4 3" xfId="33652"/>
    <cellStyle name="CALC Percent Total 63 4 4" xfId="49725"/>
    <cellStyle name="CALC Percent Total 63 5" xfId="19127"/>
    <cellStyle name="CALC Percent Total 63 5 2" xfId="27447"/>
    <cellStyle name="CALC Percent Total 63 5 2 2" xfId="49726"/>
    <cellStyle name="CALC Percent Total 63 5 3" xfId="34595"/>
    <cellStyle name="CALC Percent Total 63 5 4" xfId="49727"/>
    <cellStyle name="CALC Percent Total 63 6" xfId="20095"/>
    <cellStyle name="CALC Percent Total 63 6 2" xfId="28417"/>
    <cellStyle name="CALC Percent Total 63 6 2 2" xfId="49728"/>
    <cellStyle name="CALC Percent Total 63 6 3" xfId="35542"/>
    <cellStyle name="CALC Percent Total 63 6 4" xfId="49729"/>
    <cellStyle name="CALC Percent Total 63 7" xfId="21052"/>
    <cellStyle name="CALC Percent Total 63 7 2" xfId="29369"/>
    <cellStyle name="CALC Percent Total 63 7 2 2" xfId="49730"/>
    <cellStyle name="CALC Percent Total 63 7 3" xfId="36449"/>
    <cellStyle name="CALC Percent Total 63 7 4" xfId="49731"/>
    <cellStyle name="CALC Percent Total 63 8" xfId="21559"/>
    <cellStyle name="CALC Percent Total 63 8 2" xfId="29860"/>
    <cellStyle name="CALC Percent Total 63 8 2 2" xfId="49732"/>
    <cellStyle name="CALC Percent Total 63 8 3" xfId="36919"/>
    <cellStyle name="CALC Percent Total 63 8 4" xfId="49733"/>
    <cellStyle name="CALC Percent Total 63 9" xfId="22487"/>
    <cellStyle name="CALC Percent Total 63 9 2" xfId="30783"/>
    <cellStyle name="CALC Percent Total 63 9 2 2" xfId="49734"/>
    <cellStyle name="CALC Percent Total 63 9 3" xfId="37802"/>
    <cellStyle name="CALC Percent Total 63 9 4" xfId="49735"/>
    <cellStyle name="CALC Percent Total 64" xfId="15041"/>
    <cellStyle name="CALC Percent Total 64 10" xfId="23401"/>
    <cellStyle name="CALC Percent Total 64 10 2" xfId="49736"/>
    <cellStyle name="CALC Percent Total 64 11" xfId="49737"/>
    <cellStyle name="CALC Percent Total 64 12" xfId="49738"/>
    <cellStyle name="CALC Percent Total 64 2" xfId="16121"/>
    <cellStyle name="CALC Percent Total 64 2 2" xfId="24436"/>
    <cellStyle name="CALC Percent Total 64 2 2 2" xfId="49739"/>
    <cellStyle name="CALC Percent Total 64 2 3" xfId="31713"/>
    <cellStyle name="CALC Percent Total 64 2 4" xfId="49740"/>
    <cellStyle name="CALC Percent Total 64 3" xfId="17088"/>
    <cellStyle name="CALC Percent Total 64 3 2" xfId="25409"/>
    <cellStyle name="CALC Percent Total 64 3 2 2" xfId="49741"/>
    <cellStyle name="CALC Percent Total 64 3 3" xfId="32647"/>
    <cellStyle name="CALC Percent Total 64 3 4" xfId="49742"/>
    <cellStyle name="CALC Percent Total 64 4" xfId="18115"/>
    <cellStyle name="CALC Percent Total 64 4 2" xfId="26435"/>
    <cellStyle name="CALC Percent Total 64 4 2 2" xfId="49743"/>
    <cellStyle name="CALC Percent Total 64 4 3" xfId="33624"/>
    <cellStyle name="CALC Percent Total 64 4 4" xfId="49744"/>
    <cellStyle name="CALC Percent Total 64 5" xfId="19099"/>
    <cellStyle name="CALC Percent Total 64 5 2" xfId="27419"/>
    <cellStyle name="CALC Percent Total 64 5 2 2" xfId="49745"/>
    <cellStyle name="CALC Percent Total 64 5 3" xfId="34567"/>
    <cellStyle name="CALC Percent Total 64 5 4" xfId="49746"/>
    <cellStyle name="CALC Percent Total 64 6" xfId="20067"/>
    <cellStyle name="CALC Percent Total 64 6 2" xfId="28389"/>
    <cellStyle name="CALC Percent Total 64 6 2 2" xfId="49747"/>
    <cellStyle name="CALC Percent Total 64 6 3" xfId="35514"/>
    <cellStyle name="CALC Percent Total 64 6 4" xfId="49748"/>
    <cellStyle name="CALC Percent Total 64 7" xfId="21024"/>
    <cellStyle name="CALC Percent Total 64 7 2" xfId="29341"/>
    <cellStyle name="CALC Percent Total 64 7 2 2" xfId="49749"/>
    <cellStyle name="CALC Percent Total 64 7 3" xfId="36421"/>
    <cellStyle name="CALC Percent Total 64 7 4" xfId="49750"/>
    <cellStyle name="CALC Percent Total 64 8" xfId="21531"/>
    <cellStyle name="CALC Percent Total 64 8 2" xfId="29832"/>
    <cellStyle name="CALC Percent Total 64 8 2 2" xfId="49751"/>
    <cellStyle name="CALC Percent Total 64 8 3" xfId="36891"/>
    <cellStyle name="CALC Percent Total 64 8 4" xfId="49752"/>
    <cellStyle name="CALC Percent Total 64 9" xfId="22459"/>
    <cellStyle name="CALC Percent Total 64 9 2" xfId="30755"/>
    <cellStyle name="CALC Percent Total 64 9 2 2" xfId="49753"/>
    <cellStyle name="CALC Percent Total 64 9 3" xfId="37774"/>
    <cellStyle name="CALC Percent Total 64 9 4" xfId="49754"/>
    <cellStyle name="CALC Percent Total 65" xfId="15066"/>
    <cellStyle name="CALC Percent Total 65 10" xfId="23426"/>
    <cellStyle name="CALC Percent Total 65 10 2" xfId="49755"/>
    <cellStyle name="CALC Percent Total 65 11" xfId="49756"/>
    <cellStyle name="CALC Percent Total 65 12" xfId="49757"/>
    <cellStyle name="CALC Percent Total 65 2" xfId="16146"/>
    <cellStyle name="CALC Percent Total 65 2 2" xfId="24461"/>
    <cellStyle name="CALC Percent Total 65 2 2 2" xfId="49758"/>
    <cellStyle name="CALC Percent Total 65 2 3" xfId="31738"/>
    <cellStyle name="CALC Percent Total 65 2 4" xfId="49759"/>
    <cellStyle name="CALC Percent Total 65 3" xfId="17113"/>
    <cellStyle name="CALC Percent Total 65 3 2" xfId="25434"/>
    <cellStyle name="CALC Percent Total 65 3 2 2" xfId="49760"/>
    <cellStyle name="CALC Percent Total 65 3 3" xfId="32672"/>
    <cellStyle name="CALC Percent Total 65 3 4" xfId="49761"/>
    <cellStyle name="CALC Percent Total 65 4" xfId="18140"/>
    <cellStyle name="CALC Percent Total 65 4 2" xfId="26460"/>
    <cellStyle name="CALC Percent Total 65 4 2 2" xfId="49762"/>
    <cellStyle name="CALC Percent Total 65 4 3" xfId="33649"/>
    <cellStyle name="CALC Percent Total 65 4 4" xfId="49763"/>
    <cellStyle name="CALC Percent Total 65 5" xfId="19124"/>
    <cellStyle name="CALC Percent Total 65 5 2" xfId="27444"/>
    <cellStyle name="CALC Percent Total 65 5 2 2" xfId="49764"/>
    <cellStyle name="CALC Percent Total 65 5 3" xfId="34592"/>
    <cellStyle name="CALC Percent Total 65 5 4" xfId="49765"/>
    <cellStyle name="CALC Percent Total 65 6" xfId="20092"/>
    <cellStyle name="CALC Percent Total 65 6 2" xfId="28414"/>
    <cellStyle name="CALC Percent Total 65 6 2 2" xfId="49766"/>
    <cellStyle name="CALC Percent Total 65 6 3" xfId="35539"/>
    <cellStyle name="CALC Percent Total 65 6 4" xfId="49767"/>
    <cellStyle name="CALC Percent Total 65 7" xfId="21049"/>
    <cellStyle name="CALC Percent Total 65 7 2" xfId="29366"/>
    <cellStyle name="CALC Percent Total 65 7 2 2" xfId="49768"/>
    <cellStyle name="CALC Percent Total 65 7 3" xfId="36446"/>
    <cellStyle name="CALC Percent Total 65 7 4" xfId="49769"/>
    <cellStyle name="CALC Percent Total 65 8" xfId="21556"/>
    <cellStyle name="CALC Percent Total 65 8 2" xfId="29857"/>
    <cellStyle name="CALC Percent Total 65 8 2 2" xfId="49770"/>
    <cellStyle name="CALC Percent Total 65 8 3" xfId="36916"/>
    <cellStyle name="CALC Percent Total 65 8 4" xfId="49771"/>
    <cellStyle name="CALC Percent Total 65 9" xfId="22484"/>
    <cellStyle name="CALC Percent Total 65 9 2" xfId="30780"/>
    <cellStyle name="CALC Percent Total 65 9 2 2" xfId="49772"/>
    <cellStyle name="CALC Percent Total 65 9 3" xfId="37799"/>
    <cellStyle name="CALC Percent Total 65 9 4" xfId="49773"/>
    <cellStyle name="CALC Percent Total 66" xfId="15038"/>
    <cellStyle name="CALC Percent Total 66 10" xfId="23398"/>
    <cellStyle name="CALC Percent Total 66 10 2" xfId="49774"/>
    <cellStyle name="CALC Percent Total 66 11" xfId="49775"/>
    <cellStyle name="CALC Percent Total 66 12" xfId="49776"/>
    <cellStyle name="CALC Percent Total 66 2" xfId="16118"/>
    <cellStyle name="CALC Percent Total 66 2 2" xfId="24433"/>
    <cellStyle name="CALC Percent Total 66 2 2 2" xfId="49777"/>
    <cellStyle name="CALC Percent Total 66 2 3" xfId="31710"/>
    <cellStyle name="CALC Percent Total 66 2 4" xfId="49778"/>
    <cellStyle name="CALC Percent Total 66 3" xfId="17085"/>
    <cellStyle name="CALC Percent Total 66 3 2" xfId="25406"/>
    <cellStyle name="CALC Percent Total 66 3 2 2" xfId="49779"/>
    <cellStyle name="CALC Percent Total 66 3 3" xfId="32644"/>
    <cellStyle name="CALC Percent Total 66 3 4" xfId="49780"/>
    <cellStyle name="CALC Percent Total 66 4" xfId="18112"/>
    <cellStyle name="CALC Percent Total 66 4 2" xfId="26432"/>
    <cellStyle name="CALC Percent Total 66 4 2 2" xfId="49781"/>
    <cellStyle name="CALC Percent Total 66 4 3" xfId="33621"/>
    <cellStyle name="CALC Percent Total 66 4 4" xfId="49782"/>
    <cellStyle name="CALC Percent Total 66 5" xfId="19096"/>
    <cellStyle name="CALC Percent Total 66 5 2" xfId="27416"/>
    <cellStyle name="CALC Percent Total 66 5 2 2" xfId="49783"/>
    <cellStyle name="CALC Percent Total 66 5 3" xfId="34564"/>
    <cellStyle name="CALC Percent Total 66 5 4" xfId="49784"/>
    <cellStyle name="CALC Percent Total 66 6" xfId="20064"/>
    <cellStyle name="CALC Percent Total 66 6 2" xfId="28386"/>
    <cellStyle name="CALC Percent Total 66 6 2 2" xfId="49785"/>
    <cellStyle name="CALC Percent Total 66 6 3" xfId="35511"/>
    <cellStyle name="CALC Percent Total 66 6 4" xfId="49786"/>
    <cellStyle name="CALC Percent Total 66 7" xfId="21021"/>
    <cellStyle name="CALC Percent Total 66 7 2" xfId="29338"/>
    <cellStyle name="CALC Percent Total 66 7 2 2" xfId="49787"/>
    <cellStyle name="CALC Percent Total 66 7 3" xfId="36418"/>
    <cellStyle name="CALC Percent Total 66 7 4" xfId="49788"/>
    <cellStyle name="CALC Percent Total 66 8" xfId="21528"/>
    <cellStyle name="CALC Percent Total 66 8 2" xfId="29829"/>
    <cellStyle name="CALC Percent Total 66 8 2 2" xfId="49789"/>
    <cellStyle name="CALC Percent Total 66 8 3" xfId="36888"/>
    <cellStyle name="CALC Percent Total 66 8 4" xfId="49790"/>
    <cellStyle name="CALC Percent Total 66 9" xfId="22456"/>
    <cellStyle name="CALC Percent Total 66 9 2" xfId="30752"/>
    <cellStyle name="CALC Percent Total 66 9 2 2" xfId="49791"/>
    <cellStyle name="CALC Percent Total 66 9 3" xfId="37771"/>
    <cellStyle name="CALC Percent Total 66 9 4" xfId="49792"/>
    <cellStyle name="CALC Percent Total 67" xfId="15037"/>
    <cellStyle name="CALC Percent Total 67 10" xfId="23397"/>
    <cellStyle name="CALC Percent Total 67 10 2" xfId="49793"/>
    <cellStyle name="CALC Percent Total 67 11" xfId="49794"/>
    <cellStyle name="CALC Percent Total 67 12" xfId="49795"/>
    <cellStyle name="CALC Percent Total 67 2" xfId="16117"/>
    <cellStyle name="CALC Percent Total 67 2 2" xfId="24432"/>
    <cellStyle name="CALC Percent Total 67 2 2 2" xfId="49796"/>
    <cellStyle name="CALC Percent Total 67 2 3" xfId="31709"/>
    <cellStyle name="CALC Percent Total 67 2 4" xfId="49797"/>
    <cellStyle name="CALC Percent Total 67 3" xfId="17084"/>
    <cellStyle name="CALC Percent Total 67 3 2" xfId="25405"/>
    <cellStyle name="CALC Percent Total 67 3 2 2" xfId="49798"/>
    <cellStyle name="CALC Percent Total 67 3 3" xfId="32643"/>
    <cellStyle name="CALC Percent Total 67 3 4" xfId="49799"/>
    <cellStyle name="CALC Percent Total 67 4" xfId="18111"/>
    <cellStyle name="CALC Percent Total 67 4 2" xfId="26431"/>
    <cellStyle name="CALC Percent Total 67 4 2 2" xfId="49800"/>
    <cellStyle name="CALC Percent Total 67 4 3" xfId="33620"/>
    <cellStyle name="CALC Percent Total 67 4 4" xfId="49801"/>
    <cellStyle name="CALC Percent Total 67 5" xfId="19095"/>
    <cellStyle name="CALC Percent Total 67 5 2" xfId="27415"/>
    <cellStyle name="CALC Percent Total 67 5 2 2" xfId="49802"/>
    <cellStyle name="CALC Percent Total 67 5 3" xfId="34563"/>
    <cellStyle name="CALC Percent Total 67 5 4" xfId="49803"/>
    <cellStyle name="CALC Percent Total 67 6" xfId="20063"/>
    <cellStyle name="CALC Percent Total 67 6 2" xfId="28385"/>
    <cellStyle name="CALC Percent Total 67 6 2 2" xfId="49804"/>
    <cellStyle name="CALC Percent Total 67 6 3" xfId="35510"/>
    <cellStyle name="CALC Percent Total 67 6 4" xfId="49805"/>
    <cellStyle name="CALC Percent Total 67 7" xfId="21020"/>
    <cellStyle name="CALC Percent Total 67 7 2" xfId="29337"/>
    <cellStyle name="CALC Percent Total 67 7 2 2" xfId="49806"/>
    <cellStyle name="CALC Percent Total 67 7 3" xfId="36417"/>
    <cellStyle name="CALC Percent Total 67 7 4" xfId="49807"/>
    <cellStyle name="CALC Percent Total 67 8" xfId="21527"/>
    <cellStyle name="CALC Percent Total 67 8 2" xfId="29828"/>
    <cellStyle name="CALC Percent Total 67 8 2 2" xfId="49808"/>
    <cellStyle name="CALC Percent Total 67 8 3" xfId="36887"/>
    <cellStyle name="CALC Percent Total 67 8 4" xfId="49809"/>
    <cellStyle name="CALC Percent Total 67 9" xfId="22455"/>
    <cellStyle name="CALC Percent Total 67 9 2" xfId="30751"/>
    <cellStyle name="CALC Percent Total 67 9 2 2" xfId="49810"/>
    <cellStyle name="CALC Percent Total 67 9 3" xfId="37770"/>
    <cellStyle name="CALC Percent Total 67 9 4" xfId="49811"/>
    <cellStyle name="CALC Percent Total 68" xfId="15081"/>
    <cellStyle name="CALC Percent Total 68 10" xfId="23440"/>
    <cellStyle name="CALC Percent Total 68 10 2" xfId="49812"/>
    <cellStyle name="CALC Percent Total 68 11" xfId="49813"/>
    <cellStyle name="CALC Percent Total 68 12" xfId="49814"/>
    <cellStyle name="CALC Percent Total 68 2" xfId="16161"/>
    <cellStyle name="CALC Percent Total 68 2 2" xfId="24475"/>
    <cellStyle name="CALC Percent Total 68 2 2 2" xfId="49815"/>
    <cellStyle name="CALC Percent Total 68 2 3" xfId="31752"/>
    <cellStyle name="CALC Percent Total 68 2 4" xfId="49816"/>
    <cellStyle name="CALC Percent Total 68 3" xfId="17128"/>
    <cellStyle name="CALC Percent Total 68 3 2" xfId="25449"/>
    <cellStyle name="CALC Percent Total 68 3 2 2" xfId="49817"/>
    <cellStyle name="CALC Percent Total 68 3 3" xfId="32686"/>
    <cellStyle name="CALC Percent Total 68 3 4" xfId="49818"/>
    <cellStyle name="CALC Percent Total 68 4" xfId="18155"/>
    <cellStyle name="CALC Percent Total 68 4 2" xfId="26475"/>
    <cellStyle name="CALC Percent Total 68 4 2 2" xfId="49819"/>
    <cellStyle name="CALC Percent Total 68 4 3" xfId="33663"/>
    <cellStyle name="CALC Percent Total 68 4 4" xfId="49820"/>
    <cellStyle name="CALC Percent Total 68 5" xfId="19139"/>
    <cellStyle name="CALC Percent Total 68 5 2" xfId="27459"/>
    <cellStyle name="CALC Percent Total 68 5 2 2" xfId="49821"/>
    <cellStyle name="CALC Percent Total 68 5 3" xfId="34607"/>
    <cellStyle name="CALC Percent Total 68 5 4" xfId="49822"/>
    <cellStyle name="CALC Percent Total 68 6" xfId="20107"/>
    <cellStyle name="CALC Percent Total 68 6 2" xfId="28429"/>
    <cellStyle name="CALC Percent Total 68 6 2 2" xfId="49823"/>
    <cellStyle name="CALC Percent Total 68 6 3" xfId="35554"/>
    <cellStyle name="CALC Percent Total 68 6 4" xfId="49824"/>
    <cellStyle name="CALC Percent Total 68 7" xfId="21063"/>
    <cellStyle name="CALC Percent Total 68 7 2" xfId="29380"/>
    <cellStyle name="CALC Percent Total 68 7 2 2" xfId="49825"/>
    <cellStyle name="CALC Percent Total 68 7 3" xfId="36459"/>
    <cellStyle name="CALC Percent Total 68 7 4" xfId="49826"/>
    <cellStyle name="CALC Percent Total 68 8" xfId="21570"/>
    <cellStyle name="CALC Percent Total 68 8 2" xfId="29871"/>
    <cellStyle name="CALC Percent Total 68 8 2 2" xfId="49827"/>
    <cellStyle name="CALC Percent Total 68 8 3" xfId="36930"/>
    <cellStyle name="CALC Percent Total 68 8 4" xfId="49828"/>
    <cellStyle name="CALC Percent Total 68 9" xfId="22498"/>
    <cellStyle name="CALC Percent Total 68 9 2" xfId="30794"/>
    <cellStyle name="CALC Percent Total 68 9 2 2" xfId="49829"/>
    <cellStyle name="CALC Percent Total 68 9 3" xfId="37813"/>
    <cellStyle name="CALC Percent Total 68 9 4" xfId="49830"/>
    <cellStyle name="CALC Percent Total 69" xfId="15053"/>
    <cellStyle name="CALC Percent Total 69 10" xfId="23413"/>
    <cellStyle name="CALC Percent Total 69 10 2" xfId="49831"/>
    <cellStyle name="CALC Percent Total 69 11" xfId="49832"/>
    <cellStyle name="CALC Percent Total 69 12" xfId="49833"/>
    <cellStyle name="CALC Percent Total 69 2" xfId="16133"/>
    <cellStyle name="CALC Percent Total 69 2 2" xfId="24448"/>
    <cellStyle name="CALC Percent Total 69 2 2 2" xfId="49834"/>
    <cellStyle name="CALC Percent Total 69 2 3" xfId="31725"/>
    <cellStyle name="CALC Percent Total 69 2 4" xfId="49835"/>
    <cellStyle name="CALC Percent Total 69 3" xfId="17100"/>
    <cellStyle name="CALC Percent Total 69 3 2" xfId="25421"/>
    <cellStyle name="CALC Percent Total 69 3 2 2" xfId="49836"/>
    <cellStyle name="CALC Percent Total 69 3 3" xfId="32659"/>
    <cellStyle name="CALC Percent Total 69 3 4" xfId="49837"/>
    <cellStyle name="CALC Percent Total 69 4" xfId="18127"/>
    <cellStyle name="CALC Percent Total 69 4 2" xfId="26447"/>
    <cellStyle name="CALC Percent Total 69 4 2 2" xfId="49838"/>
    <cellStyle name="CALC Percent Total 69 4 3" xfId="33636"/>
    <cellStyle name="CALC Percent Total 69 4 4" xfId="49839"/>
    <cellStyle name="CALC Percent Total 69 5" xfId="19111"/>
    <cellStyle name="CALC Percent Total 69 5 2" xfId="27431"/>
    <cellStyle name="CALC Percent Total 69 5 2 2" xfId="49840"/>
    <cellStyle name="CALC Percent Total 69 5 3" xfId="34579"/>
    <cellStyle name="CALC Percent Total 69 5 4" xfId="49841"/>
    <cellStyle name="CALC Percent Total 69 6" xfId="20079"/>
    <cellStyle name="CALC Percent Total 69 6 2" xfId="28401"/>
    <cellStyle name="CALC Percent Total 69 6 2 2" xfId="49842"/>
    <cellStyle name="CALC Percent Total 69 6 3" xfId="35526"/>
    <cellStyle name="CALC Percent Total 69 6 4" xfId="49843"/>
    <cellStyle name="CALC Percent Total 69 7" xfId="21036"/>
    <cellStyle name="CALC Percent Total 69 7 2" xfId="29353"/>
    <cellStyle name="CALC Percent Total 69 7 2 2" xfId="49844"/>
    <cellStyle name="CALC Percent Total 69 7 3" xfId="36433"/>
    <cellStyle name="CALC Percent Total 69 7 4" xfId="49845"/>
    <cellStyle name="CALC Percent Total 69 8" xfId="21543"/>
    <cellStyle name="CALC Percent Total 69 8 2" xfId="29844"/>
    <cellStyle name="CALC Percent Total 69 8 2 2" xfId="49846"/>
    <cellStyle name="CALC Percent Total 69 8 3" xfId="36903"/>
    <cellStyle name="CALC Percent Total 69 8 4" xfId="49847"/>
    <cellStyle name="CALC Percent Total 69 9" xfId="22471"/>
    <cellStyle name="CALC Percent Total 69 9 2" xfId="30767"/>
    <cellStyle name="CALC Percent Total 69 9 2 2" xfId="49848"/>
    <cellStyle name="CALC Percent Total 69 9 3" xfId="37786"/>
    <cellStyle name="CALC Percent Total 69 9 4" xfId="49849"/>
    <cellStyle name="CALC Percent Total 7" xfId="14575"/>
    <cellStyle name="CALC Percent Total 7 10" xfId="22934"/>
    <cellStyle name="CALC Percent Total 7 10 2" xfId="49850"/>
    <cellStyle name="CALC Percent Total 7 11" xfId="49851"/>
    <cellStyle name="CALC Percent Total 7 2" xfId="15656"/>
    <cellStyle name="CALC Percent Total 7 2 2" xfId="23970"/>
    <cellStyle name="CALC Percent Total 7 2 2 2" xfId="49852"/>
    <cellStyle name="CALC Percent Total 7 2 3" xfId="31267"/>
    <cellStyle name="CALC Percent Total 7 2 4" xfId="49853"/>
    <cellStyle name="CALC Percent Total 7 3" xfId="16623"/>
    <cellStyle name="CALC Percent Total 7 3 2" xfId="24941"/>
    <cellStyle name="CALC Percent Total 7 3 2 2" xfId="49854"/>
    <cellStyle name="CALC Percent Total 7 3 3" xfId="32200"/>
    <cellStyle name="CALC Percent Total 7 3 4" xfId="49855"/>
    <cellStyle name="CALC Percent Total 7 4" xfId="17644"/>
    <cellStyle name="CALC Percent Total 7 4 2" xfId="25967"/>
    <cellStyle name="CALC Percent Total 7 4 2 2" xfId="49856"/>
    <cellStyle name="CALC Percent Total 7 4 3" xfId="33177"/>
    <cellStyle name="CALC Percent Total 7 4 4" xfId="49857"/>
    <cellStyle name="CALC Percent Total 7 5" xfId="18626"/>
    <cellStyle name="CALC Percent Total 7 5 2" xfId="26946"/>
    <cellStyle name="CALC Percent Total 7 5 2 2" xfId="49858"/>
    <cellStyle name="CALC Percent Total 7 5 3" xfId="34114"/>
    <cellStyle name="CALC Percent Total 7 5 4" xfId="49859"/>
    <cellStyle name="CALC Percent Total 7 6" xfId="19595"/>
    <cellStyle name="CALC Percent Total 7 6 2" xfId="27915"/>
    <cellStyle name="CALC Percent Total 7 6 2 2" xfId="49860"/>
    <cellStyle name="CALC Percent Total 7 6 3" xfId="35060"/>
    <cellStyle name="CALC Percent Total 7 6 4" xfId="49861"/>
    <cellStyle name="CALC Percent Total 7 7" xfId="20552"/>
    <cellStyle name="CALC Percent Total 7 7 2" xfId="28874"/>
    <cellStyle name="CALC Percent Total 7 7 2 2" xfId="49862"/>
    <cellStyle name="CALC Percent Total 7 7 3" xfId="35977"/>
    <cellStyle name="CALC Percent Total 7 7 4" xfId="49863"/>
    <cellStyle name="CALC Percent Total 7 8" xfId="21252"/>
    <cellStyle name="CALC Percent Total 7 8 2" xfId="29561"/>
    <cellStyle name="CALC Percent Total 7 8 2 2" xfId="49864"/>
    <cellStyle name="CALC Percent Total 7 8 3" xfId="36629"/>
    <cellStyle name="CALC Percent Total 7 8 4" xfId="49865"/>
    <cellStyle name="CALC Percent Total 7 9" xfId="21988"/>
    <cellStyle name="CALC Percent Total 7 9 2" xfId="30288"/>
    <cellStyle name="CALC Percent Total 7 9 2 2" xfId="49866"/>
    <cellStyle name="CALC Percent Total 7 9 3" xfId="37328"/>
    <cellStyle name="CALC Percent Total 7 9 4" xfId="49867"/>
    <cellStyle name="CALC Percent Total 70" xfId="15021"/>
    <cellStyle name="CALC Percent Total 70 10" xfId="23381"/>
    <cellStyle name="CALC Percent Total 70 10 2" xfId="49868"/>
    <cellStyle name="CALC Percent Total 70 11" xfId="49869"/>
    <cellStyle name="CALC Percent Total 70 12" xfId="49870"/>
    <cellStyle name="CALC Percent Total 70 2" xfId="16101"/>
    <cellStyle name="CALC Percent Total 70 2 2" xfId="24416"/>
    <cellStyle name="CALC Percent Total 70 2 2 2" xfId="49871"/>
    <cellStyle name="CALC Percent Total 70 2 3" xfId="31694"/>
    <cellStyle name="CALC Percent Total 70 2 4" xfId="49872"/>
    <cellStyle name="CALC Percent Total 70 3" xfId="17068"/>
    <cellStyle name="CALC Percent Total 70 3 2" xfId="25389"/>
    <cellStyle name="CALC Percent Total 70 3 2 2" xfId="49873"/>
    <cellStyle name="CALC Percent Total 70 3 3" xfId="32628"/>
    <cellStyle name="CALC Percent Total 70 3 4" xfId="49874"/>
    <cellStyle name="CALC Percent Total 70 4" xfId="18095"/>
    <cellStyle name="CALC Percent Total 70 4 2" xfId="26415"/>
    <cellStyle name="CALC Percent Total 70 4 2 2" xfId="49875"/>
    <cellStyle name="CALC Percent Total 70 4 3" xfId="33605"/>
    <cellStyle name="CALC Percent Total 70 4 4" xfId="49876"/>
    <cellStyle name="CALC Percent Total 70 5" xfId="19079"/>
    <cellStyle name="CALC Percent Total 70 5 2" xfId="27399"/>
    <cellStyle name="CALC Percent Total 70 5 2 2" xfId="49877"/>
    <cellStyle name="CALC Percent Total 70 5 3" xfId="34548"/>
    <cellStyle name="CALC Percent Total 70 5 4" xfId="49878"/>
    <cellStyle name="CALC Percent Total 70 6" xfId="20047"/>
    <cellStyle name="CALC Percent Total 70 6 2" xfId="28369"/>
    <cellStyle name="CALC Percent Total 70 6 2 2" xfId="49879"/>
    <cellStyle name="CALC Percent Total 70 6 3" xfId="35495"/>
    <cellStyle name="CALC Percent Total 70 6 4" xfId="49880"/>
    <cellStyle name="CALC Percent Total 70 7" xfId="21004"/>
    <cellStyle name="CALC Percent Total 70 7 2" xfId="29321"/>
    <cellStyle name="CALC Percent Total 70 7 2 2" xfId="49881"/>
    <cellStyle name="CALC Percent Total 70 7 3" xfId="36402"/>
    <cellStyle name="CALC Percent Total 70 7 4" xfId="49882"/>
    <cellStyle name="CALC Percent Total 70 8" xfId="21511"/>
    <cellStyle name="CALC Percent Total 70 8 2" xfId="29812"/>
    <cellStyle name="CALC Percent Total 70 8 2 2" xfId="49883"/>
    <cellStyle name="CALC Percent Total 70 8 3" xfId="36872"/>
    <cellStyle name="CALC Percent Total 70 8 4" xfId="49884"/>
    <cellStyle name="CALC Percent Total 70 9" xfId="22439"/>
    <cellStyle name="CALC Percent Total 70 9 2" xfId="30735"/>
    <cellStyle name="CALC Percent Total 70 9 2 2" xfId="49885"/>
    <cellStyle name="CALC Percent Total 70 9 3" xfId="37755"/>
    <cellStyle name="CALC Percent Total 70 9 4" xfId="49886"/>
    <cellStyle name="CALC Percent Total 71" xfId="15068"/>
    <cellStyle name="CALC Percent Total 71 10" xfId="23428"/>
    <cellStyle name="CALC Percent Total 71 10 2" xfId="49887"/>
    <cellStyle name="CALC Percent Total 71 11" xfId="49888"/>
    <cellStyle name="CALC Percent Total 71 12" xfId="49889"/>
    <cellStyle name="CALC Percent Total 71 2" xfId="16148"/>
    <cellStyle name="CALC Percent Total 71 2 2" xfId="24463"/>
    <cellStyle name="CALC Percent Total 71 2 2 2" xfId="49890"/>
    <cellStyle name="CALC Percent Total 71 2 3" xfId="31740"/>
    <cellStyle name="CALC Percent Total 71 2 4" xfId="49891"/>
    <cellStyle name="CALC Percent Total 71 3" xfId="17115"/>
    <cellStyle name="CALC Percent Total 71 3 2" xfId="25436"/>
    <cellStyle name="CALC Percent Total 71 3 2 2" xfId="49892"/>
    <cellStyle name="CALC Percent Total 71 3 3" xfId="32674"/>
    <cellStyle name="CALC Percent Total 71 3 4" xfId="49893"/>
    <cellStyle name="CALC Percent Total 71 4" xfId="18142"/>
    <cellStyle name="CALC Percent Total 71 4 2" xfId="26462"/>
    <cellStyle name="CALC Percent Total 71 4 2 2" xfId="49894"/>
    <cellStyle name="CALC Percent Total 71 4 3" xfId="33651"/>
    <cellStyle name="CALC Percent Total 71 4 4" xfId="49895"/>
    <cellStyle name="CALC Percent Total 71 5" xfId="19126"/>
    <cellStyle name="CALC Percent Total 71 5 2" xfId="27446"/>
    <cellStyle name="CALC Percent Total 71 5 2 2" xfId="49896"/>
    <cellStyle name="CALC Percent Total 71 5 3" xfId="34594"/>
    <cellStyle name="CALC Percent Total 71 5 4" xfId="49897"/>
    <cellStyle name="CALC Percent Total 71 6" xfId="20094"/>
    <cellStyle name="CALC Percent Total 71 6 2" xfId="28416"/>
    <cellStyle name="CALC Percent Total 71 6 2 2" xfId="49898"/>
    <cellStyle name="CALC Percent Total 71 6 3" xfId="35541"/>
    <cellStyle name="CALC Percent Total 71 6 4" xfId="49899"/>
    <cellStyle name="CALC Percent Total 71 7" xfId="21051"/>
    <cellStyle name="CALC Percent Total 71 7 2" xfId="29368"/>
    <cellStyle name="CALC Percent Total 71 7 2 2" xfId="49900"/>
    <cellStyle name="CALC Percent Total 71 7 3" xfId="36448"/>
    <cellStyle name="CALC Percent Total 71 7 4" xfId="49901"/>
    <cellStyle name="CALC Percent Total 71 8" xfId="21558"/>
    <cellStyle name="CALC Percent Total 71 8 2" xfId="29859"/>
    <cellStyle name="CALC Percent Total 71 8 2 2" xfId="49902"/>
    <cellStyle name="CALC Percent Total 71 8 3" xfId="36918"/>
    <cellStyle name="CALC Percent Total 71 8 4" xfId="49903"/>
    <cellStyle name="CALC Percent Total 71 9" xfId="22486"/>
    <cellStyle name="CALC Percent Total 71 9 2" xfId="30782"/>
    <cellStyle name="CALC Percent Total 71 9 2 2" xfId="49904"/>
    <cellStyle name="CALC Percent Total 71 9 3" xfId="37801"/>
    <cellStyle name="CALC Percent Total 71 9 4" xfId="49905"/>
    <cellStyle name="CALC Percent Total 72" xfId="15039"/>
    <cellStyle name="CALC Percent Total 72 10" xfId="23399"/>
    <cellStyle name="CALC Percent Total 72 10 2" xfId="49906"/>
    <cellStyle name="CALC Percent Total 72 11" xfId="49907"/>
    <cellStyle name="CALC Percent Total 72 12" xfId="49908"/>
    <cellStyle name="CALC Percent Total 72 2" xfId="16119"/>
    <cellStyle name="CALC Percent Total 72 2 2" xfId="24434"/>
    <cellStyle name="CALC Percent Total 72 2 2 2" xfId="49909"/>
    <cellStyle name="CALC Percent Total 72 2 3" xfId="31711"/>
    <cellStyle name="CALC Percent Total 72 2 4" xfId="49910"/>
    <cellStyle name="CALC Percent Total 72 3" xfId="17086"/>
    <cellStyle name="CALC Percent Total 72 3 2" xfId="25407"/>
    <cellStyle name="CALC Percent Total 72 3 2 2" xfId="49911"/>
    <cellStyle name="CALC Percent Total 72 3 3" xfId="32645"/>
    <cellStyle name="CALC Percent Total 72 3 4" xfId="49912"/>
    <cellStyle name="CALC Percent Total 72 4" xfId="18113"/>
    <cellStyle name="CALC Percent Total 72 4 2" xfId="26433"/>
    <cellStyle name="CALC Percent Total 72 4 2 2" xfId="49913"/>
    <cellStyle name="CALC Percent Total 72 4 3" xfId="33622"/>
    <cellStyle name="CALC Percent Total 72 4 4" xfId="49914"/>
    <cellStyle name="CALC Percent Total 72 5" xfId="19097"/>
    <cellStyle name="CALC Percent Total 72 5 2" xfId="27417"/>
    <cellStyle name="CALC Percent Total 72 5 2 2" xfId="49915"/>
    <cellStyle name="CALC Percent Total 72 5 3" xfId="34565"/>
    <cellStyle name="CALC Percent Total 72 5 4" xfId="49916"/>
    <cellStyle name="CALC Percent Total 72 6" xfId="20065"/>
    <cellStyle name="CALC Percent Total 72 6 2" xfId="28387"/>
    <cellStyle name="CALC Percent Total 72 6 2 2" xfId="49917"/>
    <cellStyle name="CALC Percent Total 72 6 3" xfId="35512"/>
    <cellStyle name="CALC Percent Total 72 6 4" xfId="49918"/>
    <cellStyle name="CALC Percent Total 72 7" xfId="21022"/>
    <cellStyle name="CALC Percent Total 72 7 2" xfId="29339"/>
    <cellStyle name="CALC Percent Total 72 7 2 2" xfId="49919"/>
    <cellStyle name="CALC Percent Total 72 7 3" xfId="36419"/>
    <cellStyle name="CALC Percent Total 72 7 4" xfId="49920"/>
    <cellStyle name="CALC Percent Total 72 8" xfId="21529"/>
    <cellStyle name="CALC Percent Total 72 8 2" xfId="29830"/>
    <cellStyle name="CALC Percent Total 72 8 2 2" xfId="49921"/>
    <cellStyle name="CALC Percent Total 72 8 3" xfId="36889"/>
    <cellStyle name="CALC Percent Total 72 8 4" xfId="49922"/>
    <cellStyle name="CALC Percent Total 72 9" xfId="22457"/>
    <cellStyle name="CALC Percent Total 72 9 2" xfId="30753"/>
    <cellStyle name="CALC Percent Total 72 9 2 2" xfId="49923"/>
    <cellStyle name="CALC Percent Total 72 9 3" xfId="37772"/>
    <cellStyle name="CALC Percent Total 72 9 4" xfId="49924"/>
    <cellStyle name="CALC Percent Total 73" xfId="15121"/>
    <cellStyle name="CALC Percent Total 73 10" xfId="49925"/>
    <cellStyle name="CALC Percent Total 73 11" xfId="49926"/>
    <cellStyle name="CALC Percent Total 73 2" xfId="16201"/>
    <cellStyle name="CALC Percent Total 73 2 2" xfId="24514"/>
    <cellStyle name="CALC Percent Total 73 2 2 2" xfId="49927"/>
    <cellStyle name="CALC Percent Total 73 2 3" xfId="31791"/>
    <cellStyle name="CALC Percent Total 73 2 4" xfId="49928"/>
    <cellStyle name="CALC Percent Total 73 3" xfId="17167"/>
    <cellStyle name="CALC Percent Total 73 3 2" xfId="25488"/>
    <cellStyle name="CALC Percent Total 73 3 2 2" xfId="49929"/>
    <cellStyle name="CALC Percent Total 73 3 3" xfId="32724"/>
    <cellStyle name="CALC Percent Total 73 3 4" xfId="49930"/>
    <cellStyle name="CALC Percent Total 73 4" xfId="18195"/>
    <cellStyle name="CALC Percent Total 73 4 2" xfId="26515"/>
    <cellStyle name="CALC Percent Total 73 4 2 2" xfId="49931"/>
    <cellStyle name="CALC Percent Total 73 4 3" xfId="33702"/>
    <cellStyle name="CALC Percent Total 73 4 4" xfId="49932"/>
    <cellStyle name="CALC Percent Total 73 5" xfId="19179"/>
    <cellStyle name="CALC Percent Total 73 5 2" xfId="27499"/>
    <cellStyle name="CALC Percent Total 73 5 2 2" xfId="49933"/>
    <cellStyle name="CALC Percent Total 73 5 3" xfId="34647"/>
    <cellStyle name="CALC Percent Total 73 5 4" xfId="49934"/>
    <cellStyle name="CALC Percent Total 73 6" xfId="20147"/>
    <cellStyle name="CALC Percent Total 73 6 2" xfId="28469"/>
    <cellStyle name="CALC Percent Total 73 6 2 2" xfId="49935"/>
    <cellStyle name="CALC Percent Total 73 6 3" xfId="35594"/>
    <cellStyle name="CALC Percent Total 73 6 4" xfId="49936"/>
    <cellStyle name="CALC Percent Total 73 7" xfId="21608"/>
    <cellStyle name="CALC Percent Total 73 7 2" xfId="29909"/>
    <cellStyle name="CALC Percent Total 73 7 2 2" xfId="49937"/>
    <cellStyle name="CALC Percent Total 73 7 3" xfId="36968"/>
    <cellStyle name="CALC Percent Total 73 7 4" xfId="49938"/>
    <cellStyle name="CALC Percent Total 73 8" xfId="22536"/>
    <cellStyle name="CALC Percent Total 73 8 2" xfId="30832"/>
    <cellStyle name="CALC Percent Total 73 8 2 2" xfId="49939"/>
    <cellStyle name="CALC Percent Total 73 8 3" xfId="37851"/>
    <cellStyle name="CALC Percent Total 73 8 4" xfId="49940"/>
    <cellStyle name="CALC Percent Total 73 9" xfId="23478"/>
    <cellStyle name="CALC Percent Total 73 9 2" xfId="49941"/>
    <cellStyle name="CALC Percent Total 74" xfId="15092"/>
    <cellStyle name="CALC Percent Total 74 10" xfId="49942"/>
    <cellStyle name="CALC Percent Total 74 11" xfId="49943"/>
    <cellStyle name="CALC Percent Total 74 2" xfId="16172"/>
    <cellStyle name="CALC Percent Total 74 2 2" xfId="24485"/>
    <cellStyle name="CALC Percent Total 74 2 2 2" xfId="49944"/>
    <cellStyle name="CALC Percent Total 74 2 3" xfId="31762"/>
    <cellStyle name="CALC Percent Total 74 2 4" xfId="49945"/>
    <cellStyle name="CALC Percent Total 74 3" xfId="17138"/>
    <cellStyle name="CALC Percent Total 74 3 2" xfId="25459"/>
    <cellStyle name="CALC Percent Total 74 3 2 2" xfId="49946"/>
    <cellStyle name="CALC Percent Total 74 3 3" xfId="32695"/>
    <cellStyle name="CALC Percent Total 74 3 4" xfId="49947"/>
    <cellStyle name="CALC Percent Total 74 4" xfId="18166"/>
    <cellStyle name="CALC Percent Total 74 4 2" xfId="26486"/>
    <cellStyle name="CALC Percent Total 74 4 2 2" xfId="49948"/>
    <cellStyle name="CALC Percent Total 74 4 3" xfId="33673"/>
    <cellStyle name="CALC Percent Total 74 4 4" xfId="49949"/>
    <cellStyle name="CALC Percent Total 74 5" xfId="19150"/>
    <cellStyle name="CALC Percent Total 74 5 2" xfId="27470"/>
    <cellStyle name="CALC Percent Total 74 5 2 2" xfId="49950"/>
    <cellStyle name="CALC Percent Total 74 5 3" xfId="34618"/>
    <cellStyle name="CALC Percent Total 74 5 4" xfId="49951"/>
    <cellStyle name="CALC Percent Total 74 6" xfId="20118"/>
    <cellStyle name="CALC Percent Total 74 6 2" xfId="28440"/>
    <cellStyle name="CALC Percent Total 74 6 2 2" xfId="49952"/>
    <cellStyle name="CALC Percent Total 74 6 3" xfId="35565"/>
    <cellStyle name="CALC Percent Total 74 6 4" xfId="49953"/>
    <cellStyle name="CALC Percent Total 74 7" xfId="21579"/>
    <cellStyle name="CALC Percent Total 74 7 2" xfId="29880"/>
    <cellStyle name="CALC Percent Total 74 7 2 2" xfId="49954"/>
    <cellStyle name="CALC Percent Total 74 7 3" xfId="36939"/>
    <cellStyle name="CALC Percent Total 74 7 4" xfId="49955"/>
    <cellStyle name="CALC Percent Total 74 8" xfId="22507"/>
    <cellStyle name="CALC Percent Total 74 8 2" xfId="30803"/>
    <cellStyle name="CALC Percent Total 74 8 2 2" xfId="49956"/>
    <cellStyle name="CALC Percent Total 74 8 3" xfId="37822"/>
    <cellStyle name="CALC Percent Total 74 8 4" xfId="49957"/>
    <cellStyle name="CALC Percent Total 74 9" xfId="23449"/>
    <cellStyle name="CALC Percent Total 74 9 2" xfId="49958"/>
    <cellStyle name="CALC Percent Total 75" xfId="15171"/>
    <cellStyle name="CALC Percent Total 75 10" xfId="49959"/>
    <cellStyle name="CALC Percent Total 75 11" xfId="49960"/>
    <cellStyle name="CALC Percent Total 75 2" xfId="16251"/>
    <cellStyle name="CALC Percent Total 75 2 2" xfId="24564"/>
    <cellStyle name="CALC Percent Total 75 2 2 2" xfId="49961"/>
    <cellStyle name="CALC Percent Total 75 2 3" xfId="31836"/>
    <cellStyle name="CALC Percent Total 75 2 4" xfId="49962"/>
    <cellStyle name="CALC Percent Total 75 3" xfId="17217"/>
    <cellStyle name="CALC Percent Total 75 3 2" xfId="25538"/>
    <cellStyle name="CALC Percent Total 75 3 2 2" xfId="49963"/>
    <cellStyle name="CALC Percent Total 75 3 3" xfId="32769"/>
    <cellStyle name="CALC Percent Total 75 3 4" xfId="49964"/>
    <cellStyle name="CALC Percent Total 75 4" xfId="18245"/>
    <cellStyle name="CALC Percent Total 75 4 2" xfId="26565"/>
    <cellStyle name="CALC Percent Total 75 4 2 2" xfId="49965"/>
    <cellStyle name="CALC Percent Total 75 4 3" xfId="33747"/>
    <cellStyle name="CALC Percent Total 75 4 4" xfId="49966"/>
    <cellStyle name="CALC Percent Total 75 5" xfId="19229"/>
    <cellStyle name="CALC Percent Total 75 5 2" xfId="27549"/>
    <cellStyle name="CALC Percent Total 75 5 2 2" xfId="49967"/>
    <cellStyle name="CALC Percent Total 75 5 3" xfId="34697"/>
    <cellStyle name="CALC Percent Total 75 5 4" xfId="49968"/>
    <cellStyle name="CALC Percent Total 75 6" xfId="20197"/>
    <cellStyle name="CALC Percent Total 75 6 2" xfId="28519"/>
    <cellStyle name="CALC Percent Total 75 6 2 2" xfId="49969"/>
    <cellStyle name="CALC Percent Total 75 6 3" xfId="35639"/>
    <cellStyle name="CALC Percent Total 75 6 4" xfId="49970"/>
    <cellStyle name="CALC Percent Total 75 7" xfId="21658"/>
    <cellStyle name="CALC Percent Total 75 7 2" xfId="29959"/>
    <cellStyle name="CALC Percent Total 75 7 2 2" xfId="49971"/>
    <cellStyle name="CALC Percent Total 75 7 3" xfId="37013"/>
    <cellStyle name="CALC Percent Total 75 7 4" xfId="49972"/>
    <cellStyle name="CALC Percent Total 75 8" xfId="22586"/>
    <cellStyle name="CALC Percent Total 75 8 2" xfId="30882"/>
    <cellStyle name="CALC Percent Total 75 8 2 2" xfId="49973"/>
    <cellStyle name="CALC Percent Total 75 8 3" xfId="37896"/>
    <cellStyle name="CALC Percent Total 75 8 4" xfId="49974"/>
    <cellStyle name="CALC Percent Total 75 9" xfId="23528"/>
    <cellStyle name="CALC Percent Total 75 9 2" xfId="49975"/>
    <cellStyle name="CALC Percent Total 76" xfId="15183"/>
    <cellStyle name="CALC Percent Total 76 10" xfId="49976"/>
    <cellStyle name="CALC Percent Total 76 11" xfId="49977"/>
    <cellStyle name="CALC Percent Total 76 2" xfId="16263"/>
    <cellStyle name="CALC Percent Total 76 2 2" xfId="24576"/>
    <cellStyle name="CALC Percent Total 76 2 2 2" xfId="49978"/>
    <cellStyle name="CALC Percent Total 76 2 3" xfId="31848"/>
    <cellStyle name="CALC Percent Total 76 2 4" xfId="49979"/>
    <cellStyle name="CALC Percent Total 76 3" xfId="17229"/>
    <cellStyle name="CALC Percent Total 76 3 2" xfId="25550"/>
    <cellStyle name="CALC Percent Total 76 3 2 2" xfId="49980"/>
    <cellStyle name="CALC Percent Total 76 3 3" xfId="32781"/>
    <cellStyle name="CALC Percent Total 76 3 4" xfId="49981"/>
    <cellStyle name="CALC Percent Total 76 4" xfId="18257"/>
    <cellStyle name="CALC Percent Total 76 4 2" xfId="26577"/>
    <cellStyle name="CALC Percent Total 76 4 2 2" xfId="49982"/>
    <cellStyle name="CALC Percent Total 76 4 3" xfId="33759"/>
    <cellStyle name="CALC Percent Total 76 4 4" xfId="49983"/>
    <cellStyle name="CALC Percent Total 76 5" xfId="19241"/>
    <cellStyle name="CALC Percent Total 76 5 2" xfId="27561"/>
    <cellStyle name="CALC Percent Total 76 5 2 2" xfId="49984"/>
    <cellStyle name="CALC Percent Total 76 5 3" xfId="34709"/>
    <cellStyle name="CALC Percent Total 76 5 4" xfId="49985"/>
    <cellStyle name="CALC Percent Total 76 6" xfId="20209"/>
    <cellStyle name="CALC Percent Total 76 6 2" xfId="28531"/>
    <cellStyle name="CALC Percent Total 76 6 2 2" xfId="49986"/>
    <cellStyle name="CALC Percent Total 76 6 3" xfId="35651"/>
    <cellStyle name="CALC Percent Total 76 6 4" xfId="49987"/>
    <cellStyle name="CALC Percent Total 76 7" xfId="21670"/>
    <cellStyle name="CALC Percent Total 76 7 2" xfId="29971"/>
    <cellStyle name="CALC Percent Total 76 7 2 2" xfId="49988"/>
    <cellStyle name="CALC Percent Total 76 7 3" xfId="37025"/>
    <cellStyle name="CALC Percent Total 76 7 4" xfId="49989"/>
    <cellStyle name="CALC Percent Total 76 8" xfId="22598"/>
    <cellStyle name="CALC Percent Total 76 8 2" xfId="30894"/>
    <cellStyle name="CALC Percent Total 76 8 2 2" xfId="49990"/>
    <cellStyle name="CALC Percent Total 76 8 3" xfId="37908"/>
    <cellStyle name="CALC Percent Total 76 8 4" xfId="49991"/>
    <cellStyle name="CALC Percent Total 76 9" xfId="23540"/>
    <cellStyle name="CALC Percent Total 76 9 2" xfId="49992"/>
    <cellStyle name="CALC Percent Total 77" xfId="15103"/>
    <cellStyle name="CALC Percent Total 77 10" xfId="49993"/>
    <cellStyle name="CALC Percent Total 77 11" xfId="49994"/>
    <cellStyle name="CALC Percent Total 77 2" xfId="16183"/>
    <cellStyle name="CALC Percent Total 77 2 2" xfId="24496"/>
    <cellStyle name="CALC Percent Total 77 2 2 2" xfId="49995"/>
    <cellStyle name="CALC Percent Total 77 2 3" xfId="31773"/>
    <cellStyle name="CALC Percent Total 77 2 4" xfId="49996"/>
    <cellStyle name="CALC Percent Total 77 3" xfId="17149"/>
    <cellStyle name="CALC Percent Total 77 3 2" xfId="25470"/>
    <cellStyle name="CALC Percent Total 77 3 2 2" xfId="49997"/>
    <cellStyle name="CALC Percent Total 77 3 3" xfId="32706"/>
    <cellStyle name="CALC Percent Total 77 3 4" xfId="49998"/>
    <cellStyle name="CALC Percent Total 77 4" xfId="18177"/>
    <cellStyle name="CALC Percent Total 77 4 2" xfId="26497"/>
    <cellStyle name="CALC Percent Total 77 4 2 2" xfId="49999"/>
    <cellStyle name="CALC Percent Total 77 4 3" xfId="33684"/>
    <cellStyle name="CALC Percent Total 77 4 4" xfId="50000"/>
    <cellStyle name="CALC Percent Total 77 5" xfId="19161"/>
    <cellStyle name="CALC Percent Total 77 5 2" xfId="27481"/>
    <cellStyle name="CALC Percent Total 77 5 2 2" xfId="50001"/>
    <cellStyle name="CALC Percent Total 77 5 3" xfId="34629"/>
    <cellStyle name="CALC Percent Total 77 5 4" xfId="50002"/>
    <cellStyle name="CALC Percent Total 77 6" xfId="20129"/>
    <cellStyle name="CALC Percent Total 77 6 2" xfId="28451"/>
    <cellStyle name="CALC Percent Total 77 6 2 2" xfId="50003"/>
    <cellStyle name="CALC Percent Total 77 6 3" xfId="35576"/>
    <cellStyle name="CALC Percent Total 77 6 4" xfId="50004"/>
    <cellStyle name="CALC Percent Total 77 7" xfId="21590"/>
    <cellStyle name="CALC Percent Total 77 7 2" xfId="29891"/>
    <cellStyle name="CALC Percent Total 77 7 2 2" xfId="50005"/>
    <cellStyle name="CALC Percent Total 77 7 3" xfId="36950"/>
    <cellStyle name="CALC Percent Total 77 7 4" xfId="50006"/>
    <cellStyle name="CALC Percent Total 77 8" xfId="22518"/>
    <cellStyle name="CALC Percent Total 77 8 2" xfId="30814"/>
    <cellStyle name="CALC Percent Total 77 8 2 2" xfId="50007"/>
    <cellStyle name="CALC Percent Total 77 8 3" xfId="37833"/>
    <cellStyle name="CALC Percent Total 77 8 4" xfId="50008"/>
    <cellStyle name="CALC Percent Total 77 9" xfId="23460"/>
    <cellStyle name="CALC Percent Total 77 9 2" xfId="50009"/>
    <cellStyle name="CALC Percent Total 78" xfId="15247"/>
    <cellStyle name="CALC Percent Total 78 10" xfId="50010"/>
    <cellStyle name="CALC Percent Total 78 11" xfId="50011"/>
    <cellStyle name="CALC Percent Total 78 2" xfId="16327"/>
    <cellStyle name="CALC Percent Total 78 2 2" xfId="24640"/>
    <cellStyle name="CALC Percent Total 78 2 2 2" xfId="50012"/>
    <cellStyle name="CALC Percent Total 78 2 3" xfId="31907"/>
    <cellStyle name="CALC Percent Total 78 2 4" xfId="50013"/>
    <cellStyle name="CALC Percent Total 78 3" xfId="17293"/>
    <cellStyle name="CALC Percent Total 78 3 2" xfId="25614"/>
    <cellStyle name="CALC Percent Total 78 3 2 2" xfId="50014"/>
    <cellStyle name="CALC Percent Total 78 3 3" xfId="32840"/>
    <cellStyle name="CALC Percent Total 78 3 4" xfId="50015"/>
    <cellStyle name="CALC Percent Total 78 4" xfId="18321"/>
    <cellStyle name="CALC Percent Total 78 4 2" xfId="26641"/>
    <cellStyle name="CALC Percent Total 78 4 2 2" xfId="50016"/>
    <cellStyle name="CALC Percent Total 78 4 3" xfId="33818"/>
    <cellStyle name="CALC Percent Total 78 4 4" xfId="50017"/>
    <cellStyle name="CALC Percent Total 78 5" xfId="19305"/>
    <cellStyle name="CALC Percent Total 78 5 2" xfId="27625"/>
    <cellStyle name="CALC Percent Total 78 5 2 2" xfId="50018"/>
    <cellStyle name="CALC Percent Total 78 5 3" xfId="34773"/>
    <cellStyle name="CALC Percent Total 78 5 4" xfId="50019"/>
    <cellStyle name="CALC Percent Total 78 6" xfId="20273"/>
    <cellStyle name="CALC Percent Total 78 6 2" xfId="28595"/>
    <cellStyle name="CALC Percent Total 78 6 2 2" xfId="50020"/>
    <cellStyle name="CALC Percent Total 78 6 3" xfId="35710"/>
    <cellStyle name="CALC Percent Total 78 6 4" xfId="50021"/>
    <cellStyle name="CALC Percent Total 78 7" xfId="21734"/>
    <cellStyle name="CALC Percent Total 78 7 2" xfId="30035"/>
    <cellStyle name="CALC Percent Total 78 7 2 2" xfId="50022"/>
    <cellStyle name="CALC Percent Total 78 7 3" xfId="37084"/>
    <cellStyle name="CALC Percent Total 78 7 4" xfId="50023"/>
    <cellStyle name="CALC Percent Total 78 8" xfId="22662"/>
    <cellStyle name="CALC Percent Total 78 8 2" xfId="30958"/>
    <cellStyle name="CALC Percent Total 78 8 2 2" xfId="50024"/>
    <cellStyle name="CALC Percent Total 78 8 3" xfId="37967"/>
    <cellStyle name="CALC Percent Total 78 8 4" xfId="50025"/>
    <cellStyle name="CALC Percent Total 78 9" xfId="23604"/>
    <cellStyle name="CALC Percent Total 78 9 2" xfId="50026"/>
    <cellStyle name="CALC Percent Total 79" xfId="15217"/>
    <cellStyle name="CALC Percent Total 79 10" xfId="50027"/>
    <cellStyle name="CALC Percent Total 79 11" xfId="50028"/>
    <cellStyle name="CALC Percent Total 79 2" xfId="16297"/>
    <cellStyle name="CALC Percent Total 79 2 2" xfId="24610"/>
    <cellStyle name="CALC Percent Total 79 2 2 2" xfId="50029"/>
    <cellStyle name="CALC Percent Total 79 2 3" xfId="31879"/>
    <cellStyle name="CALC Percent Total 79 2 4" xfId="50030"/>
    <cellStyle name="CALC Percent Total 79 3" xfId="17263"/>
    <cellStyle name="CALC Percent Total 79 3 2" xfId="25584"/>
    <cellStyle name="CALC Percent Total 79 3 2 2" xfId="50031"/>
    <cellStyle name="CALC Percent Total 79 3 3" xfId="32812"/>
    <cellStyle name="CALC Percent Total 79 3 4" xfId="50032"/>
    <cellStyle name="CALC Percent Total 79 4" xfId="18291"/>
    <cellStyle name="CALC Percent Total 79 4 2" xfId="26611"/>
    <cellStyle name="CALC Percent Total 79 4 2 2" xfId="50033"/>
    <cellStyle name="CALC Percent Total 79 4 3" xfId="33790"/>
    <cellStyle name="CALC Percent Total 79 4 4" xfId="50034"/>
    <cellStyle name="CALC Percent Total 79 5" xfId="19275"/>
    <cellStyle name="CALC Percent Total 79 5 2" xfId="27595"/>
    <cellStyle name="CALC Percent Total 79 5 2 2" xfId="50035"/>
    <cellStyle name="CALC Percent Total 79 5 3" xfId="34743"/>
    <cellStyle name="CALC Percent Total 79 5 4" xfId="50036"/>
    <cellStyle name="CALC Percent Total 79 6" xfId="20243"/>
    <cellStyle name="CALC Percent Total 79 6 2" xfId="28565"/>
    <cellStyle name="CALC Percent Total 79 6 2 2" xfId="50037"/>
    <cellStyle name="CALC Percent Total 79 6 3" xfId="35682"/>
    <cellStyle name="CALC Percent Total 79 6 4" xfId="50038"/>
    <cellStyle name="CALC Percent Total 79 7" xfId="21704"/>
    <cellStyle name="CALC Percent Total 79 7 2" xfId="30005"/>
    <cellStyle name="CALC Percent Total 79 7 2 2" xfId="50039"/>
    <cellStyle name="CALC Percent Total 79 7 3" xfId="37056"/>
    <cellStyle name="CALC Percent Total 79 7 4" xfId="50040"/>
    <cellStyle name="CALC Percent Total 79 8" xfId="22632"/>
    <cellStyle name="CALC Percent Total 79 8 2" xfId="30928"/>
    <cellStyle name="CALC Percent Total 79 8 2 2" xfId="50041"/>
    <cellStyle name="CALC Percent Total 79 8 3" xfId="37939"/>
    <cellStyle name="CALC Percent Total 79 8 4" xfId="50042"/>
    <cellStyle name="CALC Percent Total 79 9" xfId="23574"/>
    <cellStyle name="CALC Percent Total 79 9 2" xfId="50043"/>
    <cellStyle name="CALC Percent Total 8" xfId="14555"/>
    <cellStyle name="CALC Percent Total 8 10" xfId="22911"/>
    <cellStyle name="CALC Percent Total 8 10 2" xfId="50044"/>
    <cellStyle name="CALC Percent Total 8 11" xfId="50045"/>
    <cellStyle name="CALC Percent Total 8 2" xfId="15634"/>
    <cellStyle name="CALC Percent Total 8 2 2" xfId="23947"/>
    <cellStyle name="CALC Percent Total 8 2 2 2" xfId="50046"/>
    <cellStyle name="CALC Percent Total 8 2 3" xfId="31244"/>
    <cellStyle name="CALC Percent Total 8 2 4" xfId="50047"/>
    <cellStyle name="CALC Percent Total 8 3" xfId="16601"/>
    <cellStyle name="CALC Percent Total 8 3 2" xfId="24918"/>
    <cellStyle name="CALC Percent Total 8 3 2 2" xfId="50048"/>
    <cellStyle name="CALC Percent Total 8 3 3" xfId="32177"/>
    <cellStyle name="CALC Percent Total 8 3 4" xfId="50049"/>
    <cellStyle name="CALC Percent Total 8 4" xfId="17621"/>
    <cellStyle name="CALC Percent Total 8 4 2" xfId="25944"/>
    <cellStyle name="CALC Percent Total 8 4 2 2" xfId="50050"/>
    <cellStyle name="CALC Percent Total 8 4 3" xfId="33154"/>
    <cellStyle name="CALC Percent Total 8 4 4" xfId="50051"/>
    <cellStyle name="CALC Percent Total 8 5" xfId="18603"/>
    <cellStyle name="CALC Percent Total 8 5 2" xfId="26922"/>
    <cellStyle name="CALC Percent Total 8 5 2 2" xfId="50052"/>
    <cellStyle name="CALC Percent Total 8 5 3" xfId="34090"/>
    <cellStyle name="CALC Percent Total 8 5 4" xfId="50053"/>
    <cellStyle name="CALC Percent Total 8 6" xfId="19571"/>
    <cellStyle name="CALC Percent Total 8 6 2" xfId="27892"/>
    <cellStyle name="CALC Percent Total 8 6 2 2" xfId="50054"/>
    <cellStyle name="CALC Percent Total 8 6 3" xfId="35037"/>
    <cellStyle name="CALC Percent Total 8 6 4" xfId="50055"/>
    <cellStyle name="CALC Percent Total 8 7" xfId="20529"/>
    <cellStyle name="CALC Percent Total 8 7 2" xfId="28851"/>
    <cellStyle name="CALC Percent Total 8 7 2 2" xfId="50056"/>
    <cellStyle name="CALC Percent Total 8 7 3" xfId="35954"/>
    <cellStyle name="CALC Percent Total 8 7 4" xfId="50057"/>
    <cellStyle name="CALC Percent Total 8 8" xfId="21172"/>
    <cellStyle name="CALC Percent Total 8 8 2" xfId="29484"/>
    <cellStyle name="CALC Percent Total 8 8 2 2" xfId="50058"/>
    <cellStyle name="CALC Percent Total 8 8 3" xfId="36555"/>
    <cellStyle name="CALC Percent Total 8 8 4" xfId="50059"/>
    <cellStyle name="CALC Percent Total 8 9" xfId="21964"/>
    <cellStyle name="CALC Percent Total 8 9 2" xfId="30265"/>
    <cellStyle name="CALC Percent Total 8 9 2 2" xfId="50060"/>
    <cellStyle name="CALC Percent Total 8 9 3" xfId="37305"/>
    <cellStyle name="CALC Percent Total 8 9 4" xfId="50061"/>
    <cellStyle name="CALC Percent Total 80" xfId="15241"/>
    <cellStyle name="CALC Percent Total 80 10" xfId="50062"/>
    <cellStyle name="CALC Percent Total 80 11" xfId="50063"/>
    <cellStyle name="CALC Percent Total 80 2" xfId="16321"/>
    <cellStyle name="CALC Percent Total 80 2 2" xfId="24634"/>
    <cellStyle name="CALC Percent Total 80 2 2 2" xfId="50064"/>
    <cellStyle name="CALC Percent Total 80 2 3" xfId="31901"/>
    <cellStyle name="CALC Percent Total 80 2 4" xfId="50065"/>
    <cellStyle name="CALC Percent Total 80 3" xfId="17287"/>
    <cellStyle name="CALC Percent Total 80 3 2" xfId="25608"/>
    <cellStyle name="CALC Percent Total 80 3 2 2" xfId="50066"/>
    <cellStyle name="CALC Percent Total 80 3 3" xfId="32834"/>
    <cellStyle name="CALC Percent Total 80 3 4" xfId="50067"/>
    <cellStyle name="CALC Percent Total 80 4" xfId="18315"/>
    <cellStyle name="CALC Percent Total 80 4 2" xfId="26635"/>
    <cellStyle name="CALC Percent Total 80 4 2 2" xfId="50068"/>
    <cellStyle name="CALC Percent Total 80 4 3" xfId="33812"/>
    <cellStyle name="CALC Percent Total 80 4 4" xfId="50069"/>
    <cellStyle name="CALC Percent Total 80 5" xfId="19299"/>
    <cellStyle name="CALC Percent Total 80 5 2" xfId="27619"/>
    <cellStyle name="CALC Percent Total 80 5 2 2" xfId="50070"/>
    <cellStyle name="CALC Percent Total 80 5 3" xfId="34767"/>
    <cellStyle name="CALC Percent Total 80 5 4" xfId="50071"/>
    <cellStyle name="CALC Percent Total 80 6" xfId="20267"/>
    <cellStyle name="CALC Percent Total 80 6 2" xfId="28589"/>
    <cellStyle name="CALC Percent Total 80 6 2 2" xfId="50072"/>
    <cellStyle name="CALC Percent Total 80 6 3" xfId="35704"/>
    <cellStyle name="CALC Percent Total 80 6 4" xfId="50073"/>
    <cellStyle name="CALC Percent Total 80 7" xfId="21728"/>
    <cellStyle name="CALC Percent Total 80 7 2" xfId="30029"/>
    <cellStyle name="CALC Percent Total 80 7 2 2" xfId="50074"/>
    <cellStyle name="CALC Percent Total 80 7 3" xfId="37078"/>
    <cellStyle name="CALC Percent Total 80 7 4" xfId="50075"/>
    <cellStyle name="CALC Percent Total 80 8" xfId="22656"/>
    <cellStyle name="CALC Percent Total 80 8 2" xfId="30952"/>
    <cellStyle name="CALC Percent Total 80 8 2 2" xfId="50076"/>
    <cellStyle name="CALC Percent Total 80 8 3" xfId="37961"/>
    <cellStyle name="CALC Percent Total 80 8 4" xfId="50077"/>
    <cellStyle name="CALC Percent Total 80 9" xfId="23598"/>
    <cellStyle name="CALC Percent Total 80 9 2" xfId="50078"/>
    <cellStyle name="CALC Percent Total 81" xfId="15226"/>
    <cellStyle name="CALC Percent Total 81 10" xfId="50079"/>
    <cellStyle name="CALC Percent Total 81 11" xfId="50080"/>
    <cellStyle name="CALC Percent Total 81 2" xfId="16306"/>
    <cellStyle name="CALC Percent Total 81 2 2" xfId="24619"/>
    <cellStyle name="CALC Percent Total 81 2 2 2" xfId="50081"/>
    <cellStyle name="CALC Percent Total 81 2 3" xfId="31887"/>
    <cellStyle name="CALC Percent Total 81 2 4" xfId="50082"/>
    <cellStyle name="CALC Percent Total 81 3" xfId="17272"/>
    <cellStyle name="CALC Percent Total 81 3 2" xfId="25593"/>
    <cellStyle name="CALC Percent Total 81 3 2 2" xfId="50083"/>
    <cellStyle name="CALC Percent Total 81 3 3" xfId="32820"/>
    <cellStyle name="CALC Percent Total 81 3 4" xfId="50084"/>
    <cellStyle name="CALC Percent Total 81 4" xfId="18300"/>
    <cellStyle name="CALC Percent Total 81 4 2" xfId="26620"/>
    <cellStyle name="CALC Percent Total 81 4 2 2" xfId="50085"/>
    <cellStyle name="CALC Percent Total 81 4 3" xfId="33798"/>
    <cellStyle name="CALC Percent Total 81 4 4" xfId="50086"/>
    <cellStyle name="CALC Percent Total 81 5" xfId="19284"/>
    <cellStyle name="CALC Percent Total 81 5 2" xfId="27604"/>
    <cellStyle name="CALC Percent Total 81 5 2 2" xfId="50087"/>
    <cellStyle name="CALC Percent Total 81 5 3" xfId="34752"/>
    <cellStyle name="CALC Percent Total 81 5 4" xfId="50088"/>
    <cellStyle name="CALC Percent Total 81 6" xfId="20252"/>
    <cellStyle name="CALC Percent Total 81 6 2" xfId="28574"/>
    <cellStyle name="CALC Percent Total 81 6 2 2" xfId="50089"/>
    <cellStyle name="CALC Percent Total 81 6 3" xfId="35690"/>
    <cellStyle name="CALC Percent Total 81 6 4" xfId="50090"/>
    <cellStyle name="CALC Percent Total 81 7" xfId="21713"/>
    <cellStyle name="CALC Percent Total 81 7 2" xfId="30014"/>
    <cellStyle name="CALC Percent Total 81 7 2 2" xfId="50091"/>
    <cellStyle name="CALC Percent Total 81 7 3" xfId="37064"/>
    <cellStyle name="CALC Percent Total 81 7 4" xfId="50092"/>
    <cellStyle name="CALC Percent Total 81 8" xfId="22641"/>
    <cellStyle name="CALC Percent Total 81 8 2" xfId="30937"/>
    <cellStyle name="CALC Percent Total 81 8 2 2" xfId="50093"/>
    <cellStyle name="CALC Percent Total 81 8 3" xfId="37947"/>
    <cellStyle name="CALC Percent Total 81 8 4" xfId="50094"/>
    <cellStyle name="CALC Percent Total 81 9" xfId="23583"/>
    <cellStyle name="CALC Percent Total 81 9 2" xfId="50095"/>
    <cellStyle name="CALC Percent Total 82" xfId="15299"/>
    <cellStyle name="CALC Percent Total 82 10" xfId="50096"/>
    <cellStyle name="CALC Percent Total 82 11" xfId="50097"/>
    <cellStyle name="CALC Percent Total 82 2" xfId="16379"/>
    <cellStyle name="CALC Percent Total 82 2 2" xfId="24692"/>
    <cellStyle name="CALC Percent Total 82 2 2 2" xfId="50098"/>
    <cellStyle name="CALC Percent Total 82 2 3" xfId="31958"/>
    <cellStyle name="CALC Percent Total 82 2 4" xfId="50099"/>
    <cellStyle name="CALC Percent Total 82 3" xfId="17345"/>
    <cellStyle name="CALC Percent Total 82 3 2" xfId="25666"/>
    <cellStyle name="CALC Percent Total 82 3 2 2" xfId="50100"/>
    <cellStyle name="CALC Percent Total 82 3 3" xfId="32891"/>
    <cellStyle name="CALC Percent Total 82 3 4" xfId="50101"/>
    <cellStyle name="CALC Percent Total 82 4" xfId="18373"/>
    <cellStyle name="CALC Percent Total 82 4 2" xfId="26693"/>
    <cellStyle name="CALC Percent Total 82 4 2 2" xfId="50102"/>
    <cellStyle name="CALC Percent Total 82 4 3" xfId="33869"/>
    <cellStyle name="CALC Percent Total 82 4 4" xfId="50103"/>
    <cellStyle name="CALC Percent Total 82 5" xfId="19356"/>
    <cellStyle name="CALC Percent Total 82 5 2" xfId="27677"/>
    <cellStyle name="CALC Percent Total 82 5 2 2" xfId="50104"/>
    <cellStyle name="CALC Percent Total 82 5 3" xfId="34825"/>
    <cellStyle name="CALC Percent Total 82 5 4" xfId="50105"/>
    <cellStyle name="CALC Percent Total 82 6" xfId="20325"/>
    <cellStyle name="CALC Percent Total 82 6 2" xfId="28647"/>
    <cellStyle name="CALC Percent Total 82 6 2 2" xfId="50106"/>
    <cellStyle name="CALC Percent Total 82 6 3" xfId="35761"/>
    <cellStyle name="CALC Percent Total 82 6 4" xfId="50107"/>
    <cellStyle name="CALC Percent Total 82 7" xfId="21786"/>
    <cellStyle name="CALC Percent Total 82 7 2" xfId="30087"/>
    <cellStyle name="CALC Percent Total 82 7 2 2" xfId="50108"/>
    <cellStyle name="CALC Percent Total 82 7 3" xfId="37135"/>
    <cellStyle name="CALC Percent Total 82 7 4" xfId="50109"/>
    <cellStyle name="CALC Percent Total 82 8" xfId="22714"/>
    <cellStyle name="CALC Percent Total 82 8 2" xfId="31010"/>
    <cellStyle name="CALC Percent Total 82 8 2 2" xfId="50110"/>
    <cellStyle name="CALC Percent Total 82 8 3" xfId="38018"/>
    <cellStyle name="CALC Percent Total 82 8 4" xfId="50111"/>
    <cellStyle name="CALC Percent Total 82 9" xfId="23656"/>
    <cellStyle name="CALC Percent Total 82 9 2" xfId="50112"/>
    <cellStyle name="CALC Percent Total 83" xfId="15302"/>
    <cellStyle name="CALC Percent Total 83 10" xfId="50113"/>
    <cellStyle name="CALC Percent Total 83 11" xfId="50114"/>
    <cellStyle name="CALC Percent Total 83 2" xfId="16382"/>
    <cellStyle name="CALC Percent Total 83 2 2" xfId="24695"/>
    <cellStyle name="CALC Percent Total 83 2 2 2" xfId="50115"/>
    <cellStyle name="CALC Percent Total 83 2 3" xfId="31961"/>
    <cellStyle name="CALC Percent Total 83 2 4" xfId="50116"/>
    <cellStyle name="CALC Percent Total 83 3" xfId="17348"/>
    <cellStyle name="CALC Percent Total 83 3 2" xfId="25669"/>
    <cellStyle name="CALC Percent Total 83 3 2 2" xfId="50117"/>
    <cellStyle name="CALC Percent Total 83 3 3" xfId="32894"/>
    <cellStyle name="CALC Percent Total 83 3 4" xfId="50118"/>
    <cellStyle name="CALC Percent Total 83 4" xfId="18376"/>
    <cellStyle name="CALC Percent Total 83 4 2" xfId="26696"/>
    <cellStyle name="CALC Percent Total 83 4 2 2" xfId="50119"/>
    <cellStyle name="CALC Percent Total 83 4 3" xfId="33872"/>
    <cellStyle name="CALC Percent Total 83 4 4" xfId="50120"/>
    <cellStyle name="CALC Percent Total 83 5" xfId="19359"/>
    <cellStyle name="CALC Percent Total 83 5 2" xfId="27680"/>
    <cellStyle name="CALC Percent Total 83 5 2 2" xfId="50121"/>
    <cellStyle name="CALC Percent Total 83 5 3" xfId="34828"/>
    <cellStyle name="CALC Percent Total 83 5 4" xfId="50122"/>
    <cellStyle name="CALC Percent Total 83 6" xfId="20328"/>
    <cellStyle name="CALC Percent Total 83 6 2" xfId="28650"/>
    <cellStyle name="CALC Percent Total 83 6 2 2" xfId="50123"/>
    <cellStyle name="CALC Percent Total 83 6 3" xfId="35764"/>
    <cellStyle name="CALC Percent Total 83 6 4" xfId="50124"/>
    <cellStyle name="CALC Percent Total 83 7" xfId="21789"/>
    <cellStyle name="CALC Percent Total 83 7 2" xfId="30090"/>
    <cellStyle name="CALC Percent Total 83 7 2 2" xfId="50125"/>
    <cellStyle name="CALC Percent Total 83 7 3" xfId="37138"/>
    <cellStyle name="CALC Percent Total 83 7 4" xfId="50126"/>
    <cellStyle name="CALC Percent Total 83 8" xfId="22717"/>
    <cellStyle name="CALC Percent Total 83 8 2" xfId="31013"/>
    <cellStyle name="CALC Percent Total 83 8 2 2" xfId="50127"/>
    <cellStyle name="CALC Percent Total 83 8 3" xfId="38021"/>
    <cellStyle name="CALC Percent Total 83 8 4" xfId="50128"/>
    <cellStyle name="CALC Percent Total 83 9" xfId="23659"/>
    <cellStyle name="CALC Percent Total 83 9 2" xfId="50129"/>
    <cellStyle name="CALC Percent Total 84" xfId="15276"/>
    <cellStyle name="CALC Percent Total 84 10" xfId="50130"/>
    <cellStyle name="CALC Percent Total 84 11" xfId="50131"/>
    <cellStyle name="CALC Percent Total 84 2" xfId="16356"/>
    <cellStyle name="CALC Percent Total 84 2 2" xfId="24669"/>
    <cellStyle name="CALC Percent Total 84 2 2 2" xfId="50132"/>
    <cellStyle name="CALC Percent Total 84 2 3" xfId="31936"/>
    <cellStyle name="CALC Percent Total 84 2 4" xfId="50133"/>
    <cellStyle name="CALC Percent Total 84 3" xfId="17322"/>
    <cellStyle name="CALC Percent Total 84 3 2" xfId="25643"/>
    <cellStyle name="CALC Percent Total 84 3 2 2" xfId="50134"/>
    <cellStyle name="CALC Percent Total 84 3 3" xfId="32869"/>
    <cellStyle name="CALC Percent Total 84 3 4" xfId="50135"/>
    <cellStyle name="CALC Percent Total 84 4" xfId="18350"/>
    <cellStyle name="CALC Percent Total 84 4 2" xfId="26670"/>
    <cellStyle name="CALC Percent Total 84 4 2 2" xfId="50136"/>
    <cellStyle name="CALC Percent Total 84 4 3" xfId="33847"/>
    <cellStyle name="CALC Percent Total 84 4 4" xfId="50137"/>
    <cellStyle name="CALC Percent Total 84 5" xfId="19334"/>
    <cellStyle name="CALC Percent Total 84 5 2" xfId="27654"/>
    <cellStyle name="CALC Percent Total 84 5 2 2" xfId="50138"/>
    <cellStyle name="CALC Percent Total 84 5 3" xfId="34802"/>
    <cellStyle name="CALC Percent Total 84 5 4" xfId="50139"/>
    <cellStyle name="CALC Percent Total 84 6" xfId="20302"/>
    <cellStyle name="CALC Percent Total 84 6 2" xfId="28624"/>
    <cellStyle name="CALC Percent Total 84 6 2 2" xfId="50140"/>
    <cellStyle name="CALC Percent Total 84 6 3" xfId="35739"/>
    <cellStyle name="CALC Percent Total 84 6 4" xfId="50141"/>
    <cellStyle name="CALC Percent Total 84 7" xfId="21763"/>
    <cellStyle name="CALC Percent Total 84 7 2" xfId="30064"/>
    <cellStyle name="CALC Percent Total 84 7 2 2" xfId="50142"/>
    <cellStyle name="CALC Percent Total 84 7 3" xfId="37113"/>
    <cellStyle name="CALC Percent Total 84 7 4" xfId="50143"/>
    <cellStyle name="CALC Percent Total 84 8" xfId="22691"/>
    <cellStyle name="CALC Percent Total 84 8 2" xfId="30987"/>
    <cellStyle name="CALC Percent Total 84 8 2 2" xfId="50144"/>
    <cellStyle name="CALC Percent Total 84 8 3" xfId="37996"/>
    <cellStyle name="CALC Percent Total 84 8 4" xfId="50145"/>
    <cellStyle name="CALC Percent Total 84 9" xfId="23633"/>
    <cellStyle name="CALC Percent Total 84 9 2" xfId="50146"/>
    <cellStyle name="CALC Percent Total 85" xfId="15315"/>
    <cellStyle name="CALC Percent Total 85 10" xfId="50147"/>
    <cellStyle name="CALC Percent Total 85 11" xfId="50148"/>
    <cellStyle name="CALC Percent Total 85 2" xfId="16395"/>
    <cellStyle name="CALC Percent Total 85 2 2" xfId="24708"/>
    <cellStyle name="CALC Percent Total 85 2 2 2" xfId="50149"/>
    <cellStyle name="CALC Percent Total 85 2 3" xfId="31973"/>
    <cellStyle name="CALC Percent Total 85 2 4" xfId="50150"/>
    <cellStyle name="CALC Percent Total 85 3" xfId="17361"/>
    <cellStyle name="CALC Percent Total 85 3 2" xfId="25682"/>
    <cellStyle name="CALC Percent Total 85 3 2 2" xfId="50151"/>
    <cellStyle name="CALC Percent Total 85 3 3" xfId="32906"/>
    <cellStyle name="CALC Percent Total 85 3 4" xfId="50152"/>
    <cellStyle name="CALC Percent Total 85 4" xfId="18389"/>
    <cellStyle name="CALC Percent Total 85 4 2" xfId="26709"/>
    <cellStyle name="CALC Percent Total 85 4 2 2" xfId="50153"/>
    <cellStyle name="CALC Percent Total 85 4 3" xfId="33884"/>
    <cellStyle name="CALC Percent Total 85 4 4" xfId="50154"/>
    <cellStyle name="CALC Percent Total 85 5" xfId="19372"/>
    <cellStyle name="CALC Percent Total 85 5 2" xfId="27693"/>
    <cellStyle name="CALC Percent Total 85 5 2 2" xfId="50155"/>
    <cellStyle name="CALC Percent Total 85 5 3" xfId="34841"/>
    <cellStyle name="CALC Percent Total 85 5 4" xfId="50156"/>
    <cellStyle name="CALC Percent Total 85 6" xfId="20341"/>
    <cellStyle name="CALC Percent Total 85 6 2" xfId="28663"/>
    <cellStyle name="CALC Percent Total 85 6 2 2" xfId="50157"/>
    <cellStyle name="CALC Percent Total 85 6 3" xfId="35776"/>
    <cellStyle name="CALC Percent Total 85 6 4" xfId="50158"/>
    <cellStyle name="CALC Percent Total 85 7" xfId="21802"/>
    <cellStyle name="CALC Percent Total 85 7 2" xfId="30103"/>
    <cellStyle name="CALC Percent Total 85 7 2 2" xfId="50159"/>
    <cellStyle name="CALC Percent Total 85 7 3" xfId="37150"/>
    <cellStyle name="CALC Percent Total 85 7 4" xfId="50160"/>
    <cellStyle name="CALC Percent Total 85 8" xfId="22730"/>
    <cellStyle name="CALC Percent Total 85 8 2" xfId="31026"/>
    <cellStyle name="CALC Percent Total 85 8 2 2" xfId="50161"/>
    <cellStyle name="CALC Percent Total 85 8 3" xfId="38033"/>
    <cellStyle name="CALC Percent Total 85 8 4" xfId="50162"/>
    <cellStyle name="CALC Percent Total 85 9" xfId="23672"/>
    <cellStyle name="CALC Percent Total 85 9 2" xfId="50163"/>
    <cellStyle name="CALC Percent Total 86" xfId="15320"/>
    <cellStyle name="CALC Percent Total 86 10" xfId="50164"/>
    <cellStyle name="CALC Percent Total 86 11" xfId="50165"/>
    <cellStyle name="CALC Percent Total 86 2" xfId="16400"/>
    <cellStyle name="CALC Percent Total 86 2 2" xfId="24713"/>
    <cellStyle name="CALC Percent Total 86 2 2 2" xfId="50166"/>
    <cellStyle name="CALC Percent Total 86 2 3" xfId="31978"/>
    <cellStyle name="CALC Percent Total 86 2 4" xfId="50167"/>
    <cellStyle name="CALC Percent Total 86 3" xfId="17366"/>
    <cellStyle name="CALC Percent Total 86 3 2" xfId="25687"/>
    <cellStyle name="CALC Percent Total 86 3 2 2" xfId="50168"/>
    <cellStyle name="CALC Percent Total 86 3 3" xfId="32911"/>
    <cellStyle name="CALC Percent Total 86 3 4" xfId="50169"/>
    <cellStyle name="CALC Percent Total 86 4" xfId="18394"/>
    <cellStyle name="CALC Percent Total 86 4 2" xfId="26714"/>
    <cellStyle name="CALC Percent Total 86 4 2 2" xfId="50170"/>
    <cellStyle name="CALC Percent Total 86 4 3" xfId="33889"/>
    <cellStyle name="CALC Percent Total 86 4 4" xfId="50171"/>
    <cellStyle name="CALC Percent Total 86 5" xfId="19377"/>
    <cellStyle name="CALC Percent Total 86 5 2" xfId="27698"/>
    <cellStyle name="CALC Percent Total 86 5 2 2" xfId="50172"/>
    <cellStyle name="CALC Percent Total 86 5 3" xfId="34846"/>
    <cellStyle name="CALC Percent Total 86 5 4" xfId="50173"/>
    <cellStyle name="CALC Percent Total 86 6" xfId="20346"/>
    <cellStyle name="CALC Percent Total 86 6 2" xfId="28668"/>
    <cellStyle name="CALC Percent Total 86 6 2 2" xfId="50174"/>
    <cellStyle name="CALC Percent Total 86 6 3" xfId="35781"/>
    <cellStyle name="CALC Percent Total 86 6 4" xfId="50175"/>
    <cellStyle name="CALC Percent Total 86 7" xfId="21807"/>
    <cellStyle name="CALC Percent Total 86 7 2" xfId="30108"/>
    <cellStyle name="CALC Percent Total 86 7 2 2" xfId="50176"/>
    <cellStyle name="CALC Percent Total 86 7 3" xfId="37155"/>
    <cellStyle name="CALC Percent Total 86 7 4" xfId="50177"/>
    <cellStyle name="CALC Percent Total 86 8" xfId="22735"/>
    <cellStyle name="CALC Percent Total 86 8 2" xfId="31031"/>
    <cellStyle name="CALC Percent Total 86 8 2 2" xfId="50178"/>
    <cellStyle name="CALC Percent Total 86 8 3" xfId="38038"/>
    <cellStyle name="CALC Percent Total 86 8 4" xfId="50179"/>
    <cellStyle name="CALC Percent Total 86 9" xfId="23677"/>
    <cellStyle name="CALC Percent Total 86 9 2" xfId="50180"/>
    <cellStyle name="CALC Percent Total 87" xfId="15246"/>
    <cellStyle name="CALC Percent Total 87 10" xfId="50181"/>
    <cellStyle name="CALC Percent Total 87 11" xfId="50182"/>
    <cellStyle name="CALC Percent Total 87 2" xfId="16326"/>
    <cellStyle name="CALC Percent Total 87 2 2" xfId="24639"/>
    <cellStyle name="CALC Percent Total 87 2 2 2" xfId="50183"/>
    <cellStyle name="CALC Percent Total 87 2 3" xfId="31906"/>
    <cellStyle name="CALC Percent Total 87 2 4" xfId="50184"/>
    <cellStyle name="CALC Percent Total 87 3" xfId="17292"/>
    <cellStyle name="CALC Percent Total 87 3 2" xfId="25613"/>
    <cellStyle name="CALC Percent Total 87 3 2 2" xfId="50185"/>
    <cellStyle name="CALC Percent Total 87 3 3" xfId="32839"/>
    <cellStyle name="CALC Percent Total 87 3 4" xfId="50186"/>
    <cellStyle name="CALC Percent Total 87 4" xfId="18320"/>
    <cellStyle name="CALC Percent Total 87 4 2" xfId="26640"/>
    <cellStyle name="CALC Percent Total 87 4 2 2" xfId="50187"/>
    <cellStyle name="CALC Percent Total 87 4 3" xfId="33817"/>
    <cellStyle name="CALC Percent Total 87 4 4" xfId="50188"/>
    <cellStyle name="CALC Percent Total 87 5" xfId="19304"/>
    <cellStyle name="CALC Percent Total 87 5 2" xfId="27624"/>
    <cellStyle name="CALC Percent Total 87 5 2 2" xfId="50189"/>
    <cellStyle name="CALC Percent Total 87 5 3" xfId="34772"/>
    <cellStyle name="CALC Percent Total 87 5 4" xfId="50190"/>
    <cellStyle name="CALC Percent Total 87 6" xfId="20272"/>
    <cellStyle name="CALC Percent Total 87 6 2" xfId="28594"/>
    <cellStyle name="CALC Percent Total 87 6 2 2" xfId="50191"/>
    <cellStyle name="CALC Percent Total 87 6 3" xfId="35709"/>
    <cellStyle name="CALC Percent Total 87 6 4" xfId="50192"/>
    <cellStyle name="CALC Percent Total 87 7" xfId="21733"/>
    <cellStyle name="CALC Percent Total 87 7 2" xfId="30034"/>
    <cellStyle name="CALC Percent Total 87 7 2 2" xfId="50193"/>
    <cellStyle name="CALC Percent Total 87 7 3" xfId="37083"/>
    <cellStyle name="CALC Percent Total 87 7 4" xfId="50194"/>
    <cellStyle name="CALC Percent Total 87 8" xfId="22661"/>
    <cellStyle name="CALC Percent Total 87 8 2" xfId="30957"/>
    <cellStyle name="CALC Percent Total 87 8 2 2" xfId="50195"/>
    <cellStyle name="CALC Percent Total 87 8 3" xfId="37966"/>
    <cellStyle name="CALC Percent Total 87 8 4" xfId="50196"/>
    <cellStyle name="CALC Percent Total 87 9" xfId="23603"/>
    <cellStyle name="CALC Percent Total 87 9 2" xfId="50197"/>
    <cellStyle name="CALC Percent Total 88" xfId="15317"/>
    <cellStyle name="CALC Percent Total 88 10" xfId="50198"/>
    <cellStyle name="CALC Percent Total 88 11" xfId="50199"/>
    <cellStyle name="CALC Percent Total 88 2" xfId="16397"/>
    <cellStyle name="CALC Percent Total 88 2 2" xfId="24710"/>
    <cellStyle name="CALC Percent Total 88 2 2 2" xfId="50200"/>
    <cellStyle name="CALC Percent Total 88 2 3" xfId="31975"/>
    <cellStyle name="CALC Percent Total 88 2 4" xfId="50201"/>
    <cellStyle name="CALC Percent Total 88 3" xfId="17363"/>
    <cellStyle name="CALC Percent Total 88 3 2" xfId="25684"/>
    <cellStyle name="CALC Percent Total 88 3 2 2" xfId="50202"/>
    <cellStyle name="CALC Percent Total 88 3 3" xfId="32908"/>
    <cellStyle name="CALC Percent Total 88 3 4" xfId="50203"/>
    <cellStyle name="CALC Percent Total 88 4" xfId="18391"/>
    <cellStyle name="CALC Percent Total 88 4 2" xfId="26711"/>
    <cellStyle name="CALC Percent Total 88 4 2 2" xfId="50204"/>
    <cellStyle name="CALC Percent Total 88 4 3" xfId="33886"/>
    <cellStyle name="CALC Percent Total 88 4 4" xfId="50205"/>
    <cellStyle name="CALC Percent Total 88 5" xfId="19374"/>
    <cellStyle name="CALC Percent Total 88 5 2" xfId="27695"/>
    <cellStyle name="CALC Percent Total 88 5 2 2" xfId="50206"/>
    <cellStyle name="CALC Percent Total 88 5 3" xfId="34843"/>
    <cellStyle name="CALC Percent Total 88 5 4" xfId="50207"/>
    <cellStyle name="CALC Percent Total 88 6" xfId="20343"/>
    <cellStyle name="CALC Percent Total 88 6 2" xfId="28665"/>
    <cellStyle name="CALC Percent Total 88 6 2 2" xfId="50208"/>
    <cellStyle name="CALC Percent Total 88 6 3" xfId="35778"/>
    <cellStyle name="CALC Percent Total 88 6 4" xfId="50209"/>
    <cellStyle name="CALC Percent Total 88 7" xfId="21804"/>
    <cellStyle name="CALC Percent Total 88 7 2" xfId="30105"/>
    <cellStyle name="CALC Percent Total 88 7 2 2" xfId="50210"/>
    <cellStyle name="CALC Percent Total 88 7 3" xfId="37152"/>
    <cellStyle name="CALC Percent Total 88 7 4" xfId="50211"/>
    <cellStyle name="CALC Percent Total 88 8" xfId="22732"/>
    <cellStyle name="CALC Percent Total 88 8 2" xfId="31028"/>
    <cellStyle name="CALC Percent Total 88 8 2 2" xfId="50212"/>
    <cellStyle name="CALC Percent Total 88 8 3" xfId="38035"/>
    <cellStyle name="CALC Percent Total 88 8 4" xfId="50213"/>
    <cellStyle name="CALC Percent Total 88 9" xfId="23674"/>
    <cellStyle name="CALC Percent Total 88 9 2" xfId="50214"/>
    <cellStyle name="CALC Percent Total 89" xfId="15322"/>
    <cellStyle name="CALC Percent Total 89 10" xfId="50215"/>
    <cellStyle name="CALC Percent Total 89 11" xfId="50216"/>
    <cellStyle name="CALC Percent Total 89 2" xfId="16402"/>
    <cellStyle name="CALC Percent Total 89 2 2" xfId="24715"/>
    <cellStyle name="CALC Percent Total 89 2 2 2" xfId="50217"/>
    <cellStyle name="CALC Percent Total 89 2 3" xfId="31980"/>
    <cellStyle name="CALC Percent Total 89 2 4" xfId="50218"/>
    <cellStyle name="CALC Percent Total 89 3" xfId="17368"/>
    <cellStyle name="CALC Percent Total 89 3 2" xfId="25689"/>
    <cellStyle name="CALC Percent Total 89 3 2 2" xfId="50219"/>
    <cellStyle name="CALC Percent Total 89 3 3" xfId="32913"/>
    <cellStyle name="CALC Percent Total 89 3 4" xfId="50220"/>
    <cellStyle name="CALC Percent Total 89 4" xfId="18396"/>
    <cellStyle name="CALC Percent Total 89 4 2" xfId="26716"/>
    <cellStyle name="CALC Percent Total 89 4 2 2" xfId="50221"/>
    <cellStyle name="CALC Percent Total 89 4 3" xfId="33891"/>
    <cellStyle name="CALC Percent Total 89 4 4" xfId="50222"/>
    <cellStyle name="CALC Percent Total 89 5" xfId="19379"/>
    <cellStyle name="CALC Percent Total 89 5 2" xfId="27700"/>
    <cellStyle name="CALC Percent Total 89 5 2 2" xfId="50223"/>
    <cellStyle name="CALC Percent Total 89 5 3" xfId="34848"/>
    <cellStyle name="CALC Percent Total 89 5 4" xfId="50224"/>
    <cellStyle name="CALC Percent Total 89 6" xfId="20348"/>
    <cellStyle name="CALC Percent Total 89 6 2" xfId="28670"/>
    <cellStyle name="CALC Percent Total 89 6 2 2" xfId="50225"/>
    <cellStyle name="CALC Percent Total 89 6 3" xfId="35783"/>
    <cellStyle name="CALC Percent Total 89 6 4" xfId="50226"/>
    <cellStyle name="CALC Percent Total 89 7" xfId="21809"/>
    <cellStyle name="CALC Percent Total 89 7 2" xfId="30110"/>
    <cellStyle name="CALC Percent Total 89 7 2 2" xfId="50227"/>
    <cellStyle name="CALC Percent Total 89 7 3" xfId="37157"/>
    <cellStyle name="CALC Percent Total 89 7 4" xfId="50228"/>
    <cellStyle name="CALC Percent Total 89 8" xfId="22737"/>
    <cellStyle name="CALC Percent Total 89 8 2" xfId="31033"/>
    <cellStyle name="CALC Percent Total 89 8 2 2" xfId="50229"/>
    <cellStyle name="CALC Percent Total 89 8 3" xfId="38040"/>
    <cellStyle name="CALC Percent Total 89 8 4" xfId="50230"/>
    <cellStyle name="CALC Percent Total 89 9" xfId="23679"/>
    <cellStyle name="CALC Percent Total 89 9 2" xfId="50231"/>
    <cellStyle name="CALC Percent Total 9" xfId="14652"/>
    <cellStyle name="CALC Percent Total 9 10" xfId="23014"/>
    <cellStyle name="CALC Percent Total 9 10 2" xfId="50232"/>
    <cellStyle name="CALC Percent Total 9 11" xfId="50233"/>
    <cellStyle name="CALC Percent Total 9 2" xfId="15733"/>
    <cellStyle name="CALC Percent Total 9 2 2" xfId="24049"/>
    <cellStyle name="CALC Percent Total 9 2 2 2" xfId="50234"/>
    <cellStyle name="CALC Percent Total 9 2 3" xfId="31341"/>
    <cellStyle name="CALC Percent Total 9 2 4" xfId="50235"/>
    <cellStyle name="CALC Percent Total 9 3" xfId="16699"/>
    <cellStyle name="CALC Percent Total 9 3 2" xfId="25020"/>
    <cellStyle name="CALC Percent Total 9 3 2 2" xfId="50236"/>
    <cellStyle name="CALC Percent Total 9 3 3" xfId="32274"/>
    <cellStyle name="CALC Percent Total 9 3 4" xfId="50237"/>
    <cellStyle name="CALC Percent Total 9 4" xfId="17723"/>
    <cellStyle name="CALC Percent Total 9 4 2" xfId="26046"/>
    <cellStyle name="CALC Percent Total 9 4 2 2" xfId="50238"/>
    <cellStyle name="CALC Percent Total 9 4 3" xfId="33251"/>
    <cellStyle name="CALC Percent Total 9 4 4" xfId="50239"/>
    <cellStyle name="CALC Percent Total 9 5" xfId="18706"/>
    <cellStyle name="CALC Percent Total 9 5 2" xfId="27027"/>
    <cellStyle name="CALC Percent Total 9 5 2 2" xfId="50240"/>
    <cellStyle name="CALC Percent Total 9 5 3" xfId="34190"/>
    <cellStyle name="CALC Percent Total 9 5 4" xfId="50241"/>
    <cellStyle name="CALC Percent Total 9 6" xfId="19675"/>
    <cellStyle name="CALC Percent Total 9 6 2" xfId="27996"/>
    <cellStyle name="CALC Percent Total 9 6 2 2" xfId="50242"/>
    <cellStyle name="CALC Percent Total 9 6 3" xfId="35136"/>
    <cellStyle name="CALC Percent Total 9 6 4" xfId="50243"/>
    <cellStyle name="CALC Percent Total 9 7" xfId="20632"/>
    <cellStyle name="CALC Percent Total 9 7 2" xfId="28953"/>
    <cellStyle name="CALC Percent Total 9 7 2 2" xfId="50244"/>
    <cellStyle name="CALC Percent Total 9 7 3" xfId="36051"/>
    <cellStyle name="CALC Percent Total 9 7 4" xfId="50245"/>
    <cellStyle name="CALC Percent Total 9 8" xfId="21186"/>
    <cellStyle name="CALC Percent Total 9 8 2" xfId="29498"/>
    <cellStyle name="CALC Percent Total 9 8 2 2" xfId="50246"/>
    <cellStyle name="CALC Percent Total 9 8 3" xfId="36569"/>
    <cellStyle name="CALC Percent Total 9 8 4" xfId="50247"/>
    <cellStyle name="CALC Percent Total 9 9" xfId="22069"/>
    <cellStyle name="CALC Percent Total 9 9 2" xfId="30367"/>
    <cellStyle name="CALC Percent Total 9 9 2 2" xfId="50248"/>
    <cellStyle name="CALC Percent Total 9 9 3" xfId="37402"/>
    <cellStyle name="CALC Percent Total 9 9 4" xfId="50249"/>
    <cellStyle name="CALC Percent Total 90" xfId="15325"/>
    <cellStyle name="CALC Percent Total 90 10" xfId="50250"/>
    <cellStyle name="CALC Percent Total 90 11" xfId="50251"/>
    <cellStyle name="CALC Percent Total 90 2" xfId="16405"/>
    <cellStyle name="CALC Percent Total 90 2 2" xfId="24718"/>
    <cellStyle name="CALC Percent Total 90 2 2 2" xfId="50252"/>
    <cellStyle name="CALC Percent Total 90 2 3" xfId="31983"/>
    <cellStyle name="CALC Percent Total 90 2 4" xfId="50253"/>
    <cellStyle name="CALC Percent Total 90 3" xfId="17371"/>
    <cellStyle name="CALC Percent Total 90 3 2" xfId="25692"/>
    <cellStyle name="CALC Percent Total 90 3 2 2" xfId="50254"/>
    <cellStyle name="CALC Percent Total 90 3 3" xfId="32916"/>
    <cellStyle name="CALC Percent Total 90 3 4" xfId="50255"/>
    <cellStyle name="CALC Percent Total 90 4" xfId="18399"/>
    <cellStyle name="CALC Percent Total 90 4 2" xfId="26719"/>
    <cellStyle name="CALC Percent Total 90 4 2 2" xfId="50256"/>
    <cellStyle name="CALC Percent Total 90 4 3" xfId="33894"/>
    <cellStyle name="CALC Percent Total 90 4 4" xfId="50257"/>
    <cellStyle name="CALC Percent Total 90 5" xfId="19382"/>
    <cellStyle name="CALC Percent Total 90 5 2" xfId="27703"/>
    <cellStyle name="CALC Percent Total 90 5 2 2" xfId="50258"/>
    <cellStyle name="CALC Percent Total 90 5 3" xfId="34851"/>
    <cellStyle name="CALC Percent Total 90 5 4" xfId="50259"/>
    <cellStyle name="CALC Percent Total 90 6" xfId="20351"/>
    <cellStyle name="CALC Percent Total 90 6 2" xfId="28673"/>
    <cellStyle name="CALC Percent Total 90 6 2 2" xfId="50260"/>
    <cellStyle name="CALC Percent Total 90 6 3" xfId="35786"/>
    <cellStyle name="CALC Percent Total 90 6 4" xfId="50261"/>
    <cellStyle name="CALC Percent Total 90 7" xfId="21812"/>
    <cellStyle name="CALC Percent Total 90 7 2" xfId="30113"/>
    <cellStyle name="CALC Percent Total 90 7 2 2" xfId="50262"/>
    <cellStyle name="CALC Percent Total 90 7 3" xfId="37160"/>
    <cellStyle name="CALC Percent Total 90 7 4" xfId="50263"/>
    <cellStyle name="CALC Percent Total 90 8" xfId="22740"/>
    <cellStyle name="CALC Percent Total 90 8 2" xfId="31036"/>
    <cellStyle name="CALC Percent Total 90 8 2 2" xfId="50264"/>
    <cellStyle name="CALC Percent Total 90 8 3" xfId="38043"/>
    <cellStyle name="CALC Percent Total 90 8 4" xfId="50265"/>
    <cellStyle name="CALC Percent Total 90 9" xfId="23682"/>
    <cellStyle name="CALC Percent Total 90 9 2" xfId="50266"/>
    <cellStyle name="CALC Percent Total 91" xfId="15361"/>
    <cellStyle name="CALC Percent Total 91 10" xfId="50267"/>
    <cellStyle name="CALC Percent Total 91 11" xfId="50268"/>
    <cellStyle name="CALC Percent Total 91 2" xfId="16441"/>
    <cellStyle name="CALC Percent Total 91 2 2" xfId="24754"/>
    <cellStyle name="CALC Percent Total 91 2 2 2" xfId="50269"/>
    <cellStyle name="CALC Percent Total 91 2 3" xfId="32018"/>
    <cellStyle name="CALC Percent Total 91 2 4" xfId="50270"/>
    <cellStyle name="CALC Percent Total 91 3" xfId="17407"/>
    <cellStyle name="CALC Percent Total 91 3 2" xfId="25728"/>
    <cellStyle name="CALC Percent Total 91 3 2 2" xfId="50271"/>
    <cellStyle name="CALC Percent Total 91 3 3" xfId="32951"/>
    <cellStyle name="CALC Percent Total 91 3 4" xfId="50272"/>
    <cellStyle name="CALC Percent Total 91 4" xfId="18435"/>
    <cellStyle name="CALC Percent Total 91 4 2" xfId="26755"/>
    <cellStyle name="CALC Percent Total 91 4 2 2" xfId="50273"/>
    <cellStyle name="CALC Percent Total 91 4 3" xfId="33929"/>
    <cellStyle name="CALC Percent Total 91 4 4" xfId="50274"/>
    <cellStyle name="CALC Percent Total 91 5" xfId="19418"/>
    <cellStyle name="CALC Percent Total 91 5 2" xfId="27739"/>
    <cellStyle name="CALC Percent Total 91 5 2 2" xfId="50275"/>
    <cellStyle name="CALC Percent Total 91 5 3" xfId="34887"/>
    <cellStyle name="CALC Percent Total 91 5 4" xfId="50276"/>
    <cellStyle name="CALC Percent Total 91 6" xfId="20387"/>
    <cellStyle name="CALC Percent Total 91 6 2" xfId="28709"/>
    <cellStyle name="CALC Percent Total 91 6 2 2" xfId="50277"/>
    <cellStyle name="CALC Percent Total 91 6 3" xfId="35821"/>
    <cellStyle name="CALC Percent Total 91 6 4" xfId="50278"/>
    <cellStyle name="CALC Percent Total 91 7" xfId="21848"/>
    <cellStyle name="CALC Percent Total 91 7 2" xfId="30149"/>
    <cellStyle name="CALC Percent Total 91 7 2 2" xfId="50279"/>
    <cellStyle name="CALC Percent Total 91 7 3" xfId="37194"/>
    <cellStyle name="CALC Percent Total 91 7 4" xfId="50280"/>
    <cellStyle name="CALC Percent Total 91 8" xfId="22776"/>
    <cellStyle name="CALC Percent Total 91 8 2" xfId="31072"/>
    <cellStyle name="CALC Percent Total 91 8 2 2" xfId="50281"/>
    <cellStyle name="CALC Percent Total 91 8 3" xfId="38078"/>
    <cellStyle name="CALC Percent Total 91 8 4" xfId="50282"/>
    <cellStyle name="CALC Percent Total 91 9" xfId="23718"/>
    <cellStyle name="CALC Percent Total 91 9 2" xfId="50283"/>
    <cellStyle name="CALC Percent Total 92" xfId="15373"/>
    <cellStyle name="CALC Percent Total 92 10" xfId="50284"/>
    <cellStyle name="CALC Percent Total 92 11" xfId="50285"/>
    <cellStyle name="CALC Percent Total 92 2" xfId="16453"/>
    <cellStyle name="CALC Percent Total 92 2 2" xfId="24766"/>
    <cellStyle name="CALC Percent Total 92 2 2 2" xfId="50286"/>
    <cellStyle name="CALC Percent Total 92 2 3" xfId="32030"/>
    <cellStyle name="CALC Percent Total 92 2 4" xfId="50287"/>
    <cellStyle name="CALC Percent Total 92 3" xfId="17419"/>
    <cellStyle name="CALC Percent Total 92 3 2" xfId="25740"/>
    <cellStyle name="CALC Percent Total 92 3 2 2" xfId="50288"/>
    <cellStyle name="CALC Percent Total 92 3 3" xfId="32963"/>
    <cellStyle name="CALC Percent Total 92 3 4" xfId="50289"/>
    <cellStyle name="CALC Percent Total 92 4" xfId="18447"/>
    <cellStyle name="CALC Percent Total 92 4 2" xfId="26767"/>
    <cellStyle name="CALC Percent Total 92 4 2 2" xfId="50290"/>
    <cellStyle name="CALC Percent Total 92 4 3" xfId="33941"/>
    <cellStyle name="CALC Percent Total 92 4 4" xfId="50291"/>
    <cellStyle name="CALC Percent Total 92 5" xfId="19430"/>
    <cellStyle name="CALC Percent Total 92 5 2" xfId="27751"/>
    <cellStyle name="CALC Percent Total 92 5 2 2" xfId="50292"/>
    <cellStyle name="CALC Percent Total 92 5 3" xfId="34899"/>
    <cellStyle name="CALC Percent Total 92 5 4" xfId="50293"/>
    <cellStyle name="CALC Percent Total 92 6" xfId="20399"/>
    <cellStyle name="CALC Percent Total 92 6 2" xfId="28721"/>
    <cellStyle name="CALC Percent Total 92 6 2 2" xfId="50294"/>
    <cellStyle name="CALC Percent Total 92 6 3" xfId="35833"/>
    <cellStyle name="CALC Percent Total 92 6 4" xfId="50295"/>
    <cellStyle name="CALC Percent Total 92 7" xfId="21860"/>
    <cellStyle name="CALC Percent Total 92 7 2" xfId="30161"/>
    <cellStyle name="CALC Percent Total 92 7 2 2" xfId="50296"/>
    <cellStyle name="CALC Percent Total 92 7 3" xfId="37206"/>
    <cellStyle name="CALC Percent Total 92 7 4" xfId="50297"/>
    <cellStyle name="CALC Percent Total 92 8" xfId="22788"/>
    <cellStyle name="CALC Percent Total 92 8 2" xfId="31084"/>
    <cellStyle name="CALC Percent Total 92 8 2 2" xfId="50298"/>
    <cellStyle name="CALC Percent Total 92 8 3" xfId="38090"/>
    <cellStyle name="CALC Percent Total 92 8 4" xfId="50299"/>
    <cellStyle name="CALC Percent Total 92 9" xfId="23730"/>
    <cellStyle name="CALC Percent Total 92 9 2" xfId="50300"/>
    <cellStyle name="CALC Percent Total 93" xfId="15367"/>
    <cellStyle name="CALC Percent Total 93 10" xfId="50301"/>
    <cellStyle name="CALC Percent Total 93 11" xfId="50302"/>
    <cellStyle name="CALC Percent Total 93 2" xfId="16447"/>
    <cellStyle name="CALC Percent Total 93 2 2" xfId="24760"/>
    <cellStyle name="CALC Percent Total 93 2 2 2" xfId="50303"/>
    <cellStyle name="CALC Percent Total 93 2 3" xfId="32024"/>
    <cellStyle name="CALC Percent Total 93 2 4" xfId="50304"/>
    <cellStyle name="CALC Percent Total 93 3" xfId="17413"/>
    <cellStyle name="CALC Percent Total 93 3 2" xfId="25734"/>
    <cellStyle name="CALC Percent Total 93 3 2 2" xfId="50305"/>
    <cellStyle name="CALC Percent Total 93 3 3" xfId="32957"/>
    <cellStyle name="CALC Percent Total 93 3 4" xfId="50306"/>
    <cellStyle name="CALC Percent Total 93 4" xfId="18441"/>
    <cellStyle name="CALC Percent Total 93 4 2" xfId="26761"/>
    <cellStyle name="CALC Percent Total 93 4 2 2" xfId="50307"/>
    <cellStyle name="CALC Percent Total 93 4 3" xfId="33935"/>
    <cellStyle name="CALC Percent Total 93 4 4" xfId="50308"/>
    <cellStyle name="CALC Percent Total 93 5" xfId="19424"/>
    <cellStyle name="CALC Percent Total 93 5 2" xfId="27745"/>
    <cellStyle name="CALC Percent Total 93 5 2 2" xfId="50309"/>
    <cellStyle name="CALC Percent Total 93 5 3" xfId="34893"/>
    <cellStyle name="CALC Percent Total 93 5 4" xfId="50310"/>
    <cellStyle name="CALC Percent Total 93 6" xfId="20393"/>
    <cellStyle name="CALC Percent Total 93 6 2" xfId="28715"/>
    <cellStyle name="CALC Percent Total 93 6 2 2" xfId="50311"/>
    <cellStyle name="CALC Percent Total 93 6 3" xfId="35827"/>
    <cellStyle name="CALC Percent Total 93 6 4" xfId="50312"/>
    <cellStyle name="CALC Percent Total 93 7" xfId="21854"/>
    <cellStyle name="CALC Percent Total 93 7 2" xfId="30155"/>
    <cellStyle name="CALC Percent Total 93 7 2 2" xfId="50313"/>
    <cellStyle name="CALC Percent Total 93 7 3" xfId="37200"/>
    <cellStyle name="CALC Percent Total 93 7 4" xfId="50314"/>
    <cellStyle name="CALC Percent Total 93 8" xfId="22782"/>
    <cellStyle name="CALC Percent Total 93 8 2" xfId="31078"/>
    <cellStyle name="CALC Percent Total 93 8 2 2" xfId="50315"/>
    <cellStyle name="CALC Percent Total 93 8 3" xfId="38084"/>
    <cellStyle name="CALC Percent Total 93 8 4" xfId="50316"/>
    <cellStyle name="CALC Percent Total 93 9" xfId="23724"/>
    <cellStyle name="CALC Percent Total 93 9 2" xfId="50317"/>
    <cellStyle name="CALC Percent Total 94" xfId="15355"/>
    <cellStyle name="CALC Percent Total 94 10" xfId="50318"/>
    <cellStyle name="CALC Percent Total 94 11" xfId="50319"/>
    <cellStyle name="CALC Percent Total 94 2" xfId="16435"/>
    <cellStyle name="CALC Percent Total 94 2 2" xfId="24748"/>
    <cellStyle name="CALC Percent Total 94 2 2 2" xfId="50320"/>
    <cellStyle name="CALC Percent Total 94 2 3" xfId="32012"/>
    <cellStyle name="CALC Percent Total 94 2 4" xfId="50321"/>
    <cellStyle name="CALC Percent Total 94 3" xfId="17401"/>
    <cellStyle name="CALC Percent Total 94 3 2" xfId="25722"/>
    <cellStyle name="CALC Percent Total 94 3 2 2" xfId="50322"/>
    <cellStyle name="CALC Percent Total 94 3 3" xfId="32945"/>
    <cellStyle name="CALC Percent Total 94 3 4" xfId="50323"/>
    <cellStyle name="CALC Percent Total 94 4" xfId="18429"/>
    <cellStyle name="CALC Percent Total 94 4 2" xfId="26749"/>
    <cellStyle name="CALC Percent Total 94 4 2 2" xfId="50324"/>
    <cellStyle name="CALC Percent Total 94 4 3" xfId="33923"/>
    <cellStyle name="CALC Percent Total 94 4 4" xfId="50325"/>
    <cellStyle name="CALC Percent Total 94 5" xfId="19412"/>
    <cellStyle name="CALC Percent Total 94 5 2" xfId="27733"/>
    <cellStyle name="CALC Percent Total 94 5 2 2" xfId="50326"/>
    <cellStyle name="CALC Percent Total 94 5 3" xfId="34881"/>
    <cellStyle name="CALC Percent Total 94 5 4" xfId="50327"/>
    <cellStyle name="CALC Percent Total 94 6" xfId="20381"/>
    <cellStyle name="CALC Percent Total 94 6 2" xfId="28703"/>
    <cellStyle name="CALC Percent Total 94 6 2 2" xfId="50328"/>
    <cellStyle name="CALC Percent Total 94 6 3" xfId="35815"/>
    <cellStyle name="CALC Percent Total 94 6 4" xfId="50329"/>
    <cellStyle name="CALC Percent Total 94 7" xfId="21842"/>
    <cellStyle name="CALC Percent Total 94 7 2" xfId="30143"/>
    <cellStyle name="CALC Percent Total 94 7 2 2" xfId="50330"/>
    <cellStyle name="CALC Percent Total 94 7 3" xfId="37189"/>
    <cellStyle name="CALC Percent Total 94 7 4" xfId="50331"/>
    <cellStyle name="CALC Percent Total 94 8" xfId="22770"/>
    <cellStyle name="CALC Percent Total 94 8 2" xfId="31066"/>
    <cellStyle name="CALC Percent Total 94 8 2 2" xfId="50332"/>
    <cellStyle name="CALC Percent Total 94 8 3" xfId="38072"/>
    <cellStyle name="CALC Percent Total 94 8 4" xfId="50333"/>
    <cellStyle name="CALC Percent Total 94 9" xfId="23712"/>
    <cellStyle name="CALC Percent Total 94 9 2" xfId="50334"/>
    <cellStyle name="CALC Percent Total 95" xfId="15363"/>
    <cellStyle name="CALC Percent Total 95 10" xfId="50335"/>
    <cellStyle name="CALC Percent Total 95 11" xfId="50336"/>
    <cellStyle name="CALC Percent Total 95 2" xfId="16443"/>
    <cellStyle name="CALC Percent Total 95 2 2" xfId="24756"/>
    <cellStyle name="CALC Percent Total 95 2 2 2" xfId="50337"/>
    <cellStyle name="CALC Percent Total 95 2 3" xfId="32020"/>
    <cellStyle name="CALC Percent Total 95 2 4" xfId="50338"/>
    <cellStyle name="CALC Percent Total 95 3" xfId="17409"/>
    <cellStyle name="CALC Percent Total 95 3 2" xfId="25730"/>
    <cellStyle name="CALC Percent Total 95 3 2 2" xfId="50339"/>
    <cellStyle name="CALC Percent Total 95 3 3" xfId="32953"/>
    <cellStyle name="CALC Percent Total 95 3 4" xfId="50340"/>
    <cellStyle name="CALC Percent Total 95 4" xfId="18437"/>
    <cellStyle name="CALC Percent Total 95 4 2" xfId="26757"/>
    <cellStyle name="CALC Percent Total 95 4 2 2" xfId="50341"/>
    <cellStyle name="CALC Percent Total 95 4 3" xfId="33931"/>
    <cellStyle name="CALC Percent Total 95 4 4" xfId="50342"/>
    <cellStyle name="CALC Percent Total 95 5" xfId="19420"/>
    <cellStyle name="CALC Percent Total 95 5 2" xfId="27741"/>
    <cellStyle name="CALC Percent Total 95 5 2 2" xfId="50343"/>
    <cellStyle name="CALC Percent Total 95 5 3" xfId="34889"/>
    <cellStyle name="CALC Percent Total 95 5 4" xfId="50344"/>
    <cellStyle name="CALC Percent Total 95 6" xfId="20389"/>
    <cellStyle name="CALC Percent Total 95 6 2" xfId="28711"/>
    <cellStyle name="CALC Percent Total 95 6 2 2" xfId="50345"/>
    <cellStyle name="CALC Percent Total 95 6 3" xfId="35823"/>
    <cellStyle name="CALC Percent Total 95 6 4" xfId="50346"/>
    <cellStyle name="CALC Percent Total 95 7" xfId="21850"/>
    <cellStyle name="CALC Percent Total 95 7 2" xfId="30151"/>
    <cellStyle name="CALC Percent Total 95 7 2 2" xfId="50347"/>
    <cellStyle name="CALC Percent Total 95 7 3" xfId="37196"/>
    <cellStyle name="CALC Percent Total 95 7 4" xfId="50348"/>
    <cellStyle name="CALC Percent Total 95 8" xfId="22778"/>
    <cellStyle name="CALC Percent Total 95 8 2" xfId="31074"/>
    <cellStyle name="CALC Percent Total 95 8 2 2" xfId="50349"/>
    <cellStyle name="CALC Percent Total 95 8 3" xfId="38080"/>
    <cellStyle name="CALC Percent Total 95 8 4" xfId="50350"/>
    <cellStyle name="CALC Percent Total 95 9" xfId="23720"/>
    <cellStyle name="CALC Percent Total 95 9 2" xfId="50351"/>
    <cellStyle name="CALC Percent Total 96" xfId="15372"/>
    <cellStyle name="CALC Percent Total 96 10" xfId="50352"/>
    <cellStyle name="CALC Percent Total 96 11" xfId="50353"/>
    <cellStyle name="CALC Percent Total 96 2" xfId="16452"/>
    <cellStyle name="CALC Percent Total 96 2 2" xfId="24765"/>
    <cellStyle name="CALC Percent Total 96 2 2 2" xfId="50354"/>
    <cellStyle name="CALC Percent Total 96 2 3" xfId="32029"/>
    <cellStyle name="CALC Percent Total 96 2 4" xfId="50355"/>
    <cellStyle name="CALC Percent Total 96 3" xfId="17418"/>
    <cellStyle name="CALC Percent Total 96 3 2" xfId="25739"/>
    <cellStyle name="CALC Percent Total 96 3 2 2" xfId="50356"/>
    <cellStyle name="CALC Percent Total 96 3 3" xfId="32962"/>
    <cellStyle name="CALC Percent Total 96 3 4" xfId="50357"/>
    <cellStyle name="CALC Percent Total 96 4" xfId="18446"/>
    <cellStyle name="CALC Percent Total 96 4 2" xfId="26766"/>
    <cellStyle name="CALC Percent Total 96 4 2 2" xfId="50358"/>
    <cellStyle name="CALC Percent Total 96 4 3" xfId="33940"/>
    <cellStyle name="CALC Percent Total 96 4 4" xfId="50359"/>
    <cellStyle name="CALC Percent Total 96 5" xfId="19429"/>
    <cellStyle name="CALC Percent Total 96 5 2" xfId="27750"/>
    <cellStyle name="CALC Percent Total 96 5 2 2" xfId="50360"/>
    <cellStyle name="CALC Percent Total 96 5 3" xfId="34898"/>
    <cellStyle name="CALC Percent Total 96 5 4" xfId="50361"/>
    <cellStyle name="CALC Percent Total 96 6" xfId="20398"/>
    <cellStyle name="CALC Percent Total 96 6 2" xfId="28720"/>
    <cellStyle name="CALC Percent Total 96 6 2 2" xfId="50362"/>
    <cellStyle name="CALC Percent Total 96 6 3" xfId="35832"/>
    <cellStyle name="CALC Percent Total 96 6 4" xfId="50363"/>
    <cellStyle name="CALC Percent Total 96 7" xfId="21859"/>
    <cellStyle name="CALC Percent Total 96 7 2" xfId="30160"/>
    <cellStyle name="CALC Percent Total 96 7 2 2" xfId="50364"/>
    <cellStyle name="CALC Percent Total 96 7 3" xfId="37205"/>
    <cellStyle name="CALC Percent Total 96 7 4" xfId="50365"/>
    <cellStyle name="CALC Percent Total 96 8" xfId="22787"/>
    <cellStyle name="CALC Percent Total 96 8 2" xfId="31083"/>
    <cellStyle name="CALC Percent Total 96 8 2 2" xfId="50366"/>
    <cellStyle name="CALC Percent Total 96 8 3" xfId="38089"/>
    <cellStyle name="CALC Percent Total 96 8 4" xfId="50367"/>
    <cellStyle name="CALC Percent Total 96 9" xfId="23729"/>
    <cellStyle name="CALC Percent Total 96 9 2" xfId="50368"/>
    <cellStyle name="CALC Percent Total 97" xfId="15338"/>
    <cellStyle name="CALC Percent Total 97 10" xfId="50369"/>
    <cellStyle name="CALC Percent Total 97 11" xfId="50370"/>
    <cellStyle name="CALC Percent Total 97 2" xfId="16418"/>
    <cellStyle name="CALC Percent Total 97 2 2" xfId="24731"/>
    <cellStyle name="CALC Percent Total 97 2 2 2" xfId="50371"/>
    <cellStyle name="CALC Percent Total 97 2 3" xfId="31996"/>
    <cellStyle name="CALC Percent Total 97 2 4" xfId="50372"/>
    <cellStyle name="CALC Percent Total 97 3" xfId="17384"/>
    <cellStyle name="CALC Percent Total 97 3 2" xfId="25705"/>
    <cellStyle name="CALC Percent Total 97 3 2 2" xfId="50373"/>
    <cellStyle name="CALC Percent Total 97 3 3" xfId="32929"/>
    <cellStyle name="CALC Percent Total 97 3 4" xfId="50374"/>
    <cellStyle name="CALC Percent Total 97 4" xfId="18412"/>
    <cellStyle name="CALC Percent Total 97 4 2" xfId="26732"/>
    <cellStyle name="CALC Percent Total 97 4 2 2" xfId="50375"/>
    <cellStyle name="CALC Percent Total 97 4 3" xfId="33907"/>
    <cellStyle name="CALC Percent Total 97 4 4" xfId="50376"/>
    <cellStyle name="CALC Percent Total 97 5" xfId="19395"/>
    <cellStyle name="CALC Percent Total 97 5 2" xfId="27716"/>
    <cellStyle name="CALC Percent Total 97 5 2 2" xfId="50377"/>
    <cellStyle name="CALC Percent Total 97 5 3" xfId="34864"/>
    <cellStyle name="CALC Percent Total 97 5 4" xfId="50378"/>
    <cellStyle name="CALC Percent Total 97 6" xfId="20364"/>
    <cellStyle name="CALC Percent Total 97 6 2" xfId="28686"/>
    <cellStyle name="CALC Percent Total 97 6 2 2" xfId="50379"/>
    <cellStyle name="CALC Percent Total 97 6 3" xfId="35799"/>
    <cellStyle name="CALC Percent Total 97 6 4" xfId="50380"/>
    <cellStyle name="CALC Percent Total 97 7" xfId="21825"/>
    <cellStyle name="CALC Percent Total 97 7 2" xfId="30126"/>
    <cellStyle name="CALC Percent Total 97 7 2 2" xfId="50381"/>
    <cellStyle name="CALC Percent Total 97 7 3" xfId="37173"/>
    <cellStyle name="CALC Percent Total 97 7 4" xfId="50382"/>
    <cellStyle name="CALC Percent Total 97 8" xfId="22753"/>
    <cellStyle name="CALC Percent Total 97 8 2" xfId="31049"/>
    <cellStyle name="CALC Percent Total 97 8 2 2" xfId="50383"/>
    <cellStyle name="CALC Percent Total 97 8 3" xfId="38056"/>
    <cellStyle name="CALC Percent Total 97 8 4" xfId="50384"/>
    <cellStyle name="CALC Percent Total 97 9" xfId="23695"/>
    <cellStyle name="CALC Percent Total 97 9 2" xfId="50385"/>
    <cellStyle name="CALC Percent Total 98" xfId="15350"/>
    <cellStyle name="CALC Percent Total 98 10" xfId="50386"/>
    <cellStyle name="CALC Percent Total 98 11" xfId="50387"/>
    <cellStyle name="CALC Percent Total 98 2" xfId="16430"/>
    <cellStyle name="CALC Percent Total 98 2 2" xfId="24743"/>
    <cellStyle name="CALC Percent Total 98 2 2 2" xfId="50388"/>
    <cellStyle name="CALC Percent Total 98 2 3" xfId="32007"/>
    <cellStyle name="CALC Percent Total 98 2 4" xfId="50389"/>
    <cellStyle name="CALC Percent Total 98 3" xfId="17396"/>
    <cellStyle name="CALC Percent Total 98 3 2" xfId="25717"/>
    <cellStyle name="CALC Percent Total 98 3 2 2" xfId="50390"/>
    <cellStyle name="CALC Percent Total 98 3 3" xfId="32940"/>
    <cellStyle name="CALC Percent Total 98 3 4" xfId="50391"/>
    <cellStyle name="CALC Percent Total 98 4" xfId="18424"/>
    <cellStyle name="CALC Percent Total 98 4 2" xfId="26744"/>
    <cellStyle name="CALC Percent Total 98 4 2 2" xfId="50392"/>
    <cellStyle name="CALC Percent Total 98 4 3" xfId="33918"/>
    <cellStyle name="CALC Percent Total 98 4 4" xfId="50393"/>
    <cellStyle name="CALC Percent Total 98 5" xfId="19407"/>
    <cellStyle name="CALC Percent Total 98 5 2" xfId="27728"/>
    <cellStyle name="CALC Percent Total 98 5 2 2" xfId="50394"/>
    <cellStyle name="CALC Percent Total 98 5 3" xfId="34876"/>
    <cellStyle name="CALC Percent Total 98 5 4" xfId="50395"/>
    <cellStyle name="CALC Percent Total 98 6" xfId="20376"/>
    <cellStyle name="CALC Percent Total 98 6 2" xfId="28698"/>
    <cellStyle name="CALC Percent Total 98 6 2 2" xfId="50396"/>
    <cellStyle name="CALC Percent Total 98 6 3" xfId="35810"/>
    <cellStyle name="CALC Percent Total 98 6 4" xfId="50397"/>
    <cellStyle name="CALC Percent Total 98 7" xfId="21837"/>
    <cellStyle name="CALC Percent Total 98 7 2" xfId="30138"/>
    <cellStyle name="CALC Percent Total 98 7 2 2" xfId="50398"/>
    <cellStyle name="CALC Percent Total 98 7 3" xfId="37184"/>
    <cellStyle name="CALC Percent Total 98 7 4" xfId="50399"/>
    <cellStyle name="CALC Percent Total 98 8" xfId="22765"/>
    <cellStyle name="CALC Percent Total 98 8 2" xfId="31061"/>
    <cellStyle name="CALC Percent Total 98 8 2 2" xfId="50400"/>
    <cellStyle name="CALC Percent Total 98 8 3" xfId="38067"/>
    <cellStyle name="CALC Percent Total 98 8 4" xfId="50401"/>
    <cellStyle name="CALC Percent Total 98 9" xfId="23707"/>
    <cellStyle name="CALC Percent Total 98 9 2" xfId="50402"/>
    <cellStyle name="CALC Percent Total 99" xfId="15456"/>
    <cellStyle name="CALC Percent Total 99 10" xfId="50403"/>
    <cellStyle name="CALC Percent Total 99 11" xfId="50404"/>
    <cellStyle name="CALC Percent Total 99 2" xfId="16536"/>
    <cellStyle name="CALC Percent Total 99 2 2" xfId="24849"/>
    <cellStyle name="CALC Percent Total 99 2 2 2" xfId="50405"/>
    <cellStyle name="CALC Percent Total 99 2 3" xfId="32110"/>
    <cellStyle name="CALC Percent Total 99 2 4" xfId="50406"/>
    <cellStyle name="CALC Percent Total 99 3" xfId="17502"/>
    <cellStyle name="CALC Percent Total 99 3 2" xfId="25823"/>
    <cellStyle name="CALC Percent Total 99 3 2 2" xfId="50407"/>
    <cellStyle name="CALC Percent Total 99 3 3" xfId="33043"/>
    <cellStyle name="CALC Percent Total 99 3 4" xfId="50408"/>
    <cellStyle name="CALC Percent Total 99 4" xfId="18530"/>
    <cellStyle name="CALC Percent Total 99 4 2" xfId="26850"/>
    <cellStyle name="CALC Percent Total 99 4 2 2" xfId="50409"/>
    <cellStyle name="CALC Percent Total 99 4 3" xfId="34021"/>
    <cellStyle name="CALC Percent Total 99 4 4" xfId="50410"/>
    <cellStyle name="CALC Percent Total 99 5" xfId="19513"/>
    <cellStyle name="CALC Percent Total 99 5 2" xfId="27834"/>
    <cellStyle name="CALC Percent Total 99 5 2 2" xfId="50411"/>
    <cellStyle name="CALC Percent Total 99 5 3" xfId="34982"/>
    <cellStyle name="CALC Percent Total 99 5 4" xfId="50412"/>
    <cellStyle name="CALC Percent Total 99 6" xfId="20482"/>
    <cellStyle name="CALC Percent Total 99 6 2" xfId="28804"/>
    <cellStyle name="CALC Percent Total 99 6 2 2" xfId="50413"/>
    <cellStyle name="CALC Percent Total 99 6 3" xfId="35913"/>
    <cellStyle name="CALC Percent Total 99 6 4" xfId="50414"/>
    <cellStyle name="CALC Percent Total 99 7" xfId="21943"/>
    <cellStyle name="CALC Percent Total 99 7 2" xfId="30244"/>
    <cellStyle name="CALC Percent Total 99 7 2 2" xfId="50415"/>
    <cellStyle name="CALC Percent Total 99 7 3" xfId="37286"/>
    <cellStyle name="CALC Percent Total 99 7 4" xfId="50416"/>
    <cellStyle name="CALC Percent Total 99 8" xfId="22871"/>
    <cellStyle name="CALC Percent Total 99 8 2" xfId="31167"/>
    <cellStyle name="CALC Percent Total 99 8 2 2" xfId="50417"/>
    <cellStyle name="CALC Percent Total 99 8 3" xfId="38170"/>
    <cellStyle name="CALC Percent Total 99 8 4" xfId="50418"/>
    <cellStyle name="CALC Percent Total 99 9" xfId="23813"/>
    <cellStyle name="CALC Percent Total 99 9 2" xfId="50419"/>
    <cellStyle name="Calc_PCT_initial_plan_form_template_10.12.20" xfId="50420"/>
    <cellStyle name="Calculated Field" xfId="50421"/>
    <cellStyle name="Calculation 2" xfId="30"/>
    <cellStyle name="Calculation 2 10" xfId="1089"/>
    <cellStyle name="Calculation 2 10 10" xfId="14833"/>
    <cellStyle name="Calculation 2 10 11" xfId="23196"/>
    <cellStyle name="Calculation 2 10 2" xfId="1087"/>
    <cellStyle name="Calculation 2 10 2 2" xfId="1885"/>
    <cellStyle name="Calculation 2 10 2 2 2" xfId="5305"/>
    <cellStyle name="Calculation 2 10 2 2 2 2" xfId="12145"/>
    <cellStyle name="Calculation 2 10 2 2 3" xfId="8725"/>
    <cellStyle name="Calculation 2 10 2 3" xfId="3025"/>
    <cellStyle name="Calculation 2 10 2 3 2" xfId="6445"/>
    <cellStyle name="Calculation 2 10 2 3 2 2" xfId="13285"/>
    <cellStyle name="Calculation 2 10 2 3 3" xfId="9865"/>
    <cellStyle name="Calculation 2 10 2 4" xfId="4165"/>
    <cellStyle name="Calculation 2 10 2 4 2" xfId="11005"/>
    <cellStyle name="Calculation 2 10 2 5" xfId="7585"/>
    <cellStyle name="Calculation 2 10 2 6" xfId="15914"/>
    <cellStyle name="Calculation 2 10 2 7" xfId="24231"/>
    <cellStyle name="Calculation 2 10 2 8" xfId="31515"/>
    <cellStyle name="Calculation 2 10 3" xfId="1893"/>
    <cellStyle name="Calculation 2 10 3 2" xfId="5313"/>
    <cellStyle name="Calculation 2 10 3 2 2" xfId="12153"/>
    <cellStyle name="Calculation 2 10 3 2 3" xfId="50422"/>
    <cellStyle name="Calculation 2 10 3 3" xfId="8733"/>
    <cellStyle name="Calculation 2 10 3 4" xfId="16880"/>
    <cellStyle name="Calculation 2 10 3 5" xfId="25203"/>
    <cellStyle name="Calculation 2 10 3 6" xfId="32448"/>
    <cellStyle name="Calculation 2 10 4" xfId="3033"/>
    <cellStyle name="Calculation 2 10 4 2" xfId="6453"/>
    <cellStyle name="Calculation 2 10 4 2 2" xfId="13293"/>
    <cellStyle name="Calculation 2 10 4 2 3" xfId="50423"/>
    <cellStyle name="Calculation 2 10 4 3" xfId="9873"/>
    <cellStyle name="Calculation 2 10 4 4" xfId="17907"/>
    <cellStyle name="Calculation 2 10 4 5" xfId="26229"/>
    <cellStyle name="Calculation 2 10 4 6" xfId="33425"/>
    <cellStyle name="Calculation 2 10 5" xfId="4173"/>
    <cellStyle name="Calculation 2 10 5 2" xfId="11013"/>
    <cellStyle name="Calculation 2 10 5 2 2" xfId="50424"/>
    <cellStyle name="Calculation 2 10 5 2 3" xfId="50425"/>
    <cellStyle name="Calculation 2 10 5 3" xfId="18891"/>
    <cellStyle name="Calculation 2 10 5 4" xfId="27211"/>
    <cellStyle name="Calculation 2 10 5 5" xfId="34366"/>
    <cellStyle name="Calculation 2 10 6" xfId="7593"/>
    <cellStyle name="Calculation 2 10 6 2" xfId="19859"/>
    <cellStyle name="Calculation 2 10 6 2 2" xfId="50426"/>
    <cellStyle name="Calculation 2 10 6 2 3" xfId="50427"/>
    <cellStyle name="Calculation 2 10 6 3" xfId="28181"/>
    <cellStyle name="Calculation 2 10 6 4" xfId="35313"/>
    <cellStyle name="Calculation 2 10 7" xfId="20817"/>
    <cellStyle name="Calculation 2 10 7 2" xfId="29136"/>
    <cellStyle name="Calculation 2 10 7 2 2" xfId="50428"/>
    <cellStyle name="Calculation 2 10 7 2 3" xfId="50429"/>
    <cellStyle name="Calculation 2 10 7 3" xfId="36223"/>
    <cellStyle name="Calculation 2 10 7 4" xfId="50430"/>
    <cellStyle name="Calculation 2 10 8" xfId="20490"/>
    <cellStyle name="Calculation 2 10 8 2" xfId="28812"/>
    <cellStyle name="Calculation 2 10 8 2 2" xfId="50431"/>
    <cellStyle name="Calculation 2 10 8 2 3" xfId="50432"/>
    <cellStyle name="Calculation 2 10 8 3" xfId="35920"/>
    <cellStyle name="Calculation 2 10 8 4" xfId="50433"/>
    <cellStyle name="Calculation 2 10 9" xfId="22252"/>
    <cellStyle name="Calculation 2 10 9 2" xfId="30550"/>
    <cellStyle name="Calculation 2 10 9 2 2" xfId="50434"/>
    <cellStyle name="Calculation 2 10 9 2 3" xfId="50435"/>
    <cellStyle name="Calculation 2 10 9 3" xfId="37576"/>
    <cellStyle name="Calculation 2 10 9 4" xfId="50436"/>
    <cellStyle name="Calculation 2 11" xfId="14865"/>
    <cellStyle name="Calculation 2 11 10" xfId="23228"/>
    <cellStyle name="Calculation 2 11 11" xfId="50437"/>
    <cellStyle name="Calculation 2 11 2" xfId="15946"/>
    <cellStyle name="Calculation 2 11 2 2" xfId="24263"/>
    <cellStyle name="Calculation 2 11 2 2 2" xfId="50438"/>
    <cellStyle name="Calculation 2 11 2 2 3" xfId="50439"/>
    <cellStyle name="Calculation 2 11 2 3" xfId="31547"/>
    <cellStyle name="Calculation 2 11 2 4" xfId="50440"/>
    <cellStyle name="Calculation 2 11 3" xfId="16912"/>
    <cellStyle name="Calculation 2 11 3 2" xfId="25235"/>
    <cellStyle name="Calculation 2 11 3 2 2" xfId="50441"/>
    <cellStyle name="Calculation 2 11 3 2 3" xfId="50442"/>
    <cellStyle name="Calculation 2 11 3 3" xfId="32480"/>
    <cellStyle name="Calculation 2 11 3 4" xfId="50443"/>
    <cellStyle name="Calculation 2 11 4" xfId="17939"/>
    <cellStyle name="Calculation 2 11 4 2" xfId="26261"/>
    <cellStyle name="Calculation 2 11 4 2 2" xfId="50444"/>
    <cellStyle name="Calculation 2 11 4 2 3" xfId="50445"/>
    <cellStyle name="Calculation 2 11 4 3" xfId="33457"/>
    <cellStyle name="Calculation 2 11 4 4" xfId="50446"/>
    <cellStyle name="Calculation 2 11 5" xfId="18923"/>
    <cellStyle name="Calculation 2 11 5 2" xfId="27243"/>
    <cellStyle name="Calculation 2 11 5 2 2" xfId="50447"/>
    <cellStyle name="Calculation 2 11 5 2 3" xfId="50448"/>
    <cellStyle name="Calculation 2 11 5 3" xfId="34398"/>
    <cellStyle name="Calculation 2 11 5 4" xfId="50449"/>
    <cellStyle name="Calculation 2 11 6" xfId="19891"/>
    <cellStyle name="Calculation 2 11 6 2" xfId="28213"/>
    <cellStyle name="Calculation 2 11 6 2 2" xfId="50450"/>
    <cellStyle name="Calculation 2 11 6 2 3" xfId="50451"/>
    <cellStyle name="Calculation 2 11 6 3" xfId="35345"/>
    <cellStyle name="Calculation 2 11 6 4" xfId="50452"/>
    <cellStyle name="Calculation 2 11 7" xfId="20849"/>
    <cellStyle name="Calculation 2 11 7 2" xfId="29168"/>
    <cellStyle name="Calculation 2 11 7 2 2" xfId="50453"/>
    <cellStyle name="Calculation 2 11 7 2 3" xfId="50454"/>
    <cellStyle name="Calculation 2 11 7 3" xfId="36255"/>
    <cellStyle name="Calculation 2 11 7 4" xfId="50455"/>
    <cellStyle name="Calculation 2 11 8" xfId="16557"/>
    <cellStyle name="Calculation 2 11 8 2" xfId="24870"/>
    <cellStyle name="Calculation 2 11 8 2 2" xfId="50456"/>
    <cellStyle name="Calculation 2 11 8 2 3" xfId="50457"/>
    <cellStyle name="Calculation 2 11 8 3" xfId="32130"/>
    <cellStyle name="Calculation 2 11 8 4" xfId="50458"/>
    <cellStyle name="Calculation 2 11 9" xfId="22284"/>
    <cellStyle name="Calculation 2 11 9 2" xfId="30582"/>
    <cellStyle name="Calculation 2 11 9 2 2" xfId="50459"/>
    <cellStyle name="Calculation 2 11 9 2 3" xfId="50460"/>
    <cellStyle name="Calculation 2 11 9 3" xfId="37608"/>
    <cellStyle name="Calculation 2 11 9 4" xfId="50461"/>
    <cellStyle name="Calculation 2 12" xfId="14949"/>
    <cellStyle name="Calculation 2 12 10" xfId="23312"/>
    <cellStyle name="Calculation 2 12 11" xfId="50462"/>
    <cellStyle name="Calculation 2 12 2" xfId="16030"/>
    <cellStyle name="Calculation 2 12 2 2" xfId="24347"/>
    <cellStyle name="Calculation 2 12 2 2 2" xfId="50463"/>
    <cellStyle name="Calculation 2 12 2 2 3" xfId="50464"/>
    <cellStyle name="Calculation 2 12 2 3" xfId="31627"/>
    <cellStyle name="Calculation 2 12 2 4" xfId="50465"/>
    <cellStyle name="Calculation 2 12 3" xfId="16996"/>
    <cellStyle name="Calculation 2 12 3 2" xfId="25319"/>
    <cellStyle name="Calculation 2 12 3 2 2" xfId="50466"/>
    <cellStyle name="Calculation 2 12 3 2 3" xfId="50467"/>
    <cellStyle name="Calculation 2 12 3 3" xfId="32560"/>
    <cellStyle name="Calculation 2 12 3 4" xfId="50468"/>
    <cellStyle name="Calculation 2 12 4" xfId="18023"/>
    <cellStyle name="Calculation 2 12 4 2" xfId="26345"/>
    <cellStyle name="Calculation 2 12 4 2 2" xfId="50469"/>
    <cellStyle name="Calculation 2 12 4 2 3" xfId="50470"/>
    <cellStyle name="Calculation 2 12 4 3" xfId="33537"/>
    <cellStyle name="Calculation 2 12 4 4" xfId="50471"/>
    <cellStyle name="Calculation 2 12 5" xfId="19007"/>
    <cellStyle name="Calculation 2 12 5 2" xfId="27327"/>
    <cellStyle name="Calculation 2 12 5 2 2" xfId="50472"/>
    <cellStyle name="Calculation 2 12 5 2 3" xfId="50473"/>
    <cellStyle name="Calculation 2 12 5 3" xfId="34478"/>
    <cellStyle name="Calculation 2 12 5 4" xfId="50474"/>
    <cellStyle name="Calculation 2 12 6" xfId="19975"/>
    <cellStyle name="Calculation 2 12 6 2" xfId="28297"/>
    <cellStyle name="Calculation 2 12 6 2 2" xfId="50475"/>
    <cellStyle name="Calculation 2 12 6 2 3" xfId="50476"/>
    <cellStyle name="Calculation 2 12 6 3" xfId="35425"/>
    <cellStyle name="Calculation 2 12 6 4" xfId="50477"/>
    <cellStyle name="Calculation 2 12 7" xfId="20933"/>
    <cellStyle name="Calculation 2 12 7 2" xfId="29252"/>
    <cellStyle name="Calculation 2 12 7 2 2" xfId="50478"/>
    <cellStyle name="Calculation 2 12 7 2 3" xfId="50479"/>
    <cellStyle name="Calculation 2 12 7 3" xfId="36335"/>
    <cellStyle name="Calculation 2 12 7 4" xfId="50480"/>
    <cellStyle name="Calculation 2 12 8" xfId="21440"/>
    <cellStyle name="Calculation 2 12 8 2" xfId="29743"/>
    <cellStyle name="Calculation 2 12 8 2 2" xfId="50481"/>
    <cellStyle name="Calculation 2 12 8 2 3" xfId="50482"/>
    <cellStyle name="Calculation 2 12 8 3" xfId="36805"/>
    <cellStyle name="Calculation 2 12 8 4" xfId="50483"/>
    <cellStyle name="Calculation 2 12 9" xfId="22368"/>
    <cellStyle name="Calculation 2 12 9 2" xfId="30666"/>
    <cellStyle name="Calculation 2 12 9 2 2" xfId="50484"/>
    <cellStyle name="Calculation 2 12 9 2 3" xfId="50485"/>
    <cellStyle name="Calculation 2 12 9 3" xfId="37688"/>
    <cellStyle name="Calculation 2 12 9 4" xfId="50486"/>
    <cellStyle name="Calculation 2 13" xfId="14982"/>
    <cellStyle name="Calculation 2 13 10" xfId="23343"/>
    <cellStyle name="Calculation 2 13 11" xfId="50487"/>
    <cellStyle name="Calculation 2 13 2" xfId="16063"/>
    <cellStyle name="Calculation 2 13 2 2" xfId="24378"/>
    <cellStyle name="Calculation 2 13 2 2 2" xfId="50488"/>
    <cellStyle name="Calculation 2 13 2 2 3" xfId="50489"/>
    <cellStyle name="Calculation 2 13 2 3" xfId="31657"/>
    <cellStyle name="Calculation 2 13 2 4" xfId="50490"/>
    <cellStyle name="Calculation 2 13 3" xfId="17029"/>
    <cellStyle name="Calculation 2 13 3 2" xfId="25350"/>
    <cellStyle name="Calculation 2 13 3 2 2" xfId="50491"/>
    <cellStyle name="Calculation 2 13 3 2 3" xfId="50492"/>
    <cellStyle name="Calculation 2 13 3 3" xfId="32590"/>
    <cellStyle name="Calculation 2 13 3 4" xfId="50493"/>
    <cellStyle name="Calculation 2 13 4" xfId="18056"/>
    <cellStyle name="Calculation 2 13 4 2" xfId="26376"/>
    <cellStyle name="Calculation 2 13 4 2 2" xfId="50494"/>
    <cellStyle name="Calculation 2 13 4 2 3" xfId="50495"/>
    <cellStyle name="Calculation 2 13 4 3" xfId="33567"/>
    <cellStyle name="Calculation 2 13 4 4" xfId="50496"/>
    <cellStyle name="Calculation 2 13 5" xfId="19040"/>
    <cellStyle name="Calculation 2 13 5 2" xfId="27360"/>
    <cellStyle name="Calculation 2 13 5 2 2" xfId="50497"/>
    <cellStyle name="Calculation 2 13 5 2 3" xfId="50498"/>
    <cellStyle name="Calculation 2 13 5 3" xfId="34510"/>
    <cellStyle name="Calculation 2 13 5 4" xfId="50499"/>
    <cellStyle name="Calculation 2 13 6" xfId="20008"/>
    <cellStyle name="Calculation 2 13 6 2" xfId="28330"/>
    <cellStyle name="Calculation 2 13 6 2 2" xfId="50500"/>
    <cellStyle name="Calculation 2 13 6 2 3" xfId="50501"/>
    <cellStyle name="Calculation 2 13 6 3" xfId="35457"/>
    <cellStyle name="Calculation 2 13 6 4" xfId="50502"/>
    <cellStyle name="Calculation 2 13 7" xfId="20966"/>
    <cellStyle name="Calculation 2 13 7 2" xfId="29283"/>
    <cellStyle name="Calculation 2 13 7 2 2" xfId="50503"/>
    <cellStyle name="Calculation 2 13 7 2 3" xfId="50504"/>
    <cellStyle name="Calculation 2 13 7 3" xfId="36365"/>
    <cellStyle name="Calculation 2 13 7 4" xfId="50505"/>
    <cellStyle name="Calculation 2 13 8" xfId="21473"/>
    <cellStyle name="Calculation 2 13 8 2" xfId="29774"/>
    <cellStyle name="Calculation 2 13 8 2 2" xfId="50506"/>
    <cellStyle name="Calculation 2 13 8 2 3" xfId="50507"/>
    <cellStyle name="Calculation 2 13 8 3" xfId="36835"/>
    <cellStyle name="Calculation 2 13 8 4" xfId="50508"/>
    <cellStyle name="Calculation 2 13 9" xfId="22401"/>
    <cellStyle name="Calculation 2 13 9 2" xfId="30697"/>
    <cellStyle name="Calculation 2 13 9 2 2" xfId="50509"/>
    <cellStyle name="Calculation 2 13 9 2 3" xfId="50510"/>
    <cellStyle name="Calculation 2 13 9 3" xfId="37718"/>
    <cellStyle name="Calculation 2 13 9 4" xfId="50511"/>
    <cellStyle name="Calculation 2 14" xfId="15101"/>
    <cellStyle name="Calculation 2 14 10" xfId="50512"/>
    <cellStyle name="Calculation 2 14 2" xfId="16181"/>
    <cellStyle name="Calculation 2 14 2 2" xfId="24494"/>
    <cellStyle name="Calculation 2 14 2 2 2" xfId="50513"/>
    <cellStyle name="Calculation 2 14 2 2 3" xfId="50514"/>
    <cellStyle name="Calculation 2 14 2 3" xfId="31771"/>
    <cellStyle name="Calculation 2 14 2 4" xfId="50515"/>
    <cellStyle name="Calculation 2 14 3" xfId="17147"/>
    <cellStyle name="Calculation 2 14 3 2" xfId="25468"/>
    <cellStyle name="Calculation 2 14 3 2 2" xfId="50516"/>
    <cellStyle name="Calculation 2 14 3 2 3" xfId="50517"/>
    <cellStyle name="Calculation 2 14 3 3" xfId="32704"/>
    <cellStyle name="Calculation 2 14 3 4" xfId="50518"/>
    <cellStyle name="Calculation 2 14 4" xfId="18175"/>
    <cellStyle name="Calculation 2 14 4 2" xfId="26495"/>
    <cellStyle name="Calculation 2 14 4 2 2" xfId="50519"/>
    <cellStyle name="Calculation 2 14 4 2 3" xfId="50520"/>
    <cellStyle name="Calculation 2 14 4 3" xfId="33682"/>
    <cellStyle name="Calculation 2 14 4 4" xfId="50521"/>
    <cellStyle name="Calculation 2 14 5" xfId="19159"/>
    <cellStyle name="Calculation 2 14 5 2" xfId="27479"/>
    <cellStyle name="Calculation 2 14 5 2 2" xfId="50522"/>
    <cellStyle name="Calculation 2 14 5 2 3" xfId="50523"/>
    <cellStyle name="Calculation 2 14 5 3" xfId="34627"/>
    <cellStyle name="Calculation 2 14 5 4" xfId="50524"/>
    <cellStyle name="Calculation 2 14 6" xfId="20127"/>
    <cellStyle name="Calculation 2 14 6 2" xfId="28449"/>
    <cellStyle name="Calculation 2 14 6 2 2" xfId="50525"/>
    <cellStyle name="Calculation 2 14 6 2 3" xfId="50526"/>
    <cellStyle name="Calculation 2 14 6 3" xfId="35574"/>
    <cellStyle name="Calculation 2 14 6 4" xfId="50527"/>
    <cellStyle name="Calculation 2 14 7" xfId="21588"/>
    <cellStyle name="Calculation 2 14 7 2" xfId="29889"/>
    <cellStyle name="Calculation 2 14 7 2 2" xfId="50528"/>
    <cellStyle name="Calculation 2 14 7 2 3" xfId="50529"/>
    <cellStyle name="Calculation 2 14 7 3" xfId="36948"/>
    <cellStyle name="Calculation 2 14 7 4" xfId="50530"/>
    <cellStyle name="Calculation 2 14 8" xfId="22516"/>
    <cellStyle name="Calculation 2 14 8 2" xfId="30812"/>
    <cellStyle name="Calculation 2 14 8 2 2" xfId="50531"/>
    <cellStyle name="Calculation 2 14 8 2 3" xfId="50532"/>
    <cellStyle name="Calculation 2 14 8 3" xfId="37831"/>
    <cellStyle name="Calculation 2 14 8 4" xfId="50533"/>
    <cellStyle name="Calculation 2 14 9" xfId="23458"/>
    <cellStyle name="Calculation 2 15" xfId="15131"/>
    <cellStyle name="Calculation 2 15 10" xfId="50534"/>
    <cellStyle name="Calculation 2 15 2" xfId="16211"/>
    <cellStyle name="Calculation 2 15 2 2" xfId="24524"/>
    <cellStyle name="Calculation 2 15 2 2 2" xfId="50535"/>
    <cellStyle name="Calculation 2 15 2 2 3" xfId="50536"/>
    <cellStyle name="Calculation 2 15 2 3" xfId="31800"/>
    <cellStyle name="Calculation 2 15 2 4" xfId="50537"/>
    <cellStyle name="Calculation 2 15 3" xfId="17177"/>
    <cellStyle name="Calculation 2 15 3 2" xfId="25498"/>
    <cellStyle name="Calculation 2 15 3 2 2" xfId="50538"/>
    <cellStyle name="Calculation 2 15 3 2 3" xfId="50539"/>
    <cellStyle name="Calculation 2 15 3 3" xfId="32733"/>
    <cellStyle name="Calculation 2 15 3 4" xfId="50540"/>
    <cellStyle name="Calculation 2 15 4" xfId="18205"/>
    <cellStyle name="Calculation 2 15 4 2" xfId="26525"/>
    <cellStyle name="Calculation 2 15 4 2 2" xfId="50541"/>
    <cellStyle name="Calculation 2 15 4 2 3" xfId="50542"/>
    <cellStyle name="Calculation 2 15 4 3" xfId="33711"/>
    <cellStyle name="Calculation 2 15 4 4" xfId="50543"/>
    <cellStyle name="Calculation 2 15 5" xfId="19189"/>
    <cellStyle name="Calculation 2 15 5 2" xfId="27509"/>
    <cellStyle name="Calculation 2 15 5 2 2" xfId="50544"/>
    <cellStyle name="Calculation 2 15 5 2 3" xfId="50545"/>
    <cellStyle name="Calculation 2 15 5 3" xfId="34657"/>
    <cellStyle name="Calculation 2 15 5 4" xfId="50546"/>
    <cellStyle name="Calculation 2 15 6" xfId="20157"/>
    <cellStyle name="Calculation 2 15 6 2" xfId="28479"/>
    <cellStyle name="Calculation 2 15 6 2 2" xfId="50547"/>
    <cellStyle name="Calculation 2 15 6 2 3" xfId="50548"/>
    <cellStyle name="Calculation 2 15 6 3" xfId="35603"/>
    <cellStyle name="Calculation 2 15 6 4" xfId="50549"/>
    <cellStyle name="Calculation 2 15 7" xfId="21618"/>
    <cellStyle name="Calculation 2 15 7 2" xfId="29919"/>
    <cellStyle name="Calculation 2 15 7 2 2" xfId="50550"/>
    <cellStyle name="Calculation 2 15 7 2 3" xfId="50551"/>
    <cellStyle name="Calculation 2 15 7 3" xfId="36977"/>
    <cellStyle name="Calculation 2 15 7 4" xfId="50552"/>
    <cellStyle name="Calculation 2 15 8" xfId="22546"/>
    <cellStyle name="Calculation 2 15 8 2" xfId="30842"/>
    <cellStyle name="Calculation 2 15 8 2 2" xfId="50553"/>
    <cellStyle name="Calculation 2 15 8 2 3" xfId="50554"/>
    <cellStyle name="Calculation 2 15 8 3" xfId="37860"/>
    <cellStyle name="Calculation 2 15 8 4" xfId="50555"/>
    <cellStyle name="Calculation 2 15 9" xfId="23488"/>
    <cellStyle name="Calculation 2 16" xfId="15088"/>
    <cellStyle name="Calculation 2 16 10" xfId="50556"/>
    <cellStyle name="Calculation 2 16 2" xfId="16168"/>
    <cellStyle name="Calculation 2 16 2 2" xfId="24481"/>
    <cellStyle name="Calculation 2 16 2 2 2" xfId="50557"/>
    <cellStyle name="Calculation 2 16 2 2 3" xfId="50558"/>
    <cellStyle name="Calculation 2 16 2 3" xfId="31758"/>
    <cellStyle name="Calculation 2 16 2 4" xfId="50559"/>
    <cellStyle name="Calculation 2 16 3" xfId="17134"/>
    <cellStyle name="Calculation 2 16 3 2" xfId="25455"/>
    <cellStyle name="Calculation 2 16 3 2 2" xfId="50560"/>
    <cellStyle name="Calculation 2 16 3 2 3" xfId="50561"/>
    <cellStyle name="Calculation 2 16 3 3" xfId="32691"/>
    <cellStyle name="Calculation 2 16 3 4" xfId="50562"/>
    <cellStyle name="Calculation 2 16 4" xfId="18162"/>
    <cellStyle name="Calculation 2 16 4 2" xfId="26482"/>
    <cellStyle name="Calculation 2 16 4 2 2" xfId="50563"/>
    <cellStyle name="Calculation 2 16 4 2 3" xfId="50564"/>
    <cellStyle name="Calculation 2 16 4 3" xfId="33669"/>
    <cellStyle name="Calculation 2 16 4 4" xfId="50565"/>
    <cellStyle name="Calculation 2 16 5" xfId="19146"/>
    <cellStyle name="Calculation 2 16 5 2" xfId="27466"/>
    <cellStyle name="Calculation 2 16 5 2 2" xfId="50566"/>
    <cellStyle name="Calculation 2 16 5 2 3" xfId="50567"/>
    <cellStyle name="Calculation 2 16 5 3" xfId="34614"/>
    <cellStyle name="Calculation 2 16 5 4" xfId="50568"/>
    <cellStyle name="Calculation 2 16 6" xfId="20114"/>
    <cellStyle name="Calculation 2 16 6 2" xfId="28436"/>
    <cellStyle name="Calculation 2 16 6 2 2" xfId="50569"/>
    <cellStyle name="Calculation 2 16 6 2 3" xfId="50570"/>
    <cellStyle name="Calculation 2 16 6 3" xfId="35561"/>
    <cellStyle name="Calculation 2 16 6 4" xfId="50571"/>
    <cellStyle name="Calculation 2 16 7" xfId="21575"/>
    <cellStyle name="Calculation 2 16 7 2" xfId="29876"/>
    <cellStyle name="Calculation 2 16 7 2 2" xfId="50572"/>
    <cellStyle name="Calculation 2 16 7 2 3" xfId="50573"/>
    <cellStyle name="Calculation 2 16 7 3" xfId="36935"/>
    <cellStyle name="Calculation 2 16 7 4" xfId="50574"/>
    <cellStyle name="Calculation 2 16 8" xfId="22503"/>
    <cellStyle name="Calculation 2 16 8 2" xfId="30799"/>
    <cellStyle name="Calculation 2 16 8 2 2" xfId="50575"/>
    <cellStyle name="Calculation 2 16 8 2 3" xfId="50576"/>
    <cellStyle name="Calculation 2 16 8 3" xfId="37818"/>
    <cellStyle name="Calculation 2 16 8 4" xfId="50577"/>
    <cellStyle name="Calculation 2 16 9" xfId="23445"/>
    <cellStyle name="Calculation 2 17" xfId="15221"/>
    <cellStyle name="Calculation 2 17 10" xfId="50578"/>
    <cellStyle name="Calculation 2 17 2" xfId="16301"/>
    <cellStyle name="Calculation 2 17 2 2" xfId="24614"/>
    <cellStyle name="Calculation 2 17 2 2 2" xfId="50579"/>
    <cellStyle name="Calculation 2 17 2 2 3" xfId="50580"/>
    <cellStyle name="Calculation 2 17 2 3" xfId="31883"/>
    <cellStyle name="Calculation 2 17 2 4" xfId="50581"/>
    <cellStyle name="Calculation 2 17 3" xfId="17267"/>
    <cellStyle name="Calculation 2 17 3 2" xfId="25588"/>
    <cellStyle name="Calculation 2 17 3 2 2" xfId="50582"/>
    <cellStyle name="Calculation 2 17 3 2 3" xfId="50583"/>
    <cellStyle name="Calculation 2 17 3 3" xfId="32816"/>
    <cellStyle name="Calculation 2 17 3 4" xfId="50584"/>
    <cellStyle name="Calculation 2 17 4" xfId="18295"/>
    <cellStyle name="Calculation 2 17 4 2" xfId="26615"/>
    <cellStyle name="Calculation 2 17 4 2 2" xfId="50585"/>
    <cellStyle name="Calculation 2 17 4 2 3" xfId="50586"/>
    <cellStyle name="Calculation 2 17 4 3" xfId="33794"/>
    <cellStyle name="Calculation 2 17 4 4" xfId="50587"/>
    <cellStyle name="Calculation 2 17 5" xfId="19279"/>
    <cellStyle name="Calculation 2 17 5 2" xfId="27599"/>
    <cellStyle name="Calculation 2 17 5 2 2" xfId="50588"/>
    <cellStyle name="Calculation 2 17 5 2 3" xfId="50589"/>
    <cellStyle name="Calculation 2 17 5 3" xfId="34747"/>
    <cellStyle name="Calculation 2 17 5 4" xfId="50590"/>
    <cellStyle name="Calculation 2 17 6" xfId="20247"/>
    <cellStyle name="Calculation 2 17 6 2" xfId="28569"/>
    <cellStyle name="Calculation 2 17 6 2 2" xfId="50591"/>
    <cellStyle name="Calculation 2 17 6 2 3" xfId="50592"/>
    <cellStyle name="Calculation 2 17 6 3" xfId="35686"/>
    <cellStyle name="Calculation 2 17 6 4" xfId="50593"/>
    <cellStyle name="Calculation 2 17 7" xfId="21708"/>
    <cellStyle name="Calculation 2 17 7 2" xfId="30009"/>
    <cellStyle name="Calculation 2 17 7 2 2" xfId="50594"/>
    <cellStyle name="Calculation 2 17 7 2 3" xfId="50595"/>
    <cellStyle name="Calculation 2 17 7 3" xfId="37060"/>
    <cellStyle name="Calculation 2 17 7 4" xfId="50596"/>
    <cellStyle name="Calculation 2 17 8" xfId="22636"/>
    <cellStyle name="Calculation 2 17 8 2" xfId="30932"/>
    <cellStyle name="Calculation 2 17 8 2 2" xfId="50597"/>
    <cellStyle name="Calculation 2 17 8 2 3" xfId="50598"/>
    <cellStyle name="Calculation 2 17 8 3" xfId="37943"/>
    <cellStyle name="Calculation 2 17 8 4" xfId="50599"/>
    <cellStyle name="Calculation 2 17 9" xfId="23578"/>
    <cellStyle name="Calculation 2 18" xfId="15290"/>
    <cellStyle name="Calculation 2 18 10" xfId="50600"/>
    <cellStyle name="Calculation 2 18 2" xfId="16370"/>
    <cellStyle name="Calculation 2 18 2 2" xfId="24683"/>
    <cellStyle name="Calculation 2 18 2 2 2" xfId="50601"/>
    <cellStyle name="Calculation 2 18 2 2 3" xfId="50602"/>
    <cellStyle name="Calculation 2 18 2 3" xfId="31949"/>
    <cellStyle name="Calculation 2 18 2 4" xfId="50603"/>
    <cellStyle name="Calculation 2 18 3" xfId="17336"/>
    <cellStyle name="Calculation 2 18 3 2" xfId="25657"/>
    <cellStyle name="Calculation 2 18 3 2 2" xfId="50604"/>
    <cellStyle name="Calculation 2 18 3 2 3" xfId="50605"/>
    <cellStyle name="Calculation 2 18 3 3" xfId="32882"/>
    <cellStyle name="Calculation 2 18 3 4" xfId="50606"/>
    <cellStyle name="Calculation 2 18 4" xfId="18364"/>
    <cellStyle name="Calculation 2 18 4 2" xfId="26684"/>
    <cellStyle name="Calculation 2 18 4 2 2" xfId="50607"/>
    <cellStyle name="Calculation 2 18 4 2 3" xfId="50608"/>
    <cellStyle name="Calculation 2 18 4 3" xfId="33860"/>
    <cellStyle name="Calculation 2 18 4 4" xfId="50609"/>
    <cellStyle name="Calculation 2 18 5" xfId="19347"/>
    <cellStyle name="Calculation 2 18 5 2" xfId="27668"/>
    <cellStyle name="Calculation 2 18 5 2 2" xfId="50610"/>
    <cellStyle name="Calculation 2 18 5 2 3" xfId="50611"/>
    <cellStyle name="Calculation 2 18 5 3" xfId="34816"/>
    <cellStyle name="Calculation 2 18 5 4" xfId="50612"/>
    <cellStyle name="Calculation 2 18 6" xfId="20316"/>
    <cellStyle name="Calculation 2 18 6 2" xfId="28638"/>
    <cellStyle name="Calculation 2 18 6 2 2" xfId="50613"/>
    <cellStyle name="Calculation 2 18 6 2 3" xfId="50614"/>
    <cellStyle name="Calculation 2 18 6 3" xfId="35752"/>
    <cellStyle name="Calculation 2 18 6 4" xfId="50615"/>
    <cellStyle name="Calculation 2 18 7" xfId="21777"/>
    <cellStyle name="Calculation 2 18 7 2" xfId="30078"/>
    <cellStyle name="Calculation 2 18 7 2 2" xfId="50616"/>
    <cellStyle name="Calculation 2 18 7 2 3" xfId="50617"/>
    <cellStyle name="Calculation 2 18 7 3" xfId="37126"/>
    <cellStyle name="Calculation 2 18 7 4" xfId="50618"/>
    <cellStyle name="Calculation 2 18 8" xfId="22705"/>
    <cellStyle name="Calculation 2 18 8 2" xfId="31001"/>
    <cellStyle name="Calculation 2 18 8 2 2" xfId="50619"/>
    <cellStyle name="Calculation 2 18 8 2 3" xfId="50620"/>
    <cellStyle name="Calculation 2 18 8 3" xfId="38009"/>
    <cellStyle name="Calculation 2 18 8 4" xfId="50621"/>
    <cellStyle name="Calculation 2 18 9" xfId="23647"/>
    <cellStyle name="Calculation 2 19" xfId="15351"/>
    <cellStyle name="Calculation 2 19 10" xfId="50622"/>
    <cellStyle name="Calculation 2 19 11" xfId="50623"/>
    <cellStyle name="Calculation 2 19 2" xfId="16431"/>
    <cellStyle name="Calculation 2 19 2 2" xfId="24744"/>
    <cellStyle name="Calculation 2 19 2 2 2" xfId="50624"/>
    <cellStyle name="Calculation 2 19 2 2 3" xfId="50625"/>
    <cellStyle name="Calculation 2 19 2 3" xfId="32008"/>
    <cellStyle name="Calculation 2 19 2 4" xfId="50626"/>
    <cellStyle name="Calculation 2 19 3" xfId="17397"/>
    <cellStyle name="Calculation 2 19 3 2" xfId="25718"/>
    <cellStyle name="Calculation 2 19 3 2 2" xfId="50627"/>
    <cellStyle name="Calculation 2 19 3 2 3" xfId="50628"/>
    <cellStyle name="Calculation 2 19 3 3" xfId="32941"/>
    <cellStyle name="Calculation 2 19 3 4" xfId="50629"/>
    <cellStyle name="Calculation 2 19 4" xfId="18425"/>
    <cellStyle name="Calculation 2 19 4 2" xfId="26745"/>
    <cellStyle name="Calculation 2 19 4 2 2" xfId="50630"/>
    <cellStyle name="Calculation 2 19 4 2 3" xfId="50631"/>
    <cellStyle name="Calculation 2 19 4 3" xfId="33919"/>
    <cellStyle name="Calculation 2 19 4 4" xfId="50632"/>
    <cellStyle name="Calculation 2 19 5" xfId="19408"/>
    <cellStyle name="Calculation 2 19 5 2" xfId="27729"/>
    <cellStyle name="Calculation 2 19 5 2 2" xfId="50633"/>
    <cellStyle name="Calculation 2 19 5 2 3" xfId="50634"/>
    <cellStyle name="Calculation 2 19 5 3" xfId="34877"/>
    <cellStyle name="Calculation 2 19 5 4" xfId="50635"/>
    <cellStyle name="Calculation 2 19 6" xfId="20377"/>
    <cellStyle name="Calculation 2 19 6 2" xfId="28699"/>
    <cellStyle name="Calculation 2 19 6 2 2" xfId="50636"/>
    <cellStyle name="Calculation 2 19 6 2 3" xfId="50637"/>
    <cellStyle name="Calculation 2 19 6 3" xfId="35811"/>
    <cellStyle name="Calculation 2 19 6 4" xfId="50638"/>
    <cellStyle name="Calculation 2 19 7" xfId="21838"/>
    <cellStyle name="Calculation 2 19 7 2" xfId="30139"/>
    <cellStyle name="Calculation 2 19 7 2 2" xfId="50639"/>
    <cellStyle name="Calculation 2 19 7 2 3" xfId="50640"/>
    <cellStyle name="Calculation 2 19 7 3" xfId="37185"/>
    <cellStyle name="Calculation 2 19 7 4" xfId="50641"/>
    <cellStyle name="Calculation 2 19 8" xfId="22766"/>
    <cellStyle name="Calculation 2 19 8 2" xfId="31062"/>
    <cellStyle name="Calculation 2 19 8 2 2" xfId="50642"/>
    <cellStyle name="Calculation 2 19 8 2 3" xfId="50643"/>
    <cellStyle name="Calculation 2 19 8 3" xfId="38068"/>
    <cellStyle name="Calculation 2 19 8 4" xfId="50644"/>
    <cellStyle name="Calculation 2 19 9" xfId="23708"/>
    <cellStyle name="Calculation 2 19 9 2" xfId="50645"/>
    <cellStyle name="Calculation 2 19 9 3" xfId="50646"/>
    <cellStyle name="Calculation 2 2" xfId="52"/>
    <cellStyle name="Calculation 2 2 10" xfId="14653"/>
    <cellStyle name="Calculation 2 2 10 10" xfId="23015"/>
    <cellStyle name="Calculation 2 2 10 11" xfId="61870"/>
    <cellStyle name="Calculation 2 2 10 12" xfId="62331"/>
    <cellStyle name="Calculation 2 2 10 2" xfId="15734"/>
    <cellStyle name="Calculation 2 2 10 2 2" xfId="24050"/>
    <cellStyle name="Calculation 2 2 10 2 2 2" xfId="50647"/>
    <cellStyle name="Calculation 2 2 10 2 2 3" xfId="50648"/>
    <cellStyle name="Calculation 2 2 10 2 3" xfId="31342"/>
    <cellStyle name="Calculation 2 2 10 2 4" xfId="50649"/>
    <cellStyle name="Calculation 2 2 10 3" xfId="16700"/>
    <cellStyle name="Calculation 2 2 10 3 2" xfId="25021"/>
    <cellStyle name="Calculation 2 2 10 3 2 2" xfId="50650"/>
    <cellStyle name="Calculation 2 2 10 3 2 3" xfId="50651"/>
    <cellStyle name="Calculation 2 2 10 3 3" xfId="32275"/>
    <cellStyle name="Calculation 2 2 10 3 4" xfId="50652"/>
    <cellStyle name="Calculation 2 2 10 4" xfId="17724"/>
    <cellStyle name="Calculation 2 2 10 4 2" xfId="26047"/>
    <cellStyle name="Calculation 2 2 10 4 2 2" xfId="50653"/>
    <cellStyle name="Calculation 2 2 10 4 2 3" xfId="50654"/>
    <cellStyle name="Calculation 2 2 10 4 3" xfId="33252"/>
    <cellStyle name="Calculation 2 2 10 4 4" xfId="50655"/>
    <cellStyle name="Calculation 2 2 10 5" xfId="18707"/>
    <cellStyle name="Calculation 2 2 10 5 2" xfId="27028"/>
    <cellStyle name="Calculation 2 2 10 5 2 2" xfId="50656"/>
    <cellStyle name="Calculation 2 2 10 5 2 3" xfId="50657"/>
    <cellStyle name="Calculation 2 2 10 5 3" xfId="34191"/>
    <cellStyle name="Calculation 2 2 10 5 4" xfId="50658"/>
    <cellStyle name="Calculation 2 2 10 6" xfId="19676"/>
    <cellStyle name="Calculation 2 2 10 6 2" xfId="27997"/>
    <cellStyle name="Calculation 2 2 10 6 2 2" xfId="50659"/>
    <cellStyle name="Calculation 2 2 10 6 2 3" xfId="50660"/>
    <cellStyle name="Calculation 2 2 10 6 3" xfId="35137"/>
    <cellStyle name="Calculation 2 2 10 6 4" xfId="50661"/>
    <cellStyle name="Calculation 2 2 10 7" xfId="20633"/>
    <cellStyle name="Calculation 2 2 10 7 2" xfId="28954"/>
    <cellStyle name="Calculation 2 2 10 7 2 2" xfId="50662"/>
    <cellStyle name="Calculation 2 2 10 7 2 3" xfId="50663"/>
    <cellStyle name="Calculation 2 2 10 7 3" xfId="36052"/>
    <cellStyle name="Calculation 2 2 10 7 4" xfId="50664"/>
    <cellStyle name="Calculation 2 2 10 8" xfId="21080"/>
    <cellStyle name="Calculation 2 2 10 8 2" xfId="29397"/>
    <cellStyle name="Calculation 2 2 10 8 2 2" xfId="50665"/>
    <cellStyle name="Calculation 2 2 10 8 2 3" xfId="50666"/>
    <cellStyle name="Calculation 2 2 10 8 3" xfId="36473"/>
    <cellStyle name="Calculation 2 2 10 8 4" xfId="50667"/>
    <cellStyle name="Calculation 2 2 10 9" xfId="22070"/>
    <cellStyle name="Calculation 2 2 10 9 2" xfId="30368"/>
    <cellStyle name="Calculation 2 2 10 9 2 2" xfId="50668"/>
    <cellStyle name="Calculation 2 2 10 9 2 3" xfId="50669"/>
    <cellStyle name="Calculation 2 2 10 9 3" xfId="37403"/>
    <cellStyle name="Calculation 2 2 10 9 4" xfId="50670"/>
    <cellStyle name="Calculation 2 2 11" xfId="14684"/>
    <cellStyle name="Calculation 2 2 11 10" xfId="23047"/>
    <cellStyle name="Calculation 2 2 11 2" xfId="15765"/>
    <cellStyle name="Calculation 2 2 11 2 2" xfId="24082"/>
    <cellStyle name="Calculation 2 2 11 2 2 2" xfId="50671"/>
    <cellStyle name="Calculation 2 2 11 2 2 3" xfId="50672"/>
    <cellStyle name="Calculation 2 2 11 2 3" xfId="31373"/>
    <cellStyle name="Calculation 2 2 11 2 4" xfId="50673"/>
    <cellStyle name="Calculation 2 2 11 3" xfId="16731"/>
    <cellStyle name="Calculation 2 2 11 3 2" xfId="25053"/>
    <cellStyle name="Calculation 2 2 11 3 2 2" xfId="50674"/>
    <cellStyle name="Calculation 2 2 11 3 2 3" xfId="50675"/>
    <cellStyle name="Calculation 2 2 11 3 3" xfId="32306"/>
    <cellStyle name="Calculation 2 2 11 3 4" xfId="50676"/>
    <cellStyle name="Calculation 2 2 11 4" xfId="17755"/>
    <cellStyle name="Calculation 2 2 11 4 2" xfId="26079"/>
    <cellStyle name="Calculation 2 2 11 4 2 2" xfId="50677"/>
    <cellStyle name="Calculation 2 2 11 4 2 3" xfId="50678"/>
    <cellStyle name="Calculation 2 2 11 4 3" xfId="33283"/>
    <cellStyle name="Calculation 2 2 11 4 4" xfId="50679"/>
    <cellStyle name="Calculation 2 2 11 5" xfId="18739"/>
    <cellStyle name="Calculation 2 2 11 5 2" xfId="27060"/>
    <cellStyle name="Calculation 2 2 11 5 2 2" xfId="50680"/>
    <cellStyle name="Calculation 2 2 11 5 2 3" xfId="50681"/>
    <cellStyle name="Calculation 2 2 11 5 3" xfId="34222"/>
    <cellStyle name="Calculation 2 2 11 5 4" xfId="50682"/>
    <cellStyle name="Calculation 2 2 11 6" xfId="19708"/>
    <cellStyle name="Calculation 2 2 11 6 2" xfId="28029"/>
    <cellStyle name="Calculation 2 2 11 6 2 2" xfId="50683"/>
    <cellStyle name="Calculation 2 2 11 6 2 3" xfId="50684"/>
    <cellStyle name="Calculation 2 2 11 6 3" xfId="35168"/>
    <cellStyle name="Calculation 2 2 11 6 4" xfId="50685"/>
    <cellStyle name="Calculation 2 2 11 7" xfId="20665"/>
    <cellStyle name="Calculation 2 2 11 7 2" xfId="28986"/>
    <cellStyle name="Calculation 2 2 11 7 2 2" xfId="50686"/>
    <cellStyle name="Calculation 2 2 11 7 2 3" xfId="50687"/>
    <cellStyle name="Calculation 2 2 11 7 3" xfId="36083"/>
    <cellStyle name="Calculation 2 2 11 7 4" xfId="50688"/>
    <cellStyle name="Calculation 2 2 11 8" xfId="21137"/>
    <cellStyle name="Calculation 2 2 11 8 2" xfId="29451"/>
    <cellStyle name="Calculation 2 2 11 8 2 2" xfId="50689"/>
    <cellStyle name="Calculation 2 2 11 8 2 3" xfId="50690"/>
    <cellStyle name="Calculation 2 2 11 8 3" xfId="36523"/>
    <cellStyle name="Calculation 2 2 11 8 4" xfId="50691"/>
    <cellStyle name="Calculation 2 2 11 9" xfId="22102"/>
    <cellStyle name="Calculation 2 2 11 9 2" xfId="30400"/>
    <cellStyle name="Calculation 2 2 11 9 2 2" xfId="50692"/>
    <cellStyle name="Calculation 2 2 11 9 2 3" xfId="50693"/>
    <cellStyle name="Calculation 2 2 11 9 3" xfId="37434"/>
    <cellStyle name="Calculation 2 2 11 9 4" xfId="50694"/>
    <cellStyle name="Calculation 2 2 12" xfId="14671"/>
    <cellStyle name="Calculation 2 2 12 10" xfId="23033"/>
    <cellStyle name="Calculation 2 2 12 2" xfId="15752"/>
    <cellStyle name="Calculation 2 2 12 2 2" xfId="24068"/>
    <cellStyle name="Calculation 2 2 12 2 2 2" xfId="50695"/>
    <cellStyle name="Calculation 2 2 12 2 2 3" xfId="50696"/>
    <cellStyle name="Calculation 2 2 12 2 3" xfId="31360"/>
    <cellStyle name="Calculation 2 2 12 2 4" xfId="50697"/>
    <cellStyle name="Calculation 2 2 12 3" xfId="16718"/>
    <cellStyle name="Calculation 2 2 12 3 2" xfId="25039"/>
    <cellStyle name="Calculation 2 2 12 3 2 2" xfId="50698"/>
    <cellStyle name="Calculation 2 2 12 3 2 3" xfId="50699"/>
    <cellStyle name="Calculation 2 2 12 3 3" xfId="32293"/>
    <cellStyle name="Calculation 2 2 12 3 4" xfId="50700"/>
    <cellStyle name="Calculation 2 2 12 4" xfId="17742"/>
    <cellStyle name="Calculation 2 2 12 4 2" xfId="26065"/>
    <cellStyle name="Calculation 2 2 12 4 2 2" xfId="50701"/>
    <cellStyle name="Calculation 2 2 12 4 2 3" xfId="50702"/>
    <cellStyle name="Calculation 2 2 12 4 3" xfId="33270"/>
    <cellStyle name="Calculation 2 2 12 4 4" xfId="50703"/>
    <cellStyle name="Calculation 2 2 12 5" xfId="18725"/>
    <cellStyle name="Calculation 2 2 12 5 2" xfId="27046"/>
    <cellStyle name="Calculation 2 2 12 5 2 2" xfId="50704"/>
    <cellStyle name="Calculation 2 2 12 5 2 3" xfId="50705"/>
    <cellStyle name="Calculation 2 2 12 5 3" xfId="34209"/>
    <cellStyle name="Calculation 2 2 12 5 4" xfId="50706"/>
    <cellStyle name="Calculation 2 2 12 6" xfId="19694"/>
    <cellStyle name="Calculation 2 2 12 6 2" xfId="28015"/>
    <cellStyle name="Calculation 2 2 12 6 2 2" xfId="50707"/>
    <cellStyle name="Calculation 2 2 12 6 2 3" xfId="50708"/>
    <cellStyle name="Calculation 2 2 12 6 3" xfId="35155"/>
    <cellStyle name="Calculation 2 2 12 6 4" xfId="50709"/>
    <cellStyle name="Calculation 2 2 12 7" xfId="20651"/>
    <cellStyle name="Calculation 2 2 12 7 2" xfId="28972"/>
    <cellStyle name="Calculation 2 2 12 7 2 2" xfId="50710"/>
    <cellStyle name="Calculation 2 2 12 7 2 3" xfId="50711"/>
    <cellStyle name="Calculation 2 2 12 7 3" xfId="36070"/>
    <cellStyle name="Calculation 2 2 12 7 4" xfId="50712"/>
    <cellStyle name="Calculation 2 2 12 8" xfId="21277"/>
    <cellStyle name="Calculation 2 2 12 8 2" xfId="29585"/>
    <cellStyle name="Calculation 2 2 12 8 2 2" xfId="50713"/>
    <cellStyle name="Calculation 2 2 12 8 2 3" xfId="50714"/>
    <cellStyle name="Calculation 2 2 12 8 3" xfId="36652"/>
    <cellStyle name="Calculation 2 2 12 8 4" xfId="50715"/>
    <cellStyle name="Calculation 2 2 12 9" xfId="22088"/>
    <cellStyle name="Calculation 2 2 12 9 2" xfId="30386"/>
    <cellStyle name="Calculation 2 2 12 9 2 2" xfId="50716"/>
    <cellStyle name="Calculation 2 2 12 9 2 3" xfId="50717"/>
    <cellStyle name="Calculation 2 2 12 9 3" xfId="37421"/>
    <cellStyle name="Calculation 2 2 12 9 4" xfId="50718"/>
    <cellStyle name="Calculation 2 2 13" xfId="14755"/>
    <cellStyle name="Calculation 2 2 13 10" xfId="23119"/>
    <cellStyle name="Calculation 2 2 13 11" xfId="50719"/>
    <cellStyle name="Calculation 2 2 13 2" xfId="15836"/>
    <cellStyle name="Calculation 2 2 13 2 2" xfId="24154"/>
    <cellStyle name="Calculation 2 2 13 2 2 2" xfId="50720"/>
    <cellStyle name="Calculation 2 2 13 2 2 3" xfId="50721"/>
    <cellStyle name="Calculation 2 2 13 2 3" xfId="31442"/>
    <cellStyle name="Calculation 2 2 13 2 4" xfId="50722"/>
    <cellStyle name="Calculation 2 2 13 3" xfId="16802"/>
    <cellStyle name="Calculation 2 2 13 3 2" xfId="25126"/>
    <cellStyle name="Calculation 2 2 13 3 2 2" xfId="50723"/>
    <cellStyle name="Calculation 2 2 13 3 2 3" xfId="50724"/>
    <cellStyle name="Calculation 2 2 13 3 3" xfId="32375"/>
    <cellStyle name="Calculation 2 2 13 3 4" xfId="50725"/>
    <cellStyle name="Calculation 2 2 13 4" xfId="17828"/>
    <cellStyle name="Calculation 2 2 13 4 2" xfId="26152"/>
    <cellStyle name="Calculation 2 2 13 4 2 2" xfId="50726"/>
    <cellStyle name="Calculation 2 2 13 4 2 3" xfId="50727"/>
    <cellStyle name="Calculation 2 2 13 4 3" xfId="33352"/>
    <cellStyle name="Calculation 2 2 13 4 4" xfId="50728"/>
    <cellStyle name="Calculation 2 2 13 5" xfId="18812"/>
    <cellStyle name="Calculation 2 2 13 5 2" xfId="27133"/>
    <cellStyle name="Calculation 2 2 13 5 2 2" xfId="50729"/>
    <cellStyle name="Calculation 2 2 13 5 2 3" xfId="50730"/>
    <cellStyle name="Calculation 2 2 13 5 3" xfId="34292"/>
    <cellStyle name="Calculation 2 2 13 5 4" xfId="50731"/>
    <cellStyle name="Calculation 2 2 13 6" xfId="19780"/>
    <cellStyle name="Calculation 2 2 13 6 2" xfId="28102"/>
    <cellStyle name="Calculation 2 2 13 6 2 2" xfId="50732"/>
    <cellStyle name="Calculation 2 2 13 6 2 3" xfId="50733"/>
    <cellStyle name="Calculation 2 2 13 6 3" xfId="35238"/>
    <cellStyle name="Calculation 2 2 13 6 4" xfId="50734"/>
    <cellStyle name="Calculation 2 2 13 7" xfId="20738"/>
    <cellStyle name="Calculation 2 2 13 7 2" xfId="29059"/>
    <cellStyle name="Calculation 2 2 13 7 2 2" xfId="50735"/>
    <cellStyle name="Calculation 2 2 13 7 2 3" xfId="50736"/>
    <cellStyle name="Calculation 2 2 13 7 3" xfId="36151"/>
    <cellStyle name="Calculation 2 2 13 7 4" xfId="50737"/>
    <cellStyle name="Calculation 2 2 13 8" xfId="21099"/>
    <cellStyle name="Calculation 2 2 13 8 2" xfId="29416"/>
    <cellStyle name="Calculation 2 2 13 8 2 2" xfId="50738"/>
    <cellStyle name="Calculation 2 2 13 8 2 3" xfId="50739"/>
    <cellStyle name="Calculation 2 2 13 8 3" xfId="36490"/>
    <cellStyle name="Calculation 2 2 13 8 4" xfId="50740"/>
    <cellStyle name="Calculation 2 2 13 9" xfId="22174"/>
    <cellStyle name="Calculation 2 2 13 9 2" xfId="30472"/>
    <cellStyle name="Calculation 2 2 13 9 2 2" xfId="50741"/>
    <cellStyle name="Calculation 2 2 13 9 2 3" xfId="50742"/>
    <cellStyle name="Calculation 2 2 13 9 3" xfId="37503"/>
    <cellStyle name="Calculation 2 2 13 9 4" xfId="50743"/>
    <cellStyle name="Calculation 2 2 14" xfId="14792"/>
    <cellStyle name="Calculation 2 2 14 10" xfId="23157"/>
    <cellStyle name="Calculation 2 2 14 11" xfId="50744"/>
    <cellStyle name="Calculation 2 2 14 2" xfId="15873"/>
    <cellStyle name="Calculation 2 2 14 2 2" xfId="24192"/>
    <cellStyle name="Calculation 2 2 14 2 2 2" xfId="50745"/>
    <cellStyle name="Calculation 2 2 14 2 2 3" xfId="50746"/>
    <cellStyle name="Calculation 2 2 14 2 3" xfId="31478"/>
    <cellStyle name="Calculation 2 2 14 2 4" xfId="50747"/>
    <cellStyle name="Calculation 2 2 14 3" xfId="16839"/>
    <cellStyle name="Calculation 2 2 14 3 2" xfId="25164"/>
    <cellStyle name="Calculation 2 2 14 3 2 2" xfId="50748"/>
    <cellStyle name="Calculation 2 2 14 3 2 3" xfId="50749"/>
    <cellStyle name="Calculation 2 2 14 3 3" xfId="32411"/>
    <cellStyle name="Calculation 2 2 14 3 4" xfId="50750"/>
    <cellStyle name="Calculation 2 2 14 4" xfId="17866"/>
    <cellStyle name="Calculation 2 2 14 4 2" xfId="26190"/>
    <cellStyle name="Calculation 2 2 14 4 2 2" xfId="50751"/>
    <cellStyle name="Calculation 2 2 14 4 2 3" xfId="50752"/>
    <cellStyle name="Calculation 2 2 14 4 3" xfId="33388"/>
    <cellStyle name="Calculation 2 2 14 4 4" xfId="50753"/>
    <cellStyle name="Calculation 2 2 14 5" xfId="18850"/>
    <cellStyle name="Calculation 2 2 14 5 2" xfId="27171"/>
    <cellStyle name="Calculation 2 2 14 5 2 2" xfId="50754"/>
    <cellStyle name="Calculation 2 2 14 5 2 3" xfId="50755"/>
    <cellStyle name="Calculation 2 2 14 5 3" xfId="34328"/>
    <cellStyle name="Calculation 2 2 14 5 4" xfId="50756"/>
    <cellStyle name="Calculation 2 2 14 6" xfId="19818"/>
    <cellStyle name="Calculation 2 2 14 6 2" xfId="28140"/>
    <cellStyle name="Calculation 2 2 14 6 2 2" xfId="50757"/>
    <cellStyle name="Calculation 2 2 14 6 2 3" xfId="50758"/>
    <cellStyle name="Calculation 2 2 14 6 3" xfId="35274"/>
    <cellStyle name="Calculation 2 2 14 6 4" xfId="50759"/>
    <cellStyle name="Calculation 2 2 14 7" xfId="20776"/>
    <cellStyle name="Calculation 2 2 14 7 2" xfId="29097"/>
    <cellStyle name="Calculation 2 2 14 7 2 2" xfId="50760"/>
    <cellStyle name="Calculation 2 2 14 7 2 3" xfId="50761"/>
    <cellStyle name="Calculation 2 2 14 7 3" xfId="36187"/>
    <cellStyle name="Calculation 2 2 14 7 4" xfId="50762"/>
    <cellStyle name="Calculation 2 2 14 8" xfId="21301"/>
    <cellStyle name="Calculation 2 2 14 8 2" xfId="29608"/>
    <cellStyle name="Calculation 2 2 14 8 2 2" xfId="50763"/>
    <cellStyle name="Calculation 2 2 14 8 2 3" xfId="50764"/>
    <cellStyle name="Calculation 2 2 14 8 3" xfId="36675"/>
    <cellStyle name="Calculation 2 2 14 8 4" xfId="50765"/>
    <cellStyle name="Calculation 2 2 14 9" xfId="22212"/>
    <cellStyle name="Calculation 2 2 14 9 2" xfId="30510"/>
    <cellStyle name="Calculation 2 2 14 9 2 2" xfId="50766"/>
    <cellStyle name="Calculation 2 2 14 9 2 3" xfId="50767"/>
    <cellStyle name="Calculation 2 2 14 9 3" xfId="37539"/>
    <cellStyle name="Calculation 2 2 14 9 4" xfId="50768"/>
    <cellStyle name="Calculation 2 2 15" xfId="14701"/>
    <cellStyle name="Calculation 2 2 15 10" xfId="23063"/>
    <cellStyle name="Calculation 2 2 15 11" xfId="50769"/>
    <cellStyle name="Calculation 2 2 15 2" xfId="15782"/>
    <cellStyle name="Calculation 2 2 15 2 2" xfId="24098"/>
    <cellStyle name="Calculation 2 2 15 2 2 2" xfId="50770"/>
    <cellStyle name="Calculation 2 2 15 2 2 3" xfId="50771"/>
    <cellStyle name="Calculation 2 2 15 2 3" xfId="31387"/>
    <cellStyle name="Calculation 2 2 15 2 4" xfId="50772"/>
    <cellStyle name="Calculation 2 2 15 3" xfId="16748"/>
    <cellStyle name="Calculation 2 2 15 3 2" xfId="25070"/>
    <cellStyle name="Calculation 2 2 15 3 2 2" xfId="50773"/>
    <cellStyle name="Calculation 2 2 15 3 2 3" xfId="50774"/>
    <cellStyle name="Calculation 2 2 15 3 3" xfId="32320"/>
    <cellStyle name="Calculation 2 2 15 3 4" xfId="50775"/>
    <cellStyle name="Calculation 2 2 15 4" xfId="17772"/>
    <cellStyle name="Calculation 2 2 15 4 2" xfId="26096"/>
    <cellStyle name="Calculation 2 2 15 4 2 2" xfId="50776"/>
    <cellStyle name="Calculation 2 2 15 4 2 3" xfId="50777"/>
    <cellStyle name="Calculation 2 2 15 4 3" xfId="33297"/>
    <cellStyle name="Calculation 2 2 15 4 4" xfId="50778"/>
    <cellStyle name="Calculation 2 2 15 5" xfId="18756"/>
    <cellStyle name="Calculation 2 2 15 5 2" xfId="27077"/>
    <cellStyle name="Calculation 2 2 15 5 2 2" xfId="50779"/>
    <cellStyle name="Calculation 2 2 15 5 2 3" xfId="50780"/>
    <cellStyle name="Calculation 2 2 15 5 3" xfId="34237"/>
    <cellStyle name="Calculation 2 2 15 5 4" xfId="50781"/>
    <cellStyle name="Calculation 2 2 15 6" xfId="19725"/>
    <cellStyle name="Calculation 2 2 15 6 2" xfId="28046"/>
    <cellStyle name="Calculation 2 2 15 6 2 2" xfId="50782"/>
    <cellStyle name="Calculation 2 2 15 6 2 3" xfId="50783"/>
    <cellStyle name="Calculation 2 2 15 6 3" xfId="35183"/>
    <cellStyle name="Calculation 2 2 15 6 4" xfId="50784"/>
    <cellStyle name="Calculation 2 2 15 7" xfId="20682"/>
    <cellStyle name="Calculation 2 2 15 7 2" xfId="29003"/>
    <cellStyle name="Calculation 2 2 15 7 2 2" xfId="50785"/>
    <cellStyle name="Calculation 2 2 15 7 2 3" xfId="50786"/>
    <cellStyle name="Calculation 2 2 15 7 3" xfId="36097"/>
    <cellStyle name="Calculation 2 2 15 7 4" xfId="50787"/>
    <cellStyle name="Calculation 2 2 15 8" xfId="21155"/>
    <cellStyle name="Calculation 2 2 15 8 2" xfId="29467"/>
    <cellStyle name="Calculation 2 2 15 8 2 2" xfId="50788"/>
    <cellStyle name="Calculation 2 2 15 8 2 3" xfId="50789"/>
    <cellStyle name="Calculation 2 2 15 8 3" xfId="36539"/>
    <cellStyle name="Calculation 2 2 15 8 4" xfId="50790"/>
    <cellStyle name="Calculation 2 2 15 9" xfId="22118"/>
    <cellStyle name="Calculation 2 2 15 9 2" xfId="30416"/>
    <cellStyle name="Calculation 2 2 15 9 2 2" xfId="50791"/>
    <cellStyle name="Calculation 2 2 15 9 2 3" xfId="50792"/>
    <cellStyle name="Calculation 2 2 15 9 3" xfId="37448"/>
    <cellStyle name="Calculation 2 2 15 9 4" xfId="50793"/>
    <cellStyle name="Calculation 2 2 16" xfId="14834"/>
    <cellStyle name="Calculation 2 2 16 10" xfId="23197"/>
    <cellStyle name="Calculation 2 2 16 11" xfId="50794"/>
    <cellStyle name="Calculation 2 2 16 2" xfId="15915"/>
    <cellStyle name="Calculation 2 2 16 2 2" xfId="24232"/>
    <cellStyle name="Calculation 2 2 16 2 2 2" xfId="50795"/>
    <cellStyle name="Calculation 2 2 16 2 2 3" xfId="50796"/>
    <cellStyle name="Calculation 2 2 16 2 3" xfId="31516"/>
    <cellStyle name="Calculation 2 2 16 2 4" xfId="50797"/>
    <cellStyle name="Calculation 2 2 16 3" xfId="16881"/>
    <cellStyle name="Calculation 2 2 16 3 2" xfId="25204"/>
    <cellStyle name="Calculation 2 2 16 3 2 2" xfId="50798"/>
    <cellStyle name="Calculation 2 2 16 3 2 3" xfId="50799"/>
    <cellStyle name="Calculation 2 2 16 3 3" xfId="32449"/>
    <cellStyle name="Calculation 2 2 16 3 4" xfId="50800"/>
    <cellStyle name="Calculation 2 2 16 4" xfId="17908"/>
    <cellStyle name="Calculation 2 2 16 4 2" xfId="26230"/>
    <cellStyle name="Calculation 2 2 16 4 2 2" xfId="50801"/>
    <cellStyle name="Calculation 2 2 16 4 2 3" xfId="50802"/>
    <cellStyle name="Calculation 2 2 16 4 3" xfId="33426"/>
    <cellStyle name="Calculation 2 2 16 4 4" xfId="50803"/>
    <cellStyle name="Calculation 2 2 16 5" xfId="18892"/>
    <cellStyle name="Calculation 2 2 16 5 2" xfId="27212"/>
    <cellStyle name="Calculation 2 2 16 5 2 2" xfId="50804"/>
    <cellStyle name="Calculation 2 2 16 5 2 3" xfId="50805"/>
    <cellStyle name="Calculation 2 2 16 5 3" xfId="34367"/>
    <cellStyle name="Calculation 2 2 16 5 4" xfId="50806"/>
    <cellStyle name="Calculation 2 2 16 6" xfId="19860"/>
    <cellStyle name="Calculation 2 2 16 6 2" xfId="28182"/>
    <cellStyle name="Calculation 2 2 16 6 2 2" xfId="50807"/>
    <cellStyle name="Calculation 2 2 16 6 2 3" xfId="50808"/>
    <cellStyle name="Calculation 2 2 16 6 3" xfId="35314"/>
    <cellStyle name="Calculation 2 2 16 6 4" xfId="50809"/>
    <cellStyle name="Calculation 2 2 16 7" xfId="20818"/>
    <cellStyle name="Calculation 2 2 16 7 2" xfId="29137"/>
    <cellStyle name="Calculation 2 2 16 7 2 2" xfId="50810"/>
    <cellStyle name="Calculation 2 2 16 7 2 3" xfId="50811"/>
    <cellStyle name="Calculation 2 2 16 7 3" xfId="36224"/>
    <cellStyle name="Calculation 2 2 16 7 4" xfId="50812"/>
    <cellStyle name="Calculation 2 2 16 8" xfId="21369"/>
    <cellStyle name="Calculation 2 2 16 8 2" xfId="29672"/>
    <cellStyle name="Calculation 2 2 16 8 2 2" xfId="50813"/>
    <cellStyle name="Calculation 2 2 16 8 2 3" xfId="50814"/>
    <cellStyle name="Calculation 2 2 16 8 3" xfId="36736"/>
    <cellStyle name="Calculation 2 2 16 8 4" xfId="50815"/>
    <cellStyle name="Calculation 2 2 16 9" xfId="22253"/>
    <cellStyle name="Calculation 2 2 16 9 2" xfId="30551"/>
    <cellStyle name="Calculation 2 2 16 9 2 2" xfId="50816"/>
    <cellStyle name="Calculation 2 2 16 9 2 3" xfId="50817"/>
    <cellStyle name="Calculation 2 2 16 9 3" xfId="37577"/>
    <cellStyle name="Calculation 2 2 16 9 4" xfId="50818"/>
    <cellStyle name="Calculation 2 2 17" xfId="14871"/>
    <cellStyle name="Calculation 2 2 17 10" xfId="23234"/>
    <cellStyle name="Calculation 2 2 17 11" xfId="50819"/>
    <cellStyle name="Calculation 2 2 17 2" xfId="15952"/>
    <cellStyle name="Calculation 2 2 17 2 2" xfId="24269"/>
    <cellStyle name="Calculation 2 2 17 2 2 2" xfId="50820"/>
    <cellStyle name="Calculation 2 2 17 2 2 3" xfId="50821"/>
    <cellStyle name="Calculation 2 2 17 2 3" xfId="31552"/>
    <cellStyle name="Calculation 2 2 17 2 4" xfId="50822"/>
    <cellStyle name="Calculation 2 2 17 3" xfId="16918"/>
    <cellStyle name="Calculation 2 2 17 3 2" xfId="25241"/>
    <cellStyle name="Calculation 2 2 17 3 2 2" xfId="50823"/>
    <cellStyle name="Calculation 2 2 17 3 2 3" xfId="50824"/>
    <cellStyle name="Calculation 2 2 17 3 3" xfId="32485"/>
    <cellStyle name="Calculation 2 2 17 3 4" xfId="50825"/>
    <cellStyle name="Calculation 2 2 17 4" xfId="17945"/>
    <cellStyle name="Calculation 2 2 17 4 2" xfId="26267"/>
    <cellStyle name="Calculation 2 2 17 4 2 2" xfId="50826"/>
    <cellStyle name="Calculation 2 2 17 4 2 3" xfId="50827"/>
    <cellStyle name="Calculation 2 2 17 4 3" xfId="33462"/>
    <cellStyle name="Calculation 2 2 17 4 4" xfId="50828"/>
    <cellStyle name="Calculation 2 2 17 5" xfId="18929"/>
    <cellStyle name="Calculation 2 2 17 5 2" xfId="27249"/>
    <cellStyle name="Calculation 2 2 17 5 2 2" xfId="50829"/>
    <cellStyle name="Calculation 2 2 17 5 2 3" xfId="50830"/>
    <cellStyle name="Calculation 2 2 17 5 3" xfId="34403"/>
    <cellStyle name="Calculation 2 2 17 5 4" xfId="50831"/>
    <cellStyle name="Calculation 2 2 17 6" xfId="19897"/>
    <cellStyle name="Calculation 2 2 17 6 2" xfId="28219"/>
    <cellStyle name="Calculation 2 2 17 6 2 2" xfId="50832"/>
    <cellStyle name="Calculation 2 2 17 6 2 3" xfId="50833"/>
    <cellStyle name="Calculation 2 2 17 6 3" xfId="35350"/>
    <cellStyle name="Calculation 2 2 17 6 4" xfId="50834"/>
    <cellStyle name="Calculation 2 2 17 7" xfId="20855"/>
    <cellStyle name="Calculation 2 2 17 7 2" xfId="29174"/>
    <cellStyle name="Calculation 2 2 17 7 2 2" xfId="50835"/>
    <cellStyle name="Calculation 2 2 17 7 2 3" xfId="50836"/>
    <cellStyle name="Calculation 2 2 17 7 3" xfId="36260"/>
    <cellStyle name="Calculation 2 2 17 7 4" xfId="50837"/>
    <cellStyle name="Calculation 2 2 17 8" xfId="17573"/>
    <cellStyle name="Calculation 2 2 17 8 2" xfId="25892"/>
    <cellStyle name="Calculation 2 2 17 8 2 2" xfId="50838"/>
    <cellStyle name="Calculation 2 2 17 8 2 3" xfId="50839"/>
    <cellStyle name="Calculation 2 2 17 8 3" xfId="33105"/>
    <cellStyle name="Calculation 2 2 17 8 4" xfId="50840"/>
    <cellStyle name="Calculation 2 2 17 9" xfId="22290"/>
    <cellStyle name="Calculation 2 2 17 9 2" xfId="30588"/>
    <cellStyle name="Calculation 2 2 17 9 2 2" xfId="50841"/>
    <cellStyle name="Calculation 2 2 17 9 2 3" xfId="50842"/>
    <cellStyle name="Calculation 2 2 17 9 3" xfId="37613"/>
    <cellStyle name="Calculation 2 2 17 9 4" xfId="50843"/>
    <cellStyle name="Calculation 2 2 18" xfId="14887"/>
    <cellStyle name="Calculation 2 2 18 10" xfId="23250"/>
    <cellStyle name="Calculation 2 2 18 11" xfId="50844"/>
    <cellStyle name="Calculation 2 2 18 2" xfId="15968"/>
    <cellStyle name="Calculation 2 2 18 2 2" xfId="24285"/>
    <cellStyle name="Calculation 2 2 18 2 2 2" xfId="50845"/>
    <cellStyle name="Calculation 2 2 18 2 2 3" xfId="50846"/>
    <cellStyle name="Calculation 2 2 18 2 3" xfId="31566"/>
    <cellStyle name="Calculation 2 2 18 2 4" xfId="50847"/>
    <cellStyle name="Calculation 2 2 18 3" xfId="16934"/>
    <cellStyle name="Calculation 2 2 18 3 2" xfId="25257"/>
    <cellStyle name="Calculation 2 2 18 3 2 2" xfId="50848"/>
    <cellStyle name="Calculation 2 2 18 3 2 3" xfId="50849"/>
    <cellStyle name="Calculation 2 2 18 3 3" xfId="32499"/>
    <cellStyle name="Calculation 2 2 18 3 4" xfId="50850"/>
    <cellStyle name="Calculation 2 2 18 4" xfId="17961"/>
    <cellStyle name="Calculation 2 2 18 4 2" xfId="26283"/>
    <cellStyle name="Calculation 2 2 18 4 2 2" xfId="50851"/>
    <cellStyle name="Calculation 2 2 18 4 2 3" xfId="50852"/>
    <cellStyle name="Calculation 2 2 18 4 3" xfId="33476"/>
    <cellStyle name="Calculation 2 2 18 4 4" xfId="50853"/>
    <cellStyle name="Calculation 2 2 18 5" xfId="18945"/>
    <cellStyle name="Calculation 2 2 18 5 2" xfId="27265"/>
    <cellStyle name="Calculation 2 2 18 5 2 2" xfId="50854"/>
    <cellStyle name="Calculation 2 2 18 5 2 3" xfId="50855"/>
    <cellStyle name="Calculation 2 2 18 5 3" xfId="34417"/>
    <cellStyle name="Calculation 2 2 18 5 4" xfId="50856"/>
    <cellStyle name="Calculation 2 2 18 6" xfId="19913"/>
    <cellStyle name="Calculation 2 2 18 6 2" xfId="28235"/>
    <cellStyle name="Calculation 2 2 18 6 2 2" xfId="50857"/>
    <cellStyle name="Calculation 2 2 18 6 2 3" xfId="50858"/>
    <cellStyle name="Calculation 2 2 18 6 3" xfId="35364"/>
    <cellStyle name="Calculation 2 2 18 6 4" xfId="50859"/>
    <cellStyle name="Calculation 2 2 18 7" xfId="20871"/>
    <cellStyle name="Calculation 2 2 18 7 2" xfId="29190"/>
    <cellStyle name="Calculation 2 2 18 7 2 2" xfId="50860"/>
    <cellStyle name="Calculation 2 2 18 7 2 3" xfId="50861"/>
    <cellStyle name="Calculation 2 2 18 7 3" xfId="36274"/>
    <cellStyle name="Calculation 2 2 18 7 4" xfId="50862"/>
    <cellStyle name="Calculation 2 2 18 8" xfId="21378"/>
    <cellStyle name="Calculation 2 2 18 8 2" xfId="29681"/>
    <cellStyle name="Calculation 2 2 18 8 2 2" xfId="50863"/>
    <cellStyle name="Calculation 2 2 18 8 2 3" xfId="50864"/>
    <cellStyle name="Calculation 2 2 18 8 3" xfId="36744"/>
    <cellStyle name="Calculation 2 2 18 8 4" xfId="50865"/>
    <cellStyle name="Calculation 2 2 18 9" xfId="22306"/>
    <cellStyle name="Calculation 2 2 18 9 2" xfId="30604"/>
    <cellStyle name="Calculation 2 2 18 9 2 2" xfId="50866"/>
    <cellStyle name="Calculation 2 2 18 9 2 3" xfId="50867"/>
    <cellStyle name="Calculation 2 2 18 9 3" xfId="37627"/>
    <cellStyle name="Calculation 2 2 18 9 4" xfId="50868"/>
    <cellStyle name="Calculation 2 2 19" xfId="14931"/>
    <cellStyle name="Calculation 2 2 19 10" xfId="23294"/>
    <cellStyle name="Calculation 2 2 19 11" xfId="50869"/>
    <cellStyle name="Calculation 2 2 19 2" xfId="16012"/>
    <cellStyle name="Calculation 2 2 19 2 2" xfId="24329"/>
    <cellStyle name="Calculation 2 2 19 2 2 2" xfId="50870"/>
    <cellStyle name="Calculation 2 2 19 2 2 3" xfId="50871"/>
    <cellStyle name="Calculation 2 2 19 2 3" xfId="31609"/>
    <cellStyle name="Calculation 2 2 19 2 4" xfId="50872"/>
    <cellStyle name="Calculation 2 2 19 3" xfId="16978"/>
    <cellStyle name="Calculation 2 2 19 3 2" xfId="25301"/>
    <cellStyle name="Calculation 2 2 19 3 2 2" xfId="50873"/>
    <cellStyle name="Calculation 2 2 19 3 2 3" xfId="50874"/>
    <cellStyle name="Calculation 2 2 19 3 3" xfId="32542"/>
    <cellStyle name="Calculation 2 2 19 3 4" xfId="50875"/>
    <cellStyle name="Calculation 2 2 19 4" xfId="18005"/>
    <cellStyle name="Calculation 2 2 19 4 2" xfId="26327"/>
    <cellStyle name="Calculation 2 2 19 4 2 2" xfId="50876"/>
    <cellStyle name="Calculation 2 2 19 4 2 3" xfId="50877"/>
    <cellStyle name="Calculation 2 2 19 4 3" xfId="33519"/>
    <cellStyle name="Calculation 2 2 19 4 4" xfId="50878"/>
    <cellStyle name="Calculation 2 2 19 5" xfId="18989"/>
    <cellStyle name="Calculation 2 2 19 5 2" xfId="27309"/>
    <cellStyle name="Calculation 2 2 19 5 2 2" xfId="50879"/>
    <cellStyle name="Calculation 2 2 19 5 2 3" xfId="50880"/>
    <cellStyle name="Calculation 2 2 19 5 3" xfId="34460"/>
    <cellStyle name="Calculation 2 2 19 5 4" xfId="50881"/>
    <cellStyle name="Calculation 2 2 19 6" xfId="19957"/>
    <cellStyle name="Calculation 2 2 19 6 2" xfId="28279"/>
    <cellStyle name="Calculation 2 2 19 6 2 2" xfId="50882"/>
    <cellStyle name="Calculation 2 2 19 6 2 3" xfId="50883"/>
    <cellStyle name="Calculation 2 2 19 6 3" xfId="35407"/>
    <cellStyle name="Calculation 2 2 19 6 4" xfId="50884"/>
    <cellStyle name="Calculation 2 2 19 7" xfId="20915"/>
    <cellStyle name="Calculation 2 2 19 7 2" xfId="29234"/>
    <cellStyle name="Calculation 2 2 19 7 2 2" xfId="50885"/>
    <cellStyle name="Calculation 2 2 19 7 2 3" xfId="50886"/>
    <cellStyle name="Calculation 2 2 19 7 3" xfId="36317"/>
    <cellStyle name="Calculation 2 2 19 7 4" xfId="50887"/>
    <cellStyle name="Calculation 2 2 19 8" xfId="21422"/>
    <cellStyle name="Calculation 2 2 19 8 2" xfId="29725"/>
    <cellStyle name="Calculation 2 2 19 8 2 2" xfId="50888"/>
    <cellStyle name="Calculation 2 2 19 8 2 3" xfId="50889"/>
    <cellStyle name="Calculation 2 2 19 8 3" xfId="36787"/>
    <cellStyle name="Calculation 2 2 19 8 4" xfId="50890"/>
    <cellStyle name="Calculation 2 2 19 9" xfId="22350"/>
    <cellStyle name="Calculation 2 2 19 9 2" xfId="30648"/>
    <cellStyle name="Calculation 2 2 19 9 2 2" xfId="50891"/>
    <cellStyle name="Calculation 2 2 19 9 2 3" xfId="50892"/>
    <cellStyle name="Calculation 2 2 19 9 3" xfId="37670"/>
    <cellStyle name="Calculation 2 2 19 9 4" xfId="50893"/>
    <cellStyle name="Calculation 2 2 2" xfId="78"/>
    <cellStyle name="Calculation 2 2 2 10" xfId="14443"/>
    <cellStyle name="Calculation 2 2 2 10 2" xfId="50894"/>
    <cellStyle name="Calculation 2 2 2 10 3" xfId="50895"/>
    <cellStyle name="Calculation 2 2 2 11" xfId="50896"/>
    <cellStyle name="Calculation 2 2 2 12" xfId="50897"/>
    <cellStyle name="Calculation 2 2 2 13" xfId="50898"/>
    <cellStyle name="Calculation 2 2 2 14" xfId="50899"/>
    <cellStyle name="Calculation 2 2 2 15" xfId="60649"/>
    <cellStyle name="Calculation 2 2 2 16" xfId="60785"/>
    <cellStyle name="Calculation 2 2 2 2" xfId="152"/>
    <cellStyle name="Calculation 2 2 2 2 10" xfId="60836"/>
    <cellStyle name="Calculation 2 2 2 2 2" xfId="278"/>
    <cellStyle name="Calculation 2 2 2 2 2 10" xfId="60960"/>
    <cellStyle name="Calculation 2 2 2 2 2 2" xfId="687"/>
    <cellStyle name="Calculation 2 2 2 2 2 2 2" xfId="1638"/>
    <cellStyle name="Calculation 2 2 2 2 2 2 2 2" xfId="769"/>
    <cellStyle name="Calculation 2 2 2 2 2 2 2 2 2" xfId="2498"/>
    <cellStyle name="Calculation 2 2 2 2 2 2 2 2 2 2" xfId="5918"/>
    <cellStyle name="Calculation 2 2 2 2 2 2 2 2 2 2 2" xfId="12758"/>
    <cellStyle name="Calculation 2 2 2 2 2 2 2 2 2 3" xfId="9338"/>
    <cellStyle name="Calculation 2 2 2 2 2 2 2 2 3" xfId="3638"/>
    <cellStyle name="Calculation 2 2 2 2 2 2 2 2 3 2" xfId="7058"/>
    <cellStyle name="Calculation 2 2 2 2 2 2 2 2 3 2 2" xfId="13898"/>
    <cellStyle name="Calculation 2 2 2 2 2 2 2 2 3 3" xfId="10478"/>
    <cellStyle name="Calculation 2 2 2 2 2 2 2 2 4" xfId="4778"/>
    <cellStyle name="Calculation 2 2 2 2 2 2 2 2 4 2" xfId="11618"/>
    <cellStyle name="Calculation 2 2 2 2 2 2 2 2 5" xfId="8198"/>
    <cellStyle name="Calculation 2 2 2 2 2 2 2 3" xfId="2472"/>
    <cellStyle name="Calculation 2 2 2 2 2 2 2 3 2" xfId="5892"/>
    <cellStyle name="Calculation 2 2 2 2 2 2 2 3 2 2" xfId="12732"/>
    <cellStyle name="Calculation 2 2 2 2 2 2 2 3 3" xfId="9312"/>
    <cellStyle name="Calculation 2 2 2 2 2 2 2 4" xfId="3612"/>
    <cellStyle name="Calculation 2 2 2 2 2 2 2 4 2" xfId="7032"/>
    <cellStyle name="Calculation 2 2 2 2 2 2 2 4 2 2" xfId="13872"/>
    <cellStyle name="Calculation 2 2 2 2 2 2 2 4 3" xfId="10452"/>
    <cellStyle name="Calculation 2 2 2 2 2 2 2 5" xfId="4752"/>
    <cellStyle name="Calculation 2 2 2 2 2 2 2 5 2" xfId="11592"/>
    <cellStyle name="Calculation 2 2 2 2 2 2 2 6" xfId="8172"/>
    <cellStyle name="Calculation 2 2 2 2 2 2 2 7" xfId="61411"/>
    <cellStyle name="Calculation 2 2 2 2 2 2 2 8" xfId="61990"/>
    <cellStyle name="Calculation 2 2 2 2 2 2 3" xfId="38531"/>
    <cellStyle name="Calculation 2 2 2 2 2 2 4" xfId="50900"/>
    <cellStyle name="Calculation 2 2 2 2 2 2 5" xfId="50901"/>
    <cellStyle name="Calculation 2 2 2 2 2 2 6" xfId="50902"/>
    <cellStyle name="Calculation 2 2 2 2 2 2 7" xfId="60652"/>
    <cellStyle name="Calculation 2 2 2 2 2 2 8" xfId="61232"/>
    <cellStyle name="Calculation 2 2 2 2 2 3" xfId="1284"/>
    <cellStyle name="Calculation 2 2 2 2 2 3 2" xfId="986"/>
    <cellStyle name="Calculation 2 2 2 2 2 3 2 2" xfId="2527"/>
    <cellStyle name="Calculation 2 2 2 2 2 3 2 2 2" xfId="5947"/>
    <cellStyle name="Calculation 2 2 2 2 2 3 2 2 2 2" xfId="12787"/>
    <cellStyle name="Calculation 2 2 2 2 2 3 2 2 3" xfId="9367"/>
    <cellStyle name="Calculation 2 2 2 2 2 3 2 3" xfId="3667"/>
    <cellStyle name="Calculation 2 2 2 2 2 3 2 3 2" xfId="7087"/>
    <cellStyle name="Calculation 2 2 2 2 2 3 2 3 2 2" xfId="13927"/>
    <cellStyle name="Calculation 2 2 2 2 2 3 2 3 3" xfId="10507"/>
    <cellStyle name="Calculation 2 2 2 2 2 3 2 4" xfId="4807"/>
    <cellStyle name="Calculation 2 2 2 2 2 3 2 4 2" xfId="11647"/>
    <cellStyle name="Calculation 2 2 2 2 2 3 2 5" xfId="8227"/>
    <cellStyle name="Calculation 2 2 2 2 2 3 3" xfId="2104"/>
    <cellStyle name="Calculation 2 2 2 2 2 3 3 2" xfId="5524"/>
    <cellStyle name="Calculation 2 2 2 2 2 3 3 2 2" xfId="12364"/>
    <cellStyle name="Calculation 2 2 2 2 2 3 3 3" xfId="8944"/>
    <cellStyle name="Calculation 2 2 2 2 2 3 4" xfId="3244"/>
    <cellStyle name="Calculation 2 2 2 2 2 3 4 2" xfId="6664"/>
    <cellStyle name="Calculation 2 2 2 2 2 3 4 2 2" xfId="13504"/>
    <cellStyle name="Calculation 2 2 2 2 2 3 4 3" xfId="10084"/>
    <cellStyle name="Calculation 2 2 2 2 2 3 5" xfId="4384"/>
    <cellStyle name="Calculation 2 2 2 2 2 3 5 2" xfId="11224"/>
    <cellStyle name="Calculation 2 2 2 2 2 3 6" xfId="7804"/>
    <cellStyle name="Calculation 2 2 2 2 2 3 7" xfId="61470"/>
    <cellStyle name="Calculation 2 2 2 2 2 3 8" xfId="62031"/>
    <cellStyle name="Calculation 2 2 2 2 2 4" xfId="38294"/>
    <cellStyle name="Calculation 2 2 2 2 2 5" xfId="50903"/>
    <cellStyle name="Calculation 2 2 2 2 2 6" xfId="50904"/>
    <cellStyle name="Calculation 2 2 2 2 2 7" xfId="50905"/>
    <cellStyle name="Calculation 2 2 2 2 2 8" xfId="50906"/>
    <cellStyle name="Calculation 2 2 2 2 2 9" xfId="60651"/>
    <cellStyle name="Calculation 2 2 2 2 3" xfId="599"/>
    <cellStyle name="Calculation 2 2 2 2 3 2" xfId="1586"/>
    <cellStyle name="Calculation 2 2 2 2 3 2 2" xfId="818"/>
    <cellStyle name="Calculation 2 2 2 2 3 2 2 2" xfId="2686"/>
    <cellStyle name="Calculation 2 2 2 2 3 2 2 2 2" xfId="6106"/>
    <cellStyle name="Calculation 2 2 2 2 3 2 2 2 2 2" xfId="12946"/>
    <cellStyle name="Calculation 2 2 2 2 3 2 2 2 3" xfId="9526"/>
    <cellStyle name="Calculation 2 2 2 2 3 2 2 3" xfId="3826"/>
    <cellStyle name="Calculation 2 2 2 2 3 2 2 3 2" xfId="7246"/>
    <cellStyle name="Calculation 2 2 2 2 3 2 2 3 2 2" xfId="14086"/>
    <cellStyle name="Calculation 2 2 2 2 3 2 2 3 3" xfId="10666"/>
    <cellStyle name="Calculation 2 2 2 2 3 2 2 4" xfId="4966"/>
    <cellStyle name="Calculation 2 2 2 2 3 2 2 4 2" xfId="11806"/>
    <cellStyle name="Calculation 2 2 2 2 3 2 2 5" xfId="8386"/>
    <cellStyle name="Calculation 2 2 2 2 3 2 3" xfId="2411"/>
    <cellStyle name="Calculation 2 2 2 2 3 2 3 2" xfId="5831"/>
    <cellStyle name="Calculation 2 2 2 2 3 2 3 2 2" xfId="12671"/>
    <cellStyle name="Calculation 2 2 2 2 3 2 3 3" xfId="9251"/>
    <cellStyle name="Calculation 2 2 2 2 3 2 4" xfId="3551"/>
    <cellStyle name="Calculation 2 2 2 2 3 2 4 2" xfId="6971"/>
    <cellStyle name="Calculation 2 2 2 2 3 2 4 2 2" xfId="13811"/>
    <cellStyle name="Calculation 2 2 2 2 3 2 4 3" xfId="10391"/>
    <cellStyle name="Calculation 2 2 2 2 3 2 5" xfId="4691"/>
    <cellStyle name="Calculation 2 2 2 2 3 2 5 2" xfId="11531"/>
    <cellStyle name="Calculation 2 2 2 2 3 2 6" xfId="8111"/>
    <cellStyle name="Calculation 2 2 2 2 3 2 7" xfId="61373"/>
    <cellStyle name="Calculation 2 2 2 2 3 2 8" xfId="61963"/>
    <cellStyle name="Calculation 2 2 2 2 3 3" xfId="38480"/>
    <cellStyle name="Calculation 2 2 2 2 3 4" xfId="50907"/>
    <cellStyle name="Calculation 2 2 2 2 3 5" xfId="50908"/>
    <cellStyle name="Calculation 2 2 2 2 3 6" xfId="50909"/>
    <cellStyle name="Calculation 2 2 2 2 3 7" xfId="60653"/>
    <cellStyle name="Calculation 2 2 2 2 3 8" xfId="61233"/>
    <cellStyle name="Calculation 2 2 2 2 4" xfId="1160"/>
    <cellStyle name="Calculation 2 2 2 2 4 2" xfId="1789"/>
    <cellStyle name="Calculation 2 2 2 2 4 2 2" xfId="2929"/>
    <cellStyle name="Calculation 2 2 2 2 4 2 2 2" xfId="6349"/>
    <cellStyle name="Calculation 2 2 2 2 4 2 2 2 2" xfId="13189"/>
    <cellStyle name="Calculation 2 2 2 2 4 2 2 3" xfId="9769"/>
    <cellStyle name="Calculation 2 2 2 2 4 2 3" xfId="4069"/>
    <cellStyle name="Calculation 2 2 2 2 4 2 3 2" xfId="7489"/>
    <cellStyle name="Calculation 2 2 2 2 4 2 3 2 2" xfId="14329"/>
    <cellStyle name="Calculation 2 2 2 2 4 2 3 3" xfId="10909"/>
    <cellStyle name="Calculation 2 2 2 2 4 2 4" xfId="5209"/>
    <cellStyle name="Calculation 2 2 2 2 4 2 4 2" xfId="12049"/>
    <cellStyle name="Calculation 2 2 2 2 4 2 5" xfId="8629"/>
    <cellStyle name="Calculation 2 2 2 2 4 3" xfId="1979"/>
    <cellStyle name="Calculation 2 2 2 2 4 3 2" xfId="5399"/>
    <cellStyle name="Calculation 2 2 2 2 4 3 2 2" xfId="12239"/>
    <cellStyle name="Calculation 2 2 2 2 4 3 3" xfId="8819"/>
    <cellStyle name="Calculation 2 2 2 2 4 4" xfId="3119"/>
    <cellStyle name="Calculation 2 2 2 2 4 4 2" xfId="6539"/>
    <cellStyle name="Calculation 2 2 2 2 4 4 2 2" xfId="13379"/>
    <cellStyle name="Calculation 2 2 2 2 4 4 3" xfId="9959"/>
    <cellStyle name="Calculation 2 2 2 2 4 5" xfId="4259"/>
    <cellStyle name="Calculation 2 2 2 2 4 5 2" xfId="11099"/>
    <cellStyle name="Calculation 2 2 2 2 4 6" xfId="7679"/>
    <cellStyle name="Calculation 2 2 2 2 4 7" xfId="61819"/>
    <cellStyle name="Calculation 2 2 2 2 4 8" xfId="62298"/>
    <cellStyle name="Calculation 2 2 2 2 5" xfId="15588"/>
    <cellStyle name="Calculation 2 2 2 2 6" xfId="23900"/>
    <cellStyle name="Calculation 2 2 2 2 7" xfId="38216"/>
    <cellStyle name="Calculation 2 2 2 2 8" xfId="50910"/>
    <cellStyle name="Calculation 2 2 2 2 9" xfId="60650"/>
    <cellStyle name="Calculation 2 2 2 3" xfId="318"/>
    <cellStyle name="Calculation 2 2 2 3 10" xfId="60999"/>
    <cellStyle name="Calculation 2 2 2 3 2" xfId="175"/>
    <cellStyle name="Calculation 2 2 2 3 2 2" xfId="1183"/>
    <cellStyle name="Calculation 2 2 2 3 2 2 2" xfId="1036"/>
    <cellStyle name="Calculation 2 2 2 3 2 2 2 2" xfId="2716"/>
    <cellStyle name="Calculation 2 2 2 3 2 2 2 2 2" xfId="6136"/>
    <cellStyle name="Calculation 2 2 2 3 2 2 2 2 2 2" xfId="12976"/>
    <cellStyle name="Calculation 2 2 2 3 2 2 2 2 3" xfId="9556"/>
    <cellStyle name="Calculation 2 2 2 3 2 2 2 3" xfId="3856"/>
    <cellStyle name="Calculation 2 2 2 3 2 2 2 3 2" xfId="7276"/>
    <cellStyle name="Calculation 2 2 2 3 2 2 2 3 2 2" xfId="14116"/>
    <cellStyle name="Calculation 2 2 2 3 2 2 2 3 3" xfId="10696"/>
    <cellStyle name="Calculation 2 2 2 3 2 2 2 4" xfId="4996"/>
    <cellStyle name="Calculation 2 2 2 3 2 2 2 4 2" xfId="11836"/>
    <cellStyle name="Calculation 2 2 2 3 2 2 2 5" xfId="8416"/>
    <cellStyle name="Calculation 2 2 2 3 2 2 3" xfId="2002"/>
    <cellStyle name="Calculation 2 2 2 3 2 2 3 2" xfId="5422"/>
    <cellStyle name="Calculation 2 2 2 3 2 2 3 2 2" xfId="12262"/>
    <cellStyle name="Calculation 2 2 2 3 2 2 3 3" xfId="8842"/>
    <cellStyle name="Calculation 2 2 2 3 2 2 4" xfId="3142"/>
    <cellStyle name="Calculation 2 2 2 3 2 2 4 2" xfId="6562"/>
    <cellStyle name="Calculation 2 2 2 3 2 2 4 2 2" xfId="13402"/>
    <cellStyle name="Calculation 2 2 2 3 2 2 4 3" xfId="9982"/>
    <cellStyle name="Calculation 2 2 2 3 2 2 5" xfId="4282"/>
    <cellStyle name="Calculation 2 2 2 3 2 2 5 2" xfId="11122"/>
    <cellStyle name="Calculation 2 2 2 3 2 2 6" xfId="7702"/>
    <cellStyle name="Calculation 2 2 2 3 2 2 7" xfId="61817"/>
    <cellStyle name="Calculation 2 2 2 3 2 2 8" xfId="62296"/>
    <cellStyle name="Calculation 2 2 2 3 2 3" xfId="38234"/>
    <cellStyle name="Calculation 2 2 2 3 2 4" xfId="50911"/>
    <cellStyle name="Calculation 2 2 2 3 2 5" xfId="50912"/>
    <cellStyle name="Calculation 2 2 2 3 2 6" xfId="50913"/>
    <cellStyle name="Calculation 2 2 2 3 2 7" xfId="50914"/>
    <cellStyle name="Calculation 2 2 2 3 2 8" xfId="60655"/>
    <cellStyle name="Calculation 2 2 2 3 2 9" xfId="60859"/>
    <cellStyle name="Calculation 2 2 2 3 3" xfId="1323"/>
    <cellStyle name="Calculation 2 2 2 3 3 2" xfId="1876"/>
    <cellStyle name="Calculation 2 2 2 3 3 2 2" xfId="3016"/>
    <cellStyle name="Calculation 2 2 2 3 3 2 2 2" xfId="6436"/>
    <cellStyle name="Calculation 2 2 2 3 3 2 2 2 2" xfId="13276"/>
    <cellStyle name="Calculation 2 2 2 3 3 2 2 3" xfId="9856"/>
    <cellStyle name="Calculation 2 2 2 3 3 2 3" xfId="4156"/>
    <cellStyle name="Calculation 2 2 2 3 3 2 3 2" xfId="7576"/>
    <cellStyle name="Calculation 2 2 2 3 3 2 3 2 2" xfId="14416"/>
    <cellStyle name="Calculation 2 2 2 3 3 2 3 3" xfId="10996"/>
    <cellStyle name="Calculation 2 2 2 3 3 2 4" xfId="5296"/>
    <cellStyle name="Calculation 2 2 2 3 3 2 4 2" xfId="12136"/>
    <cellStyle name="Calculation 2 2 2 3 3 2 5" xfId="8716"/>
    <cellStyle name="Calculation 2 2 2 3 3 3" xfId="2144"/>
    <cellStyle name="Calculation 2 2 2 3 3 3 2" xfId="5564"/>
    <cellStyle name="Calculation 2 2 2 3 3 3 2 2" xfId="12404"/>
    <cellStyle name="Calculation 2 2 2 3 3 3 3" xfId="8984"/>
    <cellStyle name="Calculation 2 2 2 3 3 4" xfId="3284"/>
    <cellStyle name="Calculation 2 2 2 3 3 4 2" xfId="6704"/>
    <cellStyle name="Calculation 2 2 2 3 3 4 2 2" xfId="13544"/>
    <cellStyle name="Calculation 2 2 2 3 3 4 3" xfId="10124"/>
    <cellStyle name="Calculation 2 2 2 3 3 5" xfId="4424"/>
    <cellStyle name="Calculation 2 2 2 3 3 5 2" xfId="11264"/>
    <cellStyle name="Calculation 2 2 2 3 3 6" xfId="7844"/>
    <cellStyle name="Calculation 2 2 2 3 3 7" xfId="61818"/>
    <cellStyle name="Calculation 2 2 2 3 3 8" xfId="62297"/>
    <cellStyle name="Calculation 2 2 2 3 4" xfId="16558"/>
    <cellStyle name="Calculation 2 2 2 3 5" xfId="24871"/>
    <cellStyle name="Calculation 2 2 2 3 6" xfId="32131"/>
    <cellStyle name="Calculation 2 2 2 3 7" xfId="50915"/>
    <cellStyle name="Calculation 2 2 2 3 8" xfId="50916"/>
    <cellStyle name="Calculation 2 2 2 3 9" xfId="60654"/>
    <cellStyle name="Calculation 2 2 2 4" xfId="219"/>
    <cellStyle name="Calculation 2 2 2 4 10" xfId="60902"/>
    <cellStyle name="Calculation 2 2 2 4 2" xfId="531"/>
    <cellStyle name="Calculation 2 2 2 4 2 2" xfId="1535"/>
    <cellStyle name="Calculation 2 2 2 4 2 2 2" xfId="1792"/>
    <cellStyle name="Calculation 2 2 2 4 2 2 2 2" xfId="2932"/>
    <cellStyle name="Calculation 2 2 2 4 2 2 2 2 2" xfId="6352"/>
    <cellStyle name="Calculation 2 2 2 4 2 2 2 2 2 2" xfId="13192"/>
    <cellStyle name="Calculation 2 2 2 4 2 2 2 2 3" xfId="9772"/>
    <cellStyle name="Calculation 2 2 2 4 2 2 2 3" xfId="4072"/>
    <cellStyle name="Calculation 2 2 2 4 2 2 2 3 2" xfId="7492"/>
    <cellStyle name="Calculation 2 2 2 4 2 2 2 3 2 2" xfId="14332"/>
    <cellStyle name="Calculation 2 2 2 4 2 2 2 3 3" xfId="10912"/>
    <cellStyle name="Calculation 2 2 2 4 2 2 2 4" xfId="5212"/>
    <cellStyle name="Calculation 2 2 2 4 2 2 2 4 2" xfId="12052"/>
    <cellStyle name="Calculation 2 2 2 4 2 2 2 5" xfId="8632"/>
    <cellStyle name="Calculation 2 2 2 4 2 2 3" xfId="2356"/>
    <cellStyle name="Calculation 2 2 2 4 2 2 3 2" xfId="5776"/>
    <cellStyle name="Calculation 2 2 2 4 2 2 3 2 2" xfId="12616"/>
    <cellStyle name="Calculation 2 2 2 4 2 2 3 3" xfId="9196"/>
    <cellStyle name="Calculation 2 2 2 4 2 2 4" xfId="3496"/>
    <cellStyle name="Calculation 2 2 2 4 2 2 4 2" xfId="6916"/>
    <cellStyle name="Calculation 2 2 2 4 2 2 4 2 2" xfId="13756"/>
    <cellStyle name="Calculation 2 2 2 4 2 2 4 3" xfId="10336"/>
    <cellStyle name="Calculation 2 2 2 4 2 2 5" xfId="4636"/>
    <cellStyle name="Calculation 2 2 2 4 2 2 5 2" xfId="11476"/>
    <cellStyle name="Calculation 2 2 2 4 2 2 6" xfId="8056"/>
    <cellStyle name="Calculation 2 2 2 4 2 2 7" xfId="61815"/>
    <cellStyle name="Calculation 2 2 2 4 2 2 8" xfId="62294"/>
    <cellStyle name="Calculation 2 2 2 4 2 3" xfId="38450"/>
    <cellStyle name="Calculation 2 2 2 4 2 4" xfId="50917"/>
    <cellStyle name="Calculation 2 2 2 4 2 5" xfId="50918"/>
    <cellStyle name="Calculation 2 2 2 4 2 6" xfId="50919"/>
    <cellStyle name="Calculation 2 2 2 4 2 7" xfId="50920"/>
    <cellStyle name="Calculation 2 2 2 4 2 8" xfId="60657"/>
    <cellStyle name="Calculation 2 2 2 4 2 9" xfId="61211"/>
    <cellStyle name="Calculation 2 2 2 4 3" xfId="1226"/>
    <cellStyle name="Calculation 2 2 2 4 3 2" xfId="1729"/>
    <cellStyle name="Calculation 2 2 2 4 3 2 2" xfId="2869"/>
    <cellStyle name="Calculation 2 2 2 4 3 2 2 2" xfId="6289"/>
    <cellStyle name="Calculation 2 2 2 4 3 2 2 2 2" xfId="13129"/>
    <cellStyle name="Calculation 2 2 2 4 3 2 2 3" xfId="9709"/>
    <cellStyle name="Calculation 2 2 2 4 3 2 3" xfId="4009"/>
    <cellStyle name="Calculation 2 2 2 4 3 2 3 2" xfId="7429"/>
    <cellStyle name="Calculation 2 2 2 4 3 2 3 2 2" xfId="14269"/>
    <cellStyle name="Calculation 2 2 2 4 3 2 3 3" xfId="10849"/>
    <cellStyle name="Calculation 2 2 2 4 3 2 4" xfId="5149"/>
    <cellStyle name="Calculation 2 2 2 4 3 2 4 2" xfId="11989"/>
    <cellStyle name="Calculation 2 2 2 4 3 2 5" xfId="8569"/>
    <cellStyle name="Calculation 2 2 2 4 3 3" xfId="2046"/>
    <cellStyle name="Calculation 2 2 2 4 3 3 2" xfId="5466"/>
    <cellStyle name="Calculation 2 2 2 4 3 3 2 2" xfId="12306"/>
    <cellStyle name="Calculation 2 2 2 4 3 3 3" xfId="8886"/>
    <cellStyle name="Calculation 2 2 2 4 3 4" xfId="3186"/>
    <cellStyle name="Calculation 2 2 2 4 3 4 2" xfId="6606"/>
    <cellStyle name="Calculation 2 2 2 4 3 4 2 2" xfId="13446"/>
    <cellStyle name="Calculation 2 2 2 4 3 4 3" xfId="10026"/>
    <cellStyle name="Calculation 2 2 2 4 3 5" xfId="4326"/>
    <cellStyle name="Calculation 2 2 2 4 3 5 2" xfId="11166"/>
    <cellStyle name="Calculation 2 2 2 4 3 6" xfId="7746"/>
    <cellStyle name="Calculation 2 2 2 4 3 7" xfId="61816"/>
    <cellStyle name="Calculation 2 2 2 4 3 8" xfId="62295"/>
    <cellStyle name="Calculation 2 2 2 4 4" xfId="17576"/>
    <cellStyle name="Calculation 2 2 2 4 5" xfId="25895"/>
    <cellStyle name="Calculation 2 2 2 4 6" xfId="33108"/>
    <cellStyle name="Calculation 2 2 2 4 7" xfId="50921"/>
    <cellStyle name="Calculation 2 2 2 4 8" xfId="50922"/>
    <cellStyle name="Calculation 2 2 2 4 9" xfId="60656"/>
    <cellStyle name="Calculation 2 2 2 5" xfId="481"/>
    <cellStyle name="Calculation 2 2 2 5 10" xfId="61161"/>
    <cellStyle name="Calculation 2 2 2 5 2" xfId="437"/>
    <cellStyle name="Calculation 2 2 2 5 2 2" xfId="1441"/>
    <cellStyle name="Calculation 2 2 2 5 2 2 2" xfId="1683"/>
    <cellStyle name="Calculation 2 2 2 5 2 2 2 2" xfId="2823"/>
    <cellStyle name="Calculation 2 2 2 5 2 2 2 2 2" xfId="6243"/>
    <cellStyle name="Calculation 2 2 2 5 2 2 2 2 2 2" xfId="13083"/>
    <cellStyle name="Calculation 2 2 2 5 2 2 2 2 3" xfId="9663"/>
    <cellStyle name="Calculation 2 2 2 5 2 2 2 3" xfId="3963"/>
    <cellStyle name="Calculation 2 2 2 5 2 2 2 3 2" xfId="7383"/>
    <cellStyle name="Calculation 2 2 2 5 2 2 2 3 2 2" xfId="14223"/>
    <cellStyle name="Calculation 2 2 2 5 2 2 2 3 3" xfId="10803"/>
    <cellStyle name="Calculation 2 2 2 5 2 2 2 4" xfId="5103"/>
    <cellStyle name="Calculation 2 2 2 5 2 2 2 4 2" xfId="11943"/>
    <cellStyle name="Calculation 2 2 2 5 2 2 2 5" xfId="8523"/>
    <cellStyle name="Calculation 2 2 2 5 2 2 3" xfId="2262"/>
    <cellStyle name="Calculation 2 2 2 5 2 2 3 2" xfId="5682"/>
    <cellStyle name="Calculation 2 2 2 5 2 2 3 2 2" xfId="12522"/>
    <cellStyle name="Calculation 2 2 2 5 2 2 3 3" xfId="9102"/>
    <cellStyle name="Calculation 2 2 2 5 2 2 4" xfId="3402"/>
    <cellStyle name="Calculation 2 2 2 5 2 2 4 2" xfId="6822"/>
    <cellStyle name="Calculation 2 2 2 5 2 2 4 2 2" xfId="13662"/>
    <cellStyle name="Calculation 2 2 2 5 2 2 4 3" xfId="10242"/>
    <cellStyle name="Calculation 2 2 2 5 2 2 5" xfId="4542"/>
    <cellStyle name="Calculation 2 2 2 5 2 2 5 2" xfId="11382"/>
    <cellStyle name="Calculation 2 2 2 5 2 2 6" xfId="7962"/>
    <cellStyle name="Calculation 2 2 2 5 2 2 7" xfId="61813"/>
    <cellStyle name="Calculation 2 2 2 5 2 2 8" xfId="62292"/>
    <cellStyle name="Calculation 2 2 2 5 2 3" xfId="38400"/>
    <cellStyle name="Calculation 2 2 2 5 2 4" xfId="50923"/>
    <cellStyle name="Calculation 2 2 2 5 2 5" xfId="50924"/>
    <cellStyle name="Calculation 2 2 2 5 2 6" xfId="50925"/>
    <cellStyle name="Calculation 2 2 2 5 2 7" xfId="50926"/>
    <cellStyle name="Calculation 2 2 2 5 2 8" xfId="60659"/>
    <cellStyle name="Calculation 2 2 2 5 2 9" xfId="61117"/>
    <cellStyle name="Calculation 2 2 2 5 3" xfId="1485"/>
    <cellStyle name="Calculation 2 2 2 5 3 2" xfId="867"/>
    <cellStyle name="Calculation 2 2 2 5 3 2 2" xfId="2663"/>
    <cellStyle name="Calculation 2 2 2 5 3 2 2 2" xfId="6083"/>
    <cellStyle name="Calculation 2 2 2 5 3 2 2 2 2" xfId="12923"/>
    <cellStyle name="Calculation 2 2 2 5 3 2 2 3" xfId="9503"/>
    <cellStyle name="Calculation 2 2 2 5 3 2 3" xfId="3803"/>
    <cellStyle name="Calculation 2 2 2 5 3 2 3 2" xfId="7223"/>
    <cellStyle name="Calculation 2 2 2 5 3 2 3 2 2" xfId="14063"/>
    <cellStyle name="Calculation 2 2 2 5 3 2 3 3" xfId="10643"/>
    <cellStyle name="Calculation 2 2 2 5 3 2 4" xfId="4943"/>
    <cellStyle name="Calculation 2 2 2 5 3 2 4 2" xfId="11783"/>
    <cellStyle name="Calculation 2 2 2 5 3 2 5" xfId="8363"/>
    <cellStyle name="Calculation 2 2 2 5 3 3" xfId="2306"/>
    <cellStyle name="Calculation 2 2 2 5 3 3 2" xfId="5726"/>
    <cellStyle name="Calculation 2 2 2 5 3 3 2 2" xfId="12566"/>
    <cellStyle name="Calculation 2 2 2 5 3 3 3" xfId="9146"/>
    <cellStyle name="Calculation 2 2 2 5 3 4" xfId="3446"/>
    <cellStyle name="Calculation 2 2 2 5 3 4 2" xfId="6866"/>
    <cellStyle name="Calculation 2 2 2 5 3 4 2 2" xfId="13706"/>
    <cellStyle name="Calculation 2 2 2 5 3 4 3" xfId="10286"/>
    <cellStyle name="Calculation 2 2 2 5 3 5" xfId="4586"/>
    <cellStyle name="Calculation 2 2 2 5 3 5 2" xfId="11426"/>
    <cellStyle name="Calculation 2 2 2 5 3 6" xfId="8006"/>
    <cellStyle name="Calculation 2 2 2 5 3 7" xfId="61814"/>
    <cellStyle name="Calculation 2 2 2 5 3 8" xfId="62293"/>
    <cellStyle name="Calculation 2 2 2 5 4" xfId="16545"/>
    <cellStyle name="Calculation 2 2 2 5 5" xfId="24858"/>
    <cellStyle name="Calculation 2 2 2 5 6" xfId="32118"/>
    <cellStyle name="Calculation 2 2 2 5 7" xfId="50927"/>
    <cellStyle name="Calculation 2 2 2 5 8" xfId="50928"/>
    <cellStyle name="Calculation 2 2 2 5 9" xfId="60658"/>
    <cellStyle name="Calculation 2 2 2 6" xfId="486"/>
    <cellStyle name="Calculation 2 2 2 6 10" xfId="61166"/>
    <cellStyle name="Calculation 2 2 2 6 2" xfId="187"/>
    <cellStyle name="Calculation 2 2 2 6 2 2" xfId="1195"/>
    <cellStyle name="Calculation 2 2 2 6 2 2 2" xfId="1030"/>
    <cellStyle name="Calculation 2 2 2 6 2 2 2 2" xfId="2612"/>
    <cellStyle name="Calculation 2 2 2 6 2 2 2 2 2" xfId="6032"/>
    <cellStyle name="Calculation 2 2 2 6 2 2 2 2 2 2" xfId="12872"/>
    <cellStyle name="Calculation 2 2 2 6 2 2 2 2 3" xfId="9452"/>
    <cellStyle name="Calculation 2 2 2 6 2 2 2 3" xfId="3752"/>
    <cellStyle name="Calculation 2 2 2 6 2 2 2 3 2" xfId="7172"/>
    <cellStyle name="Calculation 2 2 2 6 2 2 2 3 2 2" xfId="14012"/>
    <cellStyle name="Calculation 2 2 2 6 2 2 2 3 3" xfId="10592"/>
    <cellStyle name="Calculation 2 2 2 6 2 2 2 4" xfId="4892"/>
    <cellStyle name="Calculation 2 2 2 6 2 2 2 4 2" xfId="11732"/>
    <cellStyle name="Calculation 2 2 2 6 2 2 2 5" xfId="8312"/>
    <cellStyle name="Calculation 2 2 2 6 2 2 3" xfId="2014"/>
    <cellStyle name="Calculation 2 2 2 6 2 2 3 2" xfId="5434"/>
    <cellStyle name="Calculation 2 2 2 6 2 2 3 2 2" xfId="12274"/>
    <cellStyle name="Calculation 2 2 2 6 2 2 3 3" xfId="8854"/>
    <cellStyle name="Calculation 2 2 2 6 2 2 4" xfId="3154"/>
    <cellStyle name="Calculation 2 2 2 6 2 2 4 2" xfId="6574"/>
    <cellStyle name="Calculation 2 2 2 6 2 2 4 2 2" xfId="13414"/>
    <cellStyle name="Calculation 2 2 2 6 2 2 4 3" xfId="9994"/>
    <cellStyle name="Calculation 2 2 2 6 2 2 5" xfId="4294"/>
    <cellStyle name="Calculation 2 2 2 6 2 2 5 2" xfId="11134"/>
    <cellStyle name="Calculation 2 2 2 6 2 2 6" xfId="7714"/>
    <cellStyle name="Calculation 2 2 2 6 2 2 7" xfId="61811"/>
    <cellStyle name="Calculation 2 2 2 6 2 2 8" xfId="62290"/>
    <cellStyle name="Calculation 2 2 2 6 2 3" xfId="38242"/>
    <cellStyle name="Calculation 2 2 2 6 2 4" xfId="50929"/>
    <cellStyle name="Calculation 2 2 2 6 2 5" xfId="50930"/>
    <cellStyle name="Calculation 2 2 2 6 2 6" xfId="50931"/>
    <cellStyle name="Calculation 2 2 2 6 2 7" xfId="50932"/>
    <cellStyle name="Calculation 2 2 2 6 2 8" xfId="60661"/>
    <cellStyle name="Calculation 2 2 2 6 2 9" xfId="60871"/>
    <cellStyle name="Calculation 2 2 2 6 3" xfId="1490"/>
    <cellStyle name="Calculation 2 2 2 6 3 2" xfId="864"/>
    <cellStyle name="Calculation 2 2 2 6 3 2 2" xfId="2579"/>
    <cellStyle name="Calculation 2 2 2 6 3 2 2 2" xfId="5999"/>
    <cellStyle name="Calculation 2 2 2 6 3 2 2 2 2" xfId="12839"/>
    <cellStyle name="Calculation 2 2 2 6 3 2 2 3" xfId="9419"/>
    <cellStyle name="Calculation 2 2 2 6 3 2 3" xfId="3719"/>
    <cellStyle name="Calculation 2 2 2 6 3 2 3 2" xfId="7139"/>
    <cellStyle name="Calculation 2 2 2 6 3 2 3 2 2" xfId="13979"/>
    <cellStyle name="Calculation 2 2 2 6 3 2 3 3" xfId="10559"/>
    <cellStyle name="Calculation 2 2 2 6 3 2 4" xfId="4859"/>
    <cellStyle name="Calculation 2 2 2 6 3 2 4 2" xfId="11699"/>
    <cellStyle name="Calculation 2 2 2 6 3 2 5" xfId="8279"/>
    <cellStyle name="Calculation 2 2 2 6 3 3" xfId="2311"/>
    <cellStyle name="Calculation 2 2 2 6 3 3 2" xfId="5731"/>
    <cellStyle name="Calculation 2 2 2 6 3 3 2 2" xfId="12571"/>
    <cellStyle name="Calculation 2 2 2 6 3 3 3" xfId="9151"/>
    <cellStyle name="Calculation 2 2 2 6 3 4" xfId="3451"/>
    <cellStyle name="Calculation 2 2 2 6 3 4 2" xfId="6871"/>
    <cellStyle name="Calculation 2 2 2 6 3 4 2 2" xfId="13711"/>
    <cellStyle name="Calculation 2 2 2 6 3 4 3" xfId="10291"/>
    <cellStyle name="Calculation 2 2 2 6 3 5" xfId="4591"/>
    <cellStyle name="Calculation 2 2 2 6 3 5 2" xfId="11431"/>
    <cellStyle name="Calculation 2 2 2 6 3 6" xfId="8011"/>
    <cellStyle name="Calculation 2 2 2 6 3 7" xfId="61812"/>
    <cellStyle name="Calculation 2 2 2 6 3 8" xfId="62291"/>
    <cellStyle name="Calculation 2 2 2 6 4" xfId="15492"/>
    <cellStyle name="Calculation 2 2 2 6 5" xfId="23832"/>
    <cellStyle name="Calculation 2 2 2 6 6" xfId="31181"/>
    <cellStyle name="Calculation 2 2 2 6 7" xfId="50933"/>
    <cellStyle name="Calculation 2 2 2 6 8" xfId="50934"/>
    <cellStyle name="Calculation 2 2 2 6 9" xfId="60660"/>
    <cellStyle name="Calculation 2 2 2 7" xfId="1109"/>
    <cellStyle name="Calculation 2 2 2 7 10" xfId="61820"/>
    <cellStyle name="Calculation 2 2 2 7 11" xfId="62299"/>
    <cellStyle name="Calculation 2 2 2 7 2" xfId="1772"/>
    <cellStyle name="Calculation 2 2 2 7 2 2" xfId="2912"/>
    <cellStyle name="Calculation 2 2 2 7 2 2 2" xfId="6332"/>
    <cellStyle name="Calculation 2 2 2 7 2 2 2 2" xfId="13172"/>
    <cellStyle name="Calculation 2 2 2 7 2 2 3" xfId="9752"/>
    <cellStyle name="Calculation 2 2 2 7 2 3" xfId="4052"/>
    <cellStyle name="Calculation 2 2 2 7 2 3 2" xfId="7472"/>
    <cellStyle name="Calculation 2 2 2 7 2 3 2 2" xfId="14312"/>
    <cellStyle name="Calculation 2 2 2 7 2 3 3" xfId="10892"/>
    <cellStyle name="Calculation 2 2 2 7 2 4" xfId="5192"/>
    <cellStyle name="Calculation 2 2 2 7 2 4 2" xfId="12032"/>
    <cellStyle name="Calculation 2 2 2 7 2 5" xfId="8612"/>
    <cellStyle name="Calculation 2 2 2 7 3" xfId="1918"/>
    <cellStyle name="Calculation 2 2 2 7 3 2" xfId="5338"/>
    <cellStyle name="Calculation 2 2 2 7 3 2 2" xfId="12178"/>
    <cellStyle name="Calculation 2 2 2 7 3 3" xfId="8758"/>
    <cellStyle name="Calculation 2 2 2 7 4" xfId="3058"/>
    <cellStyle name="Calculation 2 2 2 7 4 2" xfId="6478"/>
    <cellStyle name="Calculation 2 2 2 7 4 2 2" xfId="13318"/>
    <cellStyle name="Calculation 2 2 2 7 4 3" xfId="9898"/>
    <cellStyle name="Calculation 2 2 2 7 5" xfId="4198"/>
    <cellStyle name="Calculation 2 2 2 7 5 2" xfId="11038"/>
    <cellStyle name="Calculation 2 2 2 7 6" xfId="7618"/>
    <cellStyle name="Calculation 2 2 2 7 7" xfId="15502"/>
    <cellStyle name="Calculation 2 2 2 7 8" xfId="23843"/>
    <cellStyle name="Calculation 2 2 2 7 9" xfId="31192"/>
    <cellStyle name="Calculation 2 2 2 8" xfId="21273"/>
    <cellStyle name="Calculation 2 2 2 8 2" xfId="29581"/>
    <cellStyle name="Calculation 2 2 2 8 2 2" xfId="50935"/>
    <cellStyle name="Calculation 2 2 2 8 2 3" xfId="50936"/>
    <cellStyle name="Calculation 2 2 2 8 3" xfId="36648"/>
    <cellStyle name="Calculation 2 2 2 8 4" xfId="50937"/>
    <cellStyle name="Calculation 2 2 2 9" xfId="21149"/>
    <cellStyle name="Calculation 2 2 2 9 2" xfId="29461"/>
    <cellStyle name="Calculation 2 2 2 9 2 2" xfId="50938"/>
    <cellStyle name="Calculation 2 2 2 9 2 3" xfId="50939"/>
    <cellStyle name="Calculation 2 2 2 9 3" xfId="36533"/>
    <cellStyle name="Calculation 2 2 2 9 4" xfId="50940"/>
    <cellStyle name="Calculation 2 2 20" xfId="14902"/>
    <cellStyle name="Calculation 2 2 20 10" xfId="23265"/>
    <cellStyle name="Calculation 2 2 20 11" xfId="50941"/>
    <cellStyle name="Calculation 2 2 20 2" xfId="15983"/>
    <cellStyle name="Calculation 2 2 20 2 2" xfId="24300"/>
    <cellStyle name="Calculation 2 2 20 2 2 2" xfId="50942"/>
    <cellStyle name="Calculation 2 2 20 2 2 3" xfId="50943"/>
    <cellStyle name="Calculation 2 2 20 2 3" xfId="31580"/>
    <cellStyle name="Calculation 2 2 20 2 4" xfId="50944"/>
    <cellStyle name="Calculation 2 2 20 3" xfId="16949"/>
    <cellStyle name="Calculation 2 2 20 3 2" xfId="25272"/>
    <cellStyle name="Calculation 2 2 20 3 2 2" xfId="50945"/>
    <cellStyle name="Calculation 2 2 20 3 2 3" xfId="50946"/>
    <cellStyle name="Calculation 2 2 20 3 3" xfId="32513"/>
    <cellStyle name="Calculation 2 2 20 3 4" xfId="50947"/>
    <cellStyle name="Calculation 2 2 20 4" xfId="17976"/>
    <cellStyle name="Calculation 2 2 20 4 2" xfId="26298"/>
    <cellStyle name="Calculation 2 2 20 4 2 2" xfId="50948"/>
    <cellStyle name="Calculation 2 2 20 4 2 3" xfId="50949"/>
    <cellStyle name="Calculation 2 2 20 4 3" xfId="33490"/>
    <cellStyle name="Calculation 2 2 20 4 4" xfId="50950"/>
    <cellStyle name="Calculation 2 2 20 5" xfId="18960"/>
    <cellStyle name="Calculation 2 2 20 5 2" xfId="27280"/>
    <cellStyle name="Calculation 2 2 20 5 2 2" xfId="50951"/>
    <cellStyle name="Calculation 2 2 20 5 2 3" xfId="50952"/>
    <cellStyle name="Calculation 2 2 20 5 3" xfId="34431"/>
    <cellStyle name="Calculation 2 2 20 5 4" xfId="50953"/>
    <cellStyle name="Calculation 2 2 20 6" xfId="19928"/>
    <cellStyle name="Calculation 2 2 20 6 2" xfId="28250"/>
    <cellStyle name="Calculation 2 2 20 6 2 2" xfId="50954"/>
    <cellStyle name="Calculation 2 2 20 6 2 3" xfId="50955"/>
    <cellStyle name="Calculation 2 2 20 6 3" xfId="35378"/>
    <cellStyle name="Calculation 2 2 20 6 4" xfId="50956"/>
    <cellStyle name="Calculation 2 2 20 7" xfId="20886"/>
    <cellStyle name="Calculation 2 2 20 7 2" xfId="29205"/>
    <cellStyle name="Calculation 2 2 20 7 2 2" xfId="50957"/>
    <cellStyle name="Calculation 2 2 20 7 2 3" xfId="50958"/>
    <cellStyle name="Calculation 2 2 20 7 3" xfId="36288"/>
    <cellStyle name="Calculation 2 2 20 7 4" xfId="50959"/>
    <cellStyle name="Calculation 2 2 20 8" xfId="21393"/>
    <cellStyle name="Calculation 2 2 20 8 2" xfId="29696"/>
    <cellStyle name="Calculation 2 2 20 8 2 2" xfId="50960"/>
    <cellStyle name="Calculation 2 2 20 8 2 3" xfId="50961"/>
    <cellStyle name="Calculation 2 2 20 8 3" xfId="36758"/>
    <cellStyle name="Calculation 2 2 20 8 4" xfId="50962"/>
    <cellStyle name="Calculation 2 2 20 9" xfId="22321"/>
    <cellStyle name="Calculation 2 2 20 9 2" xfId="30619"/>
    <cellStyle name="Calculation 2 2 20 9 2 2" xfId="50963"/>
    <cellStyle name="Calculation 2 2 20 9 2 3" xfId="50964"/>
    <cellStyle name="Calculation 2 2 20 9 3" xfId="37641"/>
    <cellStyle name="Calculation 2 2 20 9 4" xfId="50965"/>
    <cellStyle name="Calculation 2 2 21" xfId="14962"/>
    <cellStyle name="Calculation 2 2 21 10" xfId="23323"/>
    <cellStyle name="Calculation 2 2 21 11" xfId="50966"/>
    <cellStyle name="Calculation 2 2 21 2" xfId="16043"/>
    <cellStyle name="Calculation 2 2 21 2 2" xfId="24358"/>
    <cellStyle name="Calculation 2 2 21 2 2 2" xfId="50967"/>
    <cellStyle name="Calculation 2 2 21 2 2 3" xfId="50968"/>
    <cellStyle name="Calculation 2 2 21 2 3" xfId="31637"/>
    <cellStyle name="Calculation 2 2 21 2 4" xfId="50969"/>
    <cellStyle name="Calculation 2 2 21 3" xfId="17009"/>
    <cellStyle name="Calculation 2 2 21 3 2" xfId="25330"/>
    <cellStyle name="Calculation 2 2 21 3 2 2" xfId="50970"/>
    <cellStyle name="Calculation 2 2 21 3 2 3" xfId="50971"/>
    <cellStyle name="Calculation 2 2 21 3 3" xfId="32570"/>
    <cellStyle name="Calculation 2 2 21 3 4" xfId="50972"/>
    <cellStyle name="Calculation 2 2 21 4" xfId="18036"/>
    <cellStyle name="Calculation 2 2 21 4 2" xfId="26356"/>
    <cellStyle name="Calculation 2 2 21 4 2 2" xfId="50973"/>
    <cellStyle name="Calculation 2 2 21 4 2 3" xfId="50974"/>
    <cellStyle name="Calculation 2 2 21 4 3" xfId="33547"/>
    <cellStyle name="Calculation 2 2 21 4 4" xfId="50975"/>
    <cellStyle name="Calculation 2 2 21 5" xfId="19020"/>
    <cellStyle name="Calculation 2 2 21 5 2" xfId="27340"/>
    <cellStyle name="Calculation 2 2 21 5 2 2" xfId="50976"/>
    <cellStyle name="Calculation 2 2 21 5 2 3" xfId="50977"/>
    <cellStyle name="Calculation 2 2 21 5 3" xfId="34490"/>
    <cellStyle name="Calculation 2 2 21 5 4" xfId="50978"/>
    <cellStyle name="Calculation 2 2 21 6" xfId="19988"/>
    <cellStyle name="Calculation 2 2 21 6 2" xfId="28310"/>
    <cellStyle name="Calculation 2 2 21 6 2 2" xfId="50979"/>
    <cellStyle name="Calculation 2 2 21 6 2 3" xfId="50980"/>
    <cellStyle name="Calculation 2 2 21 6 3" xfId="35437"/>
    <cellStyle name="Calculation 2 2 21 6 4" xfId="50981"/>
    <cellStyle name="Calculation 2 2 21 7" xfId="20946"/>
    <cellStyle name="Calculation 2 2 21 7 2" xfId="29263"/>
    <cellStyle name="Calculation 2 2 21 7 2 2" xfId="50982"/>
    <cellStyle name="Calculation 2 2 21 7 2 3" xfId="50983"/>
    <cellStyle name="Calculation 2 2 21 7 3" xfId="36345"/>
    <cellStyle name="Calculation 2 2 21 7 4" xfId="50984"/>
    <cellStyle name="Calculation 2 2 21 8" xfId="21453"/>
    <cellStyle name="Calculation 2 2 21 8 2" xfId="29754"/>
    <cellStyle name="Calculation 2 2 21 8 2 2" xfId="50985"/>
    <cellStyle name="Calculation 2 2 21 8 2 3" xfId="50986"/>
    <cellStyle name="Calculation 2 2 21 8 3" xfId="36815"/>
    <cellStyle name="Calculation 2 2 21 8 4" xfId="50987"/>
    <cellStyle name="Calculation 2 2 21 9" xfId="22381"/>
    <cellStyle name="Calculation 2 2 21 9 2" xfId="30677"/>
    <cellStyle name="Calculation 2 2 21 9 2 2" xfId="50988"/>
    <cellStyle name="Calculation 2 2 21 9 2 3" xfId="50989"/>
    <cellStyle name="Calculation 2 2 21 9 3" xfId="37698"/>
    <cellStyle name="Calculation 2 2 21 9 4" xfId="50990"/>
    <cellStyle name="Calculation 2 2 22" xfId="15022"/>
    <cellStyle name="Calculation 2 2 22 10" xfId="23382"/>
    <cellStyle name="Calculation 2 2 22 11" xfId="50991"/>
    <cellStyle name="Calculation 2 2 22 2" xfId="16102"/>
    <cellStyle name="Calculation 2 2 22 2 2" xfId="24417"/>
    <cellStyle name="Calculation 2 2 22 2 2 2" xfId="50992"/>
    <cellStyle name="Calculation 2 2 22 2 2 3" xfId="50993"/>
    <cellStyle name="Calculation 2 2 22 2 3" xfId="31695"/>
    <cellStyle name="Calculation 2 2 22 2 4" xfId="50994"/>
    <cellStyle name="Calculation 2 2 22 3" xfId="17069"/>
    <cellStyle name="Calculation 2 2 22 3 2" xfId="25390"/>
    <cellStyle name="Calculation 2 2 22 3 2 2" xfId="50995"/>
    <cellStyle name="Calculation 2 2 22 3 2 3" xfId="50996"/>
    <cellStyle name="Calculation 2 2 22 3 3" xfId="32629"/>
    <cellStyle name="Calculation 2 2 22 3 4" xfId="50997"/>
    <cellStyle name="Calculation 2 2 22 4" xfId="18096"/>
    <cellStyle name="Calculation 2 2 22 4 2" xfId="26416"/>
    <cellStyle name="Calculation 2 2 22 4 2 2" xfId="50998"/>
    <cellStyle name="Calculation 2 2 22 4 2 3" xfId="50999"/>
    <cellStyle name="Calculation 2 2 22 4 3" xfId="33606"/>
    <cellStyle name="Calculation 2 2 22 4 4" xfId="51000"/>
    <cellStyle name="Calculation 2 2 22 5" xfId="19080"/>
    <cellStyle name="Calculation 2 2 22 5 2" xfId="27400"/>
    <cellStyle name="Calculation 2 2 22 5 2 2" xfId="51001"/>
    <cellStyle name="Calculation 2 2 22 5 2 3" xfId="51002"/>
    <cellStyle name="Calculation 2 2 22 5 3" xfId="34549"/>
    <cellStyle name="Calculation 2 2 22 5 4" xfId="51003"/>
    <cellStyle name="Calculation 2 2 22 6" xfId="20048"/>
    <cellStyle name="Calculation 2 2 22 6 2" xfId="28370"/>
    <cellStyle name="Calculation 2 2 22 6 2 2" xfId="51004"/>
    <cellStyle name="Calculation 2 2 22 6 2 3" xfId="51005"/>
    <cellStyle name="Calculation 2 2 22 6 3" xfId="35496"/>
    <cellStyle name="Calculation 2 2 22 6 4" xfId="51006"/>
    <cellStyle name="Calculation 2 2 22 7" xfId="21005"/>
    <cellStyle name="Calculation 2 2 22 7 2" xfId="29322"/>
    <cellStyle name="Calculation 2 2 22 7 2 2" xfId="51007"/>
    <cellStyle name="Calculation 2 2 22 7 2 3" xfId="51008"/>
    <cellStyle name="Calculation 2 2 22 7 3" xfId="36403"/>
    <cellStyle name="Calculation 2 2 22 7 4" xfId="51009"/>
    <cellStyle name="Calculation 2 2 22 8" xfId="21512"/>
    <cellStyle name="Calculation 2 2 22 8 2" xfId="29813"/>
    <cellStyle name="Calculation 2 2 22 8 2 2" xfId="51010"/>
    <cellStyle name="Calculation 2 2 22 8 2 3" xfId="51011"/>
    <cellStyle name="Calculation 2 2 22 8 3" xfId="36873"/>
    <cellStyle name="Calculation 2 2 22 8 4" xfId="51012"/>
    <cellStyle name="Calculation 2 2 22 9" xfId="22440"/>
    <cellStyle name="Calculation 2 2 22 9 2" xfId="30736"/>
    <cellStyle name="Calculation 2 2 22 9 2 2" xfId="51013"/>
    <cellStyle name="Calculation 2 2 22 9 2 3" xfId="51014"/>
    <cellStyle name="Calculation 2 2 22 9 3" xfId="37756"/>
    <cellStyle name="Calculation 2 2 22 9 4" xfId="51015"/>
    <cellStyle name="Calculation 2 2 23" xfId="15076"/>
    <cellStyle name="Calculation 2 2 23 10" xfId="51016"/>
    <cellStyle name="Calculation 2 2 23 2" xfId="16156"/>
    <cellStyle name="Calculation 2 2 23 2 2" xfId="24470"/>
    <cellStyle name="Calculation 2 2 23 2 2 2" xfId="51017"/>
    <cellStyle name="Calculation 2 2 23 2 2 3" xfId="51018"/>
    <cellStyle name="Calculation 2 2 23 2 3" xfId="31747"/>
    <cellStyle name="Calculation 2 2 23 2 4" xfId="51019"/>
    <cellStyle name="Calculation 2 2 23 3" xfId="17123"/>
    <cellStyle name="Calculation 2 2 23 3 2" xfId="25444"/>
    <cellStyle name="Calculation 2 2 23 3 2 2" xfId="51020"/>
    <cellStyle name="Calculation 2 2 23 3 2 3" xfId="51021"/>
    <cellStyle name="Calculation 2 2 23 3 3" xfId="32681"/>
    <cellStyle name="Calculation 2 2 23 3 4" xfId="51022"/>
    <cellStyle name="Calculation 2 2 23 4" xfId="18150"/>
    <cellStyle name="Calculation 2 2 23 4 2" xfId="26470"/>
    <cellStyle name="Calculation 2 2 23 4 2 2" xfId="51023"/>
    <cellStyle name="Calculation 2 2 23 4 2 3" xfId="51024"/>
    <cellStyle name="Calculation 2 2 23 4 3" xfId="33658"/>
    <cellStyle name="Calculation 2 2 23 4 4" xfId="51025"/>
    <cellStyle name="Calculation 2 2 23 5" xfId="19134"/>
    <cellStyle name="Calculation 2 2 23 5 2" xfId="27454"/>
    <cellStyle name="Calculation 2 2 23 5 2 2" xfId="51026"/>
    <cellStyle name="Calculation 2 2 23 5 2 3" xfId="51027"/>
    <cellStyle name="Calculation 2 2 23 5 3" xfId="34602"/>
    <cellStyle name="Calculation 2 2 23 5 4" xfId="51028"/>
    <cellStyle name="Calculation 2 2 23 6" xfId="20102"/>
    <cellStyle name="Calculation 2 2 23 6 2" xfId="28424"/>
    <cellStyle name="Calculation 2 2 23 6 2 2" xfId="51029"/>
    <cellStyle name="Calculation 2 2 23 6 2 3" xfId="51030"/>
    <cellStyle name="Calculation 2 2 23 6 3" xfId="35549"/>
    <cellStyle name="Calculation 2 2 23 6 4" xfId="51031"/>
    <cellStyle name="Calculation 2 2 23 7" xfId="21565"/>
    <cellStyle name="Calculation 2 2 23 7 2" xfId="29866"/>
    <cellStyle name="Calculation 2 2 23 7 2 2" xfId="51032"/>
    <cellStyle name="Calculation 2 2 23 7 2 3" xfId="51033"/>
    <cellStyle name="Calculation 2 2 23 7 3" xfId="36925"/>
    <cellStyle name="Calculation 2 2 23 7 4" xfId="51034"/>
    <cellStyle name="Calculation 2 2 23 8" xfId="22493"/>
    <cellStyle name="Calculation 2 2 23 8 2" xfId="30789"/>
    <cellStyle name="Calculation 2 2 23 8 2 2" xfId="51035"/>
    <cellStyle name="Calculation 2 2 23 8 2 3" xfId="51036"/>
    <cellStyle name="Calculation 2 2 23 8 3" xfId="37808"/>
    <cellStyle name="Calculation 2 2 23 8 4" xfId="51037"/>
    <cellStyle name="Calculation 2 2 23 9" xfId="23435"/>
    <cellStyle name="Calculation 2 2 24" xfId="15136"/>
    <cellStyle name="Calculation 2 2 24 10" xfId="51038"/>
    <cellStyle name="Calculation 2 2 24 2" xfId="16216"/>
    <cellStyle name="Calculation 2 2 24 2 2" xfId="24529"/>
    <cellStyle name="Calculation 2 2 24 2 2 2" xfId="51039"/>
    <cellStyle name="Calculation 2 2 24 2 2 3" xfId="51040"/>
    <cellStyle name="Calculation 2 2 24 2 3" xfId="31804"/>
    <cellStyle name="Calculation 2 2 24 2 4" xfId="51041"/>
    <cellStyle name="Calculation 2 2 24 3" xfId="17182"/>
    <cellStyle name="Calculation 2 2 24 3 2" xfId="25503"/>
    <cellStyle name="Calculation 2 2 24 3 2 2" xfId="51042"/>
    <cellStyle name="Calculation 2 2 24 3 2 3" xfId="51043"/>
    <cellStyle name="Calculation 2 2 24 3 3" xfId="32737"/>
    <cellStyle name="Calculation 2 2 24 3 4" xfId="51044"/>
    <cellStyle name="Calculation 2 2 24 4" xfId="18210"/>
    <cellStyle name="Calculation 2 2 24 4 2" xfId="26530"/>
    <cellStyle name="Calculation 2 2 24 4 2 2" xfId="51045"/>
    <cellStyle name="Calculation 2 2 24 4 2 3" xfId="51046"/>
    <cellStyle name="Calculation 2 2 24 4 3" xfId="33715"/>
    <cellStyle name="Calculation 2 2 24 4 4" xfId="51047"/>
    <cellStyle name="Calculation 2 2 24 5" xfId="19194"/>
    <cellStyle name="Calculation 2 2 24 5 2" xfId="27514"/>
    <cellStyle name="Calculation 2 2 24 5 2 2" xfId="51048"/>
    <cellStyle name="Calculation 2 2 24 5 2 3" xfId="51049"/>
    <cellStyle name="Calculation 2 2 24 5 3" xfId="34662"/>
    <cellStyle name="Calculation 2 2 24 5 4" xfId="51050"/>
    <cellStyle name="Calculation 2 2 24 6" xfId="20162"/>
    <cellStyle name="Calculation 2 2 24 6 2" xfId="28484"/>
    <cellStyle name="Calculation 2 2 24 6 2 2" xfId="51051"/>
    <cellStyle name="Calculation 2 2 24 6 2 3" xfId="51052"/>
    <cellStyle name="Calculation 2 2 24 6 3" xfId="35607"/>
    <cellStyle name="Calculation 2 2 24 6 4" xfId="51053"/>
    <cellStyle name="Calculation 2 2 24 7" xfId="21623"/>
    <cellStyle name="Calculation 2 2 24 7 2" xfId="29924"/>
    <cellStyle name="Calculation 2 2 24 7 2 2" xfId="51054"/>
    <cellStyle name="Calculation 2 2 24 7 2 3" xfId="51055"/>
    <cellStyle name="Calculation 2 2 24 7 3" xfId="36981"/>
    <cellStyle name="Calculation 2 2 24 7 4" xfId="51056"/>
    <cellStyle name="Calculation 2 2 24 8" xfId="22551"/>
    <cellStyle name="Calculation 2 2 24 8 2" xfId="30847"/>
    <cellStyle name="Calculation 2 2 24 8 2 2" xfId="51057"/>
    <cellStyle name="Calculation 2 2 24 8 2 3" xfId="51058"/>
    <cellStyle name="Calculation 2 2 24 8 3" xfId="37864"/>
    <cellStyle name="Calculation 2 2 24 8 4" xfId="51059"/>
    <cellStyle name="Calculation 2 2 24 9" xfId="23493"/>
    <cellStyle name="Calculation 2 2 25" xfId="15155"/>
    <cellStyle name="Calculation 2 2 25 10" xfId="51060"/>
    <cellStyle name="Calculation 2 2 25 2" xfId="16235"/>
    <cellStyle name="Calculation 2 2 25 2 2" xfId="24548"/>
    <cellStyle name="Calculation 2 2 25 2 2 2" xfId="51061"/>
    <cellStyle name="Calculation 2 2 25 2 2 3" xfId="51062"/>
    <cellStyle name="Calculation 2 2 25 2 3" xfId="31821"/>
    <cellStyle name="Calculation 2 2 25 2 4" xfId="51063"/>
    <cellStyle name="Calculation 2 2 25 3" xfId="17201"/>
    <cellStyle name="Calculation 2 2 25 3 2" xfId="25522"/>
    <cellStyle name="Calculation 2 2 25 3 2 2" xfId="51064"/>
    <cellStyle name="Calculation 2 2 25 3 2 3" xfId="51065"/>
    <cellStyle name="Calculation 2 2 25 3 3" xfId="32754"/>
    <cellStyle name="Calculation 2 2 25 3 4" xfId="51066"/>
    <cellStyle name="Calculation 2 2 25 4" xfId="18229"/>
    <cellStyle name="Calculation 2 2 25 4 2" xfId="26549"/>
    <cellStyle name="Calculation 2 2 25 4 2 2" xfId="51067"/>
    <cellStyle name="Calculation 2 2 25 4 2 3" xfId="51068"/>
    <cellStyle name="Calculation 2 2 25 4 3" xfId="33732"/>
    <cellStyle name="Calculation 2 2 25 4 4" xfId="51069"/>
    <cellStyle name="Calculation 2 2 25 5" xfId="19213"/>
    <cellStyle name="Calculation 2 2 25 5 2" xfId="27533"/>
    <cellStyle name="Calculation 2 2 25 5 2 2" xfId="51070"/>
    <cellStyle name="Calculation 2 2 25 5 2 3" xfId="51071"/>
    <cellStyle name="Calculation 2 2 25 5 3" xfId="34681"/>
    <cellStyle name="Calculation 2 2 25 5 4" xfId="51072"/>
    <cellStyle name="Calculation 2 2 25 6" xfId="20181"/>
    <cellStyle name="Calculation 2 2 25 6 2" xfId="28503"/>
    <cellStyle name="Calculation 2 2 25 6 2 2" xfId="51073"/>
    <cellStyle name="Calculation 2 2 25 6 2 3" xfId="51074"/>
    <cellStyle name="Calculation 2 2 25 6 3" xfId="35624"/>
    <cellStyle name="Calculation 2 2 25 6 4" xfId="51075"/>
    <cellStyle name="Calculation 2 2 25 7" xfId="21642"/>
    <cellStyle name="Calculation 2 2 25 7 2" xfId="29943"/>
    <cellStyle name="Calculation 2 2 25 7 2 2" xfId="51076"/>
    <cellStyle name="Calculation 2 2 25 7 2 3" xfId="51077"/>
    <cellStyle name="Calculation 2 2 25 7 3" xfId="36998"/>
    <cellStyle name="Calculation 2 2 25 7 4" xfId="51078"/>
    <cellStyle name="Calculation 2 2 25 8" xfId="22570"/>
    <cellStyle name="Calculation 2 2 25 8 2" xfId="30866"/>
    <cellStyle name="Calculation 2 2 25 8 2 2" xfId="51079"/>
    <cellStyle name="Calculation 2 2 25 8 2 3" xfId="51080"/>
    <cellStyle name="Calculation 2 2 25 8 3" xfId="37881"/>
    <cellStyle name="Calculation 2 2 25 8 4" xfId="51081"/>
    <cellStyle name="Calculation 2 2 25 9" xfId="23512"/>
    <cellStyle name="Calculation 2 2 26" xfId="15178"/>
    <cellStyle name="Calculation 2 2 26 10" xfId="51082"/>
    <cellStyle name="Calculation 2 2 26 2" xfId="16258"/>
    <cellStyle name="Calculation 2 2 26 2 2" xfId="24571"/>
    <cellStyle name="Calculation 2 2 26 2 2 2" xfId="51083"/>
    <cellStyle name="Calculation 2 2 26 2 2 3" xfId="51084"/>
    <cellStyle name="Calculation 2 2 26 2 3" xfId="31843"/>
    <cellStyle name="Calculation 2 2 26 2 4" xfId="51085"/>
    <cellStyle name="Calculation 2 2 26 3" xfId="17224"/>
    <cellStyle name="Calculation 2 2 26 3 2" xfId="25545"/>
    <cellStyle name="Calculation 2 2 26 3 2 2" xfId="51086"/>
    <cellStyle name="Calculation 2 2 26 3 2 3" xfId="51087"/>
    <cellStyle name="Calculation 2 2 26 3 3" xfId="32776"/>
    <cellStyle name="Calculation 2 2 26 3 4" xfId="51088"/>
    <cellStyle name="Calculation 2 2 26 4" xfId="18252"/>
    <cellStyle name="Calculation 2 2 26 4 2" xfId="26572"/>
    <cellStyle name="Calculation 2 2 26 4 2 2" xfId="51089"/>
    <cellStyle name="Calculation 2 2 26 4 2 3" xfId="51090"/>
    <cellStyle name="Calculation 2 2 26 4 3" xfId="33754"/>
    <cellStyle name="Calculation 2 2 26 4 4" xfId="51091"/>
    <cellStyle name="Calculation 2 2 26 5" xfId="19236"/>
    <cellStyle name="Calculation 2 2 26 5 2" xfId="27556"/>
    <cellStyle name="Calculation 2 2 26 5 2 2" xfId="51092"/>
    <cellStyle name="Calculation 2 2 26 5 2 3" xfId="51093"/>
    <cellStyle name="Calculation 2 2 26 5 3" xfId="34704"/>
    <cellStyle name="Calculation 2 2 26 5 4" xfId="51094"/>
    <cellStyle name="Calculation 2 2 26 6" xfId="20204"/>
    <cellStyle name="Calculation 2 2 26 6 2" xfId="28526"/>
    <cellStyle name="Calculation 2 2 26 6 2 2" xfId="51095"/>
    <cellStyle name="Calculation 2 2 26 6 2 3" xfId="51096"/>
    <cellStyle name="Calculation 2 2 26 6 3" xfId="35646"/>
    <cellStyle name="Calculation 2 2 26 6 4" xfId="51097"/>
    <cellStyle name="Calculation 2 2 26 7" xfId="21665"/>
    <cellStyle name="Calculation 2 2 26 7 2" xfId="29966"/>
    <cellStyle name="Calculation 2 2 26 7 2 2" xfId="51098"/>
    <cellStyle name="Calculation 2 2 26 7 2 3" xfId="51099"/>
    <cellStyle name="Calculation 2 2 26 7 3" xfId="37020"/>
    <cellStyle name="Calculation 2 2 26 7 4" xfId="51100"/>
    <cellStyle name="Calculation 2 2 26 8" xfId="22593"/>
    <cellStyle name="Calculation 2 2 26 8 2" xfId="30889"/>
    <cellStyle name="Calculation 2 2 26 8 2 2" xfId="51101"/>
    <cellStyle name="Calculation 2 2 26 8 2 3" xfId="51102"/>
    <cellStyle name="Calculation 2 2 26 8 3" xfId="37903"/>
    <cellStyle name="Calculation 2 2 26 8 4" xfId="51103"/>
    <cellStyle name="Calculation 2 2 26 9" xfId="23535"/>
    <cellStyle name="Calculation 2 2 27" xfId="15129"/>
    <cellStyle name="Calculation 2 2 27 10" xfId="51104"/>
    <cellStyle name="Calculation 2 2 27 2" xfId="16209"/>
    <cellStyle name="Calculation 2 2 27 2 2" xfId="24522"/>
    <cellStyle name="Calculation 2 2 27 2 2 2" xfId="51105"/>
    <cellStyle name="Calculation 2 2 27 2 2 3" xfId="51106"/>
    <cellStyle name="Calculation 2 2 27 2 3" xfId="31799"/>
    <cellStyle name="Calculation 2 2 27 2 4" xfId="51107"/>
    <cellStyle name="Calculation 2 2 27 3" xfId="17175"/>
    <cellStyle name="Calculation 2 2 27 3 2" xfId="25496"/>
    <cellStyle name="Calculation 2 2 27 3 2 2" xfId="51108"/>
    <cellStyle name="Calculation 2 2 27 3 2 3" xfId="51109"/>
    <cellStyle name="Calculation 2 2 27 3 3" xfId="32732"/>
    <cellStyle name="Calculation 2 2 27 3 4" xfId="51110"/>
    <cellStyle name="Calculation 2 2 27 4" xfId="18203"/>
    <cellStyle name="Calculation 2 2 27 4 2" xfId="26523"/>
    <cellStyle name="Calculation 2 2 27 4 2 2" xfId="51111"/>
    <cellStyle name="Calculation 2 2 27 4 2 3" xfId="51112"/>
    <cellStyle name="Calculation 2 2 27 4 3" xfId="33710"/>
    <cellStyle name="Calculation 2 2 27 4 4" xfId="51113"/>
    <cellStyle name="Calculation 2 2 27 5" xfId="19187"/>
    <cellStyle name="Calculation 2 2 27 5 2" xfId="27507"/>
    <cellStyle name="Calculation 2 2 27 5 2 2" xfId="51114"/>
    <cellStyle name="Calculation 2 2 27 5 2 3" xfId="51115"/>
    <cellStyle name="Calculation 2 2 27 5 3" xfId="34655"/>
    <cellStyle name="Calculation 2 2 27 5 4" xfId="51116"/>
    <cellStyle name="Calculation 2 2 27 6" xfId="20155"/>
    <cellStyle name="Calculation 2 2 27 6 2" xfId="28477"/>
    <cellStyle name="Calculation 2 2 27 6 2 2" xfId="51117"/>
    <cellStyle name="Calculation 2 2 27 6 2 3" xfId="51118"/>
    <cellStyle name="Calculation 2 2 27 6 3" xfId="35602"/>
    <cellStyle name="Calculation 2 2 27 6 4" xfId="51119"/>
    <cellStyle name="Calculation 2 2 27 7" xfId="21616"/>
    <cellStyle name="Calculation 2 2 27 7 2" xfId="29917"/>
    <cellStyle name="Calculation 2 2 27 7 2 2" xfId="51120"/>
    <cellStyle name="Calculation 2 2 27 7 2 3" xfId="51121"/>
    <cellStyle name="Calculation 2 2 27 7 3" xfId="36976"/>
    <cellStyle name="Calculation 2 2 27 7 4" xfId="51122"/>
    <cellStyle name="Calculation 2 2 27 8" xfId="22544"/>
    <cellStyle name="Calculation 2 2 27 8 2" xfId="30840"/>
    <cellStyle name="Calculation 2 2 27 8 2 2" xfId="51123"/>
    <cellStyle name="Calculation 2 2 27 8 2 3" xfId="51124"/>
    <cellStyle name="Calculation 2 2 27 8 3" xfId="37859"/>
    <cellStyle name="Calculation 2 2 27 8 4" xfId="51125"/>
    <cellStyle name="Calculation 2 2 27 9" xfId="23486"/>
    <cellStyle name="Calculation 2 2 28" xfId="15194"/>
    <cellStyle name="Calculation 2 2 28 10" xfId="51126"/>
    <cellStyle name="Calculation 2 2 28 2" xfId="16274"/>
    <cellStyle name="Calculation 2 2 28 2 2" xfId="24587"/>
    <cellStyle name="Calculation 2 2 28 2 2 2" xfId="51127"/>
    <cellStyle name="Calculation 2 2 28 2 2 3" xfId="51128"/>
    <cellStyle name="Calculation 2 2 28 2 3" xfId="31857"/>
    <cellStyle name="Calculation 2 2 28 2 4" xfId="51129"/>
    <cellStyle name="Calculation 2 2 28 3" xfId="17240"/>
    <cellStyle name="Calculation 2 2 28 3 2" xfId="25561"/>
    <cellStyle name="Calculation 2 2 28 3 2 2" xfId="51130"/>
    <cellStyle name="Calculation 2 2 28 3 2 3" xfId="51131"/>
    <cellStyle name="Calculation 2 2 28 3 3" xfId="32790"/>
    <cellStyle name="Calculation 2 2 28 3 4" xfId="51132"/>
    <cellStyle name="Calculation 2 2 28 4" xfId="18268"/>
    <cellStyle name="Calculation 2 2 28 4 2" xfId="26588"/>
    <cellStyle name="Calculation 2 2 28 4 2 2" xfId="51133"/>
    <cellStyle name="Calculation 2 2 28 4 2 3" xfId="51134"/>
    <cellStyle name="Calculation 2 2 28 4 3" xfId="33768"/>
    <cellStyle name="Calculation 2 2 28 4 4" xfId="51135"/>
    <cellStyle name="Calculation 2 2 28 5" xfId="19252"/>
    <cellStyle name="Calculation 2 2 28 5 2" xfId="27572"/>
    <cellStyle name="Calculation 2 2 28 5 2 2" xfId="51136"/>
    <cellStyle name="Calculation 2 2 28 5 2 3" xfId="51137"/>
    <cellStyle name="Calculation 2 2 28 5 3" xfId="34720"/>
    <cellStyle name="Calculation 2 2 28 5 4" xfId="51138"/>
    <cellStyle name="Calculation 2 2 28 6" xfId="20220"/>
    <cellStyle name="Calculation 2 2 28 6 2" xfId="28542"/>
    <cellStyle name="Calculation 2 2 28 6 2 2" xfId="51139"/>
    <cellStyle name="Calculation 2 2 28 6 2 3" xfId="51140"/>
    <cellStyle name="Calculation 2 2 28 6 3" xfId="35660"/>
    <cellStyle name="Calculation 2 2 28 6 4" xfId="51141"/>
    <cellStyle name="Calculation 2 2 28 7" xfId="21681"/>
    <cellStyle name="Calculation 2 2 28 7 2" xfId="29982"/>
    <cellStyle name="Calculation 2 2 28 7 2 2" xfId="51142"/>
    <cellStyle name="Calculation 2 2 28 7 2 3" xfId="51143"/>
    <cellStyle name="Calculation 2 2 28 7 3" xfId="37034"/>
    <cellStyle name="Calculation 2 2 28 7 4" xfId="51144"/>
    <cellStyle name="Calculation 2 2 28 8" xfId="22609"/>
    <cellStyle name="Calculation 2 2 28 8 2" xfId="30905"/>
    <cellStyle name="Calculation 2 2 28 8 2 2" xfId="51145"/>
    <cellStyle name="Calculation 2 2 28 8 2 3" xfId="51146"/>
    <cellStyle name="Calculation 2 2 28 8 3" xfId="37917"/>
    <cellStyle name="Calculation 2 2 28 8 4" xfId="51147"/>
    <cellStyle name="Calculation 2 2 28 9" xfId="23551"/>
    <cellStyle name="Calculation 2 2 29" xfId="15259"/>
    <cellStyle name="Calculation 2 2 29 10" xfId="51148"/>
    <cellStyle name="Calculation 2 2 29 2" xfId="16339"/>
    <cellStyle name="Calculation 2 2 29 2 2" xfId="24652"/>
    <cellStyle name="Calculation 2 2 29 2 2 2" xfId="51149"/>
    <cellStyle name="Calculation 2 2 29 2 2 3" xfId="51150"/>
    <cellStyle name="Calculation 2 2 29 2 3" xfId="31919"/>
    <cellStyle name="Calculation 2 2 29 2 4" xfId="51151"/>
    <cellStyle name="Calculation 2 2 29 3" xfId="17305"/>
    <cellStyle name="Calculation 2 2 29 3 2" xfId="25626"/>
    <cellStyle name="Calculation 2 2 29 3 2 2" xfId="51152"/>
    <cellStyle name="Calculation 2 2 29 3 2 3" xfId="51153"/>
    <cellStyle name="Calculation 2 2 29 3 3" xfId="32852"/>
    <cellStyle name="Calculation 2 2 29 3 4" xfId="51154"/>
    <cellStyle name="Calculation 2 2 29 4" xfId="18333"/>
    <cellStyle name="Calculation 2 2 29 4 2" xfId="26653"/>
    <cellStyle name="Calculation 2 2 29 4 2 2" xfId="51155"/>
    <cellStyle name="Calculation 2 2 29 4 2 3" xfId="51156"/>
    <cellStyle name="Calculation 2 2 29 4 3" xfId="33830"/>
    <cellStyle name="Calculation 2 2 29 4 4" xfId="51157"/>
    <cellStyle name="Calculation 2 2 29 5" xfId="19317"/>
    <cellStyle name="Calculation 2 2 29 5 2" xfId="27637"/>
    <cellStyle name="Calculation 2 2 29 5 2 2" xfId="51158"/>
    <cellStyle name="Calculation 2 2 29 5 2 3" xfId="51159"/>
    <cellStyle name="Calculation 2 2 29 5 3" xfId="34785"/>
    <cellStyle name="Calculation 2 2 29 5 4" xfId="51160"/>
    <cellStyle name="Calculation 2 2 29 6" xfId="20285"/>
    <cellStyle name="Calculation 2 2 29 6 2" xfId="28607"/>
    <cellStyle name="Calculation 2 2 29 6 2 2" xfId="51161"/>
    <cellStyle name="Calculation 2 2 29 6 2 3" xfId="51162"/>
    <cellStyle name="Calculation 2 2 29 6 3" xfId="35722"/>
    <cellStyle name="Calculation 2 2 29 6 4" xfId="51163"/>
    <cellStyle name="Calculation 2 2 29 7" xfId="21746"/>
    <cellStyle name="Calculation 2 2 29 7 2" xfId="30047"/>
    <cellStyle name="Calculation 2 2 29 7 2 2" xfId="51164"/>
    <cellStyle name="Calculation 2 2 29 7 2 3" xfId="51165"/>
    <cellStyle name="Calculation 2 2 29 7 3" xfId="37096"/>
    <cellStyle name="Calculation 2 2 29 7 4" xfId="51166"/>
    <cellStyle name="Calculation 2 2 29 8" xfId="22674"/>
    <cellStyle name="Calculation 2 2 29 8 2" xfId="30970"/>
    <cellStyle name="Calculation 2 2 29 8 2 2" xfId="51167"/>
    <cellStyle name="Calculation 2 2 29 8 2 3" xfId="51168"/>
    <cellStyle name="Calculation 2 2 29 8 3" xfId="37979"/>
    <cellStyle name="Calculation 2 2 29 8 4" xfId="51169"/>
    <cellStyle name="Calculation 2 2 29 9" xfId="23616"/>
    <cellStyle name="Calculation 2 2 3" xfId="114"/>
    <cellStyle name="Calculation 2 2 3 10" xfId="14442"/>
    <cellStyle name="Calculation 2 2 3 10 2" xfId="51170"/>
    <cellStyle name="Calculation 2 2 3 10 3" xfId="51171"/>
    <cellStyle name="Calculation 2 2 3 11" xfId="51172"/>
    <cellStyle name="Calculation 2 2 3 12" xfId="51173"/>
    <cellStyle name="Calculation 2 2 3 13" xfId="51174"/>
    <cellStyle name="Calculation 2 2 3 14" xfId="51175"/>
    <cellStyle name="Calculation 2 2 3 15" xfId="60662"/>
    <cellStyle name="Calculation 2 2 3 16" xfId="60806"/>
    <cellStyle name="Calculation 2 2 3 2" xfId="246"/>
    <cellStyle name="Calculation 2 2 3 2 2" xfId="657"/>
    <cellStyle name="Calculation 2 2 3 2 2 2" xfId="1608"/>
    <cellStyle name="Calculation 2 2 3 2 2 2 2" xfId="799"/>
    <cellStyle name="Calculation 2 2 3 2 2 2 2 2" xfId="2511"/>
    <cellStyle name="Calculation 2 2 3 2 2 2 2 2 2" xfId="5931"/>
    <cellStyle name="Calculation 2 2 3 2 2 2 2 2 2 2" xfId="12771"/>
    <cellStyle name="Calculation 2 2 3 2 2 2 2 2 3" xfId="9351"/>
    <cellStyle name="Calculation 2 2 3 2 2 2 2 3" xfId="3651"/>
    <cellStyle name="Calculation 2 2 3 2 2 2 2 3 2" xfId="7071"/>
    <cellStyle name="Calculation 2 2 3 2 2 2 2 3 2 2" xfId="13911"/>
    <cellStyle name="Calculation 2 2 3 2 2 2 2 3 3" xfId="10491"/>
    <cellStyle name="Calculation 2 2 3 2 2 2 2 4" xfId="4791"/>
    <cellStyle name="Calculation 2 2 3 2 2 2 2 4 2" xfId="11631"/>
    <cellStyle name="Calculation 2 2 3 2 2 2 2 5" xfId="8211"/>
    <cellStyle name="Calculation 2 2 3 2 2 2 3" xfId="2442"/>
    <cellStyle name="Calculation 2 2 3 2 2 2 3 2" xfId="5862"/>
    <cellStyle name="Calculation 2 2 3 2 2 2 3 2 2" xfId="12702"/>
    <cellStyle name="Calculation 2 2 3 2 2 2 3 3" xfId="9282"/>
    <cellStyle name="Calculation 2 2 3 2 2 2 4" xfId="3582"/>
    <cellStyle name="Calculation 2 2 3 2 2 2 4 2" xfId="7002"/>
    <cellStyle name="Calculation 2 2 3 2 2 2 4 2 2" xfId="13842"/>
    <cellStyle name="Calculation 2 2 3 2 2 2 4 3" xfId="10422"/>
    <cellStyle name="Calculation 2 2 3 2 2 2 5" xfId="4722"/>
    <cellStyle name="Calculation 2 2 3 2 2 2 5 2" xfId="11562"/>
    <cellStyle name="Calculation 2 2 3 2 2 2 6" xfId="8142"/>
    <cellStyle name="Calculation 2 2 3 2 2 2 7" xfId="61808"/>
    <cellStyle name="Calculation 2 2 3 2 2 2 8" xfId="62287"/>
    <cellStyle name="Calculation 2 2 3 2 2 3" xfId="38501"/>
    <cellStyle name="Calculation 2 2 3 2 2 4" xfId="51176"/>
    <cellStyle name="Calculation 2 2 3 2 2 5" xfId="51177"/>
    <cellStyle name="Calculation 2 2 3 2 2 6" xfId="51178"/>
    <cellStyle name="Calculation 2 2 3 2 2 7" xfId="51179"/>
    <cellStyle name="Calculation 2 2 3 2 2 8" xfId="60664"/>
    <cellStyle name="Calculation 2 2 3 2 2 9" xfId="61234"/>
    <cellStyle name="Calculation 2 2 3 2 3" xfId="1253"/>
    <cellStyle name="Calculation 2 2 3 2 3 2" xfId="1771"/>
    <cellStyle name="Calculation 2 2 3 2 3 2 2" xfId="2911"/>
    <cellStyle name="Calculation 2 2 3 2 3 2 2 2" xfId="6331"/>
    <cellStyle name="Calculation 2 2 3 2 3 2 2 2 2" xfId="13171"/>
    <cellStyle name="Calculation 2 2 3 2 3 2 2 3" xfId="9751"/>
    <cellStyle name="Calculation 2 2 3 2 3 2 3" xfId="4051"/>
    <cellStyle name="Calculation 2 2 3 2 3 2 3 2" xfId="7471"/>
    <cellStyle name="Calculation 2 2 3 2 3 2 3 2 2" xfId="14311"/>
    <cellStyle name="Calculation 2 2 3 2 3 2 3 3" xfId="10891"/>
    <cellStyle name="Calculation 2 2 3 2 3 2 4" xfId="5191"/>
    <cellStyle name="Calculation 2 2 3 2 3 2 4 2" xfId="12031"/>
    <cellStyle name="Calculation 2 2 3 2 3 2 5" xfId="8611"/>
    <cellStyle name="Calculation 2 2 3 2 3 3" xfId="2073"/>
    <cellStyle name="Calculation 2 2 3 2 3 3 2" xfId="5493"/>
    <cellStyle name="Calculation 2 2 3 2 3 3 2 2" xfId="12333"/>
    <cellStyle name="Calculation 2 2 3 2 3 3 3" xfId="8913"/>
    <cellStyle name="Calculation 2 2 3 2 3 4" xfId="3213"/>
    <cellStyle name="Calculation 2 2 3 2 3 4 2" xfId="6633"/>
    <cellStyle name="Calculation 2 2 3 2 3 4 2 2" xfId="13473"/>
    <cellStyle name="Calculation 2 2 3 2 3 4 3" xfId="10053"/>
    <cellStyle name="Calculation 2 2 3 2 3 5" xfId="4353"/>
    <cellStyle name="Calculation 2 2 3 2 3 5 2" xfId="11193"/>
    <cellStyle name="Calculation 2 2 3 2 3 6" xfId="7773"/>
    <cellStyle name="Calculation 2 2 3 2 3 7" xfId="61809"/>
    <cellStyle name="Calculation 2 2 3 2 3 8" xfId="62288"/>
    <cellStyle name="Calculation 2 2 3 2 4" xfId="15589"/>
    <cellStyle name="Calculation 2 2 3 2 5" xfId="23901"/>
    <cellStyle name="Calculation 2 2 3 2 6" xfId="38267"/>
    <cellStyle name="Calculation 2 2 3 2 7" xfId="51180"/>
    <cellStyle name="Calculation 2 2 3 2 8" xfId="60663"/>
    <cellStyle name="Calculation 2 2 3 2 9" xfId="60929"/>
    <cellStyle name="Calculation 2 2 3 3" xfId="569"/>
    <cellStyle name="Calculation 2 2 3 3 10" xfId="61235"/>
    <cellStyle name="Calculation 2 2 3 3 2" xfId="1556"/>
    <cellStyle name="Calculation 2 2 3 3 2 2" xfId="833"/>
    <cellStyle name="Calculation 2 2 3 3 2 2 2" xfId="2592"/>
    <cellStyle name="Calculation 2 2 3 3 2 2 2 2" xfId="6012"/>
    <cellStyle name="Calculation 2 2 3 3 2 2 2 2 2" xfId="12852"/>
    <cellStyle name="Calculation 2 2 3 3 2 2 2 3" xfId="9432"/>
    <cellStyle name="Calculation 2 2 3 3 2 2 3" xfId="3732"/>
    <cellStyle name="Calculation 2 2 3 3 2 2 3 2" xfId="7152"/>
    <cellStyle name="Calculation 2 2 3 3 2 2 3 2 2" xfId="13992"/>
    <cellStyle name="Calculation 2 2 3 3 2 2 3 3" xfId="10572"/>
    <cellStyle name="Calculation 2 2 3 3 2 2 4" xfId="4872"/>
    <cellStyle name="Calculation 2 2 3 3 2 2 4 2" xfId="11712"/>
    <cellStyle name="Calculation 2 2 3 3 2 2 5" xfId="8292"/>
    <cellStyle name="Calculation 2 2 3 3 2 3" xfId="2381"/>
    <cellStyle name="Calculation 2 2 3 3 2 3 2" xfId="5801"/>
    <cellStyle name="Calculation 2 2 3 3 2 3 2 2" xfId="12641"/>
    <cellStyle name="Calculation 2 2 3 3 2 3 3" xfId="9221"/>
    <cellStyle name="Calculation 2 2 3 3 2 4" xfId="3521"/>
    <cellStyle name="Calculation 2 2 3 3 2 4 2" xfId="6941"/>
    <cellStyle name="Calculation 2 2 3 3 2 4 2 2" xfId="13781"/>
    <cellStyle name="Calculation 2 2 3 3 2 4 3" xfId="10361"/>
    <cellStyle name="Calculation 2 2 3 3 2 5" xfId="4661"/>
    <cellStyle name="Calculation 2 2 3 3 2 5 2" xfId="11501"/>
    <cellStyle name="Calculation 2 2 3 3 2 6" xfId="8081"/>
    <cellStyle name="Calculation 2 2 3 3 2 7" xfId="61807"/>
    <cellStyle name="Calculation 2 2 3 3 2 8" xfId="62286"/>
    <cellStyle name="Calculation 2 2 3 3 3" xfId="16559"/>
    <cellStyle name="Calculation 2 2 3 3 4" xfId="24872"/>
    <cellStyle name="Calculation 2 2 3 3 5" xfId="32132"/>
    <cellStyle name="Calculation 2 2 3 3 6" xfId="51181"/>
    <cellStyle name="Calculation 2 2 3 3 7" xfId="51182"/>
    <cellStyle name="Calculation 2 2 3 3 8" xfId="51183"/>
    <cellStyle name="Calculation 2 2 3 3 9" xfId="60665"/>
    <cellStyle name="Calculation 2 2 3 4" xfId="1130"/>
    <cellStyle name="Calculation 2 2 3 4 10" xfId="61810"/>
    <cellStyle name="Calculation 2 2 3 4 11" xfId="62289"/>
    <cellStyle name="Calculation 2 2 3 4 2" xfId="1062"/>
    <cellStyle name="Calculation 2 2 3 4 2 2" xfId="2714"/>
    <cellStyle name="Calculation 2 2 3 4 2 2 2" xfId="6134"/>
    <cellStyle name="Calculation 2 2 3 4 2 2 2 2" xfId="12974"/>
    <cellStyle name="Calculation 2 2 3 4 2 2 3" xfId="9554"/>
    <cellStyle name="Calculation 2 2 3 4 2 3" xfId="3854"/>
    <cellStyle name="Calculation 2 2 3 4 2 3 2" xfId="7274"/>
    <cellStyle name="Calculation 2 2 3 4 2 3 2 2" xfId="14114"/>
    <cellStyle name="Calculation 2 2 3 4 2 3 3" xfId="10694"/>
    <cellStyle name="Calculation 2 2 3 4 2 4" xfId="4994"/>
    <cellStyle name="Calculation 2 2 3 4 2 4 2" xfId="11834"/>
    <cellStyle name="Calculation 2 2 3 4 2 5" xfId="8414"/>
    <cellStyle name="Calculation 2 2 3 4 3" xfId="1944"/>
    <cellStyle name="Calculation 2 2 3 4 3 2" xfId="5364"/>
    <cellStyle name="Calculation 2 2 3 4 3 2 2" xfId="12204"/>
    <cellStyle name="Calculation 2 2 3 4 3 3" xfId="8784"/>
    <cellStyle name="Calculation 2 2 3 4 4" xfId="3084"/>
    <cellStyle name="Calculation 2 2 3 4 4 2" xfId="6504"/>
    <cellStyle name="Calculation 2 2 3 4 4 2 2" xfId="13344"/>
    <cellStyle name="Calculation 2 2 3 4 4 3" xfId="9924"/>
    <cellStyle name="Calculation 2 2 3 4 5" xfId="4224"/>
    <cellStyle name="Calculation 2 2 3 4 5 2" xfId="11064"/>
    <cellStyle name="Calculation 2 2 3 4 6" xfId="7644"/>
    <cellStyle name="Calculation 2 2 3 4 7" xfId="17577"/>
    <cellStyle name="Calculation 2 2 3 4 8" xfId="25896"/>
    <cellStyle name="Calculation 2 2 3 4 9" xfId="33109"/>
    <cellStyle name="Calculation 2 2 3 5" xfId="16554"/>
    <cellStyle name="Calculation 2 2 3 5 2" xfId="24867"/>
    <cellStyle name="Calculation 2 2 3 5 2 2" xfId="51184"/>
    <cellStyle name="Calculation 2 2 3 5 2 3" xfId="51185"/>
    <cellStyle name="Calculation 2 2 3 5 3" xfId="32127"/>
    <cellStyle name="Calculation 2 2 3 5 4" xfId="51186"/>
    <cellStyle name="Calculation 2 2 3 6" xfId="15567"/>
    <cellStyle name="Calculation 2 2 3 6 2" xfId="23892"/>
    <cellStyle name="Calculation 2 2 3 6 2 2" xfId="51187"/>
    <cellStyle name="Calculation 2 2 3 6 2 3" xfId="51188"/>
    <cellStyle name="Calculation 2 2 3 6 3" xfId="31236"/>
    <cellStyle name="Calculation 2 2 3 6 4" xfId="51189"/>
    <cellStyle name="Calculation 2 2 3 7" xfId="17557"/>
    <cellStyle name="Calculation 2 2 3 7 2" xfId="25876"/>
    <cellStyle name="Calculation 2 2 3 7 2 2" xfId="51190"/>
    <cellStyle name="Calculation 2 2 3 7 2 3" xfId="51191"/>
    <cellStyle name="Calculation 2 2 3 7 3" xfId="33091"/>
    <cellStyle name="Calculation 2 2 3 7 4" xfId="51192"/>
    <cellStyle name="Calculation 2 2 3 8" xfId="21175"/>
    <cellStyle name="Calculation 2 2 3 8 2" xfId="29487"/>
    <cellStyle name="Calculation 2 2 3 8 2 2" xfId="51193"/>
    <cellStyle name="Calculation 2 2 3 8 2 3" xfId="51194"/>
    <cellStyle name="Calculation 2 2 3 8 3" xfId="36558"/>
    <cellStyle name="Calculation 2 2 3 8 4" xfId="51195"/>
    <cellStyle name="Calculation 2 2 3 9" xfId="21951"/>
    <cellStyle name="Calculation 2 2 3 9 2" xfId="30252"/>
    <cellStyle name="Calculation 2 2 3 9 2 2" xfId="51196"/>
    <cellStyle name="Calculation 2 2 3 9 2 3" xfId="51197"/>
    <cellStyle name="Calculation 2 2 3 9 3" xfId="37293"/>
    <cellStyle name="Calculation 2 2 3 9 4" xfId="51198"/>
    <cellStyle name="Calculation 2 2 30" xfId="15228"/>
    <cellStyle name="Calculation 2 2 30 10" xfId="51199"/>
    <cellStyle name="Calculation 2 2 30 2" xfId="16308"/>
    <cellStyle name="Calculation 2 2 30 2 2" xfId="24621"/>
    <cellStyle name="Calculation 2 2 30 2 2 2" xfId="51200"/>
    <cellStyle name="Calculation 2 2 30 2 2 3" xfId="51201"/>
    <cellStyle name="Calculation 2 2 30 2 3" xfId="31888"/>
    <cellStyle name="Calculation 2 2 30 2 4" xfId="51202"/>
    <cellStyle name="Calculation 2 2 30 3" xfId="17274"/>
    <cellStyle name="Calculation 2 2 30 3 2" xfId="25595"/>
    <cellStyle name="Calculation 2 2 30 3 2 2" xfId="51203"/>
    <cellStyle name="Calculation 2 2 30 3 2 3" xfId="51204"/>
    <cellStyle name="Calculation 2 2 30 3 3" xfId="32821"/>
    <cellStyle name="Calculation 2 2 30 3 4" xfId="51205"/>
    <cellStyle name="Calculation 2 2 30 4" xfId="18302"/>
    <cellStyle name="Calculation 2 2 30 4 2" xfId="26622"/>
    <cellStyle name="Calculation 2 2 30 4 2 2" xfId="51206"/>
    <cellStyle name="Calculation 2 2 30 4 2 3" xfId="51207"/>
    <cellStyle name="Calculation 2 2 30 4 3" xfId="33799"/>
    <cellStyle name="Calculation 2 2 30 4 4" xfId="51208"/>
    <cellStyle name="Calculation 2 2 30 5" xfId="19286"/>
    <cellStyle name="Calculation 2 2 30 5 2" xfId="27606"/>
    <cellStyle name="Calculation 2 2 30 5 2 2" xfId="51209"/>
    <cellStyle name="Calculation 2 2 30 5 2 3" xfId="51210"/>
    <cellStyle name="Calculation 2 2 30 5 3" xfId="34754"/>
    <cellStyle name="Calculation 2 2 30 5 4" xfId="51211"/>
    <cellStyle name="Calculation 2 2 30 6" xfId="20254"/>
    <cellStyle name="Calculation 2 2 30 6 2" xfId="28576"/>
    <cellStyle name="Calculation 2 2 30 6 2 2" xfId="51212"/>
    <cellStyle name="Calculation 2 2 30 6 2 3" xfId="51213"/>
    <cellStyle name="Calculation 2 2 30 6 3" xfId="35691"/>
    <cellStyle name="Calculation 2 2 30 6 4" xfId="51214"/>
    <cellStyle name="Calculation 2 2 30 7" xfId="21715"/>
    <cellStyle name="Calculation 2 2 30 7 2" xfId="30016"/>
    <cellStyle name="Calculation 2 2 30 7 2 2" xfId="51215"/>
    <cellStyle name="Calculation 2 2 30 7 2 3" xfId="51216"/>
    <cellStyle name="Calculation 2 2 30 7 3" xfId="37065"/>
    <cellStyle name="Calculation 2 2 30 7 4" xfId="51217"/>
    <cellStyle name="Calculation 2 2 30 8" xfId="22643"/>
    <cellStyle name="Calculation 2 2 30 8 2" xfId="30939"/>
    <cellStyle name="Calculation 2 2 30 8 2 2" xfId="51218"/>
    <cellStyle name="Calculation 2 2 30 8 2 3" xfId="51219"/>
    <cellStyle name="Calculation 2 2 30 8 3" xfId="37948"/>
    <cellStyle name="Calculation 2 2 30 8 4" xfId="51220"/>
    <cellStyle name="Calculation 2 2 30 9" xfId="23585"/>
    <cellStyle name="Calculation 2 2 31" xfId="15294"/>
    <cellStyle name="Calculation 2 2 31 10" xfId="51221"/>
    <cellStyle name="Calculation 2 2 31 2" xfId="16374"/>
    <cellStyle name="Calculation 2 2 31 2 2" xfId="24687"/>
    <cellStyle name="Calculation 2 2 31 2 2 2" xfId="51222"/>
    <cellStyle name="Calculation 2 2 31 2 2 3" xfId="51223"/>
    <cellStyle name="Calculation 2 2 31 2 3" xfId="31953"/>
    <cellStyle name="Calculation 2 2 31 2 4" xfId="51224"/>
    <cellStyle name="Calculation 2 2 31 3" xfId="17340"/>
    <cellStyle name="Calculation 2 2 31 3 2" xfId="25661"/>
    <cellStyle name="Calculation 2 2 31 3 2 2" xfId="51225"/>
    <cellStyle name="Calculation 2 2 31 3 2 3" xfId="51226"/>
    <cellStyle name="Calculation 2 2 31 3 3" xfId="32886"/>
    <cellStyle name="Calculation 2 2 31 3 4" xfId="51227"/>
    <cellStyle name="Calculation 2 2 31 4" xfId="18368"/>
    <cellStyle name="Calculation 2 2 31 4 2" xfId="26688"/>
    <cellStyle name="Calculation 2 2 31 4 2 2" xfId="51228"/>
    <cellStyle name="Calculation 2 2 31 4 2 3" xfId="51229"/>
    <cellStyle name="Calculation 2 2 31 4 3" xfId="33864"/>
    <cellStyle name="Calculation 2 2 31 4 4" xfId="51230"/>
    <cellStyle name="Calculation 2 2 31 5" xfId="19351"/>
    <cellStyle name="Calculation 2 2 31 5 2" xfId="27672"/>
    <cellStyle name="Calculation 2 2 31 5 2 2" xfId="51231"/>
    <cellStyle name="Calculation 2 2 31 5 2 3" xfId="51232"/>
    <cellStyle name="Calculation 2 2 31 5 3" xfId="34820"/>
    <cellStyle name="Calculation 2 2 31 5 4" xfId="51233"/>
    <cellStyle name="Calculation 2 2 31 6" xfId="20320"/>
    <cellStyle name="Calculation 2 2 31 6 2" xfId="28642"/>
    <cellStyle name="Calculation 2 2 31 6 2 2" xfId="51234"/>
    <cellStyle name="Calculation 2 2 31 6 2 3" xfId="51235"/>
    <cellStyle name="Calculation 2 2 31 6 3" xfId="35756"/>
    <cellStyle name="Calculation 2 2 31 6 4" xfId="51236"/>
    <cellStyle name="Calculation 2 2 31 7" xfId="21781"/>
    <cellStyle name="Calculation 2 2 31 7 2" xfId="30082"/>
    <cellStyle name="Calculation 2 2 31 7 2 2" xfId="51237"/>
    <cellStyle name="Calculation 2 2 31 7 2 3" xfId="51238"/>
    <cellStyle name="Calculation 2 2 31 7 3" xfId="37130"/>
    <cellStyle name="Calculation 2 2 31 7 4" xfId="51239"/>
    <cellStyle name="Calculation 2 2 31 8" xfId="22709"/>
    <cellStyle name="Calculation 2 2 31 8 2" xfId="31005"/>
    <cellStyle name="Calculation 2 2 31 8 2 2" xfId="51240"/>
    <cellStyle name="Calculation 2 2 31 8 2 3" xfId="51241"/>
    <cellStyle name="Calculation 2 2 31 8 3" xfId="38013"/>
    <cellStyle name="Calculation 2 2 31 8 4" xfId="51242"/>
    <cellStyle name="Calculation 2 2 31 9" xfId="23651"/>
    <cellStyle name="Calculation 2 2 32" xfId="15277"/>
    <cellStyle name="Calculation 2 2 32 10" xfId="51243"/>
    <cellStyle name="Calculation 2 2 32 11" xfId="51244"/>
    <cellStyle name="Calculation 2 2 32 2" xfId="16357"/>
    <cellStyle name="Calculation 2 2 32 2 2" xfId="24670"/>
    <cellStyle name="Calculation 2 2 32 2 2 2" xfId="51245"/>
    <cellStyle name="Calculation 2 2 32 2 2 3" xfId="51246"/>
    <cellStyle name="Calculation 2 2 32 2 3" xfId="31937"/>
    <cellStyle name="Calculation 2 2 32 2 4" xfId="51247"/>
    <cellStyle name="Calculation 2 2 32 3" xfId="17323"/>
    <cellStyle name="Calculation 2 2 32 3 2" xfId="25644"/>
    <cellStyle name="Calculation 2 2 32 3 2 2" xfId="51248"/>
    <cellStyle name="Calculation 2 2 32 3 2 3" xfId="51249"/>
    <cellStyle name="Calculation 2 2 32 3 3" xfId="32870"/>
    <cellStyle name="Calculation 2 2 32 3 4" xfId="51250"/>
    <cellStyle name="Calculation 2 2 32 4" xfId="18351"/>
    <cellStyle name="Calculation 2 2 32 4 2" xfId="26671"/>
    <cellStyle name="Calculation 2 2 32 4 2 2" xfId="51251"/>
    <cellStyle name="Calculation 2 2 32 4 2 3" xfId="51252"/>
    <cellStyle name="Calculation 2 2 32 4 3" xfId="33848"/>
    <cellStyle name="Calculation 2 2 32 4 4" xfId="51253"/>
    <cellStyle name="Calculation 2 2 32 5" xfId="19335"/>
    <cellStyle name="Calculation 2 2 32 5 2" xfId="27655"/>
    <cellStyle name="Calculation 2 2 32 5 2 2" xfId="51254"/>
    <cellStyle name="Calculation 2 2 32 5 2 3" xfId="51255"/>
    <cellStyle name="Calculation 2 2 32 5 3" xfId="34803"/>
    <cellStyle name="Calculation 2 2 32 5 4" xfId="51256"/>
    <cellStyle name="Calculation 2 2 32 6" xfId="20303"/>
    <cellStyle name="Calculation 2 2 32 6 2" xfId="28625"/>
    <cellStyle name="Calculation 2 2 32 6 2 2" xfId="51257"/>
    <cellStyle name="Calculation 2 2 32 6 2 3" xfId="51258"/>
    <cellStyle name="Calculation 2 2 32 6 3" xfId="35740"/>
    <cellStyle name="Calculation 2 2 32 6 4" xfId="51259"/>
    <cellStyle name="Calculation 2 2 32 7" xfId="21764"/>
    <cellStyle name="Calculation 2 2 32 7 2" xfId="30065"/>
    <cellStyle name="Calculation 2 2 32 7 2 2" xfId="51260"/>
    <cellStyle name="Calculation 2 2 32 7 2 3" xfId="51261"/>
    <cellStyle name="Calculation 2 2 32 7 3" xfId="37114"/>
    <cellStyle name="Calculation 2 2 32 7 4" xfId="51262"/>
    <cellStyle name="Calculation 2 2 32 8" xfId="22692"/>
    <cellStyle name="Calculation 2 2 32 8 2" xfId="30988"/>
    <cellStyle name="Calculation 2 2 32 8 2 2" xfId="51263"/>
    <cellStyle name="Calculation 2 2 32 8 2 3" xfId="51264"/>
    <cellStyle name="Calculation 2 2 32 8 3" xfId="37997"/>
    <cellStyle name="Calculation 2 2 32 8 4" xfId="51265"/>
    <cellStyle name="Calculation 2 2 32 9" xfId="23634"/>
    <cellStyle name="Calculation 2 2 32 9 2" xfId="51266"/>
    <cellStyle name="Calculation 2 2 32 9 3" xfId="51267"/>
    <cellStyle name="Calculation 2 2 33" xfId="15309"/>
    <cellStyle name="Calculation 2 2 33 10" xfId="51268"/>
    <cellStyle name="Calculation 2 2 33 2" xfId="16389"/>
    <cellStyle name="Calculation 2 2 33 2 2" xfId="24702"/>
    <cellStyle name="Calculation 2 2 33 2 2 2" xfId="51269"/>
    <cellStyle name="Calculation 2 2 33 2 2 3" xfId="51270"/>
    <cellStyle name="Calculation 2 2 33 2 3" xfId="31967"/>
    <cellStyle name="Calculation 2 2 33 2 4" xfId="51271"/>
    <cellStyle name="Calculation 2 2 33 3" xfId="17355"/>
    <cellStyle name="Calculation 2 2 33 3 2" xfId="25676"/>
    <cellStyle name="Calculation 2 2 33 3 2 2" xfId="51272"/>
    <cellStyle name="Calculation 2 2 33 3 2 3" xfId="51273"/>
    <cellStyle name="Calculation 2 2 33 3 3" xfId="32900"/>
    <cellStyle name="Calculation 2 2 33 3 4" xfId="51274"/>
    <cellStyle name="Calculation 2 2 33 4" xfId="18383"/>
    <cellStyle name="Calculation 2 2 33 4 2" xfId="26703"/>
    <cellStyle name="Calculation 2 2 33 4 2 2" xfId="51275"/>
    <cellStyle name="Calculation 2 2 33 4 2 3" xfId="51276"/>
    <cellStyle name="Calculation 2 2 33 4 3" xfId="33878"/>
    <cellStyle name="Calculation 2 2 33 4 4" xfId="51277"/>
    <cellStyle name="Calculation 2 2 33 5" xfId="19366"/>
    <cellStyle name="Calculation 2 2 33 5 2" xfId="27687"/>
    <cellStyle name="Calculation 2 2 33 5 2 2" xfId="51278"/>
    <cellStyle name="Calculation 2 2 33 5 2 3" xfId="51279"/>
    <cellStyle name="Calculation 2 2 33 5 3" xfId="34835"/>
    <cellStyle name="Calculation 2 2 33 5 4" xfId="51280"/>
    <cellStyle name="Calculation 2 2 33 6" xfId="20335"/>
    <cellStyle name="Calculation 2 2 33 6 2" xfId="28657"/>
    <cellStyle name="Calculation 2 2 33 6 2 2" xfId="51281"/>
    <cellStyle name="Calculation 2 2 33 6 2 3" xfId="51282"/>
    <cellStyle name="Calculation 2 2 33 6 3" xfId="35770"/>
    <cellStyle name="Calculation 2 2 33 6 4" xfId="51283"/>
    <cellStyle name="Calculation 2 2 33 7" xfId="21796"/>
    <cellStyle name="Calculation 2 2 33 7 2" xfId="30097"/>
    <cellStyle name="Calculation 2 2 33 7 2 2" xfId="51284"/>
    <cellStyle name="Calculation 2 2 33 7 2 3" xfId="51285"/>
    <cellStyle name="Calculation 2 2 33 7 3" xfId="37144"/>
    <cellStyle name="Calculation 2 2 33 7 4" xfId="51286"/>
    <cellStyle name="Calculation 2 2 33 8" xfId="22724"/>
    <cellStyle name="Calculation 2 2 33 8 2" xfId="31020"/>
    <cellStyle name="Calculation 2 2 33 8 2 2" xfId="51287"/>
    <cellStyle name="Calculation 2 2 33 8 2 3" xfId="51288"/>
    <cellStyle name="Calculation 2 2 33 8 3" xfId="38027"/>
    <cellStyle name="Calculation 2 2 33 8 4" xfId="51289"/>
    <cellStyle name="Calculation 2 2 33 9" xfId="23666"/>
    <cellStyle name="Calculation 2 2 34" xfId="15369"/>
    <cellStyle name="Calculation 2 2 34 10" xfId="51290"/>
    <cellStyle name="Calculation 2 2 34 11" xfId="51291"/>
    <cellStyle name="Calculation 2 2 34 2" xfId="16449"/>
    <cellStyle name="Calculation 2 2 34 2 2" xfId="24762"/>
    <cellStyle name="Calculation 2 2 34 2 2 2" xfId="51292"/>
    <cellStyle name="Calculation 2 2 34 2 2 3" xfId="51293"/>
    <cellStyle name="Calculation 2 2 34 2 3" xfId="32026"/>
    <cellStyle name="Calculation 2 2 34 2 4" xfId="51294"/>
    <cellStyle name="Calculation 2 2 34 3" xfId="17415"/>
    <cellStyle name="Calculation 2 2 34 3 2" xfId="25736"/>
    <cellStyle name="Calculation 2 2 34 3 2 2" xfId="51295"/>
    <cellStyle name="Calculation 2 2 34 3 2 3" xfId="51296"/>
    <cellStyle name="Calculation 2 2 34 3 3" xfId="32959"/>
    <cellStyle name="Calculation 2 2 34 3 4" xfId="51297"/>
    <cellStyle name="Calculation 2 2 34 4" xfId="18443"/>
    <cellStyle name="Calculation 2 2 34 4 2" xfId="26763"/>
    <cellStyle name="Calculation 2 2 34 4 2 2" xfId="51298"/>
    <cellStyle name="Calculation 2 2 34 4 2 3" xfId="51299"/>
    <cellStyle name="Calculation 2 2 34 4 3" xfId="33937"/>
    <cellStyle name="Calculation 2 2 34 4 4" xfId="51300"/>
    <cellStyle name="Calculation 2 2 34 5" xfId="19426"/>
    <cellStyle name="Calculation 2 2 34 5 2" xfId="27747"/>
    <cellStyle name="Calculation 2 2 34 5 2 2" xfId="51301"/>
    <cellStyle name="Calculation 2 2 34 5 2 3" xfId="51302"/>
    <cellStyle name="Calculation 2 2 34 5 3" xfId="34895"/>
    <cellStyle name="Calculation 2 2 34 5 4" xfId="51303"/>
    <cellStyle name="Calculation 2 2 34 6" xfId="20395"/>
    <cellStyle name="Calculation 2 2 34 6 2" xfId="28717"/>
    <cellStyle name="Calculation 2 2 34 6 2 2" xfId="51304"/>
    <cellStyle name="Calculation 2 2 34 6 2 3" xfId="51305"/>
    <cellStyle name="Calculation 2 2 34 6 3" xfId="35829"/>
    <cellStyle name="Calculation 2 2 34 6 4" xfId="51306"/>
    <cellStyle name="Calculation 2 2 34 7" xfId="21856"/>
    <cellStyle name="Calculation 2 2 34 7 2" xfId="30157"/>
    <cellStyle name="Calculation 2 2 34 7 2 2" xfId="51307"/>
    <cellStyle name="Calculation 2 2 34 7 2 3" xfId="51308"/>
    <cellStyle name="Calculation 2 2 34 7 3" xfId="37202"/>
    <cellStyle name="Calculation 2 2 34 7 4" xfId="51309"/>
    <cellStyle name="Calculation 2 2 34 8" xfId="22784"/>
    <cellStyle name="Calculation 2 2 34 8 2" xfId="31080"/>
    <cellStyle name="Calculation 2 2 34 8 2 2" xfId="51310"/>
    <cellStyle name="Calculation 2 2 34 8 2 3" xfId="51311"/>
    <cellStyle name="Calculation 2 2 34 8 3" xfId="38086"/>
    <cellStyle name="Calculation 2 2 34 8 4" xfId="51312"/>
    <cellStyle name="Calculation 2 2 34 9" xfId="23726"/>
    <cellStyle name="Calculation 2 2 34 9 2" xfId="51313"/>
    <cellStyle name="Calculation 2 2 34 9 3" xfId="51314"/>
    <cellStyle name="Calculation 2 2 35" xfId="15336"/>
    <cellStyle name="Calculation 2 2 35 10" xfId="51315"/>
    <cellStyle name="Calculation 2 2 35 11" xfId="51316"/>
    <cellStyle name="Calculation 2 2 35 2" xfId="16416"/>
    <cellStyle name="Calculation 2 2 35 2 2" xfId="24729"/>
    <cellStyle name="Calculation 2 2 35 2 2 2" xfId="51317"/>
    <cellStyle name="Calculation 2 2 35 2 2 3" xfId="51318"/>
    <cellStyle name="Calculation 2 2 35 2 3" xfId="31994"/>
    <cellStyle name="Calculation 2 2 35 2 4" xfId="51319"/>
    <cellStyle name="Calculation 2 2 35 3" xfId="17382"/>
    <cellStyle name="Calculation 2 2 35 3 2" xfId="25703"/>
    <cellStyle name="Calculation 2 2 35 3 2 2" xfId="51320"/>
    <cellStyle name="Calculation 2 2 35 3 2 3" xfId="51321"/>
    <cellStyle name="Calculation 2 2 35 3 3" xfId="32927"/>
    <cellStyle name="Calculation 2 2 35 3 4" xfId="51322"/>
    <cellStyle name="Calculation 2 2 35 4" xfId="18410"/>
    <cellStyle name="Calculation 2 2 35 4 2" xfId="26730"/>
    <cellStyle name="Calculation 2 2 35 4 2 2" xfId="51323"/>
    <cellStyle name="Calculation 2 2 35 4 2 3" xfId="51324"/>
    <cellStyle name="Calculation 2 2 35 4 3" xfId="33905"/>
    <cellStyle name="Calculation 2 2 35 4 4" xfId="51325"/>
    <cellStyle name="Calculation 2 2 35 5" xfId="19393"/>
    <cellStyle name="Calculation 2 2 35 5 2" xfId="27714"/>
    <cellStyle name="Calculation 2 2 35 5 2 2" xfId="51326"/>
    <cellStyle name="Calculation 2 2 35 5 2 3" xfId="51327"/>
    <cellStyle name="Calculation 2 2 35 5 3" xfId="34862"/>
    <cellStyle name="Calculation 2 2 35 5 4" xfId="51328"/>
    <cellStyle name="Calculation 2 2 35 6" xfId="20362"/>
    <cellStyle name="Calculation 2 2 35 6 2" xfId="28684"/>
    <cellStyle name="Calculation 2 2 35 6 2 2" xfId="51329"/>
    <cellStyle name="Calculation 2 2 35 6 2 3" xfId="51330"/>
    <cellStyle name="Calculation 2 2 35 6 3" xfId="35797"/>
    <cellStyle name="Calculation 2 2 35 6 4" xfId="51331"/>
    <cellStyle name="Calculation 2 2 35 7" xfId="21823"/>
    <cellStyle name="Calculation 2 2 35 7 2" xfId="30124"/>
    <cellStyle name="Calculation 2 2 35 7 2 2" xfId="51332"/>
    <cellStyle name="Calculation 2 2 35 7 2 3" xfId="51333"/>
    <cellStyle name="Calculation 2 2 35 7 3" xfId="37171"/>
    <cellStyle name="Calculation 2 2 35 7 4" xfId="51334"/>
    <cellStyle name="Calculation 2 2 35 8" xfId="22751"/>
    <cellStyle name="Calculation 2 2 35 8 2" xfId="31047"/>
    <cellStyle name="Calculation 2 2 35 8 2 2" xfId="51335"/>
    <cellStyle name="Calculation 2 2 35 8 2 3" xfId="51336"/>
    <cellStyle name="Calculation 2 2 35 8 3" xfId="38054"/>
    <cellStyle name="Calculation 2 2 35 8 4" xfId="51337"/>
    <cellStyle name="Calculation 2 2 35 9" xfId="23693"/>
    <cellStyle name="Calculation 2 2 35 9 2" xfId="51338"/>
    <cellStyle name="Calculation 2 2 35 9 3" xfId="51339"/>
    <cellStyle name="Calculation 2 2 36" xfId="15382"/>
    <cellStyle name="Calculation 2 2 36 10" xfId="51340"/>
    <cellStyle name="Calculation 2 2 36 11" xfId="51341"/>
    <cellStyle name="Calculation 2 2 36 2" xfId="16462"/>
    <cellStyle name="Calculation 2 2 36 2 2" xfId="24775"/>
    <cellStyle name="Calculation 2 2 36 2 2 2" xfId="51342"/>
    <cellStyle name="Calculation 2 2 36 2 2 3" xfId="51343"/>
    <cellStyle name="Calculation 2 2 36 2 3" xfId="32039"/>
    <cellStyle name="Calculation 2 2 36 2 4" xfId="51344"/>
    <cellStyle name="Calculation 2 2 36 3" xfId="17428"/>
    <cellStyle name="Calculation 2 2 36 3 2" xfId="25749"/>
    <cellStyle name="Calculation 2 2 36 3 2 2" xfId="51345"/>
    <cellStyle name="Calculation 2 2 36 3 2 3" xfId="51346"/>
    <cellStyle name="Calculation 2 2 36 3 3" xfId="32972"/>
    <cellStyle name="Calculation 2 2 36 3 4" xfId="51347"/>
    <cellStyle name="Calculation 2 2 36 4" xfId="18456"/>
    <cellStyle name="Calculation 2 2 36 4 2" xfId="26776"/>
    <cellStyle name="Calculation 2 2 36 4 2 2" xfId="51348"/>
    <cellStyle name="Calculation 2 2 36 4 2 3" xfId="51349"/>
    <cellStyle name="Calculation 2 2 36 4 3" xfId="33950"/>
    <cellStyle name="Calculation 2 2 36 4 4" xfId="51350"/>
    <cellStyle name="Calculation 2 2 36 5" xfId="19439"/>
    <cellStyle name="Calculation 2 2 36 5 2" xfId="27760"/>
    <cellStyle name="Calculation 2 2 36 5 2 2" xfId="51351"/>
    <cellStyle name="Calculation 2 2 36 5 2 3" xfId="51352"/>
    <cellStyle name="Calculation 2 2 36 5 3" xfId="34908"/>
    <cellStyle name="Calculation 2 2 36 5 4" xfId="51353"/>
    <cellStyle name="Calculation 2 2 36 6" xfId="20408"/>
    <cellStyle name="Calculation 2 2 36 6 2" xfId="28730"/>
    <cellStyle name="Calculation 2 2 36 6 2 2" xfId="51354"/>
    <cellStyle name="Calculation 2 2 36 6 2 3" xfId="51355"/>
    <cellStyle name="Calculation 2 2 36 6 3" xfId="35842"/>
    <cellStyle name="Calculation 2 2 36 6 4" xfId="51356"/>
    <cellStyle name="Calculation 2 2 36 7" xfId="21869"/>
    <cellStyle name="Calculation 2 2 36 7 2" xfId="30170"/>
    <cellStyle name="Calculation 2 2 36 7 2 2" xfId="51357"/>
    <cellStyle name="Calculation 2 2 36 7 2 3" xfId="51358"/>
    <cellStyle name="Calculation 2 2 36 7 3" xfId="37215"/>
    <cellStyle name="Calculation 2 2 36 7 4" xfId="51359"/>
    <cellStyle name="Calculation 2 2 36 8" xfId="22797"/>
    <cellStyle name="Calculation 2 2 36 8 2" xfId="31093"/>
    <cellStyle name="Calculation 2 2 36 8 2 2" xfId="51360"/>
    <cellStyle name="Calculation 2 2 36 8 2 3" xfId="51361"/>
    <cellStyle name="Calculation 2 2 36 8 3" xfId="38099"/>
    <cellStyle name="Calculation 2 2 36 8 4" xfId="51362"/>
    <cellStyle name="Calculation 2 2 36 9" xfId="23739"/>
    <cellStyle name="Calculation 2 2 36 9 2" xfId="51363"/>
    <cellStyle name="Calculation 2 2 36 9 3" xfId="51364"/>
    <cellStyle name="Calculation 2 2 37" xfId="15398"/>
    <cellStyle name="Calculation 2 2 37 10" xfId="51365"/>
    <cellStyle name="Calculation 2 2 37 11" xfId="51366"/>
    <cellStyle name="Calculation 2 2 37 2" xfId="16478"/>
    <cellStyle name="Calculation 2 2 37 2 2" xfId="24791"/>
    <cellStyle name="Calculation 2 2 37 2 2 2" xfId="51367"/>
    <cellStyle name="Calculation 2 2 37 2 2 3" xfId="51368"/>
    <cellStyle name="Calculation 2 2 37 2 3" xfId="32053"/>
    <cellStyle name="Calculation 2 2 37 2 4" xfId="51369"/>
    <cellStyle name="Calculation 2 2 37 3" xfId="17444"/>
    <cellStyle name="Calculation 2 2 37 3 2" xfId="25765"/>
    <cellStyle name="Calculation 2 2 37 3 2 2" xfId="51370"/>
    <cellStyle name="Calculation 2 2 37 3 2 3" xfId="51371"/>
    <cellStyle name="Calculation 2 2 37 3 3" xfId="32986"/>
    <cellStyle name="Calculation 2 2 37 3 4" xfId="51372"/>
    <cellStyle name="Calculation 2 2 37 4" xfId="18472"/>
    <cellStyle name="Calculation 2 2 37 4 2" xfId="26792"/>
    <cellStyle name="Calculation 2 2 37 4 2 2" xfId="51373"/>
    <cellStyle name="Calculation 2 2 37 4 2 3" xfId="51374"/>
    <cellStyle name="Calculation 2 2 37 4 3" xfId="33964"/>
    <cellStyle name="Calculation 2 2 37 4 4" xfId="51375"/>
    <cellStyle name="Calculation 2 2 37 5" xfId="19455"/>
    <cellStyle name="Calculation 2 2 37 5 2" xfId="27776"/>
    <cellStyle name="Calculation 2 2 37 5 2 2" xfId="51376"/>
    <cellStyle name="Calculation 2 2 37 5 2 3" xfId="51377"/>
    <cellStyle name="Calculation 2 2 37 5 3" xfId="34924"/>
    <cellStyle name="Calculation 2 2 37 5 4" xfId="51378"/>
    <cellStyle name="Calculation 2 2 37 6" xfId="20424"/>
    <cellStyle name="Calculation 2 2 37 6 2" xfId="28746"/>
    <cellStyle name="Calculation 2 2 37 6 2 2" xfId="51379"/>
    <cellStyle name="Calculation 2 2 37 6 2 3" xfId="51380"/>
    <cellStyle name="Calculation 2 2 37 6 3" xfId="35856"/>
    <cellStyle name="Calculation 2 2 37 6 4" xfId="51381"/>
    <cellStyle name="Calculation 2 2 37 7" xfId="21885"/>
    <cellStyle name="Calculation 2 2 37 7 2" xfId="30186"/>
    <cellStyle name="Calculation 2 2 37 7 2 2" xfId="51382"/>
    <cellStyle name="Calculation 2 2 37 7 2 3" xfId="51383"/>
    <cellStyle name="Calculation 2 2 37 7 3" xfId="37229"/>
    <cellStyle name="Calculation 2 2 37 7 4" xfId="51384"/>
    <cellStyle name="Calculation 2 2 37 8" xfId="22813"/>
    <cellStyle name="Calculation 2 2 37 8 2" xfId="31109"/>
    <cellStyle name="Calculation 2 2 37 8 2 2" xfId="51385"/>
    <cellStyle name="Calculation 2 2 37 8 2 3" xfId="51386"/>
    <cellStyle name="Calculation 2 2 37 8 3" xfId="38113"/>
    <cellStyle name="Calculation 2 2 37 8 4" xfId="51387"/>
    <cellStyle name="Calculation 2 2 37 9" xfId="23755"/>
    <cellStyle name="Calculation 2 2 37 9 2" xfId="51388"/>
    <cellStyle name="Calculation 2 2 37 9 3" xfId="51389"/>
    <cellStyle name="Calculation 2 2 38" xfId="15414"/>
    <cellStyle name="Calculation 2 2 38 10" xfId="51390"/>
    <cellStyle name="Calculation 2 2 38 11" xfId="51391"/>
    <cellStyle name="Calculation 2 2 38 2" xfId="16494"/>
    <cellStyle name="Calculation 2 2 38 2 2" xfId="24807"/>
    <cellStyle name="Calculation 2 2 38 2 2 2" xfId="51392"/>
    <cellStyle name="Calculation 2 2 38 2 2 3" xfId="51393"/>
    <cellStyle name="Calculation 2 2 38 2 3" xfId="32068"/>
    <cellStyle name="Calculation 2 2 38 2 4" xfId="51394"/>
    <cellStyle name="Calculation 2 2 38 3" xfId="17460"/>
    <cellStyle name="Calculation 2 2 38 3 2" xfId="25781"/>
    <cellStyle name="Calculation 2 2 38 3 2 2" xfId="51395"/>
    <cellStyle name="Calculation 2 2 38 3 2 3" xfId="51396"/>
    <cellStyle name="Calculation 2 2 38 3 3" xfId="33001"/>
    <cellStyle name="Calculation 2 2 38 3 4" xfId="51397"/>
    <cellStyle name="Calculation 2 2 38 4" xfId="18488"/>
    <cellStyle name="Calculation 2 2 38 4 2" xfId="26808"/>
    <cellStyle name="Calculation 2 2 38 4 2 2" xfId="51398"/>
    <cellStyle name="Calculation 2 2 38 4 2 3" xfId="51399"/>
    <cellStyle name="Calculation 2 2 38 4 3" xfId="33979"/>
    <cellStyle name="Calculation 2 2 38 4 4" xfId="51400"/>
    <cellStyle name="Calculation 2 2 38 5" xfId="19471"/>
    <cellStyle name="Calculation 2 2 38 5 2" xfId="27792"/>
    <cellStyle name="Calculation 2 2 38 5 2 2" xfId="51401"/>
    <cellStyle name="Calculation 2 2 38 5 2 3" xfId="51402"/>
    <cellStyle name="Calculation 2 2 38 5 3" xfId="34940"/>
    <cellStyle name="Calculation 2 2 38 5 4" xfId="51403"/>
    <cellStyle name="Calculation 2 2 38 6" xfId="20440"/>
    <cellStyle name="Calculation 2 2 38 6 2" xfId="28762"/>
    <cellStyle name="Calculation 2 2 38 6 2 2" xfId="51404"/>
    <cellStyle name="Calculation 2 2 38 6 2 3" xfId="51405"/>
    <cellStyle name="Calculation 2 2 38 6 3" xfId="35871"/>
    <cellStyle name="Calculation 2 2 38 6 4" xfId="51406"/>
    <cellStyle name="Calculation 2 2 38 7" xfId="21901"/>
    <cellStyle name="Calculation 2 2 38 7 2" xfId="30202"/>
    <cellStyle name="Calculation 2 2 38 7 2 2" xfId="51407"/>
    <cellStyle name="Calculation 2 2 38 7 2 3" xfId="51408"/>
    <cellStyle name="Calculation 2 2 38 7 3" xfId="37244"/>
    <cellStyle name="Calculation 2 2 38 7 4" xfId="51409"/>
    <cellStyle name="Calculation 2 2 38 8" xfId="22829"/>
    <cellStyle name="Calculation 2 2 38 8 2" xfId="31125"/>
    <cellStyle name="Calculation 2 2 38 8 2 2" xfId="51410"/>
    <cellStyle name="Calculation 2 2 38 8 2 3" xfId="51411"/>
    <cellStyle name="Calculation 2 2 38 8 3" xfId="38128"/>
    <cellStyle name="Calculation 2 2 38 8 4" xfId="51412"/>
    <cellStyle name="Calculation 2 2 38 9" xfId="23771"/>
    <cellStyle name="Calculation 2 2 38 9 2" xfId="51413"/>
    <cellStyle name="Calculation 2 2 38 9 3" xfId="51414"/>
    <cellStyle name="Calculation 2 2 39" xfId="15428"/>
    <cellStyle name="Calculation 2 2 39 10" xfId="51415"/>
    <cellStyle name="Calculation 2 2 39 11" xfId="51416"/>
    <cellStyle name="Calculation 2 2 39 2" xfId="16508"/>
    <cellStyle name="Calculation 2 2 39 2 2" xfId="24821"/>
    <cellStyle name="Calculation 2 2 39 2 2 2" xfId="51417"/>
    <cellStyle name="Calculation 2 2 39 2 2 3" xfId="51418"/>
    <cellStyle name="Calculation 2 2 39 2 3" xfId="32082"/>
    <cellStyle name="Calculation 2 2 39 2 4" xfId="51419"/>
    <cellStyle name="Calculation 2 2 39 3" xfId="17474"/>
    <cellStyle name="Calculation 2 2 39 3 2" xfId="25795"/>
    <cellStyle name="Calculation 2 2 39 3 2 2" xfId="51420"/>
    <cellStyle name="Calculation 2 2 39 3 2 3" xfId="51421"/>
    <cellStyle name="Calculation 2 2 39 3 3" xfId="33015"/>
    <cellStyle name="Calculation 2 2 39 3 4" xfId="51422"/>
    <cellStyle name="Calculation 2 2 39 4" xfId="18502"/>
    <cellStyle name="Calculation 2 2 39 4 2" xfId="26822"/>
    <cellStyle name="Calculation 2 2 39 4 2 2" xfId="51423"/>
    <cellStyle name="Calculation 2 2 39 4 2 3" xfId="51424"/>
    <cellStyle name="Calculation 2 2 39 4 3" xfId="33993"/>
    <cellStyle name="Calculation 2 2 39 4 4" xfId="51425"/>
    <cellStyle name="Calculation 2 2 39 5" xfId="19485"/>
    <cellStyle name="Calculation 2 2 39 5 2" xfId="27806"/>
    <cellStyle name="Calculation 2 2 39 5 2 2" xfId="51426"/>
    <cellStyle name="Calculation 2 2 39 5 2 3" xfId="51427"/>
    <cellStyle name="Calculation 2 2 39 5 3" xfId="34954"/>
    <cellStyle name="Calculation 2 2 39 5 4" xfId="51428"/>
    <cellStyle name="Calculation 2 2 39 6" xfId="20454"/>
    <cellStyle name="Calculation 2 2 39 6 2" xfId="28776"/>
    <cellStyle name="Calculation 2 2 39 6 2 2" xfId="51429"/>
    <cellStyle name="Calculation 2 2 39 6 2 3" xfId="51430"/>
    <cellStyle name="Calculation 2 2 39 6 3" xfId="35885"/>
    <cellStyle name="Calculation 2 2 39 6 4" xfId="51431"/>
    <cellStyle name="Calculation 2 2 39 7" xfId="21915"/>
    <cellStyle name="Calculation 2 2 39 7 2" xfId="30216"/>
    <cellStyle name="Calculation 2 2 39 7 2 2" xfId="51432"/>
    <cellStyle name="Calculation 2 2 39 7 2 3" xfId="51433"/>
    <cellStyle name="Calculation 2 2 39 7 3" xfId="37258"/>
    <cellStyle name="Calculation 2 2 39 7 4" xfId="51434"/>
    <cellStyle name="Calculation 2 2 39 8" xfId="22843"/>
    <cellStyle name="Calculation 2 2 39 8 2" xfId="31139"/>
    <cellStyle name="Calculation 2 2 39 8 2 2" xfId="51435"/>
    <cellStyle name="Calculation 2 2 39 8 2 3" xfId="51436"/>
    <cellStyle name="Calculation 2 2 39 8 3" xfId="38142"/>
    <cellStyle name="Calculation 2 2 39 8 4" xfId="51437"/>
    <cellStyle name="Calculation 2 2 39 9" xfId="23785"/>
    <cellStyle name="Calculation 2 2 39 9 2" xfId="51438"/>
    <cellStyle name="Calculation 2 2 39 9 3" xfId="51439"/>
    <cellStyle name="Calculation 2 2 4" xfId="136"/>
    <cellStyle name="Calculation 2 2 4 10" xfId="51440"/>
    <cellStyle name="Calculation 2 2 4 11" xfId="51441"/>
    <cellStyle name="Calculation 2 2 4 12" xfId="51442"/>
    <cellStyle name="Calculation 2 2 4 13" xfId="60666"/>
    <cellStyle name="Calculation 2 2 4 14" xfId="60821"/>
    <cellStyle name="Calculation 2 2 4 2" xfId="262"/>
    <cellStyle name="Calculation 2 2 4 2 2" xfId="672"/>
    <cellStyle name="Calculation 2 2 4 2 2 2" xfId="1623"/>
    <cellStyle name="Calculation 2 2 4 2 2 2 2" xfId="784"/>
    <cellStyle name="Calculation 2 2 4 2 2 2 2 2" xfId="2747"/>
    <cellStyle name="Calculation 2 2 4 2 2 2 2 2 2" xfId="6167"/>
    <cellStyle name="Calculation 2 2 4 2 2 2 2 2 2 2" xfId="13007"/>
    <cellStyle name="Calculation 2 2 4 2 2 2 2 2 3" xfId="9587"/>
    <cellStyle name="Calculation 2 2 4 2 2 2 2 3" xfId="3887"/>
    <cellStyle name="Calculation 2 2 4 2 2 2 2 3 2" xfId="7307"/>
    <cellStyle name="Calculation 2 2 4 2 2 2 2 3 2 2" xfId="14147"/>
    <cellStyle name="Calculation 2 2 4 2 2 2 2 3 3" xfId="10727"/>
    <cellStyle name="Calculation 2 2 4 2 2 2 2 4" xfId="5027"/>
    <cellStyle name="Calculation 2 2 4 2 2 2 2 4 2" xfId="11867"/>
    <cellStyle name="Calculation 2 2 4 2 2 2 2 5" xfId="8447"/>
    <cellStyle name="Calculation 2 2 4 2 2 2 3" xfId="2457"/>
    <cellStyle name="Calculation 2 2 4 2 2 2 3 2" xfId="5877"/>
    <cellStyle name="Calculation 2 2 4 2 2 2 3 2 2" xfId="12717"/>
    <cellStyle name="Calculation 2 2 4 2 2 2 3 3" xfId="9297"/>
    <cellStyle name="Calculation 2 2 4 2 2 2 4" xfId="3597"/>
    <cellStyle name="Calculation 2 2 4 2 2 2 4 2" xfId="7017"/>
    <cellStyle name="Calculation 2 2 4 2 2 2 4 2 2" xfId="13857"/>
    <cellStyle name="Calculation 2 2 4 2 2 2 4 3" xfId="10437"/>
    <cellStyle name="Calculation 2 2 4 2 2 2 5" xfId="4737"/>
    <cellStyle name="Calculation 2 2 4 2 2 2 5 2" xfId="11577"/>
    <cellStyle name="Calculation 2 2 4 2 2 2 6" xfId="8157"/>
    <cellStyle name="Calculation 2 2 4 2 2 2 7" xfId="61805"/>
    <cellStyle name="Calculation 2 2 4 2 2 2 8" xfId="62284"/>
    <cellStyle name="Calculation 2 2 4 2 2 3" xfId="38516"/>
    <cellStyle name="Calculation 2 2 4 2 2 4" xfId="51443"/>
    <cellStyle name="Calculation 2 2 4 2 2 5" xfId="51444"/>
    <cellStyle name="Calculation 2 2 4 2 2 6" xfId="51445"/>
    <cellStyle name="Calculation 2 2 4 2 2 7" xfId="51446"/>
    <cellStyle name="Calculation 2 2 4 2 2 8" xfId="60668"/>
    <cellStyle name="Calculation 2 2 4 2 2 9" xfId="61236"/>
    <cellStyle name="Calculation 2 2 4 2 3" xfId="1269"/>
    <cellStyle name="Calculation 2 2 4 2 3 2" xfId="1662"/>
    <cellStyle name="Calculation 2 2 4 2 3 2 2" xfId="2802"/>
    <cellStyle name="Calculation 2 2 4 2 3 2 2 2" xfId="6222"/>
    <cellStyle name="Calculation 2 2 4 2 3 2 2 2 2" xfId="13062"/>
    <cellStyle name="Calculation 2 2 4 2 3 2 2 3" xfId="9642"/>
    <cellStyle name="Calculation 2 2 4 2 3 2 3" xfId="3942"/>
    <cellStyle name="Calculation 2 2 4 2 3 2 3 2" xfId="7362"/>
    <cellStyle name="Calculation 2 2 4 2 3 2 3 2 2" xfId="14202"/>
    <cellStyle name="Calculation 2 2 4 2 3 2 3 3" xfId="10782"/>
    <cellStyle name="Calculation 2 2 4 2 3 2 4" xfId="5082"/>
    <cellStyle name="Calculation 2 2 4 2 3 2 4 2" xfId="11922"/>
    <cellStyle name="Calculation 2 2 4 2 3 2 5" xfId="8502"/>
    <cellStyle name="Calculation 2 2 4 2 3 3" xfId="2089"/>
    <cellStyle name="Calculation 2 2 4 2 3 3 2" xfId="5509"/>
    <cellStyle name="Calculation 2 2 4 2 3 3 2 2" xfId="12349"/>
    <cellStyle name="Calculation 2 2 4 2 3 3 3" xfId="8929"/>
    <cellStyle name="Calculation 2 2 4 2 3 4" xfId="3229"/>
    <cellStyle name="Calculation 2 2 4 2 3 4 2" xfId="6649"/>
    <cellStyle name="Calculation 2 2 4 2 3 4 2 2" xfId="13489"/>
    <cellStyle name="Calculation 2 2 4 2 3 4 3" xfId="10069"/>
    <cellStyle name="Calculation 2 2 4 2 3 5" xfId="4369"/>
    <cellStyle name="Calculation 2 2 4 2 3 5 2" xfId="11209"/>
    <cellStyle name="Calculation 2 2 4 2 3 6" xfId="7789"/>
    <cellStyle name="Calculation 2 2 4 2 3 7" xfId="61806"/>
    <cellStyle name="Calculation 2 2 4 2 3 8" xfId="62285"/>
    <cellStyle name="Calculation 2 2 4 2 4" xfId="15615"/>
    <cellStyle name="Calculation 2 2 4 2 5" xfId="23928"/>
    <cellStyle name="Calculation 2 2 4 2 6" xfId="38279"/>
    <cellStyle name="Calculation 2 2 4 2 7" xfId="51447"/>
    <cellStyle name="Calculation 2 2 4 2 8" xfId="60667"/>
    <cellStyle name="Calculation 2 2 4 2 9" xfId="60945"/>
    <cellStyle name="Calculation 2 2 4 3" xfId="584"/>
    <cellStyle name="Calculation 2 2 4 3 10" xfId="61237"/>
    <cellStyle name="Calculation 2 2 4 3 2" xfId="1571"/>
    <cellStyle name="Calculation 2 2 4 3 2 2" xfId="825"/>
    <cellStyle name="Calculation 2 2 4 3 2 2 2" xfId="2573"/>
    <cellStyle name="Calculation 2 2 4 3 2 2 2 2" xfId="5993"/>
    <cellStyle name="Calculation 2 2 4 3 2 2 2 2 2" xfId="12833"/>
    <cellStyle name="Calculation 2 2 4 3 2 2 2 3" xfId="9413"/>
    <cellStyle name="Calculation 2 2 4 3 2 2 3" xfId="3713"/>
    <cellStyle name="Calculation 2 2 4 3 2 2 3 2" xfId="7133"/>
    <cellStyle name="Calculation 2 2 4 3 2 2 3 2 2" xfId="13973"/>
    <cellStyle name="Calculation 2 2 4 3 2 2 3 3" xfId="10553"/>
    <cellStyle name="Calculation 2 2 4 3 2 2 4" xfId="4853"/>
    <cellStyle name="Calculation 2 2 4 3 2 2 4 2" xfId="11693"/>
    <cellStyle name="Calculation 2 2 4 3 2 2 5" xfId="8273"/>
    <cellStyle name="Calculation 2 2 4 3 2 3" xfId="2396"/>
    <cellStyle name="Calculation 2 2 4 3 2 3 2" xfId="5816"/>
    <cellStyle name="Calculation 2 2 4 3 2 3 2 2" xfId="12656"/>
    <cellStyle name="Calculation 2 2 4 3 2 3 3" xfId="9236"/>
    <cellStyle name="Calculation 2 2 4 3 2 4" xfId="3536"/>
    <cellStyle name="Calculation 2 2 4 3 2 4 2" xfId="6956"/>
    <cellStyle name="Calculation 2 2 4 3 2 4 2 2" xfId="13796"/>
    <cellStyle name="Calculation 2 2 4 3 2 4 3" xfId="10376"/>
    <cellStyle name="Calculation 2 2 4 3 2 5" xfId="4676"/>
    <cellStyle name="Calculation 2 2 4 3 2 5 2" xfId="11516"/>
    <cellStyle name="Calculation 2 2 4 3 2 6" xfId="8096"/>
    <cellStyle name="Calculation 2 2 4 3 2 7" xfId="61804"/>
    <cellStyle name="Calculation 2 2 4 3 2 8" xfId="62283"/>
    <cellStyle name="Calculation 2 2 4 3 3" xfId="16583"/>
    <cellStyle name="Calculation 2 2 4 3 4" xfId="24899"/>
    <cellStyle name="Calculation 2 2 4 3 5" xfId="32159"/>
    <cellStyle name="Calculation 2 2 4 3 6" xfId="51448"/>
    <cellStyle name="Calculation 2 2 4 3 7" xfId="51449"/>
    <cellStyle name="Calculation 2 2 4 3 8" xfId="51450"/>
    <cellStyle name="Calculation 2 2 4 3 9" xfId="60669"/>
    <cellStyle name="Calculation 2 2 4 4" xfId="1145"/>
    <cellStyle name="Calculation 2 2 4 4 10" xfId="61463"/>
    <cellStyle name="Calculation 2 2 4 4 11" xfId="62026"/>
    <cellStyle name="Calculation 2 2 4 4 2" xfId="1055"/>
    <cellStyle name="Calculation 2 2 4 4 2 2" xfId="2733"/>
    <cellStyle name="Calculation 2 2 4 4 2 2 2" xfId="6153"/>
    <cellStyle name="Calculation 2 2 4 4 2 2 2 2" xfId="12993"/>
    <cellStyle name="Calculation 2 2 4 4 2 2 3" xfId="9573"/>
    <cellStyle name="Calculation 2 2 4 4 2 3" xfId="3873"/>
    <cellStyle name="Calculation 2 2 4 4 2 3 2" xfId="7293"/>
    <cellStyle name="Calculation 2 2 4 4 2 3 2 2" xfId="14133"/>
    <cellStyle name="Calculation 2 2 4 4 2 3 3" xfId="10713"/>
    <cellStyle name="Calculation 2 2 4 4 2 4" xfId="5013"/>
    <cellStyle name="Calculation 2 2 4 4 2 4 2" xfId="11853"/>
    <cellStyle name="Calculation 2 2 4 4 2 5" xfId="8433"/>
    <cellStyle name="Calculation 2 2 4 4 3" xfId="1964"/>
    <cellStyle name="Calculation 2 2 4 4 3 2" xfId="5384"/>
    <cellStyle name="Calculation 2 2 4 4 3 2 2" xfId="12224"/>
    <cellStyle name="Calculation 2 2 4 4 3 3" xfId="8804"/>
    <cellStyle name="Calculation 2 2 4 4 4" xfId="3104"/>
    <cellStyle name="Calculation 2 2 4 4 4 2" xfId="6524"/>
    <cellStyle name="Calculation 2 2 4 4 4 2 2" xfId="13364"/>
    <cellStyle name="Calculation 2 2 4 4 4 3" xfId="9944"/>
    <cellStyle name="Calculation 2 2 4 4 5" xfId="4244"/>
    <cellStyle name="Calculation 2 2 4 4 5 2" xfId="11084"/>
    <cellStyle name="Calculation 2 2 4 4 6" xfId="7664"/>
    <cellStyle name="Calculation 2 2 4 4 7" xfId="17602"/>
    <cellStyle name="Calculation 2 2 4 4 8" xfId="25924"/>
    <cellStyle name="Calculation 2 2 4 4 9" xfId="33136"/>
    <cellStyle name="Calculation 2 2 4 5" xfId="18583"/>
    <cellStyle name="Calculation 2 2 4 5 2" xfId="26902"/>
    <cellStyle name="Calculation 2 2 4 5 2 2" xfId="51451"/>
    <cellStyle name="Calculation 2 2 4 5 2 3" xfId="51452"/>
    <cellStyle name="Calculation 2 2 4 5 3" xfId="34071"/>
    <cellStyle name="Calculation 2 2 4 5 4" xfId="51453"/>
    <cellStyle name="Calculation 2 2 4 6" xfId="19551"/>
    <cellStyle name="Calculation 2 2 4 6 2" xfId="27872"/>
    <cellStyle name="Calculation 2 2 4 6 2 2" xfId="51454"/>
    <cellStyle name="Calculation 2 2 4 6 2 3" xfId="51455"/>
    <cellStyle name="Calculation 2 2 4 6 3" xfId="35019"/>
    <cellStyle name="Calculation 2 2 4 6 4" xfId="51456"/>
    <cellStyle name="Calculation 2 2 4 7" xfId="20509"/>
    <cellStyle name="Calculation 2 2 4 7 2" xfId="28831"/>
    <cellStyle name="Calculation 2 2 4 7 2 2" xfId="51457"/>
    <cellStyle name="Calculation 2 2 4 7 2 3" xfId="51458"/>
    <cellStyle name="Calculation 2 2 4 7 3" xfId="35936"/>
    <cellStyle name="Calculation 2 2 4 7 4" xfId="51459"/>
    <cellStyle name="Calculation 2 2 4 8" xfId="22892"/>
    <cellStyle name="Calculation 2 2 4 8 2" xfId="51460"/>
    <cellStyle name="Calculation 2 2 4 8 3" xfId="51461"/>
    <cellStyle name="Calculation 2 2 4 9" xfId="51462"/>
    <cellStyle name="Calculation 2 2 40" xfId="15442"/>
    <cellStyle name="Calculation 2 2 40 10" xfId="51463"/>
    <cellStyle name="Calculation 2 2 40 11" xfId="51464"/>
    <cellStyle name="Calculation 2 2 40 2" xfId="16522"/>
    <cellStyle name="Calculation 2 2 40 2 2" xfId="24835"/>
    <cellStyle name="Calculation 2 2 40 2 2 2" xfId="51465"/>
    <cellStyle name="Calculation 2 2 40 2 2 3" xfId="51466"/>
    <cellStyle name="Calculation 2 2 40 2 3" xfId="32096"/>
    <cellStyle name="Calculation 2 2 40 2 4" xfId="51467"/>
    <cellStyle name="Calculation 2 2 40 3" xfId="17488"/>
    <cellStyle name="Calculation 2 2 40 3 2" xfId="25809"/>
    <cellStyle name="Calculation 2 2 40 3 2 2" xfId="51468"/>
    <cellStyle name="Calculation 2 2 40 3 2 3" xfId="51469"/>
    <cellStyle name="Calculation 2 2 40 3 3" xfId="33029"/>
    <cellStyle name="Calculation 2 2 40 3 4" xfId="51470"/>
    <cellStyle name="Calculation 2 2 40 4" xfId="18516"/>
    <cellStyle name="Calculation 2 2 40 4 2" xfId="26836"/>
    <cellStyle name="Calculation 2 2 40 4 2 2" xfId="51471"/>
    <cellStyle name="Calculation 2 2 40 4 2 3" xfId="51472"/>
    <cellStyle name="Calculation 2 2 40 4 3" xfId="34007"/>
    <cellStyle name="Calculation 2 2 40 4 4" xfId="51473"/>
    <cellStyle name="Calculation 2 2 40 5" xfId="19499"/>
    <cellStyle name="Calculation 2 2 40 5 2" xfId="27820"/>
    <cellStyle name="Calculation 2 2 40 5 2 2" xfId="51474"/>
    <cellStyle name="Calculation 2 2 40 5 2 3" xfId="51475"/>
    <cellStyle name="Calculation 2 2 40 5 3" xfId="34968"/>
    <cellStyle name="Calculation 2 2 40 5 4" xfId="51476"/>
    <cellStyle name="Calculation 2 2 40 6" xfId="20468"/>
    <cellStyle name="Calculation 2 2 40 6 2" xfId="28790"/>
    <cellStyle name="Calculation 2 2 40 6 2 2" xfId="51477"/>
    <cellStyle name="Calculation 2 2 40 6 2 3" xfId="51478"/>
    <cellStyle name="Calculation 2 2 40 6 3" xfId="35899"/>
    <cellStyle name="Calculation 2 2 40 6 4" xfId="51479"/>
    <cellStyle name="Calculation 2 2 40 7" xfId="21929"/>
    <cellStyle name="Calculation 2 2 40 7 2" xfId="30230"/>
    <cellStyle name="Calculation 2 2 40 7 2 2" xfId="51480"/>
    <cellStyle name="Calculation 2 2 40 7 2 3" xfId="51481"/>
    <cellStyle name="Calculation 2 2 40 7 3" xfId="37272"/>
    <cellStyle name="Calculation 2 2 40 7 4" xfId="51482"/>
    <cellStyle name="Calculation 2 2 40 8" xfId="22857"/>
    <cellStyle name="Calculation 2 2 40 8 2" xfId="31153"/>
    <cellStyle name="Calculation 2 2 40 8 2 2" xfId="51483"/>
    <cellStyle name="Calculation 2 2 40 8 2 3" xfId="51484"/>
    <cellStyle name="Calculation 2 2 40 8 3" xfId="38156"/>
    <cellStyle name="Calculation 2 2 40 8 4" xfId="51485"/>
    <cellStyle name="Calculation 2 2 40 9" xfId="23799"/>
    <cellStyle name="Calculation 2 2 40 9 2" xfId="51486"/>
    <cellStyle name="Calculation 2 2 40 9 3" xfId="51487"/>
    <cellStyle name="Calculation 2 2 41" xfId="15364"/>
    <cellStyle name="Calculation 2 2 41 10" xfId="51488"/>
    <cellStyle name="Calculation 2 2 41 11" xfId="51489"/>
    <cellStyle name="Calculation 2 2 41 2" xfId="16444"/>
    <cellStyle name="Calculation 2 2 41 2 2" xfId="24757"/>
    <cellStyle name="Calculation 2 2 41 2 2 2" xfId="51490"/>
    <cellStyle name="Calculation 2 2 41 2 2 3" xfId="51491"/>
    <cellStyle name="Calculation 2 2 41 2 3" xfId="32021"/>
    <cellStyle name="Calculation 2 2 41 2 4" xfId="51492"/>
    <cellStyle name="Calculation 2 2 41 3" xfId="17410"/>
    <cellStyle name="Calculation 2 2 41 3 2" xfId="25731"/>
    <cellStyle name="Calculation 2 2 41 3 2 2" xfId="51493"/>
    <cellStyle name="Calculation 2 2 41 3 2 3" xfId="51494"/>
    <cellStyle name="Calculation 2 2 41 3 3" xfId="32954"/>
    <cellStyle name="Calculation 2 2 41 3 4" xfId="51495"/>
    <cellStyle name="Calculation 2 2 41 4" xfId="18438"/>
    <cellStyle name="Calculation 2 2 41 4 2" xfId="26758"/>
    <cellStyle name="Calculation 2 2 41 4 2 2" xfId="51496"/>
    <cellStyle name="Calculation 2 2 41 4 2 3" xfId="51497"/>
    <cellStyle name="Calculation 2 2 41 4 3" xfId="33932"/>
    <cellStyle name="Calculation 2 2 41 4 4" xfId="51498"/>
    <cellStyle name="Calculation 2 2 41 5" xfId="19421"/>
    <cellStyle name="Calculation 2 2 41 5 2" xfId="27742"/>
    <cellStyle name="Calculation 2 2 41 5 2 2" xfId="51499"/>
    <cellStyle name="Calculation 2 2 41 5 2 3" xfId="51500"/>
    <cellStyle name="Calculation 2 2 41 5 3" xfId="34890"/>
    <cellStyle name="Calculation 2 2 41 5 4" xfId="51501"/>
    <cellStyle name="Calculation 2 2 41 6" xfId="20390"/>
    <cellStyle name="Calculation 2 2 41 6 2" xfId="28712"/>
    <cellStyle name="Calculation 2 2 41 6 2 2" xfId="51502"/>
    <cellStyle name="Calculation 2 2 41 6 2 3" xfId="51503"/>
    <cellStyle name="Calculation 2 2 41 6 3" xfId="35824"/>
    <cellStyle name="Calculation 2 2 41 6 4" xfId="51504"/>
    <cellStyle name="Calculation 2 2 41 7" xfId="21851"/>
    <cellStyle name="Calculation 2 2 41 7 2" xfId="30152"/>
    <cellStyle name="Calculation 2 2 41 7 2 2" xfId="51505"/>
    <cellStyle name="Calculation 2 2 41 7 2 3" xfId="51506"/>
    <cellStyle name="Calculation 2 2 41 7 3" xfId="37197"/>
    <cellStyle name="Calculation 2 2 41 7 4" xfId="51507"/>
    <cellStyle name="Calculation 2 2 41 8" xfId="22779"/>
    <cellStyle name="Calculation 2 2 41 8 2" xfId="31075"/>
    <cellStyle name="Calculation 2 2 41 8 2 2" xfId="51508"/>
    <cellStyle name="Calculation 2 2 41 8 2 3" xfId="51509"/>
    <cellStyle name="Calculation 2 2 41 8 3" xfId="38081"/>
    <cellStyle name="Calculation 2 2 41 8 4" xfId="51510"/>
    <cellStyle name="Calculation 2 2 41 9" xfId="23721"/>
    <cellStyle name="Calculation 2 2 41 9 2" xfId="51511"/>
    <cellStyle name="Calculation 2 2 41 9 3" xfId="51512"/>
    <cellStyle name="Calculation 2 2 42" xfId="15474"/>
    <cellStyle name="Calculation 2 2 42 10" xfId="51513"/>
    <cellStyle name="Calculation 2 2 42 11" xfId="51514"/>
    <cellStyle name="Calculation 2 2 42 2" xfId="16548"/>
    <cellStyle name="Calculation 2 2 42 2 2" xfId="24861"/>
    <cellStyle name="Calculation 2 2 42 2 2 2" xfId="51515"/>
    <cellStyle name="Calculation 2 2 42 2 2 3" xfId="51516"/>
    <cellStyle name="Calculation 2 2 42 2 3" xfId="32121"/>
    <cellStyle name="Calculation 2 2 42 2 4" xfId="51517"/>
    <cellStyle name="Calculation 2 2 42 3" xfId="17520"/>
    <cellStyle name="Calculation 2 2 42 3 2" xfId="25840"/>
    <cellStyle name="Calculation 2 2 42 3 2 2" xfId="51518"/>
    <cellStyle name="Calculation 2 2 42 3 2 3" xfId="51519"/>
    <cellStyle name="Calculation 2 2 42 3 3" xfId="33058"/>
    <cellStyle name="Calculation 2 2 42 3 4" xfId="51520"/>
    <cellStyle name="Calculation 2 2 42 4" xfId="18547"/>
    <cellStyle name="Calculation 2 2 42 4 2" xfId="26864"/>
    <cellStyle name="Calculation 2 2 42 4 2 2" xfId="51521"/>
    <cellStyle name="Calculation 2 2 42 4 2 3" xfId="51522"/>
    <cellStyle name="Calculation 2 2 42 4 3" xfId="34034"/>
    <cellStyle name="Calculation 2 2 42 4 4" xfId="51523"/>
    <cellStyle name="Calculation 2 2 42 5" xfId="19531"/>
    <cellStyle name="Calculation 2 2 42 5 2" xfId="27852"/>
    <cellStyle name="Calculation 2 2 42 5 2 2" xfId="51524"/>
    <cellStyle name="Calculation 2 2 42 5 2 3" xfId="51525"/>
    <cellStyle name="Calculation 2 2 42 5 3" xfId="35000"/>
    <cellStyle name="Calculation 2 2 42 5 4" xfId="51526"/>
    <cellStyle name="Calculation 2 2 42 6" xfId="20495"/>
    <cellStyle name="Calculation 2 2 42 6 2" xfId="28817"/>
    <cellStyle name="Calculation 2 2 42 6 2 2" xfId="51527"/>
    <cellStyle name="Calculation 2 2 42 6 2 3" xfId="51528"/>
    <cellStyle name="Calculation 2 2 42 6 3" xfId="35924"/>
    <cellStyle name="Calculation 2 2 42 6 4" xfId="51529"/>
    <cellStyle name="Calculation 2 2 42 7" xfId="21955"/>
    <cellStyle name="Calculation 2 2 42 7 2" xfId="30256"/>
    <cellStyle name="Calculation 2 2 42 7 2 2" xfId="51530"/>
    <cellStyle name="Calculation 2 2 42 7 2 3" xfId="51531"/>
    <cellStyle name="Calculation 2 2 42 7 3" xfId="37296"/>
    <cellStyle name="Calculation 2 2 42 7 4" xfId="51532"/>
    <cellStyle name="Calculation 2 2 42 8" xfId="22879"/>
    <cellStyle name="Calculation 2 2 42 8 2" xfId="31175"/>
    <cellStyle name="Calculation 2 2 42 8 2 2" xfId="51533"/>
    <cellStyle name="Calculation 2 2 42 8 2 3" xfId="51534"/>
    <cellStyle name="Calculation 2 2 42 8 3" xfId="38177"/>
    <cellStyle name="Calculation 2 2 42 8 4" xfId="51535"/>
    <cellStyle name="Calculation 2 2 42 9" xfId="23824"/>
    <cellStyle name="Calculation 2 2 42 9 2" xfId="51536"/>
    <cellStyle name="Calculation 2 2 42 9 3" xfId="51537"/>
    <cellStyle name="Calculation 2 2 43" xfId="16546"/>
    <cellStyle name="Calculation 2 2 43 2" xfId="24859"/>
    <cellStyle name="Calculation 2 2 43 2 2" xfId="51538"/>
    <cellStyle name="Calculation 2 2 43 2 3" xfId="51539"/>
    <cellStyle name="Calculation 2 2 43 3" xfId="32119"/>
    <cellStyle name="Calculation 2 2 43 4" xfId="51540"/>
    <cellStyle name="Calculation 2 2 44" xfId="15558"/>
    <cellStyle name="Calculation 2 2 44 2" xfId="23886"/>
    <cellStyle name="Calculation 2 2 44 2 2" xfId="51541"/>
    <cellStyle name="Calculation 2 2 44 2 3" xfId="51542"/>
    <cellStyle name="Calculation 2 2 44 3" xfId="31230"/>
    <cellStyle name="Calculation 2 2 44 4" xfId="51543"/>
    <cellStyle name="Calculation 2 2 45" xfId="20038"/>
    <cellStyle name="Calculation 2 2 45 2" xfId="28360"/>
    <cellStyle name="Calculation 2 2 45 2 2" xfId="51544"/>
    <cellStyle name="Calculation 2 2 45 2 3" xfId="51545"/>
    <cellStyle name="Calculation 2 2 45 3" xfId="35487"/>
    <cellStyle name="Calculation 2 2 45 4" xfId="51546"/>
    <cellStyle name="Calculation 2 2 46" xfId="21151"/>
    <cellStyle name="Calculation 2 2 46 2" xfId="29463"/>
    <cellStyle name="Calculation 2 2 46 2 2" xfId="51547"/>
    <cellStyle name="Calculation 2 2 46 2 3" xfId="51548"/>
    <cellStyle name="Calculation 2 2 46 3" xfId="36535"/>
    <cellStyle name="Calculation 2 2 46 4" xfId="51549"/>
    <cellStyle name="Calculation 2 2 47" xfId="14633"/>
    <cellStyle name="Calculation 2 2 47 2" xfId="51550"/>
    <cellStyle name="Calculation 2 2 47 3" xfId="51551"/>
    <cellStyle name="Calculation 2 2 48" xfId="51552"/>
    <cellStyle name="Calculation 2 2 49" xfId="51553"/>
    <cellStyle name="Calculation 2 2 5" xfId="303"/>
    <cellStyle name="Calculation 2 2 5 10" xfId="14597"/>
    <cellStyle name="Calculation 2 2 5 11" xfId="22957"/>
    <cellStyle name="Calculation 2 2 5 12" xfId="51554"/>
    <cellStyle name="Calculation 2 2 5 13" xfId="51555"/>
    <cellStyle name="Calculation 2 2 5 14" xfId="51556"/>
    <cellStyle name="Calculation 2 2 5 15" xfId="60670"/>
    <cellStyle name="Calculation 2 2 5 16" xfId="60985"/>
    <cellStyle name="Calculation 2 2 5 2" xfId="223"/>
    <cellStyle name="Calculation 2 2 5 2 10" xfId="60906"/>
    <cellStyle name="Calculation 2 2 5 2 2" xfId="1230"/>
    <cellStyle name="Calculation 2 2 5 2 2 2" xfId="1766"/>
    <cellStyle name="Calculation 2 2 5 2 2 2 2" xfId="2906"/>
    <cellStyle name="Calculation 2 2 5 2 2 2 2 2" xfId="6326"/>
    <cellStyle name="Calculation 2 2 5 2 2 2 2 2 2" xfId="13166"/>
    <cellStyle name="Calculation 2 2 5 2 2 2 2 3" xfId="9746"/>
    <cellStyle name="Calculation 2 2 5 2 2 2 3" xfId="4046"/>
    <cellStyle name="Calculation 2 2 5 2 2 2 3 2" xfId="7466"/>
    <cellStyle name="Calculation 2 2 5 2 2 2 3 2 2" xfId="14306"/>
    <cellStyle name="Calculation 2 2 5 2 2 2 3 3" xfId="10886"/>
    <cellStyle name="Calculation 2 2 5 2 2 2 4" xfId="5186"/>
    <cellStyle name="Calculation 2 2 5 2 2 2 4 2" xfId="12026"/>
    <cellStyle name="Calculation 2 2 5 2 2 2 5" xfId="8606"/>
    <cellStyle name="Calculation 2 2 5 2 2 3" xfId="2050"/>
    <cellStyle name="Calculation 2 2 5 2 2 3 2" xfId="5470"/>
    <cellStyle name="Calculation 2 2 5 2 2 3 2 2" xfId="12310"/>
    <cellStyle name="Calculation 2 2 5 2 2 3 3" xfId="8890"/>
    <cellStyle name="Calculation 2 2 5 2 2 4" xfId="3190"/>
    <cellStyle name="Calculation 2 2 5 2 2 4 2" xfId="6610"/>
    <cellStyle name="Calculation 2 2 5 2 2 4 2 2" xfId="13450"/>
    <cellStyle name="Calculation 2 2 5 2 2 4 3" xfId="10030"/>
    <cellStyle name="Calculation 2 2 5 2 2 5" xfId="4330"/>
    <cellStyle name="Calculation 2 2 5 2 2 5 2" xfId="11170"/>
    <cellStyle name="Calculation 2 2 5 2 2 6" xfId="7750"/>
    <cellStyle name="Calculation 2 2 5 2 2 7" xfId="61802"/>
    <cellStyle name="Calculation 2 2 5 2 2 8" xfId="62281"/>
    <cellStyle name="Calculation 2 2 5 2 3" xfId="15677"/>
    <cellStyle name="Calculation 2 2 5 2 4" xfId="23992"/>
    <cellStyle name="Calculation 2 2 5 2 5" xfId="31287"/>
    <cellStyle name="Calculation 2 2 5 2 6" xfId="51557"/>
    <cellStyle name="Calculation 2 2 5 2 7" xfId="51558"/>
    <cellStyle name="Calculation 2 2 5 2 8" xfId="51559"/>
    <cellStyle name="Calculation 2 2 5 2 9" xfId="60671"/>
    <cellStyle name="Calculation 2 2 5 3" xfId="1309"/>
    <cellStyle name="Calculation 2 2 5 3 10" xfId="61803"/>
    <cellStyle name="Calculation 2 2 5 3 11" xfId="62282"/>
    <cellStyle name="Calculation 2 2 5 3 2" xfId="974"/>
    <cellStyle name="Calculation 2 2 5 3 2 2" xfId="2625"/>
    <cellStyle name="Calculation 2 2 5 3 2 2 2" xfId="6045"/>
    <cellStyle name="Calculation 2 2 5 3 2 2 2 2" xfId="12885"/>
    <cellStyle name="Calculation 2 2 5 3 2 2 3" xfId="9465"/>
    <cellStyle name="Calculation 2 2 5 3 2 3" xfId="3765"/>
    <cellStyle name="Calculation 2 2 5 3 2 3 2" xfId="7185"/>
    <cellStyle name="Calculation 2 2 5 3 2 3 2 2" xfId="14025"/>
    <cellStyle name="Calculation 2 2 5 3 2 3 3" xfId="10605"/>
    <cellStyle name="Calculation 2 2 5 3 2 4" xfId="4905"/>
    <cellStyle name="Calculation 2 2 5 3 2 4 2" xfId="11745"/>
    <cellStyle name="Calculation 2 2 5 3 2 5" xfId="8325"/>
    <cellStyle name="Calculation 2 2 5 3 3" xfId="2129"/>
    <cellStyle name="Calculation 2 2 5 3 3 2" xfId="5549"/>
    <cellStyle name="Calculation 2 2 5 3 3 2 2" xfId="12389"/>
    <cellStyle name="Calculation 2 2 5 3 3 3" xfId="8969"/>
    <cellStyle name="Calculation 2 2 5 3 4" xfId="3269"/>
    <cellStyle name="Calculation 2 2 5 3 4 2" xfId="6689"/>
    <cellStyle name="Calculation 2 2 5 3 4 2 2" xfId="13529"/>
    <cellStyle name="Calculation 2 2 5 3 4 3" xfId="10109"/>
    <cellStyle name="Calculation 2 2 5 3 5" xfId="4409"/>
    <cellStyle name="Calculation 2 2 5 3 5 2" xfId="11249"/>
    <cellStyle name="Calculation 2 2 5 3 6" xfId="7829"/>
    <cellStyle name="Calculation 2 2 5 3 7" xfId="16644"/>
    <cellStyle name="Calculation 2 2 5 3 8" xfId="24963"/>
    <cellStyle name="Calculation 2 2 5 3 9" xfId="32220"/>
    <cellStyle name="Calculation 2 2 5 4" xfId="17665"/>
    <cellStyle name="Calculation 2 2 5 4 2" xfId="25989"/>
    <cellStyle name="Calculation 2 2 5 4 2 2" xfId="51560"/>
    <cellStyle name="Calculation 2 2 5 4 2 3" xfId="51561"/>
    <cellStyle name="Calculation 2 2 5 4 3" xfId="33197"/>
    <cellStyle name="Calculation 2 2 5 4 4" xfId="51562"/>
    <cellStyle name="Calculation 2 2 5 5" xfId="18648"/>
    <cellStyle name="Calculation 2 2 5 5 2" xfId="26969"/>
    <cellStyle name="Calculation 2 2 5 5 2 2" xfId="51563"/>
    <cellStyle name="Calculation 2 2 5 5 2 3" xfId="51564"/>
    <cellStyle name="Calculation 2 2 5 5 3" xfId="34135"/>
    <cellStyle name="Calculation 2 2 5 5 4" xfId="51565"/>
    <cellStyle name="Calculation 2 2 5 6" xfId="19617"/>
    <cellStyle name="Calculation 2 2 5 6 2" xfId="27938"/>
    <cellStyle name="Calculation 2 2 5 6 2 2" xfId="51566"/>
    <cellStyle name="Calculation 2 2 5 6 2 3" xfId="51567"/>
    <cellStyle name="Calculation 2 2 5 6 3" xfId="35081"/>
    <cellStyle name="Calculation 2 2 5 6 4" xfId="51568"/>
    <cellStyle name="Calculation 2 2 5 7" xfId="20574"/>
    <cellStyle name="Calculation 2 2 5 7 2" xfId="28896"/>
    <cellStyle name="Calculation 2 2 5 7 2 2" xfId="51569"/>
    <cellStyle name="Calculation 2 2 5 7 2 3" xfId="51570"/>
    <cellStyle name="Calculation 2 2 5 7 3" xfId="35997"/>
    <cellStyle name="Calculation 2 2 5 7 4" xfId="51571"/>
    <cellStyle name="Calculation 2 2 5 8" xfId="21306"/>
    <cellStyle name="Calculation 2 2 5 8 2" xfId="29613"/>
    <cellStyle name="Calculation 2 2 5 8 2 2" xfId="51572"/>
    <cellStyle name="Calculation 2 2 5 8 2 3" xfId="51573"/>
    <cellStyle name="Calculation 2 2 5 8 3" xfId="36680"/>
    <cellStyle name="Calculation 2 2 5 8 4" xfId="51574"/>
    <cellStyle name="Calculation 2 2 5 9" xfId="22011"/>
    <cellStyle name="Calculation 2 2 5 9 2" xfId="30310"/>
    <cellStyle name="Calculation 2 2 5 9 2 2" xfId="51575"/>
    <cellStyle name="Calculation 2 2 5 9 2 3" xfId="51576"/>
    <cellStyle name="Calculation 2 2 5 9 3" xfId="37348"/>
    <cellStyle name="Calculation 2 2 5 9 4" xfId="51577"/>
    <cellStyle name="Calculation 2 2 50" xfId="51578"/>
    <cellStyle name="Calculation 2 2 51" xfId="51579"/>
    <cellStyle name="Calculation 2 2 52" xfId="60648"/>
    <cellStyle name="Calculation 2 2 53" xfId="60770"/>
    <cellStyle name="Calculation 2 2 6" xfId="200"/>
    <cellStyle name="Calculation 2 2 6 10" xfId="14614"/>
    <cellStyle name="Calculation 2 2 6 11" xfId="22975"/>
    <cellStyle name="Calculation 2 2 6 12" xfId="51580"/>
    <cellStyle name="Calculation 2 2 6 13" xfId="51581"/>
    <cellStyle name="Calculation 2 2 6 14" xfId="51582"/>
    <cellStyle name="Calculation 2 2 6 15" xfId="60672"/>
    <cellStyle name="Calculation 2 2 6 16" xfId="60884"/>
    <cellStyle name="Calculation 2 2 6 2" xfId="540"/>
    <cellStyle name="Calculation 2 2 6 2 10" xfId="61220"/>
    <cellStyle name="Calculation 2 2 6 2 2" xfId="1544"/>
    <cellStyle name="Calculation 2 2 6 2 2 2" xfId="1836"/>
    <cellStyle name="Calculation 2 2 6 2 2 2 2" xfId="2976"/>
    <cellStyle name="Calculation 2 2 6 2 2 2 2 2" xfId="6396"/>
    <cellStyle name="Calculation 2 2 6 2 2 2 2 2 2" xfId="13236"/>
    <cellStyle name="Calculation 2 2 6 2 2 2 2 3" xfId="9816"/>
    <cellStyle name="Calculation 2 2 6 2 2 2 3" xfId="4116"/>
    <cellStyle name="Calculation 2 2 6 2 2 2 3 2" xfId="7536"/>
    <cellStyle name="Calculation 2 2 6 2 2 2 3 2 2" xfId="14376"/>
    <cellStyle name="Calculation 2 2 6 2 2 2 3 3" xfId="10956"/>
    <cellStyle name="Calculation 2 2 6 2 2 2 4" xfId="5256"/>
    <cellStyle name="Calculation 2 2 6 2 2 2 4 2" xfId="12096"/>
    <cellStyle name="Calculation 2 2 6 2 2 2 5" xfId="8676"/>
    <cellStyle name="Calculation 2 2 6 2 2 3" xfId="2365"/>
    <cellStyle name="Calculation 2 2 6 2 2 3 2" xfId="5785"/>
    <cellStyle name="Calculation 2 2 6 2 2 3 2 2" xfId="12625"/>
    <cellStyle name="Calculation 2 2 6 2 2 3 3" xfId="9205"/>
    <cellStyle name="Calculation 2 2 6 2 2 4" xfId="3505"/>
    <cellStyle name="Calculation 2 2 6 2 2 4 2" xfId="6925"/>
    <cellStyle name="Calculation 2 2 6 2 2 4 2 2" xfId="13765"/>
    <cellStyle name="Calculation 2 2 6 2 2 4 3" xfId="10345"/>
    <cellStyle name="Calculation 2 2 6 2 2 5" xfId="4645"/>
    <cellStyle name="Calculation 2 2 6 2 2 5 2" xfId="11485"/>
    <cellStyle name="Calculation 2 2 6 2 2 6" xfId="8065"/>
    <cellStyle name="Calculation 2 2 6 2 2 7" xfId="61801"/>
    <cellStyle name="Calculation 2 2 6 2 2 8" xfId="62280"/>
    <cellStyle name="Calculation 2 2 6 2 3" xfId="15694"/>
    <cellStyle name="Calculation 2 2 6 2 4" xfId="24010"/>
    <cellStyle name="Calculation 2 2 6 2 5" xfId="31304"/>
    <cellStyle name="Calculation 2 2 6 2 6" xfId="51583"/>
    <cellStyle name="Calculation 2 2 6 2 7" xfId="51584"/>
    <cellStyle name="Calculation 2 2 6 2 8" xfId="51585"/>
    <cellStyle name="Calculation 2 2 6 2 9" xfId="60673"/>
    <cellStyle name="Calculation 2 2 6 3" xfId="1208"/>
    <cellStyle name="Calculation 2 2 6 3 10" xfId="61505"/>
    <cellStyle name="Calculation 2 2 6 3 11" xfId="62058"/>
    <cellStyle name="Calculation 2 2 6 3 2" xfId="1023"/>
    <cellStyle name="Calculation 2 2 6 3 2 2" xfId="2661"/>
    <cellStyle name="Calculation 2 2 6 3 2 2 2" xfId="6081"/>
    <cellStyle name="Calculation 2 2 6 3 2 2 2 2" xfId="12921"/>
    <cellStyle name="Calculation 2 2 6 3 2 2 3" xfId="9501"/>
    <cellStyle name="Calculation 2 2 6 3 2 3" xfId="3801"/>
    <cellStyle name="Calculation 2 2 6 3 2 3 2" xfId="7221"/>
    <cellStyle name="Calculation 2 2 6 3 2 3 2 2" xfId="14061"/>
    <cellStyle name="Calculation 2 2 6 3 2 3 3" xfId="10641"/>
    <cellStyle name="Calculation 2 2 6 3 2 4" xfId="4941"/>
    <cellStyle name="Calculation 2 2 6 3 2 4 2" xfId="11781"/>
    <cellStyle name="Calculation 2 2 6 3 2 5" xfId="8361"/>
    <cellStyle name="Calculation 2 2 6 3 3" xfId="2027"/>
    <cellStyle name="Calculation 2 2 6 3 3 2" xfId="5447"/>
    <cellStyle name="Calculation 2 2 6 3 3 2 2" xfId="12287"/>
    <cellStyle name="Calculation 2 2 6 3 3 3" xfId="8867"/>
    <cellStyle name="Calculation 2 2 6 3 4" xfId="3167"/>
    <cellStyle name="Calculation 2 2 6 3 4 2" xfId="6587"/>
    <cellStyle name="Calculation 2 2 6 3 4 2 2" xfId="13427"/>
    <cellStyle name="Calculation 2 2 6 3 4 3" xfId="10007"/>
    <cellStyle name="Calculation 2 2 6 3 5" xfId="4307"/>
    <cellStyle name="Calculation 2 2 6 3 5 2" xfId="11147"/>
    <cellStyle name="Calculation 2 2 6 3 6" xfId="7727"/>
    <cellStyle name="Calculation 2 2 6 3 7" xfId="16661"/>
    <cellStyle name="Calculation 2 2 6 3 8" xfId="24981"/>
    <cellStyle name="Calculation 2 2 6 3 9" xfId="32237"/>
    <cellStyle name="Calculation 2 2 6 4" xfId="17683"/>
    <cellStyle name="Calculation 2 2 6 4 2" xfId="26007"/>
    <cellStyle name="Calculation 2 2 6 4 2 2" xfId="51586"/>
    <cellStyle name="Calculation 2 2 6 4 2 3" xfId="51587"/>
    <cellStyle name="Calculation 2 2 6 4 3" xfId="33214"/>
    <cellStyle name="Calculation 2 2 6 4 4" xfId="51588"/>
    <cellStyle name="Calculation 2 2 6 5" xfId="18666"/>
    <cellStyle name="Calculation 2 2 6 5 2" xfId="26987"/>
    <cellStyle name="Calculation 2 2 6 5 2 2" xfId="51589"/>
    <cellStyle name="Calculation 2 2 6 5 2 3" xfId="51590"/>
    <cellStyle name="Calculation 2 2 6 5 3" xfId="34152"/>
    <cellStyle name="Calculation 2 2 6 5 4" xfId="51591"/>
    <cellStyle name="Calculation 2 2 6 6" xfId="19635"/>
    <cellStyle name="Calculation 2 2 6 6 2" xfId="27956"/>
    <cellStyle name="Calculation 2 2 6 6 2 2" xfId="51592"/>
    <cellStyle name="Calculation 2 2 6 6 2 3" xfId="51593"/>
    <cellStyle name="Calculation 2 2 6 6 3" xfId="35098"/>
    <cellStyle name="Calculation 2 2 6 6 4" xfId="51594"/>
    <cellStyle name="Calculation 2 2 6 7" xfId="20592"/>
    <cellStyle name="Calculation 2 2 6 7 2" xfId="28914"/>
    <cellStyle name="Calculation 2 2 6 7 2 2" xfId="51595"/>
    <cellStyle name="Calculation 2 2 6 7 2 3" xfId="51596"/>
    <cellStyle name="Calculation 2 2 6 7 3" xfId="36014"/>
    <cellStyle name="Calculation 2 2 6 7 4" xfId="51597"/>
    <cellStyle name="Calculation 2 2 6 8" xfId="21344"/>
    <cellStyle name="Calculation 2 2 6 8 2" xfId="29648"/>
    <cellStyle name="Calculation 2 2 6 8 2 2" xfId="51598"/>
    <cellStyle name="Calculation 2 2 6 8 2 3" xfId="51599"/>
    <cellStyle name="Calculation 2 2 6 8 3" xfId="36713"/>
    <cellStyle name="Calculation 2 2 6 8 4" xfId="51600"/>
    <cellStyle name="Calculation 2 2 6 9" xfId="22029"/>
    <cellStyle name="Calculation 2 2 6 9 2" xfId="30328"/>
    <cellStyle name="Calculation 2 2 6 9 2 2" xfId="51601"/>
    <cellStyle name="Calculation 2 2 6 9 2 3" xfId="51602"/>
    <cellStyle name="Calculation 2 2 6 9 3" xfId="37365"/>
    <cellStyle name="Calculation 2 2 6 9 4" xfId="51603"/>
    <cellStyle name="Calculation 2 2 7" xfId="396"/>
    <cellStyle name="Calculation 2 2 7 10" xfId="14570"/>
    <cellStyle name="Calculation 2 2 7 11" xfId="22925"/>
    <cellStyle name="Calculation 2 2 7 12" xfId="51604"/>
    <cellStyle name="Calculation 2 2 7 13" xfId="51605"/>
    <cellStyle name="Calculation 2 2 7 14" xfId="51606"/>
    <cellStyle name="Calculation 2 2 7 15" xfId="60674"/>
    <cellStyle name="Calculation 2 2 7 16" xfId="61077"/>
    <cellStyle name="Calculation 2 2 7 2" xfId="183"/>
    <cellStyle name="Calculation 2 2 7 2 10" xfId="60867"/>
    <cellStyle name="Calculation 2 2 7 2 2" xfId="1191"/>
    <cellStyle name="Calculation 2 2 7 2 2 2" xfId="1032"/>
    <cellStyle name="Calculation 2 2 7 2 2 2 2" xfId="2693"/>
    <cellStyle name="Calculation 2 2 7 2 2 2 2 2" xfId="6113"/>
    <cellStyle name="Calculation 2 2 7 2 2 2 2 2 2" xfId="12953"/>
    <cellStyle name="Calculation 2 2 7 2 2 2 2 3" xfId="9533"/>
    <cellStyle name="Calculation 2 2 7 2 2 2 3" xfId="3833"/>
    <cellStyle name="Calculation 2 2 7 2 2 2 3 2" xfId="7253"/>
    <cellStyle name="Calculation 2 2 7 2 2 2 3 2 2" xfId="14093"/>
    <cellStyle name="Calculation 2 2 7 2 2 2 3 3" xfId="10673"/>
    <cellStyle name="Calculation 2 2 7 2 2 2 4" xfId="4973"/>
    <cellStyle name="Calculation 2 2 7 2 2 2 4 2" xfId="11813"/>
    <cellStyle name="Calculation 2 2 7 2 2 2 5" xfId="8393"/>
    <cellStyle name="Calculation 2 2 7 2 2 3" xfId="2010"/>
    <cellStyle name="Calculation 2 2 7 2 2 3 2" xfId="5430"/>
    <cellStyle name="Calculation 2 2 7 2 2 3 2 2" xfId="12270"/>
    <cellStyle name="Calculation 2 2 7 2 2 3 3" xfId="8850"/>
    <cellStyle name="Calculation 2 2 7 2 2 4" xfId="3150"/>
    <cellStyle name="Calculation 2 2 7 2 2 4 2" xfId="6570"/>
    <cellStyle name="Calculation 2 2 7 2 2 4 2 2" xfId="13410"/>
    <cellStyle name="Calculation 2 2 7 2 2 4 3" xfId="9990"/>
    <cellStyle name="Calculation 2 2 7 2 2 5" xfId="4290"/>
    <cellStyle name="Calculation 2 2 7 2 2 5 2" xfId="11130"/>
    <cellStyle name="Calculation 2 2 7 2 2 6" xfId="7710"/>
    <cellStyle name="Calculation 2 2 7 2 2 7" xfId="61800"/>
    <cellStyle name="Calculation 2 2 7 2 2 8" xfId="62279"/>
    <cellStyle name="Calculation 2 2 7 2 3" xfId="15649"/>
    <cellStyle name="Calculation 2 2 7 2 4" xfId="23961"/>
    <cellStyle name="Calculation 2 2 7 2 5" xfId="31258"/>
    <cellStyle name="Calculation 2 2 7 2 6" xfId="51607"/>
    <cellStyle name="Calculation 2 2 7 2 7" xfId="51608"/>
    <cellStyle name="Calculation 2 2 7 2 8" xfId="51609"/>
    <cellStyle name="Calculation 2 2 7 2 9" xfId="60675"/>
    <cellStyle name="Calculation 2 2 7 3" xfId="1401"/>
    <cellStyle name="Calculation 2 2 7 3 10" xfId="61488"/>
    <cellStyle name="Calculation 2 2 7 3 11" xfId="62047"/>
    <cellStyle name="Calculation 2 2 7 3 2" xfId="744"/>
    <cellStyle name="Calculation 2 2 7 3 2 2" xfId="2556"/>
    <cellStyle name="Calculation 2 2 7 3 2 2 2" xfId="5976"/>
    <cellStyle name="Calculation 2 2 7 3 2 2 2 2" xfId="12816"/>
    <cellStyle name="Calculation 2 2 7 3 2 2 3" xfId="9396"/>
    <cellStyle name="Calculation 2 2 7 3 2 3" xfId="3696"/>
    <cellStyle name="Calculation 2 2 7 3 2 3 2" xfId="7116"/>
    <cellStyle name="Calculation 2 2 7 3 2 3 2 2" xfId="13956"/>
    <cellStyle name="Calculation 2 2 7 3 2 3 3" xfId="10536"/>
    <cellStyle name="Calculation 2 2 7 3 2 4" xfId="4836"/>
    <cellStyle name="Calculation 2 2 7 3 2 4 2" xfId="11676"/>
    <cellStyle name="Calculation 2 2 7 3 2 5" xfId="8256"/>
    <cellStyle name="Calculation 2 2 7 3 3" xfId="2222"/>
    <cellStyle name="Calculation 2 2 7 3 3 2" xfId="5642"/>
    <cellStyle name="Calculation 2 2 7 3 3 2 2" xfId="12482"/>
    <cellStyle name="Calculation 2 2 7 3 3 3" xfId="9062"/>
    <cellStyle name="Calculation 2 2 7 3 4" xfId="3362"/>
    <cellStyle name="Calculation 2 2 7 3 4 2" xfId="6782"/>
    <cellStyle name="Calculation 2 2 7 3 4 2 2" xfId="13622"/>
    <cellStyle name="Calculation 2 2 7 3 4 3" xfId="10202"/>
    <cellStyle name="Calculation 2 2 7 3 5" xfId="4502"/>
    <cellStyle name="Calculation 2 2 7 3 5 2" xfId="11342"/>
    <cellStyle name="Calculation 2 2 7 3 6" xfId="7922"/>
    <cellStyle name="Calculation 2 2 7 3 7" xfId="16616"/>
    <cellStyle name="Calculation 2 2 7 3 8" xfId="24932"/>
    <cellStyle name="Calculation 2 2 7 3 9" xfId="32191"/>
    <cellStyle name="Calculation 2 2 7 4" xfId="17636"/>
    <cellStyle name="Calculation 2 2 7 4 2" xfId="25958"/>
    <cellStyle name="Calculation 2 2 7 4 2 2" xfId="51610"/>
    <cellStyle name="Calculation 2 2 7 4 2 3" xfId="51611"/>
    <cellStyle name="Calculation 2 2 7 4 3" xfId="33168"/>
    <cellStyle name="Calculation 2 2 7 4 4" xfId="51612"/>
    <cellStyle name="Calculation 2 2 7 5" xfId="18618"/>
    <cellStyle name="Calculation 2 2 7 5 2" xfId="26937"/>
    <cellStyle name="Calculation 2 2 7 5 2 2" xfId="51613"/>
    <cellStyle name="Calculation 2 2 7 5 2 3" xfId="51614"/>
    <cellStyle name="Calculation 2 2 7 5 3" xfId="34105"/>
    <cellStyle name="Calculation 2 2 7 5 4" xfId="51615"/>
    <cellStyle name="Calculation 2 2 7 6" xfId="19586"/>
    <cellStyle name="Calculation 2 2 7 6 2" xfId="27906"/>
    <cellStyle name="Calculation 2 2 7 6 2 2" xfId="51616"/>
    <cellStyle name="Calculation 2 2 7 6 2 3" xfId="51617"/>
    <cellStyle name="Calculation 2 2 7 6 3" xfId="35051"/>
    <cellStyle name="Calculation 2 2 7 6 4" xfId="51618"/>
    <cellStyle name="Calculation 2 2 7 7" xfId="20544"/>
    <cellStyle name="Calculation 2 2 7 7 2" xfId="28865"/>
    <cellStyle name="Calculation 2 2 7 7 2 2" xfId="51619"/>
    <cellStyle name="Calculation 2 2 7 7 2 3" xfId="51620"/>
    <cellStyle name="Calculation 2 2 7 7 3" xfId="35968"/>
    <cellStyle name="Calculation 2 2 7 7 4" xfId="51621"/>
    <cellStyle name="Calculation 2 2 7 8" xfId="21271"/>
    <cellStyle name="Calculation 2 2 7 8 2" xfId="29579"/>
    <cellStyle name="Calculation 2 2 7 8 2 2" xfId="51622"/>
    <cellStyle name="Calculation 2 2 7 8 2 3" xfId="51623"/>
    <cellStyle name="Calculation 2 2 7 8 3" xfId="36646"/>
    <cellStyle name="Calculation 2 2 7 8 4" xfId="51624"/>
    <cellStyle name="Calculation 2 2 7 9" xfId="21979"/>
    <cellStyle name="Calculation 2 2 7 9 2" xfId="30279"/>
    <cellStyle name="Calculation 2 2 7 9 2 2" xfId="51625"/>
    <cellStyle name="Calculation 2 2 7 9 2 3" xfId="51626"/>
    <cellStyle name="Calculation 2 2 7 9 3" xfId="37319"/>
    <cellStyle name="Calculation 2 2 7 9 4" xfId="51627"/>
    <cellStyle name="Calculation 2 2 8" xfId="413"/>
    <cellStyle name="Calculation 2 2 8 10" xfId="14631"/>
    <cellStyle name="Calculation 2 2 8 11" xfId="22993"/>
    <cellStyle name="Calculation 2 2 8 12" xfId="51628"/>
    <cellStyle name="Calculation 2 2 8 13" xfId="51629"/>
    <cellStyle name="Calculation 2 2 8 14" xfId="51630"/>
    <cellStyle name="Calculation 2 2 8 15" xfId="60676"/>
    <cellStyle name="Calculation 2 2 8 16" xfId="61094"/>
    <cellStyle name="Calculation 2 2 8 2" xfId="184"/>
    <cellStyle name="Calculation 2 2 8 2 10" xfId="60868"/>
    <cellStyle name="Calculation 2 2 8 2 2" xfId="1192"/>
    <cellStyle name="Calculation 2 2 8 2 2 2" xfId="1031"/>
    <cellStyle name="Calculation 2 2 8 2 2 2 2" xfId="2438"/>
    <cellStyle name="Calculation 2 2 8 2 2 2 2 2" xfId="5858"/>
    <cellStyle name="Calculation 2 2 8 2 2 2 2 2 2" xfId="12698"/>
    <cellStyle name="Calculation 2 2 8 2 2 2 2 3" xfId="9278"/>
    <cellStyle name="Calculation 2 2 8 2 2 2 3" xfId="3578"/>
    <cellStyle name="Calculation 2 2 8 2 2 2 3 2" xfId="6998"/>
    <cellStyle name="Calculation 2 2 8 2 2 2 3 2 2" xfId="13838"/>
    <cellStyle name="Calculation 2 2 8 2 2 2 3 3" xfId="10418"/>
    <cellStyle name="Calculation 2 2 8 2 2 2 4" xfId="4718"/>
    <cellStyle name="Calculation 2 2 8 2 2 2 4 2" xfId="11558"/>
    <cellStyle name="Calculation 2 2 8 2 2 2 5" xfId="8138"/>
    <cellStyle name="Calculation 2 2 8 2 2 3" xfId="2011"/>
    <cellStyle name="Calculation 2 2 8 2 2 3 2" xfId="5431"/>
    <cellStyle name="Calculation 2 2 8 2 2 3 2 2" xfId="12271"/>
    <cellStyle name="Calculation 2 2 8 2 2 3 3" xfId="8851"/>
    <cellStyle name="Calculation 2 2 8 2 2 4" xfId="3151"/>
    <cellStyle name="Calculation 2 2 8 2 2 4 2" xfId="6571"/>
    <cellStyle name="Calculation 2 2 8 2 2 4 2 2" xfId="13411"/>
    <cellStyle name="Calculation 2 2 8 2 2 4 3" xfId="9991"/>
    <cellStyle name="Calculation 2 2 8 2 2 5" xfId="4291"/>
    <cellStyle name="Calculation 2 2 8 2 2 5 2" xfId="11131"/>
    <cellStyle name="Calculation 2 2 8 2 2 6" xfId="7711"/>
    <cellStyle name="Calculation 2 2 8 2 2 7" xfId="61798"/>
    <cellStyle name="Calculation 2 2 8 2 2 8" xfId="62277"/>
    <cellStyle name="Calculation 2 2 8 2 3" xfId="15712"/>
    <cellStyle name="Calculation 2 2 8 2 4" xfId="24028"/>
    <cellStyle name="Calculation 2 2 8 2 5" xfId="31321"/>
    <cellStyle name="Calculation 2 2 8 2 6" xfId="51631"/>
    <cellStyle name="Calculation 2 2 8 2 7" xfId="51632"/>
    <cellStyle name="Calculation 2 2 8 2 8" xfId="51633"/>
    <cellStyle name="Calculation 2 2 8 2 9" xfId="60677"/>
    <cellStyle name="Calculation 2 2 8 3" xfId="1418"/>
    <cellStyle name="Calculation 2 2 8 3 10" xfId="61799"/>
    <cellStyle name="Calculation 2 2 8 3 11" xfId="62278"/>
    <cellStyle name="Calculation 2 2 8 3 2" xfId="1745"/>
    <cellStyle name="Calculation 2 2 8 3 2 2" xfId="2885"/>
    <cellStyle name="Calculation 2 2 8 3 2 2 2" xfId="6305"/>
    <cellStyle name="Calculation 2 2 8 3 2 2 2 2" xfId="13145"/>
    <cellStyle name="Calculation 2 2 8 3 2 2 3" xfId="9725"/>
    <cellStyle name="Calculation 2 2 8 3 2 3" xfId="4025"/>
    <cellStyle name="Calculation 2 2 8 3 2 3 2" xfId="7445"/>
    <cellStyle name="Calculation 2 2 8 3 2 3 2 2" xfId="14285"/>
    <cellStyle name="Calculation 2 2 8 3 2 3 3" xfId="10865"/>
    <cellStyle name="Calculation 2 2 8 3 2 4" xfId="5165"/>
    <cellStyle name="Calculation 2 2 8 3 2 4 2" xfId="12005"/>
    <cellStyle name="Calculation 2 2 8 3 2 5" xfId="8585"/>
    <cellStyle name="Calculation 2 2 8 3 3" xfId="2239"/>
    <cellStyle name="Calculation 2 2 8 3 3 2" xfId="5659"/>
    <cellStyle name="Calculation 2 2 8 3 3 2 2" xfId="12499"/>
    <cellStyle name="Calculation 2 2 8 3 3 3" xfId="9079"/>
    <cellStyle name="Calculation 2 2 8 3 4" xfId="3379"/>
    <cellStyle name="Calculation 2 2 8 3 4 2" xfId="6799"/>
    <cellStyle name="Calculation 2 2 8 3 4 2 2" xfId="13639"/>
    <cellStyle name="Calculation 2 2 8 3 4 3" xfId="10219"/>
    <cellStyle name="Calculation 2 2 8 3 5" xfId="4519"/>
    <cellStyle name="Calculation 2 2 8 3 5 2" xfId="11359"/>
    <cellStyle name="Calculation 2 2 8 3 6" xfId="7939"/>
    <cellStyle name="Calculation 2 2 8 3 7" xfId="16679"/>
    <cellStyle name="Calculation 2 2 8 3 8" xfId="24999"/>
    <cellStyle name="Calculation 2 2 8 3 9" xfId="32254"/>
    <cellStyle name="Calculation 2 2 8 4" xfId="17702"/>
    <cellStyle name="Calculation 2 2 8 4 2" xfId="26025"/>
    <cellStyle name="Calculation 2 2 8 4 2 2" xfId="51634"/>
    <cellStyle name="Calculation 2 2 8 4 2 3" xfId="51635"/>
    <cellStyle name="Calculation 2 2 8 4 3" xfId="33231"/>
    <cellStyle name="Calculation 2 2 8 4 4" xfId="51636"/>
    <cellStyle name="Calculation 2 2 8 5" xfId="18685"/>
    <cellStyle name="Calculation 2 2 8 5 2" xfId="27006"/>
    <cellStyle name="Calculation 2 2 8 5 2 2" xfId="51637"/>
    <cellStyle name="Calculation 2 2 8 5 2 3" xfId="51638"/>
    <cellStyle name="Calculation 2 2 8 5 3" xfId="34170"/>
    <cellStyle name="Calculation 2 2 8 5 4" xfId="51639"/>
    <cellStyle name="Calculation 2 2 8 6" xfId="19654"/>
    <cellStyle name="Calculation 2 2 8 6 2" xfId="27975"/>
    <cellStyle name="Calculation 2 2 8 6 2 2" xfId="51640"/>
    <cellStyle name="Calculation 2 2 8 6 2 3" xfId="51641"/>
    <cellStyle name="Calculation 2 2 8 6 3" xfId="35116"/>
    <cellStyle name="Calculation 2 2 8 6 4" xfId="51642"/>
    <cellStyle name="Calculation 2 2 8 7" xfId="20611"/>
    <cellStyle name="Calculation 2 2 8 7 2" xfId="28932"/>
    <cellStyle name="Calculation 2 2 8 7 2 2" xfId="51643"/>
    <cellStyle name="Calculation 2 2 8 7 2 3" xfId="51644"/>
    <cellStyle name="Calculation 2 2 8 7 3" xfId="36031"/>
    <cellStyle name="Calculation 2 2 8 7 4" xfId="51645"/>
    <cellStyle name="Calculation 2 2 8 8" xfId="18554"/>
    <cellStyle name="Calculation 2 2 8 8 2" xfId="26871"/>
    <cellStyle name="Calculation 2 2 8 8 2 2" xfId="51646"/>
    <cellStyle name="Calculation 2 2 8 8 2 3" xfId="51647"/>
    <cellStyle name="Calculation 2 2 8 8 3" xfId="34041"/>
    <cellStyle name="Calculation 2 2 8 8 4" xfId="51648"/>
    <cellStyle name="Calculation 2 2 8 9" xfId="22048"/>
    <cellStyle name="Calculation 2 2 8 9 2" xfId="30346"/>
    <cellStyle name="Calculation 2 2 8 9 2 2" xfId="51649"/>
    <cellStyle name="Calculation 2 2 8 9 2 3" xfId="51650"/>
    <cellStyle name="Calculation 2 2 8 9 3" xfId="37382"/>
    <cellStyle name="Calculation 2 2 8 9 4" xfId="51651"/>
    <cellStyle name="Calculation 2 2 9" xfId="1094"/>
    <cellStyle name="Calculation 2 2 9 10" xfId="14591"/>
    <cellStyle name="Calculation 2 2 9 11" xfId="22950"/>
    <cellStyle name="Calculation 2 2 9 12" xfId="61552"/>
    <cellStyle name="Calculation 2 2 9 13" xfId="62074"/>
    <cellStyle name="Calculation 2 2 9 2" xfId="1082"/>
    <cellStyle name="Calculation 2 2 9 2 10" xfId="62041"/>
    <cellStyle name="Calculation 2 2 9 2 2" xfId="2630"/>
    <cellStyle name="Calculation 2 2 9 2 2 2" xfId="6050"/>
    <cellStyle name="Calculation 2 2 9 2 2 2 2" xfId="12890"/>
    <cellStyle name="Calculation 2 2 9 2 2 3" xfId="9470"/>
    <cellStyle name="Calculation 2 2 9 2 3" xfId="3770"/>
    <cellStyle name="Calculation 2 2 9 2 3 2" xfId="7190"/>
    <cellStyle name="Calculation 2 2 9 2 3 2 2" xfId="14030"/>
    <cellStyle name="Calculation 2 2 9 2 3 3" xfId="10610"/>
    <cellStyle name="Calculation 2 2 9 2 4" xfId="4910"/>
    <cellStyle name="Calculation 2 2 9 2 4 2" xfId="11750"/>
    <cellStyle name="Calculation 2 2 9 2 5" xfId="8330"/>
    <cellStyle name="Calculation 2 2 9 2 6" xfId="15671"/>
    <cellStyle name="Calculation 2 2 9 2 7" xfId="23985"/>
    <cellStyle name="Calculation 2 2 9 2 8" xfId="31281"/>
    <cellStyle name="Calculation 2 2 9 2 9" xfId="61481"/>
    <cellStyle name="Calculation 2 2 9 3" xfId="1901"/>
    <cellStyle name="Calculation 2 2 9 3 2" xfId="5321"/>
    <cellStyle name="Calculation 2 2 9 3 2 2" xfId="12161"/>
    <cellStyle name="Calculation 2 2 9 3 2 3" xfId="51652"/>
    <cellStyle name="Calculation 2 2 9 3 3" xfId="8741"/>
    <cellStyle name="Calculation 2 2 9 3 4" xfId="16638"/>
    <cellStyle name="Calculation 2 2 9 3 5" xfId="24956"/>
    <cellStyle name="Calculation 2 2 9 3 6" xfId="32214"/>
    <cellStyle name="Calculation 2 2 9 4" xfId="3041"/>
    <cellStyle name="Calculation 2 2 9 4 2" xfId="6461"/>
    <cellStyle name="Calculation 2 2 9 4 2 2" xfId="13301"/>
    <cellStyle name="Calculation 2 2 9 4 2 3" xfId="51653"/>
    <cellStyle name="Calculation 2 2 9 4 3" xfId="9881"/>
    <cellStyle name="Calculation 2 2 9 4 4" xfId="17659"/>
    <cellStyle name="Calculation 2 2 9 4 5" xfId="25982"/>
    <cellStyle name="Calculation 2 2 9 4 6" xfId="33191"/>
    <cellStyle name="Calculation 2 2 9 5" xfId="4181"/>
    <cellStyle name="Calculation 2 2 9 5 2" xfId="11021"/>
    <cellStyle name="Calculation 2 2 9 5 2 2" xfId="51654"/>
    <cellStyle name="Calculation 2 2 9 5 2 3" xfId="51655"/>
    <cellStyle name="Calculation 2 2 9 5 3" xfId="18642"/>
    <cellStyle name="Calculation 2 2 9 5 4" xfId="26962"/>
    <cellStyle name="Calculation 2 2 9 5 5" xfId="34129"/>
    <cellStyle name="Calculation 2 2 9 6" xfId="7601"/>
    <cellStyle name="Calculation 2 2 9 6 2" xfId="19611"/>
    <cellStyle name="Calculation 2 2 9 6 2 2" xfId="51656"/>
    <cellStyle name="Calculation 2 2 9 6 2 3" xfId="51657"/>
    <cellStyle name="Calculation 2 2 9 6 3" xfId="27931"/>
    <cellStyle name="Calculation 2 2 9 6 4" xfId="35075"/>
    <cellStyle name="Calculation 2 2 9 7" xfId="20568"/>
    <cellStyle name="Calculation 2 2 9 7 2" xfId="28889"/>
    <cellStyle name="Calculation 2 2 9 7 2 2" xfId="51658"/>
    <cellStyle name="Calculation 2 2 9 7 2 3" xfId="51659"/>
    <cellStyle name="Calculation 2 2 9 7 3" xfId="35991"/>
    <cellStyle name="Calculation 2 2 9 7 4" xfId="51660"/>
    <cellStyle name="Calculation 2 2 9 8" xfId="21101"/>
    <cellStyle name="Calculation 2 2 9 8 2" xfId="29418"/>
    <cellStyle name="Calculation 2 2 9 8 2 2" xfId="51661"/>
    <cellStyle name="Calculation 2 2 9 8 2 3" xfId="51662"/>
    <cellStyle name="Calculation 2 2 9 8 3" xfId="36492"/>
    <cellStyle name="Calculation 2 2 9 8 4" xfId="51663"/>
    <cellStyle name="Calculation 2 2 9 9" xfId="22004"/>
    <cellStyle name="Calculation 2 2 9 9 2" xfId="30303"/>
    <cellStyle name="Calculation 2 2 9 9 2 2" xfId="51664"/>
    <cellStyle name="Calculation 2 2 9 9 2 3" xfId="51665"/>
    <cellStyle name="Calculation 2 2 9 9 3" xfId="37342"/>
    <cellStyle name="Calculation 2 2 9 9 4" xfId="51666"/>
    <cellStyle name="Calculation 2 20" xfId="15459"/>
    <cellStyle name="Calculation 2 20 10" xfId="51667"/>
    <cellStyle name="Calculation 2 20 11" xfId="51668"/>
    <cellStyle name="Calculation 2 20 2" xfId="16539"/>
    <cellStyle name="Calculation 2 20 2 2" xfId="24852"/>
    <cellStyle name="Calculation 2 20 2 2 2" xfId="51669"/>
    <cellStyle name="Calculation 2 20 2 2 3" xfId="51670"/>
    <cellStyle name="Calculation 2 20 2 3" xfId="32112"/>
    <cellStyle name="Calculation 2 20 2 4" xfId="51671"/>
    <cellStyle name="Calculation 2 20 3" xfId="17505"/>
    <cellStyle name="Calculation 2 20 3 2" xfId="25826"/>
    <cellStyle name="Calculation 2 20 3 2 2" xfId="51672"/>
    <cellStyle name="Calculation 2 20 3 2 3" xfId="51673"/>
    <cellStyle name="Calculation 2 20 3 3" xfId="33045"/>
    <cellStyle name="Calculation 2 20 3 4" xfId="51674"/>
    <cellStyle name="Calculation 2 20 4" xfId="18533"/>
    <cellStyle name="Calculation 2 20 4 2" xfId="26853"/>
    <cellStyle name="Calculation 2 20 4 2 2" xfId="51675"/>
    <cellStyle name="Calculation 2 20 4 2 3" xfId="51676"/>
    <cellStyle name="Calculation 2 20 4 3" xfId="34023"/>
    <cellStyle name="Calculation 2 20 4 4" xfId="51677"/>
    <cellStyle name="Calculation 2 20 5" xfId="19516"/>
    <cellStyle name="Calculation 2 20 5 2" xfId="27837"/>
    <cellStyle name="Calculation 2 20 5 2 2" xfId="51678"/>
    <cellStyle name="Calculation 2 20 5 2 3" xfId="51679"/>
    <cellStyle name="Calculation 2 20 5 3" xfId="34985"/>
    <cellStyle name="Calculation 2 20 5 4" xfId="51680"/>
    <cellStyle name="Calculation 2 20 6" xfId="20485"/>
    <cellStyle name="Calculation 2 20 6 2" xfId="28807"/>
    <cellStyle name="Calculation 2 20 6 2 2" xfId="51681"/>
    <cellStyle name="Calculation 2 20 6 2 3" xfId="51682"/>
    <cellStyle name="Calculation 2 20 6 3" xfId="35915"/>
    <cellStyle name="Calculation 2 20 6 4" xfId="51683"/>
    <cellStyle name="Calculation 2 20 7" xfId="21946"/>
    <cellStyle name="Calculation 2 20 7 2" xfId="30247"/>
    <cellStyle name="Calculation 2 20 7 2 2" xfId="51684"/>
    <cellStyle name="Calculation 2 20 7 2 3" xfId="51685"/>
    <cellStyle name="Calculation 2 20 7 3" xfId="37288"/>
    <cellStyle name="Calculation 2 20 7 4" xfId="51686"/>
    <cellStyle name="Calculation 2 20 8" xfId="22874"/>
    <cellStyle name="Calculation 2 20 8 2" xfId="31170"/>
    <cellStyle name="Calculation 2 20 8 2 2" xfId="51687"/>
    <cellStyle name="Calculation 2 20 8 2 3" xfId="51688"/>
    <cellStyle name="Calculation 2 20 8 3" xfId="38172"/>
    <cellStyle name="Calculation 2 20 8 4" xfId="51689"/>
    <cellStyle name="Calculation 2 20 9" xfId="23816"/>
    <cellStyle name="Calculation 2 20 9 2" xfId="51690"/>
    <cellStyle name="Calculation 2 20 9 3" xfId="51691"/>
    <cellStyle name="Calculation 2 21" xfId="16544"/>
    <cellStyle name="Calculation 2 21 2" xfId="24857"/>
    <cellStyle name="Calculation 2 21 2 2" xfId="51692"/>
    <cellStyle name="Calculation 2 21 2 3" xfId="51693"/>
    <cellStyle name="Calculation 2 21 3" xfId="32117"/>
    <cellStyle name="Calculation 2 21 4" xfId="51694"/>
    <cellStyle name="Calculation 2 22" xfId="15557"/>
    <cellStyle name="Calculation 2 22 2" xfId="23885"/>
    <cellStyle name="Calculation 2 22 2 2" xfId="51695"/>
    <cellStyle name="Calculation 2 22 2 3" xfId="51696"/>
    <cellStyle name="Calculation 2 22 3" xfId="31229"/>
    <cellStyle name="Calculation 2 22 4" xfId="51697"/>
    <cellStyle name="Calculation 2 23" xfId="15505"/>
    <cellStyle name="Calculation 2 23 2" xfId="23845"/>
    <cellStyle name="Calculation 2 23 2 2" xfId="51698"/>
    <cellStyle name="Calculation 2 23 2 3" xfId="51699"/>
    <cellStyle name="Calculation 2 23 3" xfId="31194"/>
    <cellStyle name="Calculation 2 23 4" xfId="51700"/>
    <cellStyle name="Calculation 2 24" xfId="21088"/>
    <cellStyle name="Calculation 2 24 2" xfId="29405"/>
    <cellStyle name="Calculation 2 24 2 2" xfId="51701"/>
    <cellStyle name="Calculation 2 24 2 3" xfId="51702"/>
    <cellStyle name="Calculation 2 24 3" xfId="36481"/>
    <cellStyle name="Calculation 2 24 4" xfId="51703"/>
    <cellStyle name="Calculation 2 25" xfId="15714"/>
    <cellStyle name="Calculation 2 25 2" xfId="51704"/>
    <cellStyle name="Calculation 2 25 3" xfId="51705"/>
    <cellStyle name="Calculation 2 26" xfId="51706"/>
    <cellStyle name="Calculation 2 27" xfId="51707"/>
    <cellStyle name="Calculation 2 28" xfId="51708"/>
    <cellStyle name="Calculation 2 29" xfId="51709"/>
    <cellStyle name="Calculation 2 3" xfId="70"/>
    <cellStyle name="Calculation 2 3 10" xfId="51710"/>
    <cellStyle name="Calculation 2 3 11" xfId="51711"/>
    <cellStyle name="Calculation 2 3 12" xfId="51712"/>
    <cellStyle name="Calculation 2 3 13" xfId="60678"/>
    <cellStyle name="Calculation 2 3 14" xfId="60780"/>
    <cellStyle name="Calculation 2 3 2" xfId="147"/>
    <cellStyle name="Calculation 2 3 2 10" xfId="60831"/>
    <cellStyle name="Calculation 2 3 2 2" xfId="273"/>
    <cellStyle name="Calculation 2 3 2 2 10" xfId="60955"/>
    <cellStyle name="Calculation 2 3 2 2 2" xfId="682"/>
    <cellStyle name="Calculation 2 3 2 2 2 2" xfId="1633"/>
    <cellStyle name="Calculation 2 3 2 2 2 2 2" xfId="774"/>
    <cellStyle name="Calculation 2 3 2 2 2 2 2 2" xfId="2674"/>
    <cellStyle name="Calculation 2 3 2 2 2 2 2 2 2" xfId="6094"/>
    <cellStyle name="Calculation 2 3 2 2 2 2 2 2 2 2" xfId="12934"/>
    <cellStyle name="Calculation 2 3 2 2 2 2 2 2 3" xfId="9514"/>
    <cellStyle name="Calculation 2 3 2 2 2 2 2 3" xfId="3814"/>
    <cellStyle name="Calculation 2 3 2 2 2 2 2 3 2" xfId="7234"/>
    <cellStyle name="Calculation 2 3 2 2 2 2 2 3 2 2" xfId="14074"/>
    <cellStyle name="Calculation 2 3 2 2 2 2 2 3 3" xfId="10654"/>
    <cellStyle name="Calculation 2 3 2 2 2 2 2 4" xfId="4954"/>
    <cellStyle name="Calculation 2 3 2 2 2 2 2 4 2" xfId="11794"/>
    <cellStyle name="Calculation 2 3 2 2 2 2 2 5" xfId="8374"/>
    <cellStyle name="Calculation 2 3 2 2 2 2 3" xfId="2467"/>
    <cellStyle name="Calculation 2 3 2 2 2 2 3 2" xfId="5887"/>
    <cellStyle name="Calculation 2 3 2 2 2 2 3 2 2" xfId="12727"/>
    <cellStyle name="Calculation 2 3 2 2 2 2 3 3" xfId="9307"/>
    <cellStyle name="Calculation 2 3 2 2 2 2 4" xfId="3607"/>
    <cellStyle name="Calculation 2 3 2 2 2 2 4 2" xfId="7027"/>
    <cellStyle name="Calculation 2 3 2 2 2 2 4 2 2" xfId="13867"/>
    <cellStyle name="Calculation 2 3 2 2 2 2 4 3" xfId="10447"/>
    <cellStyle name="Calculation 2 3 2 2 2 2 5" xfId="4747"/>
    <cellStyle name="Calculation 2 3 2 2 2 2 5 2" xfId="11587"/>
    <cellStyle name="Calculation 2 3 2 2 2 2 6" xfId="8167"/>
    <cellStyle name="Calculation 2 3 2 2 2 2 7" xfId="61796"/>
    <cellStyle name="Calculation 2 3 2 2 2 2 8" xfId="62275"/>
    <cellStyle name="Calculation 2 3 2 2 2 3" xfId="38526"/>
    <cellStyle name="Calculation 2 3 2 2 2 4" xfId="51713"/>
    <cellStyle name="Calculation 2 3 2 2 2 5" xfId="51714"/>
    <cellStyle name="Calculation 2 3 2 2 2 6" xfId="51715"/>
    <cellStyle name="Calculation 2 3 2 2 2 7" xfId="60681"/>
    <cellStyle name="Calculation 2 3 2 2 2 8" xfId="61238"/>
    <cellStyle name="Calculation 2 3 2 2 3" xfId="1279"/>
    <cellStyle name="Calculation 2 3 2 2 3 2" xfId="1712"/>
    <cellStyle name="Calculation 2 3 2 2 3 2 2" xfId="2852"/>
    <cellStyle name="Calculation 2 3 2 2 3 2 2 2" xfId="6272"/>
    <cellStyle name="Calculation 2 3 2 2 3 2 2 2 2" xfId="13112"/>
    <cellStyle name="Calculation 2 3 2 2 3 2 2 3" xfId="9692"/>
    <cellStyle name="Calculation 2 3 2 2 3 2 3" xfId="3992"/>
    <cellStyle name="Calculation 2 3 2 2 3 2 3 2" xfId="7412"/>
    <cellStyle name="Calculation 2 3 2 2 3 2 3 2 2" xfId="14252"/>
    <cellStyle name="Calculation 2 3 2 2 3 2 3 3" xfId="10832"/>
    <cellStyle name="Calculation 2 3 2 2 3 2 4" xfId="5132"/>
    <cellStyle name="Calculation 2 3 2 2 3 2 4 2" xfId="11972"/>
    <cellStyle name="Calculation 2 3 2 2 3 2 5" xfId="8552"/>
    <cellStyle name="Calculation 2 3 2 2 3 3" xfId="2099"/>
    <cellStyle name="Calculation 2 3 2 2 3 3 2" xfId="5519"/>
    <cellStyle name="Calculation 2 3 2 2 3 3 2 2" xfId="12359"/>
    <cellStyle name="Calculation 2 3 2 2 3 3 3" xfId="8939"/>
    <cellStyle name="Calculation 2 3 2 2 3 4" xfId="3239"/>
    <cellStyle name="Calculation 2 3 2 2 3 4 2" xfId="6659"/>
    <cellStyle name="Calculation 2 3 2 2 3 4 2 2" xfId="13499"/>
    <cellStyle name="Calculation 2 3 2 2 3 4 3" xfId="10079"/>
    <cellStyle name="Calculation 2 3 2 2 3 5" xfId="4379"/>
    <cellStyle name="Calculation 2 3 2 2 3 5 2" xfId="11219"/>
    <cellStyle name="Calculation 2 3 2 2 3 6" xfId="7799"/>
    <cellStyle name="Calculation 2 3 2 2 3 7" xfId="61797"/>
    <cellStyle name="Calculation 2 3 2 2 3 8" xfId="62276"/>
    <cellStyle name="Calculation 2 3 2 2 4" xfId="38289"/>
    <cellStyle name="Calculation 2 3 2 2 5" xfId="51716"/>
    <cellStyle name="Calculation 2 3 2 2 6" xfId="51717"/>
    <cellStyle name="Calculation 2 3 2 2 7" xfId="51718"/>
    <cellStyle name="Calculation 2 3 2 2 8" xfId="51719"/>
    <cellStyle name="Calculation 2 3 2 2 9" xfId="60680"/>
    <cellStyle name="Calculation 2 3 2 3" xfId="594"/>
    <cellStyle name="Calculation 2 3 2 3 2" xfId="1581"/>
    <cellStyle name="Calculation 2 3 2 3 2 2" xfId="1697"/>
    <cellStyle name="Calculation 2 3 2 3 2 2 2" xfId="2837"/>
    <cellStyle name="Calculation 2 3 2 3 2 2 2 2" xfId="6257"/>
    <cellStyle name="Calculation 2 3 2 3 2 2 2 2 2" xfId="13097"/>
    <cellStyle name="Calculation 2 3 2 3 2 2 2 3" xfId="9677"/>
    <cellStyle name="Calculation 2 3 2 3 2 2 3" xfId="3977"/>
    <cellStyle name="Calculation 2 3 2 3 2 2 3 2" xfId="7397"/>
    <cellStyle name="Calculation 2 3 2 3 2 2 3 2 2" xfId="14237"/>
    <cellStyle name="Calculation 2 3 2 3 2 2 3 3" xfId="10817"/>
    <cellStyle name="Calculation 2 3 2 3 2 2 4" xfId="5117"/>
    <cellStyle name="Calculation 2 3 2 3 2 2 4 2" xfId="11957"/>
    <cellStyle name="Calculation 2 3 2 3 2 2 5" xfId="8537"/>
    <cellStyle name="Calculation 2 3 2 3 2 3" xfId="2406"/>
    <cellStyle name="Calculation 2 3 2 3 2 3 2" xfId="5826"/>
    <cellStyle name="Calculation 2 3 2 3 2 3 2 2" xfId="12666"/>
    <cellStyle name="Calculation 2 3 2 3 2 3 3" xfId="9246"/>
    <cellStyle name="Calculation 2 3 2 3 2 4" xfId="3546"/>
    <cellStyle name="Calculation 2 3 2 3 2 4 2" xfId="6966"/>
    <cellStyle name="Calculation 2 3 2 3 2 4 2 2" xfId="13806"/>
    <cellStyle name="Calculation 2 3 2 3 2 4 3" xfId="10386"/>
    <cellStyle name="Calculation 2 3 2 3 2 5" xfId="4686"/>
    <cellStyle name="Calculation 2 3 2 3 2 5 2" xfId="11526"/>
    <cellStyle name="Calculation 2 3 2 3 2 6" xfId="8106"/>
    <cellStyle name="Calculation 2 3 2 3 2 7" xfId="61795"/>
    <cellStyle name="Calculation 2 3 2 3 2 8" xfId="62274"/>
    <cellStyle name="Calculation 2 3 2 3 3" xfId="38475"/>
    <cellStyle name="Calculation 2 3 2 3 4" xfId="51720"/>
    <cellStyle name="Calculation 2 3 2 3 5" xfId="51721"/>
    <cellStyle name="Calculation 2 3 2 3 6" xfId="51722"/>
    <cellStyle name="Calculation 2 3 2 3 7" xfId="60682"/>
    <cellStyle name="Calculation 2 3 2 3 8" xfId="61239"/>
    <cellStyle name="Calculation 2 3 2 4" xfId="1155"/>
    <cellStyle name="Calculation 2 3 2 4 2" xfId="1051"/>
    <cellStyle name="Calculation 2 3 2 4 2 2" xfId="2739"/>
    <cellStyle name="Calculation 2 3 2 4 2 2 2" xfId="6159"/>
    <cellStyle name="Calculation 2 3 2 4 2 2 2 2" xfId="12999"/>
    <cellStyle name="Calculation 2 3 2 4 2 2 3" xfId="9579"/>
    <cellStyle name="Calculation 2 3 2 4 2 3" xfId="3879"/>
    <cellStyle name="Calculation 2 3 2 4 2 3 2" xfId="7299"/>
    <cellStyle name="Calculation 2 3 2 4 2 3 2 2" xfId="14139"/>
    <cellStyle name="Calculation 2 3 2 4 2 3 3" xfId="10719"/>
    <cellStyle name="Calculation 2 3 2 4 2 4" xfId="5019"/>
    <cellStyle name="Calculation 2 3 2 4 2 4 2" xfId="11859"/>
    <cellStyle name="Calculation 2 3 2 4 2 5" xfId="8439"/>
    <cellStyle name="Calculation 2 3 2 4 3" xfId="1974"/>
    <cellStyle name="Calculation 2 3 2 4 3 2" xfId="5394"/>
    <cellStyle name="Calculation 2 3 2 4 3 2 2" xfId="12234"/>
    <cellStyle name="Calculation 2 3 2 4 3 3" xfId="8814"/>
    <cellStyle name="Calculation 2 3 2 4 4" xfId="3114"/>
    <cellStyle name="Calculation 2 3 2 4 4 2" xfId="6534"/>
    <cellStyle name="Calculation 2 3 2 4 4 2 2" xfId="13374"/>
    <cellStyle name="Calculation 2 3 2 4 4 3" xfId="9954"/>
    <cellStyle name="Calculation 2 3 2 4 5" xfId="4254"/>
    <cellStyle name="Calculation 2 3 2 4 5 2" xfId="11094"/>
    <cellStyle name="Calculation 2 3 2 4 6" xfId="7674"/>
    <cellStyle name="Calculation 2 3 2 4 7" xfId="61452"/>
    <cellStyle name="Calculation 2 3 2 4 8" xfId="62019"/>
    <cellStyle name="Calculation 2 3 2 5" xfId="15600"/>
    <cellStyle name="Calculation 2 3 2 6" xfId="23914"/>
    <cellStyle name="Calculation 2 3 2 7" xfId="38211"/>
    <cellStyle name="Calculation 2 3 2 8" xfId="51723"/>
    <cellStyle name="Calculation 2 3 2 9" xfId="60679"/>
    <cellStyle name="Calculation 2 3 3" xfId="313"/>
    <cellStyle name="Calculation 2 3 3 10" xfId="60994"/>
    <cellStyle name="Calculation 2 3 3 2" xfId="186"/>
    <cellStyle name="Calculation 2 3 3 2 2" xfId="1194"/>
    <cellStyle name="Calculation 2 3 3 2 2 2" xfId="1815"/>
    <cellStyle name="Calculation 2 3 3 2 2 2 2" xfId="2955"/>
    <cellStyle name="Calculation 2 3 3 2 2 2 2 2" xfId="6375"/>
    <cellStyle name="Calculation 2 3 3 2 2 2 2 2 2" xfId="13215"/>
    <cellStyle name="Calculation 2 3 3 2 2 2 2 3" xfId="9795"/>
    <cellStyle name="Calculation 2 3 3 2 2 2 3" xfId="4095"/>
    <cellStyle name="Calculation 2 3 3 2 2 2 3 2" xfId="7515"/>
    <cellStyle name="Calculation 2 3 3 2 2 2 3 2 2" xfId="14355"/>
    <cellStyle name="Calculation 2 3 3 2 2 2 3 3" xfId="10935"/>
    <cellStyle name="Calculation 2 3 3 2 2 2 4" xfId="5235"/>
    <cellStyle name="Calculation 2 3 3 2 2 2 4 2" xfId="12075"/>
    <cellStyle name="Calculation 2 3 3 2 2 2 5" xfId="8655"/>
    <cellStyle name="Calculation 2 3 3 2 2 3" xfId="2013"/>
    <cellStyle name="Calculation 2 3 3 2 2 3 2" xfId="5433"/>
    <cellStyle name="Calculation 2 3 3 2 2 3 2 2" xfId="12273"/>
    <cellStyle name="Calculation 2 3 3 2 2 3 3" xfId="8853"/>
    <cellStyle name="Calculation 2 3 3 2 2 4" xfId="3153"/>
    <cellStyle name="Calculation 2 3 3 2 2 4 2" xfId="6573"/>
    <cellStyle name="Calculation 2 3 3 2 2 4 2 2" xfId="13413"/>
    <cellStyle name="Calculation 2 3 3 2 2 4 3" xfId="9993"/>
    <cellStyle name="Calculation 2 3 3 2 2 5" xfId="4293"/>
    <cellStyle name="Calculation 2 3 3 2 2 5 2" xfId="11133"/>
    <cellStyle name="Calculation 2 3 3 2 2 6" xfId="7713"/>
    <cellStyle name="Calculation 2 3 3 2 2 7" xfId="61793"/>
    <cellStyle name="Calculation 2 3 3 2 2 8" xfId="62272"/>
    <cellStyle name="Calculation 2 3 3 2 3" xfId="38241"/>
    <cellStyle name="Calculation 2 3 3 2 4" xfId="51724"/>
    <cellStyle name="Calculation 2 3 3 2 5" xfId="51725"/>
    <cellStyle name="Calculation 2 3 3 2 6" xfId="51726"/>
    <cellStyle name="Calculation 2 3 3 2 7" xfId="51727"/>
    <cellStyle name="Calculation 2 3 3 2 8" xfId="60684"/>
    <cellStyle name="Calculation 2 3 3 2 9" xfId="60870"/>
    <cellStyle name="Calculation 2 3 3 3" xfId="1318"/>
    <cellStyle name="Calculation 2 3 3 3 2" xfId="969"/>
    <cellStyle name="Calculation 2 3 3 3 2 2" xfId="2670"/>
    <cellStyle name="Calculation 2 3 3 3 2 2 2" xfId="6090"/>
    <cellStyle name="Calculation 2 3 3 3 2 2 2 2" xfId="12930"/>
    <cellStyle name="Calculation 2 3 3 3 2 2 3" xfId="9510"/>
    <cellStyle name="Calculation 2 3 3 3 2 3" xfId="3810"/>
    <cellStyle name="Calculation 2 3 3 3 2 3 2" xfId="7230"/>
    <cellStyle name="Calculation 2 3 3 3 2 3 2 2" xfId="14070"/>
    <cellStyle name="Calculation 2 3 3 3 2 3 3" xfId="10650"/>
    <cellStyle name="Calculation 2 3 3 3 2 4" xfId="4950"/>
    <cellStyle name="Calculation 2 3 3 3 2 4 2" xfId="11790"/>
    <cellStyle name="Calculation 2 3 3 3 2 5" xfId="8370"/>
    <cellStyle name="Calculation 2 3 3 3 3" xfId="2139"/>
    <cellStyle name="Calculation 2 3 3 3 3 2" xfId="5559"/>
    <cellStyle name="Calculation 2 3 3 3 3 2 2" xfId="12399"/>
    <cellStyle name="Calculation 2 3 3 3 3 3" xfId="8979"/>
    <cellStyle name="Calculation 2 3 3 3 4" xfId="3279"/>
    <cellStyle name="Calculation 2 3 3 3 4 2" xfId="6699"/>
    <cellStyle name="Calculation 2 3 3 3 4 2 2" xfId="13539"/>
    <cellStyle name="Calculation 2 3 3 3 4 3" xfId="10119"/>
    <cellStyle name="Calculation 2 3 3 3 5" xfId="4419"/>
    <cellStyle name="Calculation 2 3 3 3 5 2" xfId="11259"/>
    <cellStyle name="Calculation 2 3 3 3 6" xfId="7839"/>
    <cellStyle name="Calculation 2 3 3 3 7" xfId="61794"/>
    <cellStyle name="Calculation 2 3 3 3 8" xfId="62273"/>
    <cellStyle name="Calculation 2 3 3 4" xfId="16570"/>
    <cellStyle name="Calculation 2 3 3 5" xfId="24885"/>
    <cellStyle name="Calculation 2 3 3 6" xfId="32145"/>
    <cellStyle name="Calculation 2 3 3 7" xfId="51728"/>
    <cellStyle name="Calculation 2 3 3 8" xfId="51729"/>
    <cellStyle name="Calculation 2 3 3 9" xfId="60683"/>
    <cellStyle name="Calculation 2 3 4" xfId="212"/>
    <cellStyle name="Calculation 2 3 4 10" xfId="60895"/>
    <cellStyle name="Calculation 2 3 4 2" xfId="429"/>
    <cellStyle name="Calculation 2 3 4 2 2" xfId="1434"/>
    <cellStyle name="Calculation 2 3 4 2 2 2" xfId="1837"/>
    <cellStyle name="Calculation 2 3 4 2 2 2 2" xfId="2977"/>
    <cellStyle name="Calculation 2 3 4 2 2 2 2 2" xfId="6397"/>
    <cellStyle name="Calculation 2 3 4 2 2 2 2 2 2" xfId="13237"/>
    <cellStyle name="Calculation 2 3 4 2 2 2 2 3" xfId="9817"/>
    <cellStyle name="Calculation 2 3 4 2 2 2 3" xfId="4117"/>
    <cellStyle name="Calculation 2 3 4 2 2 2 3 2" xfId="7537"/>
    <cellStyle name="Calculation 2 3 4 2 2 2 3 2 2" xfId="14377"/>
    <cellStyle name="Calculation 2 3 4 2 2 2 3 3" xfId="10957"/>
    <cellStyle name="Calculation 2 3 4 2 2 2 4" xfId="5257"/>
    <cellStyle name="Calculation 2 3 4 2 2 2 4 2" xfId="12097"/>
    <cellStyle name="Calculation 2 3 4 2 2 2 5" xfId="8677"/>
    <cellStyle name="Calculation 2 3 4 2 2 3" xfId="2255"/>
    <cellStyle name="Calculation 2 3 4 2 2 3 2" xfId="5675"/>
    <cellStyle name="Calculation 2 3 4 2 2 3 2 2" xfId="12515"/>
    <cellStyle name="Calculation 2 3 4 2 2 3 3" xfId="9095"/>
    <cellStyle name="Calculation 2 3 4 2 2 4" xfId="3395"/>
    <cellStyle name="Calculation 2 3 4 2 2 4 2" xfId="6815"/>
    <cellStyle name="Calculation 2 3 4 2 2 4 2 2" xfId="13655"/>
    <cellStyle name="Calculation 2 3 4 2 2 4 3" xfId="10235"/>
    <cellStyle name="Calculation 2 3 4 2 2 5" xfId="4535"/>
    <cellStyle name="Calculation 2 3 4 2 2 5 2" xfId="11375"/>
    <cellStyle name="Calculation 2 3 4 2 2 6" xfId="7955"/>
    <cellStyle name="Calculation 2 3 4 2 2 7" xfId="61792"/>
    <cellStyle name="Calculation 2 3 4 2 2 8" xfId="62271"/>
    <cellStyle name="Calculation 2 3 4 2 3" xfId="38395"/>
    <cellStyle name="Calculation 2 3 4 2 4" xfId="51730"/>
    <cellStyle name="Calculation 2 3 4 2 5" xfId="51731"/>
    <cellStyle name="Calculation 2 3 4 2 6" xfId="51732"/>
    <cellStyle name="Calculation 2 3 4 2 7" xfId="51733"/>
    <cellStyle name="Calculation 2 3 4 2 8" xfId="60686"/>
    <cellStyle name="Calculation 2 3 4 2 9" xfId="61110"/>
    <cellStyle name="Calculation 2 3 4 3" xfId="1219"/>
    <cellStyle name="Calculation 2 3 4 3 2" xfId="1778"/>
    <cellStyle name="Calculation 2 3 4 3 2 2" xfId="2918"/>
    <cellStyle name="Calculation 2 3 4 3 2 2 2" xfId="6338"/>
    <cellStyle name="Calculation 2 3 4 3 2 2 2 2" xfId="13178"/>
    <cellStyle name="Calculation 2 3 4 3 2 2 3" xfId="9758"/>
    <cellStyle name="Calculation 2 3 4 3 2 3" xfId="4058"/>
    <cellStyle name="Calculation 2 3 4 3 2 3 2" xfId="7478"/>
    <cellStyle name="Calculation 2 3 4 3 2 3 2 2" xfId="14318"/>
    <cellStyle name="Calculation 2 3 4 3 2 3 3" xfId="10898"/>
    <cellStyle name="Calculation 2 3 4 3 2 4" xfId="5198"/>
    <cellStyle name="Calculation 2 3 4 3 2 4 2" xfId="12038"/>
    <cellStyle name="Calculation 2 3 4 3 2 5" xfId="8618"/>
    <cellStyle name="Calculation 2 3 4 3 3" xfId="2039"/>
    <cellStyle name="Calculation 2 3 4 3 3 2" xfId="5459"/>
    <cellStyle name="Calculation 2 3 4 3 3 2 2" xfId="12299"/>
    <cellStyle name="Calculation 2 3 4 3 3 3" xfId="8879"/>
    <cellStyle name="Calculation 2 3 4 3 4" xfId="3179"/>
    <cellStyle name="Calculation 2 3 4 3 4 2" xfId="6599"/>
    <cellStyle name="Calculation 2 3 4 3 4 2 2" xfId="13439"/>
    <cellStyle name="Calculation 2 3 4 3 4 3" xfId="10019"/>
    <cellStyle name="Calculation 2 3 4 3 5" xfId="4319"/>
    <cellStyle name="Calculation 2 3 4 3 5 2" xfId="11159"/>
    <cellStyle name="Calculation 2 3 4 3 6" xfId="7739"/>
    <cellStyle name="Calculation 2 3 4 3 7" xfId="61501"/>
    <cellStyle name="Calculation 2 3 4 3 8" xfId="62055"/>
    <cellStyle name="Calculation 2 3 4 4" xfId="17588"/>
    <cellStyle name="Calculation 2 3 4 5" xfId="25909"/>
    <cellStyle name="Calculation 2 3 4 6" xfId="33122"/>
    <cellStyle name="Calculation 2 3 4 7" xfId="51734"/>
    <cellStyle name="Calculation 2 3 4 8" xfId="51735"/>
    <cellStyle name="Calculation 2 3 4 9" xfId="60685"/>
    <cellStyle name="Calculation 2 3 5" xfId="422"/>
    <cellStyle name="Calculation 2 3 5 10" xfId="61103"/>
    <cellStyle name="Calculation 2 3 5 2" xfId="449"/>
    <cellStyle name="Calculation 2 3 5 2 2" xfId="1453"/>
    <cellStyle name="Calculation 2 3 5 2 2 2" xfId="1865"/>
    <cellStyle name="Calculation 2 3 5 2 2 2 2" xfId="3005"/>
    <cellStyle name="Calculation 2 3 5 2 2 2 2 2" xfId="6425"/>
    <cellStyle name="Calculation 2 3 5 2 2 2 2 2 2" xfId="13265"/>
    <cellStyle name="Calculation 2 3 5 2 2 2 2 3" xfId="9845"/>
    <cellStyle name="Calculation 2 3 5 2 2 2 3" xfId="4145"/>
    <cellStyle name="Calculation 2 3 5 2 2 2 3 2" xfId="7565"/>
    <cellStyle name="Calculation 2 3 5 2 2 2 3 2 2" xfId="14405"/>
    <cellStyle name="Calculation 2 3 5 2 2 2 3 3" xfId="10985"/>
    <cellStyle name="Calculation 2 3 5 2 2 2 4" xfId="5285"/>
    <cellStyle name="Calculation 2 3 5 2 2 2 4 2" xfId="12125"/>
    <cellStyle name="Calculation 2 3 5 2 2 2 5" xfId="8705"/>
    <cellStyle name="Calculation 2 3 5 2 2 3" xfId="2274"/>
    <cellStyle name="Calculation 2 3 5 2 2 3 2" xfId="5694"/>
    <cellStyle name="Calculation 2 3 5 2 2 3 2 2" xfId="12534"/>
    <cellStyle name="Calculation 2 3 5 2 2 3 3" xfId="9114"/>
    <cellStyle name="Calculation 2 3 5 2 2 4" xfId="3414"/>
    <cellStyle name="Calculation 2 3 5 2 2 4 2" xfId="6834"/>
    <cellStyle name="Calculation 2 3 5 2 2 4 2 2" xfId="13674"/>
    <cellStyle name="Calculation 2 3 5 2 2 4 3" xfId="10254"/>
    <cellStyle name="Calculation 2 3 5 2 2 5" xfId="4554"/>
    <cellStyle name="Calculation 2 3 5 2 2 5 2" xfId="11394"/>
    <cellStyle name="Calculation 2 3 5 2 2 6" xfId="7974"/>
    <cellStyle name="Calculation 2 3 5 2 2 7" xfId="61791"/>
    <cellStyle name="Calculation 2 3 5 2 2 8" xfId="62270"/>
    <cellStyle name="Calculation 2 3 5 2 3" xfId="38410"/>
    <cellStyle name="Calculation 2 3 5 2 4" xfId="51736"/>
    <cellStyle name="Calculation 2 3 5 2 5" xfId="51737"/>
    <cellStyle name="Calculation 2 3 5 2 6" xfId="51738"/>
    <cellStyle name="Calculation 2 3 5 2 7" xfId="51739"/>
    <cellStyle name="Calculation 2 3 5 2 8" xfId="60688"/>
    <cellStyle name="Calculation 2 3 5 2 9" xfId="61129"/>
    <cellStyle name="Calculation 2 3 5 3" xfId="1427"/>
    <cellStyle name="Calculation 2 3 5 3 2" xfId="896"/>
    <cellStyle name="Calculation 2 3 5 3 2 2" xfId="2646"/>
    <cellStyle name="Calculation 2 3 5 3 2 2 2" xfId="6066"/>
    <cellStyle name="Calculation 2 3 5 3 2 2 2 2" xfId="12906"/>
    <cellStyle name="Calculation 2 3 5 3 2 2 3" xfId="9486"/>
    <cellStyle name="Calculation 2 3 5 3 2 3" xfId="3786"/>
    <cellStyle name="Calculation 2 3 5 3 2 3 2" xfId="7206"/>
    <cellStyle name="Calculation 2 3 5 3 2 3 2 2" xfId="14046"/>
    <cellStyle name="Calculation 2 3 5 3 2 3 3" xfId="10626"/>
    <cellStyle name="Calculation 2 3 5 3 2 4" xfId="4926"/>
    <cellStyle name="Calculation 2 3 5 3 2 4 2" xfId="11766"/>
    <cellStyle name="Calculation 2 3 5 3 2 5" xfId="8346"/>
    <cellStyle name="Calculation 2 3 5 3 3" xfId="2248"/>
    <cellStyle name="Calculation 2 3 5 3 3 2" xfId="5668"/>
    <cellStyle name="Calculation 2 3 5 3 3 2 2" xfId="12508"/>
    <cellStyle name="Calculation 2 3 5 3 3 3" xfId="9088"/>
    <cellStyle name="Calculation 2 3 5 3 4" xfId="3388"/>
    <cellStyle name="Calculation 2 3 5 3 4 2" xfId="6808"/>
    <cellStyle name="Calculation 2 3 5 3 4 2 2" xfId="13648"/>
    <cellStyle name="Calculation 2 3 5 3 4 3" xfId="10228"/>
    <cellStyle name="Calculation 2 3 5 3 5" xfId="4528"/>
    <cellStyle name="Calculation 2 3 5 3 5 2" xfId="11368"/>
    <cellStyle name="Calculation 2 3 5 3 6" xfId="7948"/>
    <cellStyle name="Calculation 2 3 5 3 7" xfId="61489"/>
    <cellStyle name="Calculation 2 3 5 3 8" xfId="62048"/>
    <cellStyle name="Calculation 2 3 5 4" xfId="18569"/>
    <cellStyle name="Calculation 2 3 5 5" xfId="26887"/>
    <cellStyle name="Calculation 2 3 5 6" xfId="34056"/>
    <cellStyle name="Calculation 2 3 5 7" xfId="51740"/>
    <cellStyle name="Calculation 2 3 5 8" xfId="51741"/>
    <cellStyle name="Calculation 2 3 5 9" xfId="60687"/>
    <cellStyle name="Calculation 2 3 6" xfId="509"/>
    <cellStyle name="Calculation 2 3 6 10" xfId="61189"/>
    <cellStyle name="Calculation 2 3 6 2" xfId="453"/>
    <cellStyle name="Calculation 2 3 6 2 2" xfId="1457"/>
    <cellStyle name="Calculation 2 3 6 2 2 2" xfId="880"/>
    <cellStyle name="Calculation 2 3 6 2 2 2 2" xfId="2718"/>
    <cellStyle name="Calculation 2 3 6 2 2 2 2 2" xfId="6138"/>
    <cellStyle name="Calculation 2 3 6 2 2 2 2 2 2" xfId="12978"/>
    <cellStyle name="Calculation 2 3 6 2 2 2 2 3" xfId="9558"/>
    <cellStyle name="Calculation 2 3 6 2 2 2 3" xfId="3858"/>
    <cellStyle name="Calculation 2 3 6 2 2 2 3 2" xfId="7278"/>
    <cellStyle name="Calculation 2 3 6 2 2 2 3 2 2" xfId="14118"/>
    <cellStyle name="Calculation 2 3 6 2 2 2 3 3" xfId="10698"/>
    <cellStyle name="Calculation 2 3 6 2 2 2 4" xfId="4998"/>
    <cellStyle name="Calculation 2 3 6 2 2 2 4 2" xfId="11838"/>
    <cellStyle name="Calculation 2 3 6 2 2 2 5" xfId="8418"/>
    <cellStyle name="Calculation 2 3 6 2 2 3" xfId="2278"/>
    <cellStyle name="Calculation 2 3 6 2 2 3 2" xfId="5698"/>
    <cellStyle name="Calculation 2 3 6 2 2 3 2 2" xfId="12538"/>
    <cellStyle name="Calculation 2 3 6 2 2 3 3" xfId="9118"/>
    <cellStyle name="Calculation 2 3 6 2 2 4" xfId="3418"/>
    <cellStyle name="Calculation 2 3 6 2 2 4 2" xfId="6838"/>
    <cellStyle name="Calculation 2 3 6 2 2 4 2 2" xfId="13678"/>
    <cellStyle name="Calculation 2 3 6 2 2 4 3" xfId="10258"/>
    <cellStyle name="Calculation 2 3 6 2 2 5" xfId="4558"/>
    <cellStyle name="Calculation 2 3 6 2 2 5 2" xfId="11398"/>
    <cellStyle name="Calculation 2 3 6 2 2 6" xfId="7978"/>
    <cellStyle name="Calculation 2 3 6 2 2 7" xfId="61789"/>
    <cellStyle name="Calculation 2 3 6 2 2 8" xfId="62268"/>
    <cellStyle name="Calculation 2 3 6 2 3" xfId="38414"/>
    <cellStyle name="Calculation 2 3 6 2 4" xfId="51742"/>
    <cellStyle name="Calculation 2 3 6 2 5" xfId="51743"/>
    <cellStyle name="Calculation 2 3 6 2 6" xfId="51744"/>
    <cellStyle name="Calculation 2 3 6 2 7" xfId="51745"/>
    <cellStyle name="Calculation 2 3 6 2 8" xfId="60690"/>
    <cellStyle name="Calculation 2 3 6 2 9" xfId="61133"/>
    <cellStyle name="Calculation 2 3 6 3" xfId="1513"/>
    <cellStyle name="Calculation 2 3 6 3 2" xfId="1797"/>
    <cellStyle name="Calculation 2 3 6 3 2 2" xfId="2937"/>
    <cellStyle name="Calculation 2 3 6 3 2 2 2" xfId="6357"/>
    <cellStyle name="Calculation 2 3 6 3 2 2 2 2" xfId="13197"/>
    <cellStyle name="Calculation 2 3 6 3 2 2 3" xfId="9777"/>
    <cellStyle name="Calculation 2 3 6 3 2 3" xfId="4077"/>
    <cellStyle name="Calculation 2 3 6 3 2 3 2" xfId="7497"/>
    <cellStyle name="Calculation 2 3 6 3 2 3 2 2" xfId="14337"/>
    <cellStyle name="Calculation 2 3 6 3 2 3 3" xfId="10917"/>
    <cellStyle name="Calculation 2 3 6 3 2 4" xfId="5217"/>
    <cellStyle name="Calculation 2 3 6 3 2 4 2" xfId="12057"/>
    <cellStyle name="Calculation 2 3 6 3 2 5" xfId="8637"/>
    <cellStyle name="Calculation 2 3 6 3 3" xfId="2334"/>
    <cellStyle name="Calculation 2 3 6 3 3 2" xfId="5754"/>
    <cellStyle name="Calculation 2 3 6 3 3 2 2" xfId="12594"/>
    <cellStyle name="Calculation 2 3 6 3 3 3" xfId="9174"/>
    <cellStyle name="Calculation 2 3 6 3 4" xfId="3474"/>
    <cellStyle name="Calculation 2 3 6 3 4 2" xfId="6894"/>
    <cellStyle name="Calculation 2 3 6 3 4 2 2" xfId="13734"/>
    <cellStyle name="Calculation 2 3 6 3 4 3" xfId="10314"/>
    <cellStyle name="Calculation 2 3 6 3 5" xfId="4614"/>
    <cellStyle name="Calculation 2 3 6 3 5 2" xfId="11454"/>
    <cellStyle name="Calculation 2 3 6 3 6" xfId="8034"/>
    <cellStyle name="Calculation 2 3 6 3 7" xfId="61790"/>
    <cellStyle name="Calculation 2 3 6 3 8" xfId="62269"/>
    <cellStyle name="Calculation 2 3 6 4" xfId="17544"/>
    <cellStyle name="Calculation 2 3 6 5" xfId="25862"/>
    <cellStyle name="Calculation 2 3 6 6" xfId="33079"/>
    <cellStyle name="Calculation 2 3 6 7" xfId="51746"/>
    <cellStyle name="Calculation 2 3 6 8" xfId="51747"/>
    <cellStyle name="Calculation 2 3 6 9" xfId="60689"/>
    <cellStyle name="Calculation 2 3 7" xfId="1104"/>
    <cellStyle name="Calculation 2 3 7 10" xfId="61565"/>
    <cellStyle name="Calculation 2 3 7 11" xfId="62075"/>
    <cellStyle name="Calculation 2 3 7 2" xfId="1074"/>
    <cellStyle name="Calculation 2 3 7 2 2" xfId="1892"/>
    <cellStyle name="Calculation 2 3 7 2 2 2" xfId="5312"/>
    <cellStyle name="Calculation 2 3 7 2 2 2 2" xfId="12152"/>
    <cellStyle name="Calculation 2 3 7 2 2 3" xfId="8732"/>
    <cellStyle name="Calculation 2 3 7 2 3" xfId="3032"/>
    <cellStyle name="Calculation 2 3 7 2 3 2" xfId="6452"/>
    <cellStyle name="Calculation 2 3 7 2 3 2 2" xfId="13292"/>
    <cellStyle name="Calculation 2 3 7 2 3 3" xfId="9872"/>
    <cellStyle name="Calculation 2 3 7 2 4" xfId="4172"/>
    <cellStyle name="Calculation 2 3 7 2 4 2" xfId="11012"/>
    <cellStyle name="Calculation 2 3 7 2 5" xfId="7592"/>
    <cellStyle name="Calculation 2 3 7 2 6" xfId="61484"/>
    <cellStyle name="Calculation 2 3 7 2 7" xfId="62044"/>
    <cellStyle name="Calculation 2 3 7 3" xfId="1913"/>
    <cellStyle name="Calculation 2 3 7 3 2" xfId="5333"/>
    <cellStyle name="Calculation 2 3 7 3 2 2" xfId="12173"/>
    <cellStyle name="Calculation 2 3 7 3 3" xfId="8753"/>
    <cellStyle name="Calculation 2 3 7 4" xfId="3053"/>
    <cellStyle name="Calculation 2 3 7 4 2" xfId="6473"/>
    <cellStyle name="Calculation 2 3 7 4 2 2" xfId="13313"/>
    <cellStyle name="Calculation 2 3 7 4 3" xfId="9893"/>
    <cellStyle name="Calculation 2 3 7 5" xfId="4193"/>
    <cellStyle name="Calculation 2 3 7 5 2" xfId="11033"/>
    <cellStyle name="Calculation 2 3 7 6" xfId="7613"/>
    <cellStyle name="Calculation 2 3 7 7" xfId="19250"/>
    <cellStyle name="Calculation 2 3 7 8" xfId="27570"/>
    <cellStyle name="Calculation 2 3 7 9" xfId="34718"/>
    <cellStyle name="Calculation 2 3 8" xfId="14428"/>
    <cellStyle name="Calculation 2 3 8 2" xfId="51748"/>
    <cellStyle name="Calculation 2 3 8 3" xfId="51749"/>
    <cellStyle name="Calculation 2 3 8 4" xfId="61871"/>
    <cellStyle name="Calculation 2 3 8 5" xfId="62332"/>
    <cellStyle name="Calculation 2 3 9" xfId="51750"/>
    <cellStyle name="Calculation 2 30" xfId="60647"/>
    <cellStyle name="Calculation 2 31" xfId="60764"/>
    <cellStyle name="Calculation 2 4" xfId="104"/>
    <cellStyle name="Calculation 2 4 10" xfId="14565"/>
    <cellStyle name="Calculation 2 4 11" xfId="22921"/>
    <cellStyle name="Calculation 2 4 12" xfId="51751"/>
    <cellStyle name="Calculation 2 4 13" xfId="51752"/>
    <cellStyle name="Calculation 2 4 14" xfId="51753"/>
    <cellStyle name="Calculation 2 4 15" xfId="60691"/>
    <cellStyle name="Calculation 2 4 16" xfId="60796"/>
    <cellStyle name="Calculation 2 4 2" xfId="163"/>
    <cellStyle name="Calculation 2 4 2 10" xfId="60692"/>
    <cellStyle name="Calculation 2 4 2 11" xfId="60847"/>
    <cellStyle name="Calculation 2 4 2 2" xfId="289"/>
    <cellStyle name="Calculation 2 4 2 2 10" xfId="60971"/>
    <cellStyle name="Calculation 2 4 2 2 2" xfId="698"/>
    <cellStyle name="Calculation 2 4 2 2 2 2" xfId="1649"/>
    <cellStyle name="Calculation 2 4 2 2 2 2 2" xfId="758"/>
    <cellStyle name="Calculation 2 4 2 2 2 2 2 2" xfId="2766"/>
    <cellStyle name="Calculation 2 4 2 2 2 2 2 2 2" xfId="6186"/>
    <cellStyle name="Calculation 2 4 2 2 2 2 2 2 2 2" xfId="13026"/>
    <cellStyle name="Calculation 2 4 2 2 2 2 2 2 3" xfId="9606"/>
    <cellStyle name="Calculation 2 4 2 2 2 2 2 3" xfId="3906"/>
    <cellStyle name="Calculation 2 4 2 2 2 2 2 3 2" xfId="7326"/>
    <cellStyle name="Calculation 2 4 2 2 2 2 2 3 2 2" xfId="14166"/>
    <cellStyle name="Calculation 2 4 2 2 2 2 2 3 3" xfId="10746"/>
    <cellStyle name="Calculation 2 4 2 2 2 2 2 4" xfId="5046"/>
    <cellStyle name="Calculation 2 4 2 2 2 2 2 4 2" xfId="11886"/>
    <cellStyle name="Calculation 2 4 2 2 2 2 2 5" xfId="8466"/>
    <cellStyle name="Calculation 2 4 2 2 2 2 3" xfId="2483"/>
    <cellStyle name="Calculation 2 4 2 2 2 2 3 2" xfId="5903"/>
    <cellStyle name="Calculation 2 4 2 2 2 2 3 2 2" xfId="12743"/>
    <cellStyle name="Calculation 2 4 2 2 2 2 3 3" xfId="9323"/>
    <cellStyle name="Calculation 2 4 2 2 2 2 4" xfId="3623"/>
    <cellStyle name="Calculation 2 4 2 2 2 2 4 2" xfId="7043"/>
    <cellStyle name="Calculation 2 4 2 2 2 2 4 2 2" xfId="13883"/>
    <cellStyle name="Calculation 2 4 2 2 2 2 4 3" xfId="10463"/>
    <cellStyle name="Calculation 2 4 2 2 2 2 5" xfId="4763"/>
    <cellStyle name="Calculation 2 4 2 2 2 2 5 2" xfId="11603"/>
    <cellStyle name="Calculation 2 4 2 2 2 2 6" xfId="8183"/>
    <cellStyle name="Calculation 2 4 2 2 2 2 7" xfId="61786"/>
    <cellStyle name="Calculation 2 4 2 2 2 2 8" xfId="62265"/>
    <cellStyle name="Calculation 2 4 2 2 2 3" xfId="38542"/>
    <cellStyle name="Calculation 2 4 2 2 2 4" xfId="51754"/>
    <cellStyle name="Calculation 2 4 2 2 2 5" xfId="51755"/>
    <cellStyle name="Calculation 2 4 2 2 2 6" xfId="51756"/>
    <cellStyle name="Calculation 2 4 2 2 2 7" xfId="60694"/>
    <cellStyle name="Calculation 2 4 2 2 2 8" xfId="61240"/>
    <cellStyle name="Calculation 2 4 2 2 3" xfId="1295"/>
    <cellStyle name="Calculation 2 4 2 2 3 2" xfId="1844"/>
    <cellStyle name="Calculation 2 4 2 2 3 2 2" xfId="2984"/>
    <cellStyle name="Calculation 2 4 2 2 3 2 2 2" xfId="6404"/>
    <cellStyle name="Calculation 2 4 2 2 3 2 2 2 2" xfId="13244"/>
    <cellStyle name="Calculation 2 4 2 2 3 2 2 3" xfId="9824"/>
    <cellStyle name="Calculation 2 4 2 2 3 2 3" xfId="4124"/>
    <cellStyle name="Calculation 2 4 2 2 3 2 3 2" xfId="7544"/>
    <cellStyle name="Calculation 2 4 2 2 3 2 3 2 2" xfId="14384"/>
    <cellStyle name="Calculation 2 4 2 2 3 2 3 3" xfId="10964"/>
    <cellStyle name="Calculation 2 4 2 2 3 2 4" xfId="5264"/>
    <cellStyle name="Calculation 2 4 2 2 3 2 4 2" xfId="12104"/>
    <cellStyle name="Calculation 2 4 2 2 3 2 5" xfId="8684"/>
    <cellStyle name="Calculation 2 4 2 2 3 3" xfId="2115"/>
    <cellStyle name="Calculation 2 4 2 2 3 3 2" xfId="5535"/>
    <cellStyle name="Calculation 2 4 2 2 3 3 2 2" xfId="12375"/>
    <cellStyle name="Calculation 2 4 2 2 3 3 3" xfId="8955"/>
    <cellStyle name="Calculation 2 4 2 2 3 4" xfId="3255"/>
    <cellStyle name="Calculation 2 4 2 2 3 4 2" xfId="6675"/>
    <cellStyle name="Calculation 2 4 2 2 3 4 2 2" xfId="13515"/>
    <cellStyle name="Calculation 2 4 2 2 3 4 3" xfId="10095"/>
    <cellStyle name="Calculation 2 4 2 2 3 5" xfId="4395"/>
    <cellStyle name="Calculation 2 4 2 2 3 5 2" xfId="11235"/>
    <cellStyle name="Calculation 2 4 2 2 3 6" xfId="7815"/>
    <cellStyle name="Calculation 2 4 2 2 3 7" xfId="61787"/>
    <cellStyle name="Calculation 2 4 2 2 3 8" xfId="62266"/>
    <cellStyle name="Calculation 2 4 2 2 4" xfId="38305"/>
    <cellStyle name="Calculation 2 4 2 2 5" xfId="51757"/>
    <cellStyle name="Calculation 2 4 2 2 6" xfId="51758"/>
    <cellStyle name="Calculation 2 4 2 2 7" xfId="51759"/>
    <cellStyle name="Calculation 2 4 2 2 8" xfId="51760"/>
    <cellStyle name="Calculation 2 4 2 2 9" xfId="60693"/>
    <cellStyle name="Calculation 2 4 2 3" xfId="610"/>
    <cellStyle name="Calculation 2 4 2 3 2" xfId="1597"/>
    <cellStyle name="Calculation 2 4 2 3 2 2" xfId="810"/>
    <cellStyle name="Calculation 2 4 2 3 2 2 2" xfId="2737"/>
    <cellStyle name="Calculation 2 4 2 3 2 2 2 2" xfId="6157"/>
    <cellStyle name="Calculation 2 4 2 3 2 2 2 2 2" xfId="12997"/>
    <cellStyle name="Calculation 2 4 2 3 2 2 2 3" xfId="9577"/>
    <cellStyle name="Calculation 2 4 2 3 2 2 3" xfId="3877"/>
    <cellStyle name="Calculation 2 4 2 3 2 2 3 2" xfId="7297"/>
    <cellStyle name="Calculation 2 4 2 3 2 2 3 2 2" xfId="14137"/>
    <cellStyle name="Calculation 2 4 2 3 2 2 3 3" xfId="10717"/>
    <cellStyle name="Calculation 2 4 2 3 2 2 4" xfId="5017"/>
    <cellStyle name="Calculation 2 4 2 3 2 2 4 2" xfId="11857"/>
    <cellStyle name="Calculation 2 4 2 3 2 2 5" xfId="8437"/>
    <cellStyle name="Calculation 2 4 2 3 2 3" xfId="2422"/>
    <cellStyle name="Calculation 2 4 2 3 2 3 2" xfId="5842"/>
    <cellStyle name="Calculation 2 4 2 3 2 3 2 2" xfId="12682"/>
    <cellStyle name="Calculation 2 4 2 3 2 3 3" xfId="9262"/>
    <cellStyle name="Calculation 2 4 2 3 2 4" xfId="3562"/>
    <cellStyle name="Calculation 2 4 2 3 2 4 2" xfId="6982"/>
    <cellStyle name="Calculation 2 4 2 3 2 4 2 2" xfId="13822"/>
    <cellStyle name="Calculation 2 4 2 3 2 4 3" xfId="10402"/>
    <cellStyle name="Calculation 2 4 2 3 2 5" xfId="4702"/>
    <cellStyle name="Calculation 2 4 2 3 2 5 2" xfId="11542"/>
    <cellStyle name="Calculation 2 4 2 3 2 6" xfId="8122"/>
    <cellStyle name="Calculation 2 4 2 3 2 7" xfId="61477"/>
    <cellStyle name="Calculation 2 4 2 3 2 8" xfId="62038"/>
    <cellStyle name="Calculation 2 4 2 3 3" xfId="38491"/>
    <cellStyle name="Calculation 2 4 2 3 4" xfId="51761"/>
    <cellStyle name="Calculation 2 4 2 3 5" xfId="51762"/>
    <cellStyle name="Calculation 2 4 2 3 6" xfId="51763"/>
    <cellStyle name="Calculation 2 4 2 3 7" xfId="60695"/>
    <cellStyle name="Calculation 2 4 2 3 8" xfId="61241"/>
    <cellStyle name="Calculation 2 4 2 4" xfId="1171"/>
    <cellStyle name="Calculation 2 4 2 4 2" xfId="1042"/>
    <cellStyle name="Calculation 2 4 2 4 2 2" xfId="1891"/>
    <cellStyle name="Calculation 2 4 2 4 2 2 2" xfId="5311"/>
    <cellStyle name="Calculation 2 4 2 4 2 2 2 2" xfId="12151"/>
    <cellStyle name="Calculation 2 4 2 4 2 2 3" xfId="8731"/>
    <cellStyle name="Calculation 2 4 2 4 2 3" xfId="3031"/>
    <cellStyle name="Calculation 2 4 2 4 2 3 2" xfId="6451"/>
    <cellStyle name="Calculation 2 4 2 4 2 3 2 2" xfId="13291"/>
    <cellStyle name="Calculation 2 4 2 4 2 3 3" xfId="9871"/>
    <cellStyle name="Calculation 2 4 2 4 2 4" xfId="4171"/>
    <cellStyle name="Calculation 2 4 2 4 2 4 2" xfId="11011"/>
    <cellStyle name="Calculation 2 4 2 4 2 5" xfId="7591"/>
    <cellStyle name="Calculation 2 4 2 4 3" xfId="1990"/>
    <cellStyle name="Calculation 2 4 2 4 3 2" xfId="5410"/>
    <cellStyle name="Calculation 2 4 2 4 3 2 2" xfId="12250"/>
    <cellStyle name="Calculation 2 4 2 4 3 3" xfId="8830"/>
    <cellStyle name="Calculation 2 4 2 4 4" xfId="3130"/>
    <cellStyle name="Calculation 2 4 2 4 4 2" xfId="6550"/>
    <cellStyle name="Calculation 2 4 2 4 4 2 2" xfId="13390"/>
    <cellStyle name="Calculation 2 4 2 4 4 3" xfId="9970"/>
    <cellStyle name="Calculation 2 4 2 4 5" xfId="4270"/>
    <cellStyle name="Calculation 2 4 2 4 5 2" xfId="11110"/>
    <cellStyle name="Calculation 2 4 2 4 6" xfId="7690"/>
    <cellStyle name="Calculation 2 4 2 4 7" xfId="61788"/>
    <cellStyle name="Calculation 2 4 2 4 8" xfId="62267"/>
    <cellStyle name="Calculation 2 4 2 5" xfId="15644"/>
    <cellStyle name="Calculation 2 4 2 6" xfId="23957"/>
    <cellStyle name="Calculation 2 4 2 7" xfId="31254"/>
    <cellStyle name="Calculation 2 4 2 8" xfId="51764"/>
    <cellStyle name="Calculation 2 4 2 9" xfId="51765"/>
    <cellStyle name="Calculation 2 4 3" xfId="329"/>
    <cellStyle name="Calculation 2 4 3 10" xfId="61010"/>
    <cellStyle name="Calculation 2 4 3 2" xfId="384"/>
    <cellStyle name="Calculation 2 4 3 2 2" xfId="1389"/>
    <cellStyle name="Calculation 2 4 3 2 2 2" xfId="1691"/>
    <cellStyle name="Calculation 2 4 3 2 2 2 2" xfId="2831"/>
    <cellStyle name="Calculation 2 4 3 2 2 2 2 2" xfId="6251"/>
    <cellStyle name="Calculation 2 4 3 2 2 2 2 2 2" xfId="13091"/>
    <cellStyle name="Calculation 2 4 3 2 2 2 2 3" xfId="9671"/>
    <cellStyle name="Calculation 2 4 3 2 2 2 3" xfId="3971"/>
    <cellStyle name="Calculation 2 4 3 2 2 2 3 2" xfId="7391"/>
    <cellStyle name="Calculation 2 4 3 2 2 2 3 2 2" xfId="14231"/>
    <cellStyle name="Calculation 2 4 3 2 2 2 3 3" xfId="10811"/>
    <cellStyle name="Calculation 2 4 3 2 2 2 4" xfId="5111"/>
    <cellStyle name="Calculation 2 4 3 2 2 2 4 2" xfId="11951"/>
    <cellStyle name="Calculation 2 4 3 2 2 2 5" xfId="8531"/>
    <cellStyle name="Calculation 2 4 3 2 2 3" xfId="2210"/>
    <cellStyle name="Calculation 2 4 3 2 2 3 2" xfId="5630"/>
    <cellStyle name="Calculation 2 4 3 2 2 3 2 2" xfId="12470"/>
    <cellStyle name="Calculation 2 4 3 2 2 3 3" xfId="9050"/>
    <cellStyle name="Calculation 2 4 3 2 2 4" xfId="3350"/>
    <cellStyle name="Calculation 2 4 3 2 2 4 2" xfId="6770"/>
    <cellStyle name="Calculation 2 4 3 2 2 4 2 2" xfId="13610"/>
    <cellStyle name="Calculation 2 4 3 2 2 4 3" xfId="10190"/>
    <cellStyle name="Calculation 2 4 3 2 2 5" xfId="4490"/>
    <cellStyle name="Calculation 2 4 3 2 2 5 2" xfId="11330"/>
    <cellStyle name="Calculation 2 4 3 2 2 6" xfId="7910"/>
    <cellStyle name="Calculation 2 4 3 2 2 7" xfId="61785"/>
    <cellStyle name="Calculation 2 4 3 2 2 8" xfId="62264"/>
    <cellStyle name="Calculation 2 4 3 2 3" xfId="38366"/>
    <cellStyle name="Calculation 2 4 3 2 4" xfId="51766"/>
    <cellStyle name="Calculation 2 4 3 2 5" xfId="51767"/>
    <cellStyle name="Calculation 2 4 3 2 6" xfId="51768"/>
    <cellStyle name="Calculation 2 4 3 2 7" xfId="51769"/>
    <cellStyle name="Calculation 2 4 3 2 8" xfId="60697"/>
    <cellStyle name="Calculation 2 4 3 2 9" xfId="61065"/>
    <cellStyle name="Calculation 2 4 3 3" xfId="1334"/>
    <cellStyle name="Calculation 2 4 3 3 2" xfId="958"/>
    <cellStyle name="Calculation 2 4 3 3 2 2" xfId="2689"/>
    <cellStyle name="Calculation 2 4 3 3 2 2 2" xfId="6109"/>
    <cellStyle name="Calculation 2 4 3 3 2 2 2 2" xfId="12949"/>
    <cellStyle name="Calculation 2 4 3 3 2 2 3" xfId="9529"/>
    <cellStyle name="Calculation 2 4 3 3 2 3" xfId="3829"/>
    <cellStyle name="Calculation 2 4 3 3 2 3 2" xfId="7249"/>
    <cellStyle name="Calculation 2 4 3 3 2 3 2 2" xfId="14089"/>
    <cellStyle name="Calculation 2 4 3 3 2 3 3" xfId="10669"/>
    <cellStyle name="Calculation 2 4 3 3 2 4" xfId="4969"/>
    <cellStyle name="Calculation 2 4 3 3 2 4 2" xfId="11809"/>
    <cellStyle name="Calculation 2 4 3 3 2 5" xfId="8389"/>
    <cellStyle name="Calculation 2 4 3 3 3" xfId="2155"/>
    <cellStyle name="Calculation 2 4 3 3 3 2" xfId="5575"/>
    <cellStyle name="Calculation 2 4 3 3 3 2 2" xfId="12415"/>
    <cellStyle name="Calculation 2 4 3 3 3 3" xfId="8995"/>
    <cellStyle name="Calculation 2 4 3 3 4" xfId="3295"/>
    <cellStyle name="Calculation 2 4 3 3 4 2" xfId="6715"/>
    <cellStyle name="Calculation 2 4 3 3 4 2 2" xfId="13555"/>
    <cellStyle name="Calculation 2 4 3 3 4 3" xfId="10135"/>
    <cellStyle name="Calculation 2 4 3 3 5" xfId="4435"/>
    <cellStyle name="Calculation 2 4 3 3 5 2" xfId="11275"/>
    <cellStyle name="Calculation 2 4 3 3 6" xfId="7855"/>
    <cellStyle name="Calculation 2 4 3 3 7" xfId="61447"/>
    <cellStyle name="Calculation 2 4 3 3 8" xfId="62016"/>
    <cellStyle name="Calculation 2 4 3 4" xfId="16611"/>
    <cellStyle name="Calculation 2 4 3 5" xfId="24928"/>
    <cellStyle name="Calculation 2 4 3 6" xfId="32187"/>
    <cellStyle name="Calculation 2 4 3 7" xfId="51770"/>
    <cellStyle name="Calculation 2 4 3 8" xfId="51771"/>
    <cellStyle name="Calculation 2 4 3 9" xfId="60696"/>
    <cellStyle name="Calculation 2 4 4" xfId="236"/>
    <cellStyle name="Calculation 2 4 4 10" xfId="60919"/>
    <cellStyle name="Calculation 2 4 4 2" xfId="180"/>
    <cellStyle name="Calculation 2 4 4 2 2" xfId="1188"/>
    <cellStyle name="Calculation 2 4 4 2 2 2" xfId="1866"/>
    <cellStyle name="Calculation 2 4 4 2 2 2 2" xfId="3006"/>
    <cellStyle name="Calculation 2 4 4 2 2 2 2 2" xfId="6426"/>
    <cellStyle name="Calculation 2 4 4 2 2 2 2 2 2" xfId="13266"/>
    <cellStyle name="Calculation 2 4 4 2 2 2 2 3" xfId="9846"/>
    <cellStyle name="Calculation 2 4 4 2 2 2 3" xfId="4146"/>
    <cellStyle name="Calculation 2 4 4 2 2 2 3 2" xfId="7566"/>
    <cellStyle name="Calculation 2 4 4 2 2 2 3 2 2" xfId="14406"/>
    <cellStyle name="Calculation 2 4 4 2 2 2 3 3" xfId="10986"/>
    <cellStyle name="Calculation 2 4 4 2 2 2 4" xfId="5286"/>
    <cellStyle name="Calculation 2 4 4 2 2 2 4 2" xfId="12126"/>
    <cellStyle name="Calculation 2 4 4 2 2 2 5" xfId="8706"/>
    <cellStyle name="Calculation 2 4 4 2 2 3" xfId="2007"/>
    <cellStyle name="Calculation 2 4 4 2 2 3 2" xfId="5427"/>
    <cellStyle name="Calculation 2 4 4 2 2 3 2 2" xfId="12267"/>
    <cellStyle name="Calculation 2 4 4 2 2 3 3" xfId="8847"/>
    <cellStyle name="Calculation 2 4 4 2 2 4" xfId="3147"/>
    <cellStyle name="Calculation 2 4 4 2 2 4 2" xfId="6567"/>
    <cellStyle name="Calculation 2 4 4 2 2 4 2 2" xfId="13407"/>
    <cellStyle name="Calculation 2 4 4 2 2 4 3" xfId="9987"/>
    <cellStyle name="Calculation 2 4 4 2 2 5" xfId="4287"/>
    <cellStyle name="Calculation 2 4 4 2 2 5 2" xfId="11127"/>
    <cellStyle name="Calculation 2 4 4 2 2 6" xfId="7707"/>
    <cellStyle name="Calculation 2 4 4 2 2 7" xfId="61783"/>
    <cellStyle name="Calculation 2 4 4 2 2 8" xfId="62262"/>
    <cellStyle name="Calculation 2 4 4 2 3" xfId="38237"/>
    <cellStyle name="Calculation 2 4 4 2 4" xfId="51772"/>
    <cellStyle name="Calculation 2 4 4 2 5" xfId="51773"/>
    <cellStyle name="Calculation 2 4 4 2 6" xfId="51774"/>
    <cellStyle name="Calculation 2 4 4 2 7" xfId="51775"/>
    <cellStyle name="Calculation 2 4 4 2 8" xfId="60699"/>
    <cellStyle name="Calculation 2 4 4 2 9" xfId="60864"/>
    <cellStyle name="Calculation 2 4 4 3" xfId="1243"/>
    <cellStyle name="Calculation 2 4 4 3 2" xfId="1666"/>
    <cellStyle name="Calculation 2 4 4 3 2 2" xfId="2806"/>
    <cellStyle name="Calculation 2 4 4 3 2 2 2" xfId="6226"/>
    <cellStyle name="Calculation 2 4 4 3 2 2 2 2" xfId="13066"/>
    <cellStyle name="Calculation 2 4 4 3 2 2 3" xfId="9646"/>
    <cellStyle name="Calculation 2 4 4 3 2 3" xfId="3946"/>
    <cellStyle name="Calculation 2 4 4 3 2 3 2" xfId="7366"/>
    <cellStyle name="Calculation 2 4 4 3 2 3 2 2" xfId="14206"/>
    <cellStyle name="Calculation 2 4 4 3 2 3 3" xfId="10786"/>
    <cellStyle name="Calculation 2 4 4 3 2 4" xfId="5086"/>
    <cellStyle name="Calculation 2 4 4 3 2 4 2" xfId="11926"/>
    <cellStyle name="Calculation 2 4 4 3 2 5" xfId="8506"/>
    <cellStyle name="Calculation 2 4 4 3 3" xfId="2063"/>
    <cellStyle name="Calculation 2 4 4 3 3 2" xfId="5483"/>
    <cellStyle name="Calculation 2 4 4 3 3 2 2" xfId="12323"/>
    <cellStyle name="Calculation 2 4 4 3 3 3" xfId="8903"/>
    <cellStyle name="Calculation 2 4 4 3 4" xfId="3203"/>
    <cellStyle name="Calculation 2 4 4 3 4 2" xfId="6623"/>
    <cellStyle name="Calculation 2 4 4 3 4 2 2" xfId="13463"/>
    <cellStyle name="Calculation 2 4 4 3 4 3" xfId="10043"/>
    <cellStyle name="Calculation 2 4 4 3 5" xfId="4343"/>
    <cellStyle name="Calculation 2 4 4 3 5 2" xfId="11183"/>
    <cellStyle name="Calculation 2 4 4 3 6" xfId="7763"/>
    <cellStyle name="Calculation 2 4 4 3 7" xfId="61784"/>
    <cellStyle name="Calculation 2 4 4 3 8" xfId="62263"/>
    <cellStyle name="Calculation 2 4 4 4" xfId="17631"/>
    <cellStyle name="Calculation 2 4 4 5" xfId="25954"/>
    <cellStyle name="Calculation 2 4 4 6" xfId="33164"/>
    <cellStyle name="Calculation 2 4 4 7" xfId="51776"/>
    <cellStyle name="Calculation 2 4 4 8" xfId="51777"/>
    <cellStyle name="Calculation 2 4 4 9" xfId="60698"/>
    <cellStyle name="Calculation 2 4 5" xfId="494"/>
    <cellStyle name="Calculation 2 4 5 10" xfId="61174"/>
    <cellStyle name="Calculation 2 4 5 2" xfId="388"/>
    <cellStyle name="Calculation 2 4 5 2 2" xfId="1393"/>
    <cellStyle name="Calculation 2 4 5 2 2 2" xfId="1879"/>
    <cellStyle name="Calculation 2 4 5 2 2 2 2" xfId="3019"/>
    <cellStyle name="Calculation 2 4 5 2 2 2 2 2" xfId="6439"/>
    <cellStyle name="Calculation 2 4 5 2 2 2 2 2 2" xfId="13279"/>
    <cellStyle name="Calculation 2 4 5 2 2 2 2 3" xfId="9859"/>
    <cellStyle name="Calculation 2 4 5 2 2 2 3" xfId="4159"/>
    <cellStyle name="Calculation 2 4 5 2 2 2 3 2" xfId="7579"/>
    <cellStyle name="Calculation 2 4 5 2 2 2 3 2 2" xfId="14419"/>
    <cellStyle name="Calculation 2 4 5 2 2 2 3 3" xfId="10999"/>
    <cellStyle name="Calculation 2 4 5 2 2 2 4" xfId="5299"/>
    <cellStyle name="Calculation 2 4 5 2 2 2 4 2" xfId="12139"/>
    <cellStyle name="Calculation 2 4 5 2 2 2 5" xfId="8719"/>
    <cellStyle name="Calculation 2 4 5 2 2 3" xfId="2214"/>
    <cellStyle name="Calculation 2 4 5 2 2 3 2" xfId="5634"/>
    <cellStyle name="Calculation 2 4 5 2 2 3 2 2" xfId="12474"/>
    <cellStyle name="Calculation 2 4 5 2 2 3 3" xfId="9054"/>
    <cellStyle name="Calculation 2 4 5 2 2 4" xfId="3354"/>
    <cellStyle name="Calculation 2 4 5 2 2 4 2" xfId="6774"/>
    <cellStyle name="Calculation 2 4 5 2 2 4 2 2" xfId="13614"/>
    <cellStyle name="Calculation 2 4 5 2 2 4 3" xfId="10194"/>
    <cellStyle name="Calculation 2 4 5 2 2 5" xfId="4494"/>
    <cellStyle name="Calculation 2 4 5 2 2 5 2" xfId="11334"/>
    <cellStyle name="Calculation 2 4 5 2 2 6" xfId="7914"/>
    <cellStyle name="Calculation 2 4 5 2 2 7" xfId="61781"/>
    <cellStyle name="Calculation 2 4 5 2 2 8" xfId="62260"/>
    <cellStyle name="Calculation 2 4 5 2 3" xfId="38370"/>
    <cellStyle name="Calculation 2 4 5 2 4" xfId="51778"/>
    <cellStyle name="Calculation 2 4 5 2 5" xfId="51779"/>
    <cellStyle name="Calculation 2 4 5 2 6" xfId="51780"/>
    <cellStyle name="Calculation 2 4 5 2 7" xfId="51781"/>
    <cellStyle name="Calculation 2 4 5 2 8" xfId="60701"/>
    <cellStyle name="Calculation 2 4 5 2 9" xfId="61069"/>
    <cellStyle name="Calculation 2 4 5 3" xfId="1498"/>
    <cellStyle name="Calculation 2 4 5 3 2" xfId="860"/>
    <cellStyle name="Calculation 2 4 5 3 2 2" xfId="2777"/>
    <cellStyle name="Calculation 2 4 5 3 2 2 2" xfId="6197"/>
    <cellStyle name="Calculation 2 4 5 3 2 2 2 2" xfId="13037"/>
    <cellStyle name="Calculation 2 4 5 3 2 2 3" xfId="9617"/>
    <cellStyle name="Calculation 2 4 5 3 2 3" xfId="3917"/>
    <cellStyle name="Calculation 2 4 5 3 2 3 2" xfId="7337"/>
    <cellStyle name="Calculation 2 4 5 3 2 3 2 2" xfId="14177"/>
    <cellStyle name="Calculation 2 4 5 3 2 3 3" xfId="10757"/>
    <cellStyle name="Calculation 2 4 5 3 2 4" xfId="5057"/>
    <cellStyle name="Calculation 2 4 5 3 2 4 2" xfId="11897"/>
    <cellStyle name="Calculation 2 4 5 3 2 5" xfId="8477"/>
    <cellStyle name="Calculation 2 4 5 3 3" xfId="2319"/>
    <cellStyle name="Calculation 2 4 5 3 3 2" xfId="5739"/>
    <cellStyle name="Calculation 2 4 5 3 3 2 2" xfId="12579"/>
    <cellStyle name="Calculation 2 4 5 3 3 3" xfId="9159"/>
    <cellStyle name="Calculation 2 4 5 3 4" xfId="3459"/>
    <cellStyle name="Calculation 2 4 5 3 4 2" xfId="6879"/>
    <cellStyle name="Calculation 2 4 5 3 4 2 2" xfId="13719"/>
    <cellStyle name="Calculation 2 4 5 3 4 3" xfId="10299"/>
    <cellStyle name="Calculation 2 4 5 3 5" xfId="4599"/>
    <cellStyle name="Calculation 2 4 5 3 5 2" xfId="11439"/>
    <cellStyle name="Calculation 2 4 5 3 6" xfId="8019"/>
    <cellStyle name="Calculation 2 4 5 3 7" xfId="61782"/>
    <cellStyle name="Calculation 2 4 5 3 8" xfId="62261"/>
    <cellStyle name="Calculation 2 4 5 4" xfId="18613"/>
    <cellStyle name="Calculation 2 4 5 5" xfId="26932"/>
    <cellStyle name="Calculation 2 4 5 6" xfId="34100"/>
    <cellStyle name="Calculation 2 4 5 7" xfId="51782"/>
    <cellStyle name="Calculation 2 4 5 8" xfId="51783"/>
    <cellStyle name="Calculation 2 4 5 9" xfId="60700"/>
    <cellStyle name="Calculation 2 4 6" xfId="514"/>
    <cellStyle name="Calculation 2 4 6 10" xfId="61194"/>
    <cellStyle name="Calculation 2 4 6 2" xfId="178"/>
    <cellStyle name="Calculation 2 4 6 2 2" xfId="1186"/>
    <cellStyle name="Calculation 2 4 6 2 2 2" xfId="1035"/>
    <cellStyle name="Calculation 2 4 6 2 2 2 2" xfId="2432"/>
    <cellStyle name="Calculation 2 4 6 2 2 2 2 2" xfId="5852"/>
    <cellStyle name="Calculation 2 4 6 2 2 2 2 2 2" xfId="12692"/>
    <cellStyle name="Calculation 2 4 6 2 2 2 2 3" xfId="9272"/>
    <cellStyle name="Calculation 2 4 6 2 2 2 3" xfId="3572"/>
    <cellStyle name="Calculation 2 4 6 2 2 2 3 2" xfId="6992"/>
    <cellStyle name="Calculation 2 4 6 2 2 2 3 2 2" xfId="13832"/>
    <cellStyle name="Calculation 2 4 6 2 2 2 3 3" xfId="10412"/>
    <cellStyle name="Calculation 2 4 6 2 2 2 4" xfId="4712"/>
    <cellStyle name="Calculation 2 4 6 2 2 2 4 2" xfId="11552"/>
    <cellStyle name="Calculation 2 4 6 2 2 2 5" xfId="8132"/>
    <cellStyle name="Calculation 2 4 6 2 2 3" xfId="2005"/>
    <cellStyle name="Calculation 2 4 6 2 2 3 2" xfId="5425"/>
    <cellStyle name="Calculation 2 4 6 2 2 3 2 2" xfId="12265"/>
    <cellStyle name="Calculation 2 4 6 2 2 3 3" xfId="8845"/>
    <cellStyle name="Calculation 2 4 6 2 2 4" xfId="3145"/>
    <cellStyle name="Calculation 2 4 6 2 2 4 2" xfId="6565"/>
    <cellStyle name="Calculation 2 4 6 2 2 4 2 2" xfId="13405"/>
    <cellStyle name="Calculation 2 4 6 2 2 4 3" xfId="9985"/>
    <cellStyle name="Calculation 2 4 6 2 2 5" xfId="4285"/>
    <cellStyle name="Calculation 2 4 6 2 2 5 2" xfId="11125"/>
    <cellStyle name="Calculation 2 4 6 2 2 6" xfId="7705"/>
    <cellStyle name="Calculation 2 4 6 2 2 7" xfId="61779"/>
    <cellStyle name="Calculation 2 4 6 2 2 8" xfId="62258"/>
    <cellStyle name="Calculation 2 4 6 2 3" xfId="38235"/>
    <cellStyle name="Calculation 2 4 6 2 4" xfId="51784"/>
    <cellStyle name="Calculation 2 4 6 2 5" xfId="51785"/>
    <cellStyle name="Calculation 2 4 6 2 6" xfId="51786"/>
    <cellStyle name="Calculation 2 4 6 2 7" xfId="51787"/>
    <cellStyle name="Calculation 2 4 6 2 8" xfId="60703"/>
    <cellStyle name="Calculation 2 4 6 2 9" xfId="60862"/>
    <cellStyle name="Calculation 2 4 6 3" xfId="1518"/>
    <cellStyle name="Calculation 2 4 6 3 2" xfId="1800"/>
    <cellStyle name="Calculation 2 4 6 3 2 2" xfId="2940"/>
    <cellStyle name="Calculation 2 4 6 3 2 2 2" xfId="6360"/>
    <cellStyle name="Calculation 2 4 6 3 2 2 2 2" xfId="13200"/>
    <cellStyle name="Calculation 2 4 6 3 2 2 3" xfId="9780"/>
    <cellStyle name="Calculation 2 4 6 3 2 3" xfId="4080"/>
    <cellStyle name="Calculation 2 4 6 3 2 3 2" xfId="7500"/>
    <cellStyle name="Calculation 2 4 6 3 2 3 2 2" xfId="14340"/>
    <cellStyle name="Calculation 2 4 6 3 2 3 3" xfId="10920"/>
    <cellStyle name="Calculation 2 4 6 3 2 4" xfId="5220"/>
    <cellStyle name="Calculation 2 4 6 3 2 4 2" xfId="12060"/>
    <cellStyle name="Calculation 2 4 6 3 2 5" xfId="8640"/>
    <cellStyle name="Calculation 2 4 6 3 3" xfId="2339"/>
    <cellStyle name="Calculation 2 4 6 3 3 2" xfId="5759"/>
    <cellStyle name="Calculation 2 4 6 3 3 2 2" xfId="12599"/>
    <cellStyle name="Calculation 2 4 6 3 3 3" xfId="9179"/>
    <cellStyle name="Calculation 2 4 6 3 4" xfId="3479"/>
    <cellStyle name="Calculation 2 4 6 3 4 2" xfId="6899"/>
    <cellStyle name="Calculation 2 4 6 3 4 2 2" xfId="13739"/>
    <cellStyle name="Calculation 2 4 6 3 4 3" xfId="10319"/>
    <cellStyle name="Calculation 2 4 6 3 5" xfId="4619"/>
    <cellStyle name="Calculation 2 4 6 3 5 2" xfId="11459"/>
    <cellStyle name="Calculation 2 4 6 3 6" xfId="8039"/>
    <cellStyle name="Calculation 2 4 6 3 7" xfId="61780"/>
    <cellStyle name="Calculation 2 4 6 3 8" xfId="62259"/>
    <cellStyle name="Calculation 2 4 6 4" xfId="19581"/>
    <cellStyle name="Calculation 2 4 6 5" xfId="27902"/>
    <cellStyle name="Calculation 2 4 6 6" xfId="35047"/>
    <cellStyle name="Calculation 2 4 6 7" xfId="51788"/>
    <cellStyle name="Calculation 2 4 6 8" xfId="51789"/>
    <cellStyle name="Calculation 2 4 6 9" xfId="60702"/>
    <cellStyle name="Calculation 2 4 7" xfId="1120"/>
    <cellStyle name="Calculation 2 4 7 10" xfId="61482"/>
    <cellStyle name="Calculation 2 4 7 11" xfId="62042"/>
    <cellStyle name="Calculation 2 4 7 2" xfId="1765"/>
    <cellStyle name="Calculation 2 4 7 2 2" xfId="2905"/>
    <cellStyle name="Calculation 2 4 7 2 2 2" xfId="6325"/>
    <cellStyle name="Calculation 2 4 7 2 2 2 2" xfId="13165"/>
    <cellStyle name="Calculation 2 4 7 2 2 3" xfId="9745"/>
    <cellStyle name="Calculation 2 4 7 2 3" xfId="4045"/>
    <cellStyle name="Calculation 2 4 7 2 3 2" xfId="7465"/>
    <cellStyle name="Calculation 2 4 7 2 3 2 2" xfId="14305"/>
    <cellStyle name="Calculation 2 4 7 2 3 3" xfId="10885"/>
    <cellStyle name="Calculation 2 4 7 2 4" xfId="5185"/>
    <cellStyle name="Calculation 2 4 7 2 4 2" xfId="12025"/>
    <cellStyle name="Calculation 2 4 7 2 5" xfId="8605"/>
    <cellStyle name="Calculation 2 4 7 3" xfId="1934"/>
    <cellStyle name="Calculation 2 4 7 3 2" xfId="5354"/>
    <cellStyle name="Calculation 2 4 7 3 2 2" xfId="12194"/>
    <cellStyle name="Calculation 2 4 7 3 3" xfId="8774"/>
    <cellStyle name="Calculation 2 4 7 4" xfId="3074"/>
    <cellStyle name="Calculation 2 4 7 4 2" xfId="6494"/>
    <cellStyle name="Calculation 2 4 7 4 2 2" xfId="13334"/>
    <cellStyle name="Calculation 2 4 7 4 3" xfId="9914"/>
    <cellStyle name="Calculation 2 4 7 5" xfId="4214"/>
    <cellStyle name="Calculation 2 4 7 5 2" xfId="11054"/>
    <cellStyle name="Calculation 2 4 7 6" xfId="7634"/>
    <cellStyle name="Calculation 2 4 7 7" xfId="20539"/>
    <cellStyle name="Calculation 2 4 7 8" xfId="28861"/>
    <cellStyle name="Calculation 2 4 7 9" xfId="35964"/>
    <cellStyle name="Calculation 2 4 8" xfId="21168"/>
    <cellStyle name="Calculation 2 4 8 2" xfId="29480"/>
    <cellStyle name="Calculation 2 4 8 2 2" xfId="51790"/>
    <cellStyle name="Calculation 2 4 8 2 3" xfId="51791"/>
    <cellStyle name="Calculation 2 4 8 3" xfId="36552"/>
    <cellStyle name="Calculation 2 4 8 4" xfId="51792"/>
    <cellStyle name="Calculation 2 4 9" xfId="21974"/>
    <cellStyle name="Calculation 2 4 9 2" xfId="30275"/>
    <cellStyle name="Calculation 2 4 9 2 2" xfId="51793"/>
    <cellStyle name="Calculation 2 4 9 2 3" xfId="51794"/>
    <cellStyle name="Calculation 2 4 9 3" xfId="37315"/>
    <cellStyle name="Calculation 2 4 9 4" xfId="51795"/>
    <cellStyle name="Calculation 2 5" xfId="131"/>
    <cellStyle name="Calculation 2 5 10" xfId="14592"/>
    <cellStyle name="Calculation 2 5 11" xfId="22952"/>
    <cellStyle name="Calculation 2 5 12" xfId="51796"/>
    <cellStyle name="Calculation 2 5 13" xfId="51797"/>
    <cellStyle name="Calculation 2 5 14" xfId="51798"/>
    <cellStyle name="Calculation 2 5 15" xfId="60704"/>
    <cellStyle name="Calculation 2 5 16" xfId="60816"/>
    <cellStyle name="Calculation 2 5 2" xfId="257"/>
    <cellStyle name="Calculation 2 5 2 10" xfId="60940"/>
    <cellStyle name="Calculation 2 5 2 2" xfId="667"/>
    <cellStyle name="Calculation 2 5 2 2 2" xfId="1618"/>
    <cellStyle name="Calculation 2 5 2 2 2 2" xfId="789"/>
    <cellStyle name="Calculation 2 5 2 2 2 2 2" xfId="2730"/>
    <cellStyle name="Calculation 2 5 2 2 2 2 2 2" xfId="6150"/>
    <cellStyle name="Calculation 2 5 2 2 2 2 2 2 2" xfId="12990"/>
    <cellStyle name="Calculation 2 5 2 2 2 2 2 3" xfId="9570"/>
    <cellStyle name="Calculation 2 5 2 2 2 2 3" xfId="3870"/>
    <cellStyle name="Calculation 2 5 2 2 2 2 3 2" xfId="7290"/>
    <cellStyle name="Calculation 2 5 2 2 2 2 3 2 2" xfId="14130"/>
    <cellStyle name="Calculation 2 5 2 2 2 2 3 3" xfId="10710"/>
    <cellStyle name="Calculation 2 5 2 2 2 2 4" xfId="5010"/>
    <cellStyle name="Calculation 2 5 2 2 2 2 4 2" xfId="11850"/>
    <cellStyle name="Calculation 2 5 2 2 2 2 5" xfId="8430"/>
    <cellStyle name="Calculation 2 5 2 2 2 3" xfId="2452"/>
    <cellStyle name="Calculation 2 5 2 2 2 3 2" xfId="5872"/>
    <cellStyle name="Calculation 2 5 2 2 2 3 2 2" xfId="12712"/>
    <cellStyle name="Calculation 2 5 2 2 2 3 3" xfId="9292"/>
    <cellStyle name="Calculation 2 5 2 2 2 4" xfId="3592"/>
    <cellStyle name="Calculation 2 5 2 2 2 4 2" xfId="7012"/>
    <cellStyle name="Calculation 2 5 2 2 2 4 2 2" xfId="13852"/>
    <cellStyle name="Calculation 2 5 2 2 2 4 3" xfId="10432"/>
    <cellStyle name="Calculation 2 5 2 2 2 5" xfId="4732"/>
    <cellStyle name="Calculation 2 5 2 2 2 5 2" xfId="11572"/>
    <cellStyle name="Calculation 2 5 2 2 2 6" xfId="8152"/>
    <cellStyle name="Calculation 2 5 2 2 2 7" xfId="61777"/>
    <cellStyle name="Calculation 2 5 2 2 2 8" xfId="62256"/>
    <cellStyle name="Calculation 2 5 2 2 3" xfId="38511"/>
    <cellStyle name="Calculation 2 5 2 2 4" xfId="51799"/>
    <cellStyle name="Calculation 2 5 2 2 5" xfId="51800"/>
    <cellStyle name="Calculation 2 5 2 2 6" xfId="51801"/>
    <cellStyle name="Calculation 2 5 2 2 7" xfId="51802"/>
    <cellStyle name="Calculation 2 5 2 2 8" xfId="60706"/>
    <cellStyle name="Calculation 2 5 2 2 9" xfId="61242"/>
    <cellStyle name="Calculation 2 5 2 3" xfId="1264"/>
    <cellStyle name="Calculation 2 5 2 3 2" xfId="1874"/>
    <cellStyle name="Calculation 2 5 2 3 2 2" xfId="3014"/>
    <cellStyle name="Calculation 2 5 2 3 2 2 2" xfId="6434"/>
    <cellStyle name="Calculation 2 5 2 3 2 2 2 2" xfId="13274"/>
    <cellStyle name="Calculation 2 5 2 3 2 2 3" xfId="9854"/>
    <cellStyle name="Calculation 2 5 2 3 2 3" xfId="4154"/>
    <cellStyle name="Calculation 2 5 2 3 2 3 2" xfId="7574"/>
    <cellStyle name="Calculation 2 5 2 3 2 3 2 2" xfId="14414"/>
    <cellStyle name="Calculation 2 5 2 3 2 3 3" xfId="10994"/>
    <cellStyle name="Calculation 2 5 2 3 2 4" xfId="5294"/>
    <cellStyle name="Calculation 2 5 2 3 2 4 2" xfId="12134"/>
    <cellStyle name="Calculation 2 5 2 3 2 5" xfId="8714"/>
    <cellStyle name="Calculation 2 5 2 3 3" xfId="2084"/>
    <cellStyle name="Calculation 2 5 2 3 3 2" xfId="5504"/>
    <cellStyle name="Calculation 2 5 2 3 3 2 2" xfId="12344"/>
    <cellStyle name="Calculation 2 5 2 3 3 3" xfId="8924"/>
    <cellStyle name="Calculation 2 5 2 3 4" xfId="3224"/>
    <cellStyle name="Calculation 2 5 2 3 4 2" xfId="6644"/>
    <cellStyle name="Calculation 2 5 2 3 4 2 2" xfId="13484"/>
    <cellStyle name="Calculation 2 5 2 3 4 3" xfId="10064"/>
    <cellStyle name="Calculation 2 5 2 3 5" xfId="4364"/>
    <cellStyle name="Calculation 2 5 2 3 5 2" xfId="11204"/>
    <cellStyle name="Calculation 2 5 2 3 6" xfId="7784"/>
    <cellStyle name="Calculation 2 5 2 3 7" xfId="61778"/>
    <cellStyle name="Calculation 2 5 2 3 8" xfId="62257"/>
    <cellStyle name="Calculation 2 5 2 4" xfId="15672"/>
    <cellStyle name="Calculation 2 5 2 5" xfId="23987"/>
    <cellStyle name="Calculation 2 5 2 6" xfId="31283"/>
    <cellStyle name="Calculation 2 5 2 7" xfId="51803"/>
    <cellStyle name="Calculation 2 5 2 8" xfId="51804"/>
    <cellStyle name="Calculation 2 5 2 9" xfId="60705"/>
    <cellStyle name="Calculation 2 5 3" xfId="579"/>
    <cellStyle name="Calculation 2 5 3 10" xfId="61243"/>
    <cellStyle name="Calculation 2 5 3 2" xfId="1566"/>
    <cellStyle name="Calculation 2 5 3 2 2" xfId="827"/>
    <cellStyle name="Calculation 2 5 3 2 2 2" xfId="2779"/>
    <cellStyle name="Calculation 2 5 3 2 2 2 2" xfId="6199"/>
    <cellStyle name="Calculation 2 5 3 2 2 2 2 2" xfId="13039"/>
    <cellStyle name="Calculation 2 5 3 2 2 2 3" xfId="9619"/>
    <cellStyle name="Calculation 2 5 3 2 2 3" xfId="3919"/>
    <cellStyle name="Calculation 2 5 3 2 2 3 2" xfId="7339"/>
    <cellStyle name="Calculation 2 5 3 2 2 3 2 2" xfId="14179"/>
    <cellStyle name="Calculation 2 5 3 2 2 3 3" xfId="10759"/>
    <cellStyle name="Calculation 2 5 3 2 2 4" xfId="5059"/>
    <cellStyle name="Calculation 2 5 3 2 2 4 2" xfId="11899"/>
    <cellStyle name="Calculation 2 5 3 2 2 5" xfId="8479"/>
    <cellStyle name="Calculation 2 5 3 2 3" xfId="2391"/>
    <cellStyle name="Calculation 2 5 3 2 3 2" xfId="5811"/>
    <cellStyle name="Calculation 2 5 3 2 3 2 2" xfId="12651"/>
    <cellStyle name="Calculation 2 5 3 2 3 3" xfId="9231"/>
    <cellStyle name="Calculation 2 5 3 2 4" xfId="3531"/>
    <cellStyle name="Calculation 2 5 3 2 4 2" xfId="6951"/>
    <cellStyle name="Calculation 2 5 3 2 4 2 2" xfId="13791"/>
    <cellStyle name="Calculation 2 5 3 2 4 3" xfId="10371"/>
    <cellStyle name="Calculation 2 5 3 2 5" xfId="4671"/>
    <cellStyle name="Calculation 2 5 3 2 5 2" xfId="11511"/>
    <cellStyle name="Calculation 2 5 3 2 6" xfId="8091"/>
    <cellStyle name="Calculation 2 5 3 2 7" xfId="61776"/>
    <cellStyle name="Calculation 2 5 3 2 8" xfId="62255"/>
    <cellStyle name="Calculation 2 5 3 3" xfId="16639"/>
    <cellStyle name="Calculation 2 5 3 4" xfId="24958"/>
    <cellStyle name="Calculation 2 5 3 5" xfId="32216"/>
    <cellStyle name="Calculation 2 5 3 6" xfId="51805"/>
    <cellStyle name="Calculation 2 5 3 7" xfId="51806"/>
    <cellStyle name="Calculation 2 5 3 8" xfId="51807"/>
    <cellStyle name="Calculation 2 5 3 9" xfId="60707"/>
    <cellStyle name="Calculation 2 5 4" xfId="1140"/>
    <cellStyle name="Calculation 2 5 4 10" xfId="61835"/>
    <cellStyle name="Calculation 2 5 4 11" xfId="62310"/>
    <cellStyle name="Calculation 2 5 4 2" xfId="1058"/>
    <cellStyle name="Calculation 2 5 4 2 2" xfId="2691"/>
    <cellStyle name="Calculation 2 5 4 2 2 2" xfId="6111"/>
    <cellStyle name="Calculation 2 5 4 2 2 2 2" xfId="12951"/>
    <cellStyle name="Calculation 2 5 4 2 2 3" xfId="9531"/>
    <cellStyle name="Calculation 2 5 4 2 3" xfId="3831"/>
    <cellStyle name="Calculation 2 5 4 2 3 2" xfId="7251"/>
    <cellStyle name="Calculation 2 5 4 2 3 2 2" xfId="14091"/>
    <cellStyle name="Calculation 2 5 4 2 3 3" xfId="10671"/>
    <cellStyle name="Calculation 2 5 4 2 4" xfId="4971"/>
    <cellStyle name="Calculation 2 5 4 2 4 2" xfId="11811"/>
    <cellStyle name="Calculation 2 5 4 2 5" xfId="8391"/>
    <cellStyle name="Calculation 2 5 4 3" xfId="1959"/>
    <cellStyle name="Calculation 2 5 4 3 2" xfId="5379"/>
    <cellStyle name="Calculation 2 5 4 3 2 2" xfId="12219"/>
    <cellStyle name="Calculation 2 5 4 3 3" xfId="8799"/>
    <cellStyle name="Calculation 2 5 4 4" xfId="3099"/>
    <cellStyle name="Calculation 2 5 4 4 2" xfId="6519"/>
    <cellStyle name="Calculation 2 5 4 4 2 2" xfId="13359"/>
    <cellStyle name="Calculation 2 5 4 4 3" xfId="9939"/>
    <cellStyle name="Calculation 2 5 4 5" xfId="4239"/>
    <cellStyle name="Calculation 2 5 4 5 2" xfId="11079"/>
    <cellStyle name="Calculation 2 5 4 6" xfId="7659"/>
    <cellStyle name="Calculation 2 5 4 7" xfId="17660"/>
    <cellStyle name="Calculation 2 5 4 8" xfId="25984"/>
    <cellStyle name="Calculation 2 5 4 9" xfId="33193"/>
    <cellStyle name="Calculation 2 5 5" xfId="18643"/>
    <cellStyle name="Calculation 2 5 5 2" xfId="26964"/>
    <cellStyle name="Calculation 2 5 5 2 2" xfId="51808"/>
    <cellStyle name="Calculation 2 5 5 2 3" xfId="51809"/>
    <cellStyle name="Calculation 2 5 5 3" xfId="34131"/>
    <cellStyle name="Calculation 2 5 5 4" xfId="51810"/>
    <cellStyle name="Calculation 2 5 6" xfId="19612"/>
    <cellStyle name="Calculation 2 5 6 2" xfId="27933"/>
    <cellStyle name="Calculation 2 5 6 2 2" xfId="51811"/>
    <cellStyle name="Calculation 2 5 6 2 3" xfId="51812"/>
    <cellStyle name="Calculation 2 5 6 3" xfId="35077"/>
    <cellStyle name="Calculation 2 5 6 4" xfId="51813"/>
    <cellStyle name="Calculation 2 5 7" xfId="20569"/>
    <cellStyle name="Calculation 2 5 7 2" xfId="28891"/>
    <cellStyle name="Calculation 2 5 7 2 2" xfId="51814"/>
    <cellStyle name="Calculation 2 5 7 2 3" xfId="51815"/>
    <cellStyle name="Calculation 2 5 7 3" xfId="35993"/>
    <cellStyle name="Calculation 2 5 7 4" xfId="51816"/>
    <cellStyle name="Calculation 2 5 8" xfId="21374"/>
    <cellStyle name="Calculation 2 5 8 2" xfId="29677"/>
    <cellStyle name="Calculation 2 5 8 2 2" xfId="51817"/>
    <cellStyle name="Calculation 2 5 8 2 3" xfId="51818"/>
    <cellStyle name="Calculation 2 5 8 3" xfId="36741"/>
    <cellStyle name="Calculation 2 5 8 4" xfId="51819"/>
    <cellStyle name="Calculation 2 5 9" xfId="22006"/>
    <cellStyle name="Calculation 2 5 9 2" xfId="30305"/>
    <cellStyle name="Calculation 2 5 9 2 2" xfId="51820"/>
    <cellStyle name="Calculation 2 5 9 2 3" xfId="51821"/>
    <cellStyle name="Calculation 2 5 9 3" xfId="37344"/>
    <cellStyle name="Calculation 2 5 9 4" xfId="51822"/>
    <cellStyle name="Calculation 2 6" xfId="299"/>
    <cellStyle name="Calculation 2 6 10" xfId="14568"/>
    <cellStyle name="Calculation 2 6 11" xfId="22923"/>
    <cellStyle name="Calculation 2 6 12" xfId="51823"/>
    <cellStyle name="Calculation 2 6 13" xfId="51824"/>
    <cellStyle name="Calculation 2 6 14" xfId="51825"/>
    <cellStyle name="Calculation 2 6 15" xfId="60708"/>
    <cellStyle name="Calculation 2 6 16" xfId="60981"/>
    <cellStyle name="Calculation 2 6 2" xfId="174"/>
    <cellStyle name="Calculation 2 6 2 10" xfId="60858"/>
    <cellStyle name="Calculation 2 6 2 2" xfId="1182"/>
    <cellStyle name="Calculation 2 6 2 2 2" xfId="1037"/>
    <cellStyle name="Calculation 2 6 2 2 2 2" xfId="2755"/>
    <cellStyle name="Calculation 2 6 2 2 2 2 2" xfId="6175"/>
    <cellStyle name="Calculation 2 6 2 2 2 2 2 2" xfId="13015"/>
    <cellStyle name="Calculation 2 6 2 2 2 2 3" xfId="9595"/>
    <cellStyle name="Calculation 2 6 2 2 2 3" xfId="3895"/>
    <cellStyle name="Calculation 2 6 2 2 2 3 2" xfId="7315"/>
    <cellStyle name="Calculation 2 6 2 2 2 3 2 2" xfId="14155"/>
    <cellStyle name="Calculation 2 6 2 2 2 3 3" xfId="10735"/>
    <cellStyle name="Calculation 2 6 2 2 2 4" xfId="5035"/>
    <cellStyle name="Calculation 2 6 2 2 2 4 2" xfId="11875"/>
    <cellStyle name="Calculation 2 6 2 2 2 5" xfId="8455"/>
    <cellStyle name="Calculation 2 6 2 2 3" xfId="2001"/>
    <cellStyle name="Calculation 2 6 2 2 3 2" xfId="5421"/>
    <cellStyle name="Calculation 2 6 2 2 3 2 2" xfId="12261"/>
    <cellStyle name="Calculation 2 6 2 2 3 3" xfId="8841"/>
    <cellStyle name="Calculation 2 6 2 2 4" xfId="3141"/>
    <cellStyle name="Calculation 2 6 2 2 4 2" xfId="6561"/>
    <cellStyle name="Calculation 2 6 2 2 4 2 2" xfId="13401"/>
    <cellStyle name="Calculation 2 6 2 2 4 3" xfId="9981"/>
    <cellStyle name="Calculation 2 6 2 2 5" xfId="4281"/>
    <cellStyle name="Calculation 2 6 2 2 5 2" xfId="11121"/>
    <cellStyle name="Calculation 2 6 2 2 6" xfId="7701"/>
    <cellStyle name="Calculation 2 6 2 2 7" xfId="61774"/>
    <cellStyle name="Calculation 2 6 2 2 8" xfId="62253"/>
    <cellStyle name="Calculation 2 6 2 3" xfId="15647"/>
    <cellStyle name="Calculation 2 6 2 4" xfId="23959"/>
    <cellStyle name="Calculation 2 6 2 5" xfId="31256"/>
    <cellStyle name="Calculation 2 6 2 6" xfId="51826"/>
    <cellStyle name="Calculation 2 6 2 7" xfId="51827"/>
    <cellStyle name="Calculation 2 6 2 8" xfId="51828"/>
    <cellStyle name="Calculation 2 6 2 9" xfId="60709"/>
    <cellStyle name="Calculation 2 6 3" xfId="1305"/>
    <cellStyle name="Calculation 2 6 3 10" xfId="61775"/>
    <cellStyle name="Calculation 2 6 3 11" xfId="62254"/>
    <cellStyle name="Calculation 2 6 3 2" xfId="976"/>
    <cellStyle name="Calculation 2 6 3 2 2" xfId="2564"/>
    <cellStyle name="Calculation 2 6 3 2 2 2" xfId="5984"/>
    <cellStyle name="Calculation 2 6 3 2 2 2 2" xfId="12824"/>
    <cellStyle name="Calculation 2 6 3 2 2 3" xfId="9404"/>
    <cellStyle name="Calculation 2 6 3 2 3" xfId="3704"/>
    <cellStyle name="Calculation 2 6 3 2 3 2" xfId="7124"/>
    <cellStyle name="Calculation 2 6 3 2 3 2 2" xfId="13964"/>
    <cellStyle name="Calculation 2 6 3 2 3 3" xfId="10544"/>
    <cellStyle name="Calculation 2 6 3 2 4" xfId="4844"/>
    <cellStyle name="Calculation 2 6 3 2 4 2" xfId="11684"/>
    <cellStyle name="Calculation 2 6 3 2 5" xfId="8264"/>
    <cellStyle name="Calculation 2 6 3 3" xfId="2125"/>
    <cellStyle name="Calculation 2 6 3 3 2" xfId="5545"/>
    <cellStyle name="Calculation 2 6 3 3 2 2" xfId="12385"/>
    <cellStyle name="Calculation 2 6 3 3 3" xfId="8965"/>
    <cellStyle name="Calculation 2 6 3 4" xfId="3265"/>
    <cellStyle name="Calculation 2 6 3 4 2" xfId="6685"/>
    <cellStyle name="Calculation 2 6 3 4 2 2" xfId="13525"/>
    <cellStyle name="Calculation 2 6 3 4 3" xfId="10105"/>
    <cellStyle name="Calculation 2 6 3 5" xfId="4405"/>
    <cellStyle name="Calculation 2 6 3 5 2" xfId="11245"/>
    <cellStyle name="Calculation 2 6 3 6" xfId="7825"/>
    <cellStyle name="Calculation 2 6 3 7" xfId="16614"/>
    <cellStyle name="Calculation 2 6 3 8" xfId="24930"/>
    <cellStyle name="Calculation 2 6 3 9" xfId="32189"/>
    <cellStyle name="Calculation 2 6 4" xfId="17634"/>
    <cellStyle name="Calculation 2 6 4 2" xfId="25956"/>
    <cellStyle name="Calculation 2 6 4 2 2" xfId="51829"/>
    <cellStyle name="Calculation 2 6 4 2 3" xfId="51830"/>
    <cellStyle name="Calculation 2 6 4 3" xfId="33166"/>
    <cellStyle name="Calculation 2 6 4 4" xfId="51831"/>
    <cellStyle name="Calculation 2 6 5" xfId="18616"/>
    <cellStyle name="Calculation 2 6 5 2" xfId="26935"/>
    <cellStyle name="Calculation 2 6 5 2 2" xfId="51832"/>
    <cellStyle name="Calculation 2 6 5 2 3" xfId="51833"/>
    <cellStyle name="Calculation 2 6 5 3" xfId="34103"/>
    <cellStyle name="Calculation 2 6 5 4" xfId="51834"/>
    <cellStyle name="Calculation 2 6 6" xfId="19584"/>
    <cellStyle name="Calculation 2 6 6 2" xfId="27904"/>
    <cellStyle name="Calculation 2 6 6 2 2" xfId="51835"/>
    <cellStyle name="Calculation 2 6 6 2 3" xfId="51836"/>
    <cellStyle name="Calculation 2 6 6 3" xfId="35049"/>
    <cellStyle name="Calculation 2 6 6 4" xfId="51837"/>
    <cellStyle name="Calculation 2 6 7" xfId="20542"/>
    <cellStyle name="Calculation 2 6 7 2" xfId="28863"/>
    <cellStyle name="Calculation 2 6 7 2 2" xfId="51838"/>
    <cellStyle name="Calculation 2 6 7 2 3" xfId="51839"/>
    <cellStyle name="Calculation 2 6 7 3" xfId="35966"/>
    <cellStyle name="Calculation 2 6 7 4" xfId="51840"/>
    <cellStyle name="Calculation 2 6 8" xfId="21082"/>
    <cellStyle name="Calculation 2 6 8 2" xfId="29399"/>
    <cellStyle name="Calculation 2 6 8 2 2" xfId="51841"/>
    <cellStyle name="Calculation 2 6 8 2 3" xfId="51842"/>
    <cellStyle name="Calculation 2 6 8 3" xfId="36475"/>
    <cellStyle name="Calculation 2 6 8 4" xfId="51843"/>
    <cellStyle name="Calculation 2 6 9" xfId="21977"/>
    <cellStyle name="Calculation 2 6 9 2" xfId="30277"/>
    <cellStyle name="Calculation 2 6 9 2 2" xfId="51844"/>
    <cellStyle name="Calculation 2 6 9 2 3" xfId="51845"/>
    <cellStyle name="Calculation 2 6 9 3" xfId="37317"/>
    <cellStyle name="Calculation 2 6 9 4" xfId="51846"/>
    <cellStyle name="Calculation 2 7" xfId="188"/>
    <cellStyle name="Calculation 2 7 10" xfId="14685"/>
    <cellStyle name="Calculation 2 7 11" xfId="23048"/>
    <cellStyle name="Calculation 2 7 12" xfId="51847"/>
    <cellStyle name="Calculation 2 7 13" xfId="51848"/>
    <cellStyle name="Calculation 2 7 14" xfId="51849"/>
    <cellStyle name="Calculation 2 7 15" xfId="60710"/>
    <cellStyle name="Calculation 2 7 16" xfId="60872"/>
    <cellStyle name="Calculation 2 7 2" xfId="256"/>
    <cellStyle name="Calculation 2 7 2 10" xfId="60939"/>
    <cellStyle name="Calculation 2 7 2 2" xfId="1263"/>
    <cellStyle name="Calculation 2 7 2 2 2" xfId="1742"/>
    <cellStyle name="Calculation 2 7 2 2 2 2" xfId="2882"/>
    <cellStyle name="Calculation 2 7 2 2 2 2 2" xfId="6302"/>
    <cellStyle name="Calculation 2 7 2 2 2 2 2 2" xfId="13142"/>
    <cellStyle name="Calculation 2 7 2 2 2 2 3" xfId="9722"/>
    <cellStyle name="Calculation 2 7 2 2 2 3" xfId="4022"/>
    <cellStyle name="Calculation 2 7 2 2 2 3 2" xfId="7442"/>
    <cellStyle name="Calculation 2 7 2 2 2 3 2 2" xfId="14282"/>
    <cellStyle name="Calculation 2 7 2 2 2 3 3" xfId="10862"/>
    <cellStyle name="Calculation 2 7 2 2 2 4" xfId="5162"/>
    <cellStyle name="Calculation 2 7 2 2 2 4 2" xfId="12002"/>
    <cellStyle name="Calculation 2 7 2 2 2 5" xfId="8582"/>
    <cellStyle name="Calculation 2 7 2 2 3" xfId="2083"/>
    <cellStyle name="Calculation 2 7 2 2 3 2" xfId="5503"/>
    <cellStyle name="Calculation 2 7 2 2 3 2 2" xfId="12343"/>
    <cellStyle name="Calculation 2 7 2 2 3 3" xfId="8923"/>
    <cellStyle name="Calculation 2 7 2 2 4" xfId="3223"/>
    <cellStyle name="Calculation 2 7 2 2 4 2" xfId="6643"/>
    <cellStyle name="Calculation 2 7 2 2 4 2 2" xfId="13483"/>
    <cellStyle name="Calculation 2 7 2 2 4 3" xfId="10063"/>
    <cellStyle name="Calculation 2 7 2 2 5" xfId="4363"/>
    <cellStyle name="Calculation 2 7 2 2 5 2" xfId="11203"/>
    <cellStyle name="Calculation 2 7 2 2 6" xfId="7783"/>
    <cellStyle name="Calculation 2 7 2 2 7" xfId="61772"/>
    <cellStyle name="Calculation 2 7 2 2 8" xfId="62251"/>
    <cellStyle name="Calculation 2 7 2 3" xfId="15766"/>
    <cellStyle name="Calculation 2 7 2 4" xfId="24083"/>
    <cellStyle name="Calculation 2 7 2 5" xfId="31374"/>
    <cellStyle name="Calculation 2 7 2 6" xfId="51850"/>
    <cellStyle name="Calculation 2 7 2 7" xfId="51851"/>
    <cellStyle name="Calculation 2 7 2 8" xfId="51852"/>
    <cellStyle name="Calculation 2 7 2 9" xfId="60711"/>
    <cellStyle name="Calculation 2 7 3" xfId="1196"/>
    <cellStyle name="Calculation 2 7 3 10" xfId="61773"/>
    <cellStyle name="Calculation 2 7 3 11" xfId="62252"/>
    <cellStyle name="Calculation 2 7 3 2" xfId="1029"/>
    <cellStyle name="Calculation 2 7 3 2 2" xfId="2680"/>
    <cellStyle name="Calculation 2 7 3 2 2 2" xfId="6100"/>
    <cellStyle name="Calculation 2 7 3 2 2 2 2" xfId="12940"/>
    <cellStyle name="Calculation 2 7 3 2 2 3" xfId="9520"/>
    <cellStyle name="Calculation 2 7 3 2 3" xfId="3820"/>
    <cellStyle name="Calculation 2 7 3 2 3 2" xfId="7240"/>
    <cellStyle name="Calculation 2 7 3 2 3 2 2" xfId="14080"/>
    <cellStyle name="Calculation 2 7 3 2 3 3" xfId="10660"/>
    <cellStyle name="Calculation 2 7 3 2 4" xfId="4960"/>
    <cellStyle name="Calculation 2 7 3 2 4 2" xfId="11800"/>
    <cellStyle name="Calculation 2 7 3 2 5" xfId="8380"/>
    <cellStyle name="Calculation 2 7 3 3" xfId="2015"/>
    <cellStyle name="Calculation 2 7 3 3 2" xfId="5435"/>
    <cellStyle name="Calculation 2 7 3 3 2 2" xfId="12275"/>
    <cellStyle name="Calculation 2 7 3 3 3" xfId="8855"/>
    <cellStyle name="Calculation 2 7 3 4" xfId="3155"/>
    <cellStyle name="Calculation 2 7 3 4 2" xfId="6575"/>
    <cellStyle name="Calculation 2 7 3 4 2 2" xfId="13415"/>
    <cellStyle name="Calculation 2 7 3 4 3" xfId="9995"/>
    <cellStyle name="Calculation 2 7 3 5" xfId="4295"/>
    <cellStyle name="Calculation 2 7 3 5 2" xfId="11135"/>
    <cellStyle name="Calculation 2 7 3 6" xfId="7715"/>
    <cellStyle name="Calculation 2 7 3 7" xfId="16732"/>
    <cellStyle name="Calculation 2 7 3 8" xfId="25054"/>
    <cellStyle name="Calculation 2 7 3 9" xfId="32307"/>
    <cellStyle name="Calculation 2 7 4" xfId="17756"/>
    <cellStyle name="Calculation 2 7 4 2" xfId="26080"/>
    <cellStyle name="Calculation 2 7 4 2 2" xfId="51853"/>
    <cellStyle name="Calculation 2 7 4 2 3" xfId="51854"/>
    <cellStyle name="Calculation 2 7 4 3" xfId="33284"/>
    <cellStyle name="Calculation 2 7 4 4" xfId="51855"/>
    <cellStyle name="Calculation 2 7 5" xfId="18740"/>
    <cellStyle name="Calculation 2 7 5 2" xfId="27061"/>
    <cellStyle name="Calculation 2 7 5 2 2" xfId="51856"/>
    <cellStyle name="Calculation 2 7 5 2 3" xfId="51857"/>
    <cellStyle name="Calculation 2 7 5 3" xfId="34223"/>
    <cellStyle name="Calculation 2 7 5 4" xfId="51858"/>
    <cellStyle name="Calculation 2 7 6" xfId="19709"/>
    <cellStyle name="Calculation 2 7 6 2" xfId="28030"/>
    <cellStyle name="Calculation 2 7 6 2 2" xfId="51859"/>
    <cellStyle name="Calculation 2 7 6 2 3" xfId="51860"/>
    <cellStyle name="Calculation 2 7 6 3" xfId="35169"/>
    <cellStyle name="Calculation 2 7 6 4" xfId="51861"/>
    <cellStyle name="Calculation 2 7 7" xfId="20666"/>
    <cellStyle name="Calculation 2 7 7 2" xfId="28987"/>
    <cellStyle name="Calculation 2 7 7 2 2" xfId="51862"/>
    <cellStyle name="Calculation 2 7 7 2 3" xfId="51863"/>
    <cellStyle name="Calculation 2 7 7 3" xfId="36084"/>
    <cellStyle name="Calculation 2 7 7 4" xfId="51864"/>
    <cellStyle name="Calculation 2 7 8" xfId="21141"/>
    <cellStyle name="Calculation 2 7 8 2" xfId="29453"/>
    <cellStyle name="Calculation 2 7 8 2 2" xfId="51865"/>
    <cellStyle name="Calculation 2 7 8 2 3" xfId="51866"/>
    <cellStyle name="Calculation 2 7 8 3" xfId="36525"/>
    <cellStyle name="Calculation 2 7 8 4" xfId="51867"/>
    <cellStyle name="Calculation 2 7 9" xfId="22103"/>
    <cellStyle name="Calculation 2 7 9 2" xfId="30401"/>
    <cellStyle name="Calculation 2 7 9 2 2" xfId="51868"/>
    <cellStyle name="Calculation 2 7 9 2 3" xfId="51869"/>
    <cellStyle name="Calculation 2 7 9 3" xfId="37435"/>
    <cellStyle name="Calculation 2 7 9 4" xfId="51870"/>
    <cellStyle name="Calculation 2 8" xfId="421"/>
    <cellStyle name="Calculation 2 8 10" xfId="14764"/>
    <cellStyle name="Calculation 2 8 11" xfId="23128"/>
    <cellStyle name="Calculation 2 8 12" xfId="51871"/>
    <cellStyle name="Calculation 2 8 13" xfId="51872"/>
    <cellStyle name="Calculation 2 8 14" xfId="51873"/>
    <cellStyle name="Calculation 2 8 15" xfId="51874"/>
    <cellStyle name="Calculation 2 8 16" xfId="60712"/>
    <cellStyle name="Calculation 2 8 17" xfId="61102"/>
    <cellStyle name="Calculation 2 8 2" xfId="192"/>
    <cellStyle name="Calculation 2 8 2 10" xfId="60876"/>
    <cellStyle name="Calculation 2 8 2 2" xfId="1200"/>
    <cellStyle name="Calculation 2 8 2 2 2" xfId="1027"/>
    <cellStyle name="Calculation 2 8 2 2 2 2" xfId="2515"/>
    <cellStyle name="Calculation 2 8 2 2 2 2 2" xfId="5935"/>
    <cellStyle name="Calculation 2 8 2 2 2 2 2 2" xfId="12775"/>
    <cellStyle name="Calculation 2 8 2 2 2 2 3" xfId="9355"/>
    <cellStyle name="Calculation 2 8 2 2 2 3" xfId="3655"/>
    <cellStyle name="Calculation 2 8 2 2 2 3 2" xfId="7075"/>
    <cellStyle name="Calculation 2 8 2 2 2 3 2 2" xfId="13915"/>
    <cellStyle name="Calculation 2 8 2 2 2 3 3" xfId="10495"/>
    <cellStyle name="Calculation 2 8 2 2 2 4" xfId="4795"/>
    <cellStyle name="Calculation 2 8 2 2 2 4 2" xfId="11635"/>
    <cellStyle name="Calculation 2 8 2 2 2 5" xfId="8215"/>
    <cellStyle name="Calculation 2 8 2 2 3" xfId="2019"/>
    <cellStyle name="Calculation 2 8 2 2 3 2" xfId="5439"/>
    <cellStyle name="Calculation 2 8 2 2 3 2 2" xfId="12279"/>
    <cellStyle name="Calculation 2 8 2 2 3 3" xfId="8859"/>
    <cellStyle name="Calculation 2 8 2 2 4" xfId="3159"/>
    <cellStyle name="Calculation 2 8 2 2 4 2" xfId="6579"/>
    <cellStyle name="Calculation 2 8 2 2 4 2 2" xfId="13419"/>
    <cellStyle name="Calculation 2 8 2 2 4 3" xfId="9999"/>
    <cellStyle name="Calculation 2 8 2 2 5" xfId="4299"/>
    <cellStyle name="Calculation 2 8 2 2 5 2" xfId="11139"/>
    <cellStyle name="Calculation 2 8 2 2 6" xfId="7719"/>
    <cellStyle name="Calculation 2 8 2 2 7" xfId="61770"/>
    <cellStyle name="Calculation 2 8 2 2 8" xfId="62249"/>
    <cellStyle name="Calculation 2 8 2 3" xfId="15845"/>
    <cellStyle name="Calculation 2 8 2 4" xfId="24163"/>
    <cellStyle name="Calculation 2 8 2 5" xfId="31451"/>
    <cellStyle name="Calculation 2 8 2 6" xfId="51875"/>
    <cellStyle name="Calculation 2 8 2 7" xfId="51876"/>
    <cellStyle name="Calculation 2 8 2 8" xfId="51877"/>
    <cellStyle name="Calculation 2 8 2 9" xfId="60713"/>
    <cellStyle name="Calculation 2 8 3" xfId="1426"/>
    <cellStyle name="Calculation 2 8 3 10" xfId="61771"/>
    <cellStyle name="Calculation 2 8 3 11" xfId="62250"/>
    <cellStyle name="Calculation 2 8 3 2" xfId="1787"/>
    <cellStyle name="Calculation 2 8 3 2 2" xfId="2927"/>
    <cellStyle name="Calculation 2 8 3 2 2 2" xfId="6347"/>
    <cellStyle name="Calculation 2 8 3 2 2 2 2" xfId="13187"/>
    <cellStyle name="Calculation 2 8 3 2 2 3" xfId="9767"/>
    <cellStyle name="Calculation 2 8 3 2 3" xfId="4067"/>
    <cellStyle name="Calculation 2 8 3 2 3 2" xfId="7487"/>
    <cellStyle name="Calculation 2 8 3 2 3 2 2" xfId="14327"/>
    <cellStyle name="Calculation 2 8 3 2 3 3" xfId="10907"/>
    <cellStyle name="Calculation 2 8 3 2 4" xfId="5207"/>
    <cellStyle name="Calculation 2 8 3 2 4 2" xfId="12047"/>
    <cellStyle name="Calculation 2 8 3 2 5" xfId="8627"/>
    <cellStyle name="Calculation 2 8 3 3" xfId="2247"/>
    <cellStyle name="Calculation 2 8 3 3 2" xfId="5667"/>
    <cellStyle name="Calculation 2 8 3 3 2 2" xfId="12507"/>
    <cellStyle name="Calculation 2 8 3 3 3" xfId="9087"/>
    <cellStyle name="Calculation 2 8 3 4" xfId="3387"/>
    <cellStyle name="Calculation 2 8 3 4 2" xfId="6807"/>
    <cellStyle name="Calculation 2 8 3 4 2 2" xfId="13647"/>
    <cellStyle name="Calculation 2 8 3 4 3" xfId="10227"/>
    <cellStyle name="Calculation 2 8 3 5" xfId="4527"/>
    <cellStyle name="Calculation 2 8 3 5 2" xfId="11367"/>
    <cellStyle name="Calculation 2 8 3 6" xfId="7947"/>
    <cellStyle name="Calculation 2 8 3 7" xfId="16811"/>
    <cellStyle name="Calculation 2 8 3 8" xfId="25135"/>
    <cellStyle name="Calculation 2 8 3 9" xfId="32384"/>
    <cellStyle name="Calculation 2 8 4" xfId="17837"/>
    <cellStyle name="Calculation 2 8 4 2" xfId="26161"/>
    <cellStyle name="Calculation 2 8 4 2 2" xfId="51878"/>
    <cellStyle name="Calculation 2 8 4 2 3" xfId="51879"/>
    <cellStyle name="Calculation 2 8 4 3" xfId="33361"/>
    <cellStyle name="Calculation 2 8 4 4" xfId="51880"/>
    <cellStyle name="Calculation 2 8 5" xfId="18821"/>
    <cellStyle name="Calculation 2 8 5 2" xfId="27142"/>
    <cellStyle name="Calculation 2 8 5 2 2" xfId="51881"/>
    <cellStyle name="Calculation 2 8 5 2 3" xfId="51882"/>
    <cellStyle name="Calculation 2 8 5 3" xfId="34301"/>
    <cellStyle name="Calculation 2 8 5 4" xfId="51883"/>
    <cellStyle name="Calculation 2 8 6" xfId="19789"/>
    <cellStyle name="Calculation 2 8 6 2" xfId="28111"/>
    <cellStyle name="Calculation 2 8 6 2 2" xfId="51884"/>
    <cellStyle name="Calculation 2 8 6 2 3" xfId="51885"/>
    <cellStyle name="Calculation 2 8 6 3" xfId="35247"/>
    <cellStyle name="Calculation 2 8 6 4" xfId="51886"/>
    <cellStyle name="Calculation 2 8 7" xfId="20747"/>
    <cellStyle name="Calculation 2 8 7 2" xfId="29068"/>
    <cellStyle name="Calculation 2 8 7 2 2" xfId="51887"/>
    <cellStyle name="Calculation 2 8 7 2 3" xfId="51888"/>
    <cellStyle name="Calculation 2 8 7 3" xfId="36160"/>
    <cellStyle name="Calculation 2 8 7 4" xfId="51889"/>
    <cellStyle name="Calculation 2 8 8" xfId="21266"/>
    <cellStyle name="Calculation 2 8 8 2" xfId="29574"/>
    <cellStyle name="Calculation 2 8 8 2 2" xfId="51890"/>
    <cellStyle name="Calculation 2 8 8 2 3" xfId="51891"/>
    <cellStyle name="Calculation 2 8 8 3" xfId="36641"/>
    <cellStyle name="Calculation 2 8 8 4" xfId="51892"/>
    <cellStyle name="Calculation 2 8 9" xfId="22183"/>
    <cellStyle name="Calculation 2 8 9 2" xfId="30481"/>
    <cellStyle name="Calculation 2 8 9 2 2" xfId="51893"/>
    <cellStyle name="Calculation 2 8 9 2 3" xfId="51894"/>
    <cellStyle name="Calculation 2 8 9 3" xfId="37512"/>
    <cellStyle name="Calculation 2 8 9 4" xfId="51895"/>
    <cellStyle name="Calculation 2 9" xfId="446"/>
    <cellStyle name="Calculation 2 9 10" xfId="14772"/>
    <cellStyle name="Calculation 2 9 11" xfId="23136"/>
    <cellStyle name="Calculation 2 9 12" xfId="51896"/>
    <cellStyle name="Calculation 2 9 13" xfId="51897"/>
    <cellStyle name="Calculation 2 9 14" xfId="51898"/>
    <cellStyle name="Calculation 2 9 15" xfId="51899"/>
    <cellStyle name="Calculation 2 9 16" xfId="60714"/>
    <cellStyle name="Calculation 2 9 17" xfId="61126"/>
    <cellStyle name="Calculation 2 9 2" xfId="473"/>
    <cellStyle name="Calculation 2 9 2 10" xfId="61153"/>
    <cellStyle name="Calculation 2 9 2 2" xfId="1477"/>
    <cellStyle name="Calculation 2 9 2 2 2" xfId="1735"/>
    <cellStyle name="Calculation 2 9 2 2 2 2" xfId="2875"/>
    <cellStyle name="Calculation 2 9 2 2 2 2 2" xfId="6295"/>
    <cellStyle name="Calculation 2 9 2 2 2 2 2 2" xfId="13135"/>
    <cellStyle name="Calculation 2 9 2 2 2 2 3" xfId="9715"/>
    <cellStyle name="Calculation 2 9 2 2 2 3" xfId="4015"/>
    <cellStyle name="Calculation 2 9 2 2 2 3 2" xfId="7435"/>
    <cellStyle name="Calculation 2 9 2 2 2 3 2 2" xfId="14275"/>
    <cellStyle name="Calculation 2 9 2 2 2 3 3" xfId="10855"/>
    <cellStyle name="Calculation 2 9 2 2 2 4" xfId="5155"/>
    <cellStyle name="Calculation 2 9 2 2 2 4 2" xfId="11995"/>
    <cellStyle name="Calculation 2 9 2 2 2 5" xfId="8575"/>
    <cellStyle name="Calculation 2 9 2 2 3" xfId="2298"/>
    <cellStyle name="Calculation 2 9 2 2 3 2" xfId="5718"/>
    <cellStyle name="Calculation 2 9 2 2 3 2 2" xfId="12558"/>
    <cellStyle name="Calculation 2 9 2 2 3 3" xfId="9138"/>
    <cellStyle name="Calculation 2 9 2 2 4" xfId="3438"/>
    <cellStyle name="Calculation 2 9 2 2 4 2" xfId="6858"/>
    <cellStyle name="Calculation 2 9 2 2 4 2 2" xfId="13698"/>
    <cellStyle name="Calculation 2 9 2 2 4 3" xfId="10278"/>
    <cellStyle name="Calculation 2 9 2 2 5" xfId="4578"/>
    <cellStyle name="Calculation 2 9 2 2 5 2" xfId="11418"/>
    <cellStyle name="Calculation 2 9 2 2 6" xfId="7998"/>
    <cellStyle name="Calculation 2 9 2 2 7" xfId="61768"/>
    <cellStyle name="Calculation 2 9 2 2 8" xfId="62247"/>
    <cellStyle name="Calculation 2 9 2 3" xfId="15853"/>
    <cellStyle name="Calculation 2 9 2 4" xfId="24171"/>
    <cellStyle name="Calculation 2 9 2 5" xfId="31459"/>
    <cellStyle name="Calculation 2 9 2 6" xfId="51900"/>
    <cellStyle name="Calculation 2 9 2 7" xfId="51901"/>
    <cellStyle name="Calculation 2 9 2 8" xfId="51902"/>
    <cellStyle name="Calculation 2 9 2 9" xfId="60715"/>
    <cellStyle name="Calculation 2 9 3" xfId="1450"/>
    <cellStyle name="Calculation 2 9 3 10" xfId="61769"/>
    <cellStyle name="Calculation 2 9 3 11" xfId="62248"/>
    <cellStyle name="Calculation 2 9 3 2" xfId="1845"/>
    <cellStyle name="Calculation 2 9 3 2 2" xfId="2985"/>
    <cellStyle name="Calculation 2 9 3 2 2 2" xfId="6405"/>
    <cellStyle name="Calculation 2 9 3 2 2 2 2" xfId="13245"/>
    <cellStyle name="Calculation 2 9 3 2 2 3" xfId="9825"/>
    <cellStyle name="Calculation 2 9 3 2 3" xfId="4125"/>
    <cellStyle name="Calculation 2 9 3 2 3 2" xfId="7545"/>
    <cellStyle name="Calculation 2 9 3 2 3 2 2" xfId="14385"/>
    <cellStyle name="Calculation 2 9 3 2 3 3" xfId="10965"/>
    <cellStyle name="Calculation 2 9 3 2 4" xfId="5265"/>
    <cellStyle name="Calculation 2 9 3 2 4 2" xfId="12105"/>
    <cellStyle name="Calculation 2 9 3 2 5" xfId="8685"/>
    <cellStyle name="Calculation 2 9 3 3" xfId="2271"/>
    <cellStyle name="Calculation 2 9 3 3 2" xfId="5691"/>
    <cellStyle name="Calculation 2 9 3 3 2 2" xfId="12531"/>
    <cellStyle name="Calculation 2 9 3 3 3" xfId="9111"/>
    <cellStyle name="Calculation 2 9 3 4" xfId="3411"/>
    <cellStyle name="Calculation 2 9 3 4 2" xfId="6831"/>
    <cellStyle name="Calculation 2 9 3 4 2 2" xfId="13671"/>
    <cellStyle name="Calculation 2 9 3 4 3" xfId="10251"/>
    <cellStyle name="Calculation 2 9 3 5" xfId="4551"/>
    <cellStyle name="Calculation 2 9 3 5 2" xfId="11391"/>
    <cellStyle name="Calculation 2 9 3 6" xfId="7971"/>
    <cellStyle name="Calculation 2 9 3 7" xfId="16819"/>
    <cellStyle name="Calculation 2 9 3 8" xfId="25143"/>
    <cellStyle name="Calculation 2 9 3 9" xfId="32392"/>
    <cellStyle name="Calculation 2 9 4" xfId="17845"/>
    <cellStyle name="Calculation 2 9 4 2" xfId="26169"/>
    <cellStyle name="Calculation 2 9 4 2 2" xfId="51903"/>
    <cellStyle name="Calculation 2 9 4 2 3" xfId="51904"/>
    <cellStyle name="Calculation 2 9 4 3" xfId="33369"/>
    <cellStyle name="Calculation 2 9 4 4" xfId="51905"/>
    <cellStyle name="Calculation 2 9 5" xfId="18829"/>
    <cellStyle name="Calculation 2 9 5 2" xfId="27150"/>
    <cellStyle name="Calculation 2 9 5 2 2" xfId="51906"/>
    <cellStyle name="Calculation 2 9 5 2 3" xfId="51907"/>
    <cellStyle name="Calculation 2 9 5 3" xfId="34309"/>
    <cellStyle name="Calculation 2 9 5 4" xfId="51908"/>
    <cellStyle name="Calculation 2 9 6" xfId="19797"/>
    <cellStyle name="Calculation 2 9 6 2" xfId="28119"/>
    <cellStyle name="Calculation 2 9 6 2 2" xfId="51909"/>
    <cellStyle name="Calculation 2 9 6 2 3" xfId="51910"/>
    <cellStyle name="Calculation 2 9 6 3" xfId="35255"/>
    <cellStyle name="Calculation 2 9 6 4" xfId="51911"/>
    <cellStyle name="Calculation 2 9 7" xfId="20755"/>
    <cellStyle name="Calculation 2 9 7 2" xfId="29076"/>
    <cellStyle name="Calculation 2 9 7 2 2" xfId="51912"/>
    <cellStyle name="Calculation 2 9 7 2 3" xfId="51913"/>
    <cellStyle name="Calculation 2 9 7 3" xfId="36168"/>
    <cellStyle name="Calculation 2 9 7 4" xfId="51914"/>
    <cellStyle name="Calculation 2 9 8" xfId="21249"/>
    <cellStyle name="Calculation 2 9 8 2" xfId="29558"/>
    <cellStyle name="Calculation 2 9 8 2 2" xfId="51915"/>
    <cellStyle name="Calculation 2 9 8 2 3" xfId="51916"/>
    <cellStyle name="Calculation 2 9 8 3" xfId="36626"/>
    <cellStyle name="Calculation 2 9 8 4" xfId="51917"/>
    <cellStyle name="Calculation 2 9 9" xfId="22191"/>
    <cellStyle name="Calculation 2 9 9 2" xfId="30489"/>
    <cellStyle name="Calculation 2 9 9 2 2" xfId="51918"/>
    <cellStyle name="Calculation 2 9 9 2 3" xfId="51919"/>
    <cellStyle name="Calculation 2 9 9 3" xfId="37520"/>
    <cellStyle name="Calculation 2 9 9 4" xfId="51920"/>
    <cellStyle name="Calculation 3" xfId="62"/>
    <cellStyle name="Calculation 3 10" xfId="51921"/>
    <cellStyle name="Calculation 3 11" xfId="60716"/>
    <cellStyle name="Calculation 3 12" xfId="60775"/>
    <cellStyle name="Calculation 3 2" xfId="119"/>
    <cellStyle name="Calculation 3 2 2" xfId="251"/>
    <cellStyle name="Calculation 3 2 2 2" xfId="662"/>
    <cellStyle name="Calculation 3 2 2 2 2" xfId="1613"/>
    <cellStyle name="Calculation 3 2 2 2 2 2" xfId="794"/>
    <cellStyle name="Calculation 3 2 2 2 2 2 2" xfId="1927"/>
    <cellStyle name="Calculation 3 2 2 2 2 2 2 2" xfId="5347"/>
    <cellStyle name="Calculation 3 2 2 2 2 2 2 2 2" xfId="12187"/>
    <cellStyle name="Calculation 3 2 2 2 2 2 2 3" xfId="8767"/>
    <cellStyle name="Calculation 3 2 2 2 2 2 3" xfId="3067"/>
    <cellStyle name="Calculation 3 2 2 2 2 2 3 2" xfId="6487"/>
    <cellStyle name="Calculation 3 2 2 2 2 2 3 2 2" xfId="13327"/>
    <cellStyle name="Calculation 3 2 2 2 2 2 3 3" xfId="9907"/>
    <cellStyle name="Calculation 3 2 2 2 2 2 4" xfId="4207"/>
    <cellStyle name="Calculation 3 2 2 2 2 2 4 2" xfId="11047"/>
    <cellStyle name="Calculation 3 2 2 2 2 2 5" xfId="7627"/>
    <cellStyle name="Calculation 3 2 2 2 2 3" xfId="2447"/>
    <cellStyle name="Calculation 3 2 2 2 2 3 2" xfId="5867"/>
    <cellStyle name="Calculation 3 2 2 2 2 3 2 2" xfId="12707"/>
    <cellStyle name="Calculation 3 2 2 2 2 3 3" xfId="9287"/>
    <cellStyle name="Calculation 3 2 2 2 2 4" xfId="3587"/>
    <cellStyle name="Calculation 3 2 2 2 2 4 2" xfId="7007"/>
    <cellStyle name="Calculation 3 2 2 2 2 4 2 2" xfId="13847"/>
    <cellStyle name="Calculation 3 2 2 2 2 4 3" xfId="10427"/>
    <cellStyle name="Calculation 3 2 2 2 2 5" xfId="4727"/>
    <cellStyle name="Calculation 3 2 2 2 2 5 2" xfId="11567"/>
    <cellStyle name="Calculation 3 2 2 2 2 6" xfId="8147"/>
    <cellStyle name="Calculation 3 2 2 2 2 7" xfId="61766"/>
    <cellStyle name="Calculation 3 2 2 2 2 8" xfId="62245"/>
    <cellStyle name="Calculation 3 2 2 2 3" xfId="38506"/>
    <cellStyle name="Calculation 3 2 2 2 4" xfId="51922"/>
    <cellStyle name="Calculation 3 2 2 2 5" xfId="51923"/>
    <cellStyle name="Calculation 3 2 2 2 6" xfId="51924"/>
    <cellStyle name="Calculation 3 2 2 2 7" xfId="60719"/>
    <cellStyle name="Calculation 3 2 2 2 8" xfId="61244"/>
    <cellStyle name="Calculation 3 2 2 3" xfId="1258"/>
    <cellStyle name="Calculation 3 2 2 3 2" xfId="999"/>
    <cellStyle name="Calculation 3 2 2 3 2 2" xfId="2504"/>
    <cellStyle name="Calculation 3 2 2 3 2 2 2" xfId="5924"/>
    <cellStyle name="Calculation 3 2 2 3 2 2 2 2" xfId="12764"/>
    <cellStyle name="Calculation 3 2 2 3 2 2 3" xfId="9344"/>
    <cellStyle name="Calculation 3 2 2 3 2 3" xfId="3644"/>
    <cellStyle name="Calculation 3 2 2 3 2 3 2" xfId="7064"/>
    <cellStyle name="Calculation 3 2 2 3 2 3 2 2" xfId="13904"/>
    <cellStyle name="Calculation 3 2 2 3 2 3 3" xfId="10484"/>
    <cellStyle name="Calculation 3 2 2 3 2 4" xfId="4784"/>
    <cellStyle name="Calculation 3 2 2 3 2 4 2" xfId="11624"/>
    <cellStyle name="Calculation 3 2 2 3 2 5" xfId="8204"/>
    <cellStyle name="Calculation 3 2 2 3 3" xfId="2078"/>
    <cellStyle name="Calculation 3 2 2 3 3 2" xfId="5498"/>
    <cellStyle name="Calculation 3 2 2 3 3 2 2" xfId="12338"/>
    <cellStyle name="Calculation 3 2 2 3 3 3" xfId="8918"/>
    <cellStyle name="Calculation 3 2 2 3 4" xfId="3218"/>
    <cellStyle name="Calculation 3 2 2 3 4 2" xfId="6638"/>
    <cellStyle name="Calculation 3 2 2 3 4 2 2" xfId="13478"/>
    <cellStyle name="Calculation 3 2 2 3 4 3" xfId="10058"/>
    <cellStyle name="Calculation 3 2 2 3 5" xfId="4358"/>
    <cellStyle name="Calculation 3 2 2 3 5 2" xfId="11198"/>
    <cellStyle name="Calculation 3 2 2 3 6" xfId="7778"/>
    <cellStyle name="Calculation 3 2 2 3 7" xfId="61767"/>
    <cellStyle name="Calculation 3 2 2 3 8" xfId="62246"/>
    <cellStyle name="Calculation 3 2 2 4" xfId="38272"/>
    <cellStyle name="Calculation 3 2 2 5" xfId="51925"/>
    <cellStyle name="Calculation 3 2 2 6" xfId="51926"/>
    <cellStyle name="Calculation 3 2 2 7" xfId="51927"/>
    <cellStyle name="Calculation 3 2 2 8" xfId="60718"/>
    <cellStyle name="Calculation 3 2 2 9" xfId="60934"/>
    <cellStyle name="Calculation 3 2 3" xfId="574"/>
    <cellStyle name="Calculation 3 2 3 2" xfId="1561"/>
    <cellStyle name="Calculation 3 2 3 2 2" xfId="830"/>
    <cellStyle name="Calculation 3 2 3 2 2 2" xfId="2791"/>
    <cellStyle name="Calculation 3 2 3 2 2 2 2" xfId="6211"/>
    <cellStyle name="Calculation 3 2 3 2 2 2 2 2" xfId="13051"/>
    <cellStyle name="Calculation 3 2 3 2 2 2 3" xfId="9631"/>
    <cellStyle name="Calculation 3 2 3 2 2 3" xfId="3931"/>
    <cellStyle name="Calculation 3 2 3 2 2 3 2" xfId="7351"/>
    <cellStyle name="Calculation 3 2 3 2 2 3 2 2" xfId="14191"/>
    <cellStyle name="Calculation 3 2 3 2 2 3 3" xfId="10771"/>
    <cellStyle name="Calculation 3 2 3 2 2 4" xfId="5071"/>
    <cellStyle name="Calculation 3 2 3 2 2 4 2" xfId="11911"/>
    <cellStyle name="Calculation 3 2 3 2 2 5" xfId="8491"/>
    <cellStyle name="Calculation 3 2 3 2 3" xfId="2386"/>
    <cellStyle name="Calculation 3 2 3 2 3 2" xfId="5806"/>
    <cellStyle name="Calculation 3 2 3 2 3 2 2" xfId="12646"/>
    <cellStyle name="Calculation 3 2 3 2 3 3" xfId="9226"/>
    <cellStyle name="Calculation 3 2 3 2 4" xfId="3526"/>
    <cellStyle name="Calculation 3 2 3 2 4 2" xfId="6946"/>
    <cellStyle name="Calculation 3 2 3 2 4 2 2" xfId="13786"/>
    <cellStyle name="Calculation 3 2 3 2 4 3" xfId="10366"/>
    <cellStyle name="Calculation 3 2 3 2 5" xfId="4666"/>
    <cellStyle name="Calculation 3 2 3 2 5 2" xfId="11506"/>
    <cellStyle name="Calculation 3 2 3 2 6" xfId="8086"/>
    <cellStyle name="Calculation 3 2 3 2 7" xfId="61765"/>
    <cellStyle name="Calculation 3 2 3 2 8" xfId="62244"/>
    <cellStyle name="Calculation 3 2 3 3" xfId="38465"/>
    <cellStyle name="Calculation 3 2 3 4" xfId="51928"/>
    <cellStyle name="Calculation 3 2 3 5" xfId="51929"/>
    <cellStyle name="Calculation 3 2 3 6" xfId="51930"/>
    <cellStyle name="Calculation 3 2 3 7" xfId="60720"/>
    <cellStyle name="Calculation 3 2 3 8" xfId="61245"/>
    <cellStyle name="Calculation 3 2 4" xfId="1135"/>
    <cellStyle name="Calculation 3 2 4 2" xfId="1775"/>
    <cellStyle name="Calculation 3 2 4 2 2" xfId="2915"/>
    <cellStyle name="Calculation 3 2 4 2 2 2" xfId="6335"/>
    <cellStyle name="Calculation 3 2 4 2 2 2 2" xfId="13175"/>
    <cellStyle name="Calculation 3 2 4 2 2 3" xfId="9755"/>
    <cellStyle name="Calculation 3 2 4 2 3" xfId="4055"/>
    <cellStyle name="Calculation 3 2 4 2 3 2" xfId="7475"/>
    <cellStyle name="Calculation 3 2 4 2 3 2 2" xfId="14315"/>
    <cellStyle name="Calculation 3 2 4 2 3 3" xfId="10895"/>
    <cellStyle name="Calculation 3 2 4 2 4" xfId="5195"/>
    <cellStyle name="Calculation 3 2 4 2 4 2" xfId="12035"/>
    <cellStyle name="Calculation 3 2 4 2 5" xfId="8615"/>
    <cellStyle name="Calculation 3 2 4 3" xfId="1949"/>
    <cellStyle name="Calculation 3 2 4 3 2" xfId="5369"/>
    <cellStyle name="Calculation 3 2 4 3 2 2" xfId="12209"/>
    <cellStyle name="Calculation 3 2 4 3 3" xfId="8789"/>
    <cellStyle name="Calculation 3 2 4 4" xfId="3089"/>
    <cellStyle name="Calculation 3 2 4 4 2" xfId="6509"/>
    <cellStyle name="Calculation 3 2 4 4 2 2" xfId="13349"/>
    <cellStyle name="Calculation 3 2 4 4 3" xfId="9929"/>
    <cellStyle name="Calculation 3 2 4 5" xfId="4229"/>
    <cellStyle name="Calculation 3 2 4 5 2" xfId="11069"/>
    <cellStyle name="Calculation 3 2 4 6" xfId="7649"/>
    <cellStyle name="Calculation 3 2 4 7" xfId="61861"/>
    <cellStyle name="Calculation 3 2 4 8" xfId="62326"/>
    <cellStyle name="Calculation 3 2 5" xfId="38201"/>
    <cellStyle name="Calculation 3 2 6" xfId="51931"/>
    <cellStyle name="Calculation 3 2 7" xfId="51932"/>
    <cellStyle name="Calculation 3 2 8" xfId="60717"/>
    <cellStyle name="Calculation 3 2 9" xfId="60811"/>
    <cellStyle name="Calculation 3 3" xfId="141"/>
    <cellStyle name="Calculation 3 3 2" xfId="267"/>
    <cellStyle name="Calculation 3 3 2 2" xfId="677"/>
    <cellStyle name="Calculation 3 3 2 2 2" xfId="1628"/>
    <cellStyle name="Calculation 3 3 2 2 2 2" xfId="779"/>
    <cellStyle name="Calculation 3 3 2 2 2 2 2" xfId="2622"/>
    <cellStyle name="Calculation 3 3 2 2 2 2 2 2" xfId="6042"/>
    <cellStyle name="Calculation 3 3 2 2 2 2 2 2 2" xfId="12882"/>
    <cellStyle name="Calculation 3 3 2 2 2 2 2 3" xfId="9462"/>
    <cellStyle name="Calculation 3 3 2 2 2 2 3" xfId="3762"/>
    <cellStyle name="Calculation 3 3 2 2 2 2 3 2" xfId="7182"/>
    <cellStyle name="Calculation 3 3 2 2 2 2 3 2 2" xfId="14022"/>
    <cellStyle name="Calculation 3 3 2 2 2 2 3 3" xfId="10602"/>
    <cellStyle name="Calculation 3 3 2 2 2 2 4" xfId="4902"/>
    <cellStyle name="Calculation 3 3 2 2 2 2 4 2" xfId="11742"/>
    <cellStyle name="Calculation 3 3 2 2 2 2 5" xfId="8322"/>
    <cellStyle name="Calculation 3 3 2 2 2 3" xfId="2462"/>
    <cellStyle name="Calculation 3 3 2 2 2 3 2" xfId="5882"/>
    <cellStyle name="Calculation 3 3 2 2 2 3 2 2" xfId="12722"/>
    <cellStyle name="Calculation 3 3 2 2 2 3 3" xfId="9302"/>
    <cellStyle name="Calculation 3 3 2 2 2 4" xfId="3602"/>
    <cellStyle name="Calculation 3 3 2 2 2 4 2" xfId="7022"/>
    <cellStyle name="Calculation 3 3 2 2 2 4 2 2" xfId="13862"/>
    <cellStyle name="Calculation 3 3 2 2 2 4 3" xfId="10442"/>
    <cellStyle name="Calculation 3 3 2 2 2 5" xfId="4742"/>
    <cellStyle name="Calculation 3 3 2 2 2 5 2" xfId="11582"/>
    <cellStyle name="Calculation 3 3 2 2 2 6" xfId="8162"/>
    <cellStyle name="Calculation 3 3 2 2 2 7" xfId="61763"/>
    <cellStyle name="Calculation 3 3 2 2 2 8" xfId="62242"/>
    <cellStyle name="Calculation 3 3 2 2 3" xfId="38521"/>
    <cellStyle name="Calculation 3 3 2 2 4" xfId="51933"/>
    <cellStyle name="Calculation 3 3 2 2 5" xfId="51934"/>
    <cellStyle name="Calculation 3 3 2 2 6" xfId="51935"/>
    <cellStyle name="Calculation 3 3 2 2 7" xfId="60723"/>
    <cellStyle name="Calculation 3 3 2 2 8" xfId="61246"/>
    <cellStyle name="Calculation 3 3 2 3" xfId="1274"/>
    <cellStyle name="Calculation 3 3 2 3 2" xfId="1793"/>
    <cellStyle name="Calculation 3 3 2 3 2 2" xfId="2933"/>
    <cellStyle name="Calculation 3 3 2 3 2 2 2" xfId="6353"/>
    <cellStyle name="Calculation 3 3 2 3 2 2 2 2" xfId="13193"/>
    <cellStyle name="Calculation 3 3 2 3 2 2 3" xfId="9773"/>
    <cellStyle name="Calculation 3 3 2 3 2 3" xfId="4073"/>
    <cellStyle name="Calculation 3 3 2 3 2 3 2" xfId="7493"/>
    <cellStyle name="Calculation 3 3 2 3 2 3 2 2" xfId="14333"/>
    <cellStyle name="Calculation 3 3 2 3 2 3 3" xfId="10913"/>
    <cellStyle name="Calculation 3 3 2 3 2 4" xfId="5213"/>
    <cellStyle name="Calculation 3 3 2 3 2 4 2" xfId="12053"/>
    <cellStyle name="Calculation 3 3 2 3 2 5" xfId="8633"/>
    <cellStyle name="Calculation 3 3 2 3 3" xfId="2094"/>
    <cellStyle name="Calculation 3 3 2 3 3 2" xfId="5514"/>
    <cellStyle name="Calculation 3 3 2 3 3 2 2" xfId="12354"/>
    <cellStyle name="Calculation 3 3 2 3 3 3" xfId="8934"/>
    <cellStyle name="Calculation 3 3 2 3 4" xfId="3234"/>
    <cellStyle name="Calculation 3 3 2 3 4 2" xfId="6654"/>
    <cellStyle name="Calculation 3 3 2 3 4 2 2" xfId="13494"/>
    <cellStyle name="Calculation 3 3 2 3 4 3" xfId="10074"/>
    <cellStyle name="Calculation 3 3 2 3 5" xfId="4374"/>
    <cellStyle name="Calculation 3 3 2 3 5 2" xfId="11214"/>
    <cellStyle name="Calculation 3 3 2 3 6" xfId="7794"/>
    <cellStyle name="Calculation 3 3 2 3 7" xfId="61764"/>
    <cellStyle name="Calculation 3 3 2 3 8" xfId="62243"/>
    <cellStyle name="Calculation 3 3 2 4" xfId="38284"/>
    <cellStyle name="Calculation 3 3 2 5" xfId="51936"/>
    <cellStyle name="Calculation 3 3 2 6" xfId="51937"/>
    <cellStyle name="Calculation 3 3 2 7" xfId="51938"/>
    <cellStyle name="Calculation 3 3 2 8" xfId="60722"/>
    <cellStyle name="Calculation 3 3 2 9" xfId="60950"/>
    <cellStyle name="Calculation 3 3 3" xfId="589"/>
    <cellStyle name="Calculation 3 3 3 2" xfId="1576"/>
    <cellStyle name="Calculation 3 3 3 2 2" xfId="1719"/>
    <cellStyle name="Calculation 3 3 3 2 2 2" xfId="2859"/>
    <cellStyle name="Calculation 3 3 3 2 2 2 2" xfId="6279"/>
    <cellStyle name="Calculation 3 3 3 2 2 2 2 2" xfId="13119"/>
    <cellStyle name="Calculation 3 3 3 2 2 2 3" xfId="9699"/>
    <cellStyle name="Calculation 3 3 3 2 2 3" xfId="3999"/>
    <cellStyle name="Calculation 3 3 3 2 2 3 2" xfId="7419"/>
    <cellStyle name="Calculation 3 3 3 2 2 3 2 2" xfId="14259"/>
    <cellStyle name="Calculation 3 3 3 2 2 3 3" xfId="10839"/>
    <cellStyle name="Calculation 3 3 3 2 2 4" xfId="5139"/>
    <cellStyle name="Calculation 3 3 3 2 2 4 2" xfId="11979"/>
    <cellStyle name="Calculation 3 3 3 2 2 5" xfId="8559"/>
    <cellStyle name="Calculation 3 3 3 2 3" xfId="2401"/>
    <cellStyle name="Calculation 3 3 3 2 3 2" xfId="5821"/>
    <cellStyle name="Calculation 3 3 3 2 3 2 2" xfId="12661"/>
    <cellStyle name="Calculation 3 3 3 2 3 3" xfId="9241"/>
    <cellStyle name="Calculation 3 3 3 2 4" xfId="3541"/>
    <cellStyle name="Calculation 3 3 3 2 4 2" xfId="6961"/>
    <cellStyle name="Calculation 3 3 3 2 4 2 2" xfId="13801"/>
    <cellStyle name="Calculation 3 3 3 2 4 3" xfId="10381"/>
    <cellStyle name="Calculation 3 3 3 2 5" xfId="4681"/>
    <cellStyle name="Calculation 3 3 3 2 5 2" xfId="11521"/>
    <cellStyle name="Calculation 3 3 3 2 6" xfId="8101"/>
    <cellStyle name="Calculation 3 3 3 2 7" xfId="61497"/>
    <cellStyle name="Calculation 3 3 3 2 8" xfId="62051"/>
    <cellStyle name="Calculation 3 3 3 3" xfId="38470"/>
    <cellStyle name="Calculation 3 3 3 4" xfId="51939"/>
    <cellStyle name="Calculation 3 3 3 5" xfId="51940"/>
    <cellStyle name="Calculation 3 3 3 6" xfId="51941"/>
    <cellStyle name="Calculation 3 3 3 7" xfId="60724"/>
    <cellStyle name="Calculation 3 3 3 8" xfId="61247"/>
    <cellStyle name="Calculation 3 3 4" xfId="1150"/>
    <cellStyle name="Calculation 3 3 4 2" xfId="1690"/>
    <cellStyle name="Calculation 3 3 4 2 2" xfId="2830"/>
    <cellStyle name="Calculation 3 3 4 2 2 2" xfId="6250"/>
    <cellStyle name="Calculation 3 3 4 2 2 2 2" xfId="13090"/>
    <cellStyle name="Calculation 3 3 4 2 2 3" xfId="9670"/>
    <cellStyle name="Calculation 3 3 4 2 3" xfId="3970"/>
    <cellStyle name="Calculation 3 3 4 2 3 2" xfId="7390"/>
    <cellStyle name="Calculation 3 3 4 2 3 2 2" xfId="14230"/>
    <cellStyle name="Calculation 3 3 4 2 3 3" xfId="10810"/>
    <cellStyle name="Calculation 3 3 4 2 4" xfId="5110"/>
    <cellStyle name="Calculation 3 3 4 2 4 2" xfId="11950"/>
    <cellStyle name="Calculation 3 3 4 2 5" xfId="8530"/>
    <cellStyle name="Calculation 3 3 4 3" xfId="1969"/>
    <cellStyle name="Calculation 3 3 4 3 2" xfId="5389"/>
    <cellStyle name="Calculation 3 3 4 3 2 2" xfId="12229"/>
    <cellStyle name="Calculation 3 3 4 3 3" xfId="8809"/>
    <cellStyle name="Calculation 3 3 4 4" xfId="3109"/>
    <cellStyle name="Calculation 3 3 4 4 2" xfId="6529"/>
    <cellStyle name="Calculation 3 3 4 4 2 2" xfId="13369"/>
    <cellStyle name="Calculation 3 3 4 4 3" xfId="9949"/>
    <cellStyle name="Calculation 3 3 4 5" xfId="4249"/>
    <cellStyle name="Calculation 3 3 4 5 2" xfId="11089"/>
    <cellStyle name="Calculation 3 3 4 6" xfId="7669"/>
    <cellStyle name="Calculation 3 3 4 7" xfId="61866"/>
    <cellStyle name="Calculation 3 3 4 8" xfId="62330"/>
    <cellStyle name="Calculation 3 3 5" xfId="38206"/>
    <cellStyle name="Calculation 3 3 6" xfId="51942"/>
    <cellStyle name="Calculation 3 3 7" xfId="51943"/>
    <cellStyle name="Calculation 3 3 8" xfId="60721"/>
    <cellStyle name="Calculation 3 3 9" xfId="60826"/>
    <cellStyle name="Calculation 3 4" xfId="307"/>
    <cellStyle name="Calculation 3 4 2" xfId="346"/>
    <cellStyle name="Calculation 3 4 2 2" xfId="1351"/>
    <cellStyle name="Calculation 3 4 2 2 2" xfId="941"/>
    <cellStyle name="Calculation 3 4 2 2 2 2" xfId="2606"/>
    <cellStyle name="Calculation 3 4 2 2 2 2 2" xfId="6026"/>
    <cellStyle name="Calculation 3 4 2 2 2 2 2 2" xfId="12866"/>
    <cellStyle name="Calculation 3 4 2 2 2 2 3" xfId="9446"/>
    <cellStyle name="Calculation 3 4 2 2 2 3" xfId="3746"/>
    <cellStyle name="Calculation 3 4 2 2 2 3 2" xfId="7166"/>
    <cellStyle name="Calculation 3 4 2 2 2 3 2 2" xfId="14006"/>
    <cellStyle name="Calculation 3 4 2 2 2 3 3" xfId="10586"/>
    <cellStyle name="Calculation 3 4 2 2 2 4" xfId="4886"/>
    <cellStyle name="Calculation 3 4 2 2 2 4 2" xfId="11726"/>
    <cellStyle name="Calculation 3 4 2 2 2 5" xfId="8306"/>
    <cellStyle name="Calculation 3 4 2 2 3" xfId="2172"/>
    <cellStyle name="Calculation 3 4 2 2 3 2" xfId="5592"/>
    <cellStyle name="Calculation 3 4 2 2 3 2 2" xfId="12432"/>
    <cellStyle name="Calculation 3 4 2 2 3 3" xfId="9012"/>
    <cellStyle name="Calculation 3 4 2 2 4" xfId="3312"/>
    <cellStyle name="Calculation 3 4 2 2 4 2" xfId="6732"/>
    <cellStyle name="Calculation 3 4 2 2 4 2 2" xfId="13572"/>
    <cellStyle name="Calculation 3 4 2 2 4 3" xfId="10152"/>
    <cellStyle name="Calculation 3 4 2 2 5" xfId="4452"/>
    <cellStyle name="Calculation 3 4 2 2 5 2" xfId="11292"/>
    <cellStyle name="Calculation 3 4 2 2 6" xfId="7872"/>
    <cellStyle name="Calculation 3 4 2 2 7" xfId="61762"/>
    <cellStyle name="Calculation 3 4 2 2 8" xfId="62241"/>
    <cellStyle name="Calculation 3 4 2 3" xfId="38335"/>
    <cellStyle name="Calculation 3 4 2 4" xfId="51944"/>
    <cellStyle name="Calculation 3 4 2 5" xfId="51945"/>
    <cellStyle name="Calculation 3 4 2 6" xfId="51946"/>
    <cellStyle name="Calculation 3 4 2 7" xfId="60726"/>
    <cellStyle name="Calculation 3 4 2 8" xfId="61027"/>
    <cellStyle name="Calculation 3 4 3" xfId="1313"/>
    <cellStyle name="Calculation 3 4 3 2" xfId="972"/>
    <cellStyle name="Calculation 3 4 3 2 2" xfId="2702"/>
    <cellStyle name="Calculation 3 4 3 2 2 2" xfId="6122"/>
    <cellStyle name="Calculation 3 4 3 2 2 2 2" xfId="12962"/>
    <cellStyle name="Calculation 3 4 3 2 2 3" xfId="9542"/>
    <cellStyle name="Calculation 3 4 3 2 3" xfId="3842"/>
    <cellStyle name="Calculation 3 4 3 2 3 2" xfId="7262"/>
    <cellStyle name="Calculation 3 4 3 2 3 2 2" xfId="14102"/>
    <cellStyle name="Calculation 3 4 3 2 3 3" xfId="10682"/>
    <cellStyle name="Calculation 3 4 3 2 4" xfId="4982"/>
    <cellStyle name="Calculation 3 4 3 2 4 2" xfId="11822"/>
    <cellStyle name="Calculation 3 4 3 2 5" xfId="8402"/>
    <cellStyle name="Calculation 3 4 3 3" xfId="2133"/>
    <cellStyle name="Calculation 3 4 3 3 2" xfId="5553"/>
    <cellStyle name="Calculation 3 4 3 3 2 2" xfId="12393"/>
    <cellStyle name="Calculation 3 4 3 3 3" xfId="8973"/>
    <cellStyle name="Calculation 3 4 3 4" xfId="3273"/>
    <cellStyle name="Calculation 3 4 3 4 2" xfId="6693"/>
    <cellStyle name="Calculation 3 4 3 4 2 2" xfId="13533"/>
    <cellStyle name="Calculation 3 4 3 4 3" xfId="10113"/>
    <cellStyle name="Calculation 3 4 3 5" xfId="4413"/>
    <cellStyle name="Calculation 3 4 3 5 2" xfId="11253"/>
    <cellStyle name="Calculation 3 4 3 6" xfId="7833"/>
    <cellStyle name="Calculation 3 4 3 7" xfId="61863"/>
    <cellStyle name="Calculation 3 4 3 8" xfId="62328"/>
    <cellStyle name="Calculation 3 4 4" xfId="38315"/>
    <cellStyle name="Calculation 3 4 5" xfId="51947"/>
    <cellStyle name="Calculation 3 4 6" xfId="51948"/>
    <cellStyle name="Calculation 3 4 7" xfId="60725"/>
    <cellStyle name="Calculation 3 4 8" xfId="60989"/>
    <cellStyle name="Calculation 3 5" xfId="206"/>
    <cellStyle name="Calculation 3 5 2" xfId="543"/>
    <cellStyle name="Calculation 3 5 2 2" xfId="1547"/>
    <cellStyle name="Calculation 3 5 2 2 2" xfId="1753"/>
    <cellStyle name="Calculation 3 5 2 2 2 2" xfId="2893"/>
    <cellStyle name="Calculation 3 5 2 2 2 2 2" xfId="6313"/>
    <cellStyle name="Calculation 3 5 2 2 2 2 2 2" xfId="13153"/>
    <cellStyle name="Calculation 3 5 2 2 2 2 3" xfId="9733"/>
    <cellStyle name="Calculation 3 5 2 2 2 3" xfId="4033"/>
    <cellStyle name="Calculation 3 5 2 2 2 3 2" xfId="7453"/>
    <cellStyle name="Calculation 3 5 2 2 2 3 2 2" xfId="14293"/>
    <cellStyle name="Calculation 3 5 2 2 2 3 3" xfId="10873"/>
    <cellStyle name="Calculation 3 5 2 2 2 4" xfId="5173"/>
    <cellStyle name="Calculation 3 5 2 2 2 4 2" xfId="12013"/>
    <cellStyle name="Calculation 3 5 2 2 2 5" xfId="8593"/>
    <cellStyle name="Calculation 3 5 2 2 3" xfId="2368"/>
    <cellStyle name="Calculation 3 5 2 2 3 2" xfId="5788"/>
    <cellStyle name="Calculation 3 5 2 2 3 2 2" xfId="12628"/>
    <cellStyle name="Calculation 3 5 2 2 3 3" xfId="9208"/>
    <cellStyle name="Calculation 3 5 2 2 4" xfId="3508"/>
    <cellStyle name="Calculation 3 5 2 2 4 2" xfId="6928"/>
    <cellStyle name="Calculation 3 5 2 2 4 2 2" xfId="13768"/>
    <cellStyle name="Calculation 3 5 2 2 4 3" xfId="10348"/>
    <cellStyle name="Calculation 3 5 2 2 5" xfId="4648"/>
    <cellStyle name="Calculation 3 5 2 2 5 2" xfId="11488"/>
    <cellStyle name="Calculation 3 5 2 2 6" xfId="8068"/>
    <cellStyle name="Calculation 3 5 2 2 7" xfId="61761"/>
    <cellStyle name="Calculation 3 5 2 2 8" xfId="62240"/>
    <cellStyle name="Calculation 3 5 2 3" xfId="38458"/>
    <cellStyle name="Calculation 3 5 2 4" xfId="51949"/>
    <cellStyle name="Calculation 3 5 2 5" xfId="51950"/>
    <cellStyle name="Calculation 3 5 2 6" xfId="51951"/>
    <cellStyle name="Calculation 3 5 2 7" xfId="60728"/>
    <cellStyle name="Calculation 3 5 2 8" xfId="61223"/>
    <cellStyle name="Calculation 3 5 3" xfId="1214"/>
    <cellStyle name="Calculation 3 5 3 2" xfId="1021"/>
    <cellStyle name="Calculation 3 5 3 2 2" xfId="2502"/>
    <cellStyle name="Calculation 3 5 3 2 2 2" xfId="5922"/>
    <cellStyle name="Calculation 3 5 3 2 2 2 2" xfId="12762"/>
    <cellStyle name="Calculation 3 5 3 2 2 3" xfId="9342"/>
    <cellStyle name="Calculation 3 5 3 2 3" xfId="3642"/>
    <cellStyle name="Calculation 3 5 3 2 3 2" xfId="7062"/>
    <cellStyle name="Calculation 3 5 3 2 3 2 2" xfId="13902"/>
    <cellStyle name="Calculation 3 5 3 2 3 3" xfId="10482"/>
    <cellStyle name="Calculation 3 5 3 2 4" xfId="4782"/>
    <cellStyle name="Calculation 3 5 3 2 4 2" xfId="11622"/>
    <cellStyle name="Calculation 3 5 3 2 5" xfId="8202"/>
    <cellStyle name="Calculation 3 5 3 3" xfId="2033"/>
    <cellStyle name="Calculation 3 5 3 3 2" xfId="5453"/>
    <cellStyle name="Calculation 3 5 3 3 2 2" xfId="12293"/>
    <cellStyle name="Calculation 3 5 3 3 3" xfId="8873"/>
    <cellStyle name="Calculation 3 5 3 4" xfId="3173"/>
    <cellStyle name="Calculation 3 5 3 4 2" xfId="6593"/>
    <cellStyle name="Calculation 3 5 3 4 2 2" xfId="13433"/>
    <cellStyle name="Calculation 3 5 3 4 3" xfId="10013"/>
    <cellStyle name="Calculation 3 5 3 5" xfId="4313"/>
    <cellStyle name="Calculation 3 5 3 5 2" xfId="11153"/>
    <cellStyle name="Calculation 3 5 3 6" xfId="7733"/>
    <cellStyle name="Calculation 3 5 3 7" xfId="61464"/>
    <cellStyle name="Calculation 3 5 3 8" xfId="62027"/>
    <cellStyle name="Calculation 3 5 4" xfId="38248"/>
    <cellStyle name="Calculation 3 5 5" xfId="51952"/>
    <cellStyle name="Calculation 3 5 6" xfId="51953"/>
    <cellStyle name="Calculation 3 5 7" xfId="60727"/>
    <cellStyle name="Calculation 3 5 8" xfId="60890"/>
    <cellStyle name="Calculation 3 6" xfId="426"/>
    <cellStyle name="Calculation 3 6 2" xfId="343"/>
    <cellStyle name="Calculation 3 6 2 2" xfId="1348"/>
    <cellStyle name="Calculation 3 6 2 2 2" xfId="944"/>
    <cellStyle name="Calculation 3 6 2 2 2 2" xfId="2664"/>
    <cellStyle name="Calculation 3 6 2 2 2 2 2" xfId="6084"/>
    <cellStyle name="Calculation 3 6 2 2 2 2 2 2" xfId="12924"/>
    <cellStyle name="Calculation 3 6 2 2 2 2 3" xfId="9504"/>
    <cellStyle name="Calculation 3 6 2 2 2 3" xfId="3804"/>
    <cellStyle name="Calculation 3 6 2 2 2 3 2" xfId="7224"/>
    <cellStyle name="Calculation 3 6 2 2 2 3 2 2" xfId="14064"/>
    <cellStyle name="Calculation 3 6 2 2 2 3 3" xfId="10644"/>
    <cellStyle name="Calculation 3 6 2 2 2 4" xfId="4944"/>
    <cellStyle name="Calculation 3 6 2 2 2 4 2" xfId="11784"/>
    <cellStyle name="Calculation 3 6 2 2 2 5" xfId="8364"/>
    <cellStyle name="Calculation 3 6 2 2 3" xfId="2169"/>
    <cellStyle name="Calculation 3 6 2 2 3 2" xfId="5589"/>
    <cellStyle name="Calculation 3 6 2 2 3 2 2" xfId="12429"/>
    <cellStyle name="Calculation 3 6 2 2 3 3" xfId="9009"/>
    <cellStyle name="Calculation 3 6 2 2 4" xfId="3309"/>
    <cellStyle name="Calculation 3 6 2 2 4 2" xfId="6729"/>
    <cellStyle name="Calculation 3 6 2 2 4 2 2" xfId="13569"/>
    <cellStyle name="Calculation 3 6 2 2 4 3" xfId="10149"/>
    <cellStyle name="Calculation 3 6 2 2 5" xfId="4449"/>
    <cellStyle name="Calculation 3 6 2 2 5 2" xfId="11289"/>
    <cellStyle name="Calculation 3 6 2 2 6" xfId="7869"/>
    <cellStyle name="Calculation 3 6 2 2 7" xfId="61759"/>
    <cellStyle name="Calculation 3 6 2 2 8" xfId="62238"/>
    <cellStyle name="Calculation 3 6 2 3" xfId="38333"/>
    <cellStyle name="Calculation 3 6 2 4" xfId="51954"/>
    <cellStyle name="Calculation 3 6 2 5" xfId="51955"/>
    <cellStyle name="Calculation 3 6 2 6" xfId="51956"/>
    <cellStyle name="Calculation 3 6 2 7" xfId="60730"/>
    <cellStyle name="Calculation 3 6 2 8" xfId="61024"/>
    <cellStyle name="Calculation 3 6 3" xfId="1431"/>
    <cellStyle name="Calculation 3 6 3 2" xfId="894"/>
    <cellStyle name="Calculation 3 6 3 2 2" xfId="2750"/>
    <cellStyle name="Calculation 3 6 3 2 2 2" xfId="6170"/>
    <cellStyle name="Calculation 3 6 3 2 2 2 2" xfId="13010"/>
    <cellStyle name="Calculation 3 6 3 2 2 3" xfId="9590"/>
    <cellStyle name="Calculation 3 6 3 2 3" xfId="3890"/>
    <cellStyle name="Calculation 3 6 3 2 3 2" xfId="7310"/>
    <cellStyle name="Calculation 3 6 3 2 3 2 2" xfId="14150"/>
    <cellStyle name="Calculation 3 6 3 2 3 3" xfId="10730"/>
    <cellStyle name="Calculation 3 6 3 2 4" xfId="5030"/>
    <cellStyle name="Calculation 3 6 3 2 4 2" xfId="11870"/>
    <cellStyle name="Calculation 3 6 3 2 5" xfId="8450"/>
    <cellStyle name="Calculation 3 6 3 3" xfId="2252"/>
    <cellStyle name="Calculation 3 6 3 3 2" xfId="5672"/>
    <cellStyle name="Calculation 3 6 3 3 2 2" xfId="12512"/>
    <cellStyle name="Calculation 3 6 3 3 3" xfId="9092"/>
    <cellStyle name="Calculation 3 6 3 4" xfId="3392"/>
    <cellStyle name="Calculation 3 6 3 4 2" xfId="6812"/>
    <cellStyle name="Calculation 3 6 3 4 2 2" xfId="13652"/>
    <cellStyle name="Calculation 3 6 3 4 3" xfId="10232"/>
    <cellStyle name="Calculation 3 6 3 5" xfId="4532"/>
    <cellStyle name="Calculation 3 6 3 5 2" xfId="11372"/>
    <cellStyle name="Calculation 3 6 3 6" xfId="7952"/>
    <cellStyle name="Calculation 3 6 3 7" xfId="61760"/>
    <cellStyle name="Calculation 3 6 3 8" xfId="62239"/>
    <cellStyle name="Calculation 3 6 4" xfId="38393"/>
    <cellStyle name="Calculation 3 6 5" xfId="51957"/>
    <cellStyle name="Calculation 3 6 6" xfId="51958"/>
    <cellStyle name="Calculation 3 6 7" xfId="51959"/>
    <cellStyle name="Calculation 3 6 8" xfId="60729"/>
    <cellStyle name="Calculation 3 6 9" xfId="61107"/>
    <cellStyle name="Calculation 3 7" xfId="508"/>
    <cellStyle name="Calculation 3 7 2" xfId="393"/>
    <cellStyle name="Calculation 3 7 2 2" xfId="1398"/>
    <cellStyle name="Calculation 3 7 2 2 2" xfId="1669"/>
    <cellStyle name="Calculation 3 7 2 2 2 2" xfId="2809"/>
    <cellStyle name="Calculation 3 7 2 2 2 2 2" xfId="6229"/>
    <cellStyle name="Calculation 3 7 2 2 2 2 2 2" xfId="13069"/>
    <cellStyle name="Calculation 3 7 2 2 2 2 3" xfId="9649"/>
    <cellStyle name="Calculation 3 7 2 2 2 3" xfId="3949"/>
    <cellStyle name="Calculation 3 7 2 2 2 3 2" xfId="7369"/>
    <cellStyle name="Calculation 3 7 2 2 2 3 2 2" xfId="14209"/>
    <cellStyle name="Calculation 3 7 2 2 2 3 3" xfId="10789"/>
    <cellStyle name="Calculation 3 7 2 2 2 4" xfId="5089"/>
    <cellStyle name="Calculation 3 7 2 2 2 4 2" xfId="11929"/>
    <cellStyle name="Calculation 3 7 2 2 2 5" xfId="8509"/>
    <cellStyle name="Calculation 3 7 2 2 3" xfId="2219"/>
    <cellStyle name="Calculation 3 7 2 2 3 2" xfId="5639"/>
    <cellStyle name="Calculation 3 7 2 2 3 2 2" xfId="12479"/>
    <cellStyle name="Calculation 3 7 2 2 3 3" xfId="9059"/>
    <cellStyle name="Calculation 3 7 2 2 4" xfId="3359"/>
    <cellStyle name="Calculation 3 7 2 2 4 2" xfId="6779"/>
    <cellStyle name="Calculation 3 7 2 2 4 2 2" xfId="13619"/>
    <cellStyle name="Calculation 3 7 2 2 4 3" xfId="10199"/>
    <cellStyle name="Calculation 3 7 2 2 5" xfId="4499"/>
    <cellStyle name="Calculation 3 7 2 2 5 2" xfId="11339"/>
    <cellStyle name="Calculation 3 7 2 2 6" xfId="7919"/>
    <cellStyle name="Calculation 3 7 2 2 7" xfId="61757"/>
    <cellStyle name="Calculation 3 7 2 2 8" xfId="62236"/>
    <cellStyle name="Calculation 3 7 2 3" xfId="38375"/>
    <cellStyle name="Calculation 3 7 2 4" xfId="51960"/>
    <cellStyle name="Calculation 3 7 2 5" xfId="51961"/>
    <cellStyle name="Calculation 3 7 2 6" xfId="51962"/>
    <cellStyle name="Calculation 3 7 2 7" xfId="60732"/>
    <cellStyle name="Calculation 3 7 2 8" xfId="61074"/>
    <cellStyle name="Calculation 3 7 3" xfId="1512"/>
    <cellStyle name="Calculation 3 7 3 2" xfId="853"/>
    <cellStyle name="Calculation 3 7 3 2 2" xfId="2525"/>
    <cellStyle name="Calculation 3 7 3 2 2 2" xfId="5945"/>
    <cellStyle name="Calculation 3 7 3 2 2 2 2" xfId="12785"/>
    <cellStyle name="Calculation 3 7 3 2 2 3" xfId="9365"/>
    <cellStyle name="Calculation 3 7 3 2 3" xfId="3665"/>
    <cellStyle name="Calculation 3 7 3 2 3 2" xfId="7085"/>
    <cellStyle name="Calculation 3 7 3 2 3 2 2" xfId="13925"/>
    <cellStyle name="Calculation 3 7 3 2 3 3" xfId="10505"/>
    <cellStyle name="Calculation 3 7 3 2 4" xfId="4805"/>
    <cellStyle name="Calculation 3 7 3 2 4 2" xfId="11645"/>
    <cellStyle name="Calculation 3 7 3 2 5" xfId="8225"/>
    <cellStyle name="Calculation 3 7 3 3" xfId="2333"/>
    <cellStyle name="Calculation 3 7 3 3 2" xfId="5753"/>
    <cellStyle name="Calculation 3 7 3 3 2 2" xfId="12593"/>
    <cellStyle name="Calculation 3 7 3 3 3" xfId="9173"/>
    <cellStyle name="Calculation 3 7 3 4" xfId="3473"/>
    <cellStyle name="Calculation 3 7 3 4 2" xfId="6893"/>
    <cellStyle name="Calculation 3 7 3 4 2 2" xfId="13733"/>
    <cellStyle name="Calculation 3 7 3 4 3" xfId="10313"/>
    <cellStyle name="Calculation 3 7 3 5" xfId="4613"/>
    <cellStyle name="Calculation 3 7 3 5 2" xfId="11453"/>
    <cellStyle name="Calculation 3 7 3 6" xfId="8033"/>
    <cellStyle name="Calculation 3 7 3 7" xfId="61758"/>
    <cellStyle name="Calculation 3 7 3 8" xfId="62237"/>
    <cellStyle name="Calculation 3 7 4" xfId="38437"/>
    <cellStyle name="Calculation 3 7 5" xfId="51963"/>
    <cellStyle name="Calculation 3 7 6" xfId="51964"/>
    <cellStyle name="Calculation 3 7 7" xfId="51965"/>
    <cellStyle name="Calculation 3 7 8" xfId="60731"/>
    <cellStyle name="Calculation 3 7 9" xfId="61188"/>
    <cellStyle name="Calculation 3 8" xfId="1099"/>
    <cellStyle name="Calculation 3 8 2" xfId="1078"/>
    <cellStyle name="Calculation 3 8 2 2" xfId="1900"/>
    <cellStyle name="Calculation 3 8 2 2 2" xfId="5320"/>
    <cellStyle name="Calculation 3 8 2 2 2 2" xfId="12160"/>
    <cellStyle name="Calculation 3 8 2 2 3" xfId="8740"/>
    <cellStyle name="Calculation 3 8 2 3" xfId="3040"/>
    <cellStyle name="Calculation 3 8 2 3 2" xfId="6460"/>
    <cellStyle name="Calculation 3 8 2 3 2 2" xfId="13300"/>
    <cellStyle name="Calculation 3 8 2 3 3" xfId="9880"/>
    <cellStyle name="Calculation 3 8 2 4" xfId="4180"/>
    <cellStyle name="Calculation 3 8 2 4 2" xfId="11020"/>
    <cellStyle name="Calculation 3 8 2 5" xfId="7600"/>
    <cellStyle name="Calculation 3 8 3" xfId="1906"/>
    <cellStyle name="Calculation 3 8 3 2" xfId="5326"/>
    <cellStyle name="Calculation 3 8 3 2 2" xfId="12166"/>
    <cellStyle name="Calculation 3 8 3 3" xfId="8746"/>
    <cellStyle name="Calculation 3 8 4" xfId="3046"/>
    <cellStyle name="Calculation 3 8 4 2" xfId="6466"/>
    <cellStyle name="Calculation 3 8 4 2 2" xfId="13306"/>
    <cellStyle name="Calculation 3 8 4 3" xfId="9886"/>
    <cellStyle name="Calculation 3 8 5" xfId="4186"/>
    <cellStyle name="Calculation 3 8 5 2" xfId="11026"/>
    <cellStyle name="Calculation 3 8 6" xfId="7606"/>
    <cellStyle name="Calculation 3 9" xfId="38185"/>
    <cellStyle name="Calculation 4" xfId="98"/>
    <cellStyle name="Calculation 4 10" xfId="60733"/>
    <cellStyle name="Calculation 4 11" xfId="60790"/>
    <cellStyle name="Calculation 4 2" xfId="157"/>
    <cellStyle name="Calculation 4 2 2" xfId="283"/>
    <cellStyle name="Calculation 4 2 2 2" xfId="692"/>
    <cellStyle name="Calculation 4 2 2 2 2" xfId="1643"/>
    <cellStyle name="Calculation 4 2 2 2 2 2" xfId="764"/>
    <cellStyle name="Calculation 4 2 2 2 2 2 2" xfId="2613"/>
    <cellStyle name="Calculation 4 2 2 2 2 2 2 2" xfId="6033"/>
    <cellStyle name="Calculation 4 2 2 2 2 2 2 2 2" xfId="12873"/>
    <cellStyle name="Calculation 4 2 2 2 2 2 2 3" xfId="9453"/>
    <cellStyle name="Calculation 4 2 2 2 2 2 3" xfId="3753"/>
    <cellStyle name="Calculation 4 2 2 2 2 2 3 2" xfId="7173"/>
    <cellStyle name="Calculation 4 2 2 2 2 2 3 2 2" xfId="14013"/>
    <cellStyle name="Calculation 4 2 2 2 2 2 3 3" xfId="10593"/>
    <cellStyle name="Calculation 4 2 2 2 2 2 4" xfId="4893"/>
    <cellStyle name="Calculation 4 2 2 2 2 2 4 2" xfId="11733"/>
    <cellStyle name="Calculation 4 2 2 2 2 2 5" xfId="8313"/>
    <cellStyle name="Calculation 4 2 2 2 2 3" xfId="2477"/>
    <cellStyle name="Calculation 4 2 2 2 2 3 2" xfId="5897"/>
    <cellStyle name="Calculation 4 2 2 2 2 3 2 2" xfId="12737"/>
    <cellStyle name="Calculation 4 2 2 2 2 3 3" xfId="9317"/>
    <cellStyle name="Calculation 4 2 2 2 2 4" xfId="3617"/>
    <cellStyle name="Calculation 4 2 2 2 2 4 2" xfId="7037"/>
    <cellStyle name="Calculation 4 2 2 2 2 4 2 2" xfId="13877"/>
    <cellStyle name="Calculation 4 2 2 2 2 4 3" xfId="10457"/>
    <cellStyle name="Calculation 4 2 2 2 2 5" xfId="4757"/>
    <cellStyle name="Calculation 4 2 2 2 2 5 2" xfId="11597"/>
    <cellStyle name="Calculation 4 2 2 2 2 6" xfId="8177"/>
    <cellStyle name="Calculation 4 2 2 2 2 7" xfId="61755"/>
    <cellStyle name="Calculation 4 2 2 2 2 8" xfId="62234"/>
    <cellStyle name="Calculation 4 2 2 2 3" xfId="38536"/>
    <cellStyle name="Calculation 4 2 2 2 4" xfId="51966"/>
    <cellStyle name="Calculation 4 2 2 2 5" xfId="51967"/>
    <cellStyle name="Calculation 4 2 2 2 6" xfId="51968"/>
    <cellStyle name="Calculation 4 2 2 2 7" xfId="60736"/>
    <cellStyle name="Calculation 4 2 2 2 8" xfId="61248"/>
    <cellStyle name="Calculation 4 2 2 3" xfId="1289"/>
    <cellStyle name="Calculation 4 2 2 3 2" xfId="1738"/>
    <cellStyle name="Calculation 4 2 2 3 2 2" xfId="2878"/>
    <cellStyle name="Calculation 4 2 2 3 2 2 2" xfId="6298"/>
    <cellStyle name="Calculation 4 2 2 3 2 2 2 2" xfId="13138"/>
    <cellStyle name="Calculation 4 2 2 3 2 2 3" xfId="9718"/>
    <cellStyle name="Calculation 4 2 2 3 2 3" xfId="4018"/>
    <cellStyle name="Calculation 4 2 2 3 2 3 2" xfId="7438"/>
    <cellStyle name="Calculation 4 2 2 3 2 3 2 2" xfId="14278"/>
    <cellStyle name="Calculation 4 2 2 3 2 3 3" xfId="10858"/>
    <cellStyle name="Calculation 4 2 2 3 2 4" xfId="5158"/>
    <cellStyle name="Calculation 4 2 2 3 2 4 2" xfId="11998"/>
    <cellStyle name="Calculation 4 2 2 3 2 5" xfId="8578"/>
    <cellStyle name="Calculation 4 2 2 3 3" xfId="2109"/>
    <cellStyle name="Calculation 4 2 2 3 3 2" xfId="5529"/>
    <cellStyle name="Calculation 4 2 2 3 3 2 2" xfId="12369"/>
    <cellStyle name="Calculation 4 2 2 3 3 3" xfId="8949"/>
    <cellStyle name="Calculation 4 2 2 3 4" xfId="3249"/>
    <cellStyle name="Calculation 4 2 2 3 4 2" xfId="6669"/>
    <cellStyle name="Calculation 4 2 2 3 4 2 2" xfId="13509"/>
    <cellStyle name="Calculation 4 2 2 3 4 3" xfId="10089"/>
    <cellStyle name="Calculation 4 2 2 3 5" xfId="4389"/>
    <cellStyle name="Calculation 4 2 2 3 5 2" xfId="11229"/>
    <cellStyle name="Calculation 4 2 2 3 6" xfId="7809"/>
    <cellStyle name="Calculation 4 2 2 3 7" xfId="61756"/>
    <cellStyle name="Calculation 4 2 2 3 8" xfId="62235"/>
    <cellStyle name="Calculation 4 2 2 4" xfId="38299"/>
    <cellStyle name="Calculation 4 2 2 5" xfId="51969"/>
    <cellStyle name="Calculation 4 2 2 6" xfId="51970"/>
    <cellStyle name="Calculation 4 2 2 7" xfId="51971"/>
    <cellStyle name="Calculation 4 2 2 8" xfId="60735"/>
    <cellStyle name="Calculation 4 2 2 9" xfId="60965"/>
    <cellStyle name="Calculation 4 2 3" xfId="604"/>
    <cellStyle name="Calculation 4 2 3 2" xfId="1591"/>
    <cellStyle name="Calculation 4 2 3 2 2" xfId="815"/>
    <cellStyle name="Calculation 4 2 3 2 2 2" xfId="2735"/>
    <cellStyle name="Calculation 4 2 3 2 2 2 2" xfId="6155"/>
    <cellStyle name="Calculation 4 2 3 2 2 2 2 2" xfId="12995"/>
    <cellStyle name="Calculation 4 2 3 2 2 2 3" xfId="9575"/>
    <cellStyle name="Calculation 4 2 3 2 2 3" xfId="3875"/>
    <cellStyle name="Calculation 4 2 3 2 2 3 2" xfId="7295"/>
    <cellStyle name="Calculation 4 2 3 2 2 3 2 2" xfId="14135"/>
    <cellStyle name="Calculation 4 2 3 2 2 3 3" xfId="10715"/>
    <cellStyle name="Calculation 4 2 3 2 2 4" xfId="5015"/>
    <cellStyle name="Calculation 4 2 3 2 2 4 2" xfId="11855"/>
    <cellStyle name="Calculation 4 2 3 2 2 5" xfId="8435"/>
    <cellStyle name="Calculation 4 2 3 2 3" xfId="2416"/>
    <cellStyle name="Calculation 4 2 3 2 3 2" xfId="5836"/>
    <cellStyle name="Calculation 4 2 3 2 3 2 2" xfId="12676"/>
    <cellStyle name="Calculation 4 2 3 2 3 3" xfId="9256"/>
    <cellStyle name="Calculation 4 2 3 2 4" xfId="3556"/>
    <cellStyle name="Calculation 4 2 3 2 4 2" xfId="6976"/>
    <cellStyle name="Calculation 4 2 3 2 4 2 2" xfId="13816"/>
    <cellStyle name="Calculation 4 2 3 2 4 3" xfId="10396"/>
    <cellStyle name="Calculation 4 2 3 2 5" xfId="4696"/>
    <cellStyle name="Calculation 4 2 3 2 5 2" xfId="11536"/>
    <cellStyle name="Calculation 4 2 3 2 6" xfId="8116"/>
    <cellStyle name="Calculation 4 2 3 2 7" xfId="61754"/>
    <cellStyle name="Calculation 4 2 3 2 8" xfId="62233"/>
    <cellStyle name="Calculation 4 2 3 3" xfId="38485"/>
    <cellStyle name="Calculation 4 2 3 4" xfId="51972"/>
    <cellStyle name="Calculation 4 2 3 5" xfId="51973"/>
    <cellStyle name="Calculation 4 2 3 6" xfId="51974"/>
    <cellStyle name="Calculation 4 2 3 7" xfId="60737"/>
    <cellStyle name="Calculation 4 2 3 8" xfId="61249"/>
    <cellStyle name="Calculation 4 2 4" xfId="1165"/>
    <cellStyle name="Calculation 4 2 4 2" xfId="1786"/>
    <cellStyle name="Calculation 4 2 4 2 2" xfId="2926"/>
    <cellStyle name="Calculation 4 2 4 2 2 2" xfId="6346"/>
    <cellStyle name="Calculation 4 2 4 2 2 2 2" xfId="13186"/>
    <cellStyle name="Calculation 4 2 4 2 2 3" xfId="9766"/>
    <cellStyle name="Calculation 4 2 4 2 3" xfId="4066"/>
    <cellStyle name="Calculation 4 2 4 2 3 2" xfId="7486"/>
    <cellStyle name="Calculation 4 2 4 2 3 2 2" xfId="14326"/>
    <cellStyle name="Calculation 4 2 4 2 3 3" xfId="10906"/>
    <cellStyle name="Calculation 4 2 4 2 4" xfId="5206"/>
    <cellStyle name="Calculation 4 2 4 2 4 2" xfId="12046"/>
    <cellStyle name="Calculation 4 2 4 2 5" xfId="8626"/>
    <cellStyle name="Calculation 4 2 4 3" xfId="1984"/>
    <cellStyle name="Calculation 4 2 4 3 2" xfId="5404"/>
    <cellStyle name="Calculation 4 2 4 3 2 2" xfId="12244"/>
    <cellStyle name="Calculation 4 2 4 3 3" xfId="8824"/>
    <cellStyle name="Calculation 4 2 4 4" xfId="3124"/>
    <cellStyle name="Calculation 4 2 4 4 2" xfId="6544"/>
    <cellStyle name="Calculation 4 2 4 4 2 2" xfId="13384"/>
    <cellStyle name="Calculation 4 2 4 4 3" xfId="9964"/>
    <cellStyle name="Calculation 4 2 4 5" xfId="4264"/>
    <cellStyle name="Calculation 4 2 4 5 2" xfId="11104"/>
    <cellStyle name="Calculation 4 2 4 6" xfId="7684"/>
    <cellStyle name="Calculation 4 2 4 7" xfId="61856"/>
    <cellStyle name="Calculation 4 2 4 8" xfId="62322"/>
    <cellStyle name="Calculation 4 2 5" xfId="38221"/>
    <cellStyle name="Calculation 4 2 6" xfId="51975"/>
    <cellStyle name="Calculation 4 2 7" xfId="51976"/>
    <cellStyle name="Calculation 4 2 8" xfId="60734"/>
    <cellStyle name="Calculation 4 2 9" xfId="60841"/>
    <cellStyle name="Calculation 4 3" xfId="323"/>
    <cellStyle name="Calculation 4 3 2" xfId="196"/>
    <cellStyle name="Calculation 4 3 2 2" xfId="1204"/>
    <cellStyle name="Calculation 4 3 2 2 2" xfId="1025"/>
    <cellStyle name="Calculation 4 3 2 2 2 2" xfId="2744"/>
    <cellStyle name="Calculation 4 3 2 2 2 2 2" xfId="6164"/>
    <cellStyle name="Calculation 4 3 2 2 2 2 2 2" xfId="13004"/>
    <cellStyle name="Calculation 4 3 2 2 2 2 3" xfId="9584"/>
    <cellStyle name="Calculation 4 3 2 2 2 3" xfId="3884"/>
    <cellStyle name="Calculation 4 3 2 2 2 3 2" xfId="7304"/>
    <cellStyle name="Calculation 4 3 2 2 2 3 2 2" xfId="14144"/>
    <cellStyle name="Calculation 4 3 2 2 2 3 3" xfId="10724"/>
    <cellStyle name="Calculation 4 3 2 2 2 4" xfId="5024"/>
    <cellStyle name="Calculation 4 3 2 2 2 4 2" xfId="11864"/>
    <cellStyle name="Calculation 4 3 2 2 2 5" xfId="8444"/>
    <cellStyle name="Calculation 4 3 2 2 3" xfId="2023"/>
    <cellStyle name="Calculation 4 3 2 2 3 2" xfId="5443"/>
    <cellStyle name="Calculation 4 3 2 2 3 2 2" xfId="12283"/>
    <cellStyle name="Calculation 4 3 2 2 3 3" xfId="8863"/>
    <cellStyle name="Calculation 4 3 2 2 4" xfId="3163"/>
    <cellStyle name="Calculation 4 3 2 2 4 2" xfId="6583"/>
    <cellStyle name="Calculation 4 3 2 2 4 2 2" xfId="13423"/>
    <cellStyle name="Calculation 4 3 2 2 4 3" xfId="10003"/>
    <cellStyle name="Calculation 4 3 2 2 5" xfId="4303"/>
    <cellStyle name="Calculation 4 3 2 2 5 2" xfId="11143"/>
    <cellStyle name="Calculation 4 3 2 2 6" xfId="7723"/>
    <cellStyle name="Calculation 4 3 2 2 7" xfId="61753"/>
    <cellStyle name="Calculation 4 3 2 2 8" xfId="62232"/>
    <cellStyle name="Calculation 4 3 2 3" xfId="38245"/>
    <cellStyle name="Calculation 4 3 2 4" xfId="51977"/>
    <cellStyle name="Calculation 4 3 2 5" xfId="51978"/>
    <cellStyle name="Calculation 4 3 2 6" xfId="51979"/>
    <cellStyle name="Calculation 4 3 2 7" xfId="60739"/>
    <cellStyle name="Calculation 4 3 2 8" xfId="60880"/>
    <cellStyle name="Calculation 4 3 3" xfId="1328"/>
    <cellStyle name="Calculation 4 3 3 2" xfId="963"/>
    <cellStyle name="Calculation 4 3 3 2 2" xfId="2616"/>
    <cellStyle name="Calculation 4 3 3 2 2 2" xfId="6036"/>
    <cellStyle name="Calculation 4 3 3 2 2 2 2" xfId="12876"/>
    <cellStyle name="Calculation 4 3 3 2 2 3" xfId="9456"/>
    <cellStyle name="Calculation 4 3 3 2 3" xfId="3756"/>
    <cellStyle name="Calculation 4 3 3 2 3 2" xfId="7176"/>
    <cellStyle name="Calculation 4 3 3 2 3 2 2" xfId="14016"/>
    <cellStyle name="Calculation 4 3 3 2 3 3" xfId="10596"/>
    <cellStyle name="Calculation 4 3 3 2 4" xfId="4896"/>
    <cellStyle name="Calculation 4 3 3 2 4 2" xfId="11736"/>
    <cellStyle name="Calculation 4 3 3 2 5" xfId="8316"/>
    <cellStyle name="Calculation 4 3 3 3" xfId="2149"/>
    <cellStyle name="Calculation 4 3 3 3 2" xfId="5569"/>
    <cellStyle name="Calculation 4 3 3 3 2 2" xfId="12409"/>
    <cellStyle name="Calculation 4 3 3 3 3" xfId="8989"/>
    <cellStyle name="Calculation 4 3 3 4" xfId="3289"/>
    <cellStyle name="Calculation 4 3 3 4 2" xfId="6709"/>
    <cellStyle name="Calculation 4 3 3 4 2 2" xfId="13549"/>
    <cellStyle name="Calculation 4 3 3 4 3" xfId="10129"/>
    <cellStyle name="Calculation 4 3 3 5" xfId="4429"/>
    <cellStyle name="Calculation 4 3 3 5 2" xfId="11269"/>
    <cellStyle name="Calculation 4 3 3 6" xfId="7849"/>
    <cellStyle name="Calculation 4 3 3 7" xfId="61848"/>
    <cellStyle name="Calculation 4 3 3 8" xfId="62316"/>
    <cellStyle name="Calculation 4 3 4" xfId="38320"/>
    <cellStyle name="Calculation 4 3 5" xfId="51980"/>
    <cellStyle name="Calculation 4 3 6" xfId="51981"/>
    <cellStyle name="Calculation 4 3 7" xfId="60738"/>
    <cellStyle name="Calculation 4 3 8" xfId="61004"/>
    <cellStyle name="Calculation 4 4" xfId="230"/>
    <cellStyle name="Calculation 4 4 2" xfId="185"/>
    <cellStyle name="Calculation 4 4 2 2" xfId="1193"/>
    <cellStyle name="Calculation 4 4 2 2 2" xfId="1829"/>
    <cellStyle name="Calculation 4 4 2 2 2 2" xfId="2969"/>
    <cellStyle name="Calculation 4 4 2 2 2 2 2" xfId="6389"/>
    <cellStyle name="Calculation 4 4 2 2 2 2 2 2" xfId="13229"/>
    <cellStyle name="Calculation 4 4 2 2 2 2 3" xfId="9809"/>
    <cellStyle name="Calculation 4 4 2 2 2 3" xfId="4109"/>
    <cellStyle name="Calculation 4 4 2 2 2 3 2" xfId="7529"/>
    <cellStyle name="Calculation 4 4 2 2 2 3 2 2" xfId="14369"/>
    <cellStyle name="Calculation 4 4 2 2 2 3 3" xfId="10949"/>
    <cellStyle name="Calculation 4 4 2 2 2 4" xfId="5249"/>
    <cellStyle name="Calculation 4 4 2 2 2 4 2" xfId="12089"/>
    <cellStyle name="Calculation 4 4 2 2 2 5" xfId="8669"/>
    <cellStyle name="Calculation 4 4 2 2 3" xfId="2012"/>
    <cellStyle name="Calculation 4 4 2 2 3 2" xfId="5432"/>
    <cellStyle name="Calculation 4 4 2 2 3 2 2" xfId="12272"/>
    <cellStyle name="Calculation 4 4 2 2 3 3" xfId="8852"/>
    <cellStyle name="Calculation 4 4 2 2 4" xfId="3152"/>
    <cellStyle name="Calculation 4 4 2 2 4 2" xfId="6572"/>
    <cellStyle name="Calculation 4 4 2 2 4 2 2" xfId="13412"/>
    <cellStyle name="Calculation 4 4 2 2 4 3" xfId="9992"/>
    <cellStyle name="Calculation 4 4 2 2 5" xfId="4292"/>
    <cellStyle name="Calculation 4 4 2 2 5 2" xfId="11132"/>
    <cellStyle name="Calculation 4 4 2 2 6" xfId="7712"/>
    <cellStyle name="Calculation 4 4 2 2 7" xfId="61752"/>
    <cellStyle name="Calculation 4 4 2 2 8" xfId="62231"/>
    <cellStyle name="Calculation 4 4 2 3" xfId="38240"/>
    <cellStyle name="Calculation 4 4 2 4" xfId="51982"/>
    <cellStyle name="Calculation 4 4 2 5" xfId="51983"/>
    <cellStyle name="Calculation 4 4 2 6" xfId="51984"/>
    <cellStyle name="Calculation 4 4 2 7" xfId="60741"/>
    <cellStyle name="Calculation 4 4 2 8" xfId="60869"/>
    <cellStyle name="Calculation 4 4 3" xfId="1237"/>
    <cellStyle name="Calculation 4 4 3 2" xfId="1750"/>
    <cellStyle name="Calculation 4 4 3 2 2" xfId="2890"/>
    <cellStyle name="Calculation 4 4 3 2 2 2" xfId="6310"/>
    <cellStyle name="Calculation 4 4 3 2 2 2 2" xfId="13150"/>
    <cellStyle name="Calculation 4 4 3 2 2 3" xfId="9730"/>
    <cellStyle name="Calculation 4 4 3 2 3" xfId="4030"/>
    <cellStyle name="Calculation 4 4 3 2 3 2" xfId="7450"/>
    <cellStyle name="Calculation 4 4 3 2 3 2 2" xfId="14290"/>
    <cellStyle name="Calculation 4 4 3 2 3 3" xfId="10870"/>
    <cellStyle name="Calculation 4 4 3 2 4" xfId="5170"/>
    <cellStyle name="Calculation 4 4 3 2 4 2" xfId="12010"/>
    <cellStyle name="Calculation 4 4 3 2 5" xfId="8590"/>
    <cellStyle name="Calculation 4 4 3 3" xfId="2057"/>
    <cellStyle name="Calculation 4 4 3 3 2" xfId="5477"/>
    <cellStyle name="Calculation 4 4 3 3 2 2" xfId="12317"/>
    <cellStyle name="Calculation 4 4 3 3 3" xfId="8897"/>
    <cellStyle name="Calculation 4 4 3 4" xfId="3197"/>
    <cellStyle name="Calculation 4 4 3 4 2" xfId="6617"/>
    <cellStyle name="Calculation 4 4 3 4 2 2" xfId="13457"/>
    <cellStyle name="Calculation 4 4 3 4 3" xfId="10037"/>
    <cellStyle name="Calculation 4 4 3 5" xfId="4337"/>
    <cellStyle name="Calculation 4 4 3 5 2" xfId="11177"/>
    <cellStyle name="Calculation 4 4 3 6" xfId="7757"/>
    <cellStyle name="Calculation 4 4 3 7" xfId="61825"/>
    <cellStyle name="Calculation 4 4 3 8" xfId="62303"/>
    <cellStyle name="Calculation 4 4 4" xfId="38257"/>
    <cellStyle name="Calculation 4 4 5" xfId="51985"/>
    <cellStyle name="Calculation 4 4 6" xfId="51986"/>
    <cellStyle name="Calculation 4 4 7" xfId="60740"/>
    <cellStyle name="Calculation 4 4 8" xfId="60913"/>
    <cellStyle name="Calculation 4 5" xfId="488"/>
    <cellStyle name="Calculation 4 5 2" xfId="387"/>
    <cellStyle name="Calculation 4 5 2 2" xfId="1392"/>
    <cellStyle name="Calculation 4 5 2 2 2" xfId="1747"/>
    <cellStyle name="Calculation 4 5 2 2 2 2" xfId="2887"/>
    <cellStyle name="Calculation 4 5 2 2 2 2 2" xfId="6307"/>
    <cellStyle name="Calculation 4 5 2 2 2 2 2 2" xfId="13147"/>
    <cellStyle name="Calculation 4 5 2 2 2 2 3" xfId="9727"/>
    <cellStyle name="Calculation 4 5 2 2 2 3" xfId="4027"/>
    <cellStyle name="Calculation 4 5 2 2 2 3 2" xfId="7447"/>
    <cellStyle name="Calculation 4 5 2 2 2 3 2 2" xfId="14287"/>
    <cellStyle name="Calculation 4 5 2 2 2 3 3" xfId="10867"/>
    <cellStyle name="Calculation 4 5 2 2 2 4" xfId="5167"/>
    <cellStyle name="Calculation 4 5 2 2 2 4 2" xfId="12007"/>
    <cellStyle name="Calculation 4 5 2 2 2 5" xfId="8587"/>
    <cellStyle name="Calculation 4 5 2 2 3" xfId="2213"/>
    <cellStyle name="Calculation 4 5 2 2 3 2" xfId="5633"/>
    <cellStyle name="Calculation 4 5 2 2 3 2 2" xfId="12473"/>
    <cellStyle name="Calculation 4 5 2 2 3 3" xfId="9053"/>
    <cellStyle name="Calculation 4 5 2 2 4" xfId="3353"/>
    <cellStyle name="Calculation 4 5 2 2 4 2" xfId="6773"/>
    <cellStyle name="Calculation 4 5 2 2 4 2 2" xfId="13613"/>
    <cellStyle name="Calculation 4 5 2 2 4 3" xfId="10193"/>
    <cellStyle name="Calculation 4 5 2 2 5" xfId="4493"/>
    <cellStyle name="Calculation 4 5 2 2 5 2" xfId="11333"/>
    <cellStyle name="Calculation 4 5 2 2 6" xfId="7913"/>
    <cellStyle name="Calculation 4 5 2 2 7" xfId="61466"/>
    <cellStyle name="Calculation 4 5 2 2 8" xfId="62028"/>
    <cellStyle name="Calculation 4 5 2 3" xfId="38369"/>
    <cellStyle name="Calculation 4 5 2 4" xfId="51987"/>
    <cellStyle name="Calculation 4 5 2 5" xfId="51988"/>
    <cellStyle name="Calculation 4 5 2 6" xfId="51989"/>
    <cellStyle name="Calculation 4 5 2 7" xfId="60743"/>
    <cellStyle name="Calculation 4 5 2 8" xfId="61068"/>
    <cellStyle name="Calculation 4 5 3" xfId="1492"/>
    <cellStyle name="Calculation 4 5 3 2" xfId="1700"/>
    <cellStyle name="Calculation 4 5 3 2 2" xfId="2840"/>
    <cellStyle name="Calculation 4 5 3 2 2 2" xfId="6260"/>
    <cellStyle name="Calculation 4 5 3 2 2 2 2" xfId="13100"/>
    <cellStyle name="Calculation 4 5 3 2 2 3" xfId="9680"/>
    <cellStyle name="Calculation 4 5 3 2 3" xfId="3980"/>
    <cellStyle name="Calculation 4 5 3 2 3 2" xfId="7400"/>
    <cellStyle name="Calculation 4 5 3 2 3 2 2" xfId="14240"/>
    <cellStyle name="Calculation 4 5 3 2 3 3" xfId="10820"/>
    <cellStyle name="Calculation 4 5 3 2 4" xfId="5120"/>
    <cellStyle name="Calculation 4 5 3 2 4 2" xfId="11960"/>
    <cellStyle name="Calculation 4 5 3 2 5" xfId="8540"/>
    <cellStyle name="Calculation 4 5 3 3" xfId="2313"/>
    <cellStyle name="Calculation 4 5 3 3 2" xfId="5733"/>
    <cellStyle name="Calculation 4 5 3 3 2 2" xfId="12573"/>
    <cellStyle name="Calculation 4 5 3 3 3" xfId="9153"/>
    <cellStyle name="Calculation 4 5 3 4" xfId="3453"/>
    <cellStyle name="Calculation 4 5 3 4 2" xfId="6873"/>
    <cellStyle name="Calculation 4 5 3 4 2 2" xfId="13713"/>
    <cellStyle name="Calculation 4 5 3 4 3" xfId="10293"/>
    <cellStyle name="Calculation 4 5 3 5" xfId="4593"/>
    <cellStyle name="Calculation 4 5 3 5 2" xfId="11433"/>
    <cellStyle name="Calculation 4 5 3 6" xfId="8013"/>
    <cellStyle name="Calculation 4 5 3 7" xfId="61751"/>
    <cellStyle name="Calculation 4 5 3 8" xfId="62230"/>
    <cellStyle name="Calculation 4 5 4" xfId="38427"/>
    <cellStyle name="Calculation 4 5 5" xfId="51990"/>
    <cellStyle name="Calculation 4 5 6" xfId="51991"/>
    <cellStyle name="Calculation 4 5 7" xfId="51992"/>
    <cellStyle name="Calculation 4 5 8" xfId="60742"/>
    <cellStyle name="Calculation 4 5 9" xfId="61168"/>
    <cellStyle name="Calculation 4 6" xfId="487"/>
    <cellStyle name="Calculation 4 6 2" xfId="410"/>
    <cellStyle name="Calculation 4 6 2 2" xfId="1415"/>
    <cellStyle name="Calculation 4 6 2 2 2" xfId="1689"/>
    <cellStyle name="Calculation 4 6 2 2 2 2" xfId="2829"/>
    <cellStyle name="Calculation 4 6 2 2 2 2 2" xfId="6249"/>
    <cellStyle name="Calculation 4 6 2 2 2 2 2 2" xfId="13089"/>
    <cellStyle name="Calculation 4 6 2 2 2 2 3" xfId="9669"/>
    <cellStyle name="Calculation 4 6 2 2 2 3" xfId="3969"/>
    <cellStyle name="Calculation 4 6 2 2 2 3 2" xfId="7389"/>
    <cellStyle name="Calculation 4 6 2 2 2 3 2 2" xfId="14229"/>
    <cellStyle name="Calculation 4 6 2 2 2 3 3" xfId="10809"/>
    <cellStyle name="Calculation 4 6 2 2 2 4" xfId="5109"/>
    <cellStyle name="Calculation 4 6 2 2 2 4 2" xfId="11949"/>
    <cellStyle name="Calculation 4 6 2 2 2 5" xfId="8529"/>
    <cellStyle name="Calculation 4 6 2 2 3" xfId="2236"/>
    <cellStyle name="Calculation 4 6 2 2 3 2" xfId="5656"/>
    <cellStyle name="Calculation 4 6 2 2 3 2 2" xfId="12496"/>
    <cellStyle name="Calculation 4 6 2 2 3 3" xfId="9076"/>
    <cellStyle name="Calculation 4 6 2 2 4" xfId="3376"/>
    <cellStyle name="Calculation 4 6 2 2 4 2" xfId="6796"/>
    <cellStyle name="Calculation 4 6 2 2 4 2 2" xfId="13636"/>
    <cellStyle name="Calculation 4 6 2 2 4 3" xfId="10216"/>
    <cellStyle name="Calculation 4 6 2 2 5" xfId="4516"/>
    <cellStyle name="Calculation 4 6 2 2 5 2" xfId="11356"/>
    <cellStyle name="Calculation 4 6 2 2 6" xfId="7936"/>
    <cellStyle name="Calculation 4 6 2 2 7" xfId="61748"/>
    <cellStyle name="Calculation 4 6 2 2 8" xfId="62227"/>
    <cellStyle name="Calculation 4 6 2 3" xfId="38386"/>
    <cellStyle name="Calculation 4 6 2 4" xfId="51993"/>
    <cellStyle name="Calculation 4 6 2 5" xfId="51994"/>
    <cellStyle name="Calculation 4 6 2 6" xfId="51995"/>
    <cellStyle name="Calculation 4 6 2 7" xfId="60745"/>
    <cellStyle name="Calculation 4 6 2 8" xfId="61091"/>
    <cellStyle name="Calculation 4 6 3" xfId="1491"/>
    <cellStyle name="Calculation 4 6 3 2" xfId="1727"/>
    <cellStyle name="Calculation 4 6 3 2 2" xfId="2867"/>
    <cellStyle name="Calculation 4 6 3 2 2 2" xfId="6287"/>
    <cellStyle name="Calculation 4 6 3 2 2 2 2" xfId="13127"/>
    <cellStyle name="Calculation 4 6 3 2 2 3" xfId="9707"/>
    <cellStyle name="Calculation 4 6 3 2 3" xfId="4007"/>
    <cellStyle name="Calculation 4 6 3 2 3 2" xfId="7427"/>
    <cellStyle name="Calculation 4 6 3 2 3 2 2" xfId="14267"/>
    <cellStyle name="Calculation 4 6 3 2 3 3" xfId="10847"/>
    <cellStyle name="Calculation 4 6 3 2 4" xfId="5147"/>
    <cellStyle name="Calculation 4 6 3 2 4 2" xfId="11987"/>
    <cellStyle name="Calculation 4 6 3 2 5" xfId="8567"/>
    <cellStyle name="Calculation 4 6 3 3" xfId="2312"/>
    <cellStyle name="Calculation 4 6 3 3 2" xfId="5732"/>
    <cellStyle name="Calculation 4 6 3 3 2 2" xfId="12572"/>
    <cellStyle name="Calculation 4 6 3 3 3" xfId="9152"/>
    <cellStyle name="Calculation 4 6 3 4" xfId="3452"/>
    <cellStyle name="Calculation 4 6 3 4 2" xfId="6872"/>
    <cellStyle name="Calculation 4 6 3 4 2 2" xfId="13712"/>
    <cellStyle name="Calculation 4 6 3 4 3" xfId="10292"/>
    <cellStyle name="Calculation 4 6 3 5" xfId="4592"/>
    <cellStyle name="Calculation 4 6 3 5 2" xfId="11432"/>
    <cellStyle name="Calculation 4 6 3 6" xfId="8012"/>
    <cellStyle name="Calculation 4 6 3 7" xfId="61749"/>
    <cellStyle name="Calculation 4 6 3 8" xfId="62228"/>
    <cellStyle name="Calculation 4 6 4" xfId="38426"/>
    <cellStyle name="Calculation 4 6 5" xfId="51996"/>
    <cellStyle name="Calculation 4 6 6" xfId="51997"/>
    <cellStyle name="Calculation 4 6 7" xfId="51998"/>
    <cellStyle name="Calculation 4 6 8" xfId="60744"/>
    <cellStyle name="Calculation 4 6 9" xfId="61167"/>
    <cellStyle name="Calculation 4 7" xfId="1114"/>
    <cellStyle name="Calculation 4 7 2" xfId="1069"/>
    <cellStyle name="Calculation 4 7 2 2" xfId="2703"/>
    <cellStyle name="Calculation 4 7 2 2 2" xfId="6123"/>
    <cellStyle name="Calculation 4 7 2 2 2 2" xfId="12963"/>
    <cellStyle name="Calculation 4 7 2 2 3" xfId="9543"/>
    <cellStyle name="Calculation 4 7 2 3" xfId="3843"/>
    <cellStyle name="Calculation 4 7 2 3 2" xfId="7263"/>
    <cellStyle name="Calculation 4 7 2 3 2 2" xfId="14103"/>
    <cellStyle name="Calculation 4 7 2 3 3" xfId="10683"/>
    <cellStyle name="Calculation 4 7 2 4" xfId="4983"/>
    <cellStyle name="Calculation 4 7 2 4 2" xfId="11823"/>
    <cellStyle name="Calculation 4 7 2 5" xfId="8403"/>
    <cellStyle name="Calculation 4 7 3" xfId="1928"/>
    <cellStyle name="Calculation 4 7 3 2" xfId="5348"/>
    <cellStyle name="Calculation 4 7 3 2 2" xfId="12188"/>
    <cellStyle name="Calculation 4 7 3 3" xfId="8768"/>
    <cellStyle name="Calculation 4 7 4" xfId="3068"/>
    <cellStyle name="Calculation 4 7 4 2" xfId="6488"/>
    <cellStyle name="Calculation 4 7 4 2 2" xfId="13328"/>
    <cellStyle name="Calculation 4 7 4 3" xfId="9908"/>
    <cellStyle name="Calculation 4 7 5" xfId="4208"/>
    <cellStyle name="Calculation 4 7 5 2" xfId="11048"/>
    <cellStyle name="Calculation 4 7 6" xfId="7628"/>
    <cellStyle name="Calculation 4 8" xfId="38191"/>
    <cellStyle name="Calculation 4 9" xfId="51999"/>
    <cellStyle name="Calculation 5" xfId="103"/>
    <cellStyle name="Calculation 5 10" xfId="52000"/>
    <cellStyle name="Calculation 5 11" xfId="60746"/>
    <cellStyle name="Calculation 5 12" xfId="60795"/>
    <cellStyle name="Calculation 5 2" xfId="162"/>
    <cellStyle name="Calculation 5 2 10" xfId="60846"/>
    <cellStyle name="Calculation 5 2 2" xfId="288"/>
    <cellStyle name="Calculation 5 2 2 2" xfId="697"/>
    <cellStyle name="Calculation 5 2 2 2 2" xfId="1648"/>
    <cellStyle name="Calculation 5 2 2 2 2 2" xfId="759"/>
    <cellStyle name="Calculation 5 2 2 2 2 2 2" xfId="2723"/>
    <cellStyle name="Calculation 5 2 2 2 2 2 2 2" xfId="6143"/>
    <cellStyle name="Calculation 5 2 2 2 2 2 2 2 2" xfId="12983"/>
    <cellStyle name="Calculation 5 2 2 2 2 2 2 3" xfId="9563"/>
    <cellStyle name="Calculation 5 2 2 2 2 2 3" xfId="3863"/>
    <cellStyle name="Calculation 5 2 2 2 2 2 3 2" xfId="7283"/>
    <cellStyle name="Calculation 5 2 2 2 2 2 3 2 2" xfId="14123"/>
    <cellStyle name="Calculation 5 2 2 2 2 2 3 3" xfId="10703"/>
    <cellStyle name="Calculation 5 2 2 2 2 2 4" xfId="5003"/>
    <cellStyle name="Calculation 5 2 2 2 2 2 4 2" xfId="11843"/>
    <cellStyle name="Calculation 5 2 2 2 2 2 5" xfId="8423"/>
    <cellStyle name="Calculation 5 2 2 2 2 3" xfId="2482"/>
    <cellStyle name="Calculation 5 2 2 2 2 3 2" xfId="5902"/>
    <cellStyle name="Calculation 5 2 2 2 2 3 2 2" xfId="12742"/>
    <cellStyle name="Calculation 5 2 2 2 2 3 3" xfId="9322"/>
    <cellStyle name="Calculation 5 2 2 2 2 4" xfId="3622"/>
    <cellStyle name="Calculation 5 2 2 2 2 4 2" xfId="7042"/>
    <cellStyle name="Calculation 5 2 2 2 2 4 2 2" xfId="13882"/>
    <cellStyle name="Calculation 5 2 2 2 2 4 3" xfId="10462"/>
    <cellStyle name="Calculation 5 2 2 2 2 5" xfId="4762"/>
    <cellStyle name="Calculation 5 2 2 2 2 5 2" xfId="11602"/>
    <cellStyle name="Calculation 5 2 2 2 2 6" xfId="8182"/>
    <cellStyle name="Calculation 5 2 2 2 2 7" xfId="61745"/>
    <cellStyle name="Calculation 5 2 2 2 2 8" xfId="62224"/>
    <cellStyle name="Calculation 5 2 2 2 3" xfId="38541"/>
    <cellStyle name="Calculation 5 2 2 2 4" xfId="52001"/>
    <cellStyle name="Calculation 5 2 2 2 5" xfId="52002"/>
    <cellStyle name="Calculation 5 2 2 2 6" xfId="52003"/>
    <cellStyle name="Calculation 5 2 2 2 7" xfId="60749"/>
    <cellStyle name="Calculation 5 2 2 2 8" xfId="61250"/>
    <cellStyle name="Calculation 5 2 2 3" xfId="1294"/>
    <cellStyle name="Calculation 5 2 2 3 2" xfId="1676"/>
    <cellStyle name="Calculation 5 2 2 3 2 2" xfId="2816"/>
    <cellStyle name="Calculation 5 2 2 3 2 2 2" xfId="6236"/>
    <cellStyle name="Calculation 5 2 2 3 2 2 2 2" xfId="13076"/>
    <cellStyle name="Calculation 5 2 2 3 2 2 3" xfId="9656"/>
    <cellStyle name="Calculation 5 2 2 3 2 3" xfId="3956"/>
    <cellStyle name="Calculation 5 2 2 3 2 3 2" xfId="7376"/>
    <cellStyle name="Calculation 5 2 2 3 2 3 2 2" xfId="14216"/>
    <cellStyle name="Calculation 5 2 2 3 2 3 3" xfId="10796"/>
    <cellStyle name="Calculation 5 2 2 3 2 4" xfId="5096"/>
    <cellStyle name="Calculation 5 2 2 3 2 4 2" xfId="11936"/>
    <cellStyle name="Calculation 5 2 2 3 2 5" xfId="8516"/>
    <cellStyle name="Calculation 5 2 2 3 3" xfId="2114"/>
    <cellStyle name="Calculation 5 2 2 3 3 2" xfId="5534"/>
    <cellStyle name="Calculation 5 2 2 3 3 2 2" xfId="12374"/>
    <cellStyle name="Calculation 5 2 2 3 3 3" xfId="8954"/>
    <cellStyle name="Calculation 5 2 2 3 4" xfId="3254"/>
    <cellStyle name="Calculation 5 2 2 3 4 2" xfId="6674"/>
    <cellStyle name="Calculation 5 2 2 3 4 2 2" xfId="13514"/>
    <cellStyle name="Calculation 5 2 2 3 4 3" xfId="10094"/>
    <cellStyle name="Calculation 5 2 2 3 5" xfId="4394"/>
    <cellStyle name="Calculation 5 2 2 3 5 2" xfId="11234"/>
    <cellStyle name="Calculation 5 2 2 3 6" xfId="7814"/>
    <cellStyle name="Calculation 5 2 2 3 7" xfId="61746"/>
    <cellStyle name="Calculation 5 2 2 3 8" xfId="62225"/>
    <cellStyle name="Calculation 5 2 2 4" xfId="38304"/>
    <cellStyle name="Calculation 5 2 2 5" xfId="52004"/>
    <cellStyle name="Calculation 5 2 2 6" xfId="52005"/>
    <cellStyle name="Calculation 5 2 2 7" xfId="52006"/>
    <cellStyle name="Calculation 5 2 2 8" xfId="60748"/>
    <cellStyle name="Calculation 5 2 2 9" xfId="60970"/>
    <cellStyle name="Calculation 5 2 3" xfId="609"/>
    <cellStyle name="Calculation 5 2 3 2" xfId="1596"/>
    <cellStyle name="Calculation 5 2 3 2 2" xfId="811"/>
    <cellStyle name="Calculation 5 2 3 2 2 2" xfId="2732"/>
    <cellStyle name="Calculation 5 2 3 2 2 2 2" xfId="6152"/>
    <cellStyle name="Calculation 5 2 3 2 2 2 2 2" xfId="12992"/>
    <cellStyle name="Calculation 5 2 3 2 2 2 3" xfId="9572"/>
    <cellStyle name="Calculation 5 2 3 2 2 3" xfId="3872"/>
    <cellStyle name="Calculation 5 2 3 2 2 3 2" xfId="7292"/>
    <cellStyle name="Calculation 5 2 3 2 2 3 2 2" xfId="14132"/>
    <cellStyle name="Calculation 5 2 3 2 2 3 3" xfId="10712"/>
    <cellStyle name="Calculation 5 2 3 2 2 4" xfId="5012"/>
    <cellStyle name="Calculation 5 2 3 2 2 4 2" xfId="11852"/>
    <cellStyle name="Calculation 5 2 3 2 2 5" xfId="8432"/>
    <cellStyle name="Calculation 5 2 3 2 3" xfId="2421"/>
    <cellStyle name="Calculation 5 2 3 2 3 2" xfId="5841"/>
    <cellStyle name="Calculation 5 2 3 2 3 2 2" xfId="12681"/>
    <cellStyle name="Calculation 5 2 3 2 3 3" xfId="9261"/>
    <cellStyle name="Calculation 5 2 3 2 4" xfId="3561"/>
    <cellStyle name="Calculation 5 2 3 2 4 2" xfId="6981"/>
    <cellStyle name="Calculation 5 2 3 2 4 2 2" xfId="13821"/>
    <cellStyle name="Calculation 5 2 3 2 4 3" xfId="10401"/>
    <cellStyle name="Calculation 5 2 3 2 5" xfId="4701"/>
    <cellStyle name="Calculation 5 2 3 2 5 2" xfId="11541"/>
    <cellStyle name="Calculation 5 2 3 2 6" xfId="8121"/>
    <cellStyle name="Calculation 5 2 3 2 7" xfId="61744"/>
    <cellStyle name="Calculation 5 2 3 2 8" xfId="62223"/>
    <cellStyle name="Calculation 5 2 3 3" xfId="38490"/>
    <cellStyle name="Calculation 5 2 3 4" xfId="52007"/>
    <cellStyle name="Calculation 5 2 3 5" xfId="52008"/>
    <cellStyle name="Calculation 5 2 3 6" xfId="52009"/>
    <cellStyle name="Calculation 5 2 3 7" xfId="60750"/>
    <cellStyle name="Calculation 5 2 3 8" xfId="61251"/>
    <cellStyle name="Calculation 5 2 4" xfId="1170"/>
    <cellStyle name="Calculation 5 2 4 2" xfId="1043"/>
    <cellStyle name="Calculation 5 2 4 2 2" xfId="2705"/>
    <cellStyle name="Calculation 5 2 4 2 2 2" xfId="6125"/>
    <cellStyle name="Calculation 5 2 4 2 2 2 2" xfId="12965"/>
    <cellStyle name="Calculation 5 2 4 2 2 3" xfId="9545"/>
    <cellStyle name="Calculation 5 2 4 2 3" xfId="3845"/>
    <cellStyle name="Calculation 5 2 4 2 3 2" xfId="7265"/>
    <cellStyle name="Calculation 5 2 4 2 3 2 2" xfId="14105"/>
    <cellStyle name="Calculation 5 2 4 2 3 3" xfId="10685"/>
    <cellStyle name="Calculation 5 2 4 2 4" xfId="4985"/>
    <cellStyle name="Calculation 5 2 4 2 4 2" xfId="11825"/>
    <cellStyle name="Calculation 5 2 4 2 5" xfId="8405"/>
    <cellStyle name="Calculation 5 2 4 3" xfId="1989"/>
    <cellStyle name="Calculation 5 2 4 3 2" xfId="5409"/>
    <cellStyle name="Calculation 5 2 4 3 2 2" xfId="12249"/>
    <cellStyle name="Calculation 5 2 4 3 3" xfId="8829"/>
    <cellStyle name="Calculation 5 2 4 4" xfId="3129"/>
    <cellStyle name="Calculation 5 2 4 4 2" xfId="6549"/>
    <cellStyle name="Calculation 5 2 4 4 2 2" xfId="13389"/>
    <cellStyle name="Calculation 5 2 4 4 3" xfId="9969"/>
    <cellStyle name="Calculation 5 2 4 5" xfId="4269"/>
    <cellStyle name="Calculation 5 2 4 5 2" xfId="11109"/>
    <cellStyle name="Calculation 5 2 4 6" xfId="7689"/>
    <cellStyle name="Calculation 5 2 4 7" xfId="61747"/>
    <cellStyle name="Calculation 5 2 4 8" xfId="62226"/>
    <cellStyle name="Calculation 5 2 5" xfId="38226"/>
    <cellStyle name="Calculation 5 2 6" xfId="52010"/>
    <cellStyle name="Calculation 5 2 7" xfId="52011"/>
    <cellStyle name="Calculation 5 2 8" xfId="52012"/>
    <cellStyle name="Calculation 5 2 9" xfId="60747"/>
    <cellStyle name="Calculation 5 3" xfId="328"/>
    <cellStyle name="Calculation 5 3 2" xfId="477"/>
    <cellStyle name="Calculation 5 3 2 2" xfId="1481"/>
    <cellStyle name="Calculation 5 3 2 2 2" xfId="868"/>
    <cellStyle name="Calculation 5 3 2 2 2 2" xfId="2767"/>
    <cellStyle name="Calculation 5 3 2 2 2 2 2" xfId="6187"/>
    <cellStyle name="Calculation 5 3 2 2 2 2 2 2" xfId="13027"/>
    <cellStyle name="Calculation 5 3 2 2 2 2 3" xfId="9607"/>
    <cellStyle name="Calculation 5 3 2 2 2 3" xfId="3907"/>
    <cellStyle name="Calculation 5 3 2 2 2 3 2" xfId="7327"/>
    <cellStyle name="Calculation 5 3 2 2 2 3 2 2" xfId="14167"/>
    <cellStyle name="Calculation 5 3 2 2 2 3 3" xfId="10747"/>
    <cellStyle name="Calculation 5 3 2 2 2 4" xfId="5047"/>
    <cellStyle name="Calculation 5 3 2 2 2 4 2" xfId="11887"/>
    <cellStyle name="Calculation 5 3 2 2 2 5" xfId="8467"/>
    <cellStyle name="Calculation 5 3 2 2 3" xfId="2302"/>
    <cellStyle name="Calculation 5 3 2 2 3 2" xfId="5722"/>
    <cellStyle name="Calculation 5 3 2 2 3 2 2" xfId="12562"/>
    <cellStyle name="Calculation 5 3 2 2 3 3" xfId="9142"/>
    <cellStyle name="Calculation 5 3 2 2 4" xfId="3442"/>
    <cellStyle name="Calculation 5 3 2 2 4 2" xfId="6862"/>
    <cellStyle name="Calculation 5 3 2 2 4 2 2" xfId="13702"/>
    <cellStyle name="Calculation 5 3 2 2 4 3" xfId="10282"/>
    <cellStyle name="Calculation 5 3 2 2 5" xfId="4582"/>
    <cellStyle name="Calculation 5 3 2 2 5 2" xfId="11422"/>
    <cellStyle name="Calculation 5 3 2 2 6" xfId="8002"/>
    <cellStyle name="Calculation 5 3 2 2 7" xfId="61742"/>
    <cellStyle name="Calculation 5 3 2 2 8" xfId="62221"/>
    <cellStyle name="Calculation 5 3 2 3" xfId="38425"/>
    <cellStyle name="Calculation 5 3 2 4" xfId="52013"/>
    <cellStyle name="Calculation 5 3 2 5" xfId="52014"/>
    <cellStyle name="Calculation 5 3 2 6" xfId="52015"/>
    <cellStyle name="Calculation 5 3 2 7" xfId="60752"/>
    <cellStyle name="Calculation 5 3 2 8" xfId="61157"/>
    <cellStyle name="Calculation 5 3 3" xfId="1333"/>
    <cellStyle name="Calculation 5 3 3 2" xfId="959"/>
    <cellStyle name="Calculation 5 3 3 2 2" xfId="2580"/>
    <cellStyle name="Calculation 5 3 3 2 2 2" xfId="6000"/>
    <cellStyle name="Calculation 5 3 3 2 2 2 2" xfId="12840"/>
    <cellStyle name="Calculation 5 3 3 2 2 3" xfId="9420"/>
    <cellStyle name="Calculation 5 3 3 2 3" xfId="3720"/>
    <cellStyle name="Calculation 5 3 3 2 3 2" xfId="7140"/>
    <cellStyle name="Calculation 5 3 3 2 3 2 2" xfId="13980"/>
    <cellStyle name="Calculation 5 3 3 2 3 3" xfId="10560"/>
    <cellStyle name="Calculation 5 3 3 2 4" xfId="4860"/>
    <cellStyle name="Calculation 5 3 3 2 4 2" xfId="11700"/>
    <cellStyle name="Calculation 5 3 3 2 5" xfId="8280"/>
    <cellStyle name="Calculation 5 3 3 3" xfId="2154"/>
    <cellStyle name="Calculation 5 3 3 3 2" xfId="5574"/>
    <cellStyle name="Calculation 5 3 3 3 2 2" xfId="12414"/>
    <cellStyle name="Calculation 5 3 3 3 3" xfId="8994"/>
    <cellStyle name="Calculation 5 3 3 4" xfId="3294"/>
    <cellStyle name="Calculation 5 3 3 4 2" xfId="6714"/>
    <cellStyle name="Calculation 5 3 3 4 2 2" xfId="13554"/>
    <cellStyle name="Calculation 5 3 3 4 3" xfId="10134"/>
    <cellStyle name="Calculation 5 3 3 5" xfId="4434"/>
    <cellStyle name="Calculation 5 3 3 5 2" xfId="11274"/>
    <cellStyle name="Calculation 5 3 3 6" xfId="7854"/>
    <cellStyle name="Calculation 5 3 3 7" xfId="61743"/>
    <cellStyle name="Calculation 5 3 3 8" xfId="62222"/>
    <cellStyle name="Calculation 5 3 4" xfId="38325"/>
    <cellStyle name="Calculation 5 3 5" xfId="52016"/>
    <cellStyle name="Calculation 5 3 6" xfId="52017"/>
    <cellStyle name="Calculation 5 3 7" xfId="52018"/>
    <cellStyle name="Calculation 5 3 8" xfId="60751"/>
    <cellStyle name="Calculation 5 3 9" xfId="61009"/>
    <cellStyle name="Calculation 5 4" xfId="235"/>
    <cellStyle name="Calculation 5 4 2" xfId="173"/>
    <cellStyle name="Calculation 5 4 2 2" xfId="1181"/>
    <cellStyle name="Calculation 5 4 2 2 2" xfId="1038"/>
    <cellStyle name="Calculation 5 4 2 2 2 2" xfId="2610"/>
    <cellStyle name="Calculation 5 4 2 2 2 2 2" xfId="6030"/>
    <cellStyle name="Calculation 5 4 2 2 2 2 2 2" xfId="12870"/>
    <cellStyle name="Calculation 5 4 2 2 2 2 3" xfId="9450"/>
    <cellStyle name="Calculation 5 4 2 2 2 3" xfId="3750"/>
    <cellStyle name="Calculation 5 4 2 2 2 3 2" xfId="7170"/>
    <cellStyle name="Calculation 5 4 2 2 2 3 2 2" xfId="14010"/>
    <cellStyle name="Calculation 5 4 2 2 2 3 3" xfId="10590"/>
    <cellStyle name="Calculation 5 4 2 2 2 4" xfId="4890"/>
    <cellStyle name="Calculation 5 4 2 2 2 4 2" xfId="11730"/>
    <cellStyle name="Calculation 5 4 2 2 2 5" xfId="8310"/>
    <cellStyle name="Calculation 5 4 2 2 3" xfId="2000"/>
    <cellStyle name="Calculation 5 4 2 2 3 2" xfId="5420"/>
    <cellStyle name="Calculation 5 4 2 2 3 2 2" xfId="12260"/>
    <cellStyle name="Calculation 5 4 2 2 3 3" xfId="8840"/>
    <cellStyle name="Calculation 5 4 2 2 4" xfId="3140"/>
    <cellStyle name="Calculation 5 4 2 2 4 2" xfId="6560"/>
    <cellStyle name="Calculation 5 4 2 2 4 2 2" xfId="13400"/>
    <cellStyle name="Calculation 5 4 2 2 4 3" xfId="9980"/>
    <cellStyle name="Calculation 5 4 2 2 5" xfId="4280"/>
    <cellStyle name="Calculation 5 4 2 2 5 2" xfId="11120"/>
    <cellStyle name="Calculation 5 4 2 2 6" xfId="7700"/>
    <cellStyle name="Calculation 5 4 2 2 7" xfId="61740"/>
    <cellStyle name="Calculation 5 4 2 2 8" xfId="62219"/>
    <cellStyle name="Calculation 5 4 2 3" xfId="38233"/>
    <cellStyle name="Calculation 5 4 2 4" xfId="52019"/>
    <cellStyle name="Calculation 5 4 2 5" xfId="52020"/>
    <cellStyle name="Calculation 5 4 2 6" xfId="52021"/>
    <cellStyle name="Calculation 5 4 2 7" xfId="60754"/>
    <cellStyle name="Calculation 5 4 2 8" xfId="60857"/>
    <cellStyle name="Calculation 5 4 3" xfId="1242"/>
    <cellStyle name="Calculation 5 4 3 2" xfId="1006"/>
    <cellStyle name="Calculation 5 4 3 2 2" xfId="1894"/>
    <cellStyle name="Calculation 5 4 3 2 2 2" xfId="5314"/>
    <cellStyle name="Calculation 5 4 3 2 2 2 2" xfId="12154"/>
    <cellStyle name="Calculation 5 4 3 2 2 3" xfId="8734"/>
    <cellStyle name="Calculation 5 4 3 2 3" xfId="3034"/>
    <cellStyle name="Calculation 5 4 3 2 3 2" xfId="6454"/>
    <cellStyle name="Calculation 5 4 3 2 3 2 2" xfId="13294"/>
    <cellStyle name="Calculation 5 4 3 2 3 3" xfId="9874"/>
    <cellStyle name="Calculation 5 4 3 2 4" xfId="4174"/>
    <cellStyle name="Calculation 5 4 3 2 4 2" xfId="11014"/>
    <cellStyle name="Calculation 5 4 3 2 5" xfId="7594"/>
    <cellStyle name="Calculation 5 4 3 3" xfId="2062"/>
    <cellStyle name="Calculation 5 4 3 3 2" xfId="5482"/>
    <cellStyle name="Calculation 5 4 3 3 2 2" xfId="12322"/>
    <cellStyle name="Calculation 5 4 3 3 3" xfId="8902"/>
    <cellStyle name="Calculation 5 4 3 4" xfId="3202"/>
    <cellStyle name="Calculation 5 4 3 4 2" xfId="6622"/>
    <cellStyle name="Calculation 5 4 3 4 2 2" xfId="13462"/>
    <cellStyle name="Calculation 5 4 3 4 3" xfId="10042"/>
    <cellStyle name="Calculation 5 4 3 5" xfId="4342"/>
    <cellStyle name="Calculation 5 4 3 5 2" xfId="11182"/>
    <cellStyle name="Calculation 5 4 3 6" xfId="7762"/>
    <cellStyle name="Calculation 5 4 3 7" xfId="61741"/>
    <cellStyle name="Calculation 5 4 3 8" xfId="62220"/>
    <cellStyle name="Calculation 5 4 4" xfId="38262"/>
    <cellStyle name="Calculation 5 4 5" xfId="52022"/>
    <cellStyle name="Calculation 5 4 6" xfId="52023"/>
    <cellStyle name="Calculation 5 4 7" xfId="52024"/>
    <cellStyle name="Calculation 5 4 8" xfId="60753"/>
    <cellStyle name="Calculation 5 4 9" xfId="60918"/>
    <cellStyle name="Calculation 5 5" xfId="493"/>
    <cellStyle name="Calculation 5 5 2" xfId="190"/>
    <cellStyle name="Calculation 5 5 2 2" xfId="1198"/>
    <cellStyle name="Calculation 5 5 2 2 2" xfId="1840"/>
    <cellStyle name="Calculation 5 5 2 2 2 2" xfId="2980"/>
    <cellStyle name="Calculation 5 5 2 2 2 2 2" xfId="6400"/>
    <cellStyle name="Calculation 5 5 2 2 2 2 2 2" xfId="13240"/>
    <cellStyle name="Calculation 5 5 2 2 2 2 3" xfId="9820"/>
    <cellStyle name="Calculation 5 5 2 2 2 3" xfId="4120"/>
    <cellStyle name="Calculation 5 5 2 2 2 3 2" xfId="7540"/>
    <cellStyle name="Calculation 5 5 2 2 2 3 2 2" xfId="14380"/>
    <cellStyle name="Calculation 5 5 2 2 2 3 3" xfId="10960"/>
    <cellStyle name="Calculation 5 5 2 2 2 4" xfId="5260"/>
    <cellStyle name="Calculation 5 5 2 2 2 4 2" xfId="12100"/>
    <cellStyle name="Calculation 5 5 2 2 2 5" xfId="8680"/>
    <cellStyle name="Calculation 5 5 2 2 3" xfId="2017"/>
    <cellStyle name="Calculation 5 5 2 2 3 2" xfId="5437"/>
    <cellStyle name="Calculation 5 5 2 2 3 2 2" xfId="12277"/>
    <cellStyle name="Calculation 5 5 2 2 3 3" xfId="8857"/>
    <cellStyle name="Calculation 5 5 2 2 4" xfId="3157"/>
    <cellStyle name="Calculation 5 5 2 2 4 2" xfId="6577"/>
    <cellStyle name="Calculation 5 5 2 2 4 2 2" xfId="13417"/>
    <cellStyle name="Calculation 5 5 2 2 4 3" xfId="9997"/>
    <cellStyle name="Calculation 5 5 2 2 5" xfId="4297"/>
    <cellStyle name="Calculation 5 5 2 2 5 2" xfId="11137"/>
    <cellStyle name="Calculation 5 5 2 2 6" xfId="7717"/>
    <cellStyle name="Calculation 5 5 2 2 7" xfId="61738"/>
    <cellStyle name="Calculation 5 5 2 2 8" xfId="62217"/>
    <cellStyle name="Calculation 5 5 2 3" xfId="38244"/>
    <cellStyle name="Calculation 5 5 2 4" xfId="52025"/>
    <cellStyle name="Calculation 5 5 2 5" xfId="52026"/>
    <cellStyle name="Calculation 5 5 2 6" xfId="52027"/>
    <cellStyle name="Calculation 5 5 2 7" xfId="60756"/>
    <cellStyle name="Calculation 5 5 2 8" xfId="60874"/>
    <cellStyle name="Calculation 5 5 3" xfId="1497"/>
    <cellStyle name="Calculation 5 5 3 2" xfId="861"/>
    <cellStyle name="Calculation 5 5 3 2 2" xfId="1926"/>
    <cellStyle name="Calculation 5 5 3 2 2 2" xfId="5346"/>
    <cellStyle name="Calculation 5 5 3 2 2 2 2" xfId="12186"/>
    <cellStyle name="Calculation 5 5 3 2 2 3" xfId="8766"/>
    <cellStyle name="Calculation 5 5 3 2 3" xfId="3066"/>
    <cellStyle name="Calculation 5 5 3 2 3 2" xfId="6486"/>
    <cellStyle name="Calculation 5 5 3 2 3 2 2" xfId="13326"/>
    <cellStyle name="Calculation 5 5 3 2 3 3" xfId="9906"/>
    <cellStyle name="Calculation 5 5 3 2 4" xfId="4206"/>
    <cellStyle name="Calculation 5 5 3 2 4 2" xfId="11046"/>
    <cellStyle name="Calculation 5 5 3 2 5" xfId="7626"/>
    <cellStyle name="Calculation 5 5 3 3" xfId="2318"/>
    <cellStyle name="Calculation 5 5 3 3 2" xfId="5738"/>
    <cellStyle name="Calculation 5 5 3 3 2 2" xfId="12578"/>
    <cellStyle name="Calculation 5 5 3 3 3" xfId="9158"/>
    <cellStyle name="Calculation 5 5 3 4" xfId="3458"/>
    <cellStyle name="Calculation 5 5 3 4 2" xfId="6878"/>
    <cellStyle name="Calculation 5 5 3 4 2 2" xfId="13718"/>
    <cellStyle name="Calculation 5 5 3 4 3" xfId="10298"/>
    <cellStyle name="Calculation 5 5 3 5" xfId="4598"/>
    <cellStyle name="Calculation 5 5 3 5 2" xfId="11438"/>
    <cellStyle name="Calculation 5 5 3 6" xfId="8018"/>
    <cellStyle name="Calculation 5 5 3 7" xfId="61739"/>
    <cellStyle name="Calculation 5 5 3 8" xfId="62218"/>
    <cellStyle name="Calculation 5 5 4" xfId="38432"/>
    <cellStyle name="Calculation 5 5 5" xfId="52028"/>
    <cellStyle name="Calculation 5 5 6" xfId="52029"/>
    <cellStyle name="Calculation 5 5 7" xfId="52030"/>
    <cellStyle name="Calculation 5 5 8" xfId="60755"/>
    <cellStyle name="Calculation 5 5 9" xfId="61173"/>
    <cellStyle name="Calculation 5 6" xfId="513"/>
    <cellStyle name="Calculation 5 6 2" xfId="428"/>
    <cellStyle name="Calculation 5 6 2 2" xfId="1433"/>
    <cellStyle name="Calculation 5 6 2 2 2" xfId="1715"/>
    <cellStyle name="Calculation 5 6 2 2 2 2" xfId="2855"/>
    <cellStyle name="Calculation 5 6 2 2 2 2 2" xfId="6275"/>
    <cellStyle name="Calculation 5 6 2 2 2 2 2 2" xfId="13115"/>
    <cellStyle name="Calculation 5 6 2 2 2 2 3" xfId="9695"/>
    <cellStyle name="Calculation 5 6 2 2 2 3" xfId="3995"/>
    <cellStyle name="Calculation 5 6 2 2 2 3 2" xfId="7415"/>
    <cellStyle name="Calculation 5 6 2 2 2 3 2 2" xfId="14255"/>
    <cellStyle name="Calculation 5 6 2 2 2 3 3" xfId="10835"/>
    <cellStyle name="Calculation 5 6 2 2 2 4" xfId="5135"/>
    <cellStyle name="Calculation 5 6 2 2 2 4 2" xfId="11975"/>
    <cellStyle name="Calculation 5 6 2 2 2 5" xfId="8555"/>
    <cellStyle name="Calculation 5 6 2 2 3" xfId="2254"/>
    <cellStyle name="Calculation 5 6 2 2 3 2" xfId="5674"/>
    <cellStyle name="Calculation 5 6 2 2 3 2 2" xfId="12514"/>
    <cellStyle name="Calculation 5 6 2 2 3 3" xfId="9094"/>
    <cellStyle name="Calculation 5 6 2 2 4" xfId="3394"/>
    <cellStyle name="Calculation 5 6 2 2 4 2" xfId="6814"/>
    <cellStyle name="Calculation 5 6 2 2 4 2 2" xfId="13654"/>
    <cellStyle name="Calculation 5 6 2 2 4 3" xfId="10234"/>
    <cellStyle name="Calculation 5 6 2 2 5" xfId="4534"/>
    <cellStyle name="Calculation 5 6 2 2 5 2" xfId="11374"/>
    <cellStyle name="Calculation 5 6 2 2 6" xfId="7954"/>
    <cellStyle name="Calculation 5 6 2 2 7" xfId="61736"/>
    <cellStyle name="Calculation 5 6 2 2 8" xfId="62216"/>
    <cellStyle name="Calculation 5 6 2 3" xfId="38394"/>
    <cellStyle name="Calculation 5 6 2 4" xfId="52031"/>
    <cellStyle name="Calculation 5 6 2 5" xfId="52032"/>
    <cellStyle name="Calculation 5 6 2 6" xfId="52033"/>
    <cellStyle name="Calculation 5 6 2 7" xfId="60758"/>
    <cellStyle name="Calculation 5 6 2 8" xfId="61109"/>
    <cellStyle name="Calculation 5 6 3" xfId="1517"/>
    <cellStyle name="Calculation 5 6 3 2" xfId="1717"/>
    <cellStyle name="Calculation 5 6 3 2 2" xfId="2857"/>
    <cellStyle name="Calculation 5 6 3 2 2 2" xfId="6277"/>
    <cellStyle name="Calculation 5 6 3 2 2 2 2" xfId="13117"/>
    <cellStyle name="Calculation 5 6 3 2 2 3" xfId="9697"/>
    <cellStyle name="Calculation 5 6 3 2 3" xfId="3997"/>
    <cellStyle name="Calculation 5 6 3 2 3 2" xfId="7417"/>
    <cellStyle name="Calculation 5 6 3 2 3 2 2" xfId="14257"/>
    <cellStyle name="Calculation 5 6 3 2 3 3" xfId="10837"/>
    <cellStyle name="Calculation 5 6 3 2 4" xfId="5137"/>
    <cellStyle name="Calculation 5 6 3 2 4 2" xfId="11977"/>
    <cellStyle name="Calculation 5 6 3 2 5" xfId="8557"/>
    <cellStyle name="Calculation 5 6 3 3" xfId="2338"/>
    <cellStyle name="Calculation 5 6 3 3 2" xfId="5758"/>
    <cellStyle name="Calculation 5 6 3 3 2 2" xfId="12598"/>
    <cellStyle name="Calculation 5 6 3 3 3" xfId="9178"/>
    <cellStyle name="Calculation 5 6 3 4" xfId="3478"/>
    <cellStyle name="Calculation 5 6 3 4 2" xfId="6898"/>
    <cellStyle name="Calculation 5 6 3 4 2 2" xfId="13738"/>
    <cellStyle name="Calculation 5 6 3 4 3" xfId="10318"/>
    <cellStyle name="Calculation 5 6 3 5" xfId="4618"/>
    <cellStyle name="Calculation 5 6 3 5 2" xfId="11458"/>
    <cellStyle name="Calculation 5 6 3 6" xfId="8038"/>
    <cellStyle name="Calculation 5 6 3 7" xfId="61472"/>
    <cellStyle name="Calculation 5 6 3 8" xfId="62033"/>
    <cellStyle name="Calculation 5 6 4" xfId="38440"/>
    <cellStyle name="Calculation 5 6 5" xfId="52034"/>
    <cellStyle name="Calculation 5 6 6" xfId="52035"/>
    <cellStyle name="Calculation 5 6 7" xfId="52036"/>
    <cellStyle name="Calculation 5 6 8" xfId="60757"/>
    <cellStyle name="Calculation 5 6 9" xfId="61193"/>
    <cellStyle name="Calculation 5 7" xfId="1119"/>
    <cellStyle name="Calculation 5 7 2" xfId="1066"/>
    <cellStyle name="Calculation 5 7 2 2" xfId="2671"/>
    <cellStyle name="Calculation 5 7 2 2 2" xfId="6091"/>
    <cellStyle name="Calculation 5 7 2 2 2 2" xfId="12931"/>
    <cellStyle name="Calculation 5 7 2 2 3" xfId="9511"/>
    <cellStyle name="Calculation 5 7 2 3" xfId="3811"/>
    <cellStyle name="Calculation 5 7 2 3 2" xfId="7231"/>
    <cellStyle name="Calculation 5 7 2 3 2 2" xfId="14071"/>
    <cellStyle name="Calculation 5 7 2 3 3" xfId="10651"/>
    <cellStyle name="Calculation 5 7 2 4" xfId="4951"/>
    <cellStyle name="Calculation 5 7 2 4 2" xfId="11791"/>
    <cellStyle name="Calculation 5 7 2 5" xfId="8371"/>
    <cellStyle name="Calculation 5 7 3" xfId="1933"/>
    <cellStyle name="Calculation 5 7 3 2" xfId="5353"/>
    <cellStyle name="Calculation 5 7 3 2 2" xfId="12193"/>
    <cellStyle name="Calculation 5 7 3 3" xfId="8773"/>
    <cellStyle name="Calculation 5 7 4" xfId="3073"/>
    <cellStyle name="Calculation 5 7 4 2" xfId="6493"/>
    <cellStyle name="Calculation 5 7 4 2 2" xfId="13333"/>
    <cellStyle name="Calculation 5 7 4 3" xfId="9913"/>
    <cellStyle name="Calculation 5 7 5" xfId="4213"/>
    <cellStyle name="Calculation 5 7 5 2" xfId="11053"/>
    <cellStyle name="Calculation 5 7 6" xfId="7633"/>
    <cellStyle name="Calculation 5 7 7" xfId="61876"/>
    <cellStyle name="Calculation 5 7 8" xfId="62335"/>
    <cellStyle name="Calculation 5 8" xfId="38196"/>
    <cellStyle name="Calculation 5 9" xfId="52037"/>
    <cellStyle name="Calculation 6" xfId="52038"/>
    <cellStyle name="Calculation 6 2" xfId="52039"/>
    <cellStyle name="Calculation 6 2 2" xfId="61840"/>
    <cellStyle name="Calculation 6 2 3" xfId="62311"/>
    <cellStyle name="Calculation 6 3" xfId="52040"/>
    <cellStyle name="Calculation 6 4" xfId="61491"/>
    <cellStyle name="Calculation 6 5" xfId="62050"/>
    <cellStyle name="Calculation 7" xfId="52041"/>
    <cellStyle name="Calculation 8" xfId="52042"/>
    <cellStyle name="Calculation 9" xfId="52043"/>
    <cellStyle name="Caption" xfId="52044"/>
    <cellStyle name="Caption 2" xfId="52045"/>
    <cellStyle name="Caption 2 2" xfId="52046"/>
    <cellStyle name="Caption 3" xfId="52047"/>
    <cellStyle name="Check" xfId="52048"/>
    <cellStyle name="Check Cell 2" xfId="31"/>
    <cellStyle name="Check Cell 3" xfId="627"/>
    <cellStyle name="CodeHeading" xfId="52049"/>
    <cellStyle name="CodeHeading 2" xfId="52050"/>
    <cellStyle name="CodeHeading 3" xfId="52051"/>
    <cellStyle name="CodeHeading_20100721_4YearDispo_with PCTadmin to HMT" xfId="52052"/>
    <cellStyle name="Col_Top_Wrap" xfId="52053"/>
    <cellStyle name="ColHeader" xfId="52054"/>
    <cellStyle name="ColHeader 2" xfId="52055"/>
    <cellStyle name="ColHeader 2 2" xfId="52056"/>
    <cellStyle name="ColHeader 3" xfId="52057"/>
    <cellStyle name="Comma" xfId="46" builtinId="3"/>
    <cellStyle name="Comma 10" xfId="52058"/>
    <cellStyle name="Comma 10 2" xfId="52059"/>
    <cellStyle name="Comma 10 3" xfId="52060"/>
    <cellStyle name="Comma 11" xfId="52061"/>
    <cellStyle name="Comma 11 2" xfId="52062"/>
    <cellStyle name="Comma 11 3" xfId="52063"/>
    <cellStyle name="Comma 12" xfId="52064"/>
    <cellStyle name="Comma 13" xfId="52065"/>
    <cellStyle name="Comma 14" xfId="52066"/>
    <cellStyle name="Comma 15" xfId="52067"/>
    <cellStyle name="Comma 16" xfId="62396"/>
    <cellStyle name="Comma 2" xfId="47"/>
    <cellStyle name="Comma 2 2" xfId="60"/>
    <cellStyle name="Comma 2 2 2" xfId="92"/>
    <cellStyle name="Comma 2 2 2 2" xfId="52068"/>
    <cellStyle name="Comma 2 2 2 2 2" xfId="52069"/>
    <cellStyle name="Comma 2 2 2 3" xfId="52070"/>
    <cellStyle name="Comma 2 2 2 3 2" xfId="52071"/>
    <cellStyle name="Comma 2 2 2 4" xfId="52072"/>
    <cellStyle name="Comma 2 2 3" xfId="83"/>
    <cellStyle name="Comma 2 2 3 2" xfId="52073"/>
    <cellStyle name="Comma 2 2 3 3" xfId="52074"/>
    <cellStyle name="Comma 2 2 3 4" xfId="52075"/>
    <cellStyle name="Comma 2 2 4" xfId="52076"/>
    <cellStyle name="Comma 2 2 4 2" xfId="52077"/>
    <cellStyle name="Comma 2 2 5" xfId="52078"/>
    <cellStyle name="Comma 2 2 5 2" xfId="61456"/>
    <cellStyle name="Comma 2 2 6" xfId="52079"/>
    <cellStyle name="Comma 2 3" xfId="86"/>
    <cellStyle name="Comma 2 3 2" xfId="52080"/>
    <cellStyle name="Comma 2 3 3" xfId="52081"/>
    <cellStyle name="Comma 2 3 4" xfId="52082"/>
    <cellStyle name="Comma 2 4" xfId="567"/>
    <cellStyle name="Comma 2 4 2" xfId="52083"/>
    <cellStyle name="Comma 2 4 3" xfId="52084"/>
    <cellStyle name="Comma 2 4 4" xfId="52085"/>
    <cellStyle name="Comma 2 5" xfId="719"/>
    <cellStyle name="Comma 2 5 2" xfId="52086"/>
    <cellStyle name="Comma 2 6" xfId="742"/>
    <cellStyle name="Comma 2 6 2" xfId="52087"/>
    <cellStyle name="Comma 2 6 2 2" xfId="61627"/>
    <cellStyle name="Comma 2 7" xfId="52088"/>
    <cellStyle name="Comma 2 8" xfId="62397"/>
    <cellStyle name="Comma 3" xfId="49"/>
    <cellStyle name="Comma 3 2" xfId="721"/>
    <cellStyle name="Comma 3 2 2" xfId="52089"/>
    <cellStyle name="Comma 3 2 2 2" xfId="52090"/>
    <cellStyle name="Comma 3 2 2 2 2" xfId="52091"/>
    <cellStyle name="Comma 3 2 2 2 3" xfId="52092"/>
    <cellStyle name="Comma 3 2 2 3" xfId="52093"/>
    <cellStyle name="Comma 3 2 2 4" xfId="52094"/>
    <cellStyle name="Comma 3 2 3" xfId="52095"/>
    <cellStyle name="Comma 3 2 3 2" xfId="52096"/>
    <cellStyle name="Comma 3 2 3 3" xfId="52097"/>
    <cellStyle name="Comma 3 2 4" xfId="52098"/>
    <cellStyle name="Comma 3 2 4 2" xfId="52099"/>
    <cellStyle name="Comma 3 2 4 3" xfId="52100"/>
    <cellStyle name="Comma 3 2 5" xfId="52101"/>
    <cellStyle name="Comma 3 2 6" xfId="52102"/>
    <cellStyle name="Comma 3 2 7" xfId="52103"/>
    <cellStyle name="Comma 3 3" xfId="741"/>
    <cellStyle name="Comma 3 3 2" xfId="52104"/>
    <cellStyle name="Comma 3 3 2 2" xfId="52105"/>
    <cellStyle name="Comma 3 3 2 2 2" xfId="52106"/>
    <cellStyle name="Comma 3 3 2 2 3" xfId="52107"/>
    <cellStyle name="Comma 3 3 2 3" xfId="52108"/>
    <cellStyle name="Comma 3 3 2 4" xfId="52109"/>
    <cellStyle name="Comma 3 3 2 5" xfId="61630"/>
    <cellStyle name="Comma 3 3 3" xfId="52110"/>
    <cellStyle name="Comma 3 3 3 2" xfId="52111"/>
    <cellStyle name="Comma 3 3 3 3" xfId="52112"/>
    <cellStyle name="Comma 3 3 4" xfId="52113"/>
    <cellStyle name="Comma 3 3 5" xfId="52114"/>
    <cellStyle name="Comma 3 4" xfId="15012"/>
    <cellStyle name="Comma 3 4 2" xfId="52115"/>
    <cellStyle name="Comma 3 4 2 2" xfId="52116"/>
    <cellStyle name="Comma 3 4 2 3" xfId="52117"/>
    <cellStyle name="Comma 3 4 3" xfId="52118"/>
    <cellStyle name="Comma 3 4 4" xfId="52119"/>
    <cellStyle name="Comma 3 5" xfId="52120"/>
    <cellStyle name="Comma 3 5 2" xfId="52121"/>
    <cellStyle name="Comma 3 5 3" xfId="52122"/>
    <cellStyle name="Comma 3 6" xfId="52123"/>
    <cellStyle name="Comma 3 6 2" xfId="52124"/>
    <cellStyle name="Comma 3 6 3" xfId="52125"/>
    <cellStyle name="Comma 4" xfId="76"/>
    <cellStyle name="Comma 4 2" xfId="89"/>
    <cellStyle name="Comma 4 2 2" xfId="52126"/>
    <cellStyle name="Comma 4 2 2 2" xfId="52127"/>
    <cellStyle name="Comma 4 2 2 2 2" xfId="52128"/>
    <cellStyle name="Comma 4 2 2 2 3" xfId="52129"/>
    <cellStyle name="Comma 4 2 2 3" xfId="52130"/>
    <cellStyle name="Comma 4 2 2 4" xfId="52131"/>
    <cellStyle name="Comma 4 2 2 5" xfId="52132"/>
    <cellStyle name="Comma 4 2 3" xfId="52133"/>
    <cellStyle name="Comma 4 2 3 2" xfId="52134"/>
    <cellStyle name="Comma 4 2 3 3" xfId="52135"/>
    <cellStyle name="Comma 4 2 3 4" xfId="52136"/>
    <cellStyle name="Comma 4 2 4" xfId="52137"/>
    <cellStyle name="Comma 4 2 4 2" xfId="52138"/>
    <cellStyle name="Comma 4 2 4 3" xfId="52139"/>
    <cellStyle name="Comma 4 2 5" xfId="52140"/>
    <cellStyle name="Comma 4 2 6" xfId="52141"/>
    <cellStyle name="Comma 4 2 7" xfId="52142"/>
    <cellStyle name="Comma 4 3" xfId="52143"/>
    <cellStyle name="Comma 4 3 2" xfId="52144"/>
    <cellStyle name="Comma 4 3 2 2" xfId="52145"/>
    <cellStyle name="Comma 4 3 2 2 2" xfId="52146"/>
    <cellStyle name="Comma 4 3 2 2 3" xfId="52147"/>
    <cellStyle name="Comma 4 3 2 3" xfId="52148"/>
    <cellStyle name="Comma 4 3 2 4" xfId="52149"/>
    <cellStyle name="Comma 4 3 3" xfId="52150"/>
    <cellStyle name="Comma 4 3 3 2" xfId="52151"/>
    <cellStyle name="Comma 4 3 3 3" xfId="52152"/>
    <cellStyle name="Comma 4 3 4" xfId="52153"/>
    <cellStyle name="Comma 4 3 5" xfId="52154"/>
    <cellStyle name="Comma 4 3 6" xfId="52155"/>
    <cellStyle name="Comma 4 4" xfId="52156"/>
    <cellStyle name="Comma 4 4 2" xfId="52157"/>
    <cellStyle name="Comma 4 4 2 2" xfId="52158"/>
    <cellStyle name="Comma 4 4 2 3" xfId="52159"/>
    <cellStyle name="Comma 4 4 3" xfId="52160"/>
    <cellStyle name="Comma 4 4 4" xfId="52161"/>
    <cellStyle name="Comma 4 4 5" xfId="52162"/>
    <cellStyle name="Comma 4 5" xfId="52163"/>
    <cellStyle name="Comma 4 5 2" xfId="52164"/>
    <cellStyle name="Comma 4 5 3" xfId="52165"/>
    <cellStyle name="Comma 4 6" xfId="52166"/>
    <cellStyle name="Comma 4 6 2" xfId="52167"/>
    <cellStyle name="Comma 4 6 3" xfId="52168"/>
    <cellStyle name="Comma 4 7" xfId="52169"/>
    <cellStyle name="Comma 5" xfId="82"/>
    <cellStyle name="Comma 5 2" xfId="91"/>
    <cellStyle name="Comma 5 2 2" xfId="52170"/>
    <cellStyle name="Comma 5 2 3" xfId="52171"/>
    <cellStyle name="Comma 5 2 4" xfId="52172"/>
    <cellStyle name="Comma 5 3" xfId="52173"/>
    <cellStyle name="Comma 5 4" xfId="52174"/>
    <cellStyle name="Comma 5 5" xfId="52175"/>
    <cellStyle name="Comma 6" xfId="97"/>
    <cellStyle name="Comma 6 2" xfId="52176"/>
    <cellStyle name="Comma 6 2 2" xfId="52177"/>
    <cellStyle name="Comma 6 2 2 2" xfId="52178"/>
    <cellStyle name="Comma 6 2 2 3" xfId="52179"/>
    <cellStyle name="Comma 6 2 3" xfId="52180"/>
    <cellStyle name="Comma 6 2 4" xfId="52181"/>
    <cellStyle name="Comma 6 2 5" xfId="52182"/>
    <cellStyle name="Comma 6 3" xfId="52183"/>
    <cellStyle name="Comma 6 3 2" xfId="52184"/>
    <cellStyle name="Comma 6 3 3" xfId="52185"/>
    <cellStyle name="Comma 6 3 4" xfId="52186"/>
    <cellStyle name="Comma 6 4" xfId="52187"/>
    <cellStyle name="Comma 6 4 2" xfId="52188"/>
    <cellStyle name="Comma 6 4 3" xfId="52189"/>
    <cellStyle name="Comma 6 5" xfId="52190"/>
    <cellStyle name="Comma 7" xfId="52191"/>
    <cellStyle name="Comma 7 2" xfId="52192"/>
    <cellStyle name="Comma 7 2 2" xfId="52193"/>
    <cellStyle name="Comma 7 2 2 2" xfId="52194"/>
    <cellStyle name="Comma 7 2 2 3" xfId="52195"/>
    <cellStyle name="Comma 7 2 3" xfId="52196"/>
    <cellStyle name="Comma 7 2 4" xfId="52197"/>
    <cellStyle name="Comma 7 3" xfId="52198"/>
    <cellStyle name="Comma 7 3 2" xfId="52199"/>
    <cellStyle name="Comma 7 3 3" xfId="52200"/>
    <cellStyle name="Comma 7 4" xfId="52201"/>
    <cellStyle name="Comma 8" xfId="52202"/>
    <cellStyle name="Comma 8 2" xfId="52203"/>
    <cellStyle name="Comma 8 2 2" xfId="52204"/>
    <cellStyle name="Comma 8 2 3" xfId="52205"/>
    <cellStyle name="Comma 8 3" xfId="52206"/>
    <cellStyle name="Comma 8 4" xfId="52207"/>
    <cellStyle name="Comma 8 5" xfId="52208"/>
    <cellStyle name="Comma 9" xfId="52209"/>
    <cellStyle name="Comma 9 2" xfId="52210"/>
    <cellStyle name="Comma 9 3" xfId="52211"/>
    <cellStyle name="CoverTextNotes" xfId="52212"/>
    <cellStyle name="CoverTextNotes 2" xfId="52213"/>
    <cellStyle name="Currency 2" xfId="50"/>
    <cellStyle name="Currency 2 2" xfId="722"/>
    <cellStyle name="Currency 2 2 2" xfId="14477"/>
    <cellStyle name="Currency 2 2 2 2" xfId="61636"/>
    <cellStyle name="Currency 2 2 3" xfId="52214"/>
    <cellStyle name="Currency 2 2 3 2" xfId="61457"/>
    <cellStyle name="Currency 2 3" xfId="740"/>
    <cellStyle name="Currency 2 4" xfId="52215"/>
    <cellStyle name="Currency 3" xfId="720"/>
    <cellStyle name="Currency 3 2" xfId="52216"/>
    <cellStyle name="Currency 3 3" xfId="52217"/>
    <cellStyle name="Currency 4" xfId="52218"/>
    <cellStyle name="Currency 4 2" xfId="52219"/>
    <cellStyle name="Currency 5" xfId="52220"/>
    <cellStyle name="DATA Amount" xfId="14478"/>
    <cellStyle name="DATA Amount [1]" xfId="14479"/>
    <cellStyle name="DATA Amount [2]" xfId="14480"/>
    <cellStyle name="DATA Currency" xfId="14481"/>
    <cellStyle name="DATA Currency [1]" xfId="14482"/>
    <cellStyle name="DATA Currency [2]" xfId="14483"/>
    <cellStyle name="DATA Date Long" xfId="14484"/>
    <cellStyle name="DATA Date Short" xfId="14485"/>
    <cellStyle name="DATA List" xfId="14486"/>
    <cellStyle name="DATA Memo" xfId="14487"/>
    <cellStyle name="DATA Percent" xfId="14488"/>
    <cellStyle name="DATA Percent [1]" xfId="14489"/>
    <cellStyle name="DATA Percent [2]" xfId="14490"/>
    <cellStyle name="DATA Text" xfId="14491"/>
    <cellStyle name="DATA Version" xfId="14492"/>
    <cellStyle name="DataEntry" xfId="52221"/>
    <cellStyle name="DataEntry 2" xfId="52222"/>
    <cellStyle name="DataEntry 2 2" xfId="52223"/>
    <cellStyle name="DataEntry 3" xfId="52224"/>
    <cellStyle name="Date Feeder Field" xfId="52225"/>
    <cellStyle name="Date Feeder Field 2" xfId="52226"/>
    <cellStyle name="Date Feeder Field 2 2" xfId="52227"/>
    <cellStyle name="Date Feeder Field 2 3" xfId="52228"/>
    <cellStyle name="Date Feeder Field 3" xfId="52229"/>
    <cellStyle name="Date Feeder Field 4" xfId="52230"/>
    <cellStyle name="Decimal_0dp" xfId="52231"/>
    <cellStyle name="DHOnlyNoteItem" xfId="52232"/>
    <cellStyle name="direct user entry" xfId="52233"/>
    <cellStyle name="direct user entry 2" xfId="52234"/>
    <cellStyle name="Estimated historic data" xfId="52235"/>
    <cellStyle name="Estimated historic data 2" xfId="52236"/>
    <cellStyle name="Euro" xfId="52237"/>
    <cellStyle name="Exception" xfId="52238"/>
    <cellStyle name="Explanation" xfId="52239"/>
    <cellStyle name="Explanatory Text 2" xfId="32"/>
    <cellStyle name="Explanatory Text 3" xfId="645"/>
    <cellStyle name="EYCheck" xfId="52240"/>
    <cellStyle name="EYDate" xfId="52241"/>
    <cellStyle name="EYHeader1" xfId="52242"/>
    <cellStyle name="EYHeader1 2" xfId="52243"/>
    <cellStyle name="EYHeader1 2 2" xfId="52244"/>
    <cellStyle name="EYHeader1 3" xfId="52245"/>
    <cellStyle name="EYHeader2" xfId="52246"/>
    <cellStyle name="EYInputValue" xfId="52247"/>
    <cellStyle name="EYPercent" xfId="52248"/>
    <cellStyle name="Feeder Field" xfId="52249"/>
    <cellStyle name="Feeder Field 2" xfId="52250"/>
    <cellStyle name="Feeder Field 2 2" xfId="52251"/>
    <cellStyle name="Feeder Field 2 3" xfId="52252"/>
    <cellStyle name="Feeder Field 3" xfId="52253"/>
    <cellStyle name="Feeder Field 4" xfId="52254"/>
    <cellStyle name="Finance" xfId="52255"/>
    <cellStyle name="Finance 2" xfId="52256"/>
    <cellStyle name="Forecast Cell Column Heading" xfId="52257"/>
    <cellStyle name="Formla" xfId="52258"/>
    <cellStyle name="Formla 2" xfId="52259"/>
    <cellStyle name="Formla 2 2" xfId="52260"/>
    <cellStyle name="Formla 3" xfId="52261"/>
    <cellStyle name="FormlaBold" xfId="52262"/>
    <cellStyle name="FormlaBold 2" xfId="52263"/>
    <cellStyle name="FormlaBold 2 2" xfId="52264"/>
    <cellStyle name="FormlaBold 3" xfId="52265"/>
    <cellStyle name="FrmulaBldRed" xfId="52266"/>
    <cellStyle name="FrmulaBldRed 2" xfId="52267"/>
    <cellStyle name="FrmulaBldRed 2 2" xfId="52268"/>
    <cellStyle name="FrmulaBldRed 3" xfId="52269"/>
    <cellStyle name="Good 2" xfId="33"/>
    <cellStyle name="Good 3" xfId="632"/>
    <cellStyle name="Greyed" xfId="52270"/>
    <cellStyle name="Greyed 2" xfId="52271"/>
    <cellStyle name="Greyed 3" xfId="52272"/>
    <cellStyle name="Greyed out" xfId="52273"/>
    <cellStyle name="Greyed_20100721_4YearDispo_with PCTadmin to HMT" xfId="52274"/>
    <cellStyle name="H1" xfId="52275"/>
    <cellStyle name="H2" xfId="52276"/>
    <cellStyle name="H3" xfId="52277"/>
    <cellStyle name="H3Bold" xfId="52278"/>
    <cellStyle name="hard no." xfId="52279"/>
    <cellStyle name="hard no. 2" xfId="52280"/>
    <cellStyle name="hard no. 2 2" xfId="52281"/>
    <cellStyle name="hard no. 3" xfId="52282"/>
    <cellStyle name="Heading 1 2" xfId="34"/>
    <cellStyle name="Heading 1 2 3" xfId="52283"/>
    <cellStyle name="Heading 1 3" xfId="631"/>
    <cellStyle name="Heading 2 2" xfId="35"/>
    <cellStyle name="Heading 2 3" xfId="630"/>
    <cellStyle name="Heading 3 2" xfId="36"/>
    <cellStyle name="Heading 3 2 10" xfId="15543"/>
    <cellStyle name="Heading 3 2 10 2" xfId="52284"/>
    <cellStyle name="Heading 3 2 10 2 2" xfId="52285"/>
    <cellStyle name="Heading 3 2 10 3" xfId="52286"/>
    <cellStyle name="Heading 3 2 11" xfId="21231"/>
    <cellStyle name="Heading 3 2 11 2" xfId="52287"/>
    <cellStyle name="Heading 3 2 11 2 2" xfId="52288"/>
    <cellStyle name="Heading 3 2 11 3" xfId="52289"/>
    <cellStyle name="Heading 3 2 12" xfId="21310"/>
    <cellStyle name="Heading 3 2 12 2" xfId="52290"/>
    <cellStyle name="Heading 3 2 12 2 2" xfId="52291"/>
    <cellStyle name="Heading 3 2 12 3" xfId="52292"/>
    <cellStyle name="Heading 3 2 13" xfId="14494"/>
    <cellStyle name="Heading 3 2 2" xfId="95"/>
    <cellStyle name="Heading 3 2 2 10" xfId="15565"/>
    <cellStyle name="Heading 3 2 2 10 2" xfId="52293"/>
    <cellStyle name="Heading 3 2 2 10 2 2" xfId="52294"/>
    <cellStyle name="Heading 3 2 2 10 3" xfId="52295"/>
    <cellStyle name="Heading 3 2 2 11" xfId="14495"/>
    <cellStyle name="Heading 3 2 2 2" xfId="14615"/>
    <cellStyle name="Heading 3 2 2 2 2" xfId="15695"/>
    <cellStyle name="Heading 3 2 2 2 2 2" xfId="52296"/>
    <cellStyle name="Heading 3 2 2 2 2 2 2" xfId="52297"/>
    <cellStyle name="Heading 3 2 2 2 2 3" xfId="52298"/>
    <cellStyle name="Heading 3 2 2 2 3" xfId="16662"/>
    <cellStyle name="Heading 3 2 2 2 3 2" xfId="52299"/>
    <cellStyle name="Heading 3 2 2 2 3 2 2" xfId="52300"/>
    <cellStyle name="Heading 3 2 2 2 3 3" xfId="52301"/>
    <cellStyle name="Heading 3 2 2 2 4" xfId="17684"/>
    <cellStyle name="Heading 3 2 2 2 4 2" xfId="52302"/>
    <cellStyle name="Heading 3 2 2 2 4 2 2" xfId="52303"/>
    <cellStyle name="Heading 3 2 2 2 4 3" xfId="52304"/>
    <cellStyle name="Heading 3 2 2 2 5" xfId="20593"/>
    <cellStyle name="Heading 3 2 2 2 5 2" xfId="52305"/>
    <cellStyle name="Heading 3 2 2 2 5 2 2" xfId="52306"/>
    <cellStyle name="Heading 3 2 2 2 5 3" xfId="52307"/>
    <cellStyle name="Heading 3 2 2 2 6" xfId="21333"/>
    <cellStyle name="Heading 3 2 2 2 6 2" xfId="52308"/>
    <cellStyle name="Heading 3 2 2 2 6 2 2" xfId="52309"/>
    <cellStyle name="Heading 3 2 2 2 6 3" xfId="52310"/>
    <cellStyle name="Heading 3 2 2 2 7" xfId="22030"/>
    <cellStyle name="Heading 3 2 2 2 7 2" xfId="52311"/>
    <cellStyle name="Heading 3 2 2 3" xfId="14793"/>
    <cellStyle name="Heading 3 2 2 3 2" xfId="15874"/>
    <cellStyle name="Heading 3 2 2 3 2 2" xfId="52312"/>
    <cellStyle name="Heading 3 2 2 3 2 2 2" xfId="52313"/>
    <cellStyle name="Heading 3 2 2 3 2 3" xfId="52314"/>
    <cellStyle name="Heading 3 2 2 3 3" xfId="16840"/>
    <cellStyle name="Heading 3 2 2 3 3 2" xfId="52315"/>
    <cellStyle name="Heading 3 2 2 3 3 2 2" xfId="52316"/>
    <cellStyle name="Heading 3 2 2 3 3 3" xfId="52317"/>
    <cellStyle name="Heading 3 2 2 3 4" xfId="17867"/>
    <cellStyle name="Heading 3 2 2 3 4 2" xfId="52318"/>
    <cellStyle name="Heading 3 2 2 3 4 2 2" xfId="52319"/>
    <cellStyle name="Heading 3 2 2 3 4 3" xfId="52320"/>
    <cellStyle name="Heading 3 2 2 3 5" xfId="20777"/>
    <cellStyle name="Heading 3 2 2 3 5 2" xfId="52321"/>
    <cellStyle name="Heading 3 2 2 3 5 2 2" xfId="52322"/>
    <cellStyle name="Heading 3 2 2 3 5 3" xfId="52323"/>
    <cellStyle name="Heading 3 2 2 3 6" xfId="21260"/>
    <cellStyle name="Heading 3 2 2 3 6 2" xfId="52324"/>
    <cellStyle name="Heading 3 2 2 3 6 2 2" xfId="52325"/>
    <cellStyle name="Heading 3 2 2 3 6 3" xfId="52326"/>
    <cellStyle name="Heading 3 2 2 3 7" xfId="22213"/>
    <cellStyle name="Heading 3 2 2 3 7 2" xfId="52327"/>
    <cellStyle name="Heading 3 2 2 4" xfId="14954"/>
    <cellStyle name="Heading 3 2 2 4 2" xfId="16035"/>
    <cellStyle name="Heading 3 2 2 4 2 2" xfId="52328"/>
    <cellStyle name="Heading 3 2 2 4 2 2 2" xfId="52329"/>
    <cellStyle name="Heading 3 2 2 4 2 3" xfId="52330"/>
    <cellStyle name="Heading 3 2 2 4 3" xfId="17001"/>
    <cellStyle name="Heading 3 2 2 4 3 2" xfId="52331"/>
    <cellStyle name="Heading 3 2 2 4 3 2 2" xfId="52332"/>
    <cellStyle name="Heading 3 2 2 4 3 3" xfId="52333"/>
    <cellStyle name="Heading 3 2 2 4 4" xfId="18028"/>
    <cellStyle name="Heading 3 2 2 4 4 2" xfId="52334"/>
    <cellStyle name="Heading 3 2 2 4 4 2 2" xfId="52335"/>
    <cellStyle name="Heading 3 2 2 4 4 3" xfId="52336"/>
    <cellStyle name="Heading 3 2 2 4 5" xfId="20938"/>
    <cellStyle name="Heading 3 2 2 4 5 2" xfId="52337"/>
    <cellStyle name="Heading 3 2 2 4 5 2 2" xfId="52338"/>
    <cellStyle name="Heading 3 2 2 4 5 3" xfId="52339"/>
    <cellStyle name="Heading 3 2 2 4 6" xfId="21445"/>
    <cellStyle name="Heading 3 2 2 4 6 2" xfId="52340"/>
    <cellStyle name="Heading 3 2 2 4 6 2 2" xfId="52341"/>
    <cellStyle name="Heading 3 2 2 4 6 3" xfId="52342"/>
    <cellStyle name="Heading 3 2 2 4 7" xfId="22373"/>
    <cellStyle name="Heading 3 2 2 4 7 2" xfId="52343"/>
    <cellStyle name="Heading 3 2 2 5" xfId="15554"/>
    <cellStyle name="Heading 3 2 2 5 2" xfId="52344"/>
    <cellStyle name="Heading 3 2 2 5 2 2" xfId="52345"/>
    <cellStyle name="Heading 3 2 2 5 3" xfId="52346"/>
    <cellStyle name="Heading 3 2 2 6" xfId="15518"/>
    <cellStyle name="Heading 3 2 2 6 2" xfId="52347"/>
    <cellStyle name="Heading 3 2 2 6 2 2" xfId="52348"/>
    <cellStyle name="Heading 3 2 2 6 3" xfId="52349"/>
    <cellStyle name="Heading 3 2 2 7" xfId="17538"/>
    <cellStyle name="Heading 3 2 2 7 2" xfId="52350"/>
    <cellStyle name="Heading 3 2 2 7 2 2" xfId="52351"/>
    <cellStyle name="Heading 3 2 2 7 3" xfId="52352"/>
    <cellStyle name="Heading 3 2 2 8" xfId="17566"/>
    <cellStyle name="Heading 3 2 2 8 2" xfId="52353"/>
    <cellStyle name="Heading 3 2 2 8 2 2" xfId="52354"/>
    <cellStyle name="Heading 3 2 2 8 3" xfId="52355"/>
    <cellStyle name="Heading 3 2 2 9" xfId="21209"/>
    <cellStyle name="Heading 3 2 2 9 2" xfId="52356"/>
    <cellStyle name="Heading 3 2 2 9 2 2" xfId="52357"/>
    <cellStyle name="Heading 3 2 2 9 3" xfId="52358"/>
    <cellStyle name="Heading 3 2 3" xfId="14567"/>
    <cellStyle name="Heading 3 2 3 2" xfId="15646"/>
    <cellStyle name="Heading 3 2 3 2 2" xfId="52359"/>
    <cellStyle name="Heading 3 2 3 2 2 2" xfId="52360"/>
    <cellStyle name="Heading 3 2 3 2 3" xfId="52361"/>
    <cellStyle name="Heading 3 2 3 3" xfId="16613"/>
    <cellStyle name="Heading 3 2 3 3 2" xfId="52362"/>
    <cellStyle name="Heading 3 2 3 3 2 2" xfId="52363"/>
    <cellStyle name="Heading 3 2 3 3 3" xfId="52364"/>
    <cellStyle name="Heading 3 2 3 4" xfId="17633"/>
    <cellStyle name="Heading 3 2 3 4 2" xfId="52365"/>
    <cellStyle name="Heading 3 2 3 4 2 2" xfId="52366"/>
    <cellStyle name="Heading 3 2 3 4 3" xfId="52367"/>
    <cellStyle name="Heading 3 2 3 5" xfId="20541"/>
    <cellStyle name="Heading 3 2 3 5 2" xfId="52368"/>
    <cellStyle name="Heading 3 2 3 5 2 2" xfId="52369"/>
    <cellStyle name="Heading 3 2 3 5 3" xfId="52370"/>
    <cellStyle name="Heading 3 2 3 6" xfId="21108"/>
    <cellStyle name="Heading 3 2 3 6 2" xfId="52371"/>
    <cellStyle name="Heading 3 2 3 6 2 2" xfId="52372"/>
    <cellStyle name="Heading 3 2 3 6 3" xfId="52373"/>
    <cellStyle name="Heading 3 2 3 7" xfId="21976"/>
    <cellStyle name="Heading 3 2 3 7 2" xfId="52374"/>
    <cellStyle name="Heading 3 2 4" xfId="14588"/>
    <cellStyle name="Heading 3 2 4 2" xfId="15668"/>
    <cellStyle name="Heading 3 2 4 2 2" xfId="52375"/>
    <cellStyle name="Heading 3 2 4 2 2 2" xfId="52376"/>
    <cellStyle name="Heading 3 2 4 2 3" xfId="52377"/>
    <cellStyle name="Heading 3 2 4 3" xfId="16635"/>
    <cellStyle name="Heading 3 2 4 3 2" xfId="52378"/>
    <cellStyle name="Heading 3 2 4 3 2 2" xfId="52379"/>
    <cellStyle name="Heading 3 2 4 3 3" xfId="52380"/>
    <cellStyle name="Heading 3 2 4 4" xfId="17656"/>
    <cellStyle name="Heading 3 2 4 4 2" xfId="52381"/>
    <cellStyle name="Heading 3 2 4 4 2 2" xfId="52382"/>
    <cellStyle name="Heading 3 2 4 4 3" xfId="52383"/>
    <cellStyle name="Heading 3 2 4 5" xfId="20565"/>
    <cellStyle name="Heading 3 2 4 5 2" xfId="52384"/>
    <cellStyle name="Heading 3 2 4 5 2 2" xfId="52385"/>
    <cellStyle name="Heading 3 2 4 5 3" xfId="52386"/>
    <cellStyle name="Heading 3 2 4 6" xfId="21140"/>
    <cellStyle name="Heading 3 2 4 6 2" xfId="52387"/>
    <cellStyle name="Heading 3 2 4 6 2 2" xfId="52388"/>
    <cellStyle name="Heading 3 2 4 6 3" xfId="52389"/>
    <cellStyle name="Heading 3 2 4 7" xfId="22001"/>
    <cellStyle name="Heading 3 2 4 7 2" xfId="52390"/>
    <cellStyle name="Heading 3 2 5" xfId="14831"/>
    <cellStyle name="Heading 3 2 5 2" xfId="15912"/>
    <cellStyle name="Heading 3 2 5 2 2" xfId="52391"/>
    <cellStyle name="Heading 3 2 5 2 2 2" xfId="52392"/>
    <cellStyle name="Heading 3 2 5 2 3" xfId="52393"/>
    <cellStyle name="Heading 3 2 5 3" xfId="16878"/>
    <cellStyle name="Heading 3 2 5 3 2" xfId="52394"/>
    <cellStyle name="Heading 3 2 5 3 2 2" xfId="52395"/>
    <cellStyle name="Heading 3 2 5 3 3" xfId="52396"/>
    <cellStyle name="Heading 3 2 5 4" xfId="17905"/>
    <cellStyle name="Heading 3 2 5 4 2" xfId="52397"/>
    <cellStyle name="Heading 3 2 5 4 2 2" xfId="52398"/>
    <cellStyle name="Heading 3 2 5 4 3" xfId="52399"/>
    <cellStyle name="Heading 3 2 5 5" xfId="20815"/>
    <cellStyle name="Heading 3 2 5 5 2" xfId="52400"/>
    <cellStyle name="Heading 3 2 5 5 2 2" xfId="52401"/>
    <cellStyle name="Heading 3 2 5 5 3" xfId="52402"/>
    <cellStyle name="Heading 3 2 5 6" xfId="21279"/>
    <cellStyle name="Heading 3 2 5 6 2" xfId="52403"/>
    <cellStyle name="Heading 3 2 5 6 2 2" xfId="52404"/>
    <cellStyle name="Heading 3 2 5 6 3" xfId="52405"/>
    <cellStyle name="Heading 3 2 5 7" xfId="22250"/>
    <cellStyle name="Heading 3 2 5 7 2" xfId="52406"/>
    <cellStyle name="Heading 3 2 6" xfId="14961"/>
    <cellStyle name="Heading 3 2 6 2" xfId="16042"/>
    <cellStyle name="Heading 3 2 6 2 2" xfId="52407"/>
    <cellStyle name="Heading 3 2 6 2 2 2" xfId="52408"/>
    <cellStyle name="Heading 3 2 6 2 3" xfId="52409"/>
    <cellStyle name="Heading 3 2 6 3" xfId="17008"/>
    <cellStyle name="Heading 3 2 6 3 2" xfId="52410"/>
    <cellStyle name="Heading 3 2 6 3 2 2" xfId="52411"/>
    <cellStyle name="Heading 3 2 6 3 3" xfId="52412"/>
    <cellStyle name="Heading 3 2 6 4" xfId="18035"/>
    <cellStyle name="Heading 3 2 6 4 2" xfId="52413"/>
    <cellStyle name="Heading 3 2 6 4 2 2" xfId="52414"/>
    <cellStyle name="Heading 3 2 6 4 3" xfId="52415"/>
    <cellStyle name="Heading 3 2 6 5" xfId="20945"/>
    <cellStyle name="Heading 3 2 6 5 2" xfId="52416"/>
    <cellStyle name="Heading 3 2 6 5 2 2" xfId="52417"/>
    <cellStyle name="Heading 3 2 6 5 3" xfId="52418"/>
    <cellStyle name="Heading 3 2 6 6" xfId="21452"/>
    <cellStyle name="Heading 3 2 6 6 2" xfId="52419"/>
    <cellStyle name="Heading 3 2 6 6 2 2" xfId="52420"/>
    <cellStyle name="Heading 3 2 6 6 3" xfId="52421"/>
    <cellStyle name="Heading 3 2 6 7" xfId="22380"/>
    <cellStyle name="Heading 3 2 6 7 2" xfId="52422"/>
    <cellStyle name="Heading 3 2 7" xfId="15553"/>
    <cellStyle name="Heading 3 2 7 2" xfId="52423"/>
    <cellStyle name="Heading 3 2 7 2 2" xfId="52424"/>
    <cellStyle name="Heading 3 2 7 3" xfId="52425"/>
    <cellStyle name="Heading 3 2 8" xfId="15519"/>
    <cellStyle name="Heading 3 2 8 2" xfId="52426"/>
    <cellStyle name="Heading 3 2 8 2 2" xfId="52427"/>
    <cellStyle name="Heading 3 2 8 3" xfId="52428"/>
    <cellStyle name="Heading 3 2 9" xfId="17537"/>
    <cellStyle name="Heading 3 2 9 2" xfId="52429"/>
    <cellStyle name="Heading 3 2 9 2 2" xfId="52430"/>
    <cellStyle name="Heading 3 2 9 3" xfId="52431"/>
    <cellStyle name="Heading 3 3" xfId="94"/>
    <cellStyle name="Heading 3 3 2" xfId="38190"/>
    <cellStyle name="Heading 3 4" xfId="52432"/>
    <cellStyle name="Heading 3 4 2" xfId="52433"/>
    <cellStyle name="Heading 4 2" xfId="37"/>
    <cellStyle name="Heading 4 3" xfId="636"/>
    <cellStyle name="house" xfId="52434"/>
    <cellStyle name="house 2" xfId="52435"/>
    <cellStyle name="Hyperlink" xfId="67" builtinId="8"/>
    <cellStyle name="Hyperlink 2" xfId="3"/>
    <cellStyle name="Hyperlink 2 2" xfId="126"/>
    <cellStyle name="Hyperlink 2 3" xfId="52436"/>
    <cellStyle name="Hyperlink 2 3 2" xfId="61639"/>
    <cellStyle name="Hyperlink 2 4" xfId="52437"/>
    <cellStyle name="Hyperlink 3" xfId="124"/>
    <cellStyle name="Hyperlink 3 2" xfId="52438"/>
    <cellStyle name="Hyperlink 3 3" xfId="52439"/>
    <cellStyle name="Hyperlink 4" xfId="713"/>
    <cellStyle name="Hyperlink 4 2" xfId="52440"/>
    <cellStyle name="Hyperlink 5" xfId="739"/>
    <cellStyle name="Hyperlink 5 2" xfId="52441"/>
    <cellStyle name="Hyperlink 6" xfId="52442"/>
    <cellStyle name="IndentedPlain" xfId="52443"/>
    <cellStyle name="IndentedPlain 2" xfId="52444"/>
    <cellStyle name="Input 1" xfId="52445"/>
    <cellStyle name="Input 2" xfId="38"/>
    <cellStyle name="Input 2 10" xfId="1090"/>
    <cellStyle name="Input 2 10 10" xfId="14863"/>
    <cellStyle name="Input 2 10 11" xfId="23226"/>
    <cellStyle name="Input 2 10 2" xfId="1086"/>
    <cellStyle name="Input 2 10 2 2" xfId="2623"/>
    <cellStyle name="Input 2 10 2 2 2" xfId="6043"/>
    <cellStyle name="Input 2 10 2 2 2 2" xfId="12883"/>
    <cellStyle name="Input 2 10 2 2 3" xfId="9463"/>
    <cellStyle name="Input 2 10 2 3" xfId="3763"/>
    <cellStyle name="Input 2 10 2 3 2" xfId="7183"/>
    <cellStyle name="Input 2 10 2 3 2 2" xfId="14023"/>
    <cellStyle name="Input 2 10 2 3 3" xfId="10603"/>
    <cellStyle name="Input 2 10 2 4" xfId="4903"/>
    <cellStyle name="Input 2 10 2 4 2" xfId="11743"/>
    <cellStyle name="Input 2 10 2 5" xfId="8323"/>
    <cellStyle name="Input 2 10 2 6" xfId="15944"/>
    <cellStyle name="Input 2 10 2 7" xfId="24261"/>
    <cellStyle name="Input 2 10 2 8" xfId="31545"/>
    <cellStyle name="Input 2 10 3" xfId="1895"/>
    <cellStyle name="Input 2 10 3 2" xfId="5315"/>
    <cellStyle name="Input 2 10 3 2 2" xfId="12155"/>
    <cellStyle name="Input 2 10 3 2 3" xfId="52446"/>
    <cellStyle name="Input 2 10 3 3" xfId="8735"/>
    <cellStyle name="Input 2 10 3 4" xfId="16910"/>
    <cellStyle name="Input 2 10 3 5" xfId="25233"/>
    <cellStyle name="Input 2 10 3 6" xfId="32478"/>
    <cellStyle name="Input 2 10 4" xfId="3035"/>
    <cellStyle name="Input 2 10 4 2" xfId="6455"/>
    <cellStyle name="Input 2 10 4 2 2" xfId="13295"/>
    <cellStyle name="Input 2 10 4 2 3" xfId="52447"/>
    <cellStyle name="Input 2 10 4 3" xfId="9875"/>
    <cellStyle name="Input 2 10 4 4" xfId="17937"/>
    <cellStyle name="Input 2 10 4 5" xfId="26259"/>
    <cellStyle name="Input 2 10 4 6" xfId="33455"/>
    <cellStyle name="Input 2 10 5" xfId="4175"/>
    <cellStyle name="Input 2 10 5 2" xfId="11015"/>
    <cellStyle name="Input 2 10 5 2 2" xfId="52448"/>
    <cellStyle name="Input 2 10 5 2 3" xfId="52449"/>
    <cellStyle name="Input 2 10 5 3" xfId="18921"/>
    <cellStyle name="Input 2 10 5 4" xfId="27241"/>
    <cellStyle name="Input 2 10 5 5" xfId="34396"/>
    <cellStyle name="Input 2 10 6" xfId="7595"/>
    <cellStyle name="Input 2 10 6 2" xfId="19889"/>
    <cellStyle name="Input 2 10 6 2 2" xfId="52450"/>
    <cellStyle name="Input 2 10 6 2 3" xfId="52451"/>
    <cellStyle name="Input 2 10 6 3" xfId="28211"/>
    <cellStyle name="Input 2 10 6 4" xfId="35343"/>
    <cellStyle name="Input 2 10 7" xfId="20847"/>
    <cellStyle name="Input 2 10 7 2" xfId="29166"/>
    <cellStyle name="Input 2 10 7 2 2" xfId="52452"/>
    <cellStyle name="Input 2 10 7 2 3" xfId="52453"/>
    <cellStyle name="Input 2 10 7 3" xfId="36253"/>
    <cellStyle name="Input 2 10 7 4" xfId="52454"/>
    <cellStyle name="Input 2 10 8" xfId="18556"/>
    <cellStyle name="Input 2 10 8 2" xfId="26873"/>
    <cellStyle name="Input 2 10 8 2 2" xfId="52455"/>
    <cellStyle name="Input 2 10 8 2 3" xfId="52456"/>
    <cellStyle name="Input 2 10 8 3" xfId="34042"/>
    <cellStyle name="Input 2 10 8 4" xfId="52457"/>
    <cellStyle name="Input 2 10 9" xfId="22282"/>
    <cellStyle name="Input 2 10 9 2" xfId="30580"/>
    <cellStyle name="Input 2 10 9 2 2" xfId="52458"/>
    <cellStyle name="Input 2 10 9 2 3" xfId="52459"/>
    <cellStyle name="Input 2 10 9 3" xfId="37606"/>
    <cellStyle name="Input 2 10 9 4" xfId="52460"/>
    <cellStyle name="Input 2 11" xfId="14858"/>
    <cellStyle name="Input 2 11 10" xfId="23221"/>
    <cellStyle name="Input 2 11 11" xfId="52461"/>
    <cellStyle name="Input 2 11 2" xfId="15939"/>
    <cellStyle name="Input 2 11 2 2" xfId="24256"/>
    <cellStyle name="Input 2 11 2 2 2" xfId="52462"/>
    <cellStyle name="Input 2 11 2 2 3" xfId="52463"/>
    <cellStyle name="Input 2 11 2 3" xfId="31540"/>
    <cellStyle name="Input 2 11 2 4" xfId="52464"/>
    <cellStyle name="Input 2 11 3" xfId="16905"/>
    <cellStyle name="Input 2 11 3 2" xfId="25228"/>
    <cellStyle name="Input 2 11 3 2 2" xfId="52465"/>
    <cellStyle name="Input 2 11 3 2 3" xfId="52466"/>
    <cellStyle name="Input 2 11 3 3" xfId="32473"/>
    <cellStyle name="Input 2 11 3 4" xfId="52467"/>
    <cellStyle name="Input 2 11 4" xfId="17932"/>
    <cellStyle name="Input 2 11 4 2" xfId="26254"/>
    <cellStyle name="Input 2 11 4 2 2" xfId="52468"/>
    <cellStyle name="Input 2 11 4 2 3" xfId="52469"/>
    <cellStyle name="Input 2 11 4 3" xfId="33450"/>
    <cellStyle name="Input 2 11 4 4" xfId="52470"/>
    <cellStyle name="Input 2 11 5" xfId="18916"/>
    <cellStyle name="Input 2 11 5 2" xfId="27236"/>
    <cellStyle name="Input 2 11 5 2 2" xfId="52471"/>
    <cellStyle name="Input 2 11 5 2 3" xfId="52472"/>
    <cellStyle name="Input 2 11 5 3" xfId="34391"/>
    <cellStyle name="Input 2 11 5 4" xfId="52473"/>
    <cellStyle name="Input 2 11 6" xfId="19884"/>
    <cellStyle name="Input 2 11 6 2" xfId="28206"/>
    <cellStyle name="Input 2 11 6 2 2" xfId="52474"/>
    <cellStyle name="Input 2 11 6 2 3" xfId="52475"/>
    <cellStyle name="Input 2 11 6 3" xfId="35338"/>
    <cellStyle name="Input 2 11 6 4" xfId="52476"/>
    <cellStyle name="Input 2 11 7" xfId="20842"/>
    <cellStyle name="Input 2 11 7 2" xfId="29161"/>
    <cellStyle name="Input 2 11 7 2 2" xfId="52477"/>
    <cellStyle name="Input 2 11 7 2 3" xfId="52478"/>
    <cellStyle name="Input 2 11 7 3" xfId="36248"/>
    <cellStyle name="Input 2 11 7 4" xfId="52479"/>
    <cellStyle name="Input 2 11 8" xfId="19987"/>
    <cellStyle name="Input 2 11 8 2" xfId="28309"/>
    <cellStyle name="Input 2 11 8 2 2" xfId="52480"/>
    <cellStyle name="Input 2 11 8 2 3" xfId="52481"/>
    <cellStyle name="Input 2 11 8 3" xfId="35436"/>
    <cellStyle name="Input 2 11 8 4" xfId="52482"/>
    <cellStyle name="Input 2 11 9" xfId="22277"/>
    <cellStyle name="Input 2 11 9 2" xfId="30575"/>
    <cellStyle name="Input 2 11 9 2 2" xfId="52483"/>
    <cellStyle name="Input 2 11 9 2 3" xfId="52484"/>
    <cellStyle name="Input 2 11 9 3" xfId="37601"/>
    <cellStyle name="Input 2 11 9 4" xfId="52485"/>
    <cellStyle name="Input 2 12" xfId="14927"/>
    <cellStyle name="Input 2 12 10" xfId="23290"/>
    <cellStyle name="Input 2 12 11" xfId="52486"/>
    <cellStyle name="Input 2 12 2" xfId="16008"/>
    <cellStyle name="Input 2 12 2 2" xfId="24325"/>
    <cellStyle name="Input 2 12 2 2 2" xfId="52487"/>
    <cellStyle name="Input 2 12 2 2 3" xfId="52488"/>
    <cellStyle name="Input 2 12 2 3" xfId="31605"/>
    <cellStyle name="Input 2 12 2 4" xfId="52489"/>
    <cellStyle name="Input 2 12 3" xfId="16974"/>
    <cellStyle name="Input 2 12 3 2" xfId="25297"/>
    <cellStyle name="Input 2 12 3 2 2" xfId="52490"/>
    <cellStyle name="Input 2 12 3 2 3" xfId="52491"/>
    <cellStyle name="Input 2 12 3 3" xfId="32538"/>
    <cellStyle name="Input 2 12 3 4" xfId="52492"/>
    <cellStyle name="Input 2 12 4" xfId="18001"/>
    <cellStyle name="Input 2 12 4 2" xfId="26323"/>
    <cellStyle name="Input 2 12 4 2 2" xfId="52493"/>
    <cellStyle name="Input 2 12 4 2 3" xfId="52494"/>
    <cellStyle name="Input 2 12 4 3" xfId="33515"/>
    <cellStyle name="Input 2 12 4 4" xfId="52495"/>
    <cellStyle name="Input 2 12 5" xfId="18985"/>
    <cellStyle name="Input 2 12 5 2" xfId="27305"/>
    <cellStyle name="Input 2 12 5 2 2" xfId="52496"/>
    <cellStyle name="Input 2 12 5 2 3" xfId="52497"/>
    <cellStyle name="Input 2 12 5 3" xfId="34456"/>
    <cellStyle name="Input 2 12 5 4" xfId="52498"/>
    <cellStyle name="Input 2 12 6" xfId="19953"/>
    <cellStyle name="Input 2 12 6 2" xfId="28275"/>
    <cellStyle name="Input 2 12 6 2 2" xfId="52499"/>
    <cellStyle name="Input 2 12 6 2 3" xfId="52500"/>
    <cellStyle name="Input 2 12 6 3" xfId="35403"/>
    <cellStyle name="Input 2 12 6 4" xfId="52501"/>
    <cellStyle name="Input 2 12 7" xfId="20911"/>
    <cellStyle name="Input 2 12 7 2" xfId="29230"/>
    <cellStyle name="Input 2 12 7 2 2" xfId="52502"/>
    <cellStyle name="Input 2 12 7 2 3" xfId="52503"/>
    <cellStyle name="Input 2 12 7 3" xfId="36313"/>
    <cellStyle name="Input 2 12 7 4" xfId="52504"/>
    <cellStyle name="Input 2 12 8" xfId="21418"/>
    <cellStyle name="Input 2 12 8 2" xfId="29721"/>
    <cellStyle name="Input 2 12 8 2 2" xfId="52505"/>
    <cellStyle name="Input 2 12 8 2 3" xfId="52506"/>
    <cellStyle name="Input 2 12 8 3" xfId="36783"/>
    <cellStyle name="Input 2 12 8 4" xfId="52507"/>
    <cellStyle name="Input 2 12 9" xfId="22346"/>
    <cellStyle name="Input 2 12 9 2" xfId="30644"/>
    <cellStyle name="Input 2 12 9 2 2" xfId="52508"/>
    <cellStyle name="Input 2 12 9 2 3" xfId="52509"/>
    <cellStyle name="Input 2 12 9 3" xfId="37666"/>
    <cellStyle name="Input 2 12 9 4" xfId="52510"/>
    <cellStyle name="Input 2 13" xfId="14971"/>
    <cellStyle name="Input 2 13 10" xfId="23332"/>
    <cellStyle name="Input 2 13 11" xfId="52511"/>
    <cellStyle name="Input 2 13 2" xfId="16052"/>
    <cellStyle name="Input 2 13 2 2" xfId="24367"/>
    <cellStyle name="Input 2 13 2 2 2" xfId="52512"/>
    <cellStyle name="Input 2 13 2 2 3" xfId="52513"/>
    <cellStyle name="Input 2 13 2 3" xfId="31646"/>
    <cellStyle name="Input 2 13 2 4" xfId="52514"/>
    <cellStyle name="Input 2 13 3" xfId="17018"/>
    <cellStyle name="Input 2 13 3 2" xfId="25339"/>
    <cellStyle name="Input 2 13 3 2 2" xfId="52515"/>
    <cellStyle name="Input 2 13 3 2 3" xfId="52516"/>
    <cellStyle name="Input 2 13 3 3" xfId="32579"/>
    <cellStyle name="Input 2 13 3 4" xfId="52517"/>
    <cellStyle name="Input 2 13 4" xfId="18045"/>
    <cellStyle name="Input 2 13 4 2" xfId="26365"/>
    <cellStyle name="Input 2 13 4 2 2" xfId="52518"/>
    <cellStyle name="Input 2 13 4 2 3" xfId="52519"/>
    <cellStyle name="Input 2 13 4 3" xfId="33556"/>
    <cellStyle name="Input 2 13 4 4" xfId="52520"/>
    <cellStyle name="Input 2 13 5" xfId="19029"/>
    <cellStyle name="Input 2 13 5 2" xfId="27349"/>
    <cellStyle name="Input 2 13 5 2 2" xfId="52521"/>
    <cellStyle name="Input 2 13 5 2 3" xfId="52522"/>
    <cellStyle name="Input 2 13 5 3" xfId="34499"/>
    <cellStyle name="Input 2 13 5 4" xfId="52523"/>
    <cellStyle name="Input 2 13 6" xfId="19997"/>
    <cellStyle name="Input 2 13 6 2" xfId="28319"/>
    <cellStyle name="Input 2 13 6 2 2" xfId="52524"/>
    <cellStyle name="Input 2 13 6 2 3" xfId="52525"/>
    <cellStyle name="Input 2 13 6 3" xfId="35446"/>
    <cellStyle name="Input 2 13 6 4" xfId="52526"/>
    <cellStyle name="Input 2 13 7" xfId="20955"/>
    <cellStyle name="Input 2 13 7 2" xfId="29272"/>
    <cellStyle name="Input 2 13 7 2 2" xfId="52527"/>
    <cellStyle name="Input 2 13 7 2 3" xfId="52528"/>
    <cellStyle name="Input 2 13 7 3" xfId="36354"/>
    <cellStyle name="Input 2 13 7 4" xfId="52529"/>
    <cellStyle name="Input 2 13 8" xfId="21462"/>
    <cellStyle name="Input 2 13 8 2" xfId="29763"/>
    <cellStyle name="Input 2 13 8 2 2" xfId="52530"/>
    <cellStyle name="Input 2 13 8 2 3" xfId="52531"/>
    <cellStyle name="Input 2 13 8 3" xfId="36824"/>
    <cellStyle name="Input 2 13 8 4" xfId="52532"/>
    <cellStyle name="Input 2 13 9" xfId="22390"/>
    <cellStyle name="Input 2 13 9 2" xfId="30686"/>
    <cellStyle name="Input 2 13 9 2 2" xfId="52533"/>
    <cellStyle name="Input 2 13 9 2 3" xfId="52534"/>
    <cellStyle name="Input 2 13 9 3" xfId="37707"/>
    <cellStyle name="Input 2 13 9 4" xfId="52535"/>
    <cellStyle name="Input 2 14" xfId="15127"/>
    <cellStyle name="Input 2 14 10" xfId="52536"/>
    <cellStyle name="Input 2 14 2" xfId="16207"/>
    <cellStyle name="Input 2 14 2 2" xfId="24520"/>
    <cellStyle name="Input 2 14 2 2 2" xfId="52537"/>
    <cellStyle name="Input 2 14 2 2 3" xfId="52538"/>
    <cellStyle name="Input 2 14 2 3" xfId="31797"/>
    <cellStyle name="Input 2 14 2 4" xfId="52539"/>
    <cellStyle name="Input 2 14 3" xfId="17173"/>
    <cellStyle name="Input 2 14 3 2" xfId="25494"/>
    <cellStyle name="Input 2 14 3 2 2" xfId="52540"/>
    <cellStyle name="Input 2 14 3 2 3" xfId="52541"/>
    <cellStyle name="Input 2 14 3 3" xfId="32730"/>
    <cellStyle name="Input 2 14 3 4" xfId="52542"/>
    <cellStyle name="Input 2 14 4" xfId="18201"/>
    <cellStyle name="Input 2 14 4 2" xfId="26521"/>
    <cellStyle name="Input 2 14 4 2 2" xfId="52543"/>
    <cellStyle name="Input 2 14 4 2 3" xfId="52544"/>
    <cellStyle name="Input 2 14 4 3" xfId="33708"/>
    <cellStyle name="Input 2 14 4 4" xfId="52545"/>
    <cellStyle name="Input 2 14 5" xfId="19185"/>
    <cellStyle name="Input 2 14 5 2" xfId="27505"/>
    <cellStyle name="Input 2 14 5 2 2" xfId="52546"/>
    <cellStyle name="Input 2 14 5 2 3" xfId="52547"/>
    <cellStyle name="Input 2 14 5 3" xfId="34653"/>
    <cellStyle name="Input 2 14 5 4" xfId="52548"/>
    <cellStyle name="Input 2 14 6" xfId="20153"/>
    <cellStyle name="Input 2 14 6 2" xfId="28475"/>
    <cellStyle name="Input 2 14 6 2 2" xfId="52549"/>
    <cellStyle name="Input 2 14 6 2 3" xfId="52550"/>
    <cellStyle name="Input 2 14 6 3" xfId="35600"/>
    <cellStyle name="Input 2 14 6 4" xfId="52551"/>
    <cellStyle name="Input 2 14 7" xfId="21614"/>
    <cellStyle name="Input 2 14 7 2" xfId="29915"/>
    <cellStyle name="Input 2 14 7 2 2" xfId="52552"/>
    <cellStyle name="Input 2 14 7 2 3" xfId="52553"/>
    <cellStyle name="Input 2 14 7 3" xfId="36974"/>
    <cellStyle name="Input 2 14 7 4" xfId="52554"/>
    <cellStyle name="Input 2 14 8" xfId="22542"/>
    <cellStyle name="Input 2 14 8 2" xfId="30838"/>
    <cellStyle name="Input 2 14 8 2 2" xfId="52555"/>
    <cellStyle name="Input 2 14 8 2 3" xfId="52556"/>
    <cellStyle name="Input 2 14 8 3" xfId="37857"/>
    <cellStyle name="Input 2 14 8 4" xfId="52557"/>
    <cellStyle name="Input 2 14 9" xfId="23484"/>
    <cellStyle name="Input 2 15" xfId="15176"/>
    <cellStyle name="Input 2 15 10" xfId="52558"/>
    <cellStyle name="Input 2 15 2" xfId="16256"/>
    <cellStyle name="Input 2 15 2 2" xfId="24569"/>
    <cellStyle name="Input 2 15 2 2 2" xfId="52559"/>
    <cellStyle name="Input 2 15 2 2 3" xfId="52560"/>
    <cellStyle name="Input 2 15 2 3" xfId="31841"/>
    <cellStyle name="Input 2 15 2 4" xfId="52561"/>
    <cellStyle name="Input 2 15 3" xfId="17222"/>
    <cellStyle name="Input 2 15 3 2" xfId="25543"/>
    <cellStyle name="Input 2 15 3 2 2" xfId="52562"/>
    <cellStyle name="Input 2 15 3 2 3" xfId="52563"/>
    <cellStyle name="Input 2 15 3 3" xfId="32774"/>
    <cellStyle name="Input 2 15 3 4" xfId="52564"/>
    <cellStyle name="Input 2 15 4" xfId="18250"/>
    <cellStyle name="Input 2 15 4 2" xfId="26570"/>
    <cellStyle name="Input 2 15 4 2 2" xfId="52565"/>
    <cellStyle name="Input 2 15 4 2 3" xfId="52566"/>
    <cellStyle name="Input 2 15 4 3" xfId="33752"/>
    <cellStyle name="Input 2 15 4 4" xfId="52567"/>
    <cellStyle name="Input 2 15 5" xfId="19234"/>
    <cellStyle name="Input 2 15 5 2" xfId="27554"/>
    <cellStyle name="Input 2 15 5 2 2" xfId="52568"/>
    <cellStyle name="Input 2 15 5 2 3" xfId="52569"/>
    <cellStyle name="Input 2 15 5 3" xfId="34702"/>
    <cellStyle name="Input 2 15 5 4" xfId="52570"/>
    <cellStyle name="Input 2 15 6" xfId="20202"/>
    <cellStyle name="Input 2 15 6 2" xfId="28524"/>
    <cellStyle name="Input 2 15 6 2 2" xfId="52571"/>
    <cellStyle name="Input 2 15 6 2 3" xfId="52572"/>
    <cellStyle name="Input 2 15 6 3" xfId="35644"/>
    <cellStyle name="Input 2 15 6 4" xfId="52573"/>
    <cellStyle name="Input 2 15 7" xfId="21663"/>
    <cellStyle name="Input 2 15 7 2" xfId="29964"/>
    <cellStyle name="Input 2 15 7 2 2" xfId="52574"/>
    <cellStyle name="Input 2 15 7 2 3" xfId="52575"/>
    <cellStyle name="Input 2 15 7 3" xfId="37018"/>
    <cellStyle name="Input 2 15 7 4" xfId="52576"/>
    <cellStyle name="Input 2 15 8" xfId="22591"/>
    <cellStyle name="Input 2 15 8 2" xfId="30887"/>
    <cellStyle name="Input 2 15 8 2 2" xfId="52577"/>
    <cellStyle name="Input 2 15 8 2 3" xfId="52578"/>
    <cellStyle name="Input 2 15 8 3" xfId="37901"/>
    <cellStyle name="Input 2 15 8 4" xfId="52579"/>
    <cellStyle name="Input 2 15 9" xfId="23533"/>
    <cellStyle name="Input 2 16" xfId="15089"/>
    <cellStyle name="Input 2 16 10" xfId="52580"/>
    <cellStyle name="Input 2 16 2" xfId="16169"/>
    <cellStyle name="Input 2 16 2 2" xfId="24482"/>
    <cellStyle name="Input 2 16 2 2 2" xfId="52581"/>
    <cellStyle name="Input 2 16 2 2 3" xfId="52582"/>
    <cellStyle name="Input 2 16 2 3" xfId="31759"/>
    <cellStyle name="Input 2 16 2 4" xfId="52583"/>
    <cellStyle name="Input 2 16 3" xfId="17135"/>
    <cellStyle name="Input 2 16 3 2" xfId="25456"/>
    <cellStyle name="Input 2 16 3 2 2" xfId="52584"/>
    <cellStyle name="Input 2 16 3 2 3" xfId="52585"/>
    <cellStyle name="Input 2 16 3 3" xfId="32692"/>
    <cellStyle name="Input 2 16 3 4" xfId="52586"/>
    <cellStyle name="Input 2 16 4" xfId="18163"/>
    <cellStyle name="Input 2 16 4 2" xfId="26483"/>
    <cellStyle name="Input 2 16 4 2 2" xfId="52587"/>
    <cellStyle name="Input 2 16 4 2 3" xfId="52588"/>
    <cellStyle name="Input 2 16 4 3" xfId="33670"/>
    <cellStyle name="Input 2 16 4 4" xfId="52589"/>
    <cellStyle name="Input 2 16 5" xfId="19147"/>
    <cellStyle name="Input 2 16 5 2" xfId="27467"/>
    <cellStyle name="Input 2 16 5 2 2" xfId="52590"/>
    <cellStyle name="Input 2 16 5 2 3" xfId="52591"/>
    <cellStyle name="Input 2 16 5 3" xfId="34615"/>
    <cellStyle name="Input 2 16 5 4" xfId="52592"/>
    <cellStyle name="Input 2 16 6" xfId="20115"/>
    <cellStyle name="Input 2 16 6 2" xfId="28437"/>
    <cellStyle name="Input 2 16 6 2 2" xfId="52593"/>
    <cellStyle name="Input 2 16 6 2 3" xfId="52594"/>
    <cellStyle name="Input 2 16 6 3" xfId="35562"/>
    <cellStyle name="Input 2 16 6 4" xfId="52595"/>
    <cellStyle name="Input 2 16 7" xfId="21576"/>
    <cellStyle name="Input 2 16 7 2" xfId="29877"/>
    <cellStyle name="Input 2 16 7 2 2" xfId="52596"/>
    <cellStyle name="Input 2 16 7 2 3" xfId="52597"/>
    <cellStyle name="Input 2 16 7 3" xfId="36936"/>
    <cellStyle name="Input 2 16 7 4" xfId="52598"/>
    <cellStyle name="Input 2 16 8" xfId="22504"/>
    <cellStyle name="Input 2 16 8 2" xfId="30800"/>
    <cellStyle name="Input 2 16 8 2 2" xfId="52599"/>
    <cellStyle name="Input 2 16 8 2 3" xfId="52600"/>
    <cellStyle name="Input 2 16 8 3" xfId="37819"/>
    <cellStyle name="Input 2 16 8 4" xfId="52601"/>
    <cellStyle name="Input 2 16 9" xfId="23446"/>
    <cellStyle name="Input 2 17" xfId="15213"/>
    <cellStyle name="Input 2 17 10" xfId="52602"/>
    <cellStyle name="Input 2 17 2" xfId="16293"/>
    <cellStyle name="Input 2 17 2 2" xfId="24606"/>
    <cellStyle name="Input 2 17 2 2 2" xfId="52603"/>
    <cellStyle name="Input 2 17 2 2 3" xfId="52604"/>
    <cellStyle name="Input 2 17 2 3" xfId="31875"/>
    <cellStyle name="Input 2 17 2 4" xfId="52605"/>
    <cellStyle name="Input 2 17 3" xfId="17259"/>
    <cellStyle name="Input 2 17 3 2" xfId="25580"/>
    <cellStyle name="Input 2 17 3 2 2" xfId="52606"/>
    <cellStyle name="Input 2 17 3 2 3" xfId="52607"/>
    <cellStyle name="Input 2 17 3 3" xfId="32808"/>
    <cellStyle name="Input 2 17 3 4" xfId="52608"/>
    <cellStyle name="Input 2 17 4" xfId="18287"/>
    <cellStyle name="Input 2 17 4 2" xfId="26607"/>
    <cellStyle name="Input 2 17 4 2 2" xfId="52609"/>
    <cellStyle name="Input 2 17 4 2 3" xfId="52610"/>
    <cellStyle name="Input 2 17 4 3" xfId="33786"/>
    <cellStyle name="Input 2 17 4 4" xfId="52611"/>
    <cellStyle name="Input 2 17 5" xfId="19271"/>
    <cellStyle name="Input 2 17 5 2" xfId="27591"/>
    <cellStyle name="Input 2 17 5 2 2" xfId="52612"/>
    <cellStyle name="Input 2 17 5 2 3" xfId="52613"/>
    <cellStyle name="Input 2 17 5 3" xfId="34739"/>
    <cellStyle name="Input 2 17 5 4" xfId="52614"/>
    <cellStyle name="Input 2 17 6" xfId="20239"/>
    <cellStyle name="Input 2 17 6 2" xfId="28561"/>
    <cellStyle name="Input 2 17 6 2 2" xfId="52615"/>
    <cellStyle name="Input 2 17 6 2 3" xfId="52616"/>
    <cellStyle name="Input 2 17 6 3" xfId="35678"/>
    <cellStyle name="Input 2 17 6 4" xfId="52617"/>
    <cellStyle name="Input 2 17 7" xfId="21700"/>
    <cellStyle name="Input 2 17 7 2" xfId="30001"/>
    <cellStyle name="Input 2 17 7 2 2" xfId="52618"/>
    <cellStyle name="Input 2 17 7 2 3" xfId="52619"/>
    <cellStyle name="Input 2 17 7 3" xfId="37052"/>
    <cellStyle name="Input 2 17 7 4" xfId="52620"/>
    <cellStyle name="Input 2 17 8" xfId="22628"/>
    <cellStyle name="Input 2 17 8 2" xfId="30924"/>
    <cellStyle name="Input 2 17 8 2 2" xfId="52621"/>
    <cellStyle name="Input 2 17 8 2 3" xfId="52622"/>
    <cellStyle name="Input 2 17 8 3" xfId="37935"/>
    <cellStyle name="Input 2 17 8 4" xfId="52623"/>
    <cellStyle name="Input 2 17 9" xfId="23570"/>
    <cellStyle name="Input 2 18" xfId="15231"/>
    <cellStyle name="Input 2 18 10" xfId="52624"/>
    <cellStyle name="Input 2 18 2" xfId="16311"/>
    <cellStyle name="Input 2 18 2 2" xfId="24624"/>
    <cellStyle name="Input 2 18 2 2 2" xfId="52625"/>
    <cellStyle name="Input 2 18 2 2 3" xfId="52626"/>
    <cellStyle name="Input 2 18 2 3" xfId="31891"/>
    <cellStyle name="Input 2 18 2 4" xfId="52627"/>
    <cellStyle name="Input 2 18 3" xfId="17277"/>
    <cellStyle name="Input 2 18 3 2" xfId="25598"/>
    <cellStyle name="Input 2 18 3 2 2" xfId="52628"/>
    <cellStyle name="Input 2 18 3 2 3" xfId="52629"/>
    <cellStyle name="Input 2 18 3 3" xfId="32824"/>
    <cellStyle name="Input 2 18 3 4" xfId="52630"/>
    <cellStyle name="Input 2 18 4" xfId="18305"/>
    <cellStyle name="Input 2 18 4 2" xfId="26625"/>
    <cellStyle name="Input 2 18 4 2 2" xfId="52631"/>
    <cellStyle name="Input 2 18 4 2 3" xfId="52632"/>
    <cellStyle name="Input 2 18 4 3" xfId="33802"/>
    <cellStyle name="Input 2 18 4 4" xfId="52633"/>
    <cellStyle name="Input 2 18 5" xfId="19289"/>
    <cellStyle name="Input 2 18 5 2" xfId="27609"/>
    <cellStyle name="Input 2 18 5 2 2" xfId="52634"/>
    <cellStyle name="Input 2 18 5 2 3" xfId="52635"/>
    <cellStyle name="Input 2 18 5 3" xfId="34757"/>
    <cellStyle name="Input 2 18 5 4" xfId="52636"/>
    <cellStyle name="Input 2 18 6" xfId="20257"/>
    <cellStyle name="Input 2 18 6 2" xfId="28579"/>
    <cellStyle name="Input 2 18 6 2 2" xfId="52637"/>
    <cellStyle name="Input 2 18 6 2 3" xfId="52638"/>
    <cellStyle name="Input 2 18 6 3" xfId="35694"/>
    <cellStyle name="Input 2 18 6 4" xfId="52639"/>
    <cellStyle name="Input 2 18 7" xfId="21718"/>
    <cellStyle name="Input 2 18 7 2" xfId="30019"/>
    <cellStyle name="Input 2 18 7 2 2" xfId="52640"/>
    <cellStyle name="Input 2 18 7 2 3" xfId="52641"/>
    <cellStyle name="Input 2 18 7 3" xfId="37068"/>
    <cellStyle name="Input 2 18 7 4" xfId="52642"/>
    <cellStyle name="Input 2 18 8" xfId="22646"/>
    <cellStyle name="Input 2 18 8 2" xfId="30942"/>
    <cellStyle name="Input 2 18 8 2 2" xfId="52643"/>
    <cellStyle name="Input 2 18 8 2 3" xfId="52644"/>
    <cellStyle name="Input 2 18 8 3" xfId="37951"/>
    <cellStyle name="Input 2 18 8 4" xfId="52645"/>
    <cellStyle name="Input 2 18 9" xfId="23588"/>
    <cellStyle name="Input 2 19" xfId="15352"/>
    <cellStyle name="Input 2 19 10" xfId="52646"/>
    <cellStyle name="Input 2 19 11" xfId="52647"/>
    <cellStyle name="Input 2 19 2" xfId="16432"/>
    <cellStyle name="Input 2 19 2 2" xfId="24745"/>
    <cellStyle name="Input 2 19 2 2 2" xfId="52648"/>
    <cellStyle name="Input 2 19 2 2 3" xfId="52649"/>
    <cellStyle name="Input 2 19 2 3" xfId="32009"/>
    <cellStyle name="Input 2 19 2 4" xfId="52650"/>
    <cellStyle name="Input 2 19 3" xfId="17398"/>
    <cellStyle name="Input 2 19 3 2" xfId="25719"/>
    <cellStyle name="Input 2 19 3 2 2" xfId="52651"/>
    <cellStyle name="Input 2 19 3 2 3" xfId="52652"/>
    <cellStyle name="Input 2 19 3 3" xfId="32942"/>
    <cellStyle name="Input 2 19 3 4" xfId="52653"/>
    <cellStyle name="Input 2 19 4" xfId="18426"/>
    <cellStyle name="Input 2 19 4 2" xfId="26746"/>
    <cellStyle name="Input 2 19 4 2 2" xfId="52654"/>
    <cellStyle name="Input 2 19 4 2 3" xfId="52655"/>
    <cellStyle name="Input 2 19 4 3" xfId="33920"/>
    <cellStyle name="Input 2 19 4 4" xfId="52656"/>
    <cellStyle name="Input 2 19 5" xfId="19409"/>
    <cellStyle name="Input 2 19 5 2" xfId="27730"/>
    <cellStyle name="Input 2 19 5 2 2" xfId="52657"/>
    <cellStyle name="Input 2 19 5 2 3" xfId="52658"/>
    <cellStyle name="Input 2 19 5 3" xfId="34878"/>
    <cellStyle name="Input 2 19 5 4" xfId="52659"/>
    <cellStyle name="Input 2 19 6" xfId="20378"/>
    <cellStyle name="Input 2 19 6 2" xfId="28700"/>
    <cellStyle name="Input 2 19 6 2 2" xfId="52660"/>
    <cellStyle name="Input 2 19 6 2 3" xfId="52661"/>
    <cellStyle name="Input 2 19 6 3" xfId="35812"/>
    <cellStyle name="Input 2 19 6 4" xfId="52662"/>
    <cellStyle name="Input 2 19 7" xfId="21839"/>
    <cellStyle name="Input 2 19 7 2" xfId="30140"/>
    <cellStyle name="Input 2 19 7 2 2" xfId="52663"/>
    <cellStyle name="Input 2 19 7 2 3" xfId="52664"/>
    <cellStyle name="Input 2 19 7 3" xfId="37186"/>
    <cellStyle name="Input 2 19 7 4" xfId="52665"/>
    <cellStyle name="Input 2 19 8" xfId="22767"/>
    <cellStyle name="Input 2 19 8 2" xfId="31063"/>
    <cellStyle name="Input 2 19 8 2 2" xfId="52666"/>
    <cellStyle name="Input 2 19 8 2 3" xfId="52667"/>
    <cellStyle name="Input 2 19 8 3" xfId="38069"/>
    <cellStyle name="Input 2 19 8 4" xfId="52668"/>
    <cellStyle name="Input 2 19 9" xfId="23709"/>
    <cellStyle name="Input 2 19 9 2" xfId="52669"/>
    <cellStyle name="Input 2 19 9 3" xfId="52670"/>
    <cellStyle name="Input 2 2" xfId="53"/>
    <cellStyle name="Input 2 2 10" xfId="14654"/>
    <cellStyle name="Input 2 2 10 10" xfId="23016"/>
    <cellStyle name="Input 2 2 10 11" xfId="61869"/>
    <cellStyle name="Input 2 2 10 2" xfId="15735"/>
    <cellStyle name="Input 2 2 10 2 2" xfId="24051"/>
    <cellStyle name="Input 2 2 10 2 2 2" xfId="52671"/>
    <cellStyle name="Input 2 2 10 2 2 3" xfId="52672"/>
    <cellStyle name="Input 2 2 10 2 3" xfId="31343"/>
    <cellStyle name="Input 2 2 10 2 4" xfId="52673"/>
    <cellStyle name="Input 2 2 10 3" xfId="16701"/>
    <cellStyle name="Input 2 2 10 3 2" xfId="25022"/>
    <cellStyle name="Input 2 2 10 3 2 2" xfId="52674"/>
    <cellStyle name="Input 2 2 10 3 2 3" xfId="52675"/>
    <cellStyle name="Input 2 2 10 3 3" xfId="32276"/>
    <cellStyle name="Input 2 2 10 3 4" xfId="52676"/>
    <cellStyle name="Input 2 2 10 4" xfId="17725"/>
    <cellStyle name="Input 2 2 10 4 2" xfId="26048"/>
    <cellStyle name="Input 2 2 10 4 2 2" xfId="52677"/>
    <cellStyle name="Input 2 2 10 4 2 3" xfId="52678"/>
    <cellStyle name="Input 2 2 10 4 3" xfId="33253"/>
    <cellStyle name="Input 2 2 10 4 4" xfId="52679"/>
    <cellStyle name="Input 2 2 10 5" xfId="18708"/>
    <cellStyle name="Input 2 2 10 5 2" xfId="27029"/>
    <cellStyle name="Input 2 2 10 5 2 2" xfId="52680"/>
    <cellStyle name="Input 2 2 10 5 2 3" xfId="52681"/>
    <cellStyle name="Input 2 2 10 5 3" xfId="34192"/>
    <cellStyle name="Input 2 2 10 5 4" xfId="52682"/>
    <cellStyle name="Input 2 2 10 6" xfId="19677"/>
    <cellStyle name="Input 2 2 10 6 2" xfId="27998"/>
    <cellStyle name="Input 2 2 10 6 2 2" xfId="52683"/>
    <cellStyle name="Input 2 2 10 6 2 3" xfId="52684"/>
    <cellStyle name="Input 2 2 10 6 3" xfId="35138"/>
    <cellStyle name="Input 2 2 10 6 4" xfId="52685"/>
    <cellStyle name="Input 2 2 10 7" xfId="20634"/>
    <cellStyle name="Input 2 2 10 7 2" xfId="28955"/>
    <cellStyle name="Input 2 2 10 7 2 2" xfId="52686"/>
    <cellStyle name="Input 2 2 10 7 2 3" xfId="52687"/>
    <cellStyle name="Input 2 2 10 7 3" xfId="36053"/>
    <cellStyle name="Input 2 2 10 7 4" xfId="52688"/>
    <cellStyle name="Input 2 2 10 8" xfId="21089"/>
    <cellStyle name="Input 2 2 10 8 2" xfId="29406"/>
    <cellStyle name="Input 2 2 10 8 2 2" xfId="52689"/>
    <cellStyle name="Input 2 2 10 8 2 3" xfId="52690"/>
    <cellStyle name="Input 2 2 10 8 3" xfId="36482"/>
    <cellStyle name="Input 2 2 10 8 4" xfId="52691"/>
    <cellStyle name="Input 2 2 10 9" xfId="22071"/>
    <cellStyle name="Input 2 2 10 9 2" xfId="30369"/>
    <cellStyle name="Input 2 2 10 9 2 2" xfId="52692"/>
    <cellStyle name="Input 2 2 10 9 2 3" xfId="52693"/>
    <cellStyle name="Input 2 2 10 9 3" xfId="37404"/>
    <cellStyle name="Input 2 2 10 9 4" xfId="52694"/>
    <cellStyle name="Input 2 2 11" xfId="14686"/>
    <cellStyle name="Input 2 2 11 10" xfId="23049"/>
    <cellStyle name="Input 2 2 11 2" xfId="15767"/>
    <cellStyle name="Input 2 2 11 2 2" xfId="24084"/>
    <cellStyle name="Input 2 2 11 2 2 2" xfId="52695"/>
    <cellStyle name="Input 2 2 11 2 2 3" xfId="52696"/>
    <cellStyle name="Input 2 2 11 2 3" xfId="31375"/>
    <cellStyle name="Input 2 2 11 2 4" xfId="52697"/>
    <cellStyle name="Input 2 2 11 3" xfId="16733"/>
    <cellStyle name="Input 2 2 11 3 2" xfId="25055"/>
    <cellStyle name="Input 2 2 11 3 2 2" xfId="52698"/>
    <cellStyle name="Input 2 2 11 3 2 3" xfId="52699"/>
    <cellStyle name="Input 2 2 11 3 3" xfId="32308"/>
    <cellStyle name="Input 2 2 11 3 4" xfId="52700"/>
    <cellStyle name="Input 2 2 11 4" xfId="17757"/>
    <cellStyle name="Input 2 2 11 4 2" xfId="26081"/>
    <cellStyle name="Input 2 2 11 4 2 2" xfId="52701"/>
    <cellStyle name="Input 2 2 11 4 2 3" xfId="52702"/>
    <cellStyle name="Input 2 2 11 4 3" xfId="33285"/>
    <cellStyle name="Input 2 2 11 4 4" xfId="52703"/>
    <cellStyle name="Input 2 2 11 5" xfId="18741"/>
    <cellStyle name="Input 2 2 11 5 2" xfId="27062"/>
    <cellStyle name="Input 2 2 11 5 2 2" xfId="52704"/>
    <cellStyle name="Input 2 2 11 5 2 3" xfId="52705"/>
    <cellStyle name="Input 2 2 11 5 3" xfId="34224"/>
    <cellStyle name="Input 2 2 11 5 4" xfId="52706"/>
    <cellStyle name="Input 2 2 11 6" xfId="19710"/>
    <cellStyle name="Input 2 2 11 6 2" xfId="28031"/>
    <cellStyle name="Input 2 2 11 6 2 2" xfId="52707"/>
    <cellStyle name="Input 2 2 11 6 2 3" xfId="52708"/>
    <cellStyle name="Input 2 2 11 6 3" xfId="35170"/>
    <cellStyle name="Input 2 2 11 6 4" xfId="52709"/>
    <cellStyle name="Input 2 2 11 7" xfId="20667"/>
    <cellStyle name="Input 2 2 11 7 2" xfId="28988"/>
    <cellStyle name="Input 2 2 11 7 2 2" xfId="52710"/>
    <cellStyle name="Input 2 2 11 7 2 3" xfId="52711"/>
    <cellStyle name="Input 2 2 11 7 3" xfId="36085"/>
    <cellStyle name="Input 2 2 11 7 4" xfId="52712"/>
    <cellStyle name="Input 2 2 11 8" xfId="21086"/>
    <cellStyle name="Input 2 2 11 8 2" xfId="29403"/>
    <cellStyle name="Input 2 2 11 8 2 2" xfId="52713"/>
    <cellStyle name="Input 2 2 11 8 2 3" xfId="52714"/>
    <cellStyle name="Input 2 2 11 8 3" xfId="36479"/>
    <cellStyle name="Input 2 2 11 8 4" xfId="52715"/>
    <cellStyle name="Input 2 2 11 9" xfId="22104"/>
    <cellStyle name="Input 2 2 11 9 2" xfId="30402"/>
    <cellStyle name="Input 2 2 11 9 2 2" xfId="52716"/>
    <cellStyle name="Input 2 2 11 9 2 3" xfId="52717"/>
    <cellStyle name="Input 2 2 11 9 3" xfId="37436"/>
    <cellStyle name="Input 2 2 11 9 4" xfId="52718"/>
    <cellStyle name="Input 2 2 12" xfId="14670"/>
    <cellStyle name="Input 2 2 12 10" xfId="23032"/>
    <cellStyle name="Input 2 2 12 2" xfId="15751"/>
    <cellStyle name="Input 2 2 12 2 2" xfId="24067"/>
    <cellStyle name="Input 2 2 12 2 2 2" xfId="52719"/>
    <cellStyle name="Input 2 2 12 2 2 3" xfId="52720"/>
    <cellStyle name="Input 2 2 12 2 3" xfId="31359"/>
    <cellStyle name="Input 2 2 12 2 4" xfId="52721"/>
    <cellStyle name="Input 2 2 12 3" xfId="16717"/>
    <cellStyle name="Input 2 2 12 3 2" xfId="25038"/>
    <cellStyle name="Input 2 2 12 3 2 2" xfId="52722"/>
    <cellStyle name="Input 2 2 12 3 2 3" xfId="52723"/>
    <cellStyle name="Input 2 2 12 3 3" xfId="32292"/>
    <cellStyle name="Input 2 2 12 3 4" xfId="52724"/>
    <cellStyle name="Input 2 2 12 4" xfId="17741"/>
    <cellStyle name="Input 2 2 12 4 2" xfId="26064"/>
    <cellStyle name="Input 2 2 12 4 2 2" xfId="52725"/>
    <cellStyle name="Input 2 2 12 4 2 3" xfId="52726"/>
    <cellStyle name="Input 2 2 12 4 3" xfId="33269"/>
    <cellStyle name="Input 2 2 12 4 4" xfId="52727"/>
    <cellStyle name="Input 2 2 12 5" xfId="18724"/>
    <cellStyle name="Input 2 2 12 5 2" xfId="27045"/>
    <cellStyle name="Input 2 2 12 5 2 2" xfId="52728"/>
    <cellStyle name="Input 2 2 12 5 2 3" xfId="52729"/>
    <cellStyle name="Input 2 2 12 5 3" xfId="34208"/>
    <cellStyle name="Input 2 2 12 5 4" xfId="52730"/>
    <cellStyle name="Input 2 2 12 6" xfId="19693"/>
    <cellStyle name="Input 2 2 12 6 2" xfId="28014"/>
    <cellStyle name="Input 2 2 12 6 2 2" xfId="52731"/>
    <cellStyle name="Input 2 2 12 6 2 3" xfId="52732"/>
    <cellStyle name="Input 2 2 12 6 3" xfId="35154"/>
    <cellStyle name="Input 2 2 12 6 4" xfId="52733"/>
    <cellStyle name="Input 2 2 12 7" xfId="20650"/>
    <cellStyle name="Input 2 2 12 7 2" xfId="28971"/>
    <cellStyle name="Input 2 2 12 7 2 2" xfId="52734"/>
    <cellStyle name="Input 2 2 12 7 2 3" xfId="52735"/>
    <cellStyle name="Input 2 2 12 7 3" xfId="36069"/>
    <cellStyle name="Input 2 2 12 7 4" xfId="52736"/>
    <cellStyle name="Input 2 2 12 8" xfId="21293"/>
    <cellStyle name="Input 2 2 12 8 2" xfId="29600"/>
    <cellStyle name="Input 2 2 12 8 2 2" xfId="52737"/>
    <cellStyle name="Input 2 2 12 8 2 3" xfId="52738"/>
    <cellStyle name="Input 2 2 12 8 3" xfId="36667"/>
    <cellStyle name="Input 2 2 12 8 4" xfId="52739"/>
    <cellStyle name="Input 2 2 12 9" xfId="22087"/>
    <cellStyle name="Input 2 2 12 9 2" xfId="30385"/>
    <cellStyle name="Input 2 2 12 9 2 2" xfId="52740"/>
    <cellStyle name="Input 2 2 12 9 2 3" xfId="52741"/>
    <cellStyle name="Input 2 2 12 9 3" xfId="37420"/>
    <cellStyle name="Input 2 2 12 9 4" xfId="52742"/>
    <cellStyle name="Input 2 2 13" xfId="14731"/>
    <cellStyle name="Input 2 2 13 10" xfId="23095"/>
    <cellStyle name="Input 2 2 13 11" xfId="52743"/>
    <cellStyle name="Input 2 2 13 2" xfId="15812"/>
    <cellStyle name="Input 2 2 13 2 2" xfId="24130"/>
    <cellStyle name="Input 2 2 13 2 2 2" xfId="52744"/>
    <cellStyle name="Input 2 2 13 2 2 3" xfId="52745"/>
    <cellStyle name="Input 2 2 13 2 3" xfId="31418"/>
    <cellStyle name="Input 2 2 13 2 4" xfId="52746"/>
    <cellStyle name="Input 2 2 13 3" xfId="16778"/>
    <cellStyle name="Input 2 2 13 3 2" xfId="25102"/>
    <cellStyle name="Input 2 2 13 3 2 2" xfId="52747"/>
    <cellStyle name="Input 2 2 13 3 2 3" xfId="52748"/>
    <cellStyle name="Input 2 2 13 3 3" xfId="32351"/>
    <cellStyle name="Input 2 2 13 3 4" xfId="52749"/>
    <cellStyle name="Input 2 2 13 4" xfId="17804"/>
    <cellStyle name="Input 2 2 13 4 2" xfId="26128"/>
    <cellStyle name="Input 2 2 13 4 2 2" xfId="52750"/>
    <cellStyle name="Input 2 2 13 4 2 3" xfId="52751"/>
    <cellStyle name="Input 2 2 13 4 3" xfId="33328"/>
    <cellStyle name="Input 2 2 13 4 4" xfId="52752"/>
    <cellStyle name="Input 2 2 13 5" xfId="18788"/>
    <cellStyle name="Input 2 2 13 5 2" xfId="27109"/>
    <cellStyle name="Input 2 2 13 5 2 2" xfId="52753"/>
    <cellStyle name="Input 2 2 13 5 2 3" xfId="52754"/>
    <cellStyle name="Input 2 2 13 5 3" xfId="34268"/>
    <cellStyle name="Input 2 2 13 5 4" xfId="52755"/>
    <cellStyle name="Input 2 2 13 6" xfId="19756"/>
    <cellStyle name="Input 2 2 13 6 2" xfId="28078"/>
    <cellStyle name="Input 2 2 13 6 2 2" xfId="52756"/>
    <cellStyle name="Input 2 2 13 6 2 3" xfId="52757"/>
    <cellStyle name="Input 2 2 13 6 3" xfId="35214"/>
    <cellStyle name="Input 2 2 13 6 4" xfId="52758"/>
    <cellStyle name="Input 2 2 13 7" xfId="20714"/>
    <cellStyle name="Input 2 2 13 7 2" xfId="29035"/>
    <cellStyle name="Input 2 2 13 7 2 2" xfId="52759"/>
    <cellStyle name="Input 2 2 13 7 2 3" xfId="52760"/>
    <cellStyle name="Input 2 2 13 7 3" xfId="36128"/>
    <cellStyle name="Input 2 2 13 7 4" xfId="52761"/>
    <cellStyle name="Input 2 2 13 8" xfId="21362"/>
    <cellStyle name="Input 2 2 13 8 2" xfId="29665"/>
    <cellStyle name="Input 2 2 13 8 2 2" xfId="52762"/>
    <cellStyle name="Input 2 2 13 8 2 3" xfId="52763"/>
    <cellStyle name="Input 2 2 13 8 3" xfId="36730"/>
    <cellStyle name="Input 2 2 13 8 4" xfId="52764"/>
    <cellStyle name="Input 2 2 13 9" xfId="22150"/>
    <cellStyle name="Input 2 2 13 9 2" xfId="30448"/>
    <cellStyle name="Input 2 2 13 9 2 2" xfId="52765"/>
    <cellStyle name="Input 2 2 13 9 2 3" xfId="52766"/>
    <cellStyle name="Input 2 2 13 9 3" xfId="37479"/>
    <cellStyle name="Input 2 2 13 9 4" xfId="52767"/>
    <cellStyle name="Input 2 2 14" xfId="14794"/>
    <cellStyle name="Input 2 2 14 10" xfId="23158"/>
    <cellStyle name="Input 2 2 14 11" xfId="52768"/>
    <cellStyle name="Input 2 2 14 2" xfId="15875"/>
    <cellStyle name="Input 2 2 14 2 2" xfId="24193"/>
    <cellStyle name="Input 2 2 14 2 2 2" xfId="52769"/>
    <cellStyle name="Input 2 2 14 2 2 3" xfId="52770"/>
    <cellStyle name="Input 2 2 14 2 3" xfId="31479"/>
    <cellStyle name="Input 2 2 14 2 4" xfId="52771"/>
    <cellStyle name="Input 2 2 14 3" xfId="16841"/>
    <cellStyle name="Input 2 2 14 3 2" xfId="25165"/>
    <cellStyle name="Input 2 2 14 3 2 2" xfId="52772"/>
    <cellStyle name="Input 2 2 14 3 2 3" xfId="52773"/>
    <cellStyle name="Input 2 2 14 3 3" xfId="32412"/>
    <cellStyle name="Input 2 2 14 3 4" xfId="52774"/>
    <cellStyle name="Input 2 2 14 4" xfId="17868"/>
    <cellStyle name="Input 2 2 14 4 2" xfId="26191"/>
    <cellStyle name="Input 2 2 14 4 2 2" xfId="52775"/>
    <cellStyle name="Input 2 2 14 4 2 3" xfId="52776"/>
    <cellStyle name="Input 2 2 14 4 3" xfId="33389"/>
    <cellStyle name="Input 2 2 14 4 4" xfId="52777"/>
    <cellStyle name="Input 2 2 14 5" xfId="18852"/>
    <cellStyle name="Input 2 2 14 5 2" xfId="27172"/>
    <cellStyle name="Input 2 2 14 5 2 2" xfId="52778"/>
    <cellStyle name="Input 2 2 14 5 2 3" xfId="52779"/>
    <cellStyle name="Input 2 2 14 5 3" xfId="34329"/>
    <cellStyle name="Input 2 2 14 5 4" xfId="52780"/>
    <cellStyle name="Input 2 2 14 6" xfId="19820"/>
    <cellStyle name="Input 2 2 14 6 2" xfId="28142"/>
    <cellStyle name="Input 2 2 14 6 2 2" xfId="52781"/>
    <cellStyle name="Input 2 2 14 6 2 3" xfId="52782"/>
    <cellStyle name="Input 2 2 14 6 3" xfId="35276"/>
    <cellStyle name="Input 2 2 14 6 4" xfId="52783"/>
    <cellStyle name="Input 2 2 14 7" xfId="20778"/>
    <cellStyle name="Input 2 2 14 7 2" xfId="29098"/>
    <cellStyle name="Input 2 2 14 7 2 2" xfId="52784"/>
    <cellStyle name="Input 2 2 14 7 2 3" xfId="52785"/>
    <cellStyle name="Input 2 2 14 7 3" xfId="36188"/>
    <cellStyle name="Input 2 2 14 7 4" xfId="52786"/>
    <cellStyle name="Input 2 2 14 8" xfId="21177"/>
    <cellStyle name="Input 2 2 14 8 2" xfId="29489"/>
    <cellStyle name="Input 2 2 14 8 2 2" xfId="52787"/>
    <cellStyle name="Input 2 2 14 8 2 3" xfId="52788"/>
    <cellStyle name="Input 2 2 14 8 3" xfId="36560"/>
    <cellStyle name="Input 2 2 14 8 4" xfId="52789"/>
    <cellStyle name="Input 2 2 14 9" xfId="22214"/>
    <cellStyle name="Input 2 2 14 9 2" xfId="30512"/>
    <cellStyle name="Input 2 2 14 9 2 2" xfId="52790"/>
    <cellStyle name="Input 2 2 14 9 2 3" xfId="52791"/>
    <cellStyle name="Input 2 2 14 9 3" xfId="37540"/>
    <cellStyle name="Input 2 2 14 9 4" xfId="52792"/>
    <cellStyle name="Input 2 2 15" xfId="14722"/>
    <cellStyle name="Input 2 2 15 10" xfId="23084"/>
    <cellStyle name="Input 2 2 15 11" xfId="52793"/>
    <cellStyle name="Input 2 2 15 2" xfId="15803"/>
    <cellStyle name="Input 2 2 15 2 2" xfId="24119"/>
    <cellStyle name="Input 2 2 15 2 2 2" xfId="52794"/>
    <cellStyle name="Input 2 2 15 2 2 3" xfId="52795"/>
    <cellStyle name="Input 2 2 15 2 3" xfId="31407"/>
    <cellStyle name="Input 2 2 15 2 4" xfId="52796"/>
    <cellStyle name="Input 2 2 15 3" xfId="16769"/>
    <cellStyle name="Input 2 2 15 3 2" xfId="25091"/>
    <cellStyle name="Input 2 2 15 3 2 2" xfId="52797"/>
    <cellStyle name="Input 2 2 15 3 2 3" xfId="52798"/>
    <cellStyle name="Input 2 2 15 3 3" xfId="32340"/>
    <cellStyle name="Input 2 2 15 3 4" xfId="52799"/>
    <cellStyle name="Input 2 2 15 4" xfId="17793"/>
    <cellStyle name="Input 2 2 15 4 2" xfId="26117"/>
    <cellStyle name="Input 2 2 15 4 2 2" xfId="52800"/>
    <cellStyle name="Input 2 2 15 4 2 3" xfId="52801"/>
    <cellStyle name="Input 2 2 15 4 3" xfId="33317"/>
    <cellStyle name="Input 2 2 15 4 4" xfId="52802"/>
    <cellStyle name="Input 2 2 15 5" xfId="18777"/>
    <cellStyle name="Input 2 2 15 5 2" xfId="27098"/>
    <cellStyle name="Input 2 2 15 5 2 2" xfId="52803"/>
    <cellStyle name="Input 2 2 15 5 2 3" xfId="52804"/>
    <cellStyle name="Input 2 2 15 5 3" xfId="34257"/>
    <cellStyle name="Input 2 2 15 5 4" xfId="52805"/>
    <cellStyle name="Input 2 2 15 6" xfId="19746"/>
    <cellStyle name="Input 2 2 15 6 2" xfId="28067"/>
    <cellStyle name="Input 2 2 15 6 2 2" xfId="52806"/>
    <cellStyle name="Input 2 2 15 6 2 3" xfId="52807"/>
    <cellStyle name="Input 2 2 15 6 3" xfId="35203"/>
    <cellStyle name="Input 2 2 15 6 4" xfId="52808"/>
    <cellStyle name="Input 2 2 15 7" xfId="20703"/>
    <cellStyle name="Input 2 2 15 7 2" xfId="29024"/>
    <cellStyle name="Input 2 2 15 7 2 2" xfId="52809"/>
    <cellStyle name="Input 2 2 15 7 2 3" xfId="52810"/>
    <cellStyle name="Input 2 2 15 7 3" xfId="36117"/>
    <cellStyle name="Input 2 2 15 7 4" xfId="52811"/>
    <cellStyle name="Input 2 2 15 8" xfId="21157"/>
    <cellStyle name="Input 2 2 15 8 2" xfId="29469"/>
    <cellStyle name="Input 2 2 15 8 2 2" xfId="52812"/>
    <cellStyle name="Input 2 2 15 8 2 3" xfId="52813"/>
    <cellStyle name="Input 2 2 15 8 3" xfId="36541"/>
    <cellStyle name="Input 2 2 15 8 4" xfId="52814"/>
    <cellStyle name="Input 2 2 15 9" xfId="22139"/>
    <cellStyle name="Input 2 2 15 9 2" xfId="30437"/>
    <cellStyle name="Input 2 2 15 9 2 2" xfId="52815"/>
    <cellStyle name="Input 2 2 15 9 2 3" xfId="52816"/>
    <cellStyle name="Input 2 2 15 9 3" xfId="37468"/>
    <cellStyle name="Input 2 2 15 9 4" xfId="52817"/>
    <cellStyle name="Input 2 2 16" xfId="14835"/>
    <cellStyle name="Input 2 2 16 10" xfId="23198"/>
    <cellStyle name="Input 2 2 16 11" xfId="52818"/>
    <cellStyle name="Input 2 2 16 2" xfId="15916"/>
    <cellStyle name="Input 2 2 16 2 2" xfId="24233"/>
    <cellStyle name="Input 2 2 16 2 2 2" xfId="52819"/>
    <cellStyle name="Input 2 2 16 2 2 3" xfId="52820"/>
    <cellStyle name="Input 2 2 16 2 3" xfId="31517"/>
    <cellStyle name="Input 2 2 16 2 4" xfId="52821"/>
    <cellStyle name="Input 2 2 16 3" xfId="16882"/>
    <cellStyle name="Input 2 2 16 3 2" xfId="25205"/>
    <cellStyle name="Input 2 2 16 3 2 2" xfId="52822"/>
    <cellStyle name="Input 2 2 16 3 2 3" xfId="52823"/>
    <cellStyle name="Input 2 2 16 3 3" xfId="32450"/>
    <cellStyle name="Input 2 2 16 3 4" xfId="52824"/>
    <cellStyle name="Input 2 2 16 4" xfId="17909"/>
    <cellStyle name="Input 2 2 16 4 2" xfId="26231"/>
    <cellStyle name="Input 2 2 16 4 2 2" xfId="52825"/>
    <cellStyle name="Input 2 2 16 4 2 3" xfId="52826"/>
    <cellStyle name="Input 2 2 16 4 3" xfId="33427"/>
    <cellStyle name="Input 2 2 16 4 4" xfId="52827"/>
    <cellStyle name="Input 2 2 16 5" xfId="18893"/>
    <cellStyle name="Input 2 2 16 5 2" xfId="27213"/>
    <cellStyle name="Input 2 2 16 5 2 2" xfId="52828"/>
    <cellStyle name="Input 2 2 16 5 2 3" xfId="52829"/>
    <cellStyle name="Input 2 2 16 5 3" xfId="34368"/>
    <cellStyle name="Input 2 2 16 5 4" xfId="52830"/>
    <cellStyle name="Input 2 2 16 6" xfId="19861"/>
    <cellStyle name="Input 2 2 16 6 2" xfId="28183"/>
    <cellStyle name="Input 2 2 16 6 2 2" xfId="52831"/>
    <cellStyle name="Input 2 2 16 6 2 3" xfId="52832"/>
    <cellStyle name="Input 2 2 16 6 3" xfId="35315"/>
    <cellStyle name="Input 2 2 16 6 4" xfId="52833"/>
    <cellStyle name="Input 2 2 16 7" xfId="20819"/>
    <cellStyle name="Input 2 2 16 7 2" xfId="29138"/>
    <cellStyle name="Input 2 2 16 7 2 2" xfId="52834"/>
    <cellStyle name="Input 2 2 16 7 2 3" xfId="52835"/>
    <cellStyle name="Input 2 2 16 7 3" xfId="36225"/>
    <cellStyle name="Input 2 2 16 7 4" xfId="52836"/>
    <cellStyle name="Input 2 2 16 8" xfId="21348"/>
    <cellStyle name="Input 2 2 16 8 2" xfId="29651"/>
    <cellStyle name="Input 2 2 16 8 2 2" xfId="52837"/>
    <cellStyle name="Input 2 2 16 8 2 3" xfId="52838"/>
    <cellStyle name="Input 2 2 16 8 3" xfId="36716"/>
    <cellStyle name="Input 2 2 16 8 4" xfId="52839"/>
    <cellStyle name="Input 2 2 16 9" xfId="22254"/>
    <cellStyle name="Input 2 2 16 9 2" xfId="30552"/>
    <cellStyle name="Input 2 2 16 9 2 2" xfId="52840"/>
    <cellStyle name="Input 2 2 16 9 2 3" xfId="52841"/>
    <cellStyle name="Input 2 2 16 9 3" xfId="37578"/>
    <cellStyle name="Input 2 2 16 9 4" xfId="52842"/>
    <cellStyle name="Input 2 2 17" xfId="14872"/>
    <cellStyle name="Input 2 2 17 10" xfId="23235"/>
    <cellStyle name="Input 2 2 17 11" xfId="52843"/>
    <cellStyle name="Input 2 2 17 2" xfId="15953"/>
    <cellStyle name="Input 2 2 17 2 2" xfId="24270"/>
    <cellStyle name="Input 2 2 17 2 2 2" xfId="52844"/>
    <cellStyle name="Input 2 2 17 2 2 3" xfId="52845"/>
    <cellStyle name="Input 2 2 17 2 3" xfId="31553"/>
    <cellStyle name="Input 2 2 17 2 4" xfId="52846"/>
    <cellStyle name="Input 2 2 17 3" xfId="16919"/>
    <cellStyle name="Input 2 2 17 3 2" xfId="25242"/>
    <cellStyle name="Input 2 2 17 3 2 2" xfId="52847"/>
    <cellStyle name="Input 2 2 17 3 2 3" xfId="52848"/>
    <cellStyle name="Input 2 2 17 3 3" xfId="32486"/>
    <cellStyle name="Input 2 2 17 3 4" xfId="52849"/>
    <cellStyle name="Input 2 2 17 4" xfId="17946"/>
    <cellStyle name="Input 2 2 17 4 2" xfId="26268"/>
    <cellStyle name="Input 2 2 17 4 2 2" xfId="52850"/>
    <cellStyle name="Input 2 2 17 4 2 3" xfId="52851"/>
    <cellStyle name="Input 2 2 17 4 3" xfId="33463"/>
    <cellStyle name="Input 2 2 17 4 4" xfId="52852"/>
    <cellStyle name="Input 2 2 17 5" xfId="18930"/>
    <cellStyle name="Input 2 2 17 5 2" xfId="27250"/>
    <cellStyle name="Input 2 2 17 5 2 2" xfId="52853"/>
    <cellStyle name="Input 2 2 17 5 2 3" xfId="52854"/>
    <cellStyle name="Input 2 2 17 5 3" xfId="34404"/>
    <cellStyle name="Input 2 2 17 5 4" xfId="52855"/>
    <cellStyle name="Input 2 2 17 6" xfId="19898"/>
    <cellStyle name="Input 2 2 17 6 2" xfId="28220"/>
    <cellStyle name="Input 2 2 17 6 2 2" xfId="52856"/>
    <cellStyle name="Input 2 2 17 6 2 3" xfId="52857"/>
    <cellStyle name="Input 2 2 17 6 3" xfId="35351"/>
    <cellStyle name="Input 2 2 17 6 4" xfId="52858"/>
    <cellStyle name="Input 2 2 17 7" xfId="20856"/>
    <cellStyle name="Input 2 2 17 7 2" xfId="29175"/>
    <cellStyle name="Input 2 2 17 7 2 2" xfId="52859"/>
    <cellStyle name="Input 2 2 17 7 2 3" xfId="52860"/>
    <cellStyle name="Input 2 2 17 7 3" xfId="36261"/>
    <cellStyle name="Input 2 2 17 7 4" xfId="52861"/>
    <cellStyle name="Input 2 2 17 8" xfId="18557"/>
    <cellStyle name="Input 2 2 17 8 2" xfId="26874"/>
    <cellStyle name="Input 2 2 17 8 2 2" xfId="52862"/>
    <cellStyle name="Input 2 2 17 8 2 3" xfId="52863"/>
    <cellStyle name="Input 2 2 17 8 3" xfId="34043"/>
    <cellStyle name="Input 2 2 17 8 4" xfId="52864"/>
    <cellStyle name="Input 2 2 17 9" xfId="22291"/>
    <cellStyle name="Input 2 2 17 9 2" xfId="30589"/>
    <cellStyle name="Input 2 2 17 9 2 2" xfId="52865"/>
    <cellStyle name="Input 2 2 17 9 2 3" xfId="52866"/>
    <cellStyle name="Input 2 2 17 9 3" xfId="37614"/>
    <cellStyle name="Input 2 2 17 9 4" xfId="52867"/>
    <cellStyle name="Input 2 2 18" xfId="14888"/>
    <cellStyle name="Input 2 2 18 10" xfId="23251"/>
    <cellStyle name="Input 2 2 18 11" xfId="52868"/>
    <cellStyle name="Input 2 2 18 2" xfId="15969"/>
    <cellStyle name="Input 2 2 18 2 2" xfId="24286"/>
    <cellStyle name="Input 2 2 18 2 2 2" xfId="52869"/>
    <cellStyle name="Input 2 2 18 2 2 3" xfId="52870"/>
    <cellStyle name="Input 2 2 18 2 3" xfId="31567"/>
    <cellStyle name="Input 2 2 18 2 4" xfId="52871"/>
    <cellStyle name="Input 2 2 18 3" xfId="16935"/>
    <cellStyle name="Input 2 2 18 3 2" xfId="25258"/>
    <cellStyle name="Input 2 2 18 3 2 2" xfId="52872"/>
    <cellStyle name="Input 2 2 18 3 2 3" xfId="52873"/>
    <cellStyle name="Input 2 2 18 3 3" xfId="32500"/>
    <cellStyle name="Input 2 2 18 3 4" xfId="52874"/>
    <cellStyle name="Input 2 2 18 4" xfId="17962"/>
    <cellStyle name="Input 2 2 18 4 2" xfId="26284"/>
    <cellStyle name="Input 2 2 18 4 2 2" xfId="52875"/>
    <cellStyle name="Input 2 2 18 4 2 3" xfId="52876"/>
    <cellStyle name="Input 2 2 18 4 3" xfId="33477"/>
    <cellStyle name="Input 2 2 18 4 4" xfId="52877"/>
    <cellStyle name="Input 2 2 18 5" xfId="18946"/>
    <cellStyle name="Input 2 2 18 5 2" xfId="27266"/>
    <cellStyle name="Input 2 2 18 5 2 2" xfId="52878"/>
    <cellStyle name="Input 2 2 18 5 2 3" xfId="52879"/>
    <cellStyle name="Input 2 2 18 5 3" xfId="34418"/>
    <cellStyle name="Input 2 2 18 5 4" xfId="52880"/>
    <cellStyle name="Input 2 2 18 6" xfId="19914"/>
    <cellStyle name="Input 2 2 18 6 2" xfId="28236"/>
    <cellStyle name="Input 2 2 18 6 2 2" xfId="52881"/>
    <cellStyle name="Input 2 2 18 6 2 3" xfId="52882"/>
    <cellStyle name="Input 2 2 18 6 3" xfId="35365"/>
    <cellStyle name="Input 2 2 18 6 4" xfId="52883"/>
    <cellStyle name="Input 2 2 18 7" xfId="20872"/>
    <cellStyle name="Input 2 2 18 7 2" xfId="29191"/>
    <cellStyle name="Input 2 2 18 7 2 2" xfId="52884"/>
    <cellStyle name="Input 2 2 18 7 2 3" xfId="52885"/>
    <cellStyle name="Input 2 2 18 7 3" xfId="36275"/>
    <cellStyle name="Input 2 2 18 7 4" xfId="52886"/>
    <cellStyle name="Input 2 2 18 8" xfId="21379"/>
    <cellStyle name="Input 2 2 18 8 2" xfId="29682"/>
    <cellStyle name="Input 2 2 18 8 2 2" xfId="52887"/>
    <cellStyle name="Input 2 2 18 8 2 3" xfId="52888"/>
    <cellStyle name="Input 2 2 18 8 3" xfId="36745"/>
    <cellStyle name="Input 2 2 18 8 4" xfId="52889"/>
    <cellStyle name="Input 2 2 18 9" xfId="22307"/>
    <cellStyle name="Input 2 2 18 9 2" xfId="30605"/>
    <cellStyle name="Input 2 2 18 9 2 2" xfId="52890"/>
    <cellStyle name="Input 2 2 18 9 2 3" xfId="52891"/>
    <cellStyle name="Input 2 2 18 9 3" xfId="37628"/>
    <cellStyle name="Input 2 2 18 9 4" xfId="52892"/>
    <cellStyle name="Input 2 2 19" xfId="14933"/>
    <cellStyle name="Input 2 2 19 10" xfId="23296"/>
    <cellStyle name="Input 2 2 19 11" xfId="52893"/>
    <cellStyle name="Input 2 2 19 2" xfId="16014"/>
    <cellStyle name="Input 2 2 19 2 2" xfId="24331"/>
    <cellStyle name="Input 2 2 19 2 2 2" xfId="52894"/>
    <cellStyle name="Input 2 2 19 2 2 3" xfId="52895"/>
    <cellStyle name="Input 2 2 19 2 3" xfId="31611"/>
    <cellStyle name="Input 2 2 19 2 4" xfId="52896"/>
    <cellStyle name="Input 2 2 19 3" xfId="16980"/>
    <cellStyle name="Input 2 2 19 3 2" xfId="25303"/>
    <cellStyle name="Input 2 2 19 3 2 2" xfId="52897"/>
    <cellStyle name="Input 2 2 19 3 2 3" xfId="52898"/>
    <cellStyle name="Input 2 2 19 3 3" xfId="32544"/>
    <cellStyle name="Input 2 2 19 3 4" xfId="52899"/>
    <cellStyle name="Input 2 2 19 4" xfId="18007"/>
    <cellStyle name="Input 2 2 19 4 2" xfId="26329"/>
    <cellStyle name="Input 2 2 19 4 2 2" xfId="52900"/>
    <cellStyle name="Input 2 2 19 4 2 3" xfId="52901"/>
    <cellStyle name="Input 2 2 19 4 3" xfId="33521"/>
    <cellStyle name="Input 2 2 19 4 4" xfId="52902"/>
    <cellStyle name="Input 2 2 19 5" xfId="18991"/>
    <cellStyle name="Input 2 2 19 5 2" xfId="27311"/>
    <cellStyle name="Input 2 2 19 5 2 2" xfId="52903"/>
    <cellStyle name="Input 2 2 19 5 2 3" xfId="52904"/>
    <cellStyle name="Input 2 2 19 5 3" xfId="34462"/>
    <cellStyle name="Input 2 2 19 5 4" xfId="52905"/>
    <cellStyle name="Input 2 2 19 6" xfId="19959"/>
    <cellStyle name="Input 2 2 19 6 2" xfId="28281"/>
    <cellStyle name="Input 2 2 19 6 2 2" xfId="52906"/>
    <cellStyle name="Input 2 2 19 6 2 3" xfId="52907"/>
    <cellStyle name="Input 2 2 19 6 3" xfId="35409"/>
    <cellStyle name="Input 2 2 19 6 4" xfId="52908"/>
    <cellStyle name="Input 2 2 19 7" xfId="20917"/>
    <cellStyle name="Input 2 2 19 7 2" xfId="29236"/>
    <cellStyle name="Input 2 2 19 7 2 2" xfId="52909"/>
    <cellStyle name="Input 2 2 19 7 2 3" xfId="52910"/>
    <cellStyle name="Input 2 2 19 7 3" xfId="36319"/>
    <cellStyle name="Input 2 2 19 7 4" xfId="52911"/>
    <cellStyle name="Input 2 2 19 8" xfId="21424"/>
    <cellStyle name="Input 2 2 19 8 2" xfId="29727"/>
    <cellStyle name="Input 2 2 19 8 2 2" xfId="52912"/>
    <cellStyle name="Input 2 2 19 8 2 3" xfId="52913"/>
    <cellStyle name="Input 2 2 19 8 3" xfId="36789"/>
    <cellStyle name="Input 2 2 19 8 4" xfId="52914"/>
    <cellStyle name="Input 2 2 19 9" xfId="22352"/>
    <cellStyle name="Input 2 2 19 9 2" xfId="30650"/>
    <cellStyle name="Input 2 2 19 9 2 2" xfId="52915"/>
    <cellStyle name="Input 2 2 19 9 2 3" xfId="52916"/>
    <cellStyle name="Input 2 2 19 9 3" xfId="37672"/>
    <cellStyle name="Input 2 2 19 9 4" xfId="52917"/>
    <cellStyle name="Input 2 2 2" xfId="84"/>
    <cellStyle name="Input 2 2 2 10" xfId="14440"/>
    <cellStyle name="Input 2 2 2 10 2" xfId="52918"/>
    <cellStyle name="Input 2 2 2 10 3" xfId="52919"/>
    <cellStyle name="Input 2 2 2 11" xfId="52920"/>
    <cellStyle name="Input 2 2 2 12" xfId="52921"/>
    <cellStyle name="Input 2 2 2 13" xfId="60789"/>
    <cellStyle name="Input 2 2 2 2" xfId="156"/>
    <cellStyle name="Input 2 2 2 2 2" xfId="282"/>
    <cellStyle name="Input 2 2 2 2 2 2" xfId="691"/>
    <cellStyle name="Input 2 2 2 2 2 2 2" xfId="1642"/>
    <cellStyle name="Input 2 2 2 2 2 2 2 2" xfId="765"/>
    <cellStyle name="Input 2 2 2 2 2 2 2 2 2" xfId="2540"/>
    <cellStyle name="Input 2 2 2 2 2 2 2 2 2 2" xfId="5960"/>
    <cellStyle name="Input 2 2 2 2 2 2 2 2 2 2 2" xfId="12800"/>
    <cellStyle name="Input 2 2 2 2 2 2 2 2 2 3" xfId="9380"/>
    <cellStyle name="Input 2 2 2 2 2 2 2 2 3" xfId="3680"/>
    <cellStyle name="Input 2 2 2 2 2 2 2 2 3 2" xfId="7100"/>
    <cellStyle name="Input 2 2 2 2 2 2 2 2 3 2 2" xfId="13940"/>
    <cellStyle name="Input 2 2 2 2 2 2 2 2 3 3" xfId="10520"/>
    <cellStyle name="Input 2 2 2 2 2 2 2 2 4" xfId="4820"/>
    <cellStyle name="Input 2 2 2 2 2 2 2 2 4 2" xfId="11660"/>
    <cellStyle name="Input 2 2 2 2 2 2 2 2 5" xfId="8240"/>
    <cellStyle name="Input 2 2 2 2 2 2 2 3" xfId="2476"/>
    <cellStyle name="Input 2 2 2 2 2 2 2 3 2" xfId="5896"/>
    <cellStyle name="Input 2 2 2 2 2 2 2 3 2 2" xfId="12736"/>
    <cellStyle name="Input 2 2 2 2 2 2 2 3 3" xfId="9316"/>
    <cellStyle name="Input 2 2 2 2 2 2 2 4" xfId="3616"/>
    <cellStyle name="Input 2 2 2 2 2 2 2 4 2" xfId="7036"/>
    <cellStyle name="Input 2 2 2 2 2 2 2 4 2 2" xfId="13876"/>
    <cellStyle name="Input 2 2 2 2 2 2 2 4 3" xfId="10456"/>
    <cellStyle name="Input 2 2 2 2 2 2 2 5" xfId="4756"/>
    <cellStyle name="Input 2 2 2 2 2 2 2 5 2" xfId="11596"/>
    <cellStyle name="Input 2 2 2 2 2 2 2 6" xfId="8176"/>
    <cellStyle name="Input 2 2 2 2 2 2 2 7" xfId="61734"/>
    <cellStyle name="Input 2 2 2 2 2 2 2 8" xfId="62214"/>
    <cellStyle name="Input 2 2 2 2 2 2 3" xfId="38535"/>
    <cellStyle name="Input 2 2 2 2 2 2 4" xfId="52922"/>
    <cellStyle name="Input 2 2 2 2 2 2 5" xfId="52923"/>
    <cellStyle name="Input 2 2 2 2 2 2 6" xfId="52924"/>
    <cellStyle name="Input 2 2 2 2 2 2 7" xfId="61252"/>
    <cellStyle name="Input 2 2 2 2 2 3" xfId="1288"/>
    <cellStyle name="Input 2 2 2 2 2 3 2" xfId="984"/>
    <cellStyle name="Input 2 2 2 2 2 3 2 2" xfId="2650"/>
    <cellStyle name="Input 2 2 2 2 2 3 2 2 2" xfId="6070"/>
    <cellStyle name="Input 2 2 2 2 2 3 2 2 2 2" xfId="12910"/>
    <cellStyle name="Input 2 2 2 2 2 3 2 2 3" xfId="9490"/>
    <cellStyle name="Input 2 2 2 2 2 3 2 3" xfId="3790"/>
    <cellStyle name="Input 2 2 2 2 2 3 2 3 2" xfId="7210"/>
    <cellStyle name="Input 2 2 2 2 2 3 2 3 2 2" xfId="14050"/>
    <cellStyle name="Input 2 2 2 2 2 3 2 3 3" xfId="10630"/>
    <cellStyle name="Input 2 2 2 2 2 3 2 4" xfId="4930"/>
    <cellStyle name="Input 2 2 2 2 2 3 2 4 2" xfId="11770"/>
    <cellStyle name="Input 2 2 2 2 2 3 2 5" xfId="8350"/>
    <cellStyle name="Input 2 2 2 2 2 3 3" xfId="2108"/>
    <cellStyle name="Input 2 2 2 2 2 3 3 2" xfId="5528"/>
    <cellStyle name="Input 2 2 2 2 2 3 3 2 2" xfId="12368"/>
    <cellStyle name="Input 2 2 2 2 2 3 3 3" xfId="8948"/>
    <cellStyle name="Input 2 2 2 2 2 3 4" xfId="3248"/>
    <cellStyle name="Input 2 2 2 2 2 3 4 2" xfId="6668"/>
    <cellStyle name="Input 2 2 2 2 2 3 4 2 2" xfId="13508"/>
    <cellStyle name="Input 2 2 2 2 2 3 4 3" xfId="10088"/>
    <cellStyle name="Input 2 2 2 2 2 3 5" xfId="4388"/>
    <cellStyle name="Input 2 2 2 2 2 3 5 2" xfId="11228"/>
    <cellStyle name="Input 2 2 2 2 2 3 6" xfId="7808"/>
    <cellStyle name="Input 2 2 2 2 2 3 7" xfId="61735"/>
    <cellStyle name="Input 2 2 2 2 2 3 8" xfId="62215"/>
    <cellStyle name="Input 2 2 2 2 2 4" xfId="38298"/>
    <cellStyle name="Input 2 2 2 2 2 5" xfId="52925"/>
    <cellStyle name="Input 2 2 2 2 2 6" xfId="52926"/>
    <cellStyle name="Input 2 2 2 2 2 7" xfId="52927"/>
    <cellStyle name="Input 2 2 2 2 2 8" xfId="52928"/>
    <cellStyle name="Input 2 2 2 2 2 9" xfId="60964"/>
    <cellStyle name="Input 2 2 2 2 3" xfId="603"/>
    <cellStyle name="Input 2 2 2 2 3 2" xfId="1590"/>
    <cellStyle name="Input 2 2 2 2 3 2 2" xfId="816"/>
    <cellStyle name="Input 2 2 2 2 3 2 2 2" xfId="1890"/>
    <cellStyle name="Input 2 2 2 2 3 2 2 2 2" xfId="5310"/>
    <cellStyle name="Input 2 2 2 2 3 2 2 2 2 2" xfId="12150"/>
    <cellStyle name="Input 2 2 2 2 3 2 2 2 3" xfId="8730"/>
    <cellStyle name="Input 2 2 2 2 3 2 2 3" xfId="3030"/>
    <cellStyle name="Input 2 2 2 2 3 2 2 3 2" xfId="6450"/>
    <cellStyle name="Input 2 2 2 2 3 2 2 3 2 2" xfId="13290"/>
    <cellStyle name="Input 2 2 2 2 3 2 2 3 3" xfId="9870"/>
    <cellStyle name="Input 2 2 2 2 3 2 2 4" xfId="4170"/>
    <cellStyle name="Input 2 2 2 2 3 2 2 4 2" xfId="11010"/>
    <cellStyle name="Input 2 2 2 2 3 2 2 5" xfId="7590"/>
    <cellStyle name="Input 2 2 2 2 3 2 3" xfId="2415"/>
    <cellStyle name="Input 2 2 2 2 3 2 3 2" xfId="5835"/>
    <cellStyle name="Input 2 2 2 2 3 2 3 2 2" xfId="12675"/>
    <cellStyle name="Input 2 2 2 2 3 2 3 3" xfId="9255"/>
    <cellStyle name="Input 2 2 2 2 3 2 4" xfId="3555"/>
    <cellStyle name="Input 2 2 2 2 3 2 4 2" xfId="6975"/>
    <cellStyle name="Input 2 2 2 2 3 2 4 2 2" xfId="13815"/>
    <cellStyle name="Input 2 2 2 2 3 2 4 3" xfId="10395"/>
    <cellStyle name="Input 2 2 2 2 3 2 5" xfId="4695"/>
    <cellStyle name="Input 2 2 2 2 3 2 5 2" xfId="11535"/>
    <cellStyle name="Input 2 2 2 2 3 2 6" xfId="8115"/>
    <cellStyle name="Input 2 2 2 2 3 2 7" xfId="61733"/>
    <cellStyle name="Input 2 2 2 2 3 2 8" xfId="62213"/>
    <cellStyle name="Input 2 2 2 2 3 3" xfId="38484"/>
    <cellStyle name="Input 2 2 2 2 3 4" xfId="52929"/>
    <cellStyle name="Input 2 2 2 2 3 5" xfId="52930"/>
    <cellStyle name="Input 2 2 2 2 3 6" xfId="52931"/>
    <cellStyle name="Input 2 2 2 2 3 7" xfId="61253"/>
    <cellStyle name="Input 2 2 2 2 4" xfId="1164"/>
    <cellStyle name="Input 2 2 2 2 4 2" xfId="1803"/>
    <cellStyle name="Input 2 2 2 2 4 2 2" xfId="2943"/>
    <cellStyle name="Input 2 2 2 2 4 2 2 2" xfId="6363"/>
    <cellStyle name="Input 2 2 2 2 4 2 2 2 2" xfId="13203"/>
    <cellStyle name="Input 2 2 2 2 4 2 2 3" xfId="9783"/>
    <cellStyle name="Input 2 2 2 2 4 2 3" xfId="4083"/>
    <cellStyle name="Input 2 2 2 2 4 2 3 2" xfId="7503"/>
    <cellStyle name="Input 2 2 2 2 4 2 3 2 2" xfId="14343"/>
    <cellStyle name="Input 2 2 2 2 4 2 3 3" xfId="10923"/>
    <cellStyle name="Input 2 2 2 2 4 2 4" xfId="5223"/>
    <cellStyle name="Input 2 2 2 2 4 2 4 2" xfId="12063"/>
    <cellStyle name="Input 2 2 2 2 4 2 5" xfId="8643"/>
    <cellStyle name="Input 2 2 2 2 4 3" xfId="1983"/>
    <cellStyle name="Input 2 2 2 2 4 3 2" xfId="5403"/>
    <cellStyle name="Input 2 2 2 2 4 3 2 2" xfId="12243"/>
    <cellStyle name="Input 2 2 2 2 4 3 3" xfId="8823"/>
    <cellStyle name="Input 2 2 2 2 4 4" xfId="3123"/>
    <cellStyle name="Input 2 2 2 2 4 4 2" xfId="6543"/>
    <cellStyle name="Input 2 2 2 2 4 4 2 2" xfId="13383"/>
    <cellStyle name="Input 2 2 2 2 4 4 3" xfId="9963"/>
    <cellStyle name="Input 2 2 2 2 4 5" xfId="4263"/>
    <cellStyle name="Input 2 2 2 2 4 5 2" xfId="11103"/>
    <cellStyle name="Input 2 2 2 2 4 6" xfId="7683"/>
    <cellStyle name="Input 2 2 2 2 4 7" xfId="61372"/>
    <cellStyle name="Input 2 2 2 2 4 8" xfId="61962"/>
    <cellStyle name="Input 2 2 2 2 5" xfId="15590"/>
    <cellStyle name="Input 2 2 2 2 6" xfId="23902"/>
    <cellStyle name="Input 2 2 2 2 7" xfId="38220"/>
    <cellStyle name="Input 2 2 2 2 8" xfId="52932"/>
    <cellStyle name="Input 2 2 2 2 9" xfId="60840"/>
    <cellStyle name="Input 2 2 2 3" xfId="322"/>
    <cellStyle name="Input 2 2 2 3 2" xfId="364"/>
    <cellStyle name="Input 2 2 2 3 2 2" xfId="1369"/>
    <cellStyle name="Input 2 2 2 3 2 2 2" xfId="747"/>
    <cellStyle name="Input 2 2 2 3 2 2 2 2" xfId="2615"/>
    <cellStyle name="Input 2 2 2 3 2 2 2 2 2" xfId="6035"/>
    <cellStyle name="Input 2 2 2 3 2 2 2 2 2 2" xfId="12875"/>
    <cellStyle name="Input 2 2 2 3 2 2 2 2 3" xfId="9455"/>
    <cellStyle name="Input 2 2 2 3 2 2 2 3" xfId="3755"/>
    <cellStyle name="Input 2 2 2 3 2 2 2 3 2" xfId="7175"/>
    <cellStyle name="Input 2 2 2 3 2 2 2 3 2 2" xfId="14015"/>
    <cellStyle name="Input 2 2 2 3 2 2 2 3 3" xfId="10595"/>
    <cellStyle name="Input 2 2 2 3 2 2 2 4" xfId="4895"/>
    <cellStyle name="Input 2 2 2 3 2 2 2 4 2" xfId="11735"/>
    <cellStyle name="Input 2 2 2 3 2 2 2 5" xfId="8315"/>
    <cellStyle name="Input 2 2 2 3 2 2 3" xfId="2190"/>
    <cellStyle name="Input 2 2 2 3 2 2 3 2" xfId="5610"/>
    <cellStyle name="Input 2 2 2 3 2 2 3 2 2" xfId="12450"/>
    <cellStyle name="Input 2 2 2 3 2 2 3 3" xfId="9030"/>
    <cellStyle name="Input 2 2 2 3 2 2 4" xfId="3330"/>
    <cellStyle name="Input 2 2 2 3 2 2 4 2" xfId="6750"/>
    <cellStyle name="Input 2 2 2 3 2 2 4 2 2" xfId="13590"/>
    <cellStyle name="Input 2 2 2 3 2 2 4 3" xfId="10170"/>
    <cellStyle name="Input 2 2 2 3 2 2 5" xfId="4470"/>
    <cellStyle name="Input 2 2 2 3 2 2 5 2" xfId="11310"/>
    <cellStyle name="Input 2 2 2 3 2 2 6" xfId="7890"/>
    <cellStyle name="Input 2 2 2 3 2 2 7" xfId="61731"/>
    <cellStyle name="Input 2 2 2 3 2 2 8" xfId="62211"/>
    <cellStyle name="Input 2 2 2 3 2 3" xfId="38349"/>
    <cellStyle name="Input 2 2 2 3 2 4" xfId="52933"/>
    <cellStyle name="Input 2 2 2 3 2 5" xfId="52934"/>
    <cellStyle name="Input 2 2 2 3 2 6" xfId="52935"/>
    <cellStyle name="Input 2 2 2 3 2 7" xfId="52936"/>
    <cellStyle name="Input 2 2 2 3 2 8" xfId="61045"/>
    <cellStyle name="Input 2 2 2 3 3" xfId="1327"/>
    <cellStyle name="Input 2 2 2 3 3 2" xfId="964"/>
    <cellStyle name="Input 2 2 2 3 3 2 2" xfId="2541"/>
    <cellStyle name="Input 2 2 2 3 3 2 2 2" xfId="5961"/>
    <cellStyle name="Input 2 2 2 3 3 2 2 2 2" xfId="12801"/>
    <cellStyle name="Input 2 2 2 3 3 2 2 3" xfId="9381"/>
    <cellStyle name="Input 2 2 2 3 3 2 3" xfId="3681"/>
    <cellStyle name="Input 2 2 2 3 3 2 3 2" xfId="7101"/>
    <cellStyle name="Input 2 2 2 3 3 2 3 2 2" xfId="13941"/>
    <cellStyle name="Input 2 2 2 3 3 2 3 3" xfId="10521"/>
    <cellStyle name="Input 2 2 2 3 3 2 4" xfId="4821"/>
    <cellStyle name="Input 2 2 2 3 3 2 4 2" xfId="11661"/>
    <cellStyle name="Input 2 2 2 3 3 2 5" xfId="8241"/>
    <cellStyle name="Input 2 2 2 3 3 3" xfId="2148"/>
    <cellStyle name="Input 2 2 2 3 3 3 2" xfId="5568"/>
    <cellStyle name="Input 2 2 2 3 3 3 2 2" xfId="12408"/>
    <cellStyle name="Input 2 2 2 3 3 3 3" xfId="8988"/>
    <cellStyle name="Input 2 2 2 3 3 4" xfId="3288"/>
    <cellStyle name="Input 2 2 2 3 3 4 2" xfId="6708"/>
    <cellStyle name="Input 2 2 2 3 3 4 2 2" xfId="13548"/>
    <cellStyle name="Input 2 2 2 3 3 4 3" xfId="10128"/>
    <cellStyle name="Input 2 2 2 3 3 5" xfId="4428"/>
    <cellStyle name="Input 2 2 2 3 3 5 2" xfId="11268"/>
    <cellStyle name="Input 2 2 2 3 3 6" xfId="7848"/>
    <cellStyle name="Input 2 2 2 3 3 7" xfId="61732"/>
    <cellStyle name="Input 2 2 2 3 3 8" xfId="62212"/>
    <cellStyle name="Input 2 2 2 3 4" xfId="16560"/>
    <cellStyle name="Input 2 2 2 3 5" xfId="24873"/>
    <cellStyle name="Input 2 2 2 3 6" xfId="32133"/>
    <cellStyle name="Input 2 2 2 3 7" xfId="52937"/>
    <cellStyle name="Input 2 2 2 3 8" xfId="52938"/>
    <cellStyle name="Input 2 2 2 3 9" xfId="61003"/>
    <cellStyle name="Input 2 2 2 4" xfId="224"/>
    <cellStyle name="Input 2 2 2 4 2" xfId="539"/>
    <cellStyle name="Input 2 2 2 4 2 2" xfId="1543"/>
    <cellStyle name="Input 2 2 2 4 2 2 2" xfId="1713"/>
    <cellStyle name="Input 2 2 2 4 2 2 2 2" xfId="2853"/>
    <cellStyle name="Input 2 2 2 4 2 2 2 2 2" xfId="6273"/>
    <cellStyle name="Input 2 2 2 4 2 2 2 2 2 2" xfId="13113"/>
    <cellStyle name="Input 2 2 2 4 2 2 2 2 3" xfId="9693"/>
    <cellStyle name="Input 2 2 2 4 2 2 2 3" xfId="3993"/>
    <cellStyle name="Input 2 2 2 4 2 2 2 3 2" xfId="7413"/>
    <cellStyle name="Input 2 2 2 4 2 2 2 3 2 2" xfId="14253"/>
    <cellStyle name="Input 2 2 2 4 2 2 2 3 3" xfId="10833"/>
    <cellStyle name="Input 2 2 2 4 2 2 2 4" xfId="5133"/>
    <cellStyle name="Input 2 2 2 4 2 2 2 4 2" xfId="11973"/>
    <cellStyle name="Input 2 2 2 4 2 2 2 5" xfId="8553"/>
    <cellStyle name="Input 2 2 2 4 2 2 3" xfId="2364"/>
    <cellStyle name="Input 2 2 2 4 2 2 3 2" xfId="5784"/>
    <cellStyle name="Input 2 2 2 4 2 2 3 2 2" xfId="12624"/>
    <cellStyle name="Input 2 2 2 4 2 2 3 3" xfId="9204"/>
    <cellStyle name="Input 2 2 2 4 2 2 4" xfId="3504"/>
    <cellStyle name="Input 2 2 2 4 2 2 4 2" xfId="6924"/>
    <cellStyle name="Input 2 2 2 4 2 2 4 2 2" xfId="13764"/>
    <cellStyle name="Input 2 2 2 4 2 2 4 3" xfId="10344"/>
    <cellStyle name="Input 2 2 2 4 2 2 5" xfId="4644"/>
    <cellStyle name="Input 2 2 2 4 2 2 5 2" xfId="11484"/>
    <cellStyle name="Input 2 2 2 4 2 2 6" xfId="8064"/>
    <cellStyle name="Input 2 2 2 4 2 2 7" xfId="61729"/>
    <cellStyle name="Input 2 2 2 4 2 2 8" xfId="62209"/>
    <cellStyle name="Input 2 2 2 4 2 3" xfId="38456"/>
    <cellStyle name="Input 2 2 2 4 2 4" xfId="52939"/>
    <cellStyle name="Input 2 2 2 4 2 5" xfId="52940"/>
    <cellStyle name="Input 2 2 2 4 2 6" xfId="52941"/>
    <cellStyle name="Input 2 2 2 4 2 7" xfId="52942"/>
    <cellStyle name="Input 2 2 2 4 2 8" xfId="61219"/>
    <cellStyle name="Input 2 2 2 4 3" xfId="1231"/>
    <cellStyle name="Input 2 2 2 4 3 2" xfId="1813"/>
    <cellStyle name="Input 2 2 2 4 3 2 2" xfId="2953"/>
    <cellStyle name="Input 2 2 2 4 3 2 2 2" xfId="6373"/>
    <cellStyle name="Input 2 2 2 4 3 2 2 2 2" xfId="13213"/>
    <cellStyle name="Input 2 2 2 4 3 2 2 3" xfId="9793"/>
    <cellStyle name="Input 2 2 2 4 3 2 3" xfId="4093"/>
    <cellStyle name="Input 2 2 2 4 3 2 3 2" xfId="7513"/>
    <cellStyle name="Input 2 2 2 4 3 2 3 2 2" xfId="14353"/>
    <cellStyle name="Input 2 2 2 4 3 2 3 3" xfId="10933"/>
    <cellStyle name="Input 2 2 2 4 3 2 4" xfId="5233"/>
    <cellStyle name="Input 2 2 2 4 3 2 4 2" xfId="12073"/>
    <cellStyle name="Input 2 2 2 4 3 2 5" xfId="8653"/>
    <cellStyle name="Input 2 2 2 4 3 3" xfId="2051"/>
    <cellStyle name="Input 2 2 2 4 3 3 2" xfId="5471"/>
    <cellStyle name="Input 2 2 2 4 3 3 2 2" xfId="12311"/>
    <cellStyle name="Input 2 2 2 4 3 3 3" xfId="8891"/>
    <cellStyle name="Input 2 2 2 4 3 4" xfId="3191"/>
    <cellStyle name="Input 2 2 2 4 3 4 2" xfId="6611"/>
    <cellStyle name="Input 2 2 2 4 3 4 2 2" xfId="13451"/>
    <cellStyle name="Input 2 2 2 4 3 4 3" xfId="10031"/>
    <cellStyle name="Input 2 2 2 4 3 5" xfId="4331"/>
    <cellStyle name="Input 2 2 2 4 3 5 2" xfId="11171"/>
    <cellStyle name="Input 2 2 2 4 3 6" xfId="7751"/>
    <cellStyle name="Input 2 2 2 4 3 7" xfId="61730"/>
    <cellStyle name="Input 2 2 2 4 3 8" xfId="62210"/>
    <cellStyle name="Input 2 2 2 4 4" xfId="17578"/>
    <cellStyle name="Input 2 2 2 4 5" xfId="25897"/>
    <cellStyle name="Input 2 2 2 4 6" xfId="33110"/>
    <cellStyle name="Input 2 2 2 4 7" xfId="52943"/>
    <cellStyle name="Input 2 2 2 4 8" xfId="52944"/>
    <cellStyle name="Input 2 2 2 4 9" xfId="60907"/>
    <cellStyle name="Input 2 2 2 5" xfId="485"/>
    <cellStyle name="Input 2 2 2 5 2" xfId="227"/>
    <cellStyle name="Input 2 2 2 5 2 2" xfId="1234"/>
    <cellStyle name="Input 2 2 2 5 2 2 2" xfId="1694"/>
    <cellStyle name="Input 2 2 2 5 2 2 2 2" xfId="2834"/>
    <cellStyle name="Input 2 2 2 5 2 2 2 2 2" xfId="6254"/>
    <cellStyle name="Input 2 2 2 5 2 2 2 2 2 2" xfId="13094"/>
    <cellStyle name="Input 2 2 2 5 2 2 2 2 3" xfId="9674"/>
    <cellStyle name="Input 2 2 2 5 2 2 2 3" xfId="3974"/>
    <cellStyle name="Input 2 2 2 5 2 2 2 3 2" xfId="7394"/>
    <cellStyle name="Input 2 2 2 5 2 2 2 3 2 2" xfId="14234"/>
    <cellStyle name="Input 2 2 2 5 2 2 2 3 3" xfId="10814"/>
    <cellStyle name="Input 2 2 2 5 2 2 2 4" xfId="5114"/>
    <cellStyle name="Input 2 2 2 5 2 2 2 4 2" xfId="11954"/>
    <cellStyle name="Input 2 2 2 5 2 2 2 5" xfId="8534"/>
    <cellStyle name="Input 2 2 2 5 2 2 3" xfId="2054"/>
    <cellStyle name="Input 2 2 2 5 2 2 3 2" xfId="5474"/>
    <cellStyle name="Input 2 2 2 5 2 2 3 2 2" xfId="12314"/>
    <cellStyle name="Input 2 2 2 5 2 2 3 3" xfId="8894"/>
    <cellStyle name="Input 2 2 2 5 2 2 4" xfId="3194"/>
    <cellStyle name="Input 2 2 2 5 2 2 4 2" xfId="6614"/>
    <cellStyle name="Input 2 2 2 5 2 2 4 2 2" xfId="13454"/>
    <cellStyle name="Input 2 2 2 5 2 2 4 3" xfId="10034"/>
    <cellStyle name="Input 2 2 2 5 2 2 5" xfId="4334"/>
    <cellStyle name="Input 2 2 2 5 2 2 5 2" xfId="11174"/>
    <cellStyle name="Input 2 2 2 5 2 2 6" xfId="7754"/>
    <cellStyle name="Input 2 2 2 5 2 2 7" xfId="61727"/>
    <cellStyle name="Input 2 2 2 5 2 2 8" xfId="62207"/>
    <cellStyle name="Input 2 2 2 5 2 3" xfId="38255"/>
    <cellStyle name="Input 2 2 2 5 2 4" xfId="52945"/>
    <cellStyle name="Input 2 2 2 5 2 5" xfId="52946"/>
    <cellStyle name="Input 2 2 2 5 2 6" xfId="52947"/>
    <cellStyle name="Input 2 2 2 5 2 7" xfId="52948"/>
    <cellStyle name="Input 2 2 2 5 2 8" xfId="60910"/>
    <cellStyle name="Input 2 2 2 5 3" xfId="1489"/>
    <cellStyle name="Input 2 2 2 5 3 2" xfId="865"/>
    <cellStyle name="Input 2 2 2 5 3 2 2" xfId="2538"/>
    <cellStyle name="Input 2 2 2 5 3 2 2 2" xfId="5958"/>
    <cellStyle name="Input 2 2 2 5 3 2 2 2 2" xfId="12798"/>
    <cellStyle name="Input 2 2 2 5 3 2 2 3" xfId="9378"/>
    <cellStyle name="Input 2 2 2 5 3 2 3" xfId="3678"/>
    <cellStyle name="Input 2 2 2 5 3 2 3 2" xfId="7098"/>
    <cellStyle name="Input 2 2 2 5 3 2 3 2 2" xfId="13938"/>
    <cellStyle name="Input 2 2 2 5 3 2 3 3" xfId="10518"/>
    <cellStyle name="Input 2 2 2 5 3 2 4" xfId="4818"/>
    <cellStyle name="Input 2 2 2 5 3 2 4 2" xfId="11658"/>
    <cellStyle name="Input 2 2 2 5 3 2 5" xfId="8238"/>
    <cellStyle name="Input 2 2 2 5 3 3" xfId="2310"/>
    <cellStyle name="Input 2 2 2 5 3 3 2" xfId="5730"/>
    <cellStyle name="Input 2 2 2 5 3 3 2 2" xfId="12570"/>
    <cellStyle name="Input 2 2 2 5 3 3 3" xfId="9150"/>
    <cellStyle name="Input 2 2 2 5 3 4" xfId="3450"/>
    <cellStyle name="Input 2 2 2 5 3 4 2" xfId="6870"/>
    <cellStyle name="Input 2 2 2 5 3 4 2 2" xfId="13710"/>
    <cellStyle name="Input 2 2 2 5 3 4 3" xfId="10290"/>
    <cellStyle name="Input 2 2 2 5 3 5" xfId="4590"/>
    <cellStyle name="Input 2 2 2 5 3 5 2" xfId="11430"/>
    <cellStyle name="Input 2 2 2 5 3 6" xfId="8010"/>
    <cellStyle name="Input 2 2 2 5 3 7" xfId="61728"/>
    <cellStyle name="Input 2 2 2 5 3 8" xfId="62208"/>
    <cellStyle name="Input 2 2 2 5 4" xfId="15528"/>
    <cellStyle name="Input 2 2 2 5 5" xfId="23864"/>
    <cellStyle name="Input 2 2 2 5 6" xfId="31210"/>
    <cellStyle name="Input 2 2 2 5 7" xfId="52949"/>
    <cellStyle name="Input 2 2 2 5 8" xfId="52950"/>
    <cellStyle name="Input 2 2 2 5 9" xfId="61165"/>
    <cellStyle name="Input 2 2 2 6" xfId="419"/>
    <cellStyle name="Input 2 2 2 6 2" xfId="547"/>
    <cellStyle name="Input 2 2 2 6 2 2" xfId="1551"/>
    <cellStyle name="Input 2 2 2 6 2 2 2" xfId="1681"/>
    <cellStyle name="Input 2 2 2 6 2 2 2 2" xfId="2821"/>
    <cellStyle name="Input 2 2 2 6 2 2 2 2 2" xfId="6241"/>
    <cellStyle name="Input 2 2 2 6 2 2 2 2 2 2" xfId="13081"/>
    <cellStyle name="Input 2 2 2 6 2 2 2 2 3" xfId="9661"/>
    <cellStyle name="Input 2 2 2 6 2 2 2 3" xfId="3961"/>
    <cellStyle name="Input 2 2 2 6 2 2 2 3 2" xfId="7381"/>
    <cellStyle name="Input 2 2 2 6 2 2 2 3 2 2" xfId="14221"/>
    <cellStyle name="Input 2 2 2 6 2 2 2 3 3" xfId="10801"/>
    <cellStyle name="Input 2 2 2 6 2 2 2 4" xfId="5101"/>
    <cellStyle name="Input 2 2 2 6 2 2 2 4 2" xfId="11941"/>
    <cellStyle name="Input 2 2 2 6 2 2 2 5" xfId="8521"/>
    <cellStyle name="Input 2 2 2 6 2 2 3" xfId="2372"/>
    <cellStyle name="Input 2 2 2 6 2 2 3 2" xfId="5792"/>
    <cellStyle name="Input 2 2 2 6 2 2 3 2 2" xfId="12632"/>
    <cellStyle name="Input 2 2 2 6 2 2 3 3" xfId="9212"/>
    <cellStyle name="Input 2 2 2 6 2 2 4" xfId="3512"/>
    <cellStyle name="Input 2 2 2 6 2 2 4 2" xfId="6932"/>
    <cellStyle name="Input 2 2 2 6 2 2 4 2 2" xfId="13772"/>
    <cellStyle name="Input 2 2 2 6 2 2 4 3" xfId="10352"/>
    <cellStyle name="Input 2 2 2 6 2 2 5" xfId="4652"/>
    <cellStyle name="Input 2 2 2 6 2 2 5 2" xfId="11492"/>
    <cellStyle name="Input 2 2 2 6 2 2 6" xfId="8072"/>
    <cellStyle name="Input 2 2 2 6 2 2 7" xfId="61724"/>
    <cellStyle name="Input 2 2 2 6 2 2 8" xfId="62205"/>
    <cellStyle name="Input 2 2 2 6 2 3" xfId="38462"/>
    <cellStyle name="Input 2 2 2 6 2 4" xfId="52951"/>
    <cellStyle name="Input 2 2 2 6 2 5" xfId="52952"/>
    <cellStyle name="Input 2 2 2 6 2 6" xfId="52953"/>
    <cellStyle name="Input 2 2 2 6 2 7" xfId="52954"/>
    <cellStyle name="Input 2 2 2 6 2 8" xfId="61227"/>
    <cellStyle name="Input 2 2 2 6 3" xfId="1424"/>
    <cellStyle name="Input 2 2 2 6 3 2" xfId="1663"/>
    <cellStyle name="Input 2 2 2 6 3 2 2" xfId="2803"/>
    <cellStyle name="Input 2 2 2 6 3 2 2 2" xfId="6223"/>
    <cellStyle name="Input 2 2 2 6 3 2 2 2 2" xfId="13063"/>
    <cellStyle name="Input 2 2 2 6 3 2 2 3" xfId="9643"/>
    <cellStyle name="Input 2 2 2 6 3 2 3" xfId="3943"/>
    <cellStyle name="Input 2 2 2 6 3 2 3 2" xfId="7363"/>
    <cellStyle name="Input 2 2 2 6 3 2 3 2 2" xfId="14203"/>
    <cellStyle name="Input 2 2 2 6 3 2 3 3" xfId="10783"/>
    <cellStyle name="Input 2 2 2 6 3 2 4" xfId="5083"/>
    <cellStyle name="Input 2 2 2 6 3 2 4 2" xfId="11923"/>
    <cellStyle name="Input 2 2 2 6 3 2 5" xfId="8503"/>
    <cellStyle name="Input 2 2 2 6 3 3" xfId="2245"/>
    <cellStyle name="Input 2 2 2 6 3 3 2" xfId="5665"/>
    <cellStyle name="Input 2 2 2 6 3 3 2 2" xfId="12505"/>
    <cellStyle name="Input 2 2 2 6 3 3 3" xfId="9085"/>
    <cellStyle name="Input 2 2 2 6 3 4" xfId="3385"/>
    <cellStyle name="Input 2 2 2 6 3 4 2" xfId="6805"/>
    <cellStyle name="Input 2 2 2 6 3 4 2 2" xfId="13645"/>
    <cellStyle name="Input 2 2 2 6 3 4 3" xfId="10225"/>
    <cellStyle name="Input 2 2 2 6 3 5" xfId="4525"/>
    <cellStyle name="Input 2 2 2 6 3 5 2" xfId="11365"/>
    <cellStyle name="Input 2 2 2 6 3 6" xfId="7945"/>
    <cellStyle name="Input 2 2 2 6 3 7" xfId="61726"/>
    <cellStyle name="Input 2 2 2 6 3 8" xfId="62206"/>
    <cellStyle name="Input 2 2 2 6 4" xfId="16165"/>
    <cellStyle name="Input 2 2 2 6 5" xfId="24478"/>
    <cellStyle name="Input 2 2 2 6 6" xfId="31755"/>
    <cellStyle name="Input 2 2 2 6 7" xfId="52955"/>
    <cellStyle name="Input 2 2 2 6 8" xfId="52956"/>
    <cellStyle name="Input 2 2 2 6 9" xfId="61100"/>
    <cellStyle name="Input 2 2 2 7" xfId="1113"/>
    <cellStyle name="Input 2 2 2 7 10" xfId="61410"/>
    <cellStyle name="Input 2 2 2 7 11" xfId="61989"/>
    <cellStyle name="Input 2 2 2 7 2" xfId="1785"/>
    <cellStyle name="Input 2 2 2 7 2 2" xfId="2925"/>
    <cellStyle name="Input 2 2 2 7 2 2 2" xfId="6345"/>
    <cellStyle name="Input 2 2 2 7 2 2 2 2" xfId="13185"/>
    <cellStyle name="Input 2 2 2 7 2 2 3" xfId="9765"/>
    <cellStyle name="Input 2 2 2 7 2 3" xfId="4065"/>
    <cellStyle name="Input 2 2 2 7 2 3 2" xfId="7485"/>
    <cellStyle name="Input 2 2 2 7 2 3 2 2" xfId="14325"/>
    <cellStyle name="Input 2 2 2 7 2 3 3" xfId="10905"/>
    <cellStyle name="Input 2 2 2 7 2 4" xfId="5205"/>
    <cellStyle name="Input 2 2 2 7 2 4 2" xfId="12045"/>
    <cellStyle name="Input 2 2 2 7 2 5" xfId="8625"/>
    <cellStyle name="Input 2 2 2 7 3" xfId="1922"/>
    <cellStyle name="Input 2 2 2 7 3 2" xfId="5342"/>
    <cellStyle name="Input 2 2 2 7 3 2 2" xfId="12182"/>
    <cellStyle name="Input 2 2 2 7 3 3" xfId="8762"/>
    <cellStyle name="Input 2 2 2 7 4" xfId="3062"/>
    <cellStyle name="Input 2 2 2 7 4 2" xfId="6482"/>
    <cellStyle name="Input 2 2 2 7 4 2 2" xfId="13322"/>
    <cellStyle name="Input 2 2 2 7 4 3" xfId="9902"/>
    <cellStyle name="Input 2 2 2 7 5" xfId="4202"/>
    <cellStyle name="Input 2 2 2 7 5 2" xfId="11042"/>
    <cellStyle name="Input 2 2 2 7 6" xfId="7622"/>
    <cellStyle name="Input 2 2 2 7 7" xfId="15537"/>
    <cellStyle name="Input 2 2 2 7 8" xfId="23873"/>
    <cellStyle name="Input 2 2 2 7 9" xfId="31218"/>
    <cellStyle name="Input 2 2 2 8" xfId="21163"/>
    <cellStyle name="Input 2 2 2 8 2" xfId="29475"/>
    <cellStyle name="Input 2 2 2 8 2 2" xfId="52957"/>
    <cellStyle name="Input 2 2 2 8 2 3" xfId="52958"/>
    <cellStyle name="Input 2 2 2 8 3" xfId="36547"/>
    <cellStyle name="Input 2 2 2 8 4" xfId="52959"/>
    <cellStyle name="Input 2 2 2 9" xfId="20504"/>
    <cellStyle name="Input 2 2 2 9 2" xfId="28826"/>
    <cellStyle name="Input 2 2 2 9 2 2" xfId="52960"/>
    <cellStyle name="Input 2 2 2 9 2 3" xfId="52961"/>
    <cellStyle name="Input 2 2 2 9 3" xfId="35932"/>
    <cellStyle name="Input 2 2 2 9 4" xfId="52962"/>
    <cellStyle name="Input 2 2 20" xfId="14921"/>
    <cellStyle name="Input 2 2 20 10" xfId="23284"/>
    <cellStyle name="Input 2 2 20 11" xfId="52963"/>
    <cellStyle name="Input 2 2 20 2" xfId="16002"/>
    <cellStyle name="Input 2 2 20 2 2" xfId="24319"/>
    <cellStyle name="Input 2 2 20 2 2 2" xfId="52964"/>
    <cellStyle name="Input 2 2 20 2 2 3" xfId="52965"/>
    <cellStyle name="Input 2 2 20 2 3" xfId="31599"/>
    <cellStyle name="Input 2 2 20 2 4" xfId="52966"/>
    <cellStyle name="Input 2 2 20 3" xfId="16968"/>
    <cellStyle name="Input 2 2 20 3 2" xfId="25291"/>
    <cellStyle name="Input 2 2 20 3 2 2" xfId="52967"/>
    <cellStyle name="Input 2 2 20 3 2 3" xfId="52968"/>
    <cellStyle name="Input 2 2 20 3 3" xfId="32532"/>
    <cellStyle name="Input 2 2 20 3 4" xfId="52969"/>
    <cellStyle name="Input 2 2 20 4" xfId="17995"/>
    <cellStyle name="Input 2 2 20 4 2" xfId="26317"/>
    <cellStyle name="Input 2 2 20 4 2 2" xfId="52970"/>
    <cellStyle name="Input 2 2 20 4 2 3" xfId="52971"/>
    <cellStyle name="Input 2 2 20 4 3" xfId="33509"/>
    <cellStyle name="Input 2 2 20 4 4" xfId="52972"/>
    <cellStyle name="Input 2 2 20 5" xfId="18979"/>
    <cellStyle name="Input 2 2 20 5 2" xfId="27299"/>
    <cellStyle name="Input 2 2 20 5 2 2" xfId="52973"/>
    <cellStyle name="Input 2 2 20 5 2 3" xfId="52974"/>
    <cellStyle name="Input 2 2 20 5 3" xfId="34450"/>
    <cellStyle name="Input 2 2 20 5 4" xfId="52975"/>
    <cellStyle name="Input 2 2 20 6" xfId="19947"/>
    <cellStyle name="Input 2 2 20 6 2" xfId="28269"/>
    <cellStyle name="Input 2 2 20 6 2 2" xfId="52976"/>
    <cellStyle name="Input 2 2 20 6 2 3" xfId="52977"/>
    <cellStyle name="Input 2 2 20 6 3" xfId="35397"/>
    <cellStyle name="Input 2 2 20 6 4" xfId="52978"/>
    <cellStyle name="Input 2 2 20 7" xfId="20905"/>
    <cellStyle name="Input 2 2 20 7 2" xfId="29224"/>
    <cellStyle name="Input 2 2 20 7 2 2" xfId="52979"/>
    <cellStyle name="Input 2 2 20 7 2 3" xfId="52980"/>
    <cellStyle name="Input 2 2 20 7 3" xfId="36307"/>
    <cellStyle name="Input 2 2 20 7 4" xfId="52981"/>
    <cellStyle name="Input 2 2 20 8" xfId="21412"/>
    <cellStyle name="Input 2 2 20 8 2" xfId="29715"/>
    <cellStyle name="Input 2 2 20 8 2 2" xfId="52982"/>
    <cellStyle name="Input 2 2 20 8 2 3" xfId="52983"/>
    <cellStyle name="Input 2 2 20 8 3" xfId="36777"/>
    <cellStyle name="Input 2 2 20 8 4" xfId="52984"/>
    <cellStyle name="Input 2 2 20 9" xfId="22340"/>
    <cellStyle name="Input 2 2 20 9 2" xfId="30638"/>
    <cellStyle name="Input 2 2 20 9 2 2" xfId="52985"/>
    <cellStyle name="Input 2 2 20 9 2 3" xfId="52986"/>
    <cellStyle name="Input 2 2 20 9 3" xfId="37660"/>
    <cellStyle name="Input 2 2 20 9 4" xfId="52987"/>
    <cellStyle name="Input 2 2 21" xfId="14963"/>
    <cellStyle name="Input 2 2 21 10" xfId="23324"/>
    <cellStyle name="Input 2 2 21 11" xfId="52988"/>
    <cellStyle name="Input 2 2 21 2" xfId="16044"/>
    <cellStyle name="Input 2 2 21 2 2" xfId="24359"/>
    <cellStyle name="Input 2 2 21 2 2 2" xfId="52989"/>
    <cellStyle name="Input 2 2 21 2 2 3" xfId="52990"/>
    <cellStyle name="Input 2 2 21 2 3" xfId="31638"/>
    <cellStyle name="Input 2 2 21 2 4" xfId="52991"/>
    <cellStyle name="Input 2 2 21 3" xfId="17010"/>
    <cellStyle name="Input 2 2 21 3 2" xfId="25331"/>
    <cellStyle name="Input 2 2 21 3 2 2" xfId="52992"/>
    <cellStyle name="Input 2 2 21 3 2 3" xfId="52993"/>
    <cellStyle name="Input 2 2 21 3 3" xfId="32571"/>
    <cellStyle name="Input 2 2 21 3 4" xfId="52994"/>
    <cellStyle name="Input 2 2 21 4" xfId="18037"/>
    <cellStyle name="Input 2 2 21 4 2" xfId="26357"/>
    <cellStyle name="Input 2 2 21 4 2 2" xfId="52995"/>
    <cellStyle name="Input 2 2 21 4 2 3" xfId="52996"/>
    <cellStyle name="Input 2 2 21 4 3" xfId="33548"/>
    <cellStyle name="Input 2 2 21 4 4" xfId="52997"/>
    <cellStyle name="Input 2 2 21 5" xfId="19021"/>
    <cellStyle name="Input 2 2 21 5 2" xfId="27341"/>
    <cellStyle name="Input 2 2 21 5 2 2" xfId="52998"/>
    <cellStyle name="Input 2 2 21 5 2 3" xfId="52999"/>
    <cellStyle name="Input 2 2 21 5 3" xfId="34491"/>
    <cellStyle name="Input 2 2 21 5 4" xfId="53000"/>
    <cellStyle name="Input 2 2 21 6" xfId="19989"/>
    <cellStyle name="Input 2 2 21 6 2" xfId="28311"/>
    <cellStyle name="Input 2 2 21 6 2 2" xfId="53001"/>
    <cellStyle name="Input 2 2 21 6 2 3" xfId="53002"/>
    <cellStyle name="Input 2 2 21 6 3" xfId="35438"/>
    <cellStyle name="Input 2 2 21 6 4" xfId="53003"/>
    <cellStyle name="Input 2 2 21 7" xfId="20947"/>
    <cellStyle name="Input 2 2 21 7 2" xfId="29264"/>
    <cellStyle name="Input 2 2 21 7 2 2" xfId="53004"/>
    <cellStyle name="Input 2 2 21 7 2 3" xfId="53005"/>
    <cellStyle name="Input 2 2 21 7 3" xfId="36346"/>
    <cellStyle name="Input 2 2 21 7 4" xfId="53006"/>
    <cellStyle name="Input 2 2 21 8" xfId="21454"/>
    <cellStyle name="Input 2 2 21 8 2" xfId="29755"/>
    <cellStyle name="Input 2 2 21 8 2 2" xfId="53007"/>
    <cellStyle name="Input 2 2 21 8 2 3" xfId="53008"/>
    <cellStyle name="Input 2 2 21 8 3" xfId="36816"/>
    <cellStyle name="Input 2 2 21 8 4" xfId="53009"/>
    <cellStyle name="Input 2 2 21 9" xfId="22382"/>
    <cellStyle name="Input 2 2 21 9 2" xfId="30678"/>
    <cellStyle name="Input 2 2 21 9 2 2" xfId="53010"/>
    <cellStyle name="Input 2 2 21 9 2 3" xfId="53011"/>
    <cellStyle name="Input 2 2 21 9 3" xfId="37699"/>
    <cellStyle name="Input 2 2 21 9 4" xfId="53012"/>
    <cellStyle name="Input 2 2 22" xfId="14992"/>
    <cellStyle name="Input 2 2 22 10" xfId="23353"/>
    <cellStyle name="Input 2 2 22 11" xfId="53013"/>
    <cellStyle name="Input 2 2 22 2" xfId="16073"/>
    <cellStyle name="Input 2 2 22 2 2" xfId="24388"/>
    <cellStyle name="Input 2 2 22 2 2 2" xfId="53014"/>
    <cellStyle name="Input 2 2 22 2 2 3" xfId="53015"/>
    <cellStyle name="Input 2 2 22 2 3" xfId="31667"/>
    <cellStyle name="Input 2 2 22 2 4" xfId="53016"/>
    <cellStyle name="Input 2 2 22 3" xfId="17039"/>
    <cellStyle name="Input 2 2 22 3 2" xfId="25360"/>
    <cellStyle name="Input 2 2 22 3 2 2" xfId="53017"/>
    <cellStyle name="Input 2 2 22 3 2 3" xfId="53018"/>
    <cellStyle name="Input 2 2 22 3 3" xfId="32600"/>
    <cellStyle name="Input 2 2 22 3 4" xfId="53019"/>
    <cellStyle name="Input 2 2 22 4" xfId="18066"/>
    <cellStyle name="Input 2 2 22 4 2" xfId="26386"/>
    <cellStyle name="Input 2 2 22 4 2 2" xfId="53020"/>
    <cellStyle name="Input 2 2 22 4 2 3" xfId="53021"/>
    <cellStyle name="Input 2 2 22 4 3" xfId="33577"/>
    <cellStyle name="Input 2 2 22 4 4" xfId="53022"/>
    <cellStyle name="Input 2 2 22 5" xfId="19050"/>
    <cellStyle name="Input 2 2 22 5 2" xfId="27370"/>
    <cellStyle name="Input 2 2 22 5 2 2" xfId="53023"/>
    <cellStyle name="Input 2 2 22 5 2 3" xfId="53024"/>
    <cellStyle name="Input 2 2 22 5 3" xfId="34520"/>
    <cellStyle name="Input 2 2 22 5 4" xfId="53025"/>
    <cellStyle name="Input 2 2 22 6" xfId="20018"/>
    <cellStyle name="Input 2 2 22 6 2" xfId="28340"/>
    <cellStyle name="Input 2 2 22 6 2 2" xfId="53026"/>
    <cellStyle name="Input 2 2 22 6 2 3" xfId="53027"/>
    <cellStyle name="Input 2 2 22 6 3" xfId="35467"/>
    <cellStyle name="Input 2 2 22 6 4" xfId="53028"/>
    <cellStyle name="Input 2 2 22 7" xfId="20976"/>
    <cellStyle name="Input 2 2 22 7 2" xfId="29293"/>
    <cellStyle name="Input 2 2 22 7 2 2" xfId="53029"/>
    <cellStyle name="Input 2 2 22 7 2 3" xfId="53030"/>
    <cellStyle name="Input 2 2 22 7 3" xfId="36375"/>
    <cellStyle name="Input 2 2 22 7 4" xfId="53031"/>
    <cellStyle name="Input 2 2 22 8" xfId="21483"/>
    <cellStyle name="Input 2 2 22 8 2" xfId="29784"/>
    <cellStyle name="Input 2 2 22 8 2 2" xfId="53032"/>
    <cellStyle name="Input 2 2 22 8 2 3" xfId="53033"/>
    <cellStyle name="Input 2 2 22 8 3" xfId="36845"/>
    <cellStyle name="Input 2 2 22 8 4" xfId="53034"/>
    <cellStyle name="Input 2 2 22 9" xfId="22411"/>
    <cellStyle name="Input 2 2 22 9 2" xfId="30707"/>
    <cellStyle name="Input 2 2 22 9 2 2" xfId="53035"/>
    <cellStyle name="Input 2 2 22 9 2 3" xfId="53036"/>
    <cellStyle name="Input 2 2 22 9 3" xfId="37728"/>
    <cellStyle name="Input 2 2 22 9 4" xfId="53037"/>
    <cellStyle name="Input 2 2 23" xfId="15077"/>
    <cellStyle name="Input 2 2 23 10" xfId="53038"/>
    <cellStyle name="Input 2 2 23 2" xfId="16157"/>
    <cellStyle name="Input 2 2 23 2 2" xfId="24471"/>
    <cellStyle name="Input 2 2 23 2 2 2" xfId="53039"/>
    <cellStyle name="Input 2 2 23 2 2 3" xfId="53040"/>
    <cellStyle name="Input 2 2 23 2 3" xfId="31748"/>
    <cellStyle name="Input 2 2 23 2 4" xfId="53041"/>
    <cellStyle name="Input 2 2 23 3" xfId="17124"/>
    <cellStyle name="Input 2 2 23 3 2" xfId="25445"/>
    <cellStyle name="Input 2 2 23 3 2 2" xfId="53042"/>
    <cellStyle name="Input 2 2 23 3 2 3" xfId="53043"/>
    <cellStyle name="Input 2 2 23 3 3" xfId="32682"/>
    <cellStyle name="Input 2 2 23 3 4" xfId="53044"/>
    <cellStyle name="Input 2 2 23 4" xfId="18151"/>
    <cellStyle name="Input 2 2 23 4 2" xfId="26471"/>
    <cellStyle name="Input 2 2 23 4 2 2" xfId="53045"/>
    <cellStyle name="Input 2 2 23 4 2 3" xfId="53046"/>
    <cellStyle name="Input 2 2 23 4 3" xfId="33659"/>
    <cellStyle name="Input 2 2 23 4 4" xfId="53047"/>
    <cellStyle name="Input 2 2 23 5" xfId="19135"/>
    <cellStyle name="Input 2 2 23 5 2" xfId="27455"/>
    <cellStyle name="Input 2 2 23 5 2 2" xfId="53048"/>
    <cellStyle name="Input 2 2 23 5 2 3" xfId="53049"/>
    <cellStyle name="Input 2 2 23 5 3" xfId="34603"/>
    <cellStyle name="Input 2 2 23 5 4" xfId="53050"/>
    <cellStyle name="Input 2 2 23 6" xfId="20103"/>
    <cellStyle name="Input 2 2 23 6 2" xfId="28425"/>
    <cellStyle name="Input 2 2 23 6 2 2" xfId="53051"/>
    <cellStyle name="Input 2 2 23 6 2 3" xfId="53052"/>
    <cellStyle name="Input 2 2 23 6 3" xfId="35550"/>
    <cellStyle name="Input 2 2 23 6 4" xfId="53053"/>
    <cellStyle name="Input 2 2 23 7" xfId="21566"/>
    <cellStyle name="Input 2 2 23 7 2" xfId="29867"/>
    <cellStyle name="Input 2 2 23 7 2 2" xfId="53054"/>
    <cellStyle name="Input 2 2 23 7 2 3" xfId="53055"/>
    <cellStyle name="Input 2 2 23 7 3" xfId="36926"/>
    <cellStyle name="Input 2 2 23 7 4" xfId="53056"/>
    <cellStyle name="Input 2 2 23 8" xfId="22494"/>
    <cellStyle name="Input 2 2 23 8 2" xfId="30790"/>
    <cellStyle name="Input 2 2 23 8 2 2" xfId="53057"/>
    <cellStyle name="Input 2 2 23 8 2 3" xfId="53058"/>
    <cellStyle name="Input 2 2 23 8 3" xfId="37809"/>
    <cellStyle name="Input 2 2 23 8 4" xfId="53059"/>
    <cellStyle name="Input 2 2 23 9" xfId="23436"/>
    <cellStyle name="Input 2 2 24" xfId="15137"/>
    <cellStyle name="Input 2 2 24 10" xfId="53060"/>
    <cellStyle name="Input 2 2 24 2" xfId="16217"/>
    <cellStyle name="Input 2 2 24 2 2" xfId="24530"/>
    <cellStyle name="Input 2 2 24 2 2 2" xfId="53061"/>
    <cellStyle name="Input 2 2 24 2 2 3" xfId="53062"/>
    <cellStyle name="Input 2 2 24 2 3" xfId="31805"/>
    <cellStyle name="Input 2 2 24 2 4" xfId="53063"/>
    <cellStyle name="Input 2 2 24 3" xfId="17183"/>
    <cellStyle name="Input 2 2 24 3 2" xfId="25504"/>
    <cellStyle name="Input 2 2 24 3 2 2" xfId="53064"/>
    <cellStyle name="Input 2 2 24 3 2 3" xfId="53065"/>
    <cellStyle name="Input 2 2 24 3 3" xfId="32738"/>
    <cellStyle name="Input 2 2 24 3 4" xfId="53066"/>
    <cellStyle name="Input 2 2 24 4" xfId="18211"/>
    <cellStyle name="Input 2 2 24 4 2" xfId="26531"/>
    <cellStyle name="Input 2 2 24 4 2 2" xfId="53067"/>
    <cellStyle name="Input 2 2 24 4 2 3" xfId="53068"/>
    <cellStyle name="Input 2 2 24 4 3" xfId="33716"/>
    <cellStyle name="Input 2 2 24 4 4" xfId="53069"/>
    <cellStyle name="Input 2 2 24 5" xfId="19195"/>
    <cellStyle name="Input 2 2 24 5 2" xfId="27515"/>
    <cellStyle name="Input 2 2 24 5 2 2" xfId="53070"/>
    <cellStyle name="Input 2 2 24 5 2 3" xfId="53071"/>
    <cellStyle name="Input 2 2 24 5 3" xfId="34663"/>
    <cellStyle name="Input 2 2 24 5 4" xfId="53072"/>
    <cellStyle name="Input 2 2 24 6" xfId="20163"/>
    <cellStyle name="Input 2 2 24 6 2" xfId="28485"/>
    <cellStyle name="Input 2 2 24 6 2 2" xfId="53073"/>
    <cellStyle name="Input 2 2 24 6 2 3" xfId="53074"/>
    <cellStyle name="Input 2 2 24 6 3" xfId="35608"/>
    <cellStyle name="Input 2 2 24 6 4" xfId="53075"/>
    <cellStyle name="Input 2 2 24 7" xfId="21624"/>
    <cellStyle name="Input 2 2 24 7 2" xfId="29925"/>
    <cellStyle name="Input 2 2 24 7 2 2" xfId="53076"/>
    <cellStyle name="Input 2 2 24 7 2 3" xfId="53077"/>
    <cellStyle name="Input 2 2 24 7 3" xfId="36982"/>
    <cellStyle name="Input 2 2 24 7 4" xfId="53078"/>
    <cellStyle name="Input 2 2 24 8" xfId="22552"/>
    <cellStyle name="Input 2 2 24 8 2" xfId="30848"/>
    <cellStyle name="Input 2 2 24 8 2 2" xfId="53079"/>
    <cellStyle name="Input 2 2 24 8 2 3" xfId="53080"/>
    <cellStyle name="Input 2 2 24 8 3" xfId="37865"/>
    <cellStyle name="Input 2 2 24 8 4" xfId="53081"/>
    <cellStyle name="Input 2 2 24 9" xfId="23494"/>
    <cellStyle name="Input 2 2 25" xfId="15157"/>
    <cellStyle name="Input 2 2 25 10" xfId="53082"/>
    <cellStyle name="Input 2 2 25 2" xfId="16237"/>
    <cellStyle name="Input 2 2 25 2 2" xfId="24550"/>
    <cellStyle name="Input 2 2 25 2 2 2" xfId="53083"/>
    <cellStyle name="Input 2 2 25 2 2 3" xfId="53084"/>
    <cellStyle name="Input 2 2 25 2 3" xfId="31823"/>
    <cellStyle name="Input 2 2 25 2 4" xfId="53085"/>
    <cellStyle name="Input 2 2 25 3" xfId="17203"/>
    <cellStyle name="Input 2 2 25 3 2" xfId="25524"/>
    <cellStyle name="Input 2 2 25 3 2 2" xfId="53086"/>
    <cellStyle name="Input 2 2 25 3 2 3" xfId="53087"/>
    <cellStyle name="Input 2 2 25 3 3" xfId="32756"/>
    <cellStyle name="Input 2 2 25 3 4" xfId="53088"/>
    <cellStyle name="Input 2 2 25 4" xfId="18231"/>
    <cellStyle name="Input 2 2 25 4 2" xfId="26551"/>
    <cellStyle name="Input 2 2 25 4 2 2" xfId="53089"/>
    <cellStyle name="Input 2 2 25 4 2 3" xfId="53090"/>
    <cellStyle name="Input 2 2 25 4 3" xfId="33734"/>
    <cellStyle name="Input 2 2 25 4 4" xfId="53091"/>
    <cellStyle name="Input 2 2 25 5" xfId="19215"/>
    <cellStyle name="Input 2 2 25 5 2" xfId="27535"/>
    <cellStyle name="Input 2 2 25 5 2 2" xfId="53092"/>
    <cellStyle name="Input 2 2 25 5 2 3" xfId="53093"/>
    <cellStyle name="Input 2 2 25 5 3" xfId="34683"/>
    <cellStyle name="Input 2 2 25 5 4" xfId="53094"/>
    <cellStyle name="Input 2 2 25 6" xfId="20183"/>
    <cellStyle name="Input 2 2 25 6 2" xfId="28505"/>
    <cellStyle name="Input 2 2 25 6 2 2" xfId="53095"/>
    <cellStyle name="Input 2 2 25 6 2 3" xfId="53096"/>
    <cellStyle name="Input 2 2 25 6 3" xfId="35626"/>
    <cellStyle name="Input 2 2 25 6 4" xfId="53097"/>
    <cellStyle name="Input 2 2 25 7" xfId="21644"/>
    <cellStyle name="Input 2 2 25 7 2" xfId="29945"/>
    <cellStyle name="Input 2 2 25 7 2 2" xfId="53098"/>
    <cellStyle name="Input 2 2 25 7 2 3" xfId="53099"/>
    <cellStyle name="Input 2 2 25 7 3" xfId="37000"/>
    <cellStyle name="Input 2 2 25 7 4" xfId="53100"/>
    <cellStyle name="Input 2 2 25 8" xfId="22572"/>
    <cellStyle name="Input 2 2 25 8 2" xfId="30868"/>
    <cellStyle name="Input 2 2 25 8 2 2" xfId="53101"/>
    <cellStyle name="Input 2 2 25 8 2 3" xfId="53102"/>
    <cellStyle name="Input 2 2 25 8 3" xfId="37883"/>
    <cellStyle name="Input 2 2 25 8 4" xfId="53103"/>
    <cellStyle name="Input 2 2 25 9" xfId="23514"/>
    <cellStyle name="Input 2 2 26" xfId="15179"/>
    <cellStyle name="Input 2 2 26 10" xfId="53104"/>
    <cellStyle name="Input 2 2 26 2" xfId="16259"/>
    <cellStyle name="Input 2 2 26 2 2" xfId="24572"/>
    <cellStyle name="Input 2 2 26 2 2 2" xfId="53105"/>
    <cellStyle name="Input 2 2 26 2 2 3" xfId="53106"/>
    <cellStyle name="Input 2 2 26 2 3" xfId="31844"/>
    <cellStyle name="Input 2 2 26 2 4" xfId="53107"/>
    <cellStyle name="Input 2 2 26 3" xfId="17225"/>
    <cellStyle name="Input 2 2 26 3 2" xfId="25546"/>
    <cellStyle name="Input 2 2 26 3 2 2" xfId="53108"/>
    <cellStyle name="Input 2 2 26 3 2 3" xfId="53109"/>
    <cellStyle name="Input 2 2 26 3 3" xfId="32777"/>
    <cellStyle name="Input 2 2 26 3 4" xfId="53110"/>
    <cellStyle name="Input 2 2 26 4" xfId="18253"/>
    <cellStyle name="Input 2 2 26 4 2" xfId="26573"/>
    <cellStyle name="Input 2 2 26 4 2 2" xfId="53111"/>
    <cellStyle name="Input 2 2 26 4 2 3" xfId="53112"/>
    <cellStyle name="Input 2 2 26 4 3" xfId="33755"/>
    <cellStyle name="Input 2 2 26 4 4" xfId="53113"/>
    <cellStyle name="Input 2 2 26 5" xfId="19237"/>
    <cellStyle name="Input 2 2 26 5 2" xfId="27557"/>
    <cellStyle name="Input 2 2 26 5 2 2" xfId="53114"/>
    <cellStyle name="Input 2 2 26 5 2 3" xfId="53115"/>
    <cellStyle name="Input 2 2 26 5 3" xfId="34705"/>
    <cellStyle name="Input 2 2 26 5 4" xfId="53116"/>
    <cellStyle name="Input 2 2 26 6" xfId="20205"/>
    <cellStyle name="Input 2 2 26 6 2" xfId="28527"/>
    <cellStyle name="Input 2 2 26 6 2 2" xfId="53117"/>
    <cellStyle name="Input 2 2 26 6 2 3" xfId="53118"/>
    <cellStyle name="Input 2 2 26 6 3" xfId="35647"/>
    <cellStyle name="Input 2 2 26 6 4" xfId="53119"/>
    <cellStyle name="Input 2 2 26 7" xfId="21666"/>
    <cellStyle name="Input 2 2 26 7 2" xfId="29967"/>
    <cellStyle name="Input 2 2 26 7 2 2" xfId="53120"/>
    <cellStyle name="Input 2 2 26 7 2 3" xfId="53121"/>
    <cellStyle name="Input 2 2 26 7 3" xfId="37021"/>
    <cellStyle name="Input 2 2 26 7 4" xfId="53122"/>
    <cellStyle name="Input 2 2 26 8" xfId="22594"/>
    <cellStyle name="Input 2 2 26 8 2" xfId="30890"/>
    <cellStyle name="Input 2 2 26 8 2 2" xfId="53123"/>
    <cellStyle name="Input 2 2 26 8 2 3" xfId="53124"/>
    <cellStyle name="Input 2 2 26 8 3" xfId="37904"/>
    <cellStyle name="Input 2 2 26 8 4" xfId="53125"/>
    <cellStyle name="Input 2 2 26 9" xfId="23536"/>
    <cellStyle name="Input 2 2 27" xfId="15156"/>
    <cellStyle name="Input 2 2 27 10" xfId="53126"/>
    <cellStyle name="Input 2 2 27 2" xfId="16236"/>
    <cellStyle name="Input 2 2 27 2 2" xfId="24549"/>
    <cellStyle name="Input 2 2 27 2 2 2" xfId="53127"/>
    <cellStyle name="Input 2 2 27 2 2 3" xfId="53128"/>
    <cellStyle name="Input 2 2 27 2 3" xfId="31822"/>
    <cellStyle name="Input 2 2 27 2 4" xfId="53129"/>
    <cellStyle name="Input 2 2 27 3" xfId="17202"/>
    <cellStyle name="Input 2 2 27 3 2" xfId="25523"/>
    <cellStyle name="Input 2 2 27 3 2 2" xfId="53130"/>
    <cellStyle name="Input 2 2 27 3 2 3" xfId="53131"/>
    <cellStyle name="Input 2 2 27 3 3" xfId="32755"/>
    <cellStyle name="Input 2 2 27 3 4" xfId="53132"/>
    <cellStyle name="Input 2 2 27 4" xfId="18230"/>
    <cellStyle name="Input 2 2 27 4 2" xfId="26550"/>
    <cellStyle name="Input 2 2 27 4 2 2" xfId="53133"/>
    <cellStyle name="Input 2 2 27 4 2 3" xfId="53134"/>
    <cellStyle name="Input 2 2 27 4 3" xfId="33733"/>
    <cellStyle name="Input 2 2 27 4 4" xfId="53135"/>
    <cellStyle name="Input 2 2 27 5" xfId="19214"/>
    <cellStyle name="Input 2 2 27 5 2" xfId="27534"/>
    <cellStyle name="Input 2 2 27 5 2 2" xfId="53136"/>
    <cellStyle name="Input 2 2 27 5 2 3" xfId="53137"/>
    <cellStyle name="Input 2 2 27 5 3" xfId="34682"/>
    <cellStyle name="Input 2 2 27 5 4" xfId="53138"/>
    <cellStyle name="Input 2 2 27 6" xfId="20182"/>
    <cellStyle name="Input 2 2 27 6 2" xfId="28504"/>
    <cellStyle name="Input 2 2 27 6 2 2" xfId="53139"/>
    <cellStyle name="Input 2 2 27 6 2 3" xfId="53140"/>
    <cellStyle name="Input 2 2 27 6 3" xfId="35625"/>
    <cellStyle name="Input 2 2 27 6 4" xfId="53141"/>
    <cellStyle name="Input 2 2 27 7" xfId="21643"/>
    <cellStyle name="Input 2 2 27 7 2" xfId="29944"/>
    <cellStyle name="Input 2 2 27 7 2 2" xfId="53142"/>
    <cellStyle name="Input 2 2 27 7 2 3" xfId="53143"/>
    <cellStyle name="Input 2 2 27 7 3" xfId="36999"/>
    <cellStyle name="Input 2 2 27 7 4" xfId="53144"/>
    <cellStyle name="Input 2 2 27 8" xfId="22571"/>
    <cellStyle name="Input 2 2 27 8 2" xfId="30867"/>
    <cellStyle name="Input 2 2 27 8 2 2" xfId="53145"/>
    <cellStyle name="Input 2 2 27 8 2 3" xfId="53146"/>
    <cellStyle name="Input 2 2 27 8 3" xfId="37882"/>
    <cellStyle name="Input 2 2 27 8 4" xfId="53147"/>
    <cellStyle name="Input 2 2 27 9" xfId="23513"/>
    <cellStyle name="Input 2 2 28" xfId="15195"/>
    <cellStyle name="Input 2 2 28 10" xfId="53148"/>
    <cellStyle name="Input 2 2 28 2" xfId="16275"/>
    <cellStyle name="Input 2 2 28 2 2" xfId="24588"/>
    <cellStyle name="Input 2 2 28 2 2 2" xfId="53149"/>
    <cellStyle name="Input 2 2 28 2 2 3" xfId="53150"/>
    <cellStyle name="Input 2 2 28 2 3" xfId="31858"/>
    <cellStyle name="Input 2 2 28 2 4" xfId="53151"/>
    <cellStyle name="Input 2 2 28 3" xfId="17241"/>
    <cellStyle name="Input 2 2 28 3 2" xfId="25562"/>
    <cellStyle name="Input 2 2 28 3 2 2" xfId="53152"/>
    <cellStyle name="Input 2 2 28 3 2 3" xfId="53153"/>
    <cellStyle name="Input 2 2 28 3 3" xfId="32791"/>
    <cellStyle name="Input 2 2 28 3 4" xfId="53154"/>
    <cellStyle name="Input 2 2 28 4" xfId="18269"/>
    <cellStyle name="Input 2 2 28 4 2" xfId="26589"/>
    <cellStyle name="Input 2 2 28 4 2 2" xfId="53155"/>
    <cellStyle name="Input 2 2 28 4 2 3" xfId="53156"/>
    <cellStyle name="Input 2 2 28 4 3" xfId="33769"/>
    <cellStyle name="Input 2 2 28 4 4" xfId="53157"/>
    <cellStyle name="Input 2 2 28 5" xfId="19253"/>
    <cellStyle name="Input 2 2 28 5 2" xfId="27573"/>
    <cellStyle name="Input 2 2 28 5 2 2" xfId="53158"/>
    <cellStyle name="Input 2 2 28 5 2 3" xfId="53159"/>
    <cellStyle name="Input 2 2 28 5 3" xfId="34721"/>
    <cellStyle name="Input 2 2 28 5 4" xfId="53160"/>
    <cellStyle name="Input 2 2 28 6" xfId="20221"/>
    <cellStyle name="Input 2 2 28 6 2" xfId="28543"/>
    <cellStyle name="Input 2 2 28 6 2 2" xfId="53161"/>
    <cellStyle name="Input 2 2 28 6 2 3" xfId="53162"/>
    <cellStyle name="Input 2 2 28 6 3" xfId="35661"/>
    <cellStyle name="Input 2 2 28 6 4" xfId="53163"/>
    <cellStyle name="Input 2 2 28 7" xfId="21682"/>
    <cellStyle name="Input 2 2 28 7 2" xfId="29983"/>
    <cellStyle name="Input 2 2 28 7 2 2" xfId="53164"/>
    <cellStyle name="Input 2 2 28 7 2 3" xfId="53165"/>
    <cellStyle name="Input 2 2 28 7 3" xfId="37035"/>
    <cellStyle name="Input 2 2 28 7 4" xfId="53166"/>
    <cellStyle name="Input 2 2 28 8" xfId="22610"/>
    <cellStyle name="Input 2 2 28 8 2" xfId="30906"/>
    <cellStyle name="Input 2 2 28 8 2 2" xfId="53167"/>
    <cellStyle name="Input 2 2 28 8 2 3" xfId="53168"/>
    <cellStyle name="Input 2 2 28 8 3" xfId="37918"/>
    <cellStyle name="Input 2 2 28 8 4" xfId="53169"/>
    <cellStyle name="Input 2 2 28 9" xfId="23552"/>
    <cellStyle name="Input 2 2 29" xfId="15260"/>
    <cellStyle name="Input 2 2 29 10" xfId="53170"/>
    <cellStyle name="Input 2 2 29 2" xfId="16340"/>
    <cellStyle name="Input 2 2 29 2 2" xfId="24653"/>
    <cellStyle name="Input 2 2 29 2 2 2" xfId="53171"/>
    <cellStyle name="Input 2 2 29 2 2 3" xfId="53172"/>
    <cellStyle name="Input 2 2 29 2 3" xfId="31920"/>
    <cellStyle name="Input 2 2 29 2 4" xfId="53173"/>
    <cellStyle name="Input 2 2 29 3" xfId="17306"/>
    <cellStyle name="Input 2 2 29 3 2" xfId="25627"/>
    <cellStyle name="Input 2 2 29 3 2 2" xfId="53174"/>
    <cellStyle name="Input 2 2 29 3 2 3" xfId="53175"/>
    <cellStyle name="Input 2 2 29 3 3" xfId="32853"/>
    <cellStyle name="Input 2 2 29 3 4" xfId="53176"/>
    <cellStyle name="Input 2 2 29 4" xfId="18334"/>
    <cellStyle name="Input 2 2 29 4 2" xfId="26654"/>
    <cellStyle name="Input 2 2 29 4 2 2" xfId="53177"/>
    <cellStyle name="Input 2 2 29 4 2 3" xfId="53178"/>
    <cellStyle name="Input 2 2 29 4 3" xfId="33831"/>
    <cellStyle name="Input 2 2 29 4 4" xfId="53179"/>
    <cellStyle name="Input 2 2 29 5" xfId="19318"/>
    <cellStyle name="Input 2 2 29 5 2" xfId="27638"/>
    <cellStyle name="Input 2 2 29 5 2 2" xfId="53180"/>
    <cellStyle name="Input 2 2 29 5 2 3" xfId="53181"/>
    <cellStyle name="Input 2 2 29 5 3" xfId="34786"/>
    <cellStyle name="Input 2 2 29 5 4" xfId="53182"/>
    <cellStyle name="Input 2 2 29 6" xfId="20286"/>
    <cellStyle name="Input 2 2 29 6 2" xfId="28608"/>
    <cellStyle name="Input 2 2 29 6 2 2" xfId="53183"/>
    <cellStyle name="Input 2 2 29 6 2 3" xfId="53184"/>
    <cellStyle name="Input 2 2 29 6 3" xfId="35723"/>
    <cellStyle name="Input 2 2 29 6 4" xfId="53185"/>
    <cellStyle name="Input 2 2 29 7" xfId="21747"/>
    <cellStyle name="Input 2 2 29 7 2" xfId="30048"/>
    <cellStyle name="Input 2 2 29 7 2 2" xfId="53186"/>
    <cellStyle name="Input 2 2 29 7 2 3" xfId="53187"/>
    <cellStyle name="Input 2 2 29 7 3" xfId="37097"/>
    <cellStyle name="Input 2 2 29 7 4" xfId="53188"/>
    <cellStyle name="Input 2 2 29 8" xfId="22675"/>
    <cellStyle name="Input 2 2 29 8 2" xfId="30971"/>
    <cellStyle name="Input 2 2 29 8 2 2" xfId="53189"/>
    <cellStyle name="Input 2 2 29 8 2 3" xfId="53190"/>
    <cellStyle name="Input 2 2 29 8 3" xfId="37980"/>
    <cellStyle name="Input 2 2 29 8 4" xfId="53191"/>
    <cellStyle name="Input 2 2 29 9" xfId="23617"/>
    <cellStyle name="Input 2 2 3" xfId="118"/>
    <cellStyle name="Input 2 2 3 10" xfId="14439"/>
    <cellStyle name="Input 2 2 3 10 2" xfId="53192"/>
    <cellStyle name="Input 2 2 3 10 3" xfId="53193"/>
    <cellStyle name="Input 2 2 3 11" xfId="53194"/>
    <cellStyle name="Input 2 2 3 12" xfId="53195"/>
    <cellStyle name="Input 2 2 3 13" xfId="60810"/>
    <cellStyle name="Input 2 2 3 2" xfId="250"/>
    <cellStyle name="Input 2 2 3 2 2" xfId="661"/>
    <cellStyle name="Input 2 2 3 2 2 2" xfId="1612"/>
    <cellStyle name="Input 2 2 3 2 2 2 2" xfId="795"/>
    <cellStyle name="Input 2 2 3 2 2 2 2 2" xfId="2532"/>
    <cellStyle name="Input 2 2 3 2 2 2 2 2 2" xfId="5952"/>
    <cellStyle name="Input 2 2 3 2 2 2 2 2 2 2" xfId="12792"/>
    <cellStyle name="Input 2 2 3 2 2 2 2 2 3" xfId="9372"/>
    <cellStyle name="Input 2 2 3 2 2 2 2 3" xfId="3672"/>
    <cellStyle name="Input 2 2 3 2 2 2 2 3 2" xfId="7092"/>
    <cellStyle name="Input 2 2 3 2 2 2 2 3 2 2" xfId="13932"/>
    <cellStyle name="Input 2 2 3 2 2 2 2 3 3" xfId="10512"/>
    <cellStyle name="Input 2 2 3 2 2 2 2 4" xfId="4812"/>
    <cellStyle name="Input 2 2 3 2 2 2 2 4 2" xfId="11652"/>
    <cellStyle name="Input 2 2 3 2 2 2 2 5" xfId="8232"/>
    <cellStyle name="Input 2 2 3 2 2 2 3" xfId="2446"/>
    <cellStyle name="Input 2 2 3 2 2 2 3 2" xfId="5866"/>
    <cellStyle name="Input 2 2 3 2 2 2 3 2 2" xfId="12706"/>
    <cellStyle name="Input 2 2 3 2 2 2 3 3" xfId="9286"/>
    <cellStyle name="Input 2 2 3 2 2 2 4" xfId="3586"/>
    <cellStyle name="Input 2 2 3 2 2 2 4 2" xfId="7006"/>
    <cellStyle name="Input 2 2 3 2 2 2 4 2 2" xfId="13846"/>
    <cellStyle name="Input 2 2 3 2 2 2 4 3" xfId="10426"/>
    <cellStyle name="Input 2 2 3 2 2 2 5" xfId="4726"/>
    <cellStyle name="Input 2 2 3 2 2 2 5 2" xfId="11566"/>
    <cellStyle name="Input 2 2 3 2 2 2 6" xfId="8146"/>
    <cellStyle name="Input 2 2 3 2 2 2 7" xfId="61720"/>
    <cellStyle name="Input 2 2 3 2 2 2 8" xfId="62202"/>
    <cellStyle name="Input 2 2 3 2 2 3" xfId="38505"/>
    <cellStyle name="Input 2 2 3 2 2 4" xfId="53196"/>
    <cellStyle name="Input 2 2 3 2 2 5" xfId="53197"/>
    <cellStyle name="Input 2 2 3 2 2 6" xfId="53198"/>
    <cellStyle name="Input 2 2 3 2 2 7" xfId="53199"/>
    <cellStyle name="Input 2 2 3 2 2 8" xfId="61254"/>
    <cellStyle name="Input 2 2 3 2 3" xfId="1257"/>
    <cellStyle name="Input 2 2 3 2 3 2" xfId="1776"/>
    <cellStyle name="Input 2 2 3 2 3 2 2" xfId="2916"/>
    <cellStyle name="Input 2 2 3 2 3 2 2 2" xfId="6336"/>
    <cellStyle name="Input 2 2 3 2 3 2 2 2 2" xfId="13176"/>
    <cellStyle name="Input 2 2 3 2 3 2 2 3" xfId="9756"/>
    <cellStyle name="Input 2 2 3 2 3 2 3" xfId="4056"/>
    <cellStyle name="Input 2 2 3 2 3 2 3 2" xfId="7476"/>
    <cellStyle name="Input 2 2 3 2 3 2 3 2 2" xfId="14316"/>
    <cellStyle name="Input 2 2 3 2 3 2 3 3" xfId="10896"/>
    <cellStyle name="Input 2 2 3 2 3 2 4" xfId="5196"/>
    <cellStyle name="Input 2 2 3 2 3 2 4 2" xfId="12036"/>
    <cellStyle name="Input 2 2 3 2 3 2 5" xfId="8616"/>
    <cellStyle name="Input 2 2 3 2 3 3" xfId="2077"/>
    <cellStyle name="Input 2 2 3 2 3 3 2" xfId="5497"/>
    <cellStyle name="Input 2 2 3 2 3 3 2 2" xfId="12337"/>
    <cellStyle name="Input 2 2 3 2 3 3 3" xfId="8917"/>
    <cellStyle name="Input 2 2 3 2 3 4" xfId="3217"/>
    <cellStyle name="Input 2 2 3 2 3 4 2" xfId="6637"/>
    <cellStyle name="Input 2 2 3 2 3 4 2 2" xfId="13477"/>
    <cellStyle name="Input 2 2 3 2 3 4 3" xfId="10057"/>
    <cellStyle name="Input 2 2 3 2 3 5" xfId="4357"/>
    <cellStyle name="Input 2 2 3 2 3 5 2" xfId="11197"/>
    <cellStyle name="Input 2 2 3 2 3 6" xfId="7777"/>
    <cellStyle name="Input 2 2 3 2 3 7" xfId="61721"/>
    <cellStyle name="Input 2 2 3 2 3 8" xfId="62203"/>
    <cellStyle name="Input 2 2 3 2 4" xfId="15591"/>
    <cellStyle name="Input 2 2 3 2 5" xfId="23903"/>
    <cellStyle name="Input 2 2 3 2 6" xfId="38271"/>
    <cellStyle name="Input 2 2 3 2 7" xfId="53200"/>
    <cellStyle name="Input 2 2 3 2 8" xfId="60933"/>
    <cellStyle name="Input 2 2 3 3" xfId="573"/>
    <cellStyle name="Input 2 2 3 3 2" xfId="1560"/>
    <cellStyle name="Input 2 2 3 3 2 2" xfId="1843"/>
    <cellStyle name="Input 2 2 3 3 2 2 2" xfId="2983"/>
    <cellStyle name="Input 2 2 3 3 2 2 2 2" xfId="6403"/>
    <cellStyle name="Input 2 2 3 3 2 2 2 2 2" xfId="13243"/>
    <cellStyle name="Input 2 2 3 3 2 2 2 3" xfId="9823"/>
    <cellStyle name="Input 2 2 3 3 2 2 3" xfId="4123"/>
    <cellStyle name="Input 2 2 3 3 2 2 3 2" xfId="7543"/>
    <cellStyle name="Input 2 2 3 3 2 2 3 2 2" xfId="14383"/>
    <cellStyle name="Input 2 2 3 3 2 2 3 3" xfId="10963"/>
    <cellStyle name="Input 2 2 3 3 2 2 4" xfId="5263"/>
    <cellStyle name="Input 2 2 3 3 2 2 4 2" xfId="12103"/>
    <cellStyle name="Input 2 2 3 3 2 2 5" xfId="8683"/>
    <cellStyle name="Input 2 2 3 3 2 3" xfId="2385"/>
    <cellStyle name="Input 2 2 3 3 2 3 2" xfId="5805"/>
    <cellStyle name="Input 2 2 3 3 2 3 2 2" xfId="12645"/>
    <cellStyle name="Input 2 2 3 3 2 3 3" xfId="9225"/>
    <cellStyle name="Input 2 2 3 3 2 4" xfId="3525"/>
    <cellStyle name="Input 2 2 3 3 2 4 2" xfId="6945"/>
    <cellStyle name="Input 2 2 3 3 2 4 2 2" xfId="13785"/>
    <cellStyle name="Input 2 2 3 3 2 4 3" xfId="10365"/>
    <cellStyle name="Input 2 2 3 3 2 5" xfId="4665"/>
    <cellStyle name="Input 2 2 3 3 2 5 2" xfId="11505"/>
    <cellStyle name="Input 2 2 3 3 2 6" xfId="8085"/>
    <cellStyle name="Input 2 2 3 3 2 7" xfId="61506"/>
    <cellStyle name="Input 2 2 3 3 2 8" xfId="62059"/>
    <cellStyle name="Input 2 2 3 3 3" xfId="16561"/>
    <cellStyle name="Input 2 2 3 3 4" xfId="24874"/>
    <cellStyle name="Input 2 2 3 3 5" xfId="32134"/>
    <cellStyle name="Input 2 2 3 3 6" xfId="53201"/>
    <cellStyle name="Input 2 2 3 3 7" xfId="53202"/>
    <cellStyle name="Input 2 2 3 3 8" xfId="53203"/>
    <cellStyle name="Input 2 2 3 3 9" xfId="61255"/>
    <cellStyle name="Input 2 2 3 4" xfId="1134"/>
    <cellStyle name="Input 2 2 3 4 10" xfId="61723"/>
    <cellStyle name="Input 2 2 3 4 11" xfId="62204"/>
    <cellStyle name="Input 2 2 3 4 2" xfId="1805"/>
    <cellStyle name="Input 2 2 3 4 2 2" xfId="2945"/>
    <cellStyle name="Input 2 2 3 4 2 2 2" xfId="6365"/>
    <cellStyle name="Input 2 2 3 4 2 2 2 2" xfId="13205"/>
    <cellStyle name="Input 2 2 3 4 2 2 3" xfId="9785"/>
    <cellStyle name="Input 2 2 3 4 2 3" xfId="4085"/>
    <cellStyle name="Input 2 2 3 4 2 3 2" xfId="7505"/>
    <cellStyle name="Input 2 2 3 4 2 3 2 2" xfId="14345"/>
    <cellStyle name="Input 2 2 3 4 2 3 3" xfId="10925"/>
    <cellStyle name="Input 2 2 3 4 2 4" xfId="5225"/>
    <cellStyle name="Input 2 2 3 4 2 4 2" xfId="12065"/>
    <cellStyle name="Input 2 2 3 4 2 5" xfId="8645"/>
    <cellStyle name="Input 2 2 3 4 3" xfId="1948"/>
    <cellStyle name="Input 2 2 3 4 3 2" xfId="5368"/>
    <cellStyle name="Input 2 2 3 4 3 2 2" xfId="12208"/>
    <cellStyle name="Input 2 2 3 4 3 3" xfId="8788"/>
    <cellStyle name="Input 2 2 3 4 4" xfId="3088"/>
    <cellStyle name="Input 2 2 3 4 4 2" xfId="6508"/>
    <cellStyle name="Input 2 2 3 4 4 2 2" xfId="13348"/>
    <cellStyle name="Input 2 2 3 4 4 3" xfId="9928"/>
    <cellStyle name="Input 2 2 3 4 5" xfId="4228"/>
    <cellStyle name="Input 2 2 3 4 5 2" xfId="11068"/>
    <cellStyle name="Input 2 2 3 4 6" xfId="7648"/>
    <cellStyle name="Input 2 2 3 4 7" xfId="17579"/>
    <cellStyle name="Input 2 2 3 4 8" xfId="25898"/>
    <cellStyle name="Input 2 2 3 4 9" xfId="33111"/>
    <cellStyle name="Input 2 2 3 5" xfId="18559"/>
    <cellStyle name="Input 2 2 3 5 2" xfId="26876"/>
    <cellStyle name="Input 2 2 3 5 2 2" xfId="53204"/>
    <cellStyle name="Input 2 2 3 5 2 3" xfId="53205"/>
    <cellStyle name="Input 2 2 3 5 3" xfId="34045"/>
    <cellStyle name="Input 2 2 3 5 4" xfId="53206"/>
    <cellStyle name="Input 2 2 3 6" xfId="15568"/>
    <cellStyle name="Input 2 2 3 6 2" xfId="23893"/>
    <cellStyle name="Input 2 2 3 6 2 2" xfId="53207"/>
    <cellStyle name="Input 2 2 3 6 2 3" xfId="53208"/>
    <cellStyle name="Input 2 2 3 6 3" xfId="31237"/>
    <cellStyle name="Input 2 2 3 6 4" xfId="53209"/>
    <cellStyle name="Input 2 2 3 7" xfId="19143"/>
    <cellStyle name="Input 2 2 3 7 2" xfId="27463"/>
    <cellStyle name="Input 2 2 3 7 2 2" xfId="53210"/>
    <cellStyle name="Input 2 2 3 7 2 3" xfId="53211"/>
    <cellStyle name="Input 2 2 3 7 3" xfId="34611"/>
    <cellStyle name="Input 2 2 3 7 4" xfId="53212"/>
    <cellStyle name="Input 2 2 3 8" xfId="21070"/>
    <cellStyle name="Input 2 2 3 8 2" xfId="29387"/>
    <cellStyle name="Input 2 2 3 8 2 2" xfId="53213"/>
    <cellStyle name="Input 2 2 3 8 2 3" xfId="53214"/>
    <cellStyle name="Input 2 2 3 8 3" xfId="36465"/>
    <cellStyle name="Input 2 2 3 8 4" xfId="53215"/>
    <cellStyle name="Input 2 2 3 9" xfId="21953"/>
    <cellStyle name="Input 2 2 3 9 2" xfId="30254"/>
    <cellStyle name="Input 2 2 3 9 2 2" xfId="53216"/>
    <cellStyle name="Input 2 2 3 9 2 3" xfId="53217"/>
    <cellStyle name="Input 2 2 3 9 3" xfId="37295"/>
    <cellStyle name="Input 2 2 3 9 4" xfId="53218"/>
    <cellStyle name="Input 2 2 30" xfId="15256"/>
    <cellStyle name="Input 2 2 30 10" xfId="53219"/>
    <cellStyle name="Input 2 2 30 2" xfId="16336"/>
    <cellStyle name="Input 2 2 30 2 2" xfId="24649"/>
    <cellStyle name="Input 2 2 30 2 2 2" xfId="53220"/>
    <cellStyle name="Input 2 2 30 2 2 3" xfId="53221"/>
    <cellStyle name="Input 2 2 30 2 3" xfId="31916"/>
    <cellStyle name="Input 2 2 30 2 4" xfId="53222"/>
    <cellStyle name="Input 2 2 30 3" xfId="17302"/>
    <cellStyle name="Input 2 2 30 3 2" xfId="25623"/>
    <cellStyle name="Input 2 2 30 3 2 2" xfId="53223"/>
    <cellStyle name="Input 2 2 30 3 2 3" xfId="53224"/>
    <cellStyle name="Input 2 2 30 3 3" xfId="32849"/>
    <cellStyle name="Input 2 2 30 3 4" xfId="53225"/>
    <cellStyle name="Input 2 2 30 4" xfId="18330"/>
    <cellStyle name="Input 2 2 30 4 2" xfId="26650"/>
    <cellStyle name="Input 2 2 30 4 2 2" xfId="53226"/>
    <cellStyle name="Input 2 2 30 4 2 3" xfId="53227"/>
    <cellStyle name="Input 2 2 30 4 3" xfId="33827"/>
    <cellStyle name="Input 2 2 30 4 4" xfId="53228"/>
    <cellStyle name="Input 2 2 30 5" xfId="19314"/>
    <cellStyle name="Input 2 2 30 5 2" xfId="27634"/>
    <cellStyle name="Input 2 2 30 5 2 2" xfId="53229"/>
    <cellStyle name="Input 2 2 30 5 2 3" xfId="53230"/>
    <cellStyle name="Input 2 2 30 5 3" xfId="34782"/>
    <cellStyle name="Input 2 2 30 5 4" xfId="53231"/>
    <cellStyle name="Input 2 2 30 6" xfId="20282"/>
    <cellStyle name="Input 2 2 30 6 2" xfId="28604"/>
    <cellStyle name="Input 2 2 30 6 2 2" xfId="53232"/>
    <cellStyle name="Input 2 2 30 6 2 3" xfId="53233"/>
    <cellStyle name="Input 2 2 30 6 3" xfId="35719"/>
    <cellStyle name="Input 2 2 30 6 4" xfId="53234"/>
    <cellStyle name="Input 2 2 30 7" xfId="21743"/>
    <cellStyle name="Input 2 2 30 7 2" xfId="30044"/>
    <cellStyle name="Input 2 2 30 7 2 2" xfId="53235"/>
    <cellStyle name="Input 2 2 30 7 2 3" xfId="53236"/>
    <cellStyle name="Input 2 2 30 7 3" xfId="37093"/>
    <cellStyle name="Input 2 2 30 7 4" xfId="53237"/>
    <cellStyle name="Input 2 2 30 8" xfId="22671"/>
    <cellStyle name="Input 2 2 30 8 2" xfId="30967"/>
    <cellStyle name="Input 2 2 30 8 2 2" xfId="53238"/>
    <cellStyle name="Input 2 2 30 8 2 3" xfId="53239"/>
    <cellStyle name="Input 2 2 30 8 3" xfId="37976"/>
    <cellStyle name="Input 2 2 30 8 4" xfId="53240"/>
    <cellStyle name="Input 2 2 30 9" xfId="23613"/>
    <cellStyle name="Input 2 2 31" xfId="15295"/>
    <cellStyle name="Input 2 2 31 10" xfId="53241"/>
    <cellStyle name="Input 2 2 31 2" xfId="16375"/>
    <cellStyle name="Input 2 2 31 2 2" xfId="24688"/>
    <cellStyle name="Input 2 2 31 2 2 2" xfId="53242"/>
    <cellStyle name="Input 2 2 31 2 2 3" xfId="53243"/>
    <cellStyle name="Input 2 2 31 2 3" xfId="31954"/>
    <cellStyle name="Input 2 2 31 2 4" xfId="53244"/>
    <cellStyle name="Input 2 2 31 3" xfId="17341"/>
    <cellStyle name="Input 2 2 31 3 2" xfId="25662"/>
    <cellStyle name="Input 2 2 31 3 2 2" xfId="53245"/>
    <cellStyle name="Input 2 2 31 3 2 3" xfId="53246"/>
    <cellStyle name="Input 2 2 31 3 3" xfId="32887"/>
    <cellStyle name="Input 2 2 31 3 4" xfId="53247"/>
    <cellStyle name="Input 2 2 31 4" xfId="18369"/>
    <cellStyle name="Input 2 2 31 4 2" xfId="26689"/>
    <cellStyle name="Input 2 2 31 4 2 2" xfId="53248"/>
    <cellStyle name="Input 2 2 31 4 2 3" xfId="53249"/>
    <cellStyle name="Input 2 2 31 4 3" xfId="33865"/>
    <cellStyle name="Input 2 2 31 4 4" xfId="53250"/>
    <cellStyle name="Input 2 2 31 5" xfId="19352"/>
    <cellStyle name="Input 2 2 31 5 2" xfId="27673"/>
    <cellStyle name="Input 2 2 31 5 2 2" xfId="53251"/>
    <cellStyle name="Input 2 2 31 5 2 3" xfId="53252"/>
    <cellStyle name="Input 2 2 31 5 3" xfId="34821"/>
    <cellStyle name="Input 2 2 31 5 4" xfId="53253"/>
    <cellStyle name="Input 2 2 31 6" xfId="20321"/>
    <cellStyle name="Input 2 2 31 6 2" xfId="28643"/>
    <cellStyle name="Input 2 2 31 6 2 2" xfId="53254"/>
    <cellStyle name="Input 2 2 31 6 2 3" xfId="53255"/>
    <cellStyle name="Input 2 2 31 6 3" xfId="35757"/>
    <cellStyle name="Input 2 2 31 6 4" xfId="53256"/>
    <cellStyle name="Input 2 2 31 7" xfId="21782"/>
    <cellStyle name="Input 2 2 31 7 2" xfId="30083"/>
    <cellStyle name="Input 2 2 31 7 2 2" xfId="53257"/>
    <cellStyle name="Input 2 2 31 7 2 3" xfId="53258"/>
    <cellStyle name="Input 2 2 31 7 3" xfId="37131"/>
    <cellStyle name="Input 2 2 31 7 4" xfId="53259"/>
    <cellStyle name="Input 2 2 31 8" xfId="22710"/>
    <cellStyle name="Input 2 2 31 8 2" xfId="31006"/>
    <cellStyle name="Input 2 2 31 8 2 2" xfId="53260"/>
    <cellStyle name="Input 2 2 31 8 2 3" xfId="53261"/>
    <cellStyle name="Input 2 2 31 8 3" xfId="38014"/>
    <cellStyle name="Input 2 2 31 8 4" xfId="53262"/>
    <cellStyle name="Input 2 2 31 9" xfId="23652"/>
    <cellStyle name="Input 2 2 32" xfId="15245"/>
    <cellStyle name="Input 2 2 32 10" xfId="53263"/>
    <cellStyle name="Input 2 2 32 11" xfId="53264"/>
    <cellStyle name="Input 2 2 32 2" xfId="16325"/>
    <cellStyle name="Input 2 2 32 2 2" xfId="24638"/>
    <cellStyle name="Input 2 2 32 2 2 2" xfId="53265"/>
    <cellStyle name="Input 2 2 32 2 2 3" xfId="53266"/>
    <cellStyle name="Input 2 2 32 2 3" xfId="31905"/>
    <cellStyle name="Input 2 2 32 2 4" xfId="53267"/>
    <cellStyle name="Input 2 2 32 3" xfId="17291"/>
    <cellStyle name="Input 2 2 32 3 2" xfId="25612"/>
    <cellStyle name="Input 2 2 32 3 2 2" xfId="53268"/>
    <cellStyle name="Input 2 2 32 3 2 3" xfId="53269"/>
    <cellStyle name="Input 2 2 32 3 3" xfId="32838"/>
    <cellStyle name="Input 2 2 32 3 4" xfId="53270"/>
    <cellStyle name="Input 2 2 32 4" xfId="18319"/>
    <cellStyle name="Input 2 2 32 4 2" xfId="26639"/>
    <cellStyle name="Input 2 2 32 4 2 2" xfId="53271"/>
    <cellStyle name="Input 2 2 32 4 2 3" xfId="53272"/>
    <cellStyle name="Input 2 2 32 4 3" xfId="33816"/>
    <cellStyle name="Input 2 2 32 4 4" xfId="53273"/>
    <cellStyle name="Input 2 2 32 5" xfId="19303"/>
    <cellStyle name="Input 2 2 32 5 2" xfId="27623"/>
    <cellStyle name="Input 2 2 32 5 2 2" xfId="53274"/>
    <cellStyle name="Input 2 2 32 5 2 3" xfId="53275"/>
    <cellStyle name="Input 2 2 32 5 3" xfId="34771"/>
    <cellStyle name="Input 2 2 32 5 4" xfId="53276"/>
    <cellStyle name="Input 2 2 32 6" xfId="20271"/>
    <cellStyle name="Input 2 2 32 6 2" xfId="28593"/>
    <cellStyle name="Input 2 2 32 6 2 2" xfId="53277"/>
    <cellStyle name="Input 2 2 32 6 2 3" xfId="53278"/>
    <cellStyle name="Input 2 2 32 6 3" xfId="35708"/>
    <cellStyle name="Input 2 2 32 6 4" xfId="53279"/>
    <cellStyle name="Input 2 2 32 7" xfId="21732"/>
    <cellStyle name="Input 2 2 32 7 2" xfId="30033"/>
    <cellStyle name="Input 2 2 32 7 2 2" xfId="53280"/>
    <cellStyle name="Input 2 2 32 7 2 3" xfId="53281"/>
    <cellStyle name="Input 2 2 32 7 3" xfId="37082"/>
    <cellStyle name="Input 2 2 32 7 4" xfId="53282"/>
    <cellStyle name="Input 2 2 32 8" xfId="22660"/>
    <cellStyle name="Input 2 2 32 8 2" xfId="30956"/>
    <cellStyle name="Input 2 2 32 8 2 2" xfId="53283"/>
    <cellStyle name="Input 2 2 32 8 2 3" xfId="53284"/>
    <cellStyle name="Input 2 2 32 8 3" xfId="37965"/>
    <cellStyle name="Input 2 2 32 8 4" xfId="53285"/>
    <cellStyle name="Input 2 2 32 9" xfId="23602"/>
    <cellStyle name="Input 2 2 32 9 2" xfId="53286"/>
    <cellStyle name="Input 2 2 32 9 3" xfId="53287"/>
    <cellStyle name="Input 2 2 33" xfId="15310"/>
    <cellStyle name="Input 2 2 33 10" xfId="53288"/>
    <cellStyle name="Input 2 2 33 2" xfId="16390"/>
    <cellStyle name="Input 2 2 33 2 2" xfId="24703"/>
    <cellStyle name="Input 2 2 33 2 2 2" xfId="53289"/>
    <cellStyle name="Input 2 2 33 2 2 3" xfId="53290"/>
    <cellStyle name="Input 2 2 33 2 3" xfId="31968"/>
    <cellStyle name="Input 2 2 33 2 4" xfId="53291"/>
    <cellStyle name="Input 2 2 33 3" xfId="17356"/>
    <cellStyle name="Input 2 2 33 3 2" xfId="25677"/>
    <cellStyle name="Input 2 2 33 3 2 2" xfId="53292"/>
    <cellStyle name="Input 2 2 33 3 2 3" xfId="53293"/>
    <cellStyle name="Input 2 2 33 3 3" xfId="32901"/>
    <cellStyle name="Input 2 2 33 3 4" xfId="53294"/>
    <cellStyle name="Input 2 2 33 4" xfId="18384"/>
    <cellStyle name="Input 2 2 33 4 2" xfId="26704"/>
    <cellStyle name="Input 2 2 33 4 2 2" xfId="53295"/>
    <cellStyle name="Input 2 2 33 4 2 3" xfId="53296"/>
    <cellStyle name="Input 2 2 33 4 3" xfId="33879"/>
    <cellStyle name="Input 2 2 33 4 4" xfId="53297"/>
    <cellStyle name="Input 2 2 33 5" xfId="19367"/>
    <cellStyle name="Input 2 2 33 5 2" xfId="27688"/>
    <cellStyle name="Input 2 2 33 5 2 2" xfId="53298"/>
    <cellStyle name="Input 2 2 33 5 2 3" xfId="53299"/>
    <cellStyle name="Input 2 2 33 5 3" xfId="34836"/>
    <cellStyle name="Input 2 2 33 5 4" xfId="53300"/>
    <cellStyle name="Input 2 2 33 6" xfId="20336"/>
    <cellStyle name="Input 2 2 33 6 2" xfId="28658"/>
    <cellStyle name="Input 2 2 33 6 2 2" xfId="53301"/>
    <cellStyle name="Input 2 2 33 6 2 3" xfId="53302"/>
    <cellStyle name="Input 2 2 33 6 3" xfId="35771"/>
    <cellStyle name="Input 2 2 33 6 4" xfId="53303"/>
    <cellStyle name="Input 2 2 33 7" xfId="21797"/>
    <cellStyle name="Input 2 2 33 7 2" xfId="30098"/>
    <cellStyle name="Input 2 2 33 7 2 2" xfId="53304"/>
    <cellStyle name="Input 2 2 33 7 2 3" xfId="53305"/>
    <cellStyle name="Input 2 2 33 7 3" xfId="37145"/>
    <cellStyle name="Input 2 2 33 7 4" xfId="53306"/>
    <cellStyle name="Input 2 2 33 8" xfId="22725"/>
    <cellStyle name="Input 2 2 33 8 2" xfId="31021"/>
    <cellStyle name="Input 2 2 33 8 2 2" xfId="53307"/>
    <cellStyle name="Input 2 2 33 8 2 3" xfId="53308"/>
    <cellStyle name="Input 2 2 33 8 3" xfId="38028"/>
    <cellStyle name="Input 2 2 33 8 4" xfId="53309"/>
    <cellStyle name="Input 2 2 33 9" xfId="23667"/>
    <cellStyle name="Input 2 2 34" xfId="15370"/>
    <cellStyle name="Input 2 2 34 10" xfId="53310"/>
    <cellStyle name="Input 2 2 34 11" xfId="53311"/>
    <cellStyle name="Input 2 2 34 2" xfId="16450"/>
    <cellStyle name="Input 2 2 34 2 2" xfId="24763"/>
    <cellStyle name="Input 2 2 34 2 2 2" xfId="53312"/>
    <cellStyle name="Input 2 2 34 2 2 3" xfId="53313"/>
    <cellStyle name="Input 2 2 34 2 3" xfId="32027"/>
    <cellStyle name="Input 2 2 34 2 4" xfId="53314"/>
    <cellStyle name="Input 2 2 34 3" xfId="17416"/>
    <cellStyle name="Input 2 2 34 3 2" xfId="25737"/>
    <cellStyle name="Input 2 2 34 3 2 2" xfId="53315"/>
    <cellStyle name="Input 2 2 34 3 2 3" xfId="53316"/>
    <cellStyle name="Input 2 2 34 3 3" xfId="32960"/>
    <cellStyle name="Input 2 2 34 3 4" xfId="53317"/>
    <cellStyle name="Input 2 2 34 4" xfId="18444"/>
    <cellStyle name="Input 2 2 34 4 2" xfId="26764"/>
    <cellStyle name="Input 2 2 34 4 2 2" xfId="53318"/>
    <cellStyle name="Input 2 2 34 4 2 3" xfId="53319"/>
    <cellStyle name="Input 2 2 34 4 3" xfId="33938"/>
    <cellStyle name="Input 2 2 34 4 4" xfId="53320"/>
    <cellStyle name="Input 2 2 34 5" xfId="19427"/>
    <cellStyle name="Input 2 2 34 5 2" xfId="27748"/>
    <cellStyle name="Input 2 2 34 5 2 2" xfId="53321"/>
    <cellStyle name="Input 2 2 34 5 2 3" xfId="53322"/>
    <cellStyle name="Input 2 2 34 5 3" xfId="34896"/>
    <cellStyle name="Input 2 2 34 5 4" xfId="53323"/>
    <cellStyle name="Input 2 2 34 6" xfId="20396"/>
    <cellStyle name="Input 2 2 34 6 2" xfId="28718"/>
    <cellStyle name="Input 2 2 34 6 2 2" xfId="53324"/>
    <cellStyle name="Input 2 2 34 6 2 3" xfId="53325"/>
    <cellStyle name="Input 2 2 34 6 3" xfId="35830"/>
    <cellStyle name="Input 2 2 34 6 4" xfId="53326"/>
    <cellStyle name="Input 2 2 34 7" xfId="21857"/>
    <cellStyle name="Input 2 2 34 7 2" xfId="30158"/>
    <cellStyle name="Input 2 2 34 7 2 2" xfId="53327"/>
    <cellStyle name="Input 2 2 34 7 2 3" xfId="53328"/>
    <cellStyle name="Input 2 2 34 7 3" xfId="37203"/>
    <cellStyle name="Input 2 2 34 7 4" xfId="53329"/>
    <cellStyle name="Input 2 2 34 8" xfId="22785"/>
    <cellStyle name="Input 2 2 34 8 2" xfId="31081"/>
    <cellStyle name="Input 2 2 34 8 2 2" xfId="53330"/>
    <cellStyle name="Input 2 2 34 8 2 3" xfId="53331"/>
    <cellStyle name="Input 2 2 34 8 3" xfId="38087"/>
    <cellStyle name="Input 2 2 34 8 4" xfId="53332"/>
    <cellStyle name="Input 2 2 34 9" xfId="23727"/>
    <cellStyle name="Input 2 2 34 9 2" xfId="53333"/>
    <cellStyle name="Input 2 2 34 9 3" xfId="53334"/>
    <cellStyle name="Input 2 2 35" xfId="15334"/>
    <cellStyle name="Input 2 2 35 10" xfId="53335"/>
    <cellStyle name="Input 2 2 35 11" xfId="53336"/>
    <cellStyle name="Input 2 2 35 2" xfId="16414"/>
    <cellStyle name="Input 2 2 35 2 2" xfId="24727"/>
    <cellStyle name="Input 2 2 35 2 2 2" xfId="53337"/>
    <cellStyle name="Input 2 2 35 2 2 3" xfId="53338"/>
    <cellStyle name="Input 2 2 35 2 3" xfId="31992"/>
    <cellStyle name="Input 2 2 35 2 4" xfId="53339"/>
    <cellStyle name="Input 2 2 35 3" xfId="17380"/>
    <cellStyle name="Input 2 2 35 3 2" xfId="25701"/>
    <cellStyle name="Input 2 2 35 3 2 2" xfId="53340"/>
    <cellStyle name="Input 2 2 35 3 2 3" xfId="53341"/>
    <cellStyle name="Input 2 2 35 3 3" xfId="32925"/>
    <cellStyle name="Input 2 2 35 3 4" xfId="53342"/>
    <cellStyle name="Input 2 2 35 4" xfId="18408"/>
    <cellStyle name="Input 2 2 35 4 2" xfId="26728"/>
    <cellStyle name="Input 2 2 35 4 2 2" xfId="53343"/>
    <cellStyle name="Input 2 2 35 4 2 3" xfId="53344"/>
    <cellStyle name="Input 2 2 35 4 3" xfId="33903"/>
    <cellStyle name="Input 2 2 35 4 4" xfId="53345"/>
    <cellStyle name="Input 2 2 35 5" xfId="19391"/>
    <cellStyle name="Input 2 2 35 5 2" xfId="27712"/>
    <cellStyle name="Input 2 2 35 5 2 2" xfId="53346"/>
    <cellStyle name="Input 2 2 35 5 2 3" xfId="53347"/>
    <cellStyle name="Input 2 2 35 5 3" xfId="34860"/>
    <cellStyle name="Input 2 2 35 5 4" xfId="53348"/>
    <cellStyle name="Input 2 2 35 6" xfId="20360"/>
    <cellStyle name="Input 2 2 35 6 2" xfId="28682"/>
    <cellStyle name="Input 2 2 35 6 2 2" xfId="53349"/>
    <cellStyle name="Input 2 2 35 6 2 3" xfId="53350"/>
    <cellStyle name="Input 2 2 35 6 3" xfId="35795"/>
    <cellStyle name="Input 2 2 35 6 4" xfId="53351"/>
    <cellStyle name="Input 2 2 35 7" xfId="21821"/>
    <cellStyle name="Input 2 2 35 7 2" xfId="30122"/>
    <cellStyle name="Input 2 2 35 7 2 2" xfId="53352"/>
    <cellStyle name="Input 2 2 35 7 2 3" xfId="53353"/>
    <cellStyle name="Input 2 2 35 7 3" xfId="37169"/>
    <cellStyle name="Input 2 2 35 7 4" xfId="53354"/>
    <cellStyle name="Input 2 2 35 8" xfId="22749"/>
    <cellStyle name="Input 2 2 35 8 2" xfId="31045"/>
    <cellStyle name="Input 2 2 35 8 2 2" xfId="53355"/>
    <cellStyle name="Input 2 2 35 8 2 3" xfId="53356"/>
    <cellStyle name="Input 2 2 35 8 3" xfId="38052"/>
    <cellStyle name="Input 2 2 35 8 4" xfId="53357"/>
    <cellStyle name="Input 2 2 35 9" xfId="23691"/>
    <cellStyle name="Input 2 2 35 9 2" xfId="53358"/>
    <cellStyle name="Input 2 2 35 9 3" xfId="53359"/>
    <cellStyle name="Input 2 2 36" xfId="15383"/>
    <cellStyle name="Input 2 2 36 10" xfId="53360"/>
    <cellStyle name="Input 2 2 36 11" xfId="53361"/>
    <cellStyle name="Input 2 2 36 2" xfId="16463"/>
    <cellStyle name="Input 2 2 36 2 2" xfId="24776"/>
    <cellStyle name="Input 2 2 36 2 2 2" xfId="53362"/>
    <cellStyle name="Input 2 2 36 2 2 3" xfId="53363"/>
    <cellStyle name="Input 2 2 36 2 3" xfId="32040"/>
    <cellStyle name="Input 2 2 36 2 4" xfId="53364"/>
    <cellStyle name="Input 2 2 36 3" xfId="17429"/>
    <cellStyle name="Input 2 2 36 3 2" xfId="25750"/>
    <cellStyle name="Input 2 2 36 3 2 2" xfId="53365"/>
    <cellStyle name="Input 2 2 36 3 2 3" xfId="53366"/>
    <cellStyle name="Input 2 2 36 3 3" xfId="32973"/>
    <cellStyle name="Input 2 2 36 3 4" xfId="53367"/>
    <cellStyle name="Input 2 2 36 4" xfId="18457"/>
    <cellStyle name="Input 2 2 36 4 2" xfId="26777"/>
    <cellStyle name="Input 2 2 36 4 2 2" xfId="53368"/>
    <cellStyle name="Input 2 2 36 4 2 3" xfId="53369"/>
    <cellStyle name="Input 2 2 36 4 3" xfId="33951"/>
    <cellStyle name="Input 2 2 36 4 4" xfId="53370"/>
    <cellStyle name="Input 2 2 36 5" xfId="19440"/>
    <cellStyle name="Input 2 2 36 5 2" xfId="27761"/>
    <cellStyle name="Input 2 2 36 5 2 2" xfId="53371"/>
    <cellStyle name="Input 2 2 36 5 2 3" xfId="53372"/>
    <cellStyle name="Input 2 2 36 5 3" xfId="34909"/>
    <cellStyle name="Input 2 2 36 5 4" xfId="53373"/>
    <cellStyle name="Input 2 2 36 6" xfId="20409"/>
    <cellStyle name="Input 2 2 36 6 2" xfId="28731"/>
    <cellStyle name="Input 2 2 36 6 2 2" xfId="53374"/>
    <cellStyle name="Input 2 2 36 6 2 3" xfId="53375"/>
    <cellStyle name="Input 2 2 36 6 3" xfId="35843"/>
    <cellStyle name="Input 2 2 36 6 4" xfId="53376"/>
    <cellStyle name="Input 2 2 36 7" xfId="21870"/>
    <cellStyle name="Input 2 2 36 7 2" xfId="30171"/>
    <cellStyle name="Input 2 2 36 7 2 2" xfId="53377"/>
    <cellStyle name="Input 2 2 36 7 2 3" xfId="53378"/>
    <cellStyle name="Input 2 2 36 7 3" xfId="37216"/>
    <cellStyle name="Input 2 2 36 7 4" xfId="53379"/>
    <cellStyle name="Input 2 2 36 8" xfId="22798"/>
    <cellStyle name="Input 2 2 36 8 2" xfId="31094"/>
    <cellStyle name="Input 2 2 36 8 2 2" xfId="53380"/>
    <cellStyle name="Input 2 2 36 8 2 3" xfId="53381"/>
    <cellStyle name="Input 2 2 36 8 3" xfId="38100"/>
    <cellStyle name="Input 2 2 36 8 4" xfId="53382"/>
    <cellStyle name="Input 2 2 36 9" xfId="23740"/>
    <cellStyle name="Input 2 2 36 9 2" xfId="53383"/>
    <cellStyle name="Input 2 2 36 9 3" xfId="53384"/>
    <cellStyle name="Input 2 2 37" xfId="15399"/>
    <cellStyle name="Input 2 2 37 10" xfId="53385"/>
    <cellStyle name="Input 2 2 37 11" xfId="53386"/>
    <cellStyle name="Input 2 2 37 2" xfId="16479"/>
    <cellStyle name="Input 2 2 37 2 2" xfId="24792"/>
    <cellStyle name="Input 2 2 37 2 2 2" xfId="53387"/>
    <cellStyle name="Input 2 2 37 2 2 3" xfId="53388"/>
    <cellStyle name="Input 2 2 37 2 3" xfId="32054"/>
    <cellStyle name="Input 2 2 37 2 4" xfId="53389"/>
    <cellStyle name="Input 2 2 37 3" xfId="17445"/>
    <cellStyle name="Input 2 2 37 3 2" xfId="25766"/>
    <cellStyle name="Input 2 2 37 3 2 2" xfId="53390"/>
    <cellStyle name="Input 2 2 37 3 2 3" xfId="53391"/>
    <cellStyle name="Input 2 2 37 3 3" xfId="32987"/>
    <cellStyle name="Input 2 2 37 3 4" xfId="53392"/>
    <cellStyle name="Input 2 2 37 4" xfId="18473"/>
    <cellStyle name="Input 2 2 37 4 2" xfId="26793"/>
    <cellStyle name="Input 2 2 37 4 2 2" xfId="53393"/>
    <cellStyle name="Input 2 2 37 4 2 3" xfId="53394"/>
    <cellStyle name="Input 2 2 37 4 3" xfId="33965"/>
    <cellStyle name="Input 2 2 37 4 4" xfId="53395"/>
    <cellStyle name="Input 2 2 37 5" xfId="19456"/>
    <cellStyle name="Input 2 2 37 5 2" xfId="27777"/>
    <cellStyle name="Input 2 2 37 5 2 2" xfId="53396"/>
    <cellStyle name="Input 2 2 37 5 2 3" xfId="53397"/>
    <cellStyle name="Input 2 2 37 5 3" xfId="34925"/>
    <cellStyle name="Input 2 2 37 5 4" xfId="53398"/>
    <cellStyle name="Input 2 2 37 6" xfId="20425"/>
    <cellStyle name="Input 2 2 37 6 2" xfId="28747"/>
    <cellStyle name="Input 2 2 37 6 2 2" xfId="53399"/>
    <cellStyle name="Input 2 2 37 6 2 3" xfId="53400"/>
    <cellStyle name="Input 2 2 37 6 3" xfId="35857"/>
    <cellStyle name="Input 2 2 37 6 4" xfId="53401"/>
    <cellStyle name="Input 2 2 37 7" xfId="21886"/>
    <cellStyle name="Input 2 2 37 7 2" xfId="30187"/>
    <cellStyle name="Input 2 2 37 7 2 2" xfId="53402"/>
    <cellStyle name="Input 2 2 37 7 2 3" xfId="53403"/>
    <cellStyle name="Input 2 2 37 7 3" xfId="37230"/>
    <cellStyle name="Input 2 2 37 7 4" xfId="53404"/>
    <cellStyle name="Input 2 2 37 8" xfId="22814"/>
    <cellStyle name="Input 2 2 37 8 2" xfId="31110"/>
    <cellStyle name="Input 2 2 37 8 2 2" xfId="53405"/>
    <cellStyle name="Input 2 2 37 8 2 3" xfId="53406"/>
    <cellStyle name="Input 2 2 37 8 3" xfId="38114"/>
    <cellStyle name="Input 2 2 37 8 4" xfId="53407"/>
    <cellStyle name="Input 2 2 37 9" xfId="23756"/>
    <cellStyle name="Input 2 2 37 9 2" xfId="53408"/>
    <cellStyle name="Input 2 2 37 9 3" xfId="53409"/>
    <cellStyle name="Input 2 2 38" xfId="15415"/>
    <cellStyle name="Input 2 2 38 10" xfId="53410"/>
    <cellStyle name="Input 2 2 38 11" xfId="53411"/>
    <cellStyle name="Input 2 2 38 2" xfId="16495"/>
    <cellStyle name="Input 2 2 38 2 2" xfId="24808"/>
    <cellStyle name="Input 2 2 38 2 2 2" xfId="53412"/>
    <cellStyle name="Input 2 2 38 2 2 3" xfId="53413"/>
    <cellStyle name="Input 2 2 38 2 3" xfId="32069"/>
    <cellStyle name="Input 2 2 38 2 4" xfId="53414"/>
    <cellStyle name="Input 2 2 38 3" xfId="17461"/>
    <cellStyle name="Input 2 2 38 3 2" xfId="25782"/>
    <cellStyle name="Input 2 2 38 3 2 2" xfId="53415"/>
    <cellStyle name="Input 2 2 38 3 2 3" xfId="53416"/>
    <cellStyle name="Input 2 2 38 3 3" xfId="33002"/>
    <cellStyle name="Input 2 2 38 3 4" xfId="53417"/>
    <cellStyle name="Input 2 2 38 4" xfId="18489"/>
    <cellStyle name="Input 2 2 38 4 2" xfId="26809"/>
    <cellStyle name="Input 2 2 38 4 2 2" xfId="53418"/>
    <cellStyle name="Input 2 2 38 4 2 3" xfId="53419"/>
    <cellStyle name="Input 2 2 38 4 3" xfId="33980"/>
    <cellStyle name="Input 2 2 38 4 4" xfId="53420"/>
    <cellStyle name="Input 2 2 38 5" xfId="19472"/>
    <cellStyle name="Input 2 2 38 5 2" xfId="27793"/>
    <cellStyle name="Input 2 2 38 5 2 2" xfId="53421"/>
    <cellStyle name="Input 2 2 38 5 2 3" xfId="53422"/>
    <cellStyle name="Input 2 2 38 5 3" xfId="34941"/>
    <cellStyle name="Input 2 2 38 5 4" xfId="53423"/>
    <cellStyle name="Input 2 2 38 6" xfId="20441"/>
    <cellStyle name="Input 2 2 38 6 2" xfId="28763"/>
    <cellStyle name="Input 2 2 38 6 2 2" xfId="53424"/>
    <cellStyle name="Input 2 2 38 6 2 3" xfId="53425"/>
    <cellStyle name="Input 2 2 38 6 3" xfId="35872"/>
    <cellStyle name="Input 2 2 38 6 4" xfId="53426"/>
    <cellStyle name="Input 2 2 38 7" xfId="21902"/>
    <cellStyle name="Input 2 2 38 7 2" xfId="30203"/>
    <cellStyle name="Input 2 2 38 7 2 2" xfId="53427"/>
    <cellStyle name="Input 2 2 38 7 2 3" xfId="53428"/>
    <cellStyle name="Input 2 2 38 7 3" xfId="37245"/>
    <cellStyle name="Input 2 2 38 7 4" xfId="53429"/>
    <cellStyle name="Input 2 2 38 8" xfId="22830"/>
    <cellStyle name="Input 2 2 38 8 2" xfId="31126"/>
    <cellStyle name="Input 2 2 38 8 2 2" xfId="53430"/>
    <cellStyle name="Input 2 2 38 8 2 3" xfId="53431"/>
    <cellStyle name="Input 2 2 38 8 3" xfId="38129"/>
    <cellStyle name="Input 2 2 38 8 4" xfId="53432"/>
    <cellStyle name="Input 2 2 38 9" xfId="23772"/>
    <cellStyle name="Input 2 2 38 9 2" xfId="53433"/>
    <cellStyle name="Input 2 2 38 9 3" xfId="53434"/>
    <cellStyle name="Input 2 2 39" xfId="15429"/>
    <cellStyle name="Input 2 2 39 10" xfId="53435"/>
    <cellStyle name="Input 2 2 39 11" xfId="53436"/>
    <cellStyle name="Input 2 2 39 2" xfId="16509"/>
    <cellStyle name="Input 2 2 39 2 2" xfId="24822"/>
    <cellStyle name="Input 2 2 39 2 2 2" xfId="53437"/>
    <cellStyle name="Input 2 2 39 2 2 3" xfId="53438"/>
    <cellStyle name="Input 2 2 39 2 3" xfId="32083"/>
    <cellStyle name="Input 2 2 39 2 4" xfId="53439"/>
    <cellStyle name="Input 2 2 39 3" xfId="17475"/>
    <cellStyle name="Input 2 2 39 3 2" xfId="25796"/>
    <cellStyle name="Input 2 2 39 3 2 2" xfId="53440"/>
    <cellStyle name="Input 2 2 39 3 2 3" xfId="53441"/>
    <cellStyle name="Input 2 2 39 3 3" xfId="33016"/>
    <cellStyle name="Input 2 2 39 3 4" xfId="53442"/>
    <cellStyle name="Input 2 2 39 4" xfId="18503"/>
    <cellStyle name="Input 2 2 39 4 2" xfId="26823"/>
    <cellStyle name="Input 2 2 39 4 2 2" xfId="53443"/>
    <cellStyle name="Input 2 2 39 4 2 3" xfId="53444"/>
    <cellStyle name="Input 2 2 39 4 3" xfId="33994"/>
    <cellStyle name="Input 2 2 39 4 4" xfId="53445"/>
    <cellStyle name="Input 2 2 39 5" xfId="19486"/>
    <cellStyle name="Input 2 2 39 5 2" xfId="27807"/>
    <cellStyle name="Input 2 2 39 5 2 2" xfId="53446"/>
    <cellStyle name="Input 2 2 39 5 2 3" xfId="53447"/>
    <cellStyle name="Input 2 2 39 5 3" xfId="34955"/>
    <cellStyle name="Input 2 2 39 5 4" xfId="53448"/>
    <cellStyle name="Input 2 2 39 6" xfId="20455"/>
    <cellStyle name="Input 2 2 39 6 2" xfId="28777"/>
    <cellStyle name="Input 2 2 39 6 2 2" xfId="53449"/>
    <cellStyle name="Input 2 2 39 6 2 3" xfId="53450"/>
    <cellStyle name="Input 2 2 39 6 3" xfId="35886"/>
    <cellStyle name="Input 2 2 39 6 4" xfId="53451"/>
    <cellStyle name="Input 2 2 39 7" xfId="21916"/>
    <cellStyle name="Input 2 2 39 7 2" xfId="30217"/>
    <cellStyle name="Input 2 2 39 7 2 2" xfId="53452"/>
    <cellStyle name="Input 2 2 39 7 2 3" xfId="53453"/>
    <cellStyle name="Input 2 2 39 7 3" xfId="37259"/>
    <cellStyle name="Input 2 2 39 7 4" xfId="53454"/>
    <cellStyle name="Input 2 2 39 8" xfId="22844"/>
    <cellStyle name="Input 2 2 39 8 2" xfId="31140"/>
    <cellStyle name="Input 2 2 39 8 2 2" xfId="53455"/>
    <cellStyle name="Input 2 2 39 8 2 3" xfId="53456"/>
    <cellStyle name="Input 2 2 39 8 3" xfId="38143"/>
    <cellStyle name="Input 2 2 39 8 4" xfId="53457"/>
    <cellStyle name="Input 2 2 39 9" xfId="23786"/>
    <cellStyle name="Input 2 2 39 9 2" xfId="53458"/>
    <cellStyle name="Input 2 2 39 9 3" xfId="53459"/>
    <cellStyle name="Input 2 2 4" xfId="137"/>
    <cellStyle name="Input 2 2 4 10" xfId="53460"/>
    <cellStyle name="Input 2 2 4 11" xfId="60822"/>
    <cellStyle name="Input 2 2 4 2" xfId="263"/>
    <cellStyle name="Input 2 2 4 2 2" xfId="673"/>
    <cellStyle name="Input 2 2 4 2 2 2" xfId="1624"/>
    <cellStyle name="Input 2 2 4 2 2 2 2" xfId="783"/>
    <cellStyle name="Input 2 2 4 2 2 2 2 2" xfId="2660"/>
    <cellStyle name="Input 2 2 4 2 2 2 2 2 2" xfId="6080"/>
    <cellStyle name="Input 2 2 4 2 2 2 2 2 2 2" xfId="12920"/>
    <cellStyle name="Input 2 2 4 2 2 2 2 2 3" xfId="9500"/>
    <cellStyle name="Input 2 2 4 2 2 2 2 3" xfId="3800"/>
    <cellStyle name="Input 2 2 4 2 2 2 2 3 2" xfId="7220"/>
    <cellStyle name="Input 2 2 4 2 2 2 2 3 2 2" xfId="14060"/>
    <cellStyle name="Input 2 2 4 2 2 2 2 3 3" xfId="10640"/>
    <cellStyle name="Input 2 2 4 2 2 2 2 4" xfId="4940"/>
    <cellStyle name="Input 2 2 4 2 2 2 2 4 2" xfId="11780"/>
    <cellStyle name="Input 2 2 4 2 2 2 2 5" xfId="8360"/>
    <cellStyle name="Input 2 2 4 2 2 2 3" xfId="2458"/>
    <cellStyle name="Input 2 2 4 2 2 2 3 2" xfId="5878"/>
    <cellStyle name="Input 2 2 4 2 2 2 3 2 2" xfId="12718"/>
    <cellStyle name="Input 2 2 4 2 2 2 3 3" xfId="9298"/>
    <cellStyle name="Input 2 2 4 2 2 2 4" xfId="3598"/>
    <cellStyle name="Input 2 2 4 2 2 2 4 2" xfId="7018"/>
    <cellStyle name="Input 2 2 4 2 2 2 4 2 2" xfId="13858"/>
    <cellStyle name="Input 2 2 4 2 2 2 4 3" xfId="10438"/>
    <cellStyle name="Input 2 2 4 2 2 2 5" xfId="4738"/>
    <cellStyle name="Input 2 2 4 2 2 2 5 2" xfId="11578"/>
    <cellStyle name="Input 2 2 4 2 2 2 6" xfId="8158"/>
    <cellStyle name="Input 2 2 4 2 2 2 7" xfId="61717"/>
    <cellStyle name="Input 2 2 4 2 2 2 8" xfId="62199"/>
    <cellStyle name="Input 2 2 4 2 2 3" xfId="38517"/>
    <cellStyle name="Input 2 2 4 2 2 4" xfId="53461"/>
    <cellStyle name="Input 2 2 4 2 2 5" xfId="53462"/>
    <cellStyle name="Input 2 2 4 2 2 6" xfId="53463"/>
    <cellStyle name="Input 2 2 4 2 2 7" xfId="53464"/>
    <cellStyle name="Input 2 2 4 2 2 8" xfId="61256"/>
    <cellStyle name="Input 2 2 4 2 3" xfId="1270"/>
    <cellStyle name="Input 2 2 4 2 3 2" xfId="1809"/>
    <cellStyle name="Input 2 2 4 2 3 2 2" xfId="2949"/>
    <cellStyle name="Input 2 2 4 2 3 2 2 2" xfId="6369"/>
    <cellStyle name="Input 2 2 4 2 3 2 2 2 2" xfId="13209"/>
    <cellStyle name="Input 2 2 4 2 3 2 2 3" xfId="9789"/>
    <cellStyle name="Input 2 2 4 2 3 2 3" xfId="4089"/>
    <cellStyle name="Input 2 2 4 2 3 2 3 2" xfId="7509"/>
    <cellStyle name="Input 2 2 4 2 3 2 3 2 2" xfId="14349"/>
    <cellStyle name="Input 2 2 4 2 3 2 3 3" xfId="10929"/>
    <cellStyle name="Input 2 2 4 2 3 2 4" xfId="5229"/>
    <cellStyle name="Input 2 2 4 2 3 2 4 2" xfId="12069"/>
    <cellStyle name="Input 2 2 4 2 3 2 5" xfId="8649"/>
    <cellStyle name="Input 2 2 4 2 3 3" xfId="2090"/>
    <cellStyle name="Input 2 2 4 2 3 3 2" xfId="5510"/>
    <cellStyle name="Input 2 2 4 2 3 3 2 2" xfId="12350"/>
    <cellStyle name="Input 2 2 4 2 3 3 3" xfId="8930"/>
    <cellStyle name="Input 2 2 4 2 3 4" xfId="3230"/>
    <cellStyle name="Input 2 2 4 2 3 4 2" xfId="6650"/>
    <cellStyle name="Input 2 2 4 2 3 4 2 2" xfId="13490"/>
    <cellStyle name="Input 2 2 4 2 3 4 3" xfId="10070"/>
    <cellStyle name="Input 2 2 4 2 3 5" xfId="4370"/>
    <cellStyle name="Input 2 2 4 2 3 5 2" xfId="11210"/>
    <cellStyle name="Input 2 2 4 2 3 6" xfId="7790"/>
    <cellStyle name="Input 2 2 4 2 3 7" xfId="61718"/>
    <cellStyle name="Input 2 2 4 2 3 8" xfId="62200"/>
    <cellStyle name="Input 2 2 4 2 4" xfId="15616"/>
    <cellStyle name="Input 2 2 4 2 5" xfId="23929"/>
    <cellStyle name="Input 2 2 4 2 6" xfId="38280"/>
    <cellStyle name="Input 2 2 4 2 7" xfId="53465"/>
    <cellStyle name="Input 2 2 4 2 8" xfId="60946"/>
    <cellStyle name="Input 2 2 4 3" xfId="585"/>
    <cellStyle name="Input 2 2 4 3 2" xfId="1572"/>
    <cellStyle name="Input 2 2 4 3 2 2" xfId="1817"/>
    <cellStyle name="Input 2 2 4 3 2 2 2" xfId="2957"/>
    <cellStyle name="Input 2 2 4 3 2 2 2 2" xfId="6377"/>
    <cellStyle name="Input 2 2 4 3 2 2 2 2 2" xfId="13217"/>
    <cellStyle name="Input 2 2 4 3 2 2 2 3" xfId="9797"/>
    <cellStyle name="Input 2 2 4 3 2 2 3" xfId="4097"/>
    <cellStyle name="Input 2 2 4 3 2 2 3 2" xfId="7517"/>
    <cellStyle name="Input 2 2 4 3 2 2 3 2 2" xfId="14357"/>
    <cellStyle name="Input 2 2 4 3 2 2 3 3" xfId="10937"/>
    <cellStyle name="Input 2 2 4 3 2 2 4" xfId="5237"/>
    <cellStyle name="Input 2 2 4 3 2 2 4 2" xfId="12077"/>
    <cellStyle name="Input 2 2 4 3 2 2 5" xfId="8657"/>
    <cellStyle name="Input 2 2 4 3 2 3" xfId="2397"/>
    <cellStyle name="Input 2 2 4 3 2 3 2" xfId="5817"/>
    <cellStyle name="Input 2 2 4 3 2 3 2 2" xfId="12657"/>
    <cellStyle name="Input 2 2 4 3 2 3 3" xfId="9237"/>
    <cellStyle name="Input 2 2 4 3 2 4" xfId="3537"/>
    <cellStyle name="Input 2 2 4 3 2 4 2" xfId="6957"/>
    <cellStyle name="Input 2 2 4 3 2 4 2 2" xfId="13797"/>
    <cellStyle name="Input 2 2 4 3 2 4 3" xfId="10377"/>
    <cellStyle name="Input 2 2 4 3 2 5" xfId="4677"/>
    <cellStyle name="Input 2 2 4 3 2 5 2" xfId="11517"/>
    <cellStyle name="Input 2 2 4 3 2 6" xfId="8097"/>
    <cellStyle name="Input 2 2 4 3 2 7" xfId="61716"/>
    <cellStyle name="Input 2 2 4 3 2 8" xfId="62198"/>
    <cellStyle name="Input 2 2 4 3 3" xfId="16584"/>
    <cellStyle name="Input 2 2 4 3 4" xfId="24900"/>
    <cellStyle name="Input 2 2 4 3 5" xfId="32160"/>
    <cellStyle name="Input 2 2 4 3 6" xfId="53466"/>
    <cellStyle name="Input 2 2 4 3 7" xfId="53467"/>
    <cellStyle name="Input 2 2 4 3 8" xfId="53468"/>
    <cellStyle name="Input 2 2 4 3 9" xfId="61257"/>
    <cellStyle name="Input 2 2 4 4" xfId="1146"/>
    <cellStyle name="Input 2 2 4 4 10" xfId="61719"/>
    <cellStyle name="Input 2 2 4 4 11" xfId="62201"/>
    <cellStyle name="Input 2 2 4 4 2" xfId="1762"/>
    <cellStyle name="Input 2 2 4 4 2 2" xfId="2902"/>
    <cellStyle name="Input 2 2 4 4 2 2 2" xfId="6322"/>
    <cellStyle name="Input 2 2 4 4 2 2 2 2" xfId="13162"/>
    <cellStyle name="Input 2 2 4 4 2 2 3" xfId="9742"/>
    <cellStyle name="Input 2 2 4 4 2 3" xfId="4042"/>
    <cellStyle name="Input 2 2 4 4 2 3 2" xfId="7462"/>
    <cellStyle name="Input 2 2 4 4 2 3 2 2" xfId="14302"/>
    <cellStyle name="Input 2 2 4 4 2 3 3" xfId="10882"/>
    <cellStyle name="Input 2 2 4 4 2 4" xfId="5182"/>
    <cellStyle name="Input 2 2 4 4 2 4 2" xfId="12022"/>
    <cellStyle name="Input 2 2 4 4 2 5" xfId="8602"/>
    <cellStyle name="Input 2 2 4 4 3" xfId="1965"/>
    <cellStyle name="Input 2 2 4 4 3 2" xfId="5385"/>
    <cellStyle name="Input 2 2 4 4 3 2 2" xfId="12225"/>
    <cellStyle name="Input 2 2 4 4 3 3" xfId="8805"/>
    <cellStyle name="Input 2 2 4 4 4" xfId="3105"/>
    <cellStyle name="Input 2 2 4 4 4 2" xfId="6525"/>
    <cellStyle name="Input 2 2 4 4 4 2 2" xfId="13365"/>
    <cellStyle name="Input 2 2 4 4 4 3" xfId="9945"/>
    <cellStyle name="Input 2 2 4 4 5" xfId="4245"/>
    <cellStyle name="Input 2 2 4 4 5 2" xfId="11085"/>
    <cellStyle name="Input 2 2 4 4 6" xfId="7665"/>
    <cellStyle name="Input 2 2 4 4 7" xfId="17603"/>
    <cellStyle name="Input 2 2 4 4 8" xfId="25925"/>
    <cellStyle name="Input 2 2 4 4 9" xfId="33137"/>
    <cellStyle name="Input 2 2 4 5" xfId="18584"/>
    <cellStyle name="Input 2 2 4 5 2" xfId="26903"/>
    <cellStyle name="Input 2 2 4 5 2 2" xfId="53469"/>
    <cellStyle name="Input 2 2 4 5 2 3" xfId="53470"/>
    <cellStyle name="Input 2 2 4 5 3" xfId="34072"/>
    <cellStyle name="Input 2 2 4 5 4" xfId="53471"/>
    <cellStyle name="Input 2 2 4 6" xfId="19552"/>
    <cellStyle name="Input 2 2 4 6 2" xfId="27873"/>
    <cellStyle name="Input 2 2 4 6 2 2" xfId="53472"/>
    <cellStyle name="Input 2 2 4 6 2 3" xfId="53473"/>
    <cellStyle name="Input 2 2 4 6 3" xfId="35020"/>
    <cellStyle name="Input 2 2 4 6 4" xfId="53474"/>
    <cellStyle name="Input 2 2 4 7" xfId="20510"/>
    <cellStyle name="Input 2 2 4 7 2" xfId="28832"/>
    <cellStyle name="Input 2 2 4 7 2 2" xfId="53475"/>
    <cellStyle name="Input 2 2 4 7 2 3" xfId="53476"/>
    <cellStyle name="Input 2 2 4 7 3" xfId="35937"/>
    <cellStyle name="Input 2 2 4 7 4" xfId="53477"/>
    <cellStyle name="Input 2 2 4 8" xfId="22893"/>
    <cellStyle name="Input 2 2 4 8 2" xfId="53478"/>
    <cellStyle name="Input 2 2 4 8 3" xfId="53479"/>
    <cellStyle name="Input 2 2 4 9" xfId="53480"/>
    <cellStyle name="Input 2 2 40" xfId="15443"/>
    <cellStyle name="Input 2 2 40 10" xfId="53481"/>
    <cellStyle name="Input 2 2 40 11" xfId="53482"/>
    <cellStyle name="Input 2 2 40 2" xfId="16523"/>
    <cellStyle name="Input 2 2 40 2 2" xfId="24836"/>
    <cellStyle name="Input 2 2 40 2 2 2" xfId="53483"/>
    <cellStyle name="Input 2 2 40 2 2 3" xfId="53484"/>
    <cellStyle name="Input 2 2 40 2 3" xfId="32097"/>
    <cellStyle name="Input 2 2 40 2 4" xfId="53485"/>
    <cellStyle name="Input 2 2 40 3" xfId="17489"/>
    <cellStyle name="Input 2 2 40 3 2" xfId="25810"/>
    <cellStyle name="Input 2 2 40 3 2 2" xfId="53486"/>
    <cellStyle name="Input 2 2 40 3 2 3" xfId="53487"/>
    <cellStyle name="Input 2 2 40 3 3" xfId="33030"/>
    <cellStyle name="Input 2 2 40 3 4" xfId="53488"/>
    <cellStyle name="Input 2 2 40 4" xfId="18517"/>
    <cellStyle name="Input 2 2 40 4 2" xfId="26837"/>
    <cellStyle name="Input 2 2 40 4 2 2" xfId="53489"/>
    <cellStyle name="Input 2 2 40 4 2 3" xfId="53490"/>
    <cellStyle name="Input 2 2 40 4 3" xfId="34008"/>
    <cellStyle name="Input 2 2 40 4 4" xfId="53491"/>
    <cellStyle name="Input 2 2 40 5" xfId="19500"/>
    <cellStyle name="Input 2 2 40 5 2" xfId="27821"/>
    <cellStyle name="Input 2 2 40 5 2 2" xfId="53492"/>
    <cellStyle name="Input 2 2 40 5 2 3" xfId="53493"/>
    <cellStyle name="Input 2 2 40 5 3" xfId="34969"/>
    <cellStyle name="Input 2 2 40 5 4" xfId="53494"/>
    <cellStyle name="Input 2 2 40 6" xfId="20469"/>
    <cellStyle name="Input 2 2 40 6 2" xfId="28791"/>
    <cellStyle name="Input 2 2 40 6 2 2" xfId="53495"/>
    <cellStyle name="Input 2 2 40 6 2 3" xfId="53496"/>
    <cellStyle name="Input 2 2 40 6 3" xfId="35900"/>
    <cellStyle name="Input 2 2 40 6 4" xfId="53497"/>
    <cellStyle name="Input 2 2 40 7" xfId="21930"/>
    <cellStyle name="Input 2 2 40 7 2" xfId="30231"/>
    <cellStyle name="Input 2 2 40 7 2 2" xfId="53498"/>
    <cellStyle name="Input 2 2 40 7 2 3" xfId="53499"/>
    <cellStyle name="Input 2 2 40 7 3" xfId="37273"/>
    <cellStyle name="Input 2 2 40 7 4" xfId="53500"/>
    <cellStyle name="Input 2 2 40 8" xfId="22858"/>
    <cellStyle name="Input 2 2 40 8 2" xfId="31154"/>
    <cellStyle name="Input 2 2 40 8 2 2" xfId="53501"/>
    <cellStyle name="Input 2 2 40 8 2 3" xfId="53502"/>
    <cellStyle name="Input 2 2 40 8 3" xfId="38157"/>
    <cellStyle name="Input 2 2 40 8 4" xfId="53503"/>
    <cellStyle name="Input 2 2 40 9" xfId="23800"/>
    <cellStyle name="Input 2 2 40 9 2" xfId="53504"/>
    <cellStyle name="Input 2 2 40 9 3" xfId="53505"/>
    <cellStyle name="Input 2 2 41" xfId="15346"/>
    <cellStyle name="Input 2 2 41 10" xfId="53506"/>
    <cellStyle name="Input 2 2 41 11" xfId="53507"/>
    <cellStyle name="Input 2 2 41 2" xfId="16426"/>
    <cellStyle name="Input 2 2 41 2 2" xfId="24739"/>
    <cellStyle name="Input 2 2 41 2 2 2" xfId="53508"/>
    <cellStyle name="Input 2 2 41 2 2 3" xfId="53509"/>
    <cellStyle name="Input 2 2 41 2 3" xfId="32004"/>
    <cellStyle name="Input 2 2 41 2 4" xfId="53510"/>
    <cellStyle name="Input 2 2 41 3" xfId="17392"/>
    <cellStyle name="Input 2 2 41 3 2" xfId="25713"/>
    <cellStyle name="Input 2 2 41 3 2 2" xfId="53511"/>
    <cellStyle name="Input 2 2 41 3 2 3" xfId="53512"/>
    <cellStyle name="Input 2 2 41 3 3" xfId="32937"/>
    <cellStyle name="Input 2 2 41 3 4" xfId="53513"/>
    <cellStyle name="Input 2 2 41 4" xfId="18420"/>
    <cellStyle name="Input 2 2 41 4 2" xfId="26740"/>
    <cellStyle name="Input 2 2 41 4 2 2" xfId="53514"/>
    <cellStyle name="Input 2 2 41 4 2 3" xfId="53515"/>
    <cellStyle name="Input 2 2 41 4 3" xfId="33915"/>
    <cellStyle name="Input 2 2 41 4 4" xfId="53516"/>
    <cellStyle name="Input 2 2 41 5" xfId="19403"/>
    <cellStyle name="Input 2 2 41 5 2" xfId="27724"/>
    <cellStyle name="Input 2 2 41 5 2 2" xfId="53517"/>
    <cellStyle name="Input 2 2 41 5 2 3" xfId="53518"/>
    <cellStyle name="Input 2 2 41 5 3" xfId="34872"/>
    <cellStyle name="Input 2 2 41 5 4" xfId="53519"/>
    <cellStyle name="Input 2 2 41 6" xfId="20372"/>
    <cellStyle name="Input 2 2 41 6 2" xfId="28694"/>
    <cellStyle name="Input 2 2 41 6 2 2" xfId="53520"/>
    <cellStyle name="Input 2 2 41 6 2 3" xfId="53521"/>
    <cellStyle name="Input 2 2 41 6 3" xfId="35807"/>
    <cellStyle name="Input 2 2 41 6 4" xfId="53522"/>
    <cellStyle name="Input 2 2 41 7" xfId="21833"/>
    <cellStyle name="Input 2 2 41 7 2" xfId="30134"/>
    <cellStyle name="Input 2 2 41 7 2 2" xfId="53523"/>
    <cellStyle name="Input 2 2 41 7 2 3" xfId="53524"/>
    <cellStyle name="Input 2 2 41 7 3" xfId="37181"/>
    <cellStyle name="Input 2 2 41 7 4" xfId="53525"/>
    <cellStyle name="Input 2 2 41 8" xfId="22761"/>
    <cellStyle name="Input 2 2 41 8 2" xfId="31057"/>
    <cellStyle name="Input 2 2 41 8 2 2" xfId="53526"/>
    <cellStyle name="Input 2 2 41 8 2 3" xfId="53527"/>
    <cellStyle name="Input 2 2 41 8 3" xfId="38064"/>
    <cellStyle name="Input 2 2 41 8 4" xfId="53528"/>
    <cellStyle name="Input 2 2 41 9" xfId="23703"/>
    <cellStyle name="Input 2 2 41 9 2" xfId="53529"/>
    <cellStyle name="Input 2 2 41 9 3" xfId="53530"/>
    <cellStyle name="Input 2 2 42" xfId="15475"/>
    <cellStyle name="Input 2 2 42 10" xfId="53531"/>
    <cellStyle name="Input 2 2 42 11" xfId="53532"/>
    <cellStyle name="Input 2 2 42 2" xfId="16549"/>
    <cellStyle name="Input 2 2 42 2 2" xfId="24862"/>
    <cellStyle name="Input 2 2 42 2 2 2" xfId="53533"/>
    <cellStyle name="Input 2 2 42 2 2 3" xfId="53534"/>
    <cellStyle name="Input 2 2 42 2 3" xfId="32122"/>
    <cellStyle name="Input 2 2 42 2 4" xfId="53535"/>
    <cellStyle name="Input 2 2 42 3" xfId="17521"/>
    <cellStyle name="Input 2 2 42 3 2" xfId="25841"/>
    <cellStyle name="Input 2 2 42 3 2 2" xfId="53536"/>
    <cellStyle name="Input 2 2 42 3 2 3" xfId="53537"/>
    <cellStyle name="Input 2 2 42 3 3" xfId="33059"/>
    <cellStyle name="Input 2 2 42 3 4" xfId="53538"/>
    <cellStyle name="Input 2 2 42 4" xfId="18548"/>
    <cellStyle name="Input 2 2 42 4 2" xfId="26865"/>
    <cellStyle name="Input 2 2 42 4 2 2" xfId="53539"/>
    <cellStyle name="Input 2 2 42 4 2 3" xfId="53540"/>
    <cellStyle name="Input 2 2 42 4 3" xfId="34035"/>
    <cellStyle name="Input 2 2 42 4 4" xfId="53541"/>
    <cellStyle name="Input 2 2 42 5" xfId="19532"/>
    <cellStyle name="Input 2 2 42 5 2" xfId="27853"/>
    <cellStyle name="Input 2 2 42 5 2 2" xfId="53542"/>
    <cellStyle name="Input 2 2 42 5 2 3" xfId="53543"/>
    <cellStyle name="Input 2 2 42 5 3" xfId="35001"/>
    <cellStyle name="Input 2 2 42 5 4" xfId="53544"/>
    <cellStyle name="Input 2 2 42 6" xfId="20496"/>
    <cellStyle name="Input 2 2 42 6 2" xfId="28818"/>
    <cellStyle name="Input 2 2 42 6 2 2" xfId="53545"/>
    <cellStyle name="Input 2 2 42 6 2 3" xfId="53546"/>
    <cellStyle name="Input 2 2 42 6 3" xfId="35925"/>
    <cellStyle name="Input 2 2 42 6 4" xfId="53547"/>
    <cellStyle name="Input 2 2 42 7" xfId="21956"/>
    <cellStyle name="Input 2 2 42 7 2" xfId="30257"/>
    <cellStyle name="Input 2 2 42 7 2 2" xfId="53548"/>
    <cellStyle name="Input 2 2 42 7 2 3" xfId="53549"/>
    <cellStyle name="Input 2 2 42 7 3" xfId="37297"/>
    <cellStyle name="Input 2 2 42 7 4" xfId="53550"/>
    <cellStyle name="Input 2 2 42 8" xfId="22880"/>
    <cellStyle name="Input 2 2 42 8 2" xfId="31176"/>
    <cellStyle name="Input 2 2 42 8 2 2" xfId="53551"/>
    <cellStyle name="Input 2 2 42 8 2 3" xfId="53552"/>
    <cellStyle name="Input 2 2 42 8 3" xfId="38178"/>
    <cellStyle name="Input 2 2 42 8 4" xfId="53553"/>
    <cellStyle name="Input 2 2 42 9" xfId="23825"/>
    <cellStyle name="Input 2 2 42 9 2" xfId="53554"/>
    <cellStyle name="Input 2 2 42 9 3" xfId="53555"/>
    <cellStyle name="Input 2 2 43" xfId="15517"/>
    <cellStyle name="Input 2 2 43 2" xfId="23856"/>
    <cellStyle name="Input 2 2 43 2 2" xfId="53556"/>
    <cellStyle name="Input 2 2 43 2 3" xfId="53557"/>
    <cellStyle name="Input 2 2 43 3" xfId="31203"/>
    <cellStyle name="Input 2 2 43 4" xfId="53558"/>
    <cellStyle name="Input 2 2 44" xfId="17541"/>
    <cellStyle name="Input 2 2 44 2" xfId="25859"/>
    <cellStyle name="Input 2 2 44 2 2" xfId="53559"/>
    <cellStyle name="Input 2 2 44 2 3" xfId="53560"/>
    <cellStyle name="Input 2 2 44 3" xfId="33076"/>
    <cellStyle name="Input 2 2 44 4" xfId="53561"/>
    <cellStyle name="Input 2 2 45" xfId="15561"/>
    <cellStyle name="Input 2 2 45 2" xfId="23888"/>
    <cellStyle name="Input 2 2 45 2 2" xfId="53562"/>
    <cellStyle name="Input 2 2 45 2 3" xfId="53563"/>
    <cellStyle name="Input 2 2 45 3" xfId="31232"/>
    <cellStyle name="Input 2 2 45 4" xfId="53564"/>
    <cellStyle name="Input 2 2 46" xfId="21125"/>
    <cellStyle name="Input 2 2 46 2" xfId="29439"/>
    <cellStyle name="Input 2 2 46 2 2" xfId="53565"/>
    <cellStyle name="Input 2 2 46 2 3" xfId="53566"/>
    <cellStyle name="Input 2 2 46 3" xfId="36512"/>
    <cellStyle name="Input 2 2 46 4" xfId="53567"/>
    <cellStyle name="Input 2 2 47" xfId="17796"/>
    <cellStyle name="Input 2 2 47 2" xfId="53568"/>
    <cellStyle name="Input 2 2 47 3" xfId="53569"/>
    <cellStyle name="Input 2 2 48" xfId="53570"/>
    <cellStyle name="Input 2 2 49" xfId="53571"/>
    <cellStyle name="Input 2 2 5" xfId="304"/>
    <cellStyle name="Input 2 2 5 10" xfId="14598"/>
    <cellStyle name="Input 2 2 5 11" xfId="22958"/>
    <cellStyle name="Input 2 2 5 12" xfId="53572"/>
    <cellStyle name="Input 2 2 5 13" xfId="53573"/>
    <cellStyle name="Input 2 2 5 14" xfId="53574"/>
    <cellStyle name="Input 2 2 5 15" xfId="60986"/>
    <cellStyle name="Input 2 2 5 2" xfId="551"/>
    <cellStyle name="Input 2 2 5 2 2" xfId="1555"/>
    <cellStyle name="Input 2 2 5 2 2 2" xfId="1869"/>
    <cellStyle name="Input 2 2 5 2 2 2 2" xfId="3009"/>
    <cellStyle name="Input 2 2 5 2 2 2 2 2" xfId="6429"/>
    <cellStyle name="Input 2 2 5 2 2 2 2 2 2" xfId="13269"/>
    <cellStyle name="Input 2 2 5 2 2 2 2 3" xfId="9849"/>
    <cellStyle name="Input 2 2 5 2 2 2 3" xfId="4149"/>
    <cellStyle name="Input 2 2 5 2 2 2 3 2" xfId="7569"/>
    <cellStyle name="Input 2 2 5 2 2 2 3 2 2" xfId="14409"/>
    <cellStyle name="Input 2 2 5 2 2 2 3 3" xfId="10989"/>
    <cellStyle name="Input 2 2 5 2 2 2 4" xfId="5289"/>
    <cellStyle name="Input 2 2 5 2 2 2 4 2" xfId="12129"/>
    <cellStyle name="Input 2 2 5 2 2 2 5" xfId="8709"/>
    <cellStyle name="Input 2 2 5 2 2 3" xfId="2376"/>
    <cellStyle name="Input 2 2 5 2 2 3 2" xfId="5796"/>
    <cellStyle name="Input 2 2 5 2 2 3 2 2" xfId="12636"/>
    <cellStyle name="Input 2 2 5 2 2 3 3" xfId="9216"/>
    <cellStyle name="Input 2 2 5 2 2 4" xfId="3516"/>
    <cellStyle name="Input 2 2 5 2 2 4 2" xfId="6936"/>
    <cellStyle name="Input 2 2 5 2 2 4 2 2" xfId="13776"/>
    <cellStyle name="Input 2 2 5 2 2 4 3" xfId="10356"/>
    <cellStyle name="Input 2 2 5 2 2 5" xfId="4656"/>
    <cellStyle name="Input 2 2 5 2 2 5 2" xfId="11496"/>
    <cellStyle name="Input 2 2 5 2 2 6" xfId="8076"/>
    <cellStyle name="Input 2 2 5 2 2 7" xfId="61509"/>
    <cellStyle name="Input 2 2 5 2 2 8" xfId="62060"/>
    <cellStyle name="Input 2 2 5 2 3" xfId="15678"/>
    <cellStyle name="Input 2 2 5 2 4" xfId="23993"/>
    <cellStyle name="Input 2 2 5 2 5" xfId="31288"/>
    <cellStyle name="Input 2 2 5 2 6" xfId="53575"/>
    <cellStyle name="Input 2 2 5 2 7" xfId="53576"/>
    <cellStyle name="Input 2 2 5 2 8" xfId="53577"/>
    <cellStyle name="Input 2 2 5 2 9" xfId="61231"/>
    <cellStyle name="Input 2 2 5 3" xfId="1310"/>
    <cellStyle name="Input 2 2 5 3 10" xfId="61715"/>
    <cellStyle name="Input 2 2 5 3 11" xfId="62197"/>
    <cellStyle name="Input 2 2 5 3 2" xfId="973"/>
    <cellStyle name="Input 2 2 5 3 2 2" xfId="2793"/>
    <cellStyle name="Input 2 2 5 3 2 2 2" xfId="6213"/>
    <cellStyle name="Input 2 2 5 3 2 2 2 2" xfId="13053"/>
    <cellStyle name="Input 2 2 5 3 2 2 3" xfId="9633"/>
    <cellStyle name="Input 2 2 5 3 2 3" xfId="3933"/>
    <cellStyle name="Input 2 2 5 3 2 3 2" xfId="7353"/>
    <cellStyle name="Input 2 2 5 3 2 3 2 2" xfId="14193"/>
    <cellStyle name="Input 2 2 5 3 2 3 3" xfId="10773"/>
    <cellStyle name="Input 2 2 5 3 2 4" xfId="5073"/>
    <cellStyle name="Input 2 2 5 3 2 4 2" xfId="11913"/>
    <cellStyle name="Input 2 2 5 3 2 5" xfId="8493"/>
    <cellStyle name="Input 2 2 5 3 3" xfId="2130"/>
    <cellStyle name="Input 2 2 5 3 3 2" xfId="5550"/>
    <cellStyle name="Input 2 2 5 3 3 2 2" xfId="12390"/>
    <cellStyle name="Input 2 2 5 3 3 3" xfId="8970"/>
    <cellStyle name="Input 2 2 5 3 4" xfId="3270"/>
    <cellStyle name="Input 2 2 5 3 4 2" xfId="6690"/>
    <cellStyle name="Input 2 2 5 3 4 2 2" xfId="13530"/>
    <cellStyle name="Input 2 2 5 3 4 3" xfId="10110"/>
    <cellStyle name="Input 2 2 5 3 5" xfId="4410"/>
    <cellStyle name="Input 2 2 5 3 5 2" xfId="11250"/>
    <cellStyle name="Input 2 2 5 3 6" xfId="7830"/>
    <cellStyle name="Input 2 2 5 3 7" xfId="16645"/>
    <cellStyle name="Input 2 2 5 3 8" xfId="24964"/>
    <cellStyle name="Input 2 2 5 3 9" xfId="32221"/>
    <cellStyle name="Input 2 2 5 4" xfId="17666"/>
    <cellStyle name="Input 2 2 5 4 2" xfId="25990"/>
    <cellStyle name="Input 2 2 5 4 2 2" xfId="53578"/>
    <cellStyle name="Input 2 2 5 4 2 3" xfId="53579"/>
    <cellStyle name="Input 2 2 5 4 3" xfId="33198"/>
    <cellStyle name="Input 2 2 5 4 4" xfId="53580"/>
    <cellStyle name="Input 2 2 5 5" xfId="18649"/>
    <cellStyle name="Input 2 2 5 5 2" xfId="26970"/>
    <cellStyle name="Input 2 2 5 5 2 2" xfId="53581"/>
    <cellStyle name="Input 2 2 5 5 2 3" xfId="53582"/>
    <cellStyle name="Input 2 2 5 5 3" xfId="34136"/>
    <cellStyle name="Input 2 2 5 5 4" xfId="53583"/>
    <cellStyle name="Input 2 2 5 6" xfId="19618"/>
    <cellStyle name="Input 2 2 5 6 2" xfId="27939"/>
    <cellStyle name="Input 2 2 5 6 2 2" xfId="53584"/>
    <cellStyle name="Input 2 2 5 6 2 3" xfId="53585"/>
    <cellStyle name="Input 2 2 5 6 3" xfId="35082"/>
    <cellStyle name="Input 2 2 5 6 4" xfId="53586"/>
    <cellStyle name="Input 2 2 5 7" xfId="20575"/>
    <cellStyle name="Input 2 2 5 7 2" xfId="28897"/>
    <cellStyle name="Input 2 2 5 7 2 2" xfId="53587"/>
    <cellStyle name="Input 2 2 5 7 2 3" xfId="53588"/>
    <cellStyle name="Input 2 2 5 7 3" xfId="35998"/>
    <cellStyle name="Input 2 2 5 7 4" xfId="53589"/>
    <cellStyle name="Input 2 2 5 8" xfId="21297"/>
    <cellStyle name="Input 2 2 5 8 2" xfId="29604"/>
    <cellStyle name="Input 2 2 5 8 2 2" xfId="53590"/>
    <cellStyle name="Input 2 2 5 8 2 3" xfId="53591"/>
    <cellStyle name="Input 2 2 5 8 3" xfId="36671"/>
    <cellStyle name="Input 2 2 5 8 4" xfId="53592"/>
    <cellStyle name="Input 2 2 5 9" xfId="22012"/>
    <cellStyle name="Input 2 2 5 9 2" xfId="30311"/>
    <cellStyle name="Input 2 2 5 9 2 2" xfId="53593"/>
    <cellStyle name="Input 2 2 5 9 2 3" xfId="53594"/>
    <cellStyle name="Input 2 2 5 9 3" xfId="37349"/>
    <cellStyle name="Input 2 2 5 9 4" xfId="53595"/>
    <cellStyle name="Input 2 2 50" xfId="60771"/>
    <cellStyle name="Input 2 2 6" xfId="201"/>
    <cellStyle name="Input 2 2 6 10" xfId="14616"/>
    <cellStyle name="Input 2 2 6 11" xfId="22976"/>
    <cellStyle name="Input 2 2 6 12" xfId="53596"/>
    <cellStyle name="Input 2 2 6 13" xfId="53597"/>
    <cellStyle name="Input 2 2 6 14" xfId="53598"/>
    <cellStyle name="Input 2 2 6 15" xfId="60885"/>
    <cellStyle name="Input 2 2 6 2" xfId="198"/>
    <cellStyle name="Input 2 2 6 2 2" xfId="1206"/>
    <cellStyle name="Input 2 2 6 2 2 2" xfId="1767"/>
    <cellStyle name="Input 2 2 6 2 2 2 2" xfId="2907"/>
    <cellStyle name="Input 2 2 6 2 2 2 2 2" xfId="6327"/>
    <cellStyle name="Input 2 2 6 2 2 2 2 2 2" xfId="13167"/>
    <cellStyle name="Input 2 2 6 2 2 2 2 3" xfId="9747"/>
    <cellStyle name="Input 2 2 6 2 2 2 3" xfId="4047"/>
    <cellStyle name="Input 2 2 6 2 2 2 3 2" xfId="7467"/>
    <cellStyle name="Input 2 2 6 2 2 2 3 2 2" xfId="14307"/>
    <cellStyle name="Input 2 2 6 2 2 2 3 3" xfId="10887"/>
    <cellStyle name="Input 2 2 6 2 2 2 4" xfId="5187"/>
    <cellStyle name="Input 2 2 6 2 2 2 4 2" xfId="12027"/>
    <cellStyle name="Input 2 2 6 2 2 2 5" xfId="8607"/>
    <cellStyle name="Input 2 2 6 2 2 3" xfId="2025"/>
    <cellStyle name="Input 2 2 6 2 2 3 2" xfId="5445"/>
    <cellStyle name="Input 2 2 6 2 2 3 2 2" xfId="12285"/>
    <cellStyle name="Input 2 2 6 2 2 3 3" xfId="8865"/>
    <cellStyle name="Input 2 2 6 2 2 4" xfId="3165"/>
    <cellStyle name="Input 2 2 6 2 2 4 2" xfId="6585"/>
    <cellStyle name="Input 2 2 6 2 2 4 2 2" xfId="13425"/>
    <cellStyle name="Input 2 2 6 2 2 4 3" xfId="10005"/>
    <cellStyle name="Input 2 2 6 2 2 5" xfId="4305"/>
    <cellStyle name="Input 2 2 6 2 2 5 2" xfId="11145"/>
    <cellStyle name="Input 2 2 6 2 2 6" xfId="7725"/>
    <cellStyle name="Input 2 2 6 2 2 7" xfId="61712"/>
    <cellStyle name="Input 2 2 6 2 2 8" xfId="62195"/>
    <cellStyle name="Input 2 2 6 2 3" xfId="15696"/>
    <cellStyle name="Input 2 2 6 2 4" xfId="24011"/>
    <cellStyle name="Input 2 2 6 2 5" xfId="31305"/>
    <cellStyle name="Input 2 2 6 2 6" xfId="53599"/>
    <cellStyle name="Input 2 2 6 2 7" xfId="53600"/>
    <cellStyle name="Input 2 2 6 2 8" xfId="53601"/>
    <cellStyle name="Input 2 2 6 2 9" xfId="60882"/>
    <cellStyle name="Input 2 2 6 3" xfId="1209"/>
    <cellStyle name="Input 2 2 6 3 10" xfId="61713"/>
    <cellStyle name="Input 2 2 6 3 11" xfId="62196"/>
    <cellStyle name="Input 2 2 6 3 2" xfId="1680"/>
    <cellStyle name="Input 2 2 6 3 2 2" xfId="2820"/>
    <cellStyle name="Input 2 2 6 3 2 2 2" xfId="6240"/>
    <cellStyle name="Input 2 2 6 3 2 2 2 2" xfId="13080"/>
    <cellStyle name="Input 2 2 6 3 2 2 3" xfId="9660"/>
    <cellStyle name="Input 2 2 6 3 2 3" xfId="3960"/>
    <cellStyle name="Input 2 2 6 3 2 3 2" xfId="7380"/>
    <cellStyle name="Input 2 2 6 3 2 3 2 2" xfId="14220"/>
    <cellStyle name="Input 2 2 6 3 2 3 3" xfId="10800"/>
    <cellStyle name="Input 2 2 6 3 2 4" xfId="5100"/>
    <cellStyle name="Input 2 2 6 3 2 4 2" xfId="11940"/>
    <cellStyle name="Input 2 2 6 3 2 5" xfId="8520"/>
    <cellStyle name="Input 2 2 6 3 3" xfId="2028"/>
    <cellStyle name="Input 2 2 6 3 3 2" xfId="5448"/>
    <cellStyle name="Input 2 2 6 3 3 2 2" xfId="12288"/>
    <cellStyle name="Input 2 2 6 3 3 3" xfId="8868"/>
    <cellStyle name="Input 2 2 6 3 4" xfId="3168"/>
    <cellStyle name="Input 2 2 6 3 4 2" xfId="6588"/>
    <cellStyle name="Input 2 2 6 3 4 2 2" xfId="13428"/>
    <cellStyle name="Input 2 2 6 3 4 3" xfId="10008"/>
    <cellStyle name="Input 2 2 6 3 5" xfId="4308"/>
    <cellStyle name="Input 2 2 6 3 5 2" xfId="11148"/>
    <cellStyle name="Input 2 2 6 3 6" xfId="7728"/>
    <cellStyle name="Input 2 2 6 3 7" xfId="16663"/>
    <cellStyle name="Input 2 2 6 3 8" xfId="24982"/>
    <cellStyle name="Input 2 2 6 3 9" xfId="32238"/>
    <cellStyle name="Input 2 2 6 4" xfId="17685"/>
    <cellStyle name="Input 2 2 6 4 2" xfId="26008"/>
    <cellStyle name="Input 2 2 6 4 2 2" xfId="53602"/>
    <cellStyle name="Input 2 2 6 4 2 3" xfId="53603"/>
    <cellStyle name="Input 2 2 6 4 3" xfId="33215"/>
    <cellStyle name="Input 2 2 6 4 4" xfId="53604"/>
    <cellStyle name="Input 2 2 6 5" xfId="18668"/>
    <cellStyle name="Input 2 2 6 5 2" xfId="26989"/>
    <cellStyle name="Input 2 2 6 5 2 2" xfId="53605"/>
    <cellStyle name="Input 2 2 6 5 2 3" xfId="53606"/>
    <cellStyle name="Input 2 2 6 5 3" xfId="34154"/>
    <cellStyle name="Input 2 2 6 5 4" xfId="53607"/>
    <cellStyle name="Input 2 2 6 6" xfId="19637"/>
    <cellStyle name="Input 2 2 6 6 2" xfId="27958"/>
    <cellStyle name="Input 2 2 6 6 2 2" xfId="53608"/>
    <cellStyle name="Input 2 2 6 6 2 3" xfId="53609"/>
    <cellStyle name="Input 2 2 6 6 3" xfId="35100"/>
    <cellStyle name="Input 2 2 6 6 4" xfId="53610"/>
    <cellStyle name="Input 2 2 6 7" xfId="20594"/>
    <cellStyle name="Input 2 2 6 7 2" xfId="28915"/>
    <cellStyle name="Input 2 2 6 7 2 2" xfId="53611"/>
    <cellStyle name="Input 2 2 6 7 2 3" xfId="53612"/>
    <cellStyle name="Input 2 2 6 7 3" xfId="36015"/>
    <cellStyle name="Input 2 2 6 7 4" xfId="53613"/>
    <cellStyle name="Input 2 2 6 8" xfId="21319"/>
    <cellStyle name="Input 2 2 6 8 2" xfId="29625"/>
    <cellStyle name="Input 2 2 6 8 2 2" xfId="53614"/>
    <cellStyle name="Input 2 2 6 8 2 3" xfId="53615"/>
    <cellStyle name="Input 2 2 6 8 3" xfId="36692"/>
    <cellStyle name="Input 2 2 6 8 4" xfId="53616"/>
    <cellStyle name="Input 2 2 6 9" xfId="22031"/>
    <cellStyle name="Input 2 2 6 9 2" xfId="30329"/>
    <cellStyle name="Input 2 2 6 9 2 2" xfId="53617"/>
    <cellStyle name="Input 2 2 6 9 2 3" xfId="53618"/>
    <cellStyle name="Input 2 2 6 9 3" xfId="37366"/>
    <cellStyle name="Input 2 2 6 9 4" xfId="53619"/>
    <cellStyle name="Input 2 2 7" xfId="416"/>
    <cellStyle name="Input 2 2 7 10" xfId="14573"/>
    <cellStyle name="Input 2 2 7 11" xfId="22931"/>
    <cellStyle name="Input 2 2 7 12" xfId="53620"/>
    <cellStyle name="Input 2 2 7 13" xfId="53621"/>
    <cellStyle name="Input 2 2 7 14" xfId="53622"/>
    <cellStyle name="Input 2 2 7 15" xfId="61097"/>
    <cellStyle name="Input 2 2 7 2" xfId="177"/>
    <cellStyle name="Input 2 2 7 2 2" xfId="1185"/>
    <cellStyle name="Input 2 2 7 2 2 2" xfId="1846"/>
    <cellStyle name="Input 2 2 7 2 2 2 2" xfId="2986"/>
    <cellStyle name="Input 2 2 7 2 2 2 2 2" xfId="6406"/>
    <cellStyle name="Input 2 2 7 2 2 2 2 2 2" xfId="13246"/>
    <cellStyle name="Input 2 2 7 2 2 2 2 3" xfId="9826"/>
    <cellStyle name="Input 2 2 7 2 2 2 3" xfId="4126"/>
    <cellStyle name="Input 2 2 7 2 2 2 3 2" xfId="7546"/>
    <cellStyle name="Input 2 2 7 2 2 2 3 2 2" xfId="14386"/>
    <cellStyle name="Input 2 2 7 2 2 2 3 3" xfId="10966"/>
    <cellStyle name="Input 2 2 7 2 2 2 4" xfId="5266"/>
    <cellStyle name="Input 2 2 7 2 2 2 4 2" xfId="12106"/>
    <cellStyle name="Input 2 2 7 2 2 2 5" xfId="8686"/>
    <cellStyle name="Input 2 2 7 2 2 3" xfId="2004"/>
    <cellStyle name="Input 2 2 7 2 2 3 2" xfId="5424"/>
    <cellStyle name="Input 2 2 7 2 2 3 2 2" xfId="12264"/>
    <cellStyle name="Input 2 2 7 2 2 3 3" xfId="8844"/>
    <cellStyle name="Input 2 2 7 2 2 4" xfId="3144"/>
    <cellStyle name="Input 2 2 7 2 2 4 2" xfId="6564"/>
    <cellStyle name="Input 2 2 7 2 2 4 2 2" xfId="13404"/>
    <cellStyle name="Input 2 2 7 2 2 4 3" xfId="9984"/>
    <cellStyle name="Input 2 2 7 2 2 5" xfId="4284"/>
    <cellStyle name="Input 2 2 7 2 2 5 2" xfId="11124"/>
    <cellStyle name="Input 2 2 7 2 2 6" xfId="7704"/>
    <cellStyle name="Input 2 2 7 2 2 7" xfId="61454"/>
    <cellStyle name="Input 2 2 7 2 2 8" xfId="62021"/>
    <cellStyle name="Input 2 2 7 2 3" xfId="15654"/>
    <cellStyle name="Input 2 2 7 2 4" xfId="23967"/>
    <cellStyle name="Input 2 2 7 2 5" xfId="31264"/>
    <cellStyle name="Input 2 2 7 2 6" xfId="53623"/>
    <cellStyle name="Input 2 2 7 2 7" xfId="53624"/>
    <cellStyle name="Input 2 2 7 2 8" xfId="53625"/>
    <cellStyle name="Input 2 2 7 2 9" xfId="60861"/>
    <cellStyle name="Input 2 2 7 3" xfId="1421"/>
    <cellStyle name="Input 2 2 7 3 10" xfId="61455"/>
    <cellStyle name="Input 2 2 7 3 11" xfId="62022"/>
    <cellStyle name="Input 2 2 7 3 2" xfId="899"/>
    <cellStyle name="Input 2 2 7 3 2 2" xfId="2738"/>
    <cellStyle name="Input 2 2 7 3 2 2 2" xfId="6158"/>
    <cellStyle name="Input 2 2 7 3 2 2 2 2" xfId="12998"/>
    <cellStyle name="Input 2 2 7 3 2 2 3" xfId="9578"/>
    <cellStyle name="Input 2 2 7 3 2 3" xfId="3878"/>
    <cellStyle name="Input 2 2 7 3 2 3 2" xfId="7298"/>
    <cellStyle name="Input 2 2 7 3 2 3 2 2" xfId="14138"/>
    <cellStyle name="Input 2 2 7 3 2 3 3" xfId="10718"/>
    <cellStyle name="Input 2 2 7 3 2 4" xfId="5018"/>
    <cellStyle name="Input 2 2 7 3 2 4 2" xfId="11858"/>
    <cellStyle name="Input 2 2 7 3 2 5" xfId="8438"/>
    <cellStyle name="Input 2 2 7 3 3" xfId="2242"/>
    <cellStyle name="Input 2 2 7 3 3 2" xfId="5662"/>
    <cellStyle name="Input 2 2 7 3 3 2 2" xfId="12502"/>
    <cellStyle name="Input 2 2 7 3 3 3" xfId="9082"/>
    <cellStyle name="Input 2 2 7 3 4" xfId="3382"/>
    <cellStyle name="Input 2 2 7 3 4 2" xfId="6802"/>
    <cellStyle name="Input 2 2 7 3 4 2 2" xfId="13642"/>
    <cellStyle name="Input 2 2 7 3 4 3" xfId="10222"/>
    <cellStyle name="Input 2 2 7 3 5" xfId="4522"/>
    <cellStyle name="Input 2 2 7 3 5 2" xfId="11362"/>
    <cellStyle name="Input 2 2 7 3 6" xfId="7942"/>
    <cellStyle name="Input 2 2 7 3 7" xfId="16621"/>
    <cellStyle name="Input 2 2 7 3 8" xfId="24938"/>
    <cellStyle name="Input 2 2 7 3 9" xfId="32197"/>
    <cellStyle name="Input 2 2 7 4" xfId="17641"/>
    <cellStyle name="Input 2 2 7 4 2" xfId="25964"/>
    <cellStyle name="Input 2 2 7 4 2 2" xfId="53626"/>
    <cellStyle name="Input 2 2 7 4 2 3" xfId="53627"/>
    <cellStyle name="Input 2 2 7 4 3" xfId="33174"/>
    <cellStyle name="Input 2 2 7 4 4" xfId="53628"/>
    <cellStyle name="Input 2 2 7 5" xfId="18623"/>
    <cellStyle name="Input 2 2 7 5 2" xfId="26943"/>
    <cellStyle name="Input 2 2 7 5 2 2" xfId="53629"/>
    <cellStyle name="Input 2 2 7 5 2 3" xfId="53630"/>
    <cellStyle name="Input 2 2 7 5 3" xfId="34111"/>
    <cellStyle name="Input 2 2 7 5 4" xfId="53631"/>
    <cellStyle name="Input 2 2 7 6" xfId="19592"/>
    <cellStyle name="Input 2 2 7 6 2" xfId="27912"/>
    <cellStyle name="Input 2 2 7 6 2 2" xfId="53632"/>
    <cellStyle name="Input 2 2 7 6 2 3" xfId="53633"/>
    <cellStyle name="Input 2 2 7 6 3" xfId="35057"/>
    <cellStyle name="Input 2 2 7 6 4" xfId="53634"/>
    <cellStyle name="Input 2 2 7 7" xfId="20549"/>
    <cellStyle name="Input 2 2 7 7 2" xfId="28871"/>
    <cellStyle name="Input 2 2 7 7 2 2" xfId="53635"/>
    <cellStyle name="Input 2 2 7 7 2 3" xfId="53636"/>
    <cellStyle name="Input 2 2 7 7 3" xfId="35974"/>
    <cellStyle name="Input 2 2 7 7 4" xfId="53637"/>
    <cellStyle name="Input 2 2 7 8" xfId="21292"/>
    <cellStyle name="Input 2 2 7 8 2" xfId="29599"/>
    <cellStyle name="Input 2 2 7 8 2 2" xfId="53638"/>
    <cellStyle name="Input 2 2 7 8 2 3" xfId="53639"/>
    <cellStyle name="Input 2 2 7 8 3" xfId="36666"/>
    <cellStyle name="Input 2 2 7 8 4" xfId="53640"/>
    <cellStyle name="Input 2 2 7 9" xfId="21985"/>
    <cellStyle name="Input 2 2 7 9 2" xfId="30285"/>
    <cellStyle name="Input 2 2 7 9 2 2" xfId="53641"/>
    <cellStyle name="Input 2 2 7 9 2 3" xfId="53642"/>
    <cellStyle name="Input 2 2 7 9 3" xfId="37325"/>
    <cellStyle name="Input 2 2 7 9 4" xfId="53643"/>
    <cellStyle name="Input 2 2 8" xfId="465"/>
    <cellStyle name="Input 2 2 8 10" xfId="14632"/>
    <cellStyle name="Input 2 2 8 11" xfId="22994"/>
    <cellStyle name="Input 2 2 8 12" xfId="53644"/>
    <cellStyle name="Input 2 2 8 13" xfId="53645"/>
    <cellStyle name="Input 2 2 8 14" xfId="53646"/>
    <cellStyle name="Input 2 2 8 15" xfId="61145"/>
    <cellStyle name="Input 2 2 8 2" xfId="354"/>
    <cellStyle name="Input 2 2 8 2 2" xfId="1359"/>
    <cellStyle name="Input 2 2 8 2 2 2" xfId="933"/>
    <cellStyle name="Input 2 2 8 2 2 2 2" xfId="2774"/>
    <cellStyle name="Input 2 2 8 2 2 2 2 2" xfId="6194"/>
    <cellStyle name="Input 2 2 8 2 2 2 2 2 2" xfId="13034"/>
    <cellStyle name="Input 2 2 8 2 2 2 2 3" xfId="9614"/>
    <cellStyle name="Input 2 2 8 2 2 2 3" xfId="3914"/>
    <cellStyle name="Input 2 2 8 2 2 2 3 2" xfId="7334"/>
    <cellStyle name="Input 2 2 8 2 2 2 3 2 2" xfId="14174"/>
    <cellStyle name="Input 2 2 8 2 2 2 3 3" xfId="10754"/>
    <cellStyle name="Input 2 2 8 2 2 2 4" xfId="5054"/>
    <cellStyle name="Input 2 2 8 2 2 2 4 2" xfId="11894"/>
    <cellStyle name="Input 2 2 8 2 2 2 5" xfId="8474"/>
    <cellStyle name="Input 2 2 8 2 2 3" xfId="2180"/>
    <cellStyle name="Input 2 2 8 2 2 3 2" xfId="5600"/>
    <cellStyle name="Input 2 2 8 2 2 3 2 2" xfId="12440"/>
    <cellStyle name="Input 2 2 8 2 2 3 3" xfId="9020"/>
    <cellStyle name="Input 2 2 8 2 2 4" xfId="3320"/>
    <cellStyle name="Input 2 2 8 2 2 4 2" xfId="6740"/>
    <cellStyle name="Input 2 2 8 2 2 4 2 2" xfId="13580"/>
    <cellStyle name="Input 2 2 8 2 2 4 3" xfId="10160"/>
    <cellStyle name="Input 2 2 8 2 2 5" xfId="4460"/>
    <cellStyle name="Input 2 2 8 2 2 5 2" xfId="11300"/>
    <cellStyle name="Input 2 2 8 2 2 6" xfId="7880"/>
    <cellStyle name="Input 2 2 8 2 2 7" xfId="61885"/>
    <cellStyle name="Input 2 2 8 2 2 8" xfId="62341"/>
    <cellStyle name="Input 2 2 8 2 3" xfId="15713"/>
    <cellStyle name="Input 2 2 8 2 4" xfId="24029"/>
    <cellStyle name="Input 2 2 8 2 5" xfId="31322"/>
    <cellStyle name="Input 2 2 8 2 6" xfId="53647"/>
    <cellStyle name="Input 2 2 8 2 7" xfId="53648"/>
    <cellStyle name="Input 2 2 8 2 8" xfId="53649"/>
    <cellStyle name="Input 2 2 8 2 9" xfId="61035"/>
    <cellStyle name="Input 2 2 8 3" xfId="1469"/>
    <cellStyle name="Input 2 2 8 3 10" xfId="61374"/>
    <cellStyle name="Input 2 2 8 3 11" xfId="61964"/>
    <cellStyle name="Input 2 2 8 3 2" xfId="874"/>
    <cellStyle name="Input 2 2 8 3 2 2" xfId="1923"/>
    <cellStyle name="Input 2 2 8 3 2 2 2" xfId="5343"/>
    <cellStyle name="Input 2 2 8 3 2 2 2 2" xfId="12183"/>
    <cellStyle name="Input 2 2 8 3 2 2 3" xfId="8763"/>
    <cellStyle name="Input 2 2 8 3 2 3" xfId="3063"/>
    <cellStyle name="Input 2 2 8 3 2 3 2" xfId="6483"/>
    <cellStyle name="Input 2 2 8 3 2 3 2 2" xfId="13323"/>
    <cellStyle name="Input 2 2 8 3 2 3 3" xfId="9903"/>
    <cellStyle name="Input 2 2 8 3 2 4" xfId="4203"/>
    <cellStyle name="Input 2 2 8 3 2 4 2" xfId="11043"/>
    <cellStyle name="Input 2 2 8 3 2 5" xfId="7623"/>
    <cellStyle name="Input 2 2 8 3 3" xfId="2290"/>
    <cellStyle name="Input 2 2 8 3 3 2" xfId="5710"/>
    <cellStyle name="Input 2 2 8 3 3 2 2" xfId="12550"/>
    <cellStyle name="Input 2 2 8 3 3 3" xfId="9130"/>
    <cellStyle name="Input 2 2 8 3 4" xfId="3430"/>
    <cellStyle name="Input 2 2 8 3 4 2" xfId="6850"/>
    <cellStyle name="Input 2 2 8 3 4 2 2" xfId="13690"/>
    <cellStyle name="Input 2 2 8 3 4 3" xfId="10270"/>
    <cellStyle name="Input 2 2 8 3 5" xfId="4570"/>
    <cellStyle name="Input 2 2 8 3 5 2" xfId="11410"/>
    <cellStyle name="Input 2 2 8 3 6" xfId="7990"/>
    <cellStyle name="Input 2 2 8 3 7" xfId="16680"/>
    <cellStyle name="Input 2 2 8 3 8" xfId="25000"/>
    <cellStyle name="Input 2 2 8 3 9" xfId="32255"/>
    <cellStyle name="Input 2 2 8 4" xfId="17703"/>
    <cellStyle name="Input 2 2 8 4 2" xfId="26026"/>
    <cellStyle name="Input 2 2 8 4 2 2" xfId="53650"/>
    <cellStyle name="Input 2 2 8 4 2 3" xfId="53651"/>
    <cellStyle name="Input 2 2 8 4 3" xfId="33232"/>
    <cellStyle name="Input 2 2 8 4 4" xfId="53652"/>
    <cellStyle name="Input 2 2 8 5" xfId="18686"/>
    <cellStyle name="Input 2 2 8 5 2" xfId="27007"/>
    <cellStyle name="Input 2 2 8 5 2 2" xfId="53653"/>
    <cellStyle name="Input 2 2 8 5 2 3" xfId="53654"/>
    <cellStyle name="Input 2 2 8 5 3" xfId="34171"/>
    <cellStyle name="Input 2 2 8 5 4" xfId="53655"/>
    <cellStyle name="Input 2 2 8 6" xfId="19655"/>
    <cellStyle name="Input 2 2 8 6 2" xfId="27976"/>
    <cellStyle name="Input 2 2 8 6 2 2" xfId="53656"/>
    <cellStyle name="Input 2 2 8 6 2 3" xfId="53657"/>
    <cellStyle name="Input 2 2 8 6 3" xfId="35117"/>
    <cellStyle name="Input 2 2 8 6 4" xfId="53658"/>
    <cellStyle name="Input 2 2 8 7" xfId="20612"/>
    <cellStyle name="Input 2 2 8 7 2" xfId="28933"/>
    <cellStyle name="Input 2 2 8 7 2 2" xfId="53659"/>
    <cellStyle name="Input 2 2 8 7 2 3" xfId="53660"/>
    <cellStyle name="Input 2 2 8 7 3" xfId="36032"/>
    <cellStyle name="Input 2 2 8 7 4" xfId="53661"/>
    <cellStyle name="Input 2 2 8 8" xfId="21365"/>
    <cellStyle name="Input 2 2 8 8 2" xfId="29668"/>
    <cellStyle name="Input 2 2 8 8 2 2" xfId="53662"/>
    <cellStyle name="Input 2 2 8 8 2 3" xfId="53663"/>
    <cellStyle name="Input 2 2 8 8 3" xfId="36733"/>
    <cellStyle name="Input 2 2 8 8 4" xfId="53664"/>
    <cellStyle name="Input 2 2 8 9" xfId="22049"/>
    <cellStyle name="Input 2 2 8 9 2" xfId="30347"/>
    <cellStyle name="Input 2 2 8 9 2 2" xfId="53665"/>
    <cellStyle name="Input 2 2 8 9 2 3" xfId="53666"/>
    <cellStyle name="Input 2 2 8 9 3" xfId="37383"/>
    <cellStyle name="Input 2 2 8 9 4" xfId="53667"/>
    <cellStyle name="Input 2 2 9" xfId="1095"/>
    <cellStyle name="Input 2 2 9 10" xfId="14620"/>
    <cellStyle name="Input 2 2 9 11" xfId="22982"/>
    <cellStyle name="Input 2 2 9 12" xfId="61661"/>
    <cellStyle name="Input 2 2 9 2" xfId="748"/>
    <cellStyle name="Input 2 2 9 2 10" xfId="62194"/>
    <cellStyle name="Input 2 2 9 2 2" xfId="2618"/>
    <cellStyle name="Input 2 2 9 2 2 2" xfId="6038"/>
    <cellStyle name="Input 2 2 9 2 2 2 2" xfId="12878"/>
    <cellStyle name="Input 2 2 9 2 2 3" xfId="9458"/>
    <cellStyle name="Input 2 2 9 2 3" xfId="3758"/>
    <cellStyle name="Input 2 2 9 2 3 2" xfId="7178"/>
    <cellStyle name="Input 2 2 9 2 3 2 2" xfId="14018"/>
    <cellStyle name="Input 2 2 9 2 3 3" xfId="10598"/>
    <cellStyle name="Input 2 2 9 2 4" xfId="4898"/>
    <cellStyle name="Input 2 2 9 2 4 2" xfId="11738"/>
    <cellStyle name="Input 2 2 9 2 5" xfId="8318"/>
    <cellStyle name="Input 2 2 9 2 6" xfId="15701"/>
    <cellStyle name="Input 2 2 9 2 7" xfId="24017"/>
    <cellStyle name="Input 2 2 9 2 8" xfId="31311"/>
    <cellStyle name="Input 2 2 9 2 9" xfId="61711"/>
    <cellStyle name="Input 2 2 9 3" xfId="1902"/>
    <cellStyle name="Input 2 2 9 3 2" xfId="5322"/>
    <cellStyle name="Input 2 2 9 3 2 2" xfId="12162"/>
    <cellStyle name="Input 2 2 9 3 2 3" xfId="53668"/>
    <cellStyle name="Input 2 2 9 3 3" xfId="8742"/>
    <cellStyle name="Input 2 2 9 3 4" xfId="16668"/>
    <cellStyle name="Input 2 2 9 3 5" xfId="24988"/>
    <cellStyle name="Input 2 2 9 3 6" xfId="32244"/>
    <cellStyle name="Input 2 2 9 4" xfId="3042"/>
    <cellStyle name="Input 2 2 9 4 2" xfId="6462"/>
    <cellStyle name="Input 2 2 9 4 2 2" xfId="13302"/>
    <cellStyle name="Input 2 2 9 4 2 3" xfId="53669"/>
    <cellStyle name="Input 2 2 9 4 3" xfId="9882"/>
    <cellStyle name="Input 2 2 9 4 4" xfId="17691"/>
    <cellStyle name="Input 2 2 9 4 5" xfId="26014"/>
    <cellStyle name="Input 2 2 9 4 6" xfId="33221"/>
    <cellStyle name="Input 2 2 9 5" xfId="4182"/>
    <cellStyle name="Input 2 2 9 5 2" xfId="11022"/>
    <cellStyle name="Input 2 2 9 5 2 2" xfId="53670"/>
    <cellStyle name="Input 2 2 9 5 2 3" xfId="53671"/>
    <cellStyle name="Input 2 2 9 5 3" xfId="18674"/>
    <cellStyle name="Input 2 2 9 5 4" xfId="26995"/>
    <cellStyle name="Input 2 2 9 5 5" xfId="34160"/>
    <cellStyle name="Input 2 2 9 6" xfId="7602"/>
    <cellStyle name="Input 2 2 9 6 2" xfId="19643"/>
    <cellStyle name="Input 2 2 9 6 2 2" xfId="53672"/>
    <cellStyle name="Input 2 2 9 6 2 3" xfId="53673"/>
    <cellStyle name="Input 2 2 9 6 3" xfId="27964"/>
    <cellStyle name="Input 2 2 9 6 4" xfId="35106"/>
    <cellStyle name="Input 2 2 9 7" xfId="20600"/>
    <cellStyle name="Input 2 2 9 7 2" xfId="28921"/>
    <cellStyle name="Input 2 2 9 7 2 2" xfId="53674"/>
    <cellStyle name="Input 2 2 9 7 2 3" xfId="53675"/>
    <cellStyle name="Input 2 2 9 7 3" xfId="36021"/>
    <cellStyle name="Input 2 2 9 7 4" xfId="53676"/>
    <cellStyle name="Input 2 2 9 8" xfId="17563"/>
    <cellStyle name="Input 2 2 9 8 2" xfId="25882"/>
    <cellStyle name="Input 2 2 9 8 2 2" xfId="53677"/>
    <cellStyle name="Input 2 2 9 8 2 3" xfId="53678"/>
    <cellStyle name="Input 2 2 9 8 3" xfId="33097"/>
    <cellStyle name="Input 2 2 9 8 4" xfId="53679"/>
    <cellStyle name="Input 2 2 9 9" xfId="22037"/>
    <cellStyle name="Input 2 2 9 9 2" xfId="30335"/>
    <cellStyle name="Input 2 2 9 9 2 2" xfId="53680"/>
    <cellStyle name="Input 2 2 9 9 2 3" xfId="53681"/>
    <cellStyle name="Input 2 2 9 9 3" xfId="37372"/>
    <cellStyle name="Input 2 2 9 9 4" xfId="53682"/>
    <cellStyle name="Input 2 20" xfId="15460"/>
    <cellStyle name="Input 2 20 10" xfId="53683"/>
    <cellStyle name="Input 2 20 11" xfId="53684"/>
    <cellStyle name="Input 2 20 2" xfId="16540"/>
    <cellStyle name="Input 2 20 2 2" xfId="24853"/>
    <cellStyle name="Input 2 20 2 2 2" xfId="53685"/>
    <cellStyle name="Input 2 20 2 2 3" xfId="53686"/>
    <cellStyle name="Input 2 20 2 3" xfId="32113"/>
    <cellStyle name="Input 2 20 2 4" xfId="53687"/>
    <cellStyle name="Input 2 20 3" xfId="17506"/>
    <cellStyle name="Input 2 20 3 2" xfId="25827"/>
    <cellStyle name="Input 2 20 3 2 2" xfId="53688"/>
    <cellStyle name="Input 2 20 3 2 3" xfId="53689"/>
    <cellStyle name="Input 2 20 3 3" xfId="33046"/>
    <cellStyle name="Input 2 20 3 4" xfId="53690"/>
    <cellStyle name="Input 2 20 4" xfId="18534"/>
    <cellStyle name="Input 2 20 4 2" xfId="26854"/>
    <cellStyle name="Input 2 20 4 2 2" xfId="53691"/>
    <cellStyle name="Input 2 20 4 2 3" xfId="53692"/>
    <cellStyle name="Input 2 20 4 3" xfId="34024"/>
    <cellStyle name="Input 2 20 4 4" xfId="53693"/>
    <cellStyle name="Input 2 20 5" xfId="19517"/>
    <cellStyle name="Input 2 20 5 2" xfId="27838"/>
    <cellStyle name="Input 2 20 5 2 2" xfId="53694"/>
    <cellStyle name="Input 2 20 5 2 3" xfId="53695"/>
    <cellStyle name="Input 2 20 5 3" xfId="34986"/>
    <cellStyle name="Input 2 20 5 4" xfId="53696"/>
    <cellStyle name="Input 2 20 6" xfId="20486"/>
    <cellStyle name="Input 2 20 6 2" xfId="28808"/>
    <cellStyle name="Input 2 20 6 2 2" xfId="53697"/>
    <cellStyle name="Input 2 20 6 2 3" xfId="53698"/>
    <cellStyle name="Input 2 20 6 3" xfId="35916"/>
    <cellStyle name="Input 2 20 6 4" xfId="53699"/>
    <cellStyle name="Input 2 20 7" xfId="21947"/>
    <cellStyle name="Input 2 20 7 2" xfId="30248"/>
    <cellStyle name="Input 2 20 7 2 2" xfId="53700"/>
    <cellStyle name="Input 2 20 7 2 3" xfId="53701"/>
    <cellStyle name="Input 2 20 7 3" xfId="37289"/>
    <cellStyle name="Input 2 20 7 4" xfId="53702"/>
    <cellStyle name="Input 2 20 8" xfId="22875"/>
    <cellStyle name="Input 2 20 8 2" xfId="31171"/>
    <cellStyle name="Input 2 20 8 2 2" xfId="53703"/>
    <cellStyle name="Input 2 20 8 2 3" xfId="53704"/>
    <cellStyle name="Input 2 20 8 3" xfId="38173"/>
    <cellStyle name="Input 2 20 8 4" xfId="53705"/>
    <cellStyle name="Input 2 20 9" xfId="23817"/>
    <cellStyle name="Input 2 20 9 2" xfId="53706"/>
    <cellStyle name="Input 2 20 9 3" xfId="53707"/>
    <cellStyle name="Input 2 21" xfId="16553"/>
    <cellStyle name="Input 2 21 2" xfId="24866"/>
    <cellStyle name="Input 2 21 2 2" xfId="53708"/>
    <cellStyle name="Input 2 21 2 3" xfId="53709"/>
    <cellStyle name="Input 2 21 3" xfId="32126"/>
    <cellStyle name="Input 2 21 4" xfId="53710"/>
    <cellStyle name="Input 2 22" xfId="17540"/>
    <cellStyle name="Input 2 22 2" xfId="25858"/>
    <cellStyle name="Input 2 22 2 2" xfId="53711"/>
    <cellStyle name="Input 2 22 2 3" xfId="53712"/>
    <cellStyle name="Input 2 22 3" xfId="33075"/>
    <cellStyle name="Input 2 22 4" xfId="53713"/>
    <cellStyle name="Input 2 23" xfId="19019"/>
    <cellStyle name="Input 2 23 2" xfId="27339"/>
    <cellStyle name="Input 2 23 2 2" xfId="53714"/>
    <cellStyle name="Input 2 23 2 3" xfId="53715"/>
    <cellStyle name="Input 2 23 3" xfId="34489"/>
    <cellStyle name="Input 2 23 4" xfId="53716"/>
    <cellStyle name="Input 2 24" xfId="21322"/>
    <cellStyle name="Input 2 24 2" xfId="29627"/>
    <cellStyle name="Input 2 24 2 2" xfId="53717"/>
    <cellStyle name="Input 2 24 2 3" xfId="53718"/>
    <cellStyle name="Input 2 24 3" xfId="36694"/>
    <cellStyle name="Input 2 24 4" xfId="53719"/>
    <cellStyle name="Input 2 25" xfId="18780"/>
    <cellStyle name="Input 2 25 2" xfId="53720"/>
    <cellStyle name="Input 2 25 3" xfId="53721"/>
    <cellStyle name="Input 2 26" xfId="53722"/>
    <cellStyle name="Input 2 27" xfId="53723"/>
    <cellStyle name="Input 2 28" xfId="53724"/>
    <cellStyle name="Input 2 29" xfId="53725"/>
    <cellStyle name="Input 2 3" xfId="71"/>
    <cellStyle name="Input 2 3 10" xfId="53726"/>
    <cellStyle name="Input 2 3 11" xfId="60781"/>
    <cellStyle name="Input 2 3 2" xfId="148"/>
    <cellStyle name="Input 2 3 2 2" xfId="274"/>
    <cellStyle name="Input 2 3 2 2 2" xfId="683"/>
    <cellStyle name="Input 2 3 2 2 2 2" xfId="1634"/>
    <cellStyle name="Input 2 3 2 2 2 2 2" xfId="773"/>
    <cellStyle name="Input 2 3 2 2 2 2 2 2" xfId="2377"/>
    <cellStyle name="Input 2 3 2 2 2 2 2 2 2" xfId="5797"/>
    <cellStyle name="Input 2 3 2 2 2 2 2 2 2 2" xfId="12637"/>
    <cellStyle name="Input 2 3 2 2 2 2 2 2 3" xfId="9217"/>
    <cellStyle name="Input 2 3 2 2 2 2 2 3" xfId="3517"/>
    <cellStyle name="Input 2 3 2 2 2 2 2 3 2" xfId="6937"/>
    <cellStyle name="Input 2 3 2 2 2 2 2 3 2 2" xfId="13777"/>
    <cellStyle name="Input 2 3 2 2 2 2 2 3 3" xfId="10357"/>
    <cellStyle name="Input 2 3 2 2 2 2 2 4" xfId="4657"/>
    <cellStyle name="Input 2 3 2 2 2 2 2 4 2" xfId="11497"/>
    <cellStyle name="Input 2 3 2 2 2 2 2 5" xfId="8077"/>
    <cellStyle name="Input 2 3 2 2 2 2 3" xfId="2468"/>
    <cellStyle name="Input 2 3 2 2 2 2 3 2" xfId="5888"/>
    <cellStyle name="Input 2 3 2 2 2 2 3 2 2" xfId="12728"/>
    <cellStyle name="Input 2 3 2 2 2 2 3 3" xfId="9308"/>
    <cellStyle name="Input 2 3 2 2 2 2 4" xfId="3608"/>
    <cellStyle name="Input 2 3 2 2 2 2 4 2" xfId="7028"/>
    <cellStyle name="Input 2 3 2 2 2 2 4 2 2" xfId="13868"/>
    <cellStyle name="Input 2 3 2 2 2 2 4 3" xfId="10448"/>
    <cellStyle name="Input 2 3 2 2 2 2 5" xfId="4748"/>
    <cellStyle name="Input 2 3 2 2 2 2 5 2" xfId="11588"/>
    <cellStyle name="Input 2 3 2 2 2 2 6" xfId="8168"/>
    <cellStyle name="Input 2 3 2 2 2 2 7" xfId="61708"/>
    <cellStyle name="Input 2 3 2 2 2 2 8" xfId="62191"/>
    <cellStyle name="Input 2 3 2 2 2 3" xfId="38527"/>
    <cellStyle name="Input 2 3 2 2 2 4" xfId="53727"/>
    <cellStyle name="Input 2 3 2 2 2 5" xfId="53728"/>
    <cellStyle name="Input 2 3 2 2 2 6" xfId="53729"/>
    <cellStyle name="Input 2 3 2 2 2 7" xfId="61258"/>
    <cellStyle name="Input 2 3 2 2 3" xfId="1280"/>
    <cellStyle name="Input 2 3 2 2 3 2" xfId="988"/>
    <cellStyle name="Input 2 3 2 2 3 2 2" xfId="2638"/>
    <cellStyle name="Input 2 3 2 2 3 2 2 2" xfId="6058"/>
    <cellStyle name="Input 2 3 2 2 3 2 2 2 2" xfId="12898"/>
    <cellStyle name="Input 2 3 2 2 3 2 2 3" xfId="9478"/>
    <cellStyle name="Input 2 3 2 2 3 2 3" xfId="3778"/>
    <cellStyle name="Input 2 3 2 2 3 2 3 2" xfId="7198"/>
    <cellStyle name="Input 2 3 2 2 3 2 3 2 2" xfId="14038"/>
    <cellStyle name="Input 2 3 2 2 3 2 3 3" xfId="10618"/>
    <cellStyle name="Input 2 3 2 2 3 2 4" xfId="4918"/>
    <cellStyle name="Input 2 3 2 2 3 2 4 2" xfId="11758"/>
    <cellStyle name="Input 2 3 2 2 3 2 5" xfId="8338"/>
    <cellStyle name="Input 2 3 2 2 3 3" xfId="2100"/>
    <cellStyle name="Input 2 3 2 2 3 3 2" xfId="5520"/>
    <cellStyle name="Input 2 3 2 2 3 3 2 2" xfId="12360"/>
    <cellStyle name="Input 2 3 2 2 3 3 3" xfId="8940"/>
    <cellStyle name="Input 2 3 2 2 3 4" xfId="3240"/>
    <cellStyle name="Input 2 3 2 2 3 4 2" xfId="6660"/>
    <cellStyle name="Input 2 3 2 2 3 4 2 2" xfId="13500"/>
    <cellStyle name="Input 2 3 2 2 3 4 3" xfId="10080"/>
    <cellStyle name="Input 2 3 2 2 3 5" xfId="4380"/>
    <cellStyle name="Input 2 3 2 2 3 5 2" xfId="11220"/>
    <cellStyle name="Input 2 3 2 2 3 6" xfId="7800"/>
    <cellStyle name="Input 2 3 2 2 3 7" xfId="61709"/>
    <cellStyle name="Input 2 3 2 2 3 8" xfId="62192"/>
    <cellStyle name="Input 2 3 2 2 4" xfId="38290"/>
    <cellStyle name="Input 2 3 2 2 5" xfId="53730"/>
    <cellStyle name="Input 2 3 2 2 6" xfId="53731"/>
    <cellStyle name="Input 2 3 2 2 7" xfId="53732"/>
    <cellStyle name="Input 2 3 2 2 8" xfId="53733"/>
    <cellStyle name="Input 2 3 2 2 9" xfId="60956"/>
    <cellStyle name="Input 2 3 2 3" xfId="595"/>
    <cellStyle name="Input 2 3 2 3 2" xfId="1582"/>
    <cellStyle name="Input 2 3 2 3 2 2" xfId="820"/>
    <cellStyle name="Input 2 3 2 3 2 2 2" xfId="1925"/>
    <cellStyle name="Input 2 3 2 3 2 2 2 2" xfId="5345"/>
    <cellStyle name="Input 2 3 2 3 2 2 2 2 2" xfId="12185"/>
    <cellStyle name="Input 2 3 2 3 2 2 2 3" xfId="8765"/>
    <cellStyle name="Input 2 3 2 3 2 2 3" xfId="3065"/>
    <cellStyle name="Input 2 3 2 3 2 2 3 2" xfId="6485"/>
    <cellStyle name="Input 2 3 2 3 2 2 3 2 2" xfId="13325"/>
    <cellStyle name="Input 2 3 2 3 2 2 3 3" xfId="9905"/>
    <cellStyle name="Input 2 3 2 3 2 2 4" xfId="4205"/>
    <cellStyle name="Input 2 3 2 3 2 2 4 2" xfId="11045"/>
    <cellStyle name="Input 2 3 2 3 2 2 5" xfId="7625"/>
    <cellStyle name="Input 2 3 2 3 2 3" xfId="2407"/>
    <cellStyle name="Input 2 3 2 3 2 3 2" xfId="5827"/>
    <cellStyle name="Input 2 3 2 3 2 3 2 2" xfId="12667"/>
    <cellStyle name="Input 2 3 2 3 2 3 3" xfId="9247"/>
    <cellStyle name="Input 2 3 2 3 2 4" xfId="3547"/>
    <cellStyle name="Input 2 3 2 3 2 4 2" xfId="6967"/>
    <cellStyle name="Input 2 3 2 3 2 4 2 2" xfId="13807"/>
    <cellStyle name="Input 2 3 2 3 2 4 3" xfId="10387"/>
    <cellStyle name="Input 2 3 2 3 2 5" xfId="4687"/>
    <cellStyle name="Input 2 3 2 3 2 5 2" xfId="11527"/>
    <cellStyle name="Input 2 3 2 3 2 6" xfId="8107"/>
    <cellStyle name="Input 2 3 2 3 2 7" xfId="61707"/>
    <cellStyle name="Input 2 3 2 3 2 8" xfId="62190"/>
    <cellStyle name="Input 2 3 2 3 3" xfId="38476"/>
    <cellStyle name="Input 2 3 2 3 4" xfId="53734"/>
    <cellStyle name="Input 2 3 2 3 5" xfId="53735"/>
    <cellStyle name="Input 2 3 2 3 6" xfId="53736"/>
    <cellStyle name="Input 2 3 2 3 7" xfId="61259"/>
    <cellStyle name="Input 2 3 2 4" xfId="1156"/>
    <cellStyle name="Input 2 3 2 4 2" xfId="1050"/>
    <cellStyle name="Input 2 3 2 4 2 2" xfId="2757"/>
    <cellStyle name="Input 2 3 2 4 2 2 2" xfId="6177"/>
    <cellStyle name="Input 2 3 2 4 2 2 2 2" xfId="13017"/>
    <cellStyle name="Input 2 3 2 4 2 2 3" xfId="9597"/>
    <cellStyle name="Input 2 3 2 4 2 3" xfId="3897"/>
    <cellStyle name="Input 2 3 2 4 2 3 2" xfId="7317"/>
    <cellStyle name="Input 2 3 2 4 2 3 2 2" xfId="14157"/>
    <cellStyle name="Input 2 3 2 4 2 3 3" xfId="10737"/>
    <cellStyle name="Input 2 3 2 4 2 4" xfId="5037"/>
    <cellStyle name="Input 2 3 2 4 2 4 2" xfId="11877"/>
    <cellStyle name="Input 2 3 2 4 2 5" xfId="8457"/>
    <cellStyle name="Input 2 3 2 4 3" xfId="1975"/>
    <cellStyle name="Input 2 3 2 4 3 2" xfId="5395"/>
    <cellStyle name="Input 2 3 2 4 3 2 2" xfId="12235"/>
    <cellStyle name="Input 2 3 2 4 3 3" xfId="8815"/>
    <cellStyle name="Input 2 3 2 4 4" xfId="3115"/>
    <cellStyle name="Input 2 3 2 4 4 2" xfId="6535"/>
    <cellStyle name="Input 2 3 2 4 4 2 2" xfId="13375"/>
    <cellStyle name="Input 2 3 2 4 4 3" xfId="9955"/>
    <cellStyle name="Input 2 3 2 4 5" xfId="4255"/>
    <cellStyle name="Input 2 3 2 4 5 2" xfId="11095"/>
    <cellStyle name="Input 2 3 2 4 6" xfId="7675"/>
    <cellStyle name="Input 2 3 2 4 7" xfId="61710"/>
    <cellStyle name="Input 2 3 2 4 8" xfId="62193"/>
    <cellStyle name="Input 2 3 2 5" xfId="15601"/>
    <cellStyle name="Input 2 3 2 6" xfId="23915"/>
    <cellStyle name="Input 2 3 2 7" xfId="38212"/>
    <cellStyle name="Input 2 3 2 8" xfId="53737"/>
    <cellStyle name="Input 2 3 2 9" xfId="60832"/>
    <cellStyle name="Input 2 3 3" xfId="314"/>
    <cellStyle name="Input 2 3 3 2" xfId="369"/>
    <cellStyle name="Input 2 3 3 2 2" xfId="1374"/>
    <cellStyle name="Input 2 3 3 2 2 2" xfId="1799"/>
    <cellStyle name="Input 2 3 3 2 2 2 2" xfId="2939"/>
    <cellStyle name="Input 2 3 3 2 2 2 2 2" xfId="6359"/>
    <cellStyle name="Input 2 3 3 2 2 2 2 2 2" xfId="13199"/>
    <cellStyle name="Input 2 3 3 2 2 2 2 3" xfId="9779"/>
    <cellStyle name="Input 2 3 3 2 2 2 3" xfId="4079"/>
    <cellStyle name="Input 2 3 3 2 2 2 3 2" xfId="7499"/>
    <cellStyle name="Input 2 3 3 2 2 2 3 2 2" xfId="14339"/>
    <cellStyle name="Input 2 3 3 2 2 2 3 3" xfId="10919"/>
    <cellStyle name="Input 2 3 3 2 2 2 4" xfId="5219"/>
    <cellStyle name="Input 2 3 3 2 2 2 4 2" xfId="12059"/>
    <cellStyle name="Input 2 3 3 2 2 2 5" xfId="8639"/>
    <cellStyle name="Input 2 3 3 2 2 3" xfId="2195"/>
    <cellStyle name="Input 2 3 3 2 2 3 2" xfId="5615"/>
    <cellStyle name="Input 2 3 3 2 2 3 2 2" xfId="12455"/>
    <cellStyle name="Input 2 3 3 2 2 3 3" xfId="9035"/>
    <cellStyle name="Input 2 3 3 2 2 4" xfId="3335"/>
    <cellStyle name="Input 2 3 3 2 2 4 2" xfId="6755"/>
    <cellStyle name="Input 2 3 3 2 2 4 2 2" xfId="13595"/>
    <cellStyle name="Input 2 3 3 2 2 4 3" xfId="10175"/>
    <cellStyle name="Input 2 3 3 2 2 5" xfId="4475"/>
    <cellStyle name="Input 2 3 3 2 2 5 2" xfId="11315"/>
    <cellStyle name="Input 2 3 3 2 2 6" xfId="7895"/>
    <cellStyle name="Input 2 3 3 2 2 7" xfId="61409"/>
    <cellStyle name="Input 2 3 3 2 2 8" xfId="61988"/>
    <cellStyle name="Input 2 3 3 2 3" xfId="38352"/>
    <cellStyle name="Input 2 3 3 2 4" xfId="53738"/>
    <cellStyle name="Input 2 3 3 2 5" xfId="53739"/>
    <cellStyle name="Input 2 3 3 2 6" xfId="53740"/>
    <cellStyle name="Input 2 3 3 2 7" xfId="53741"/>
    <cellStyle name="Input 2 3 3 2 8" xfId="61050"/>
    <cellStyle name="Input 2 3 3 3" xfId="1319"/>
    <cellStyle name="Input 2 3 3 3 2" xfId="1688"/>
    <cellStyle name="Input 2 3 3 3 2 2" xfId="2828"/>
    <cellStyle name="Input 2 3 3 3 2 2 2" xfId="6248"/>
    <cellStyle name="Input 2 3 3 3 2 2 2 2" xfId="13088"/>
    <cellStyle name="Input 2 3 3 3 2 2 3" xfId="9668"/>
    <cellStyle name="Input 2 3 3 3 2 3" xfId="3968"/>
    <cellStyle name="Input 2 3 3 3 2 3 2" xfId="7388"/>
    <cellStyle name="Input 2 3 3 3 2 3 2 2" xfId="14228"/>
    <cellStyle name="Input 2 3 3 3 2 3 3" xfId="10808"/>
    <cellStyle name="Input 2 3 3 3 2 4" xfId="5108"/>
    <cellStyle name="Input 2 3 3 3 2 4 2" xfId="11948"/>
    <cellStyle name="Input 2 3 3 3 2 5" xfId="8528"/>
    <cellStyle name="Input 2 3 3 3 3" xfId="2140"/>
    <cellStyle name="Input 2 3 3 3 3 2" xfId="5560"/>
    <cellStyle name="Input 2 3 3 3 3 2 2" xfId="12400"/>
    <cellStyle name="Input 2 3 3 3 3 3" xfId="8980"/>
    <cellStyle name="Input 2 3 3 3 4" xfId="3280"/>
    <cellStyle name="Input 2 3 3 3 4 2" xfId="6700"/>
    <cellStyle name="Input 2 3 3 3 4 2 2" xfId="13540"/>
    <cellStyle name="Input 2 3 3 3 4 3" xfId="10120"/>
    <cellStyle name="Input 2 3 3 3 5" xfId="4420"/>
    <cellStyle name="Input 2 3 3 3 5 2" xfId="11260"/>
    <cellStyle name="Input 2 3 3 3 6" xfId="7840"/>
    <cellStyle name="Input 2 3 3 3 7" xfId="61446"/>
    <cellStyle name="Input 2 3 3 3 8" xfId="62015"/>
    <cellStyle name="Input 2 3 3 4" xfId="16571"/>
    <cellStyle name="Input 2 3 3 5" xfId="24886"/>
    <cellStyle name="Input 2 3 3 6" xfId="32146"/>
    <cellStyle name="Input 2 3 3 7" xfId="53742"/>
    <cellStyle name="Input 2 3 3 8" xfId="53743"/>
    <cellStyle name="Input 2 3 3 9" xfId="60995"/>
    <cellStyle name="Input 2 3 4" xfId="213"/>
    <cellStyle name="Input 2 3 4 2" xfId="359"/>
    <cellStyle name="Input 2 3 4 2 2" xfId="1364"/>
    <cellStyle name="Input 2 3 4 2 2 2" xfId="928"/>
    <cellStyle name="Input 2 3 4 2 2 2 2" xfId="2684"/>
    <cellStyle name="Input 2 3 4 2 2 2 2 2" xfId="6104"/>
    <cellStyle name="Input 2 3 4 2 2 2 2 2 2" xfId="12944"/>
    <cellStyle name="Input 2 3 4 2 2 2 2 3" xfId="9524"/>
    <cellStyle name="Input 2 3 4 2 2 2 3" xfId="3824"/>
    <cellStyle name="Input 2 3 4 2 2 2 3 2" xfId="7244"/>
    <cellStyle name="Input 2 3 4 2 2 2 3 2 2" xfId="14084"/>
    <cellStyle name="Input 2 3 4 2 2 2 3 3" xfId="10664"/>
    <cellStyle name="Input 2 3 4 2 2 2 4" xfId="4964"/>
    <cellStyle name="Input 2 3 4 2 2 2 4 2" xfId="11804"/>
    <cellStyle name="Input 2 3 4 2 2 2 5" xfId="8384"/>
    <cellStyle name="Input 2 3 4 2 2 3" xfId="2185"/>
    <cellStyle name="Input 2 3 4 2 2 3 2" xfId="5605"/>
    <cellStyle name="Input 2 3 4 2 2 3 2 2" xfId="12445"/>
    <cellStyle name="Input 2 3 4 2 2 3 3" xfId="9025"/>
    <cellStyle name="Input 2 3 4 2 2 4" xfId="3325"/>
    <cellStyle name="Input 2 3 4 2 2 4 2" xfId="6745"/>
    <cellStyle name="Input 2 3 4 2 2 4 2 2" xfId="13585"/>
    <cellStyle name="Input 2 3 4 2 2 4 3" xfId="10165"/>
    <cellStyle name="Input 2 3 4 2 2 5" xfId="4465"/>
    <cellStyle name="Input 2 3 4 2 2 5 2" xfId="11305"/>
    <cellStyle name="Input 2 3 4 2 2 6" xfId="7885"/>
    <cellStyle name="Input 2 3 4 2 2 7" xfId="61706"/>
    <cellStyle name="Input 2 3 4 2 2 8" xfId="62189"/>
    <cellStyle name="Input 2 3 4 2 3" xfId="38345"/>
    <cellStyle name="Input 2 3 4 2 4" xfId="53744"/>
    <cellStyle name="Input 2 3 4 2 5" xfId="53745"/>
    <cellStyle name="Input 2 3 4 2 6" xfId="53746"/>
    <cellStyle name="Input 2 3 4 2 7" xfId="53747"/>
    <cellStyle name="Input 2 3 4 2 8" xfId="61040"/>
    <cellStyle name="Input 2 3 4 3" xfId="1220"/>
    <cellStyle name="Input 2 3 4 3 2" xfId="1018"/>
    <cellStyle name="Input 2 3 4 3 2 2" xfId="2584"/>
    <cellStyle name="Input 2 3 4 3 2 2 2" xfId="6004"/>
    <cellStyle name="Input 2 3 4 3 2 2 2 2" xfId="12844"/>
    <cellStyle name="Input 2 3 4 3 2 2 3" xfId="9424"/>
    <cellStyle name="Input 2 3 4 3 2 3" xfId="3724"/>
    <cellStyle name="Input 2 3 4 3 2 3 2" xfId="7144"/>
    <cellStyle name="Input 2 3 4 3 2 3 2 2" xfId="13984"/>
    <cellStyle name="Input 2 3 4 3 2 3 3" xfId="10564"/>
    <cellStyle name="Input 2 3 4 3 2 4" xfId="4864"/>
    <cellStyle name="Input 2 3 4 3 2 4 2" xfId="11704"/>
    <cellStyle name="Input 2 3 4 3 2 5" xfId="8284"/>
    <cellStyle name="Input 2 3 4 3 3" xfId="2040"/>
    <cellStyle name="Input 2 3 4 3 3 2" xfId="5460"/>
    <cellStyle name="Input 2 3 4 3 3 2 2" xfId="12300"/>
    <cellStyle name="Input 2 3 4 3 3 3" xfId="8880"/>
    <cellStyle name="Input 2 3 4 3 4" xfId="3180"/>
    <cellStyle name="Input 2 3 4 3 4 2" xfId="6600"/>
    <cellStyle name="Input 2 3 4 3 4 2 2" xfId="13440"/>
    <cellStyle name="Input 2 3 4 3 4 3" xfId="10020"/>
    <cellStyle name="Input 2 3 4 3 5" xfId="4320"/>
    <cellStyle name="Input 2 3 4 3 5 2" xfId="11160"/>
    <cellStyle name="Input 2 3 4 3 6" xfId="7740"/>
    <cellStyle name="Input 2 3 4 3 7" xfId="61884"/>
    <cellStyle name="Input 2 3 4 3 8" xfId="62340"/>
    <cellStyle name="Input 2 3 4 4" xfId="17589"/>
    <cellStyle name="Input 2 3 4 5" xfId="25910"/>
    <cellStyle name="Input 2 3 4 6" xfId="33123"/>
    <cellStyle name="Input 2 3 4 7" xfId="53748"/>
    <cellStyle name="Input 2 3 4 8" xfId="53749"/>
    <cellStyle name="Input 2 3 4 9" xfId="60896"/>
    <cellStyle name="Input 2 3 5" xfId="417"/>
    <cellStyle name="Input 2 3 5 2" xfId="404"/>
    <cellStyle name="Input 2 3 5 2 2" xfId="1409"/>
    <cellStyle name="Input 2 3 5 2 2 2" xfId="905"/>
    <cellStyle name="Input 2 3 5 2 2 2 2" xfId="2507"/>
    <cellStyle name="Input 2 3 5 2 2 2 2 2" xfId="5927"/>
    <cellStyle name="Input 2 3 5 2 2 2 2 2 2" xfId="12767"/>
    <cellStyle name="Input 2 3 5 2 2 2 2 3" xfId="9347"/>
    <cellStyle name="Input 2 3 5 2 2 2 3" xfId="3647"/>
    <cellStyle name="Input 2 3 5 2 2 2 3 2" xfId="7067"/>
    <cellStyle name="Input 2 3 5 2 2 2 3 2 2" xfId="13907"/>
    <cellStyle name="Input 2 3 5 2 2 2 3 3" xfId="10487"/>
    <cellStyle name="Input 2 3 5 2 2 2 4" xfId="4787"/>
    <cellStyle name="Input 2 3 5 2 2 2 4 2" xfId="11627"/>
    <cellStyle name="Input 2 3 5 2 2 2 5" xfId="8207"/>
    <cellStyle name="Input 2 3 5 2 2 3" xfId="2230"/>
    <cellStyle name="Input 2 3 5 2 2 3 2" xfId="5650"/>
    <cellStyle name="Input 2 3 5 2 2 3 2 2" xfId="12490"/>
    <cellStyle name="Input 2 3 5 2 2 3 3" xfId="9070"/>
    <cellStyle name="Input 2 3 5 2 2 4" xfId="3370"/>
    <cellStyle name="Input 2 3 5 2 2 4 2" xfId="6790"/>
    <cellStyle name="Input 2 3 5 2 2 4 2 2" xfId="13630"/>
    <cellStyle name="Input 2 3 5 2 2 4 3" xfId="10210"/>
    <cellStyle name="Input 2 3 5 2 2 5" xfId="4510"/>
    <cellStyle name="Input 2 3 5 2 2 5 2" xfId="11350"/>
    <cellStyle name="Input 2 3 5 2 2 6" xfId="7930"/>
    <cellStyle name="Input 2 3 5 2 2 7" xfId="61883"/>
    <cellStyle name="Input 2 3 5 2 2 8" xfId="62339"/>
    <cellStyle name="Input 2 3 5 2 3" xfId="38382"/>
    <cellStyle name="Input 2 3 5 2 4" xfId="53750"/>
    <cellStyle name="Input 2 3 5 2 5" xfId="53751"/>
    <cellStyle name="Input 2 3 5 2 6" xfId="53752"/>
    <cellStyle name="Input 2 3 5 2 7" xfId="53753"/>
    <cellStyle name="Input 2 3 5 2 8" xfId="61085"/>
    <cellStyle name="Input 2 3 5 3" xfId="1422"/>
    <cellStyle name="Input 2 3 5 3 2" xfId="898"/>
    <cellStyle name="Input 2 3 5 3 2 2" xfId="2741"/>
    <cellStyle name="Input 2 3 5 3 2 2 2" xfId="6161"/>
    <cellStyle name="Input 2 3 5 3 2 2 2 2" xfId="13001"/>
    <cellStyle name="Input 2 3 5 3 2 2 3" xfId="9581"/>
    <cellStyle name="Input 2 3 5 3 2 3" xfId="3881"/>
    <cellStyle name="Input 2 3 5 3 2 3 2" xfId="7301"/>
    <cellStyle name="Input 2 3 5 3 2 3 2 2" xfId="14141"/>
    <cellStyle name="Input 2 3 5 3 2 3 3" xfId="10721"/>
    <cellStyle name="Input 2 3 5 3 2 4" xfId="5021"/>
    <cellStyle name="Input 2 3 5 3 2 4 2" xfId="11861"/>
    <cellStyle name="Input 2 3 5 3 2 5" xfId="8441"/>
    <cellStyle name="Input 2 3 5 3 3" xfId="2243"/>
    <cellStyle name="Input 2 3 5 3 3 2" xfId="5663"/>
    <cellStyle name="Input 2 3 5 3 3 2 2" xfId="12503"/>
    <cellStyle name="Input 2 3 5 3 3 3" xfId="9083"/>
    <cellStyle name="Input 2 3 5 3 4" xfId="3383"/>
    <cellStyle name="Input 2 3 5 3 4 2" xfId="6803"/>
    <cellStyle name="Input 2 3 5 3 4 2 2" xfId="13643"/>
    <cellStyle name="Input 2 3 5 3 4 3" xfId="10223"/>
    <cellStyle name="Input 2 3 5 3 5" xfId="4523"/>
    <cellStyle name="Input 2 3 5 3 5 2" xfId="11363"/>
    <cellStyle name="Input 2 3 5 3 6" xfId="7943"/>
    <cellStyle name="Input 2 3 5 3 7" xfId="61705"/>
    <cellStyle name="Input 2 3 5 3 8" xfId="62188"/>
    <cellStyle name="Input 2 3 5 4" xfId="18570"/>
    <cellStyle name="Input 2 3 5 5" xfId="26888"/>
    <cellStyle name="Input 2 3 5 6" xfId="34057"/>
    <cellStyle name="Input 2 3 5 7" xfId="53754"/>
    <cellStyle name="Input 2 3 5 8" xfId="53755"/>
    <cellStyle name="Input 2 3 5 9" xfId="61098"/>
    <cellStyle name="Input 2 3 6" xfId="466"/>
    <cellStyle name="Input 2 3 6 2" xfId="545"/>
    <cellStyle name="Input 2 3 6 2 2" xfId="1549"/>
    <cellStyle name="Input 2 3 6 2 2 2" xfId="836"/>
    <cellStyle name="Input 2 3 6 2 2 2 2" xfId="2534"/>
    <cellStyle name="Input 2 3 6 2 2 2 2 2" xfId="5954"/>
    <cellStyle name="Input 2 3 6 2 2 2 2 2 2" xfId="12794"/>
    <cellStyle name="Input 2 3 6 2 2 2 2 3" xfId="9374"/>
    <cellStyle name="Input 2 3 6 2 2 2 3" xfId="3674"/>
    <cellStyle name="Input 2 3 6 2 2 2 3 2" xfId="7094"/>
    <cellStyle name="Input 2 3 6 2 2 2 3 2 2" xfId="13934"/>
    <cellStyle name="Input 2 3 6 2 2 2 3 3" xfId="10514"/>
    <cellStyle name="Input 2 3 6 2 2 2 4" xfId="4814"/>
    <cellStyle name="Input 2 3 6 2 2 2 4 2" xfId="11654"/>
    <cellStyle name="Input 2 3 6 2 2 2 5" xfId="8234"/>
    <cellStyle name="Input 2 3 6 2 2 3" xfId="2370"/>
    <cellStyle name="Input 2 3 6 2 2 3 2" xfId="5790"/>
    <cellStyle name="Input 2 3 6 2 2 3 2 2" xfId="12630"/>
    <cellStyle name="Input 2 3 6 2 2 3 3" xfId="9210"/>
    <cellStyle name="Input 2 3 6 2 2 4" xfId="3510"/>
    <cellStyle name="Input 2 3 6 2 2 4 2" xfId="6930"/>
    <cellStyle name="Input 2 3 6 2 2 4 2 2" xfId="13770"/>
    <cellStyle name="Input 2 3 6 2 2 4 3" xfId="10350"/>
    <cellStyle name="Input 2 3 6 2 2 5" xfId="4650"/>
    <cellStyle name="Input 2 3 6 2 2 5 2" xfId="11490"/>
    <cellStyle name="Input 2 3 6 2 2 6" xfId="8070"/>
    <cellStyle name="Input 2 3 6 2 2 7" xfId="61510"/>
    <cellStyle name="Input 2 3 6 2 2 8" xfId="62061"/>
    <cellStyle name="Input 2 3 6 2 3" xfId="38460"/>
    <cellStyle name="Input 2 3 6 2 4" xfId="53756"/>
    <cellStyle name="Input 2 3 6 2 5" xfId="53757"/>
    <cellStyle name="Input 2 3 6 2 6" xfId="53758"/>
    <cellStyle name="Input 2 3 6 2 7" xfId="53759"/>
    <cellStyle name="Input 2 3 6 2 8" xfId="61225"/>
    <cellStyle name="Input 2 3 6 3" xfId="1470"/>
    <cellStyle name="Input 2 3 6 3 2" xfId="1751"/>
    <cellStyle name="Input 2 3 6 3 2 2" xfId="2891"/>
    <cellStyle name="Input 2 3 6 3 2 2 2" xfId="6311"/>
    <cellStyle name="Input 2 3 6 3 2 2 2 2" xfId="13151"/>
    <cellStyle name="Input 2 3 6 3 2 2 3" xfId="9731"/>
    <cellStyle name="Input 2 3 6 3 2 3" xfId="4031"/>
    <cellStyle name="Input 2 3 6 3 2 3 2" xfId="7451"/>
    <cellStyle name="Input 2 3 6 3 2 3 2 2" xfId="14291"/>
    <cellStyle name="Input 2 3 6 3 2 3 3" xfId="10871"/>
    <cellStyle name="Input 2 3 6 3 2 4" xfId="5171"/>
    <cellStyle name="Input 2 3 6 3 2 4 2" xfId="12011"/>
    <cellStyle name="Input 2 3 6 3 2 5" xfId="8591"/>
    <cellStyle name="Input 2 3 6 3 3" xfId="2291"/>
    <cellStyle name="Input 2 3 6 3 3 2" xfId="5711"/>
    <cellStyle name="Input 2 3 6 3 3 2 2" xfId="12551"/>
    <cellStyle name="Input 2 3 6 3 3 3" xfId="9131"/>
    <cellStyle name="Input 2 3 6 3 4" xfId="3431"/>
    <cellStyle name="Input 2 3 6 3 4 2" xfId="6851"/>
    <cellStyle name="Input 2 3 6 3 4 2 2" xfId="13691"/>
    <cellStyle name="Input 2 3 6 3 4 3" xfId="10271"/>
    <cellStyle name="Input 2 3 6 3 5" xfId="4571"/>
    <cellStyle name="Input 2 3 6 3 5 2" xfId="11411"/>
    <cellStyle name="Input 2 3 6 3 6" xfId="7991"/>
    <cellStyle name="Input 2 3 6 3 7" xfId="61704"/>
    <cellStyle name="Input 2 3 6 3 8" xfId="62187"/>
    <cellStyle name="Input 2 3 6 4" xfId="17545"/>
    <cellStyle name="Input 2 3 6 5" xfId="25863"/>
    <cellStyle name="Input 2 3 6 6" xfId="33080"/>
    <cellStyle name="Input 2 3 6 7" xfId="53760"/>
    <cellStyle name="Input 2 3 6 8" xfId="53761"/>
    <cellStyle name="Input 2 3 6 9" xfId="61146"/>
    <cellStyle name="Input 2 3 7" xfId="1105"/>
    <cellStyle name="Input 2 3 7 10" xfId="61662"/>
    <cellStyle name="Input 2 3 7 11" xfId="62145"/>
    <cellStyle name="Input 2 3 7 2" xfId="1073"/>
    <cellStyle name="Input 2 3 7 2 2" xfId="2543"/>
    <cellStyle name="Input 2 3 7 2 2 2" xfId="5963"/>
    <cellStyle name="Input 2 3 7 2 2 2 2" xfId="12803"/>
    <cellStyle name="Input 2 3 7 2 2 3" xfId="9383"/>
    <cellStyle name="Input 2 3 7 2 3" xfId="3683"/>
    <cellStyle name="Input 2 3 7 2 3 2" xfId="7103"/>
    <cellStyle name="Input 2 3 7 2 3 2 2" xfId="13943"/>
    <cellStyle name="Input 2 3 7 2 3 3" xfId="10523"/>
    <cellStyle name="Input 2 3 7 2 4" xfId="4823"/>
    <cellStyle name="Input 2 3 7 2 4 2" xfId="11663"/>
    <cellStyle name="Input 2 3 7 2 5" xfId="8243"/>
    <cellStyle name="Input 2 3 7 2 6" xfId="61445"/>
    <cellStyle name="Input 2 3 7 2 7" xfId="62014"/>
    <cellStyle name="Input 2 3 7 3" xfId="1914"/>
    <cellStyle name="Input 2 3 7 3 2" xfId="5334"/>
    <cellStyle name="Input 2 3 7 3 2 2" xfId="12174"/>
    <cellStyle name="Input 2 3 7 3 3" xfId="8754"/>
    <cellStyle name="Input 2 3 7 4" xfId="3054"/>
    <cellStyle name="Input 2 3 7 4 2" xfId="6474"/>
    <cellStyle name="Input 2 3 7 4 2 2" xfId="13314"/>
    <cellStyle name="Input 2 3 7 4 3" xfId="9894"/>
    <cellStyle name="Input 2 3 7 5" xfId="4194"/>
    <cellStyle name="Input 2 3 7 5 2" xfId="11034"/>
    <cellStyle name="Input 2 3 7 6" xfId="7614"/>
    <cellStyle name="Input 2 3 7 7" xfId="19266"/>
    <cellStyle name="Input 2 3 7 8" xfId="27586"/>
    <cellStyle name="Input 2 3 7 9" xfId="34734"/>
    <cellStyle name="Input 2 3 8" xfId="14427"/>
    <cellStyle name="Input 2 3 8 2" xfId="53762"/>
    <cellStyle name="Input 2 3 8 3" xfId="53763"/>
    <cellStyle name="Input 2 3 8 4" xfId="61865"/>
    <cellStyle name="Input 2 3 9" xfId="53764"/>
    <cellStyle name="Input 2 30" xfId="60765"/>
    <cellStyle name="Input 2 4" xfId="106"/>
    <cellStyle name="Input 2 4 10" xfId="14569"/>
    <cellStyle name="Input 2 4 11" xfId="22924"/>
    <cellStyle name="Input 2 4 12" xfId="53765"/>
    <cellStyle name="Input 2 4 13" xfId="60798"/>
    <cellStyle name="Input 2 4 2" xfId="165"/>
    <cellStyle name="Input 2 4 2 10" xfId="60849"/>
    <cellStyle name="Input 2 4 2 2" xfId="291"/>
    <cellStyle name="Input 2 4 2 2 2" xfId="700"/>
    <cellStyle name="Input 2 4 2 2 2 2" xfId="1651"/>
    <cellStyle name="Input 2 4 2 2 2 2 2" xfId="756"/>
    <cellStyle name="Input 2 4 2 2 2 2 2 2" xfId="2437"/>
    <cellStyle name="Input 2 4 2 2 2 2 2 2 2" xfId="5857"/>
    <cellStyle name="Input 2 4 2 2 2 2 2 2 2 2" xfId="12697"/>
    <cellStyle name="Input 2 4 2 2 2 2 2 2 3" xfId="9277"/>
    <cellStyle name="Input 2 4 2 2 2 2 2 3" xfId="3577"/>
    <cellStyle name="Input 2 4 2 2 2 2 2 3 2" xfId="6997"/>
    <cellStyle name="Input 2 4 2 2 2 2 2 3 2 2" xfId="13837"/>
    <cellStyle name="Input 2 4 2 2 2 2 2 3 3" xfId="10417"/>
    <cellStyle name="Input 2 4 2 2 2 2 2 4" xfId="4717"/>
    <cellStyle name="Input 2 4 2 2 2 2 2 4 2" xfId="11557"/>
    <cellStyle name="Input 2 4 2 2 2 2 2 5" xfId="8137"/>
    <cellStyle name="Input 2 4 2 2 2 2 3" xfId="2485"/>
    <cellStyle name="Input 2 4 2 2 2 2 3 2" xfId="5905"/>
    <cellStyle name="Input 2 4 2 2 2 2 3 2 2" xfId="12745"/>
    <cellStyle name="Input 2 4 2 2 2 2 3 3" xfId="9325"/>
    <cellStyle name="Input 2 4 2 2 2 2 4" xfId="3625"/>
    <cellStyle name="Input 2 4 2 2 2 2 4 2" xfId="7045"/>
    <cellStyle name="Input 2 4 2 2 2 2 4 2 2" xfId="13885"/>
    <cellStyle name="Input 2 4 2 2 2 2 4 3" xfId="10465"/>
    <cellStyle name="Input 2 4 2 2 2 2 5" xfId="4765"/>
    <cellStyle name="Input 2 4 2 2 2 2 5 2" xfId="11605"/>
    <cellStyle name="Input 2 4 2 2 2 2 6" xfId="8185"/>
    <cellStyle name="Input 2 4 2 2 2 2 7" xfId="61444"/>
    <cellStyle name="Input 2 4 2 2 2 2 8" xfId="62013"/>
    <cellStyle name="Input 2 4 2 2 2 3" xfId="38544"/>
    <cellStyle name="Input 2 4 2 2 2 4" xfId="53766"/>
    <cellStyle name="Input 2 4 2 2 2 5" xfId="53767"/>
    <cellStyle name="Input 2 4 2 2 2 6" xfId="53768"/>
    <cellStyle name="Input 2 4 2 2 2 7" xfId="61260"/>
    <cellStyle name="Input 2 4 2 2 3" xfId="1297"/>
    <cellStyle name="Input 2 4 2 2 3 2" xfId="1731"/>
    <cellStyle name="Input 2 4 2 2 3 2 2" xfId="2871"/>
    <cellStyle name="Input 2 4 2 2 3 2 2 2" xfId="6291"/>
    <cellStyle name="Input 2 4 2 2 3 2 2 2 2" xfId="13131"/>
    <cellStyle name="Input 2 4 2 2 3 2 2 3" xfId="9711"/>
    <cellStyle name="Input 2 4 2 2 3 2 3" xfId="4011"/>
    <cellStyle name="Input 2 4 2 2 3 2 3 2" xfId="7431"/>
    <cellStyle name="Input 2 4 2 2 3 2 3 2 2" xfId="14271"/>
    <cellStyle name="Input 2 4 2 2 3 2 3 3" xfId="10851"/>
    <cellStyle name="Input 2 4 2 2 3 2 4" xfId="5151"/>
    <cellStyle name="Input 2 4 2 2 3 2 4 2" xfId="11991"/>
    <cellStyle name="Input 2 4 2 2 3 2 5" xfId="8571"/>
    <cellStyle name="Input 2 4 2 2 3 3" xfId="2117"/>
    <cellStyle name="Input 2 4 2 2 3 3 2" xfId="5537"/>
    <cellStyle name="Input 2 4 2 2 3 3 2 2" xfId="12377"/>
    <cellStyle name="Input 2 4 2 2 3 3 3" xfId="8957"/>
    <cellStyle name="Input 2 4 2 2 3 4" xfId="3257"/>
    <cellStyle name="Input 2 4 2 2 3 4 2" xfId="6677"/>
    <cellStyle name="Input 2 4 2 2 3 4 2 2" xfId="13517"/>
    <cellStyle name="Input 2 4 2 2 3 4 3" xfId="10097"/>
    <cellStyle name="Input 2 4 2 2 3 5" xfId="4397"/>
    <cellStyle name="Input 2 4 2 2 3 5 2" xfId="11237"/>
    <cellStyle name="Input 2 4 2 2 3 6" xfId="7817"/>
    <cellStyle name="Input 2 4 2 2 3 7" xfId="61371"/>
    <cellStyle name="Input 2 4 2 2 3 8" xfId="61961"/>
    <cellStyle name="Input 2 4 2 2 4" xfId="38307"/>
    <cellStyle name="Input 2 4 2 2 5" xfId="53769"/>
    <cellStyle name="Input 2 4 2 2 6" xfId="53770"/>
    <cellStyle name="Input 2 4 2 2 7" xfId="53771"/>
    <cellStyle name="Input 2 4 2 2 8" xfId="53772"/>
    <cellStyle name="Input 2 4 2 2 9" xfId="60973"/>
    <cellStyle name="Input 2 4 2 3" xfId="612"/>
    <cellStyle name="Input 2 4 2 3 2" xfId="1599"/>
    <cellStyle name="Input 2 4 2 3 2 2" xfId="808"/>
    <cellStyle name="Input 2 4 2 3 2 2 2" xfId="2591"/>
    <cellStyle name="Input 2 4 2 3 2 2 2 2" xfId="6011"/>
    <cellStyle name="Input 2 4 2 3 2 2 2 2 2" xfId="12851"/>
    <cellStyle name="Input 2 4 2 3 2 2 2 3" xfId="9431"/>
    <cellStyle name="Input 2 4 2 3 2 2 3" xfId="3731"/>
    <cellStyle name="Input 2 4 2 3 2 2 3 2" xfId="7151"/>
    <cellStyle name="Input 2 4 2 3 2 2 3 2 2" xfId="13991"/>
    <cellStyle name="Input 2 4 2 3 2 2 3 3" xfId="10571"/>
    <cellStyle name="Input 2 4 2 3 2 2 4" xfId="4871"/>
    <cellStyle name="Input 2 4 2 3 2 2 4 2" xfId="11711"/>
    <cellStyle name="Input 2 4 2 3 2 2 5" xfId="8291"/>
    <cellStyle name="Input 2 4 2 3 2 3" xfId="2424"/>
    <cellStyle name="Input 2 4 2 3 2 3 2" xfId="5844"/>
    <cellStyle name="Input 2 4 2 3 2 3 2 2" xfId="12684"/>
    <cellStyle name="Input 2 4 2 3 2 3 3" xfId="9264"/>
    <cellStyle name="Input 2 4 2 3 2 4" xfId="3564"/>
    <cellStyle name="Input 2 4 2 3 2 4 2" xfId="6984"/>
    <cellStyle name="Input 2 4 2 3 2 4 2 2" xfId="13824"/>
    <cellStyle name="Input 2 4 2 3 2 4 3" xfId="10404"/>
    <cellStyle name="Input 2 4 2 3 2 5" xfId="4704"/>
    <cellStyle name="Input 2 4 2 3 2 5 2" xfId="11544"/>
    <cellStyle name="Input 2 4 2 3 2 6" xfId="8124"/>
    <cellStyle name="Input 2 4 2 3 2 7" xfId="61407"/>
    <cellStyle name="Input 2 4 2 3 2 8" xfId="61986"/>
    <cellStyle name="Input 2 4 2 3 3" xfId="38493"/>
    <cellStyle name="Input 2 4 2 3 4" xfId="53773"/>
    <cellStyle name="Input 2 4 2 3 5" xfId="53774"/>
    <cellStyle name="Input 2 4 2 3 6" xfId="53775"/>
    <cellStyle name="Input 2 4 2 3 7" xfId="61261"/>
    <cellStyle name="Input 2 4 2 4" xfId="1173"/>
    <cellStyle name="Input 2 4 2 4 2" xfId="1723"/>
    <cellStyle name="Input 2 4 2 4 2 2" xfId="2863"/>
    <cellStyle name="Input 2 4 2 4 2 2 2" xfId="6283"/>
    <cellStyle name="Input 2 4 2 4 2 2 2 2" xfId="13123"/>
    <cellStyle name="Input 2 4 2 4 2 2 3" xfId="9703"/>
    <cellStyle name="Input 2 4 2 4 2 3" xfId="4003"/>
    <cellStyle name="Input 2 4 2 4 2 3 2" xfId="7423"/>
    <cellStyle name="Input 2 4 2 4 2 3 2 2" xfId="14263"/>
    <cellStyle name="Input 2 4 2 4 2 3 3" xfId="10843"/>
    <cellStyle name="Input 2 4 2 4 2 4" xfId="5143"/>
    <cellStyle name="Input 2 4 2 4 2 4 2" xfId="11983"/>
    <cellStyle name="Input 2 4 2 4 2 5" xfId="8563"/>
    <cellStyle name="Input 2 4 2 4 3" xfId="1992"/>
    <cellStyle name="Input 2 4 2 4 3 2" xfId="5412"/>
    <cellStyle name="Input 2 4 2 4 3 2 2" xfId="12252"/>
    <cellStyle name="Input 2 4 2 4 3 3" xfId="8832"/>
    <cellStyle name="Input 2 4 2 4 4" xfId="3132"/>
    <cellStyle name="Input 2 4 2 4 4 2" xfId="6552"/>
    <cellStyle name="Input 2 4 2 4 4 2 2" xfId="13392"/>
    <cellStyle name="Input 2 4 2 4 4 3" xfId="9972"/>
    <cellStyle name="Input 2 4 2 4 5" xfId="4272"/>
    <cellStyle name="Input 2 4 2 4 5 2" xfId="11112"/>
    <cellStyle name="Input 2 4 2 4 6" xfId="7692"/>
    <cellStyle name="Input 2 4 2 4 7" xfId="61408"/>
    <cellStyle name="Input 2 4 2 4 8" xfId="61987"/>
    <cellStyle name="Input 2 4 2 5" xfId="15648"/>
    <cellStyle name="Input 2 4 2 6" xfId="23960"/>
    <cellStyle name="Input 2 4 2 7" xfId="31257"/>
    <cellStyle name="Input 2 4 2 8" xfId="53776"/>
    <cellStyle name="Input 2 4 2 9" xfId="53777"/>
    <cellStyle name="Input 2 4 3" xfId="331"/>
    <cellStyle name="Input 2 4 3 2" xfId="472"/>
    <cellStyle name="Input 2 4 3 2 2" xfId="1476"/>
    <cellStyle name="Input 2 4 3 2 2 2" xfId="871"/>
    <cellStyle name="Input 2 4 3 2 2 2 2" xfId="2514"/>
    <cellStyle name="Input 2 4 3 2 2 2 2 2" xfId="5934"/>
    <cellStyle name="Input 2 4 3 2 2 2 2 2 2" xfId="12774"/>
    <cellStyle name="Input 2 4 3 2 2 2 2 3" xfId="9354"/>
    <cellStyle name="Input 2 4 3 2 2 2 3" xfId="3654"/>
    <cellStyle name="Input 2 4 3 2 2 2 3 2" xfId="7074"/>
    <cellStyle name="Input 2 4 3 2 2 2 3 2 2" xfId="13914"/>
    <cellStyle name="Input 2 4 3 2 2 2 3 3" xfId="10494"/>
    <cellStyle name="Input 2 4 3 2 2 2 4" xfId="4794"/>
    <cellStyle name="Input 2 4 3 2 2 2 4 2" xfId="11634"/>
    <cellStyle name="Input 2 4 3 2 2 2 5" xfId="8214"/>
    <cellStyle name="Input 2 4 3 2 2 3" xfId="2297"/>
    <cellStyle name="Input 2 4 3 2 2 3 2" xfId="5717"/>
    <cellStyle name="Input 2 4 3 2 2 3 2 2" xfId="12557"/>
    <cellStyle name="Input 2 4 3 2 2 3 3" xfId="9137"/>
    <cellStyle name="Input 2 4 3 2 2 4" xfId="3437"/>
    <cellStyle name="Input 2 4 3 2 2 4 2" xfId="6857"/>
    <cellStyle name="Input 2 4 3 2 2 4 2 2" xfId="13697"/>
    <cellStyle name="Input 2 4 3 2 2 4 3" xfId="10277"/>
    <cellStyle name="Input 2 4 3 2 2 5" xfId="4577"/>
    <cellStyle name="Input 2 4 3 2 2 5 2" xfId="11417"/>
    <cellStyle name="Input 2 4 3 2 2 6" xfId="7997"/>
    <cellStyle name="Input 2 4 3 2 2 7" xfId="61703"/>
    <cellStyle name="Input 2 4 3 2 2 8" xfId="62186"/>
    <cellStyle name="Input 2 4 3 2 3" xfId="38423"/>
    <cellStyle name="Input 2 4 3 2 4" xfId="53778"/>
    <cellStyle name="Input 2 4 3 2 5" xfId="53779"/>
    <cellStyle name="Input 2 4 3 2 6" xfId="53780"/>
    <cellStyle name="Input 2 4 3 2 7" xfId="53781"/>
    <cellStyle name="Input 2 4 3 2 8" xfId="61152"/>
    <cellStyle name="Input 2 4 3 3" xfId="1336"/>
    <cellStyle name="Input 2 4 3 3 2" xfId="956"/>
    <cellStyle name="Input 2 4 3 3 2 2" xfId="2517"/>
    <cellStyle name="Input 2 4 3 3 2 2 2" xfId="5937"/>
    <cellStyle name="Input 2 4 3 3 2 2 2 2" xfId="12777"/>
    <cellStyle name="Input 2 4 3 3 2 2 3" xfId="9357"/>
    <cellStyle name="Input 2 4 3 3 2 3" xfId="3657"/>
    <cellStyle name="Input 2 4 3 3 2 3 2" xfId="7077"/>
    <cellStyle name="Input 2 4 3 3 2 3 2 2" xfId="13917"/>
    <cellStyle name="Input 2 4 3 3 2 3 3" xfId="10497"/>
    <cellStyle name="Input 2 4 3 3 2 4" xfId="4797"/>
    <cellStyle name="Input 2 4 3 3 2 4 2" xfId="11637"/>
    <cellStyle name="Input 2 4 3 3 2 5" xfId="8217"/>
    <cellStyle name="Input 2 4 3 3 3" xfId="2157"/>
    <cellStyle name="Input 2 4 3 3 3 2" xfId="5577"/>
    <cellStyle name="Input 2 4 3 3 3 2 2" xfId="12417"/>
    <cellStyle name="Input 2 4 3 3 3 3" xfId="8997"/>
    <cellStyle name="Input 2 4 3 3 4" xfId="3297"/>
    <cellStyle name="Input 2 4 3 3 4 2" xfId="6717"/>
    <cellStyle name="Input 2 4 3 3 4 2 2" xfId="13557"/>
    <cellStyle name="Input 2 4 3 3 4 3" xfId="10137"/>
    <cellStyle name="Input 2 4 3 3 5" xfId="4437"/>
    <cellStyle name="Input 2 4 3 3 5 2" xfId="11277"/>
    <cellStyle name="Input 2 4 3 3 6" xfId="7857"/>
    <cellStyle name="Input 2 4 3 3 7" xfId="61370"/>
    <cellStyle name="Input 2 4 3 3 8" xfId="61960"/>
    <cellStyle name="Input 2 4 3 4" xfId="16615"/>
    <cellStyle name="Input 2 4 3 5" xfId="24931"/>
    <cellStyle name="Input 2 4 3 6" xfId="32190"/>
    <cellStyle name="Input 2 4 3 7" xfId="53782"/>
    <cellStyle name="Input 2 4 3 8" xfId="53783"/>
    <cellStyle name="Input 2 4 3 9" xfId="61012"/>
    <cellStyle name="Input 2 4 4" xfId="238"/>
    <cellStyle name="Input 2 4 4 2" xfId="471"/>
    <cellStyle name="Input 2 4 4 2 2" xfId="1475"/>
    <cellStyle name="Input 2 4 4 2 2 2" xfId="1847"/>
    <cellStyle name="Input 2 4 4 2 2 2 2" xfId="2987"/>
    <cellStyle name="Input 2 4 4 2 2 2 2 2" xfId="6407"/>
    <cellStyle name="Input 2 4 4 2 2 2 2 2 2" xfId="13247"/>
    <cellStyle name="Input 2 4 4 2 2 2 2 3" xfId="9827"/>
    <cellStyle name="Input 2 4 4 2 2 2 3" xfId="4127"/>
    <cellStyle name="Input 2 4 4 2 2 2 3 2" xfId="7547"/>
    <cellStyle name="Input 2 4 4 2 2 2 3 2 2" xfId="14387"/>
    <cellStyle name="Input 2 4 4 2 2 2 3 3" xfId="10967"/>
    <cellStyle name="Input 2 4 4 2 2 2 4" xfId="5267"/>
    <cellStyle name="Input 2 4 4 2 2 2 4 2" xfId="12107"/>
    <cellStyle name="Input 2 4 4 2 2 2 5" xfId="8687"/>
    <cellStyle name="Input 2 4 4 2 2 3" xfId="2296"/>
    <cellStyle name="Input 2 4 4 2 2 3 2" xfId="5716"/>
    <cellStyle name="Input 2 4 4 2 2 3 2 2" xfId="12556"/>
    <cellStyle name="Input 2 4 4 2 2 3 3" xfId="9136"/>
    <cellStyle name="Input 2 4 4 2 2 4" xfId="3436"/>
    <cellStyle name="Input 2 4 4 2 2 4 2" xfId="6856"/>
    <cellStyle name="Input 2 4 4 2 2 4 2 2" xfId="13696"/>
    <cellStyle name="Input 2 4 4 2 2 4 3" xfId="10276"/>
    <cellStyle name="Input 2 4 4 2 2 5" xfId="4576"/>
    <cellStyle name="Input 2 4 4 2 2 5 2" xfId="11416"/>
    <cellStyle name="Input 2 4 4 2 2 6" xfId="7996"/>
    <cellStyle name="Input 2 4 4 2 2 7" xfId="61701"/>
    <cellStyle name="Input 2 4 4 2 2 8" xfId="62184"/>
    <cellStyle name="Input 2 4 4 2 3" xfId="38422"/>
    <cellStyle name="Input 2 4 4 2 4" xfId="53784"/>
    <cellStyle name="Input 2 4 4 2 5" xfId="53785"/>
    <cellStyle name="Input 2 4 4 2 6" xfId="53786"/>
    <cellStyle name="Input 2 4 4 2 7" xfId="53787"/>
    <cellStyle name="Input 2 4 4 2 8" xfId="61151"/>
    <cellStyle name="Input 2 4 4 3" xfId="1245"/>
    <cellStyle name="Input 2 4 4 3 2" xfId="1838"/>
    <cellStyle name="Input 2 4 4 3 2 2" xfId="2978"/>
    <cellStyle name="Input 2 4 4 3 2 2 2" xfId="6398"/>
    <cellStyle name="Input 2 4 4 3 2 2 2 2" xfId="13238"/>
    <cellStyle name="Input 2 4 4 3 2 2 3" xfId="9818"/>
    <cellStyle name="Input 2 4 4 3 2 3" xfId="4118"/>
    <cellStyle name="Input 2 4 4 3 2 3 2" xfId="7538"/>
    <cellStyle name="Input 2 4 4 3 2 3 2 2" xfId="14378"/>
    <cellStyle name="Input 2 4 4 3 2 3 3" xfId="10958"/>
    <cellStyle name="Input 2 4 4 3 2 4" xfId="5258"/>
    <cellStyle name="Input 2 4 4 3 2 4 2" xfId="12098"/>
    <cellStyle name="Input 2 4 4 3 2 5" xfId="8678"/>
    <cellStyle name="Input 2 4 4 3 3" xfId="2065"/>
    <cellStyle name="Input 2 4 4 3 3 2" xfId="5485"/>
    <cellStyle name="Input 2 4 4 3 3 2 2" xfId="12325"/>
    <cellStyle name="Input 2 4 4 3 3 3" xfId="8905"/>
    <cellStyle name="Input 2 4 4 3 4" xfId="3205"/>
    <cellStyle name="Input 2 4 4 3 4 2" xfId="6625"/>
    <cellStyle name="Input 2 4 4 3 4 2 2" xfId="13465"/>
    <cellStyle name="Input 2 4 4 3 4 3" xfId="10045"/>
    <cellStyle name="Input 2 4 4 3 5" xfId="4345"/>
    <cellStyle name="Input 2 4 4 3 5 2" xfId="11185"/>
    <cellStyle name="Input 2 4 4 3 6" xfId="7765"/>
    <cellStyle name="Input 2 4 4 3 7" xfId="61702"/>
    <cellStyle name="Input 2 4 4 3 8" xfId="62185"/>
    <cellStyle name="Input 2 4 4 4" xfId="17635"/>
    <cellStyle name="Input 2 4 4 5" xfId="25957"/>
    <cellStyle name="Input 2 4 4 6" xfId="33167"/>
    <cellStyle name="Input 2 4 4 7" xfId="53788"/>
    <cellStyle name="Input 2 4 4 8" xfId="53789"/>
    <cellStyle name="Input 2 4 4 9" xfId="60921"/>
    <cellStyle name="Input 2 4 5" xfId="496"/>
    <cellStyle name="Input 2 4 5 2" xfId="375"/>
    <cellStyle name="Input 2 4 5 2 2" xfId="1380"/>
    <cellStyle name="Input 2 4 5 2 2 2" xfId="918"/>
    <cellStyle name="Input 2 4 5 2 2 2 2" xfId="2576"/>
    <cellStyle name="Input 2 4 5 2 2 2 2 2" xfId="5996"/>
    <cellStyle name="Input 2 4 5 2 2 2 2 2 2" xfId="12836"/>
    <cellStyle name="Input 2 4 5 2 2 2 2 3" xfId="9416"/>
    <cellStyle name="Input 2 4 5 2 2 2 3" xfId="3716"/>
    <cellStyle name="Input 2 4 5 2 2 2 3 2" xfId="7136"/>
    <cellStyle name="Input 2 4 5 2 2 2 3 2 2" xfId="13976"/>
    <cellStyle name="Input 2 4 5 2 2 2 3 3" xfId="10556"/>
    <cellStyle name="Input 2 4 5 2 2 2 4" xfId="4856"/>
    <cellStyle name="Input 2 4 5 2 2 2 4 2" xfId="11696"/>
    <cellStyle name="Input 2 4 5 2 2 2 5" xfId="8276"/>
    <cellStyle name="Input 2 4 5 2 2 3" xfId="2201"/>
    <cellStyle name="Input 2 4 5 2 2 3 2" xfId="5621"/>
    <cellStyle name="Input 2 4 5 2 2 3 2 2" xfId="12461"/>
    <cellStyle name="Input 2 4 5 2 2 3 3" xfId="9041"/>
    <cellStyle name="Input 2 4 5 2 2 4" xfId="3341"/>
    <cellStyle name="Input 2 4 5 2 2 4 2" xfId="6761"/>
    <cellStyle name="Input 2 4 5 2 2 4 2 2" xfId="13601"/>
    <cellStyle name="Input 2 4 5 2 2 4 3" xfId="10181"/>
    <cellStyle name="Input 2 4 5 2 2 5" xfId="4481"/>
    <cellStyle name="Input 2 4 5 2 2 5 2" xfId="11321"/>
    <cellStyle name="Input 2 4 5 2 2 6" xfId="7901"/>
    <cellStyle name="Input 2 4 5 2 2 7" xfId="61699"/>
    <cellStyle name="Input 2 4 5 2 2 8" xfId="62182"/>
    <cellStyle name="Input 2 4 5 2 3" xfId="38358"/>
    <cellStyle name="Input 2 4 5 2 4" xfId="53790"/>
    <cellStyle name="Input 2 4 5 2 5" xfId="53791"/>
    <cellStyle name="Input 2 4 5 2 6" xfId="53792"/>
    <cellStyle name="Input 2 4 5 2 7" xfId="53793"/>
    <cellStyle name="Input 2 4 5 2 8" xfId="61056"/>
    <cellStyle name="Input 2 4 5 3" xfId="1500"/>
    <cellStyle name="Input 2 4 5 3 2" xfId="1860"/>
    <cellStyle name="Input 2 4 5 3 2 2" xfId="3000"/>
    <cellStyle name="Input 2 4 5 3 2 2 2" xfId="6420"/>
    <cellStyle name="Input 2 4 5 3 2 2 2 2" xfId="13260"/>
    <cellStyle name="Input 2 4 5 3 2 2 3" xfId="9840"/>
    <cellStyle name="Input 2 4 5 3 2 3" xfId="4140"/>
    <cellStyle name="Input 2 4 5 3 2 3 2" xfId="7560"/>
    <cellStyle name="Input 2 4 5 3 2 3 2 2" xfId="14400"/>
    <cellStyle name="Input 2 4 5 3 2 3 3" xfId="10980"/>
    <cellStyle name="Input 2 4 5 3 2 4" xfId="5280"/>
    <cellStyle name="Input 2 4 5 3 2 4 2" xfId="12120"/>
    <cellStyle name="Input 2 4 5 3 2 5" xfId="8700"/>
    <cellStyle name="Input 2 4 5 3 3" xfId="2321"/>
    <cellStyle name="Input 2 4 5 3 3 2" xfId="5741"/>
    <cellStyle name="Input 2 4 5 3 3 2 2" xfId="12581"/>
    <cellStyle name="Input 2 4 5 3 3 3" xfId="9161"/>
    <cellStyle name="Input 2 4 5 3 4" xfId="3461"/>
    <cellStyle name="Input 2 4 5 3 4 2" xfId="6881"/>
    <cellStyle name="Input 2 4 5 3 4 2 2" xfId="13721"/>
    <cellStyle name="Input 2 4 5 3 4 3" xfId="10301"/>
    <cellStyle name="Input 2 4 5 3 5" xfId="4601"/>
    <cellStyle name="Input 2 4 5 3 5 2" xfId="11441"/>
    <cellStyle name="Input 2 4 5 3 6" xfId="8021"/>
    <cellStyle name="Input 2 4 5 3 7" xfId="61700"/>
    <cellStyle name="Input 2 4 5 3 8" xfId="62183"/>
    <cellStyle name="Input 2 4 5 4" xfId="18617"/>
    <cellStyle name="Input 2 4 5 5" xfId="26936"/>
    <cellStyle name="Input 2 4 5 6" xfId="34104"/>
    <cellStyle name="Input 2 4 5 7" xfId="53794"/>
    <cellStyle name="Input 2 4 5 8" xfId="53795"/>
    <cellStyle name="Input 2 4 5 9" xfId="61176"/>
    <cellStyle name="Input 2 4 6" xfId="516"/>
    <cellStyle name="Input 2 4 6 2" xfId="376"/>
    <cellStyle name="Input 2 4 6 2 2" xfId="1381"/>
    <cellStyle name="Input 2 4 6 2 2 2" xfId="1726"/>
    <cellStyle name="Input 2 4 6 2 2 2 2" xfId="2866"/>
    <cellStyle name="Input 2 4 6 2 2 2 2 2" xfId="6286"/>
    <cellStyle name="Input 2 4 6 2 2 2 2 2 2" xfId="13126"/>
    <cellStyle name="Input 2 4 6 2 2 2 2 3" xfId="9706"/>
    <cellStyle name="Input 2 4 6 2 2 2 3" xfId="4006"/>
    <cellStyle name="Input 2 4 6 2 2 2 3 2" xfId="7426"/>
    <cellStyle name="Input 2 4 6 2 2 2 3 2 2" xfId="14266"/>
    <cellStyle name="Input 2 4 6 2 2 2 3 3" xfId="10846"/>
    <cellStyle name="Input 2 4 6 2 2 2 4" xfId="5146"/>
    <cellStyle name="Input 2 4 6 2 2 2 4 2" xfId="11986"/>
    <cellStyle name="Input 2 4 6 2 2 2 5" xfId="8566"/>
    <cellStyle name="Input 2 4 6 2 2 3" xfId="2202"/>
    <cellStyle name="Input 2 4 6 2 2 3 2" xfId="5622"/>
    <cellStyle name="Input 2 4 6 2 2 3 2 2" xfId="12462"/>
    <cellStyle name="Input 2 4 6 2 2 3 3" xfId="9042"/>
    <cellStyle name="Input 2 4 6 2 2 4" xfId="3342"/>
    <cellStyle name="Input 2 4 6 2 2 4 2" xfId="6762"/>
    <cellStyle name="Input 2 4 6 2 2 4 2 2" xfId="13602"/>
    <cellStyle name="Input 2 4 6 2 2 4 3" xfId="10182"/>
    <cellStyle name="Input 2 4 6 2 2 5" xfId="4482"/>
    <cellStyle name="Input 2 4 6 2 2 5 2" xfId="11322"/>
    <cellStyle name="Input 2 4 6 2 2 6" xfId="7902"/>
    <cellStyle name="Input 2 4 6 2 2 7" xfId="61697"/>
    <cellStyle name="Input 2 4 6 2 2 8" xfId="62180"/>
    <cellStyle name="Input 2 4 6 2 3" xfId="38359"/>
    <cellStyle name="Input 2 4 6 2 4" xfId="53796"/>
    <cellStyle name="Input 2 4 6 2 5" xfId="53797"/>
    <cellStyle name="Input 2 4 6 2 6" xfId="53798"/>
    <cellStyle name="Input 2 4 6 2 7" xfId="53799"/>
    <cellStyle name="Input 2 4 6 2 8" xfId="61057"/>
    <cellStyle name="Input 2 4 6 3" xfId="1520"/>
    <cellStyle name="Input 2 4 6 3 2" xfId="849"/>
    <cellStyle name="Input 2 4 6 3 2 2" xfId="2494"/>
    <cellStyle name="Input 2 4 6 3 2 2 2" xfId="5914"/>
    <cellStyle name="Input 2 4 6 3 2 2 2 2" xfId="12754"/>
    <cellStyle name="Input 2 4 6 3 2 2 3" xfId="9334"/>
    <cellStyle name="Input 2 4 6 3 2 3" xfId="3634"/>
    <cellStyle name="Input 2 4 6 3 2 3 2" xfId="7054"/>
    <cellStyle name="Input 2 4 6 3 2 3 2 2" xfId="13894"/>
    <cellStyle name="Input 2 4 6 3 2 3 3" xfId="10474"/>
    <cellStyle name="Input 2 4 6 3 2 4" xfId="4774"/>
    <cellStyle name="Input 2 4 6 3 2 4 2" xfId="11614"/>
    <cellStyle name="Input 2 4 6 3 2 5" xfId="8194"/>
    <cellStyle name="Input 2 4 6 3 3" xfId="2341"/>
    <cellStyle name="Input 2 4 6 3 3 2" xfId="5761"/>
    <cellStyle name="Input 2 4 6 3 3 2 2" xfId="12601"/>
    <cellStyle name="Input 2 4 6 3 3 3" xfId="9181"/>
    <cellStyle name="Input 2 4 6 3 4" xfId="3481"/>
    <cellStyle name="Input 2 4 6 3 4 2" xfId="6901"/>
    <cellStyle name="Input 2 4 6 3 4 2 2" xfId="13741"/>
    <cellStyle name="Input 2 4 6 3 4 3" xfId="10321"/>
    <cellStyle name="Input 2 4 6 3 5" xfId="4621"/>
    <cellStyle name="Input 2 4 6 3 5 2" xfId="11461"/>
    <cellStyle name="Input 2 4 6 3 6" xfId="8041"/>
    <cellStyle name="Input 2 4 6 3 7" xfId="61698"/>
    <cellStyle name="Input 2 4 6 3 8" xfId="62181"/>
    <cellStyle name="Input 2 4 6 4" xfId="19585"/>
    <cellStyle name="Input 2 4 6 5" xfId="27905"/>
    <cellStyle name="Input 2 4 6 6" xfId="35050"/>
    <cellStyle name="Input 2 4 6 7" xfId="53800"/>
    <cellStyle name="Input 2 4 6 8" xfId="53801"/>
    <cellStyle name="Input 2 4 6 9" xfId="61196"/>
    <cellStyle name="Input 2 4 7" xfId="1122"/>
    <cellStyle name="Input 2 4 7 10" xfId="61877"/>
    <cellStyle name="Input 2 4 7 11" xfId="62336"/>
    <cellStyle name="Input 2 4 7 2" xfId="1065"/>
    <cellStyle name="Input 2 4 7 2 2" xfId="2568"/>
    <cellStyle name="Input 2 4 7 2 2 2" xfId="5988"/>
    <cellStyle name="Input 2 4 7 2 2 2 2" xfId="12828"/>
    <cellStyle name="Input 2 4 7 2 2 3" xfId="9408"/>
    <cellStyle name="Input 2 4 7 2 3" xfId="3708"/>
    <cellStyle name="Input 2 4 7 2 3 2" xfId="7128"/>
    <cellStyle name="Input 2 4 7 2 3 2 2" xfId="13968"/>
    <cellStyle name="Input 2 4 7 2 3 3" xfId="10548"/>
    <cellStyle name="Input 2 4 7 2 4" xfId="4848"/>
    <cellStyle name="Input 2 4 7 2 4 2" xfId="11688"/>
    <cellStyle name="Input 2 4 7 2 5" xfId="8268"/>
    <cellStyle name="Input 2 4 7 3" xfId="1936"/>
    <cellStyle name="Input 2 4 7 3 2" xfId="5356"/>
    <cellStyle name="Input 2 4 7 3 2 2" xfId="12196"/>
    <cellStyle name="Input 2 4 7 3 3" xfId="8776"/>
    <cellStyle name="Input 2 4 7 4" xfId="3076"/>
    <cellStyle name="Input 2 4 7 4 2" xfId="6496"/>
    <cellStyle name="Input 2 4 7 4 2 2" xfId="13336"/>
    <cellStyle name="Input 2 4 7 4 3" xfId="9916"/>
    <cellStyle name="Input 2 4 7 5" xfId="4216"/>
    <cellStyle name="Input 2 4 7 5 2" xfId="11056"/>
    <cellStyle name="Input 2 4 7 6" xfId="7636"/>
    <cellStyle name="Input 2 4 7 7" xfId="20543"/>
    <cellStyle name="Input 2 4 7 8" xfId="28864"/>
    <cellStyle name="Input 2 4 7 9" xfId="35967"/>
    <cellStyle name="Input 2 4 8" xfId="21356"/>
    <cellStyle name="Input 2 4 8 2" xfId="29659"/>
    <cellStyle name="Input 2 4 8 2 2" xfId="53802"/>
    <cellStyle name="Input 2 4 8 2 3" xfId="53803"/>
    <cellStyle name="Input 2 4 8 3" xfId="36724"/>
    <cellStyle name="Input 2 4 8 4" xfId="53804"/>
    <cellStyle name="Input 2 4 9" xfId="21978"/>
    <cellStyle name="Input 2 4 9 2" xfId="30278"/>
    <cellStyle name="Input 2 4 9 2 2" xfId="53805"/>
    <cellStyle name="Input 2 4 9 2 3" xfId="53806"/>
    <cellStyle name="Input 2 4 9 3" xfId="37318"/>
    <cellStyle name="Input 2 4 9 4" xfId="53807"/>
    <cellStyle name="Input 2 5" xfId="132"/>
    <cellStyle name="Input 2 5 10" xfId="14566"/>
    <cellStyle name="Input 2 5 11" xfId="22922"/>
    <cellStyle name="Input 2 5 12" xfId="53808"/>
    <cellStyle name="Input 2 5 13" xfId="60817"/>
    <cellStyle name="Input 2 5 2" xfId="258"/>
    <cellStyle name="Input 2 5 2 2" xfId="668"/>
    <cellStyle name="Input 2 5 2 2 2" xfId="1619"/>
    <cellStyle name="Input 2 5 2 2 2 2" xfId="788"/>
    <cellStyle name="Input 2 5 2 2 2 2 2" xfId="2759"/>
    <cellStyle name="Input 2 5 2 2 2 2 2 2" xfId="6179"/>
    <cellStyle name="Input 2 5 2 2 2 2 2 2 2" xfId="13019"/>
    <cellStyle name="Input 2 5 2 2 2 2 2 3" xfId="9599"/>
    <cellStyle name="Input 2 5 2 2 2 2 3" xfId="3899"/>
    <cellStyle name="Input 2 5 2 2 2 2 3 2" xfId="7319"/>
    <cellStyle name="Input 2 5 2 2 2 2 3 2 2" xfId="14159"/>
    <cellStyle name="Input 2 5 2 2 2 2 3 3" xfId="10739"/>
    <cellStyle name="Input 2 5 2 2 2 2 4" xfId="5039"/>
    <cellStyle name="Input 2 5 2 2 2 2 4 2" xfId="11879"/>
    <cellStyle name="Input 2 5 2 2 2 2 5" xfId="8459"/>
    <cellStyle name="Input 2 5 2 2 2 3" xfId="2453"/>
    <cellStyle name="Input 2 5 2 2 2 3 2" xfId="5873"/>
    <cellStyle name="Input 2 5 2 2 2 3 2 2" xfId="12713"/>
    <cellStyle name="Input 2 5 2 2 2 3 3" xfId="9293"/>
    <cellStyle name="Input 2 5 2 2 2 4" xfId="3593"/>
    <cellStyle name="Input 2 5 2 2 2 4 2" xfId="7013"/>
    <cellStyle name="Input 2 5 2 2 2 4 2 2" xfId="13853"/>
    <cellStyle name="Input 2 5 2 2 2 4 3" xfId="10433"/>
    <cellStyle name="Input 2 5 2 2 2 5" xfId="4733"/>
    <cellStyle name="Input 2 5 2 2 2 5 2" xfId="11573"/>
    <cellStyle name="Input 2 5 2 2 2 6" xfId="8153"/>
    <cellStyle name="Input 2 5 2 2 2 7" xfId="61695"/>
    <cellStyle name="Input 2 5 2 2 2 8" xfId="62178"/>
    <cellStyle name="Input 2 5 2 2 3" xfId="38512"/>
    <cellStyle name="Input 2 5 2 2 4" xfId="53809"/>
    <cellStyle name="Input 2 5 2 2 5" xfId="53810"/>
    <cellStyle name="Input 2 5 2 2 6" xfId="53811"/>
    <cellStyle name="Input 2 5 2 2 7" xfId="53812"/>
    <cellStyle name="Input 2 5 2 2 8" xfId="61262"/>
    <cellStyle name="Input 2 5 2 3" xfId="1265"/>
    <cellStyle name="Input 2 5 2 3 2" xfId="996"/>
    <cellStyle name="Input 2 5 2 3 2 2" xfId="2642"/>
    <cellStyle name="Input 2 5 2 3 2 2 2" xfId="6062"/>
    <cellStyle name="Input 2 5 2 3 2 2 2 2" xfId="12902"/>
    <cellStyle name="Input 2 5 2 3 2 2 3" xfId="9482"/>
    <cellStyle name="Input 2 5 2 3 2 3" xfId="3782"/>
    <cellStyle name="Input 2 5 2 3 2 3 2" xfId="7202"/>
    <cellStyle name="Input 2 5 2 3 2 3 2 2" xfId="14042"/>
    <cellStyle name="Input 2 5 2 3 2 3 3" xfId="10622"/>
    <cellStyle name="Input 2 5 2 3 2 4" xfId="4922"/>
    <cellStyle name="Input 2 5 2 3 2 4 2" xfId="11762"/>
    <cellStyle name="Input 2 5 2 3 2 5" xfId="8342"/>
    <cellStyle name="Input 2 5 2 3 3" xfId="2085"/>
    <cellStyle name="Input 2 5 2 3 3 2" xfId="5505"/>
    <cellStyle name="Input 2 5 2 3 3 2 2" xfId="12345"/>
    <cellStyle name="Input 2 5 2 3 3 3" xfId="8925"/>
    <cellStyle name="Input 2 5 2 3 4" xfId="3225"/>
    <cellStyle name="Input 2 5 2 3 4 2" xfId="6645"/>
    <cellStyle name="Input 2 5 2 3 4 2 2" xfId="13485"/>
    <cellStyle name="Input 2 5 2 3 4 3" xfId="10065"/>
    <cellStyle name="Input 2 5 2 3 5" xfId="4365"/>
    <cellStyle name="Input 2 5 2 3 5 2" xfId="11205"/>
    <cellStyle name="Input 2 5 2 3 6" xfId="7785"/>
    <cellStyle name="Input 2 5 2 3 7" xfId="61696"/>
    <cellStyle name="Input 2 5 2 3 8" xfId="62179"/>
    <cellStyle name="Input 2 5 2 4" xfId="15645"/>
    <cellStyle name="Input 2 5 2 5" xfId="23958"/>
    <cellStyle name="Input 2 5 2 6" xfId="31255"/>
    <cellStyle name="Input 2 5 2 7" xfId="53813"/>
    <cellStyle name="Input 2 5 2 8" xfId="53814"/>
    <cellStyle name="Input 2 5 2 9" xfId="60941"/>
    <cellStyle name="Input 2 5 3" xfId="580"/>
    <cellStyle name="Input 2 5 3 2" xfId="1567"/>
    <cellStyle name="Input 2 5 3 2 2" xfId="1667"/>
    <cellStyle name="Input 2 5 3 2 2 2" xfId="2807"/>
    <cellStyle name="Input 2 5 3 2 2 2 2" xfId="6227"/>
    <cellStyle name="Input 2 5 3 2 2 2 2 2" xfId="13067"/>
    <cellStyle name="Input 2 5 3 2 2 2 3" xfId="9647"/>
    <cellStyle name="Input 2 5 3 2 2 3" xfId="3947"/>
    <cellStyle name="Input 2 5 3 2 2 3 2" xfId="7367"/>
    <cellStyle name="Input 2 5 3 2 2 3 2 2" xfId="14207"/>
    <cellStyle name="Input 2 5 3 2 2 3 3" xfId="10787"/>
    <cellStyle name="Input 2 5 3 2 2 4" xfId="5087"/>
    <cellStyle name="Input 2 5 3 2 2 4 2" xfId="11927"/>
    <cellStyle name="Input 2 5 3 2 2 5" xfId="8507"/>
    <cellStyle name="Input 2 5 3 2 3" xfId="2392"/>
    <cellStyle name="Input 2 5 3 2 3 2" xfId="5812"/>
    <cellStyle name="Input 2 5 3 2 3 2 2" xfId="12652"/>
    <cellStyle name="Input 2 5 3 2 3 3" xfId="9232"/>
    <cellStyle name="Input 2 5 3 2 4" xfId="3532"/>
    <cellStyle name="Input 2 5 3 2 4 2" xfId="6952"/>
    <cellStyle name="Input 2 5 3 2 4 2 2" xfId="13792"/>
    <cellStyle name="Input 2 5 3 2 4 3" xfId="10372"/>
    <cellStyle name="Input 2 5 3 2 5" xfId="4672"/>
    <cellStyle name="Input 2 5 3 2 5 2" xfId="11512"/>
    <cellStyle name="Input 2 5 3 2 6" xfId="8092"/>
    <cellStyle name="Input 2 5 3 2 7" xfId="61694"/>
    <cellStyle name="Input 2 5 3 2 8" xfId="62177"/>
    <cellStyle name="Input 2 5 3 3" xfId="16612"/>
    <cellStyle name="Input 2 5 3 4" xfId="24929"/>
    <cellStyle name="Input 2 5 3 5" xfId="32188"/>
    <cellStyle name="Input 2 5 3 6" xfId="53815"/>
    <cellStyle name="Input 2 5 3 7" xfId="53816"/>
    <cellStyle name="Input 2 5 3 8" xfId="53817"/>
    <cellStyle name="Input 2 5 3 9" xfId="61263"/>
    <cellStyle name="Input 2 5 4" xfId="1141"/>
    <cellStyle name="Input 2 5 4 10" xfId="61834"/>
    <cellStyle name="Input 2 5 4 11" xfId="62309"/>
    <cellStyle name="Input 2 5 4 2" xfId="1057"/>
    <cellStyle name="Input 2 5 4 2 2" xfId="2544"/>
    <cellStyle name="Input 2 5 4 2 2 2" xfId="5964"/>
    <cellStyle name="Input 2 5 4 2 2 2 2" xfId="12804"/>
    <cellStyle name="Input 2 5 4 2 2 3" xfId="9384"/>
    <cellStyle name="Input 2 5 4 2 3" xfId="3684"/>
    <cellStyle name="Input 2 5 4 2 3 2" xfId="7104"/>
    <cellStyle name="Input 2 5 4 2 3 2 2" xfId="13944"/>
    <cellStyle name="Input 2 5 4 2 3 3" xfId="10524"/>
    <cellStyle name="Input 2 5 4 2 4" xfId="4824"/>
    <cellStyle name="Input 2 5 4 2 4 2" xfId="11664"/>
    <cellStyle name="Input 2 5 4 2 5" xfId="8244"/>
    <cellStyle name="Input 2 5 4 3" xfId="1960"/>
    <cellStyle name="Input 2 5 4 3 2" xfId="5380"/>
    <cellStyle name="Input 2 5 4 3 2 2" xfId="12220"/>
    <cellStyle name="Input 2 5 4 3 3" xfId="8800"/>
    <cellStyle name="Input 2 5 4 4" xfId="3100"/>
    <cellStyle name="Input 2 5 4 4 2" xfId="6520"/>
    <cellStyle name="Input 2 5 4 4 2 2" xfId="13360"/>
    <cellStyle name="Input 2 5 4 4 3" xfId="9940"/>
    <cellStyle name="Input 2 5 4 5" xfId="4240"/>
    <cellStyle name="Input 2 5 4 5 2" xfId="11080"/>
    <cellStyle name="Input 2 5 4 6" xfId="7660"/>
    <cellStyle name="Input 2 5 4 7" xfId="17632"/>
    <cellStyle name="Input 2 5 4 8" xfId="25955"/>
    <cellStyle name="Input 2 5 4 9" xfId="33165"/>
    <cellStyle name="Input 2 5 5" xfId="18614"/>
    <cellStyle name="Input 2 5 5 2" xfId="26933"/>
    <cellStyle name="Input 2 5 5 2 2" xfId="53818"/>
    <cellStyle name="Input 2 5 5 2 3" xfId="53819"/>
    <cellStyle name="Input 2 5 5 3" xfId="34101"/>
    <cellStyle name="Input 2 5 5 4" xfId="53820"/>
    <cellStyle name="Input 2 5 6" xfId="19582"/>
    <cellStyle name="Input 2 5 6 2" xfId="27903"/>
    <cellStyle name="Input 2 5 6 2 2" xfId="53821"/>
    <cellStyle name="Input 2 5 6 2 3" xfId="53822"/>
    <cellStyle name="Input 2 5 6 3" xfId="35048"/>
    <cellStyle name="Input 2 5 6 4" xfId="53823"/>
    <cellStyle name="Input 2 5 7" xfId="20540"/>
    <cellStyle name="Input 2 5 7 2" xfId="28862"/>
    <cellStyle name="Input 2 5 7 2 2" xfId="53824"/>
    <cellStyle name="Input 2 5 7 2 3" xfId="53825"/>
    <cellStyle name="Input 2 5 7 3" xfId="35965"/>
    <cellStyle name="Input 2 5 7 4" xfId="53826"/>
    <cellStyle name="Input 2 5 8" xfId="21069"/>
    <cellStyle name="Input 2 5 8 2" xfId="29386"/>
    <cellStyle name="Input 2 5 8 2 2" xfId="53827"/>
    <cellStyle name="Input 2 5 8 2 3" xfId="53828"/>
    <cellStyle name="Input 2 5 8 3" xfId="36464"/>
    <cellStyle name="Input 2 5 8 4" xfId="53829"/>
    <cellStyle name="Input 2 5 9" xfId="21975"/>
    <cellStyle name="Input 2 5 9 2" xfId="30276"/>
    <cellStyle name="Input 2 5 9 2 2" xfId="53830"/>
    <cellStyle name="Input 2 5 9 2 3" xfId="53831"/>
    <cellStyle name="Input 2 5 9 3" xfId="37316"/>
    <cellStyle name="Input 2 5 9 4" xfId="53832"/>
    <cellStyle name="Input 2 6" xfId="300"/>
    <cellStyle name="Input 2 6 10" xfId="14613"/>
    <cellStyle name="Input 2 6 11" xfId="22974"/>
    <cellStyle name="Input 2 6 12" xfId="53833"/>
    <cellStyle name="Input 2 6 13" xfId="60982"/>
    <cellStyle name="Input 2 6 2" xfId="340"/>
    <cellStyle name="Input 2 6 2 2" xfId="1345"/>
    <cellStyle name="Input 2 6 2 2 2" xfId="947"/>
    <cellStyle name="Input 2 6 2 2 2 2" xfId="2696"/>
    <cellStyle name="Input 2 6 2 2 2 2 2" xfId="6116"/>
    <cellStyle name="Input 2 6 2 2 2 2 2 2" xfId="12956"/>
    <cellStyle name="Input 2 6 2 2 2 2 3" xfId="9536"/>
    <cellStyle name="Input 2 6 2 2 2 3" xfId="3836"/>
    <cellStyle name="Input 2 6 2 2 2 3 2" xfId="7256"/>
    <cellStyle name="Input 2 6 2 2 2 3 2 2" xfId="14096"/>
    <cellStyle name="Input 2 6 2 2 2 3 3" xfId="10676"/>
    <cellStyle name="Input 2 6 2 2 2 4" xfId="4976"/>
    <cellStyle name="Input 2 6 2 2 2 4 2" xfId="11816"/>
    <cellStyle name="Input 2 6 2 2 2 5" xfId="8396"/>
    <cellStyle name="Input 2 6 2 2 3" xfId="2166"/>
    <cellStyle name="Input 2 6 2 2 3 2" xfId="5586"/>
    <cellStyle name="Input 2 6 2 2 3 2 2" xfId="12426"/>
    <cellStyle name="Input 2 6 2 2 3 3" xfId="9006"/>
    <cellStyle name="Input 2 6 2 2 4" xfId="3306"/>
    <cellStyle name="Input 2 6 2 2 4 2" xfId="6726"/>
    <cellStyle name="Input 2 6 2 2 4 2 2" xfId="13566"/>
    <cellStyle name="Input 2 6 2 2 4 3" xfId="10146"/>
    <cellStyle name="Input 2 6 2 2 5" xfId="4446"/>
    <cellStyle name="Input 2 6 2 2 5 2" xfId="11286"/>
    <cellStyle name="Input 2 6 2 2 6" xfId="7866"/>
    <cellStyle name="Input 2 6 2 2 7" xfId="61692"/>
    <cellStyle name="Input 2 6 2 2 8" xfId="62175"/>
    <cellStyle name="Input 2 6 2 3" xfId="15693"/>
    <cellStyle name="Input 2 6 2 4" xfId="24009"/>
    <cellStyle name="Input 2 6 2 5" xfId="31303"/>
    <cellStyle name="Input 2 6 2 6" xfId="53834"/>
    <cellStyle name="Input 2 6 2 7" xfId="53835"/>
    <cellStyle name="Input 2 6 2 8" xfId="53836"/>
    <cellStyle name="Input 2 6 2 9" xfId="61021"/>
    <cellStyle name="Input 2 6 3" xfId="1306"/>
    <cellStyle name="Input 2 6 3 10" xfId="61693"/>
    <cellStyle name="Input 2 6 3 11" xfId="62176"/>
    <cellStyle name="Input 2 6 3 2" xfId="975"/>
    <cellStyle name="Input 2 6 3 2 2" xfId="2572"/>
    <cellStyle name="Input 2 6 3 2 2 2" xfId="5992"/>
    <cellStyle name="Input 2 6 3 2 2 2 2" xfId="12832"/>
    <cellStyle name="Input 2 6 3 2 2 3" xfId="9412"/>
    <cellStyle name="Input 2 6 3 2 3" xfId="3712"/>
    <cellStyle name="Input 2 6 3 2 3 2" xfId="7132"/>
    <cellStyle name="Input 2 6 3 2 3 2 2" xfId="13972"/>
    <cellStyle name="Input 2 6 3 2 3 3" xfId="10552"/>
    <cellStyle name="Input 2 6 3 2 4" xfId="4852"/>
    <cellStyle name="Input 2 6 3 2 4 2" xfId="11692"/>
    <cellStyle name="Input 2 6 3 2 5" xfId="8272"/>
    <cellStyle name="Input 2 6 3 3" xfId="2126"/>
    <cellStyle name="Input 2 6 3 3 2" xfId="5546"/>
    <cellStyle name="Input 2 6 3 3 2 2" xfId="12386"/>
    <cellStyle name="Input 2 6 3 3 3" xfId="8966"/>
    <cellStyle name="Input 2 6 3 4" xfId="3266"/>
    <cellStyle name="Input 2 6 3 4 2" xfId="6686"/>
    <cellStyle name="Input 2 6 3 4 2 2" xfId="13526"/>
    <cellStyle name="Input 2 6 3 4 3" xfId="10106"/>
    <cellStyle name="Input 2 6 3 5" xfId="4406"/>
    <cellStyle name="Input 2 6 3 5 2" xfId="11246"/>
    <cellStyle name="Input 2 6 3 6" xfId="7826"/>
    <cellStyle name="Input 2 6 3 7" xfId="16660"/>
    <cellStyle name="Input 2 6 3 8" xfId="24980"/>
    <cellStyle name="Input 2 6 3 9" xfId="32236"/>
    <cellStyle name="Input 2 6 4" xfId="17682"/>
    <cellStyle name="Input 2 6 4 2" xfId="26006"/>
    <cellStyle name="Input 2 6 4 2 2" xfId="53837"/>
    <cellStyle name="Input 2 6 4 2 3" xfId="53838"/>
    <cellStyle name="Input 2 6 4 3" xfId="33213"/>
    <cellStyle name="Input 2 6 4 4" xfId="53839"/>
    <cellStyle name="Input 2 6 5" xfId="18665"/>
    <cellStyle name="Input 2 6 5 2" xfId="26986"/>
    <cellStyle name="Input 2 6 5 2 2" xfId="53840"/>
    <cellStyle name="Input 2 6 5 2 3" xfId="53841"/>
    <cellStyle name="Input 2 6 5 3" xfId="34151"/>
    <cellStyle name="Input 2 6 5 4" xfId="53842"/>
    <cellStyle name="Input 2 6 6" xfId="19634"/>
    <cellStyle name="Input 2 6 6 2" xfId="27955"/>
    <cellStyle name="Input 2 6 6 2 2" xfId="53843"/>
    <cellStyle name="Input 2 6 6 2 3" xfId="53844"/>
    <cellStyle name="Input 2 6 6 3" xfId="35097"/>
    <cellStyle name="Input 2 6 6 4" xfId="53845"/>
    <cellStyle name="Input 2 6 7" xfId="20591"/>
    <cellStyle name="Input 2 6 7 2" xfId="28913"/>
    <cellStyle name="Input 2 6 7 2 2" xfId="53846"/>
    <cellStyle name="Input 2 6 7 2 3" xfId="53847"/>
    <cellStyle name="Input 2 6 7 3" xfId="36013"/>
    <cellStyle name="Input 2 6 7 4" xfId="53848"/>
    <cellStyle name="Input 2 6 8" xfId="21355"/>
    <cellStyle name="Input 2 6 8 2" xfId="29658"/>
    <cellStyle name="Input 2 6 8 2 2" xfId="53849"/>
    <cellStyle name="Input 2 6 8 2 3" xfId="53850"/>
    <cellStyle name="Input 2 6 8 3" xfId="36723"/>
    <cellStyle name="Input 2 6 8 4" xfId="53851"/>
    <cellStyle name="Input 2 6 9" xfId="22028"/>
    <cellStyle name="Input 2 6 9 2" xfId="30327"/>
    <cellStyle name="Input 2 6 9 2 2" xfId="53852"/>
    <cellStyle name="Input 2 6 9 2 3" xfId="53853"/>
    <cellStyle name="Input 2 6 9 3" xfId="37364"/>
    <cellStyle name="Input 2 6 9 4" xfId="53854"/>
    <cellStyle name="Input 2 7" xfId="191"/>
    <cellStyle name="Input 2 7 10" xfId="14683"/>
    <cellStyle name="Input 2 7 11" xfId="23046"/>
    <cellStyle name="Input 2 7 12" xfId="53855"/>
    <cellStyle name="Input 2 7 13" xfId="53856"/>
    <cellStyle name="Input 2 7 14" xfId="53857"/>
    <cellStyle name="Input 2 7 15" xfId="60875"/>
    <cellStyle name="Input 2 7 2" xfId="367"/>
    <cellStyle name="Input 2 7 2 2" xfId="1372"/>
    <cellStyle name="Input 2 7 2 2 2" xfId="1671"/>
    <cellStyle name="Input 2 7 2 2 2 2" xfId="2811"/>
    <cellStyle name="Input 2 7 2 2 2 2 2" xfId="6231"/>
    <cellStyle name="Input 2 7 2 2 2 2 2 2" xfId="13071"/>
    <cellStyle name="Input 2 7 2 2 2 2 3" xfId="9651"/>
    <cellStyle name="Input 2 7 2 2 2 3" xfId="3951"/>
    <cellStyle name="Input 2 7 2 2 2 3 2" xfId="7371"/>
    <cellStyle name="Input 2 7 2 2 2 3 2 2" xfId="14211"/>
    <cellStyle name="Input 2 7 2 2 2 3 3" xfId="10791"/>
    <cellStyle name="Input 2 7 2 2 2 4" xfId="5091"/>
    <cellStyle name="Input 2 7 2 2 2 4 2" xfId="11931"/>
    <cellStyle name="Input 2 7 2 2 2 5" xfId="8511"/>
    <cellStyle name="Input 2 7 2 2 3" xfId="2193"/>
    <cellStyle name="Input 2 7 2 2 3 2" xfId="5613"/>
    <cellStyle name="Input 2 7 2 2 3 2 2" xfId="12453"/>
    <cellStyle name="Input 2 7 2 2 3 3" xfId="9033"/>
    <cellStyle name="Input 2 7 2 2 4" xfId="3333"/>
    <cellStyle name="Input 2 7 2 2 4 2" xfId="6753"/>
    <cellStyle name="Input 2 7 2 2 4 2 2" xfId="13593"/>
    <cellStyle name="Input 2 7 2 2 4 3" xfId="10173"/>
    <cellStyle name="Input 2 7 2 2 5" xfId="4473"/>
    <cellStyle name="Input 2 7 2 2 5 2" xfId="11313"/>
    <cellStyle name="Input 2 7 2 2 6" xfId="7893"/>
    <cellStyle name="Input 2 7 2 2 7" xfId="61691"/>
    <cellStyle name="Input 2 7 2 2 8" xfId="62174"/>
    <cellStyle name="Input 2 7 2 3" xfId="15764"/>
    <cellStyle name="Input 2 7 2 4" xfId="24081"/>
    <cellStyle name="Input 2 7 2 5" xfId="31372"/>
    <cellStyle name="Input 2 7 2 6" xfId="53858"/>
    <cellStyle name="Input 2 7 2 7" xfId="53859"/>
    <cellStyle name="Input 2 7 2 8" xfId="53860"/>
    <cellStyle name="Input 2 7 2 9" xfId="61048"/>
    <cellStyle name="Input 2 7 3" xfId="1199"/>
    <cellStyle name="Input 2 7 3 10" xfId="61461"/>
    <cellStyle name="Input 2 7 3 11" xfId="62024"/>
    <cellStyle name="Input 2 7 3 2" xfId="1028"/>
    <cellStyle name="Input 2 7 3 2 2" xfId="2760"/>
    <cellStyle name="Input 2 7 3 2 2 2" xfId="6180"/>
    <cellStyle name="Input 2 7 3 2 2 2 2" xfId="13020"/>
    <cellStyle name="Input 2 7 3 2 2 3" xfId="9600"/>
    <cellStyle name="Input 2 7 3 2 3" xfId="3900"/>
    <cellStyle name="Input 2 7 3 2 3 2" xfId="7320"/>
    <cellStyle name="Input 2 7 3 2 3 2 2" xfId="14160"/>
    <cellStyle name="Input 2 7 3 2 3 3" xfId="10740"/>
    <cellStyle name="Input 2 7 3 2 4" xfId="5040"/>
    <cellStyle name="Input 2 7 3 2 4 2" xfId="11880"/>
    <cellStyle name="Input 2 7 3 2 5" xfId="8460"/>
    <cellStyle name="Input 2 7 3 3" xfId="2018"/>
    <cellStyle name="Input 2 7 3 3 2" xfId="5438"/>
    <cellStyle name="Input 2 7 3 3 2 2" xfId="12278"/>
    <cellStyle name="Input 2 7 3 3 3" xfId="8858"/>
    <cellStyle name="Input 2 7 3 4" xfId="3158"/>
    <cellStyle name="Input 2 7 3 4 2" xfId="6578"/>
    <cellStyle name="Input 2 7 3 4 2 2" xfId="13418"/>
    <cellStyle name="Input 2 7 3 4 3" xfId="9998"/>
    <cellStyle name="Input 2 7 3 5" xfId="4298"/>
    <cellStyle name="Input 2 7 3 5 2" xfId="11138"/>
    <cellStyle name="Input 2 7 3 6" xfId="7718"/>
    <cellStyle name="Input 2 7 3 7" xfId="16730"/>
    <cellStyle name="Input 2 7 3 8" xfId="25052"/>
    <cellStyle name="Input 2 7 3 9" xfId="32305"/>
    <cellStyle name="Input 2 7 4" xfId="17754"/>
    <cellStyle name="Input 2 7 4 2" xfId="26078"/>
    <cellStyle name="Input 2 7 4 2 2" xfId="53861"/>
    <cellStyle name="Input 2 7 4 2 3" xfId="53862"/>
    <cellStyle name="Input 2 7 4 3" xfId="33282"/>
    <cellStyle name="Input 2 7 4 4" xfId="53863"/>
    <cellStyle name="Input 2 7 5" xfId="18738"/>
    <cellStyle name="Input 2 7 5 2" xfId="27059"/>
    <cellStyle name="Input 2 7 5 2 2" xfId="53864"/>
    <cellStyle name="Input 2 7 5 2 3" xfId="53865"/>
    <cellStyle name="Input 2 7 5 3" xfId="34221"/>
    <cellStyle name="Input 2 7 5 4" xfId="53866"/>
    <cellStyle name="Input 2 7 6" xfId="19707"/>
    <cellStyle name="Input 2 7 6 2" xfId="28028"/>
    <cellStyle name="Input 2 7 6 2 2" xfId="53867"/>
    <cellStyle name="Input 2 7 6 2 3" xfId="53868"/>
    <cellStyle name="Input 2 7 6 3" xfId="35167"/>
    <cellStyle name="Input 2 7 6 4" xfId="53869"/>
    <cellStyle name="Input 2 7 7" xfId="20664"/>
    <cellStyle name="Input 2 7 7 2" xfId="28985"/>
    <cellStyle name="Input 2 7 7 2 2" xfId="53870"/>
    <cellStyle name="Input 2 7 7 2 3" xfId="53871"/>
    <cellStyle name="Input 2 7 7 3" xfId="36082"/>
    <cellStyle name="Input 2 7 7 4" xfId="53872"/>
    <cellStyle name="Input 2 7 8" xfId="21183"/>
    <cellStyle name="Input 2 7 8 2" xfId="29495"/>
    <cellStyle name="Input 2 7 8 2 2" xfId="53873"/>
    <cellStyle name="Input 2 7 8 2 3" xfId="53874"/>
    <cellStyle name="Input 2 7 8 3" xfId="36566"/>
    <cellStyle name="Input 2 7 8 4" xfId="53875"/>
    <cellStyle name="Input 2 7 9" xfId="22101"/>
    <cellStyle name="Input 2 7 9 2" xfId="30399"/>
    <cellStyle name="Input 2 7 9 2 2" xfId="53876"/>
    <cellStyle name="Input 2 7 9 2 3" xfId="53877"/>
    <cellStyle name="Input 2 7 9 3" xfId="37433"/>
    <cellStyle name="Input 2 7 9 4" xfId="53878"/>
    <cellStyle name="Input 2 8" xfId="456"/>
    <cellStyle name="Input 2 8 10" xfId="14762"/>
    <cellStyle name="Input 2 8 11" xfId="23126"/>
    <cellStyle name="Input 2 8 12" xfId="53879"/>
    <cellStyle name="Input 2 8 13" xfId="53880"/>
    <cellStyle name="Input 2 8 14" xfId="53881"/>
    <cellStyle name="Input 2 8 15" xfId="53882"/>
    <cellStyle name="Input 2 8 16" xfId="61136"/>
    <cellStyle name="Input 2 8 2" xfId="548"/>
    <cellStyle name="Input 2 8 2 2" xfId="1552"/>
    <cellStyle name="Input 2 8 2 2 2" xfId="1849"/>
    <cellStyle name="Input 2 8 2 2 2 2" xfId="2989"/>
    <cellStyle name="Input 2 8 2 2 2 2 2" xfId="6409"/>
    <cellStyle name="Input 2 8 2 2 2 2 2 2" xfId="13249"/>
    <cellStyle name="Input 2 8 2 2 2 2 3" xfId="9829"/>
    <cellStyle name="Input 2 8 2 2 2 3" xfId="4129"/>
    <cellStyle name="Input 2 8 2 2 2 3 2" xfId="7549"/>
    <cellStyle name="Input 2 8 2 2 2 3 2 2" xfId="14389"/>
    <cellStyle name="Input 2 8 2 2 2 3 3" xfId="10969"/>
    <cellStyle name="Input 2 8 2 2 2 4" xfId="5269"/>
    <cellStyle name="Input 2 8 2 2 2 4 2" xfId="12109"/>
    <cellStyle name="Input 2 8 2 2 2 5" xfId="8689"/>
    <cellStyle name="Input 2 8 2 2 3" xfId="2373"/>
    <cellStyle name="Input 2 8 2 2 3 2" xfId="5793"/>
    <cellStyle name="Input 2 8 2 2 3 2 2" xfId="12633"/>
    <cellStyle name="Input 2 8 2 2 3 3" xfId="9213"/>
    <cellStyle name="Input 2 8 2 2 4" xfId="3513"/>
    <cellStyle name="Input 2 8 2 2 4 2" xfId="6933"/>
    <cellStyle name="Input 2 8 2 2 4 2 2" xfId="13773"/>
    <cellStyle name="Input 2 8 2 2 4 3" xfId="10353"/>
    <cellStyle name="Input 2 8 2 2 5" xfId="4653"/>
    <cellStyle name="Input 2 8 2 2 5 2" xfId="11493"/>
    <cellStyle name="Input 2 8 2 2 6" xfId="8073"/>
    <cellStyle name="Input 2 8 2 2 7" xfId="61689"/>
    <cellStyle name="Input 2 8 2 2 8" xfId="62172"/>
    <cellStyle name="Input 2 8 2 3" xfId="15843"/>
    <cellStyle name="Input 2 8 2 4" xfId="24161"/>
    <cellStyle name="Input 2 8 2 5" xfId="31449"/>
    <cellStyle name="Input 2 8 2 6" xfId="53883"/>
    <cellStyle name="Input 2 8 2 7" xfId="53884"/>
    <cellStyle name="Input 2 8 2 8" xfId="53885"/>
    <cellStyle name="Input 2 8 2 9" xfId="61228"/>
    <cellStyle name="Input 2 8 3" xfId="1460"/>
    <cellStyle name="Input 2 8 3 10" xfId="61690"/>
    <cellStyle name="Input 2 8 3 11" xfId="62173"/>
    <cellStyle name="Input 2 8 3 2" xfId="879"/>
    <cellStyle name="Input 2 8 3 2 2" xfId="2433"/>
    <cellStyle name="Input 2 8 3 2 2 2" xfId="5853"/>
    <cellStyle name="Input 2 8 3 2 2 2 2" xfId="12693"/>
    <cellStyle name="Input 2 8 3 2 2 3" xfId="9273"/>
    <cellStyle name="Input 2 8 3 2 3" xfId="3573"/>
    <cellStyle name="Input 2 8 3 2 3 2" xfId="6993"/>
    <cellStyle name="Input 2 8 3 2 3 2 2" xfId="13833"/>
    <cellStyle name="Input 2 8 3 2 3 3" xfId="10413"/>
    <cellStyle name="Input 2 8 3 2 4" xfId="4713"/>
    <cellStyle name="Input 2 8 3 2 4 2" xfId="11553"/>
    <cellStyle name="Input 2 8 3 2 5" xfId="8133"/>
    <cellStyle name="Input 2 8 3 3" xfId="2281"/>
    <cellStyle name="Input 2 8 3 3 2" xfId="5701"/>
    <cellStyle name="Input 2 8 3 3 2 2" xfId="12541"/>
    <cellStyle name="Input 2 8 3 3 3" xfId="9121"/>
    <cellStyle name="Input 2 8 3 4" xfId="3421"/>
    <cellStyle name="Input 2 8 3 4 2" xfId="6841"/>
    <cellStyle name="Input 2 8 3 4 2 2" xfId="13681"/>
    <cellStyle name="Input 2 8 3 4 3" xfId="10261"/>
    <cellStyle name="Input 2 8 3 5" xfId="4561"/>
    <cellStyle name="Input 2 8 3 5 2" xfId="11401"/>
    <cellStyle name="Input 2 8 3 6" xfId="7981"/>
    <cellStyle name="Input 2 8 3 7" xfId="16809"/>
    <cellStyle name="Input 2 8 3 8" xfId="25133"/>
    <cellStyle name="Input 2 8 3 9" xfId="32382"/>
    <cellStyle name="Input 2 8 4" xfId="17835"/>
    <cellStyle name="Input 2 8 4 2" xfId="26159"/>
    <cellStyle name="Input 2 8 4 2 2" xfId="53886"/>
    <cellStyle name="Input 2 8 4 2 3" xfId="53887"/>
    <cellStyle name="Input 2 8 4 3" xfId="33359"/>
    <cellStyle name="Input 2 8 4 4" xfId="53888"/>
    <cellStyle name="Input 2 8 5" xfId="18819"/>
    <cellStyle name="Input 2 8 5 2" xfId="27140"/>
    <cellStyle name="Input 2 8 5 2 2" xfId="53889"/>
    <cellStyle name="Input 2 8 5 2 3" xfId="53890"/>
    <cellStyle name="Input 2 8 5 3" xfId="34299"/>
    <cellStyle name="Input 2 8 5 4" xfId="53891"/>
    <cellStyle name="Input 2 8 6" xfId="19787"/>
    <cellStyle name="Input 2 8 6 2" xfId="28109"/>
    <cellStyle name="Input 2 8 6 2 2" xfId="53892"/>
    <cellStyle name="Input 2 8 6 2 3" xfId="53893"/>
    <cellStyle name="Input 2 8 6 3" xfId="35245"/>
    <cellStyle name="Input 2 8 6 4" xfId="53894"/>
    <cellStyle name="Input 2 8 7" xfId="20745"/>
    <cellStyle name="Input 2 8 7 2" xfId="29066"/>
    <cellStyle name="Input 2 8 7 2 2" xfId="53895"/>
    <cellStyle name="Input 2 8 7 2 3" xfId="53896"/>
    <cellStyle name="Input 2 8 7 3" xfId="36158"/>
    <cellStyle name="Input 2 8 7 4" xfId="53897"/>
    <cellStyle name="Input 2 8 8" xfId="21265"/>
    <cellStyle name="Input 2 8 8 2" xfId="29573"/>
    <cellStyle name="Input 2 8 8 2 2" xfId="53898"/>
    <cellStyle name="Input 2 8 8 2 3" xfId="53899"/>
    <cellStyle name="Input 2 8 8 3" xfId="36640"/>
    <cellStyle name="Input 2 8 8 4" xfId="53900"/>
    <cellStyle name="Input 2 8 9" xfId="22181"/>
    <cellStyle name="Input 2 8 9 2" xfId="30479"/>
    <cellStyle name="Input 2 8 9 2 2" xfId="53901"/>
    <cellStyle name="Input 2 8 9 2 3" xfId="53902"/>
    <cellStyle name="Input 2 8 9 3" xfId="37510"/>
    <cellStyle name="Input 2 8 9 4" xfId="53903"/>
    <cellStyle name="Input 2 9" xfId="510"/>
    <cellStyle name="Input 2 9 10" xfId="14818"/>
    <cellStyle name="Input 2 9 11" xfId="23182"/>
    <cellStyle name="Input 2 9 12" xfId="53904"/>
    <cellStyle name="Input 2 9 13" xfId="53905"/>
    <cellStyle name="Input 2 9 14" xfId="53906"/>
    <cellStyle name="Input 2 9 15" xfId="53907"/>
    <cellStyle name="Input 2 9 16" xfId="61190"/>
    <cellStyle name="Input 2 9 2" xfId="476"/>
    <cellStyle name="Input 2 9 2 2" xfId="1480"/>
    <cellStyle name="Input 2 9 2 2 2" xfId="869"/>
    <cellStyle name="Input 2 9 2 2 2 2" xfId="2729"/>
    <cellStyle name="Input 2 9 2 2 2 2 2" xfId="6149"/>
    <cellStyle name="Input 2 9 2 2 2 2 2 2" xfId="12989"/>
    <cellStyle name="Input 2 9 2 2 2 2 3" xfId="9569"/>
    <cellStyle name="Input 2 9 2 2 2 3" xfId="3869"/>
    <cellStyle name="Input 2 9 2 2 2 3 2" xfId="7289"/>
    <cellStyle name="Input 2 9 2 2 2 3 2 2" xfId="14129"/>
    <cellStyle name="Input 2 9 2 2 2 3 3" xfId="10709"/>
    <cellStyle name="Input 2 9 2 2 2 4" xfId="5009"/>
    <cellStyle name="Input 2 9 2 2 2 4 2" xfId="11849"/>
    <cellStyle name="Input 2 9 2 2 2 5" xfId="8429"/>
    <cellStyle name="Input 2 9 2 2 3" xfId="2301"/>
    <cellStyle name="Input 2 9 2 2 3 2" xfId="5721"/>
    <cellStyle name="Input 2 9 2 2 3 2 2" xfId="12561"/>
    <cellStyle name="Input 2 9 2 2 3 3" xfId="9141"/>
    <cellStyle name="Input 2 9 2 2 4" xfId="3441"/>
    <cellStyle name="Input 2 9 2 2 4 2" xfId="6861"/>
    <cellStyle name="Input 2 9 2 2 4 2 2" xfId="13701"/>
    <cellStyle name="Input 2 9 2 2 4 3" xfId="10281"/>
    <cellStyle name="Input 2 9 2 2 5" xfId="4581"/>
    <cellStyle name="Input 2 9 2 2 5 2" xfId="11421"/>
    <cellStyle name="Input 2 9 2 2 6" xfId="8001"/>
    <cellStyle name="Input 2 9 2 2 7" xfId="61687"/>
    <cellStyle name="Input 2 9 2 2 8" xfId="62170"/>
    <cellStyle name="Input 2 9 2 3" xfId="15899"/>
    <cellStyle name="Input 2 9 2 4" xfId="24217"/>
    <cellStyle name="Input 2 9 2 5" xfId="31503"/>
    <cellStyle name="Input 2 9 2 6" xfId="53908"/>
    <cellStyle name="Input 2 9 2 7" xfId="53909"/>
    <cellStyle name="Input 2 9 2 8" xfId="53910"/>
    <cellStyle name="Input 2 9 2 9" xfId="61156"/>
    <cellStyle name="Input 2 9 3" xfId="1514"/>
    <cellStyle name="Input 2 9 3 10" xfId="61688"/>
    <cellStyle name="Input 2 9 3 11" xfId="62171"/>
    <cellStyle name="Input 2 9 3 2" xfId="1806"/>
    <cellStyle name="Input 2 9 3 2 2" xfId="2946"/>
    <cellStyle name="Input 2 9 3 2 2 2" xfId="6366"/>
    <cellStyle name="Input 2 9 3 2 2 2 2" xfId="13206"/>
    <cellStyle name="Input 2 9 3 2 2 3" xfId="9786"/>
    <cellStyle name="Input 2 9 3 2 3" xfId="4086"/>
    <cellStyle name="Input 2 9 3 2 3 2" xfId="7506"/>
    <cellStyle name="Input 2 9 3 2 3 2 2" xfId="14346"/>
    <cellStyle name="Input 2 9 3 2 3 3" xfId="10926"/>
    <cellStyle name="Input 2 9 3 2 4" xfId="5226"/>
    <cellStyle name="Input 2 9 3 2 4 2" xfId="12066"/>
    <cellStyle name="Input 2 9 3 2 5" xfId="8646"/>
    <cellStyle name="Input 2 9 3 3" xfId="2335"/>
    <cellStyle name="Input 2 9 3 3 2" xfId="5755"/>
    <cellStyle name="Input 2 9 3 3 2 2" xfId="12595"/>
    <cellStyle name="Input 2 9 3 3 3" xfId="9175"/>
    <cellStyle name="Input 2 9 3 4" xfId="3475"/>
    <cellStyle name="Input 2 9 3 4 2" xfId="6895"/>
    <cellStyle name="Input 2 9 3 4 2 2" xfId="13735"/>
    <cellStyle name="Input 2 9 3 4 3" xfId="10315"/>
    <cellStyle name="Input 2 9 3 5" xfId="4615"/>
    <cellStyle name="Input 2 9 3 5 2" xfId="11455"/>
    <cellStyle name="Input 2 9 3 6" xfId="8035"/>
    <cellStyle name="Input 2 9 3 7" xfId="16865"/>
    <cellStyle name="Input 2 9 3 8" xfId="25189"/>
    <cellStyle name="Input 2 9 3 9" xfId="32436"/>
    <cellStyle name="Input 2 9 4" xfId="17892"/>
    <cellStyle name="Input 2 9 4 2" xfId="26215"/>
    <cellStyle name="Input 2 9 4 2 2" xfId="53911"/>
    <cellStyle name="Input 2 9 4 2 3" xfId="53912"/>
    <cellStyle name="Input 2 9 4 3" xfId="33413"/>
    <cellStyle name="Input 2 9 4 4" xfId="53913"/>
    <cellStyle name="Input 2 9 5" xfId="18876"/>
    <cellStyle name="Input 2 9 5 2" xfId="27196"/>
    <cellStyle name="Input 2 9 5 2 2" xfId="53914"/>
    <cellStyle name="Input 2 9 5 2 3" xfId="53915"/>
    <cellStyle name="Input 2 9 5 3" xfId="34353"/>
    <cellStyle name="Input 2 9 5 4" xfId="53916"/>
    <cellStyle name="Input 2 9 6" xfId="19844"/>
    <cellStyle name="Input 2 9 6 2" xfId="28166"/>
    <cellStyle name="Input 2 9 6 2 2" xfId="53917"/>
    <cellStyle name="Input 2 9 6 2 3" xfId="53918"/>
    <cellStyle name="Input 2 9 6 3" xfId="35300"/>
    <cellStyle name="Input 2 9 6 4" xfId="53919"/>
    <cellStyle name="Input 2 9 7" xfId="20802"/>
    <cellStyle name="Input 2 9 7 2" xfId="29122"/>
    <cellStyle name="Input 2 9 7 2 2" xfId="53920"/>
    <cellStyle name="Input 2 9 7 2 3" xfId="53921"/>
    <cellStyle name="Input 2 9 7 3" xfId="36211"/>
    <cellStyle name="Input 2 9 7 4" xfId="53922"/>
    <cellStyle name="Input 2 9 8" xfId="20492"/>
    <cellStyle name="Input 2 9 8 2" xfId="28814"/>
    <cellStyle name="Input 2 9 8 2 2" xfId="53923"/>
    <cellStyle name="Input 2 9 8 2 3" xfId="53924"/>
    <cellStyle name="Input 2 9 8 3" xfId="35922"/>
    <cellStyle name="Input 2 9 8 4" xfId="53925"/>
    <cellStyle name="Input 2 9 9" xfId="22237"/>
    <cellStyle name="Input 2 9 9 2" xfId="30536"/>
    <cellStyle name="Input 2 9 9 2 2" xfId="53926"/>
    <cellStyle name="Input 2 9 9 2 3" xfId="53927"/>
    <cellStyle name="Input 2 9 9 3" xfId="37564"/>
    <cellStyle name="Input 2 9 9 4" xfId="53928"/>
    <cellStyle name="Input 2_Capital Dispo allocations V2" xfId="53929"/>
    <cellStyle name="Input 3" xfId="63"/>
    <cellStyle name="Input 3 10" xfId="60776"/>
    <cellStyle name="Input 3 2" xfId="120"/>
    <cellStyle name="Input 3 2 2" xfId="252"/>
    <cellStyle name="Input 3 2 2 2" xfId="663"/>
    <cellStyle name="Input 3 2 2 2 2" xfId="1614"/>
    <cellStyle name="Input 3 2 2 2 2 2" xfId="793"/>
    <cellStyle name="Input 3 2 2 2 2 2 2" xfId="2731"/>
    <cellStyle name="Input 3 2 2 2 2 2 2 2" xfId="6151"/>
    <cellStyle name="Input 3 2 2 2 2 2 2 2 2" xfId="12991"/>
    <cellStyle name="Input 3 2 2 2 2 2 2 3" xfId="9571"/>
    <cellStyle name="Input 3 2 2 2 2 2 3" xfId="3871"/>
    <cellStyle name="Input 3 2 2 2 2 2 3 2" xfId="7291"/>
    <cellStyle name="Input 3 2 2 2 2 2 3 2 2" xfId="14131"/>
    <cellStyle name="Input 3 2 2 2 2 2 3 3" xfId="10711"/>
    <cellStyle name="Input 3 2 2 2 2 2 4" xfId="5011"/>
    <cellStyle name="Input 3 2 2 2 2 2 4 2" xfId="11851"/>
    <cellStyle name="Input 3 2 2 2 2 2 5" xfId="8431"/>
    <cellStyle name="Input 3 2 2 2 2 3" xfId="2448"/>
    <cellStyle name="Input 3 2 2 2 2 3 2" xfId="5868"/>
    <cellStyle name="Input 3 2 2 2 2 3 2 2" xfId="12708"/>
    <cellStyle name="Input 3 2 2 2 2 3 3" xfId="9288"/>
    <cellStyle name="Input 3 2 2 2 2 4" xfId="3588"/>
    <cellStyle name="Input 3 2 2 2 2 4 2" xfId="7008"/>
    <cellStyle name="Input 3 2 2 2 2 4 2 2" xfId="13848"/>
    <cellStyle name="Input 3 2 2 2 2 4 3" xfId="10428"/>
    <cellStyle name="Input 3 2 2 2 2 5" xfId="4728"/>
    <cellStyle name="Input 3 2 2 2 2 5 2" xfId="11568"/>
    <cellStyle name="Input 3 2 2 2 2 6" xfId="8148"/>
    <cellStyle name="Input 3 2 2 2 2 7" xfId="61686"/>
    <cellStyle name="Input 3 2 2 2 2 8" xfId="62169"/>
    <cellStyle name="Input 3 2 2 2 3" xfId="38507"/>
    <cellStyle name="Input 3 2 2 2 4" xfId="53930"/>
    <cellStyle name="Input 3 2 2 2 5" xfId="53931"/>
    <cellStyle name="Input 3 2 2 2 6" xfId="53932"/>
    <cellStyle name="Input 3 2 2 2 7" xfId="61264"/>
    <cellStyle name="Input 3 2 2 3" xfId="1259"/>
    <cellStyle name="Input 3 2 2 3 2" xfId="998"/>
    <cellStyle name="Input 3 2 2 3 2 2" xfId="2639"/>
    <cellStyle name="Input 3 2 2 3 2 2 2" xfId="6059"/>
    <cellStyle name="Input 3 2 2 3 2 2 2 2" xfId="12899"/>
    <cellStyle name="Input 3 2 2 3 2 2 3" xfId="9479"/>
    <cellStyle name="Input 3 2 2 3 2 3" xfId="3779"/>
    <cellStyle name="Input 3 2 2 3 2 3 2" xfId="7199"/>
    <cellStyle name="Input 3 2 2 3 2 3 2 2" xfId="14039"/>
    <cellStyle name="Input 3 2 2 3 2 3 3" xfId="10619"/>
    <cellStyle name="Input 3 2 2 3 2 4" xfId="4919"/>
    <cellStyle name="Input 3 2 2 3 2 4 2" xfId="11759"/>
    <cellStyle name="Input 3 2 2 3 2 5" xfId="8339"/>
    <cellStyle name="Input 3 2 2 3 3" xfId="2079"/>
    <cellStyle name="Input 3 2 2 3 3 2" xfId="5499"/>
    <cellStyle name="Input 3 2 2 3 3 2 2" xfId="12339"/>
    <cellStyle name="Input 3 2 2 3 3 3" xfId="8919"/>
    <cellStyle name="Input 3 2 2 3 4" xfId="3219"/>
    <cellStyle name="Input 3 2 2 3 4 2" xfId="6639"/>
    <cellStyle name="Input 3 2 2 3 4 2 2" xfId="13479"/>
    <cellStyle name="Input 3 2 2 3 4 3" xfId="10059"/>
    <cellStyle name="Input 3 2 2 3 5" xfId="4359"/>
    <cellStyle name="Input 3 2 2 3 5 2" xfId="11199"/>
    <cellStyle name="Input 3 2 2 3 6" xfId="7779"/>
    <cellStyle name="Input 3 2 2 3 7" xfId="61504"/>
    <cellStyle name="Input 3 2 2 3 8" xfId="62057"/>
    <cellStyle name="Input 3 2 2 4" xfId="38273"/>
    <cellStyle name="Input 3 2 2 5" xfId="53933"/>
    <cellStyle name="Input 3 2 2 6" xfId="53934"/>
    <cellStyle name="Input 3 2 2 7" xfId="53935"/>
    <cellStyle name="Input 3 2 2 8" xfId="60935"/>
    <cellStyle name="Input 3 2 3" xfId="575"/>
    <cellStyle name="Input 3 2 3 2" xfId="1562"/>
    <cellStyle name="Input 3 2 3 2 2" xfId="1730"/>
    <cellStyle name="Input 3 2 3 2 2 2" xfId="2870"/>
    <cellStyle name="Input 3 2 3 2 2 2 2" xfId="6290"/>
    <cellStyle name="Input 3 2 3 2 2 2 2 2" xfId="13130"/>
    <cellStyle name="Input 3 2 3 2 2 2 3" xfId="9710"/>
    <cellStyle name="Input 3 2 3 2 2 3" xfId="4010"/>
    <cellStyle name="Input 3 2 3 2 2 3 2" xfId="7430"/>
    <cellStyle name="Input 3 2 3 2 2 3 2 2" xfId="14270"/>
    <cellStyle name="Input 3 2 3 2 2 3 3" xfId="10850"/>
    <cellStyle name="Input 3 2 3 2 2 4" xfId="5150"/>
    <cellStyle name="Input 3 2 3 2 2 4 2" xfId="11990"/>
    <cellStyle name="Input 3 2 3 2 2 5" xfId="8570"/>
    <cellStyle name="Input 3 2 3 2 3" xfId="2387"/>
    <cellStyle name="Input 3 2 3 2 3 2" xfId="5807"/>
    <cellStyle name="Input 3 2 3 2 3 2 2" xfId="12647"/>
    <cellStyle name="Input 3 2 3 2 3 3" xfId="9227"/>
    <cellStyle name="Input 3 2 3 2 4" xfId="3527"/>
    <cellStyle name="Input 3 2 3 2 4 2" xfId="6947"/>
    <cellStyle name="Input 3 2 3 2 4 2 2" xfId="13787"/>
    <cellStyle name="Input 3 2 3 2 4 3" xfId="10367"/>
    <cellStyle name="Input 3 2 3 2 5" xfId="4667"/>
    <cellStyle name="Input 3 2 3 2 5 2" xfId="11507"/>
    <cellStyle name="Input 3 2 3 2 6" xfId="8087"/>
    <cellStyle name="Input 3 2 3 2 7" xfId="61487"/>
    <cellStyle name="Input 3 2 3 2 8" xfId="62046"/>
    <cellStyle name="Input 3 2 3 3" xfId="38466"/>
    <cellStyle name="Input 3 2 3 4" xfId="53936"/>
    <cellStyle name="Input 3 2 3 5" xfId="53937"/>
    <cellStyle name="Input 3 2 3 6" xfId="53938"/>
    <cellStyle name="Input 3 2 3 7" xfId="61265"/>
    <cellStyle name="Input 3 2 4" xfId="1136"/>
    <cellStyle name="Input 3 2 4 2" xfId="1059"/>
    <cellStyle name="Input 3 2 4 2 2" xfId="2679"/>
    <cellStyle name="Input 3 2 4 2 2 2" xfId="6099"/>
    <cellStyle name="Input 3 2 4 2 2 2 2" xfId="12939"/>
    <cellStyle name="Input 3 2 4 2 2 3" xfId="9519"/>
    <cellStyle name="Input 3 2 4 2 3" xfId="3819"/>
    <cellStyle name="Input 3 2 4 2 3 2" xfId="7239"/>
    <cellStyle name="Input 3 2 4 2 3 2 2" xfId="14079"/>
    <cellStyle name="Input 3 2 4 2 3 3" xfId="10659"/>
    <cellStyle name="Input 3 2 4 2 4" xfId="4959"/>
    <cellStyle name="Input 3 2 4 2 4 2" xfId="11799"/>
    <cellStyle name="Input 3 2 4 2 5" xfId="8379"/>
    <cellStyle name="Input 3 2 4 3" xfId="1950"/>
    <cellStyle name="Input 3 2 4 3 2" xfId="5370"/>
    <cellStyle name="Input 3 2 4 3 2 2" xfId="12210"/>
    <cellStyle name="Input 3 2 4 3 3" xfId="8790"/>
    <cellStyle name="Input 3 2 4 4" xfId="3090"/>
    <cellStyle name="Input 3 2 4 4 2" xfId="6510"/>
    <cellStyle name="Input 3 2 4 4 2 2" xfId="13350"/>
    <cellStyle name="Input 3 2 4 4 3" xfId="9930"/>
    <cellStyle name="Input 3 2 4 5" xfId="4230"/>
    <cellStyle name="Input 3 2 4 5 2" xfId="11070"/>
    <cellStyle name="Input 3 2 4 6" xfId="7650"/>
    <cellStyle name="Input 3 2 4 7" xfId="61860"/>
    <cellStyle name="Input 3 2 4 8" xfId="62325"/>
    <cellStyle name="Input 3 2 5" xfId="38202"/>
    <cellStyle name="Input 3 2 6" xfId="53939"/>
    <cellStyle name="Input 3 2 7" xfId="53940"/>
    <cellStyle name="Input 3 2 8" xfId="60812"/>
    <cellStyle name="Input 3 3" xfId="142"/>
    <cellStyle name="Input 3 3 2" xfId="268"/>
    <cellStyle name="Input 3 3 2 2" xfId="678"/>
    <cellStyle name="Input 3 3 2 2 2" xfId="1629"/>
    <cellStyle name="Input 3 3 2 2 2 2" xfId="778"/>
    <cellStyle name="Input 3 3 2 2 2 2 2" xfId="2797"/>
    <cellStyle name="Input 3 3 2 2 2 2 2 2" xfId="6217"/>
    <cellStyle name="Input 3 3 2 2 2 2 2 2 2" xfId="13057"/>
    <cellStyle name="Input 3 3 2 2 2 2 2 3" xfId="9637"/>
    <cellStyle name="Input 3 3 2 2 2 2 3" xfId="3937"/>
    <cellStyle name="Input 3 3 2 2 2 2 3 2" xfId="7357"/>
    <cellStyle name="Input 3 3 2 2 2 2 3 2 2" xfId="14197"/>
    <cellStyle name="Input 3 3 2 2 2 2 3 3" xfId="10777"/>
    <cellStyle name="Input 3 3 2 2 2 2 4" xfId="5077"/>
    <cellStyle name="Input 3 3 2 2 2 2 4 2" xfId="11917"/>
    <cellStyle name="Input 3 3 2 2 2 2 5" xfId="8497"/>
    <cellStyle name="Input 3 3 2 2 2 3" xfId="2463"/>
    <cellStyle name="Input 3 3 2 2 2 3 2" xfId="5883"/>
    <cellStyle name="Input 3 3 2 2 2 3 2 2" xfId="12723"/>
    <cellStyle name="Input 3 3 2 2 2 3 3" xfId="9303"/>
    <cellStyle name="Input 3 3 2 2 2 4" xfId="3603"/>
    <cellStyle name="Input 3 3 2 2 2 4 2" xfId="7023"/>
    <cellStyle name="Input 3 3 2 2 2 4 2 2" xfId="13863"/>
    <cellStyle name="Input 3 3 2 2 2 4 3" xfId="10443"/>
    <cellStyle name="Input 3 3 2 2 2 5" xfId="4743"/>
    <cellStyle name="Input 3 3 2 2 2 5 2" xfId="11583"/>
    <cellStyle name="Input 3 3 2 2 2 6" xfId="8163"/>
    <cellStyle name="Input 3 3 2 2 2 7" xfId="61684"/>
    <cellStyle name="Input 3 3 2 2 2 8" xfId="62167"/>
    <cellStyle name="Input 3 3 2 2 3" xfId="38522"/>
    <cellStyle name="Input 3 3 2 2 4" xfId="53941"/>
    <cellStyle name="Input 3 3 2 2 5" xfId="53942"/>
    <cellStyle name="Input 3 3 2 2 6" xfId="53943"/>
    <cellStyle name="Input 3 3 2 2 7" xfId="61266"/>
    <cellStyle name="Input 3 3 2 3" xfId="1275"/>
    <cellStyle name="Input 3 3 2 3 2" xfId="1698"/>
    <cellStyle name="Input 3 3 2 3 2 2" xfId="2838"/>
    <cellStyle name="Input 3 3 2 3 2 2 2" xfId="6258"/>
    <cellStyle name="Input 3 3 2 3 2 2 2 2" xfId="13098"/>
    <cellStyle name="Input 3 3 2 3 2 2 3" xfId="9678"/>
    <cellStyle name="Input 3 3 2 3 2 3" xfId="3978"/>
    <cellStyle name="Input 3 3 2 3 2 3 2" xfId="7398"/>
    <cellStyle name="Input 3 3 2 3 2 3 2 2" xfId="14238"/>
    <cellStyle name="Input 3 3 2 3 2 3 3" xfId="10818"/>
    <cellStyle name="Input 3 3 2 3 2 4" xfId="5118"/>
    <cellStyle name="Input 3 3 2 3 2 4 2" xfId="11958"/>
    <cellStyle name="Input 3 3 2 3 2 5" xfId="8538"/>
    <cellStyle name="Input 3 3 2 3 3" xfId="2095"/>
    <cellStyle name="Input 3 3 2 3 3 2" xfId="5515"/>
    <cellStyle name="Input 3 3 2 3 3 2 2" xfId="12355"/>
    <cellStyle name="Input 3 3 2 3 3 3" xfId="8935"/>
    <cellStyle name="Input 3 3 2 3 4" xfId="3235"/>
    <cellStyle name="Input 3 3 2 3 4 2" xfId="6655"/>
    <cellStyle name="Input 3 3 2 3 4 2 2" xfId="13495"/>
    <cellStyle name="Input 3 3 2 3 4 3" xfId="10075"/>
    <cellStyle name="Input 3 3 2 3 5" xfId="4375"/>
    <cellStyle name="Input 3 3 2 3 5 2" xfId="11215"/>
    <cellStyle name="Input 3 3 2 3 6" xfId="7795"/>
    <cellStyle name="Input 3 3 2 3 7" xfId="61685"/>
    <cellStyle name="Input 3 3 2 3 8" xfId="62168"/>
    <cellStyle name="Input 3 3 2 4" xfId="38285"/>
    <cellStyle name="Input 3 3 2 5" xfId="53944"/>
    <cellStyle name="Input 3 3 2 6" xfId="53945"/>
    <cellStyle name="Input 3 3 2 7" xfId="53946"/>
    <cellStyle name="Input 3 3 2 8" xfId="60951"/>
    <cellStyle name="Input 3 3 3" xfId="590"/>
    <cellStyle name="Input 3 3 3 2" xfId="1577"/>
    <cellStyle name="Input 3 3 3 2 2" xfId="1834"/>
    <cellStyle name="Input 3 3 3 2 2 2" xfId="2974"/>
    <cellStyle name="Input 3 3 3 2 2 2 2" xfId="6394"/>
    <cellStyle name="Input 3 3 3 2 2 2 2 2" xfId="13234"/>
    <cellStyle name="Input 3 3 3 2 2 2 3" xfId="9814"/>
    <cellStyle name="Input 3 3 3 2 2 3" xfId="4114"/>
    <cellStyle name="Input 3 3 3 2 2 3 2" xfId="7534"/>
    <cellStyle name="Input 3 3 3 2 2 3 2 2" xfId="14374"/>
    <cellStyle name="Input 3 3 3 2 2 3 3" xfId="10954"/>
    <cellStyle name="Input 3 3 3 2 2 4" xfId="5254"/>
    <cellStyle name="Input 3 3 3 2 2 4 2" xfId="12094"/>
    <cellStyle name="Input 3 3 3 2 2 5" xfId="8674"/>
    <cellStyle name="Input 3 3 3 2 3" xfId="2402"/>
    <cellStyle name="Input 3 3 3 2 3 2" xfId="5822"/>
    <cellStyle name="Input 3 3 3 2 3 2 2" xfId="12662"/>
    <cellStyle name="Input 3 3 3 2 3 3" xfId="9242"/>
    <cellStyle name="Input 3 3 3 2 4" xfId="3542"/>
    <cellStyle name="Input 3 3 3 2 4 2" xfId="6962"/>
    <cellStyle name="Input 3 3 3 2 4 2 2" xfId="13802"/>
    <cellStyle name="Input 3 3 3 2 4 3" xfId="10382"/>
    <cellStyle name="Input 3 3 3 2 5" xfId="4682"/>
    <cellStyle name="Input 3 3 3 2 5 2" xfId="11522"/>
    <cellStyle name="Input 3 3 3 2 6" xfId="8102"/>
    <cellStyle name="Input 3 3 3 2 7" xfId="61683"/>
    <cellStyle name="Input 3 3 3 2 8" xfId="62166"/>
    <cellStyle name="Input 3 3 3 3" xfId="38471"/>
    <cellStyle name="Input 3 3 3 4" xfId="53947"/>
    <cellStyle name="Input 3 3 3 5" xfId="53948"/>
    <cellStyle name="Input 3 3 3 6" xfId="53949"/>
    <cellStyle name="Input 3 3 3 7" xfId="61267"/>
    <cellStyle name="Input 3 3 4" xfId="1151"/>
    <cellStyle name="Input 3 3 4 2" xfId="1858"/>
    <cellStyle name="Input 3 3 4 2 2" xfId="2998"/>
    <cellStyle name="Input 3 3 4 2 2 2" xfId="6418"/>
    <cellStyle name="Input 3 3 4 2 2 2 2" xfId="13258"/>
    <cellStyle name="Input 3 3 4 2 2 3" xfId="9838"/>
    <cellStyle name="Input 3 3 4 2 3" xfId="4138"/>
    <cellStyle name="Input 3 3 4 2 3 2" xfId="7558"/>
    <cellStyle name="Input 3 3 4 2 3 2 2" xfId="14398"/>
    <cellStyle name="Input 3 3 4 2 3 3" xfId="10978"/>
    <cellStyle name="Input 3 3 4 2 4" xfId="5278"/>
    <cellStyle name="Input 3 3 4 2 4 2" xfId="12118"/>
    <cellStyle name="Input 3 3 4 2 5" xfId="8698"/>
    <cellStyle name="Input 3 3 4 3" xfId="1970"/>
    <cellStyle name="Input 3 3 4 3 2" xfId="5390"/>
    <cellStyle name="Input 3 3 4 3 2 2" xfId="12230"/>
    <cellStyle name="Input 3 3 4 3 3" xfId="8810"/>
    <cellStyle name="Input 3 3 4 4" xfId="3110"/>
    <cellStyle name="Input 3 3 4 4 2" xfId="6530"/>
    <cellStyle name="Input 3 3 4 4 2 2" xfId="13370"/>
    <cellStyle name="Input 3 3 4 4 3" xfId="9950"/>
    <cellStyle name="Input 3 3 4 5" xfId="4250"/>
    <cellStyle name="Input 3 3 4 5 2" xfId="11090"/>
    <cellStyle name="Input 3 3 4 6" xfId="7670"/>
    <cellStyle name="Input 3 3 4 7" xfId="61852"/>
    <cellStyle name="Input 3 3 4 8" xfId="62319"/>
    <cellStyle name="Input 3 3 5" xfId="38207"/>
    <cellStyle name="Input 3 3 6" xfId="53950"/>
    <cellStyle name="Input 3 3 7" xfId="53951"/>
    <cellStyle name="Input 3 3 8" xfId="60827"/>
    <cellStyle name="Input 3 4" xfId="308"/>
    <cellStyle name="Input 3 4 2" xfId="229"/>
    <cellStyle name="Input 3 4 2 2" xfId="1236"/>
    <cellStyle name="Input 3 4 2 2 2" xfId="1010"/>
    <cellStyle name="Input 3 4 2 2 2 2" xfId="1956"/>
    <cellStyle name="Input 3 4 2 2 2 2 2" xfId="5376"/>
    <cellStyle name="Input 3 4 2 2 2 2 2 2" xfId="12216"/>
    <cellStyle name="Input 3 4 2 2 2 2 3" xfId="8796"/>
    <cellStyle name="Input 3 4 2 2 2 3" xfId="3096"/>
    <cellStyle name="Input 3 4 2 2 2 3 2" xfId="6516"/>
    <cellStyle name="Input 3 4 2 2 2 3 2 2" xfId="13356"/>
    <cellStyle name="Input 3 4 2 2 2 3 3" xfId="9936"/>
    <cellStyle name="Input 3 4 2 2 2 4" xfId="4236"/>
    <cellStyle name="Input 3 4 2 2 2 4 2" xfId="11076"/>
    <cellStyle name="Input 3 4 2 2 2 5" xfId="7656"/>
    <cellStyle name="Input 3 4 2 2 3" xfId="2056"/>
    <cellStyle name="Input 3 4 2 2 3 2" xfId="5476"/>
    <cellStyle name="Input 3 4 2 2 3 2 2" xfId="12316"/>
    <cellStyle name="Input 3 4 2 2 3 3" xfId="8896"/>
    <cellStyle name="Input 3 4 2 2 4" xfId="3196"/>
    <cellStyle name="Input 3 4 2 2 4 2" xfId="6616"/>
    <cellStyle name="Input 3 4 2 2 4 2 2" xfId="13456"/>
    <cellStyle name="Input 3 4 2 2 4 3" xfId="10036"/>
    <cellStyle name="Input 3 4 2 2 5" xfId="4336"/>
    <cellStyle name="Input 3 4 2 2 5 2" xfId="11176"/>
    <cellStyle name="Input 3 4 2 2 6" xfId="7756"/>
    <cellStyle name="Input 3 4 2 2 7" xfId="61480"/>
    <cellStyle name="Input 3 4 2 2 8" xfId="62040"/>
    <cellStyle name="Input 3 4 2 3" xfId="38256"/>
    <cellStyle name="Input 3 4 2 4" xfId="53952"/>
    <cellStyle name="Input 3 4 2 5" xfId="53953"/>
    <cellStyle name="Input 3 4 2 6" xfId="53954"/>
    <cellStyle name="Input 3 4 2 7" xfId="60912"/>
    <cellStyle name="Input 3 4 3" xfId="1314"/>
    <cellStyle name="Input 3 4 3 2" xfId="971"/>
    <cellStyle name="Input 3 4 3 2 2" xfId="2635"/>
    <cellStyle name="Input 3 4 3 2 2 2" xfId="6055"/>
    <cellStyle name="Input 3 4 3 2 2 2 2" xfId="12895"/>
    <cellStyle name="Input 3 4 3 2 2 3" xfId="9475"/>
    <cellStyle name="Input 3 4 3 2 3" xfId="3775"/>
    <cellStyle name="Input 3 4 3 2 3 2" xfId="7195"/>
    <cellStyle name="Input 3 4 3 2 3 2 2" xfId="14035"/>
    <cellStyle name="Input 3 4 3 2 3 3" xfId="10615"/>
    <cellStyle name="Input 3 4 3 2 4" xfId="4915"/>
    <cellStyle name="Input 3 4 3 2 4 2" xfId="11755"/>
    <cellStyle name="Input 3 4 3 2 5" xfId="8335"/>
    <cellStyle name="Input 3 4 3 3" xfId="2134"/>
    <cellStyle name="Input 3 4 3 3 2" xfId="5554"/>
    <cellStyle name="Input 3 4 3 3 2 2" xfId="12394"/>
    <cellStyle name="Input 3 4 3 3 3" xfId="8974"/>
    <cellStyle name="Input 3 4 3 4" xfId="3274"/>
    <cellStyle name="Input 3 4 3 4 2" xfId="6694"/>
    <cellStyle name="Input 3 4 3 4 2 2" xfId="13534"/>
    <cellStyle name="Input 3 4 3 4 3" xfId="10114"/>
    <cellStyle name="Input 3 4 3 5" xfId="4414"/>
    <cellStyle name="Input 3 4 3 5 2" xfId="11254"/>
    <cellStyle name="Input 3 4 3 6" xfId="7834"/>
    <cellStyle name="Input 3 4 3 7" xfId="61862"/>
    <cellStyle name="Input 3 4 3 8" xfId="62327"/>
    <cellStyle name="Input 3 4 4" xfId="38316"/>
    <cellStyle name="Input 3 4 5" xfId="53955"/>
    <cellStyle name="Input 3 4 6" xfId="53956"/>
    <cellStyle name="Input 3 4 7" xfId="60990"/>
    <cellStyle name="Input 3 5" xfId="207"/>
    <cellStyle name="Input 3 5 2" xfId="550"/>
    <cellStyle name="Input 3 5 2 2" xfId="1554"/>
    <cellStyle name="Input 3 5 2 2 2" xfId="1737"/>
    <cellStyle name="Input 3 5 2 2 2 2" xfId="2877"/>
    <cellStyle name="Input 3 5 2 2 2 2 2" xfId="6297"/>
    <cellStyle name="Input 3 5 2 2 2 2 2 2" xfId="13137"/>
    <cellStyle name="Input 3 5 2 2 2 2 3" xfId="9717"/>
    <cellStyle name="Input 3 5 2 2 2 3" xfId="4017"/>
    <cellStyle name="Input 3 5 2 2 2 3 2" xfId="7437"/>
    <cellStyle name="Input 3 5 2 2 2 3 2 2" xfId="14277"/>
    <cellStyle name="Input 3 5 2 2 2 3 3" xfId="10857"/>
    <cellStyle name="Input 3 5 2 2 2 4" xfId="5157"/>
    <cellStyle name="Input 3 5 2 2 2 4 2" xfId="11997"/>
    <cellStyle name="Input 3 5 2 2 2 5" xfId="8577"/>
    <cellStyle name="Input 3 5 2 2 3" xfId="2375"/>
    <cellStyle name="Input 3 5 2 2 3 2" xfId="5795"/>
    <cellStyle name="Input 3 5 2 2 3 2 2" xfId="12635"/>
    <cellStyle name="Input 3 5 2 2 3 3" xfId="9215"/>
    <cellStyle name="Input 3 5 2 2 4" xfId="3515"/>
    <cellStyle name="Input 3 5 2 2 4 2" xfId="6935"/>
    <cellStyle name="Input 3 5 2 2 4 2 2" xfId="13775"/>
    <cellStyle name="Input 3 5 2 2 4 3" xfId="10355"/>
    <cellStyle name="Input 3 5 2 2 5" xfId="4655"/>
    <cellStyle name="Input 3 5 2 2 5 2" xfId="11495"/>
    <cellStyle name="Input 3 5 2 2 6" xfId="8075"/>
    <cellStyle name="Input 3 5 2 2 7" xfId="61451"/>
    <cellStyle name="Input 3 5 2 2 8" xfId="62018"/>
    <cellStyle name="Input 3 5 2 3" xfId="38464"/>
    <cellStyle name="Input 3 5 2 4" xfId="53957"/>
    <cellStyle name="Input 3 5 2 5" xfId="53958"/>
    <cellStyle name="Input 3 5 2 6" xfId="53959"/>
    <cellStyle name="Input 3 5 2 7" xfId="61230"/>
    <cellStyle name="Input 3 5 3" xfId="1215"/>
    <cellStyle name="Input 3 5 3 2" xfId="1020"/>
    <cellStyle name="Input 3 5 3 2 2" xfId="2571"/>
    <cellStyle name="Input 3 5 3 2 2 2" xfId="5991"/>
    <cellStyle name="Input 3 5 3 2 2 2 2" xfId="12831"/>
    <cellStyle name="Input 3 5 3 2 2 3" xfId="9411"/>
    <cellStyle name="Input 3 5 3 2 3" xfId="3711"/>
    <cellStyle name="Input 3 5 3 2 3 2" xfId="7131"/>
    <cellStyle name="Input 3 5 3 2 3 2 2" xfId="13971"/>
    <cellStyle name="Input 3 5 3 2 3 3" xfId="10551"/>
    <cellStyle name="Input 3 5 3 2 4" xfId="4851"/>
    <cellStyle name="Input 3 5 3 2 4 2" xfId="11691"/>
    <cellStyle name="Input 3 5 3 2 5" xfId="8271"/>
    <cellStyle name="Input 3 5 3 3" xfId="2034"/>
    <cellStyle name="Input 3 5 3 3 2" xfId="5454"/>
    <cellStyle name="Input 3 5 3 3 2 2" xfId="12294"/>
    <cellStyle name="Input 3 5 3 3 3" xfId="8874"/>
    <cellStyle name="Input 3 5 3 4" xfId="3174"/>
    <cellStyle name="Input 3 5 3 4 2" xfId="6594"/>
    <cellStyle name="Input 3 5 3 4 2 2" xfId="13434"/>
    <cellStyle name="Input 3 5 3 4 3" xfId="10014"/>
    <cellStyle name="Input 3 5 3 5" xfId="4314"/>
    <cellStyle name="Input 3 5 3 5 2" xfId="11154"/>
    <cellStyle name="Input 3 5 3 6" xfId="7734"/>
    <cellStyle name="Input 3 5 3 7" xfId="61829"/>
    <cellStyle name="Input 3 5 3 8" xfId="62306"/>
    <cellStyle name="Input 3 5 4" xfId="38249"/>
    <cellStyle name="Input 3 5 5" xfId="53960"/>
    <cellStyle name="Input 3 5 6" xfId="53961"/>
    <cellStyle name="Input 3 5 7" xfId="60891"/>
    <cellStyle name="Input 3 6" xfId="442"/>
    <cellStyle name="Input 3 6 2" xfId="392"/>
    <cellStyle name="Input 3 6 2 2" xfId="1397"/>
    <cellStyle name="Input 3 6 2 2 2" xfId="909"/>
    <cellStyle name="Input 3 6 2 2 2 2" xfId="2611"/>
    <cellStyle name="Input 3 6 2 2 2 2 2" xfId="6031"/>
    <cellStyle name="Input 3 6 2 2 2 2 2 2" xfId="12871"/>
    <cellStyle name="Input 3 6 2 2 2 2 3" xfId="9451"/>
    <cellStyle name="Input 3 6 2 2 2 3" xfId="3751"/>
    <cellStyle name="Input 3 6 2 2 2 3 2" xfId="7171"/>
    <cellStyle name="Input 3 6 2 2 2 3 2 2" xfId="14011"/>
    <cellStyle name="Input 3 6 2 2 2 3 3" xfId="10591"/>
    <cellStyle name="Input 3 6 2 2 2 4" xfId="4891"/>
    <cellStyle name="Input 3 6 2 2 2 4 2" xfId="11731"/>
    <cellStyle name="Input 3 6 2 2 2 5" xfId="8311"/>
    <cellStyle name="Input 3 6 2 2 3" xfId="2218"/>
    <cellStyle name="Input 3 6 2 2 3 2" xfId="5638"/>
    <cellStyle name="Input 3 6 2 2 3 2 2" xfId="12478"/>
    <cellStyle name="Input 3 6 2 2 3 3" xfId="9058"/>
    <cellStyle name="Input 3 6 2 2 4" xfId="3358"/>
    <cellStyle name="Input 3 6 2 2 4 2" xfId="6778"/>
    <cellStyle name="Input 3 6 2 2 4 2 2" xfId="13618"/>
    <cellStyle name="Input 3 6 2 2 4 3" xfId="10198"/>
    <cellStyle name="Input 3 6 2 2 5" xfId="4498"/>
    <cellStyle name="Input 3 6 2 2 5 2" xfId="11338"/>
    <cellStyle name="Input 3 6 2 2 6" xfId="7918"/>
    <cellStyle name="Input 3 6 2 2 7" xfId="61681"/>
    <cellStyle name="Input 3 6 2 2 8" xfId="62164"/>
    <cellStyle name="Input 3 6 2 3" xfId="38374"/>
    <cellStyle name="Input 3 6 2 4" xfId="53962"/>
    <cellStyle name="Input 3 6 2 5" xfId="53963"/>
    <cellStyle name="Input 3 6 2 6" xfId="53964"/>
    <cellStyle name="Input 3 6 2 7" xfId="61073"/>
    <cellStyle name="Input 3 6 3" xfId="1446"/>
    <cellStyle name="Input 3 6 3 2" xfId="887"/>
    <cellStyle name="Input 3 6 3 2 2" xfId="2707"/>
    <cellStyle name="Input 3 6 3 2 2 2" xfId="6127"/>
    <cellStyle name="Input 3 6 3 2 2 2 2" xfId="12967"/>
    <cellStyle name="Input 3 6 3 2 2 3" xfId="9547"/>
    <cellStyle name="Input 3 6 3 2 3" xfId="3847"/>
    <cellStyle name="Input 3 6 3 2 3 2" xfId="7267"/>
    <cellStyle name="Input 3 6 3 2 3 2 2" xfId="14107"/>
    <cellStyle name="Input 3 6 3 2 3 3" xfId="10687"/>
    <cellStyle name="Input 3 6 3 2 4" xfId="4987"/>
    <cellStyle name="Input 3 6 3 2 4 2" xfId="11827"/>
    <cellStyle name="Input 3 6 3 2 5" xfId="8407"/>
    <cellStyle name="Input 3 6 3 3" xfId="2267"/>
    <cellStyle name="Input 3 6 3 3 2" xfId="5687"/>
    <cellStyle name="Input 3 6 3 3 2 2" xfId="12527"/>
    <cellStyle name="Input 3 6 3 3 3" xfId="9107"/>
    <cellStyle name="Input 3 6 3 4" xfId="3407"/>
    <cellStyle name="Input 3 6 3 4 2" xfId="6827"/>
    <cellStyle name="Input 3 6 3 4 2 2" xfId="13667"/>
    <cellStyle name="Input 3 6 3 4 3" xfId="10247"/>
    <cellStyle name="Input 3 6 3 5" xfId="4547"/>
    <cellStyle name="Input 3 6 3 5 2" xfId="11387"/>
    <cellStyle name="Input 3 6 3 6" xfId="7967"/>
    <cellStyle name="Input 3 6 3 7" xfId="61682"/>
    <cellStyle name="Input 3 6 3 8" xfId="62165"/>
    <cellStyle name="Input 3 6 4" xfId="38405"/>
    <cellStyle name="Input 3 6 5" xfId="53965"/>
    <cellStyle name="Input 3 6 6" xfId="53966"/>
    <cellStyle name="Input 3 6 7" xfId="53967"/>
    <cellStyle name="Input 3 6 8" xfId="61122"/>
    <cellStyle name="Input 3 7" xfId="399"/>
    <cellStyle name="Input 3 7 2" xfId="385"/>
    <cellStyle name="Input 3 7 2 2" xfId="1390"/>
    <cellStyle name="Input 3 7 2 2 2" xfId="1859"/>
    <cellStyle name="Input 3 7 2 2 2 2" xfId="2999"/>
    <cellStyle name="Input 3 7 2 2 2 2 2" xfId="6419"/>
    <cellStyle name="Input 3 7 2 2 2 2 2 2" xfId="13259"/>
    <cellStyle name="Input 3 7 2 2 2 2 3" xfId="9839"/>
    <cellStyle name="Input 3 7 2 2 2 3" xfId="4139"/>
    <cellStyle name="Input 3 7 2 2 2 3 2" xfId="7559"/>
    <cellStyle name="Input 3 7 2 2 2 3 2 2" xfId="14399"/>
    <cellStyle name="Input 3 7 2 2 2 3 3" xfId="10979"/>
    <cellStyle name="Input 3 7 2 2 2 4" xfId="5279"/>
    <cellStyle name="Input 3 7 2 2 2 4 2" xfId="12119"/>
    <cellStyle name="Input 3 7 2 2 2 5" xfId="8699"/>
    <cellStyle name="Input 3 7 2 2 3" xfId="2211"/>
    <cellStyle name="Input 3 7 2 2 3 2" xfId="5631"/>
    <cellStyle name="Input 3 7 2 2 3 2 2" xfId="12471"/>
    <cellStyle name="Input 3 7 2 2 3 3" xfId="9051"/>
    <cellStyle name="Input 3 7 2 2 4" xfId="3351"/>
    <cellStyle name="Input 3 7 2 2 4 2" xfId="6771"/>
    <cellStyle name="Input 3 7 2 2 4 2 2" xfId="13611"/>
    <cellStyle name="Input 3 7 2 2 4 3" xfId="10191"/>
    <cellStyle name="Input 3 7 2 2 5" xfId="4491"/>
    <cellStyle name="Input 3 7 2 2 5 2" xfId="11331"/>
    <cellStyle name="Input 3 7 2 2 6" xfId="7911"/>
    <cellStyle name="Input 3 7 2 2 7" xfId="61679"/>
    <cellStyle name="Input 3 7 2 2 8" xfId="62162"/>
    <cellStyle name="Input 3 7 2 3" xfId="38367"/>
    <cellStyle name="Input 3 7 2 4" xfId="53968"/>
    <cellStyle name="Input 3 7 2 5" xfId="53969"/>
    <cellStyle name="Input 3 7 2 6" xfId="53970"/>
    <cellStyle name="Input 3 7 2 7" xfId="61066"/>
    <cellStyle name="Input 3 7 3" xfId="1404"/>
    <cellStyle name="Input 3 7 3 2" xfId="1783"/>
    <cellStyle name="Input 3 7 3 2 2" xfId="2923"/>
    <cellStyle name="Input 3 7 3 2 2 2" xfId="6343"/>
    <cellStyle name="Input 3 7 3 2 2 2 2" xfId="13183"/>
    <cellStyle name="Input 3 7 3 2 2 3" xfId="9763"/>
    <cellStyle name="Input 3 7 3 2 3" xfId="4063"/>
    <cellStyle name="Input 3 7 3 2 3 2" xfId="7483"/>
    <cellStyle name="Input 3 7 3 2 3 2 2" xfId="14323"/>
    <cellStyle name="Input 3 7 3 2 3 3" xfId="10903"/>
    <cellStyle name="Input 3 7 3 2 4" xfId="5203"/>
    <cellStyle name="Input 3 7 3 2 4 2" xfId="12043"/>
    <cellStyle name="Input 3 7 3 2 5" xfId="8623"/>
    <cellStyle name="Input 3 7 3 3" xfId="2225"/>
    <cellStyle name="Input 3 7 3 3 2" xfId="5645"/>
    <cellStyle name="Input 3 7 3 3 2 2" xfId="12485"/>
    <cellStyle name="Input 3 7 3 3 3" xfId="9065"/>
    <cellStyle name="Input 3 7 3 4" xfId="3365"/>
    <cellStyle name="Input 3 7 3 4 2" xfId="6785"/>
    <cellStyle name="Input 3 7 3 4 2 2" xfId="13625"/>
    <cellStyle name="Input 3 7 3 4 3" xfId="10205"/>
    <cellStyle name="Input 3 7 3 5" xfId="4505"/>
    <cellStyle name="Input 3 7 3 5 2" xfId="11345"/>
    <cellStyle name="Input 3 7 3 6" xfId="7925"/>
    <cellStyle name="Input 3 7 3 7" xfId="61680"/>
    <cellStyle name="Input 3 7 3 8" xfId="62163"/>
    <cellStyle name="Input 3 7 4" xfId="38378"/>
    <cellStyle name="Input 3 7 5" xfId="53971"/>
    <cellStyle name="Input 3 7 6" xfId="53972"/>
    <cellStyle name="Input 3 7 7" xfId="53973"/>
    <cellStyle name="Input 3 7 8" xfId="61080"/>
    <cellStyle name="Input 3 8" xfId="1100"/>
    <cellStyle name="Input 3 8 2" xfId="1077"/>
    <cellStyle name="Input 3 8 2 2" xfId="2736"/>
    <cellStyle name="Input 3 8 2 2 2" xfId="6156"/>
    <cellStyle name="Input 3 8 2 2 2 2" xfId="12996"/>
    <cellStyle name="Input 3 8 2 2 3" xfId="9576"/>
    <cellStyle name="Input 3 8 2 3" xfId="3876"/>
    <cellStyle name="Input 3 8 2 3 2" xfId="7296"/>
    <cellStyle name="Input 3 8 2 3 2 2" xfId="14136"/>
    <cellStyle name="Input 3 8 2 3 3" xfId="10716"/>
    <cellStyle name="Input 3 8 2 4" xfId="5016"/>
    <cellStyle name="Input 3 8 2 4 2" xfId="11856"/>
    <cellStyle name="Input 3 8 2 5" xfId="8436"/>
    <cellStyle name="Input 3 8 3" xfId="1907"/>
    <cellStyle name="Input 3 8 3 2" xfId="5327"/>
    <cellStyle name="Input 3 8 3 2 2" xfId="12167"/>
    <cellStyle name="Input 3 8 3 3" xfId="8747"/>
    <cellStyle name="Input 3 8 4" xfId="3047"/>
    <cellStyle name="Input 3 8 4 2" xfId="6467"/>
    <cellStyle name="Input 3 8 4 2 2" xfId="13307"/>
    <cellStyle name="Input 3 8 4 3" xfId="9887"/>
    <cellStyle name="Input 3 8 5" xfId="4187"/>
    <cellStyle name="Input 3 8 5 2" xfId="11027"/>
    <cellStyle name="Input 3 8 6" xfId="7607"/>
    <cellStyle name="Input 3 9" xfId="38186"/>
    <cellStyle name="Input 4" xfId="99"/>
    <cellStyle name="Input 4 2" xfId="158"/>
    <cellStyle name="Input 4 2 2" xfId="284"/>
    <cellStyle name="Input 4 2 2 2" xfId="693"/>
    <cellStyle name="Input 4 2 2 2 2" xfId="1644"/>
    <cellStyle name="Input 4 2 2 2 2 2" xfId="763"/>
    <cellStyle name="Input 4 2 2 2 2 2 2" xfId="2734"/>
    <cellStyle name="Input 4 2 2 2 2 2 2 2" xfId="6154"/>
    <cellStyle name="Input 4 2 2 2 2 2 2 2 2" xfId="12994"/>
    <cellStyle name="Input 4 2 2 2 2 2 2 3" xfId="9574"/>
    <cellStyle name="Input 4 2 2 2 2 2 3" xfId="3874"/>
    <cellStyle name="Input 4 2 2 2 2 2 3 2" xfId="7294"/>
    <cellStyle name="Input 4 2 2 2 2 2 3 2 2" xfId="14134"/>
    <cellStyle name="Input 4 2 2 2 2 2 3 3" xfId="10714"/>
    <cellStyle name="Input 4 2 2 2 2 2 4" xfId="5014"/>
    <cellStyle name="Input 4 2 2 2 2 2 4 2" xfId="11854"/>
    <cellStyle name="Input 4 2 2 2 2 2 5" xfId="8434"/>
    <cellStyle name="Input 4 2 2 2 2 3" xfId="2478"/>
    <cellStyle name="Input 4 2 2 2 2 3 2" xfId="5898"/>
    <cellStyle name="Input 4 2 2 2 2 3 2 2" xfId="12738"/>
    <cellStyle name="Input 4 2 2 2 2 3 3" xfId="9318"/>
    <cellStyle name="Input 4 2 2 2 2 4" xfId="3618"/>
    <cellStyle name="Input 4 2 2 2 2 4 2" xfId="7038"/>
    <cellStyle name="Input 4 2 2 2 2 4 2 2" xfId="13878"/>
    <cellStyle name="Input 4 2 2 2 2 4 3" xfId="10458"/>
    <cellStyle name="Input 4 2 2 2 2 5" xfId="4758"/>
    <cellStyle name="Input 4 2 2 2 2 5 2" xfId="11598"/>
    <cellStyle name="Input 4 2 2 2 2 6" xfId="8178"/>
    <cellStyle name="Input 4 2 2 2 2 7" xfId="61500"/>
    <cellStyle name="Input 4 2 2 2 2 8" xfId="62054"/>
    <cellStyle name="Input 4 2 2 2 3" xfId="38537"/>
    <cellStyle name="Input 4 2 2 2 4" xfId="53974"/>
    <cellStyle name="Input 4 2 2 2 5" xfId="53975"/>
    <cellStyle name="Input 4 2 2 2 6" xfId="53976"/>
    <cellStyle name="Input 4 2 2 2 7" xfId="61268"/>
    <cellStyle name="Input 4 2 2 3" xfId="1290"/>
    <cellStyle name="Input 4 2 2 3 2" xfId="1870"/>
    <cellStyle name="Input 4 2 2 3 2 2" xfId="3010"/>
    <cellStyle name="Input 4 2 2 3 2 2 2" xfId="6430"/>
    <cellStyle name="Input 4 2 2 3 2 2 2 2" xfId="13270"/>
    <cellStyle name="Input 4 2 2 3 2 2 3" xfId="9850"/>
    <cellStyle name="Input 4 2 2 3 2 3" xfId="4150"/>
    <cellStyle name="Input 4 2 2 3 2 3 2" xfId="7570"/>
    <cellStyle name="Input 4 2 2 3 2 3 2 2" xfId="14410"/>
    <cellStyle name="Input 4 2 2 3 2 3 3" xfId="10990"/>
    <cellStyle name="Input 4 2 2 3 2 4" xfId="5290"/>
    <cellStyle name="Input 4 2 2 3 2 4 2" xfId="12130"/>
    <cellStyle name="Input 4 2 2 3 2 5" xfId="8710"/>
    <cellStyle name="Input 4 2 2 3 3" xfId="2110"/>
    <cellStyle name="Input 4 2 2 3 3 2" xfId="5530"/>
    <cellStyle name="Input 4 2 2 3 3 2 2" xfId="12370"/>
    <cellStyle name="Input 4 2 2 3 3 3" xfId="8950"/>
    <cellStyle name="Input 4 2 2 3 4" xfId="3250"/>
    <cellStyle name="Input 4 2 2 3 4 2" xfId="6670"/>
    <cellStyle name="Input 4 2 2 3 4 2 2" xfId="13510"/>
    <cellStyle name="Input 4 2 2 3 4 3" xfId="10090"/>
    <cellStyle name="Input 4 2 2 3 5" xfId="4390"/>
    <cellStyle name="Input 4 2 2 3 5 2" xfId="11230"/>
    <cellStyle name="Input 4 2 2 3 6" xfId="7810"/>
    <cellStyle name="Input 4 2 2 3 7" xfId="61678"/>
    <cellStyle name="Input 4 2 2 3 8" xfId="62161"/>
    <cellStyle name="Input 4 2 2 4" xfId="38300"/>
    <cellStyle name="Input 4 2 2 5" xfId="53977"/>
    <cellStyle name="Input 4 2 2 6" xfId="53978"/>
    <cellStyle name="Input 4 2 2 7" xfId="53979"/>
    <cellStyle name="Input 4 2 2 8" xfId="60966"/>
    <cellStyle name="Input 4 2 3" xfId="605"/>
    <cellStyle name="Input 4 2 3 2" xfId="1592"/>
    <cellStyle name="Input 4 2 3 2 2" xfId="814"/>
    <cellStyle name="Input 4 2 3 2 2 2" xfId="2746"/>
    <cellStyle name="Input 4 2 3 2 2 2 2" xfId="6166"/>
    <cellStyle name="Input 4 2 3 2 2 2 2 2" xfId="13006"/>
    <cellStyle name="Input 4 2 3 2 2 2 3" xfId="9586"/>
    <cellStyle name="Input 4 2 3 2 2 3" xfId="3886"/>
    <cellStyle name="Input 4 2 3 2 2 3 2" xfId="7306"/>
    <cellStyle name="Input 4 2 3 2 2 3 2 2" xfId="14146"/>
    <cellStyle name="Input 4 2 3 2 2 3 3" xfId="10726"/>
    <cellStyle name="Input 4 2 3 2 2 4" xfId="5026"/>
    <cellStyle name="Input 4 2 3 2 2 4 2" xfId="11866"/>
    <cellStyle name="Input 4 2 3 2 2 5" xfId="8446"/>
    <cellStyle name="Input 4 2 3 2 3" xfId="2417"/>
    <cellStyle name="Input 4 2 3 2 3 2" xfId="5837"/>
    <cellStyle name="Input 4 2 3 2 3 2 2" xfId="12677"/>
    <cellStyle name="Input 4 2 3 2 3 3" xfId="9257"/>
    <cellStyle name="Input 4 2 3 2 4" xfId="3557"/>
    <cellStyle name="Input 4 2 3 2 4 2" xfId="6977"/>
    <cellStyle name="Input 4 2 3 2 4 2 2" xfId="13817"/>
    <cellStyle name="Input 4 2 3 2 4 3" xfId="10397"/>
    <cellStyle name="Input 4 2 3 2 5" xfId="4697"/>
    <cellStyle name="Input 4 2 3 2 5 2" xfId="11537"/>
    <cellStyle name="Input 4 2 3 2 6" xfId="8117"/>
    <cellStyle name="Input 4 2 3 2 7" xfId="61677"/>
    <cellStyle name="Input 4 2 3 2 8" xfId="62160"/>
    <cellStyle name="Input 4 2 3 3" xfId="38486"/>
    <cellStyle name="Input 4 2 3 4" xfId="53980"/>
    <cellStyle name="Input 4 2 3 5" xfId="53981"/>
    <cellStyle name="Input 4 2 3 6" xfId="53982"/>
    <cellStyle name="Input 4 2 3 7" xfId="61269"/>
    <cellStyle name="Input 4 2 4" xfId="1166"/>
    <cellStyle name="Input 4 2 4 2" xfId="1045"/>
    <cellStyle name="Input 4 2 4 2 2" xfId="2624"/>
    <cellStyle name="Input 4 2 4 2 2 2" xfId="6044"/>
    <cellStyle name="Input 4 2 4 2 2 2 2" xfId="12884"/>
    <cellStyle name="Input 4 2 4 2 2 3" xfId="9464"/>
    <cellStyle name="Input 4 2 4 2 3" xfId="3764"/>
    <cellStyle name="Input 4 2 4 2 3 2" xfId="7184"/>
    <cellStyle name="Input 4 2 4 2 3 2 2" xfId="14024"/>
    <cellStyle name="Input 4 2 4 2 3 3" xfId="10604"/>
    <cellStyle name="Input 4 2 4 2 4" xfId="4904"/>
    <cellStyle name="Input 4 2 4 2 4 2" xfId="11744"/>
    <cellStyle name="Input 4 2 4 2 5" xfId="8324"/>
    <cellStyle name="Input 4 2 4 3" xfId="1985"/>
    <cellStyle name="Input 4 2 4 3 2" xfId="5405"/>
    <cellStyle name="Input 4 2 4 3 2 2" xfId="12245"/>
    <cellStyle name="Input 4 2 4 3 3" xfId="8825"/>
    <cellStyle name="Input 4 2 4 4" xfId="3125"/>
    <cellStyle name="Input 4 2 4 4 2" xfId="6545"/>
    <cellStyle name="Input 4 2 4 4 2 2" xfId="13385"/>
    <cellStyle name="Input 4 2 4 4 3" xfId="9965"/>
    <cellStyle name="Input 4 2 4 5" xfId="4265"/>
    <cellStyle name="Input 4 2 4 5 2" xfId="11105"/>
    <cellStyle name="Input 4 2 4 6" xfId="7685"/>
    <cellStyle name="Input 4 2 4 7" xfId="61855"/>
    <cellStyle name="Input 4 2 4 8" xfId="62321"/>
    <cellStyle name="Input 4 2 5" xfId="38222"/>
    <cellStyle name="Input 4 2 6" xfId="53983"/>
    <cellStyle name="Input 4 2 7" xfId="53984"/>
    <cellStyle name="Input 4 2 8" xfId="60842"/>
    <cellStyle name="Input 4 3" xfId="324"/>
    <cellStyle name="Input 4 3 2" xfId="182"/>
    <cellStyle name="Input 4 3 2 2" xfId="1190"/>
    <cellStyle name="Input 4 3 2 2 2" xfId="1033"/>
    <cellStyle name="Input 4 3 2 2 2 2" xfId="2676"/>
    <cellStyle name="Input 4 3 2 2 2 2 2" xfId="6096"/>
    <cellStyle name="Input 4 3 2 2 2 2 2 2" xfId="12936"/>
    <cellStyle name="Input 4 3 2 2 2 2 3" xfId="9516"/>
    <cellStyle name="Input 4 3 2 2 2 3" xfId="3816"/>
    <cellStyle name="Input 4 3 2 2 2 3 2" xfId="7236"/>
    <cellStyle name="Input 4 3 2 2 2 3 2 2" xfId="14076"/>
    <cellStyle name="Input 4 3 2 2 2 3 3" xfId="10656"/>
    <cellStyle name="Input 4 3 2 2 2 4" xfId="4956"/>
    <cellStyle name="Input 4 3 2 2 2 4 2" xfId="11796"/>
    <cellStyle name="Input 4 3 2 2 2 5" xfId="8376"/>
    <cellStyle name="Input 4 3 2 2 3" xfId="2009"/>
    <cellStyle name="Input 4 3 2 2 3 2" xfId="5429"/>
    <cellStyle name="Input 4 3 2 2 3 2 2" xfId="12269"/>
    <cellStyle name="Input 4 3 2 2 3 3" xfId="8849"/>
    <cellStyle name="Input 4 3 2 2 4" xfId="3149"/>
    <cellStyle name="Input 4 3 2 2 4 2" xfId="6569"/>
    <cellStyle name="Input 4 3 2 2 4 2 2" xfId="13409"/>
    <cellStyle name="Input 4 3 2 2 4 3" xfId="9989"/>
    <cellStyle name="Input 4 3 2 2 5" xfId="4289"/>
    <cellStyle name="Input 4 3 2 2 5 2" xfId="11129"/>
    <cellStyle name="Input 4 3 2 2 6" xfId="7709"/>
    <cellStyle name="Input 4 3 2 2 7" xfId="61474"/>
    <cellStyle name="Input 4 3 2 2 8" xfId="62035"/>
    <cellStyle name="Input 4 3 2 3" xfId="38239"/>
    <cellStyle name="Input 4 3 2 4" xfId="53985"/>
    <cellStyle name="Input 4 3 2 5" xfId="53986"/>
    <cellStyle name="Input 4 3 2 6" xfId="53987"/>
    <cellStyle name="Input 4 3 2 7" xfId="60866"/>
    <cellStyle name="Input 4 3 3" xfId="1329"/>
    <cellStyle name="Input 4 3 3 2" xfId="1660"/>
    <cellStyle name="Input 4 3 3 2 2" xfId="2800"/>
    <cellStyle name="Input 4 3 3 2 2 2" xfId="6220"/>
    <cellStyle name="Input 4 3 3 2 2 2 2" xfId="13060"/>
    <cellStyle name="Input 4 3 3 2 2 3" xfId="9640"/>
    <cellStyle name="Input 4 3 3 2 3" xfId="3940"/>
    <cellStyle name="Input 4 3 3 2 3 2" xfId="7360"/>
    <cellStyle name="Input 4 3 3 2 3 2 2" xfId="14200"/>
    <cellStyle name="Input 4 3 3 2 3 3" xfId="10780"/>
    <cellStyle name="Input 4 3 3 2 4" xfId="5080"/>
    <cellStyle name="Input 4 3 3 2 4 2" xfId="11920"/>
    <cellStyle name="Input 4 3 3 2 5" xfId="8500"/>
    <cellStyle name="Input 4 3 3 3" xfId="2150"/>
    <cellStyle name="Input 4 3 3 3 2" xfId="5570"/>
    <cellStyle name="Input 4 3 3 3 2 2" xfId="12410"/>
    <cellStyle name="Input 4 3 3 3 3" xfId="8990"/>
    <cellStyle name="Input 4 3 3 4" xfId="3290"/>
    <cellStyle name="Input 4 3 3 4 2" xfId="6710"/>
    <cellStyle name="Input 4 3 3 4 2 2" xfId="13550"/>
    <cellStyle name="Input 4 3 3 4 3" xfId="10130"/>
    <cellStyle name="Input 4 3 3 5" xfId="4430"/>
    <cellStyle name="Input 4 3 3 5 2" xfId="11270"/>
    <cellStyle name="Input 4 3 3 6" xfId="7850"/>
    <cellStyle name="Input 4 3 3 7" xfId="61847"/>
    <cellStyle name="Input 4 3 3 8" xfId="62315"/>
    <cellStyle name="Input 4 3 4" xfId="38321"/>
    <cellStyle name="Input 4 3 5" xfId="53988"/>
    <cellStyle name="Input 4 3 6" xfId="53989"/>
    <cellStyle name="Input 4 3 7" xfId="61005"/>
    <cellStyle name="Input 4 4" xfId="231"/>
    <cellStyle name="Input 4 4 2" xfId="378"/>
    <cellStyle name="Input 4 4 2 2" xfId="1383"/>
    <cellStyle name="Input 4 4 2 2 2" xfId="917"/>
    <cellStyle name="Input 4 4 2 2 2 2" xfId="2608"/>
    <cellStyle name="Input 4 4 2 2 2 2 2" xfId="6028"/>
    <cellStyle name="Input 4 4 2 2 2 2 2 2" xfId="12868"/>
    <cellStyle name="Input 4 4 2 2 2 2 3" xfId="9448"/>
    <cellStyle name="Input 4 4 2 2 2 3" xfId="3748"/>
    <cellStyle name="Input 4 4 2 2 2 3 2" xfId="7168"/>
    <cellStyle name="Input 4 4 2 2 2 3 2 2" xfId="14008"/>
    <cellStyle name="Input 4 4 2 2 2 3 3" xfId="10588"/>
    <cellStyle name="Input 4 4 2 2 2 4" xfId="4888"/>
    <cellStyle name="Input 4 4 2 2 2 4 2" xfId="11728"/>
    <cellStyle name="Input 4 4 2 2 2 5" xfId="8308"/>
    <cellStyle name="Input 4 4 2 2 3" xfId="2204"/>
    <cellStyle name="Input 4 4 2 2 3 2" xfId="5624"/>
    <cellStyle name="Input 4 4 2 2 3 2 2" xfId="12464"/>
    <cellStyle name="Input 4 4 2 2 3 3" xfId="9044"/>
    <cellStyle name="Input 4 4 2 2 4" xfId="3344"/>
    <cellStyle name="Input 4 4 2 2 4 2" xfId="6764"/>
    <cellStyle name="Input 4 4 2 2 4 2 2" xfId="13604"/>
    <cellStyle name="Input 4 4 2 2 4 3" xfId="10184"/>
    <cellStyle name="Input 4 4 2 2 5" xfId="4484"/>
    <cellStyle name="Input 4 4 2 2 5 2" xfId="11324"/>
    <cellStyle name="Input 4 4 2 2 6" xfId="7904"/>
    <cellStyle name="Input 4 4 2 2 7" xfId="61676"/>
    <cellStyle name="Input 4 4 2 2 8" xfId="62159"/>
    <cellStyle name="Input 4 4 2 3" xfId="38361"/>
    <cellStyle name="Input 4 4 2 4" xfId="53990"/>
    <cellStyle name="Input 4 4 2 5" xfId="53991"/>
    <cellStyle name="Input 4 4 2 6" xfId="53992"/>
    <cellStyle name="Input 4 4 2 7" xfId="61059"/>
    <cellStyle name="Input 4 4 3" xfId="1238"/>
    <cellStyle name="Input 4 4 3 2" xfId="1882"/>
    <cellStyle name="Input 4 4 3 2 2" xfId="3022"/>
    <cellStyle name="Input 4 4 3 2 2 2" xfId="6442"/>
    <cellStyle name="Input 4 4 3 2 2 2 2" xfId="13282"/>
    <cellStyle name="Input 4 4 3 2 2 3" xfId="9862"/>
    <cellStyle name="Input 4 4 3 2 3" xfId="4162"/>
    <cellStyle name="Input 4 4 3 2 3 2" xfId="7582"/>
    <cellStyle name="Input 4 4 3 2 3 2 2" xfId="14422"/>
    <cellStyle name="Input 4 4 3 2 3 3" xfId="11002"/>
    <cellStyle name="Input 4 4 3 2 4" xfId="5302"/>
    <cellStyle name="Input 4 4 3 2 4 2" xfId="12142"/>
    <cellStyle name="Input 4 4 3 2 5" xfId="8722"/>
    <cellStyle name="Input 4 4 3 3" xfId="2058"/>
    <cellStyle name="Input 4 4 3 3 2" xfId="5478"/>
    <cellStyle name="Input 4 4 3 3 2 2" xfId="12318"/>
    <cellStyle name="Input 4 4 3 3 3" xfId="8898"/>
    <cellStyle name="Input 4 4 3 4" xfId="3198"/>
    <cellStyle name="Input 4 4 3 4 2" xfId="6618"/>
    <cellStyle name="Input 4 4 3 4 2 2" xfId="13458"/>
    <cellStyle name="Input 4 4 3 4 3" xfId="10038"/>
    <cellStyle name="Input 4 4 3 5" xfId="4338"/>
    <cellStyle name="Input 4 4 3 5 2" xfId="11178"/>
    <cellStyle name="Input 4 4 3 6" xfId="7758"/>
    <cellStyle name="Input 4 4 3 7" xfId="61824"/>
    <cellStyle name="Input 4 4 3 8" xfId="62302"/>
    <cellStyle name="Input 4 4 4" xfId="38258"/>
    <cellStyle name="Input 4 4 5" xfId="53993"/>
    <cellStyle name="Input 4 4 6" xfId="53994"/>
    <cellStyle name="Input 4 4 7" xfId="60914"/>
    <cellStyle name="Input 4 5" xfId="489"/>
    <cellStyle name="Input 4 5 2" xfId="377"/>
    <cellStyle name="Input 4 5 2 2" xfId="1382"/>
    <cellStyle name="Input 4 5 2 2 2" xfId="1695"/>
    <cellStyle name="Input 4 5 2 2 2 2" xfId="2835"/>
    <cellStyle name="Input 4 5 2 2 2 2 2" xfId="6255"/>
    <cellStyle name="Input 4 5 2 2 2 2 2 2" xfId="13095"/>
    <cellStyle name="Input 4 5 2 2 2 2 3" xfId="9675"/>
    <cellStyle name="Input 4 5 2 2 2 3" xfId="3975"/>
    <cellStyle name="Input 4 5 2 2 2 3 2" xfId="7395"/>
    <cellStyle name="Input 4 5 2 2 2 3 2 2" xfId="14235"/>
    <cellStyle name="Input 4 5 2 2 2 3 3" xfId="10815"/>
    <cellStyle name="Input 4 5 2 2 2 4" xfId="5115"/>
    <cellStyle name="Input 4 5 2 2 2 4 2" xfId="11955"/>
    <cellStyle name="Input 4 5 2 2 2 5" xfId="8535"/>
    <cellStyle name="Input 4 5 2 2 3" xfId="2203"/>
    <cellStyle name="Input 4 5 2 2 3 2" xfId="5623"/>
    <cellStyle name="Input 4 5 2 2 3 2 2" xfId="12463"/>
    <cellStyle name="Input 4 5 2 2 3 3" xfId="9043"/>
    <cellStyle name="Input 4 5 2 2 4" xfId="3343"/>
    <cellStyle name="Input 4 5 2 2 4 2" xfId="6763"/>
    <cellStyle name="Input 4 5 2 2 4 2 2" xfId="13603"/>
    <cellStyle name="Input 4 5 2 2 4 3" xfId="10183"/>
    <cellStyle name="Input 4 5 2 2 5" xfId="4483"/>
    <cellStyle name="Input 4 5 2 2 5 2" xfId="11323"/>
    <cellStyle name="Input 4 5 2 2 6" xfId="7903"/>
    <cellStyle name="Input 4 5 2 2 7" xfId="61674"/>
    <cellStyle name="Input 4 5 2 2 8" xfId="62157"/>
    <cellStyle name="Input 4 5 2 3" xfId="38360"/>
    <cellStyle name="Input 4 5 2 4" xfId="53995"/>
    <cellStyle name="Input 4 5 2 5" xfId="53996"/>
    <cellStyle name="Input 4 5 2 6" xfId="53997"/>
    <cellStyle name="Input 4 5 2 7" xfId="61058"/>
    <cellStyle name="Input 4 5 3" xfId="1493"/>
    <cellStyle name="Input 4 5 3 2" xfId="863"/>
    <cellStyle name="Input 4 5 3 2 2" xfId="2789"/>
    <cellStyle name="Input 4 5 3 2 2 2" xfId="6209"/>
    <cellStyle name="Input 4 5 3 2 2 2 2" xfId="13049"/>
    <cellStyle name="Input 4 5 3 2 2 3" xfId="9629"/>
    <cellStyle name="Input 4 5 3 2 3" xfId="3929"/>
    <cellStyle name="Input 4 5 3 2 3 2" xfId="7349"/>
    <cellStyle name="Input 4 5 3 2 3 2 2" xfId="14189"/>
    <cellStyle name="Input 4 5 3 2 3 3" xfId="10769"/>
    <cellStyle name="Input 4 5 3 2 4" xfId="5069"/>
    <cellStyle name="Input 4 5 3 2 4 2" xfId="11909"/>
    <cellStyle name="Input 4 5 3 2 5" xfId="8489"/>
    <cellStyle name="Input 4 5 3 3" xfId="2314"/>
    <cellStyle name="Input 4 5 3 3 2" xfId="5734"/>
    <cellStyle name="Input 4 5 3 3 2 2" xfId="12574"/>
    <cellStyle name="Input 4 5 3 3 3" xfId="9154"/>
    <cellStyle name="Input 4 5 3 4" xfId="3454"/>
    <cellStyle name="Input 4 5 3 4 2" xfId="6874"/>
    <cellStyle name="Input 4 5 3 4 2 2" xfId="13714"/>
    <cellStyle name="Input 4 5 3 4 3" xfId="10294"/>
    <cellStyle name="Input 4 5 3 5" xfId="4594"/>
    <cellStyle name="Input 4 5 3 5 2" xfId="11434"/>
    <cellStyle name="Input 4 5 3 6" xfId="8014"/>
    <cellStyle name="Input 4 5 3 7" xfId="61675"/>
    <cellStyle name="Input 4 5 3 8" xfId="62158"/>
    <cellStyle name="Input 4 5 4" xfId="38428"/>
    <cellStyle name="Input 4 5 5" xfId="53998"/>
    <cellStyle name="Input 4 5 6" xfId="53999"/>
    <cellStyle name="Input 4 5 7" xfId="54000"/>
    <cellStyle name="Input 4 5 8" xfId="61169"/>
    <cellStyle name="Input 4 6" xfId="447"/>
    <cellStyle name="Input 4 6 2" xfId="368"/>
    <cellStyle name="Input 4 6 2 2" xfId="1373"/>
    <cellStyle name="Input 4 6 2 2 2" xfId="1830"/>
    <cellStyle name="Input 4 6 2 2 2 2" xfId="2970"/>
    <cellStyle name="Input 4 6 2 2 2 2 2" xfId="6390"/>
    <cellStyle name="Input 4 6 2 2 2 2 2 2" xfId="13230"/>
    <cellStyle name="Input 4 6 2 2 2 2 3" xfId="9810"/>
    <cellStyle name="Input 4 6 2 2 2 3" xfId="4110"/>
    <cellStyle name="Input 4 6 2 2 2 3 2" xfId="7530"/>
    <cellStyle name="Input 4 6 2 2 2 3 2 2" xfId="14370"/>
    <cellStyle name="Input 4 6 2 2 2 3 3" xfId="10950"/>
    <cellStyle name="Input 4 6 2 2 2 4" xfId="5250"/>
    <cellStyle name="Input 4 6 2 2 2 4 2" xfId="12090"/>
    <cellStyle name="Input 4 6 2 2 2 5" xfId="8670"/>
    <cellStyle name="Input 4 6 2 2 3" xfId="2194"/>
    <cellStyle name="Input 4 6 2 2 3 2" xfId="5614"/>
    <cellStyle name="Input 4 6 2 2 3 2 2" xfId="12454"/>
    <cellStyle name="Input 4 6 2 2 3 3" xfId="9034"/>
    <cellStyle name="Input 4 6 2 2 4" xfId="3334"/>
    <cellStyle name="Input 4 6 2 2 4 2" xfId="6754"/>
    <cellStyle name="Input 4 6 2 2 4 2 2" xfId="13594"/>
    <cellStyle name="Input 4 6 2 2 4 3" xfId="10174"/>
    <cellStyle name="Input 4 6 2 2 5" xfId="4474"/>
    <cellStyle name="Input 4 6 2 2 5 2" xfId="11314"/>
    <cellStyle name="Input 4 6 2 2 6" xfId="7894"/>
    <cellStyle name="Input 4 6 2 2 7" xfId="61673"/>
    <cellStyle name="Input 4 6 2 2 8" xfId="62156"/>
    <cellStyle name="Input 4 6 2 3" xfId="38351"/>
    <cellStyle name="Input 4 6 2 4" xfId="54001"/>
    <cellStyle name="Input 4 6 2 5" xfId="54002"/>
    <cellStyle name="Input 4 6 2 6" xfId="54003"/>
    <cellStyle name="Input 4 6 2 7" xfId="61049"/>
    <cellStyle name="Input 4 6 3" xfId="1451"/>
    <cellStyle name="Input 4 6 3 2" xfId="884"/>
    <cellStyle name="Input 4 6 3 2 2" xfId="2675"/>
    <cellStyle name="Input 4 6 3 2 2 2" xfId="6095"/>
    <cellStyle name="Input 4 6 3 2 2 2 2" xfId="12935"/>
    <cellStyle name="Input 4 6 3 2 2 3" xfId="9515"/>
    <cellStyle name="Input 4 6 3 2 3" xfId="3815"/>
    <cellStyle name="Input 4 6 3 2 3 2" xfId="7235"/>
    <cellStyle name="Input 4 6 3 2 3 2 2" xfId="14075"/>
    <cellStyle name="Input 4 6 3 2 3 3" xfId="10655"/>
    <cellStyle name="Input 4 6 3 2 4" xfId="4955"/>
    <cellStyle name="Input 4 6 3 2 4 2" xfId="11795"/>
    <cellStyle name="Input 4 6 3 2 5" xfId="8375"/>
    <cellStyle name="Input 4 6 3 3" xfId="2272"/>
    <cellStyle name="Input 4 6 3 3 2" xfId="5692"/>
    <cellStyle name="Input 4 6 3 3 2 2" xfId="12532"/>
    <cellStyle name="Input 4 6 3 3 3" xfId="9112"/>
    <cellStyle name="Input 4 6 3 4" xfId="3412"/>
    <cellStyle name="Input 4 6 3 4 2" xfId="6832"/>
    <cellStyle name="Input 4 6 3 4 2 2" xfId="13672"/>
    <cellStyle name="Input 4 6 3 4 3" xfId="10252"/>
    <cellStyle name="Input 4 6 3 5" xfId="4552"/>
    <cellStyle name="Input 4 6 3 5 2" xfId="11392"/>
    <cellStyle name="Input 4 6 3 6" xfId="7972"/>
    <cellStyle name="Input 4 6 3 7" xfId="61483"/>
    <cellStyle name="Input 4 6 3 8" xfId="62043"/>
    <cellStyle name="Input 4 6 4" xfId="38408"/>
    <cellStyle name="Input 4 6 5" xfId="54004"/>
    <cellStyle name="Input 4 6 6" xfId="54005"/>
    <cellStyle name="Input 4 6 7" xfId="54006"/>
    <cellStyle name="Input 4 6 8" xfId="61127"/>
    <cellStyle name="Input 4 7" xfId="1115"/>
    <cellStyle name="Input 4 7 2" xfId="1068"/>
    <cellStyle name="Input 4 7 2 2" xfId="2523"/>
    <cellStyle name="Input 4 7 2 2 2" xfId="5943"/>
    <cellStyle name="Input 4 7 2 2 2 2" xfId="12783"/>
    <cellStyle name="Input 4 7 2 2 3" xfId="9363"/>
    <cellStyle name="Input 4 7 2 3" xfId="3663"/>
    <cellStyle name="Input 4 7 2 3 2" xfId="7083"/>
    <cellStyle name="Input 4 7 2 3 2 2" xfId="13923"/>
    <cellStyle name="Input 4 7 2 3 3" xfId="10503"/>
    <cellStyle name="Input 4 7 2 4" xfId="4803"/>
    <cellStyle name="Input 4 7 2 4 2" xfId="11643"/>
    <cellStyle name="Input 4 7 2 5" xfId="8223"/>
    <cellStyle name="Input 4 7 3" xfId="1929"/>
    <cellStyle name="Input 4 7 3 2" xfId="5349"/>
    <cellStyle name="Input 4 7 3 2 2" xfId="12189"/>
    <cellStyle name="Input 4 7 3 3" xfId="8769"/>
    <cellStyle name="Input 4 7 4" xfId="3069"/>
    <cellStyle name="Input 4 7 4 2" xfId="6489"/>
    <cellStyle name="Input 4 7 4 2 2" xfId="13329"/>
    <cellStyle name="Input 4 7 4 3" xfId="9909"/>
    <cellStyle name="Input 4 7 5" xfId="4209"/>
    <cellStyle name="Input 4 7 5 2" xfId="11049"/>
    <cellStyle name="Input 4 7 6" xfId="7629"/>
    <cellStyle name="Input 4 8" xfId="38192"/>
    <cellStyle name="Input 4 9" xfId="60791"/>
    <cellStyle name="Input 5" xfId="105"/>
    <cellStyle name="Input 5 10" xfId="54007"/>
    <cellStyle name="Input 5 11" xfId="60797"/>
    <cellStyle name="Input 5 2" xfId="164"/>
    <cellStyle name="Input 5 2 2" xfId="290"/>
    <cellStyle name="Input 5 2 2 2" xfId="699"/>
    <cellStyle name="Input 5 2 2 2 2" xfId="1650"/>
    <cellStyle name="Input 5 2 2 2 2 2" xfId="757"/>
    <cellStyle name="Input 5 2 2 2 2 2 2" xfId="2662"/>
    <cellStyle name="Input 5 2 2 2 2 2 2 2" xfId="6082"/>
    <cellStyle name="Input 5 2 2 2 2 2 2 2 2" xfId="12922"/>
    <cellStyle name="Input 5 2 2 2 2 2 2 3" xfId="9502"/>
    <cellStyle name="Input 5 2 2 2 2 2 3" xfId="3802"/>
    <cellStyle name="Input 5 2 2 2 2 2 3 2" xfId="7222"/>
    <cellStyle name="Input 5 2 2 2 2 2 3 2 2" xfId="14062"/>
    <cellStyle name="Input 5 2 2 2 2 2 3 3" xfId="10642"/>
    <cellStyle name="Input 5 2 2 2 2 2 4" xfId="4942"/>
    <cellStyle name="Input 5 2 2 2 2 2 4 2" xfId="11782"/>
    <cellStyle name="Input 5 2 2 2 2 2 5" xfId="8362"/>
    <cellStyle name="Input 5 2 2 2 2 3" xfId="2484"/>
    <cellStyle name="Input 5 2 2 2 2 3 2" xfId="5904"/>
    <cellStyle name="Input 5 2 2 2 2 3 2 2" xfId="12744"/>
    <cellStyle name="Input 5 2 2 2 2 3 3" xfId="9324"/>
    <cellStyle name="Input 5 2 2 2 2 4" xfId="3624"/>
    <cellStyle name="Input 5 2 2 2 2 4 2" xfId="7044"/>
    <cellStyle name="Input 5 2 2 2 2 4 2 2" xfId="13884"/>
    <cellStyle name="Input 5 2 2 2 2 4 3" xfId="10464"/>
    <cellStyle name="Input 5 2 2 2 2 5" xfId="4764"/>
    <cellStyle name="Input 5 2 2 2 2 5 2" xfId="11604"/>
    <cellStyle name="Input 5 2 2 2 2 6" xfId="8184"/>
    <cellStyle name="Input 5 2 2 2 2 7" xfId="61476"/>
    <cellStyle name="Input 5 2 2 2 2 8" xfId="62037"/>
    <cellStyle name="Input 5 2 2 2 3" xfId="38543"/>
    <cellStyle name="Input 5 2 2 2 4" xfId="54008"/>
    <cellStyle name="Input 5 2 2 2 5" xfId="54009"/>
    <cellStyle name="Input 5 2 2 2 6" xfId="54010"/>
    <cellStyle name="Input 5 2 2 2 7" xfId="61270"/>
    <cellStyle name="Input 5 2 2 3" xfId="1296"/>
    <cellStyle name="Input 5 2 2 3 2" xfId="980"/>
    <cellStyle name="Input 5 2 2 3 2 2" xfId="2524"/>
    <cellStyle name="Input 5 2 2 3 2 2 2" xfId="5944"/>
    <cellStyle name="Input 5 2 2 3 2 2 2 2" xfId="12784"/>
    <cellStyle name="Input 5 2 2 3 2 2 3" xfId="9364"/>
    <cellStyle name="Input 5 2 2 3 2 3" xfId="3664"/>
    <cellStyle name="Input 5 2 2 3 2 3 2" xfId="7084"/>
    <cellStyle name="Input 5 2 2 3 2 3 2 2" xfId="13924"/>
    <cellStyle name="Input 5 2 2 3 2 3 3" xfId="10504"/>
    <cellStyle name="Input 5 2 2 3 2 4" xfId="4804"/>
    <cellStyle name="Input 5 2 2 3 2 4 2" xfId="11644"/>
    <cellStyle name="Input 5 2 2 3 2 5" xfId="8224"/>
    <cellStyle name="Input 5 2 2 3 3" xfId="2116"/>
    <cellStyle name="Input 5 2 2 3 3 2" xfId="5536"/>
    <cellStyle name="Input 5 2 2 3 3 2 2" xfId="12376"/>
    <cellStyle name="Input 5 2 2 3 3 3" xfId="8956"/>
    <cellStyle name="Input 5 2 2 3 4" xfId="3256"/>
    <cellStyle name="Input 5 2 2 3 4 2" xfId="6676"/>
    <cellStyle name="Input 5 2 2 3 4 2 2" xfId="13516"/>
    <cellStyle name="Input 5 2 2 3 4 3" xfId="10096"/>
    <cellStyle name="Input 5 2 2 3 5" xfId="4396"/>
    <cellStyle name="Input 5 2 2 3 5 2" xfId="11236"/>
    <cellStyle name="Input 5 2 2 3 6" xfId="7816"/>
    <cellStyle name="Input 5 2 2 3 7" xfId="61671"/>
    <cellStyle name="Input 5 2 2 3 8" xfId="62154"/>
    <cellStyle name="Input 5 2 2 4" xfId="38306"/>
    <cellStyle name="Input 5 2 2 5" xfId="54011"/>
    <cellStyle name="Input 5 2 2 6" xfId="54012"/>
    <cellStyle name="Input 5 2 2 7" xfId="54013"/>
    <cellStyle name="Input 5 2 2 8" xfId="60972"/>
    <cellStyle name="Input 5 2 3" xfId="611"/>
    <cellStyle name="Input 5 2 3 2" xfId="1598"/>
    <cellStyle name="Input 5 2 3 2 2" xfId="809"/>
    <cellStyle name="Input 5 2 3 2 2 2" xfId="2656"/>
    <cellStyle name="Input 5 2 3 2 2 2 2" xfId="6076"/>
    <cellStyle name="Input 5 2 3 2 2 2 2 2" xfId="12916"/>
    <cellStyle name="Input 5 2 3 2 2 2 3" xfId="9496"/>
    <cellStyle name="Input 5 2 3 2 2 3" xfId="3796"/>
    <cellStyle name="Input 5 2 3 2 2 3 2" xfId="7216"/>
    <cellStyle name="Input 5 2 3 2 2 3 2 2" xfId="14056"/>
    <cellStyle name="Input 5 2 3 2 2 3 3" xfId="10636"/>
    <cellStyle name="Input 5 2 3 2 2 4" xfId="4936"/>
    <cellStyle name="Input 5 2 3 2 2 4 2" xfId="11776"/>
    <cellStyle name="Input 5 2 3 2 2 5" xfId="8356"/>
    <cellStyle name="Input 5 2 3 2 3" xfId="2423"/>
    <cellStyle name="Input 5 2 3 2 3 2" xfId="5843"/>
    <cellStyle name="Input 5 2 3 2 3 2 2" xfId="12683"/>
    <cellStyle name="Input 5 2 3 2 3 3" xfId="9263"/>
    <cellStyle name="Input 5 2 3 2 4" xfId="3563"/>
    <cellStyle name="Input 5 2 3 2 4 2" xfId="6983"/>
    <cellStyle name="Input 5 2 3 2 4 2 2" xfId="13823"/>
    <cellStyle name="Input 5 2 3 2 4 3" xfId="10403"/>
    <cellStyle name="Input 5 2 3 2 5" xfId="4703"/>
    <cellStyle name="Input 5 2 3 2 5 2" xfId="11543"/>
    <cellStyle name="Input 5 2 3 2 6" xfId="8123"/>
    <cellStyle name="Input 5 2 3 2 7" xfId="61443"/>
    <cellStyle name="Input 5 2 3 2 8" xfId="62012"/>
    <cellStyle name="Input 5 2 3 3" xfId="38492"/>
    <cellStyle name="Input 5 2 3 4" xfId="54014"/>
    <cellStyle name="Input 5 2 3 5" xfId="54015"/>
    <cellStyle name="Input 5 2 3 6" xfId="54016"/>
    <cellStyle name="Input 5 2 3 7" xfId="61271"/>
    <cellStyle name="Input 5 2 4" xfId="1172"/>
    <cellStyle name="Input 5 2 4 2" xfId="1756"/>
    <cellStyle name="Input 5 2 4 2 2" xfId="2896"/>
    <cellStyle name="Input 5 2 4 2 2 2" xfId="6316"/>
    <cellStyle name="Input 5 2 4 2 2 2 2" xfId="13156"/>
    <cellStyle name="Input 5 2 4 2 2 3" xfId="9736"/>
    <cellStyle name="Input 5 2 4 2 3" xfId="4036"/>
    <cellStyle name="Input 5 2 4 2 3 2" xfId="7456"/>
    <cellStyle name="Input 5 2 4 2 3 2 2" xfId="14296"/>
    <cellStyle name="Input 5 2 4 2 3 3" xfId="10876"/>
    <cellStyle name="Input 5 2 4 2 4" xfId="5176"/>
    <cellStyle name="Input 5 2 4 2 4 2" xfId="12016"/>
    <cellStyle name="Input 5 2 4 2 5" xfId="8596"/>
    <cellStyle name="Input 5 2 4 3" xfId="1991"/>
    <cellStyle name="Input 5 2 4 3 2" xfId="5411"/>
    <cellStyle name="Input 5 2 4 3 2 2" xfId="12251"/>
    <cellStyle name="Input 5 2 4 3 3" xfId="8831"/>
    <cellStyle name="Input 5 2 4 4" xfId="3131"/>
    <cellStyle name="Input 5 2 4 4 2" xfId="6551"/>
    <cellStyle name="Input 5 2 4 4 2 2" xfId="13391"/>
    <cellStyle name="Input 5 2 4 4 3" xfId="9971"/>
    <cellStyle name="Input 5 2 4 5" xfId="4271"/>
    <cellStyle name="Input 5 2 4 5 2" xfId="11111"/>
    <cellStyle name="Input 5 2 4 6" xfId="7691"/>
    <cellStyle name="Input 5 2 4 7" xfId="61672"/>
    <cellStyle name="Input 5 2 4 8" xfId="62155"/>
    <cellStyle name="Input 5 2 5" xfId="38227"/>
    <cellStyle name="Input 5 2 6" xfId="54017"/>
    <cellStyle name="Input 5 2 7" xfId="54018"/>
    <cellStyle name="Input 5 2 8" xfId="54019"/>
    <cellStyle name="Input 5 2 9" xfId="60848"/>
    <cellStyle name="Input 5 3" xfId="330"/>
    <cellStyle name="Input 5 3 2" xfId="441"/>
    <cellStyle name="Input 5 3 2 2" xfId="1445"/>
    <cellStyle name="Input 5 3 2 2 2" xfId="1871"/>
    <cellStyle name="Input 5 3 2 2 2 2" xfId="3011"/>
    <cellStyle name="Input 5 3 2 2 2 2 2" xfId="6431"/>
    <cellStyle name="Input 5 3 2 2 2 2 2 2" xfId="13271"/>
    <cellStyle name="Input 5 3 2 2 2 2 3" xfId="9851"/>
    <cellStyle name="Input 5 3 2 2 2 3" xfId="4151"/>
    <cellStyle name="Input 5 3 2 2 2 3 2" xfId="7571"/>
    <cellStyle name="Input 5 3 2 2 2 3 2 2" xfId="14411"/>
    <cellStyle name="Input 5 3 2 2 2 3 3" xfId="10991"/>
    <cellStyle name="Input 5 3 2 2 2 4" xfId="5291"/>
    <cellStyle name="Input 5 3 2 2 2 4 2" xfId="12131"/>
    <cellStyle name="Input 5 3 2 2 2 5" xfId="8711"/>
    <cellStyle name="Input 5 3 2 2 3" xfId="2266"/>
    <cellStyle name="Input 5 3 2 2 3 2" xfId="5686"/>
    <cellStyle name="Input 5 3 2 2 3 2 2" xfId="12526"/>
    <cellStyle name="Input 5 3 2 2 3 3" xfId="9106"/>
    <cellStyle name="Input 5 3 2 2 4" xfId="3406"/>
    <cellStyle name="Input 5 3 2 2 4 2" xfId="6826"/>
    <cellStyle name="Input 5 3 2 2 4 2 2" xfId="13666"/>
    <cellStyle name="Input 5 3 2 2 4 3" xfId="10246"/>
    <cellStyle name="Input 5 3 2 2 5" xfId="4546"/>
    <cellStyle name="Input 5 3 2 2 5 2" xfId="11386"/>
    <cellStyle name="Input 5 3 2 2 6" xfId="7966"/>
    <cellStyle name="Input 5 3 2 2 7" xfId="61669"/>
    <cellStyle name="Input 5 3 2 2 8" xfId="62152"/>
    <cellStyle name="Input 5 3 2 3" xfId="38404"/>
    <cellStyle name="Input 5 3 2 4" xfId="54020"/>
    <cellStyle name="Input 5 3 2 5" xfId="54021"/>
    <cellStyle name="Input 5 3 2 6" xfId="54022"/>
    <cellStyle name="Input 5 3 2 7" xfId="61121"/>
    <cellStyle name="Input 5 3 3" xfId="1335"/>
    <cellStyle name="Input 5 3 3 2" xfId="957"/>
    <cellStyle name="Input 5 3 3 2 2" xfId="2756"/>
    <cellStyle name="Input 5 3 3 2 2 2" xfId="6176"/>
    <cellStyle name="Input 5 3 3 2 2 2 2" xfId="13016"/>
    <cellStyle name="Input 5 3 3 2 2 3" xfId="9596"/>
    <cellStyle name="Input 5 3 3 2 3" xfId="3896"/>
    <cellStyle name="Input 5 3 3 2 3 2" xfId="7316"/>
    <cellStyle name="Input 5 3 3 2 3 2 2" xfId="14156"/>
    <cellStyle name="Input 5 3 3 2 3 3" xfId="10736"/>
    <cellStyle name="Input 5 3 3 2 4" xfId="5036"/>
    <cellStyle name="Input 5 3 3 2 4 2" xfId="11876"/>
    <cellStyle name="Input 5 3 3 2 5" xfId="8456"/>
    <cellStyle name="Input 5 3 3 3" xfId="2156"/>
    <cellStyle name="Input 5 3 3 3 2" xfId="5576"/>
    <cellStyle name="Input 5 3 3 3 2 2" xfId="12416"/>
    <cellStyle name="Input 5 3 3 3 3" xfId="8996"/>
    <cellStyle name="Input 5 3 3 4" xfId="3296"/>
    <cellStyle name="Input 5 3 3 4 2" xfId="6716"/>
    <cellStyle name="Input 5 3 3 4 2 2" xfId="13556"/>
    <cellStyle name="Input 5 3 3 4 3" xfId="10136"/>
    <cellStyle name="Input 5 3 3 5" xfId="4436"/>
    <cellStyle name="Input 5 3 3 5 2" xfId="11276"/>
    <cellStyle name="Input 5 3 3 6" xfId="7856"/>
    <cellStyle name="Input 5 3 3 7" xfId="61670"/>
    <cellStyle name="Input 5 3 3 8" xfId="62153"/>
    <cellStyle name="Input 5 3 4" xfId="38326"/>
    <cellStyle name="Input 5 3 5" xfId="54023"/>
    <cellStyle name="Input 5 3 6" xfId="54024"/>
    <cellStyle name="Input 5 3 7" xfId="54025"/>
    <cellStyle name="Input 5 3 8" xfId="61011"/>
    <cellStyle name="Input 5 4" xfId="237"/>
    <cellStyle name="Input 5 4 2" xfId="468"/>
    <cellStyle name="Input 5 4 2 2" xfId="1472"/>
    <cellStyle name="Input 5 4 2 2 2" xfId="873"/>
    <cellStyle name="Input 5 4 2 2 2 2" xfId="2728"/>
    <cellStyle name="Input 5 4 2 2 2 2 2" xfId="6148"/>
    <cellStyle name="Input 5 4 2 2 2 2 2 2" xfId="12988"/>
    <cellStyle name="Input 5 4 2 2 2 2 3" xfId="9568"/>
    <cellStyle name="Input 5 4 2 2 2 3" xfId="3868"/>
    <cellStyle name="Input 5 4 2 2 2 3 2" xfId="7288"/>
    <cellStyle name="Input 5 4 2 2 2 3 2 2" xfId="14128"/>
    <cellStyle name="Input 5 4 2 2 2 3 3" xfId="10708"/>
    <cellStyle name="Input 5 4 2 2 2 4" xfId="5008"/>
    <cellStyle name="Input 5 4 2 2 2 4 2" xfId="11848"/>
    <cellStyle name="Input 5 4 2 2 2 5" xfId="8428"/>
    <cellStyle name="Input 5 4 2 2 3" xfId="2293"/>
    <cellStyle name="Input 5 4 2 2 3 2" xfId="5713"/>
    <cellStyle name="Input 5 4 2 2 3 2 2" xfId="12553"/>
    <cellStyle name="Input 5 4 2 2 3 3" xfId="9133"/>
    <cellStyle name="Input 5 4 2 2 4" xfId="3433"/>
    <cellStyle name="Input 5 4 2 2 4 2" xfId="6853"/>
    <cellStyle name="Input 5 4 2 2 4 2 2" xfId="13693"/>
    <cellStyle name="Input 5 4 2 2 4 3" xfId="10273"/>
    <cellStyle name="Input 5 4 2 2 5" xfId="4573"/>
    <cellStyle name="Input 5 4 2 2 5 2" xfId="11413"/>
    <cellStyle name="Input 5 4 2 2 6" xfId="7993"/>
    <cellStyle name="Input 5 4 2 2 7" xfId="61667"/>
    <cellStyle name="Input 5 4 2 2 8" xfId="62150"/>
    <cellStyle name="Input 5 4 2 3" xfId="38419"/>
    <cellStyle name="Input 5 4 2 4" xfId="54026"/>
    <cellStyle name="Input 5 4 2 5" xfId="54027"/>
    <cellStyle name="Input 5 4 2 6" xfId="54028"/>
    <cellStyle name="Input 5 4 2 7" xfId="61148"/>
    <cellStyle name="Input 5 4 3" xfId="1244"/>
    <cellStyle name="Input 5 4 3 2" xfId="1810"/>
    <cellStyle name="Input 5 4 3 2 2" xfId="2950"/>
    <cellStyle name="Input 5 4 3 2 2 2" xfId="6370"/>
    <cellStyle name="Input 5 4 3 2 2 2 2" xfId="13210"/>
    <cellStyle name="Input 5 4 3 2 2 3" xfId="9790"/>
    <cellStyle name="Input 5 4 3 2 3" xfId="4090"/>
    <cellStyle name="Input 5 4 3 2 3 2" xfId="7510"/>
    <cellStyle name="Input 5 4 3 2 3 2 2" xfId="14350"/>
    <cellStyle name="Input 5 4 3 2 3 3" xfId="10930"/>
    <cellStyle name="Input 5 4 3 2 4" xfId="5230"/>
    <cellStyle name="Input 5 4 3 2 4 2" xfId="12070"/>
    <cellStyle name="Input 5 4 3 2 5" xfId="8650"/>
    <cellStyle name="Input 5 4 3 3" xfId="2064"/>
    <cellStyle name="Input 5 4 3 3 2" xfId="5484"/>
    <cellStyle name="Input 5 4 3 3 2 2" xfId="12324"/>
    <cellStyle name="Input 5 4 3 3 3" xfId="8904"/>
    <cellStyle name="Input 5 4 3 4" xfId="3204"/>
    <cellStyle name="Input 5 4 3 4 2" xfId="6624"/>
    <cellStyle name="Input 5 4 3 4 2 2" xfId="13464"/>
    <cellStyle name="Input 5 4 3 4 3" xfId="10044"/>
    <cellStyle name="Input 5 4 3 5" xfId="4344"/>
    <cellStyle name="Input 5 4 3 5 2" xfId="11184"/>
    <cellStyle name="Input 5 4 3 6" xfId="7764"/>
    <cellStyle name="Input 5 4 3 7" xfId="61668"/>
    <cellStyle name="Input 5 4 3 8" xfId="62151"/>
    <cellStyle name="Input 5 4 4" xfId="38263"/>
    <cellStyle name="Input 5 4 5" xfId="54029"/>
    <cellStyle name="Input 5 4 6" xfId="54030"/>
    <cellStyle name="Input 5 4 7" xfId="54031"/>
    <cellStyle name="Input 5 4 8" xfId="60920"/>
    <cellStyle name="Input 5 5" xfId="495"/>
    <cellStyle name="Input 5 5 2" xfId="389"/>
    <cellStyle name="Input 5 5 2 2" xfId="1394"/>
    <cellStyle name="Input 5 5 2 2 2" xfId="912"/>
    <cellStyle name="Input 5 5 2 2 2 2" xfId="2586"/>
    <cellStyle name="Input 5 5 2 2 2 2 2" xfId="6006"/>
    <cellStyle name="Input 5 5 2 2 2 2 2 2" xfId="12846"/>
    <cellStyle name="Input 5 5 2 2 2 2 3" xfId="9426"/>
    <cellStyle name="Input 5 5 2 2 2 3" xfId="3726"/>
    <cellStyle name="Input 5 5 2 2 2 3 2" xfId="7146"/>
    <cellStyle name="Input 5 5 2 2 2 3 2 2" xfId="13986"/>
    <cellStyle name="Input 5 5 2 2 2 3 3" xfId="10566"/>
    <cellStyle name="Input 5 5 2 2 2 4" xfId="4866"/>
    <cellStyle name="Input 5 5 2 2 2 4 2" xfId="11706"/>
    <cellStyle name="Input 5 5 2 2 2 5" xfId="8286"/>
    <cellStyle name="Input 5 5 2 2 3" xfId="2215"/>
    <cellStyle name="Input 5 5 2 2 3 2" xfId="5635"/>
    <cellStyle name="Input 5 5 2 2 3 2 2" xfId="12475"/>
    <cellStyle name="Input 5 5 2 2 3 3" xfId="9055"/>
    <cellStyle name="Input 5 5 2 2 4" xfId="3355"/>
    <cellStyle name="Input 5 5 2 2 4 2" xfId="6775"/>
    <cellStyle name="Input 5 5 2 2 4 2 2" xfId="13615"/>
    <cellStyle name="Input 5 5 2 2 4 3" xfId="10195"/>
    <cellStyle name="Input 5 5 2 2 5" xfId="4495"/>
    <cellStyle name="Input 5 5 2 2 5 2" xfId="11335"/>
    <cellStyle name="Input 5 5 2 2 6" xfId="7915"/>
    <cellStyle name="Input 5 5 2 2 7" xfId="61665"/>
    <cellStyle name="Input 5 5 2 2 8" xfId="62148"/>
    <cellStyle name="Input 5 5 2 3" xfId="38371"/>
    <cellStyle name="Input 5 5 2 4" xfId="54032"/>
    <cellStyle name="Input 5 5 2 5" xfId="54033"/>
    <cellStyle name="Input 5 5 2 6" xfId="54034"/>
    <cellStyle name="Input 5 5 2 7" xfId="61070"/>
    <cellStyle name="Input 5 5 3" xfId="1499"/>
    <cellStyle name="Input 5 5 3 2" xfId="1692"/>
    <cellStyle name="Input 5 5 3 2 2" xfId="2832"/>
    <cellStyle name="Input 5 5 3 2 2 2" xfId="6252"/>
    <cellStyle name="Input 5 5 3 2 2 2 2" xfId="13092"/>
    <cellStyle name="Input 5 5 3 2 2 3" xfId="9672"/>
    <cellStyle name="Input 5 5 3 2 3" xfId="3972"/>
    <cellStyle name="Input 5 5 3 2 3 2" xfId="7392"/>
    <cellStyle name="Input 5 5 3 2 3 2 2" xfId="14232"/>
    <cellStyle name="Input 5 5 3 2 3 3" xfId="10812"/>
    <cellStyle name="Input 5 5 3 2 4" xfId="5112"/>
    <cellStyle name="Input 5 5 3 2 4 2" xfId="11952"/>
    <cellStyle name="Input 5 5 3 2 5" xfId="8532"/>
    <cellStyle name="Input 5 5 3 3" xfId="2320"/>
    <cellStyle name="Input 5 5 3 3 2" xfId="5740"/>
    <cellStyle name="Input 5 5 3 3 2 2" xfId="12580"/>
    <cellStyle name="Input 5 5 3 3 3" xfId="9160"/>
    <cellStyle name="Input 5 5 3 4" xfId="3460"/>
    <cellStyle name="Input 5 5 3 4 2" xfId="6880"/>
    <cellStyle name="Input 5 5 3 4 2 2" xfId="13720"/>
    <cellStyle name="Input 5 5 3 4 3" xfId="10300"/>
    <cellStyle name="Input 5 5 3 5" xfId="4600"/>
    <cellStyle name="Input 5 5 3 5 2" xfId="11440"/>
    <cellStyle name="Input 5 5 3 6" xfId="8020"/>
    <cellStyle name="Input 5 5 3 7" xfId="61666"/>
    <cellStyle name="Input 5 5 3 8" xfId="62149"/>
    <cellStyle name="Input 5 5 4" xfId="38433"/>
    <cellStyle name="Input 5 5 5" xfId="54035"/>
    <cellStyle name="Input 5 5 6" xfId="54036"/>
    <cellStyle name="Input 5 5 7" xfId="54037"/>
    <cellStyle name="Input 5 5 8" xfId="61175"/>
    <cellStyle name="Input 5 6" xfId="515"/>
    <cellStyle name="Input 5 6 2" xfId="363"/>
    <cellStyle name="Input 5 6 2 2" xfId="1368"/>
    <cellStyle name="Input 5 6 2 2 2" xfId="924"/>
    <cellStyle name="Input 5 6 2 2 2 2" xfId="2740"/>
    <cellStyle name="Input 5 6 2 2 2 2 2" xfId="6160"/>
    <cellStyle name="Input 5 6 2 2 2 2 2 2" xfId="13000"/>
    <cellStyle name="Input 5 6 2 2 2 2 3" xfId="9580"/>
    <cellStyle name="Input 5 6 2 2 2 3" xfId="3880"/>
    <cellStyle name="Input 5 6 2 2 2 3 2" xfId="7300"/>
    <cellStyle name="Input 5 6 2 2 2 3 2 2" xfId="14140"/>
    <cellStyle name="Input 5 6 2 2 2 3 3" xfId="10720"/>
    <cellStyle name="Input 5 6 2 2 2 4" xfId="5020"/>
    <cellStyle name="Input 5 6 2 2 2 4 2" xfId="11860"/>
    <cellStyle name="Input 5 6 2 2 2 5" xfId="8440"/>
    <cellStyle name="Input 5 6 2 2 3" xfId="2189"/>
    <cellStyle name="Input 5 6 2 2 3 2" xfId="5609"/>
    <cellStyle name="Input 5 6 2 2 3 2 2" xfId="12449"/>
    <cellStyle name="Input 5 6 2 2 3 3" xfId="9029"/>
    <cellStyle name="Input 5 6 2 2 4" xfId="3329"/>
    <cellStyle name="Input 5 6 2 2 4 2" xfId="6749"/>
    <cellStyle name="Input 5 6 2 2 4 2 2" xfId="13589"/>
    <cellStyle name="Input 5 6 2 2 4 3" xfId="10169"/>
    <cellStyle name="Input 5 6 2 2 5" xfId="4469"/>
    <cellStyle name="Input 5 6 2 2 5 2" xfId="11309"/>
    <cellStyle name="Input 5 6 2 2 6" xfId="7889"/>
    <cellStyle name="Input 5 6 2 2 7" xfId="61663"/>
    <cellStyle name="Input 5 6 2 2 8" xfId="62146"/>
    <cellStyle name="Input 5 6 2 3" xfId="38348"/>
    <cellStyle name="Input 5 6 2 4" xfId="54038"/>
    <cellStyle name="Input 5 6 2 5" xfId="54039"/>
    <cellStyle name="Input 5 6 2 6" xfId="54040"/>
    <cellStyle name="Input 5 6 2 7" xfId="61044"/>
    <cellStyle name="Input 5 6 3" xfId="1519"/>
    <cellStyle name="Input 5 6 3 2" xfId="850"/>
    <cellStyle name="Input 5 6 3 2 2" xfId="2380"/>
    <cellStyle name="Input 5 6 3 2 2 2" xfId="5800"/>
    <cellStyle name="Input 5 6 3 2 2 2 2" xfId="12640"/>
    <cellStyle name="Input 5 6 3 2 2 3" xfId="9220"/>
    <cellStyle name="Input 5 6 3 2 3" xfId="3520"/>
    <cellStyle name="Input 5 6 3 2 3 2" xfId="6940"/>
    <cellStyle name="Input 5 6 3 2 3 2 2" xfId="13780"/>
    <cellStyle name="Input 5 6 3 2 3 3" xfId="10360"/>
    <cellStyle name="Input 5 6 3 2 4" xfId="4660"/>
    <cellStyle name="Input 5 6 3 2 4 2" xfId="11500"/>
    <cellStyle name="Input 5 6 3 2 5" xfId="8080"/>
    <cellStyle name="Input 5 6 3 3" xfId="2340"/>
    <cellStyle name="Input 5 6 3 3 2" xfId="5760"/>
    <cellStyle name="Input 5 6 3 3 2 2" xfId="12600"/>
    <cellStyle name="Input 5 6 3 3 3" xfId="9180"/>
    <cellStyle name="Input 5 6 3 4" xfId="3480"/>
    <cellStyle name="Input 5 6 3 4 2" xfId="6900"/>
    <cellStyle name="Input 5 6 3 4 2 2" xfId="13740"/>
    <cellStyle name="Input 5 6 3 4 3" xfId="10320"/>
    <cellStyle name="Input 5 6 3 5" xfId="4620"/>
    <cellStyle name="Input 5 6 3 5 2" xfId="11460"/>
    <cellStyle name="Input 5 6 3 6" xfId="8040"/>
    <cellStyle name="Input 5 6 3 7" xfId="61664"/>
    <cellStyle name="Input 5 6 3 8" xfId="62147"/>
    <cellStyle name="Input 5 6 4" xfId="38441"/>
    <cellStyle name="Input 5 6 5" xfId="54041"/>
    <cellStyle name="Input 5 6 6" xfId="54042"/>
    <cellStyle name="Input 5 6 7" xfId="54043"/>
    <cellStyle name="Input 5 6 8" xfId="61195"/>
    <cellStyle name="Input 5 7" xfId="1121"/>
    <cellStyle name="Input 5 7 2" xfId="1802"/>
    <cellStyle name="Input 5 7 2 2" xfId="2942"/>
    <cellStyle name="Input 5 7 2 2 2" xfId="6362"/>
    <cellStyle name="Input 5 7 2 2 2 2" xfId="13202"/>
    <cellStyle name="Input 5 7 2 2 3" xfId="9782"/>
    <cellStyle name="Input 5 7 2 3" xfId="4082"/>
    <cellStyle name="Input 5 7 2 3 2" xfId="7502"/>
    <cellStyle name="Input 5 7 2 3 2 2" xfId="14342"/>
    <cellStyle name="Input 5 7 2 3 3" xfId="10922"/>
    <cellStyle name="Input 5 7 2 4" xfId="5222"/>
    <cellStyle name="Input 5 7 2 4 2" xfId="12062"/>
    <cellStyle name="Input 5 7 2 5" xfId="8642"/>
    <cellStyle name="Input 5 7 3" xfId="1935"/>
    <cellStyle name="Input 5 7 3 2" xfId="5355"/>
    <cellStyle name="Input 5 7 3 2 2" xfId="12195"/>
    <cellStyle name="Input 5 7 3 3" xfId="8775"/>
    <cellStyle name="Input 5 7 4" xfId="3075"/>
    <cellStyle name="Input 5 7 4 2" xfId="6495"/>
    <cellStyle name="Input 5 7 4 2 2" xfId="13335"/>
    <cellStyle name="Input 5 7 4 3" xfId="9915"/>
    <cellStyle name="Input 5 7 5" xfId="4215"/>
    <cellStyle name="Input 5 7 5 2" xfId="11055"/>
    <cellStyle name="Input 5 7 6" xfId="7635"/>
    <cellStyle name="Input 5 7 7" xfId="61453"/>
    <cellStyle name="Input 5 7 8" xfId="62020"/>
    <cellStyle name="Input 5 8" xfId="38197"/>
    <cellStyle name="Input 5 9" xfId="54044"/>
    <cellStyle name="Input 6" xfId="54045"/>
    <cellStyle name="Input 6 2" xfId="54046"/>
    <cellStyle name="Input 6 2 2" xfId="61839"/>
    <cellStyle name="Input 6 3" xfId="54047"/>
    <cellStyle name="Input 6 4" xfId="61492"/>
    <cellStyle name="Input 7" xfId="54048"/>
    <cellStyle name="Input 8" xfId="54049"/>
    <cellStyle name="Input 9" xfId="54050"/>
    <cellStyle name="Input Cell" xfId="54051"/>
    <cellStyle name="KPMG Heading 1" xfId="54052"/>
    <cellStyle name="KPMG Heading 2" xfId="54053"/>
    <cellStyle name="KPMG Heading 3" xfId="54054"/>
    <cellStyle name="KPMG Heading 4" xfId="54055"/>
    <cellStyle name="KPMG Normal" xfId="54056"/>
    <cellStyle name="KPMG Normal Text" xfId="54057"/>
    <cellStyle name="LABEL Normal" xfId="14498"/>
    <cellStyle name="LABEL Note" xfId="14499"/>
    <cellStyle name="LABEL Units" xfId="14500"/>
    <cellStyle name="Large" xfId="54058"/>
    <cellStyle name="Linked Cell 2" xfId="39"/>
    <cellStyle name="Linked Cell 3" xfId="629"/>
    <cellStyle name="LTM Cell Column Heading" xfId="54059"/>
    <cellStyle name="Mid_Centred" xfId="54060"/>
    <cellStyle name="Mik" xfId="54061"/>
    <cellStyle name="Mik 2" xfId="54062"/>
    <cellStyle name="Millions" xfId="54063"/>
    <cellStyle name="Multiple Cell Column Heading" xfId="54064"/>
    <cellStyle name="Named Range" xfId="54065"/>
    <cellStyle name="Named Range Cells" xfId="54066"/>
    <cellStyle name="Named Range Tag" xfId="54067"/>
    <cellStyle name="Named Range_PCT_initial_plan_form_template_10.12.20" xfId="54068"/>
    <cellStyle name="NB" xfId="54069"/>
    <cellStyle name="Neutral 2" xfId="40"/>
    <cellStyle name="Neutral 3" xfId="566"/>
    <cellStyle name="Normal" xfId="0" builtinId="0"/>
    <cellStyle name="Normal - Style1" xfId="54070"/>
    <cellStyle name="Normal 10" xfId="709"/>
    <cellStyle name="Normal 10 2" xfId="54071"/>
    <cellStyle name="Normal 10 2 2" xfId="54072"/>
    <cellStyle name="Normal 10 2 2 2" xfId="54073"/>
    <cellStyle name="Normal 10 2 2 3" xfId="54074"/>
    <cellStyle name="Normal 10 2 3" xfId="54075"/>
    <cellStyle name="Normal 10 2 4" xfId="54076"/>
    <cellStyle name="Normal 10 2 5" xfId="54077"/>
    <cellStyle name="Normal 10 3" xfId="54078"/>
    <cellStyle name="Normal 10 3 2" xfId="54079"/>
    <cellStyle name="Normal 10 3 3" xfId="54080"/>
    <cellStyle name="Normal 10 3 4" xfId="54081"/>
    <cellStyle name="Normal 10 4" xfId="54082"/>
    <cellStyle name="Normal 10 4 2" xfId="54083"/>
    <cellStyle name="Normal 10 4 3" xfId="54084"/>
    <cellStyle name="Normal 10 5" xfId="54085"/>
    <cellStyle name="Normal 10 6" xfId="54086"/>
    <cellStyle name="Normal 10 7" xfId="54087"/>
    <cellStyle name="Normal 11" xfId="715"/>
    <cellStyle name="Normal 11 2" xfId="730"/>
    <cellStyle name="Normal 11 2 2" xfId="54088"/>
    <cellStyle name="Normal 11 2 2 2" xfId="54089"/>
    <cellStyle name="Normal 11 2 2 3" xfId="54090"/>
    <cellStyle name="Normal 11 2 3" xfId="54091"/>
    <cellStyle name="Normal 11 2 4" xfId="54092"/>
    <cellStyle name="Normal 11 2 5" xfId="54093"/>
    <cellStyle name="Normal 11 3" xfId="54094"/>
    <cellStyle name="Normal 11 3 2" xfId="54095"/>
    <cellStyle name="Normal 11 3 3" xfId="54096"/>
    <cellStyle name="Normal 11 3 4" xfId="54097"/>
    <cellStyle name="Normal 11 4" xfId="54098"/>
    <cellStyle name="Normal 11 4 2" xfId="54099"/>
    <cellStyle name="Normal 11 5" xfId="54100"/>
    <cellStyle name="Normal 11 6" xfId="54101"/>
    <cellStyle name="Normal 12" xfId="716"/>
    <cellStyle name="Normal 12 2" xfId="728"/>
    <cellStyle name="Normal 12 2 2" xfId="54102"/>
    <cellStyle name="Normal 12 2 3" xfId="54103"/>
    <cellStyle name="Normal 12 2 4" xfId="54104"/>
    <cellStyle name="Normal 12 3" xfId="731"/>
    <cellStyle name="Normal 12 3 2" xfId="54105"/>
    <cellStyle name="Normal 12 4" xfId="54106"/>
    <cellStyle name="Normal 12 5" xfId="54107"/>
    <cellStyle name="Normal 13" xfId="54108"/>
    <cellStyle name="Normal 13 2" xfId="54109"/>
    <cellStyle name="Normal 13 3" xfId="54110"/>
    <cellStyle name="Normal 13 3 2" xfId="54111"/>
    <cellStyle name="Normal 14" xfId="54112"/>
    <cellStyle name="Normal 14 2" xfId="54113"/>
    <cellStyle name="Normal 14 3" xfId="54114"/>
    <cellStyle name="Normal 14 4" xfId="54115"/>
    <cellStyle name="Normal 15" xfId="54116"/>
    <cellStyle name="Normal 15 2" xfId="54117"/>
    <cellStyle name="Normal 15 3" xfId="54118"/>
    <cellStyle name="Normal 15 4" xfId="61334"/>
    <cellStyle name="Normal 16" xfId="54119"/>
    <cellStyle name="Normal 16 2" xfId="54120"/>
    <cellStyle name="Normal 17" xfId="54121"/>
    <cellStyle name="Normal 17 2" xfId="54122"/>
    <cellStyle name="Normal 17 3" xfId="54123"/>
    <cellStyle name="Normal 18" xfId="54124"/>
    <cellStyle name="Normal 19" xfId="54125"/>
    <cellStyle name="Normal 2" xfId="1"/>
    <cellStyle name="Normal 2 2" xfId="48"/>
    <cellStyle name="Normal 2 2 2" xfId="54126"/>
    <cellStyle name="Normal 2 2 2 2" xfId="54127"/>
    <cellStyle name="Normal 2 2 2 3" xfId="54128"/>
    <cellStyle name="Normal 2 3" xfId="85"/>
    <cellStyle name="Normal 2 3 2" xfId="54129"/>
    <cellStyle name="Normal 2 3 2 2" xfId="54130"/>
    <cellStyle name="Normal 2 3 2 2 2" xfId="54131"/>
    <cellStyle name="Normal 2 3 2 2 2 2" xfId="54132"/>
    <cellStyle name="Normal 2 3 2 2 2 2 2" xfId="54133"/>
    <cellStyle name="Normal 2 3 2 2 2 2 3" xfId="54134"/>
    <cellStyle name="Normal 2 3 2 2 2 3" xfId="54135"/>
    <cellStyle name="Normal 2 3 2 2 2 4" xfId="54136"/>
    <cellStyle name="Normal 2 3 2 2 3" xfId="54137"/>
    <cellStyle name="Normal 2 3 2 2 3 2" xfId="54138"/>
    <cellStyle name="Normal 2 3 2 2 3 3" xfId="54139"/>
    <cellStyle name="Normal 2 3 2 2 4" xfId="54140"/>
    <cellStyle name="Normal 2 3 2 2 4 2" xfId="54141"/>
    <cellStyle name="Normal 2 3 2 2 4 3" xfId="54142"/>
    <cellStyle name="Normal 2 3 2 2 5" xfId="54143"/>
    <cellStyle name="Normal 2 3 2 2 6" xfId="54144"/>
    <cellStyle name="Normal 2 3 2 3" xfId="54145"/>
    <cellStyle name="Normal 2 3 2 3 2" xfId="54146"/>
    <cellStyle name="Normal 2 3 2 3 2 2" xfId="54147"/>
    <cellStyle name="Normal 2 3 2 3 2 2 2" xfId="54148"/>
    <cellStyle name="Normal 2 3 2 3 2 2 3" xfId="54149"/>
    <cellStyle name="Normal 2 3 2 3 2 3" xfId="54150"/>
    <cellStyle name="Normal 2 3 2 3 2 4" xfId="54151"/>
    <cellStyle name="Normal 2 3 2 3 3" xfId="54152"/>
    <cellStyle name="Normal 2 3 2 3 3 2" xfId="54153"/>
    <cellStyle name="Normal 2 3 2 3 3 3" xfId="54154"/>
    <cellStyle name="Normal 2 3 2 3 4" xfId="54155"/>
    <cellStyle name="Normal 2 3 2 3 5" xfId="54156"/>
    <cellStyle name="Normal 2 3 2 4" xfId="54157"/>
    <cellStyle name="Normal 2 3 2 4 2" xfId="54158"/>
    <cellStyle name="Normal 2 3 2 4 2 2" xfId="54159"/>
    <cellStyle name="Normal 2 3 2 4 2 3" xfId="54160"/>
    <cellStyle name="Normal 2 3 2 4 3" xfId="54161"/>
    <cellStyle name="Normal 2 3 2 4 4" xfId="54162"/>
    <cellStyle name="Normal 2 3 2 5" xfId="54163"/>
    <cellStyle name="Normal 2 3 2 5 2" xfId="54164"/>
    <cellStyle name="Normal 2 3 2 5 3" xfId="54165"/>
    <cellStyle name="Normal 2 3 2 6" xfId="54166"/>
    <cellStyle name="Normal 2 3 2 6 2" xfId="54167"/>
    <cellStyle name="Normal 2 3 2 6 3" xfId="54168"/>
    <cellStyle name="Normal 2 3 2 7" xfId="54169"/>
    <cellStyle name="Normal 2 3 3" xfId="54170"/>
    <cellStyle name="Normal 2 3 3 2" xfId="54171"/>
    <cellStyle name="Normal 2 3 3 2 2" xfId="54172"/>
    <cellStyle name="Normal 2 3 3 2 2 2" xfId="54173"/>
    <cellStyle name="Normal 2 3 3 2 2 3" xfId="54174"/>
    <cellStyle name="Normal 2 3 3 2 3" xfId="54175"/>
    <cellStyle name="Normal 2 3 3 2 4" xfId="54176"/>
    <cellStyle name="Normal 2 3 3 3" xfId="54177"/>
    <cellStyle name="Normal 2 3 3 3 2" xfId="54178"/>
    <cellStyle name="Normal 2 3 3 3 3" xfId="54179"/>
    <cellStyle name="Normal 2 3 3 4" xfId="54180"/>
    <cellStyle name="Normal 2 3 3 4 2" xfId="54181"/>
    <cellStyle name="Normal 2 3 3 4 3" xfId="54182"/>
    <cellStyle name="Normal 2 3 3 5" xfId="54183"/>
    <cellStyle name="Normal 2 3 3 6" xfId="54184"/>
    <cellStyle name="Normal 2 3 3 7" xfId="54185"/>
    <cellStyle name="Normal 2 3 4" xfId="54186"/>
    <cellStyle name="Normal 2 3 4 2" xfId="54187"/>
    <cellStyle name="Normal 2 3 4 2 2" xfId="54188"/>
    <cellStyle name="Normal 2 3 4 2 2 2" xfId="54189"/>
    <cellStyle name="Normal 2 3 4 2 2 3" xfId="54190"/>
    <cellStyle name="Normal 2 3 4 2 3" xfId="54191"/>
    <cellStyle name="Normal 2 3 4 2 4" xfId="54192"/>
    <cellStyle name="Normal 2 3 4 3" xfId="54193"/>
    <cellStyle name="Normal 2 3 4 3 2" xfId="54194"/>
    <cellStyle name="Normal 2 3 4 3 3" xfId="54195"/>
    <cellStyle name="Normal 2 3 4 4" xfId="54196"/>
    <cellStyle name="Normal 2 3 4 5" xfId="54197"/>
    <cellStyle name="Normal 2 3 5" xfId="54198"/>
    <cellStyle name="Normal 2 3 5 2" xfId="54199"/>
    <cellStyle name="Normal 2 3 5 2 2" xfId="54200"/>
    <cellStyle name="Normal 2 3 5 2 3" xfId="54201"/>
    <cellStyle name="Normal 2 3 5 3" xfId="54202"/>
    <cellStyle name="Normal 2 3 5 4" xfId="54203"/>
    <cellStyle name="Normal 2 3 6" xfId="54204"/>
    <cellStyle name="Normal 2 3 6 2" xfId="54205"/>
    <cellStyle name="Normal 2 3 6 3" xfId="54206"/>
    <cellStyle name="Normal 2 3 7" xfId="54207"/>
    <cellStyle name="Normal 2 3 7 2" xfId="54208"/>
    <cellStyle name="Normal 2 3 7 3" xfId="54209"/>
    <cellStyle name="Normal 2 3 8" xfId="54210"/>
    <cellStyle name="Normal 2 3 8 2" xfId="54211"/>
    <cellStyle name="Normal 2 3 8 3" xfId="54212"/>
    <cellStyle name="Normal 2 3 9" xfId="54213"/>
    <cellStyle name="Normal 2 4" xfId="69"/>
    <cellStyle name="Normal 2 4 10" xfId="54214"/>
    <cellStyle name="Normal 2 4 2" xfId="54215"/>
    <cellStyle name="Normal 2 4 2 2" xfId="54216"/>
    <cellStyle name="Normal 2 4 2 2 2" xfId="54217"/>
    <cellStyle name="Normal 2 4 2 2 2 2" xfId="54218"/>
    <cellStyle name="Normal 2 4 2 2 2 3" xfId="54219"/>
    <cellStyle name="Normal 2 4 2 2 3" xfId="54220"/>
    <cellStyle name="Normal 2 4 2 2 4" xfId="54221"/>
    <cellStyle name="Normal 2 4 2 3" xfId="54222"/>
    <cellStyle name="Normal 2 4 2 3 2" xfId="54223"/>
    <cellStyle name="Normal 2 4 2 3 3" xfId="54224"/>
    <cellStyle name="Normal 2 4 2 4" xfId="54225"/>
    <cellStyle name="Normal 2 4 2 4 2" xfId="54226"/>
    <cellStyle name="Normal 2 4 2 4 3" xfId="54227"/>
    <cellStyle name="Normal 2 4 2 5" xfId="54228"/>
    <cellStyle name="Normal 2 4 2 6" xfId="54229"/>
    <cellStyle name="Normal 2 4 2 7" xfId="54230"/>
    <cellStyle name="Normal 2 4 3" xfId="54231"/>
    <cellStyle name="Normal 2 4 3 2" xfId="54232"/>
    <cellStyle name="Normal 2 4 3 2 2" xfId="54233"/>
    <cellStyle name="Normal 2 4 3 2 2 2" xfId="54234"/>
    <cellStyle name="Normal 2 4 3 2 2 3" xfId="54235"/>
    <cellStyle name="Normal 2 4 3 2 3" xfId="54236"/>
    <cellStyle name="Normal 2 4 3 2 4" xfId="54237"/>
    <cellStyle name="Normal 2 4 3 3" xfId="54238"/>
    <cellStyle name="Normal 2 4 3 3 2" xfId="54239"/>
    <cellStyle name="Normal 2 4 3 3 3" xfId="54240"/>
    <cellStyle name="Normal 2 4 3 4" xfId="54241"/>
    <cellStyle name="Normal 2 4 3 5" xfId="54242"/>
    <cellStyle name="Normal 2 4 3 6" xfId="54243"/>
    <cellStyle name="Normal 2 4 4" xfId="54244"/>
    <cellStyle name="Normal 2 4 4 2" xfId="54245"/>
    <cellStyle name="Normal 2 4 4 2 2" xfId="54246"/>
    <cellStyle name="Normal 2 4 4 2 3" xfId="54247"/>
    <cellStyle name="Normal 2 4 4 3" xfId="54248"/>
    <cellStyle name="Normal 2 4 4 4" xfId="54249"/>
    <cellStyle name="Normal 2 4 5" xfId="54250"/>
    <cellStyle name="Normal 2 4 5 2" xfId="54251"/>
    <cellStyle name="Normal 2 4 5 3" xfId="54252"/>
    <cellStyle name="Normal 2 4 6" xfId="54253"/>
    <cellStyle name="Normal 2 4 6 2" xfId="54254"/>
    <cellStyle name="Normal 2 4 6 3" xfId="54255"/>
    <cellStyle name="Normal 2 4 7" xfId="54256"/>
    <cellStyle name="Normal 2 4 7 2" xfId="54257"/>
    <cellStyle name="Normal 2 4 7 3" xfId="54258"/>
    <cellStyle name="Normal 2 4 8" xfId="54259"/>
    <cellStyle name="Normal 2 4 9" xfId="54260"/>
    <cellStyle name="Normal 2 5" xfId="553"/>
    <cellStyle name="Normal 2 5 2" xfId="54261"/>
    <cellStyle name="Normal 2 6" xfId="711"/>
    <cellStyle name="Normal 2 7" xfId="717"/>
    <cellStyle name="Normal 2 8" xfId="738"/>
    <cellStyle name="Normal 2 9" xfId="60762"/>
    <cellStyle name="Normal 2_2012-13 budgets summary V1 Start - April 2012" xfId="54262"/>
    <cellStyle name="Normal 20" xfId="54263"/>
    <cellStyle name="Normal 20 2" xfId="54264"/>
    <cellStyle name="Normal 20 3" xfId="54265"/>
    <cellStyle name="Normal 21" xfId="54266"/>
    <cellStyle name="Normal 22" xfId="54267"/>
    <cellStyle name="Normal 23" xfId="54268"/>
    <cellStyle name="Normal 24" xfId="54269"/>
    <cellStyle name="Normal 25" xfId="54270"/>
    <cellStyle name="Normal 26" xfId="54271"/>
    <cellStyle name="Normal 27" xfId="54272"/>
    <cellStyle name="Normal 28" xfId="14503"/>
    <cellStyle name="Normal 28 2" xfId="54273"/>
    <cellStyle name="Normal 28 3" xfId="54274"/>
    <cellStyle name="Normal 29" xfId="60759"/>
    <cellStyle name="Normal 29 2" xfId="60761"/>
    <cellStyle name="Normal 3" xfId="2"/>
    <cellStyle name="Normal 3 2" xfId="54"/>
    <cellStyle name="Normal 3 2 10" xfId="54275"/>
    <cellStyle name="Normal 3 2 2" xfId="54276"/>
    <cellStyle name="Normal 3 2 2 2" xfId="54277"/>
    <cellStyle name="Normal 3 2 2 2 2" xfId="54278"/>
    <cellStyle name="Normal 3 2 2 2 2 2" xfId="54279"/>
    <cellStyle name="Normal 3 2 2 2 2 2 2" xfId="54280"/>
    <cellStyle name="Normal 3 2 2 2 2 2 3" xfId="54281"/>
    <cellStyle name="Normal 3 2 2 2 2 3" xfId="54282"/>
    <cellStyle name="Normal 3 2 2 2 2 4" xfId="54283"/>
    <cellStyle name="Normal 3 2 2 2 3" xfId="54284"/>
    <cellStyle name="Normal 3 2 2 2 3 2" xfId="54285"/>
    <cellStyle name="Normal 3 2 2 2 3 3" xfId="54286"/>
    <cellStyle name="Normal 3 2 2 2 4" xfId="54287"/>
    <cellStyle name="Normal 3 2 2 2 4 2" xfId="54288"/>
    <cellStyle name="Normal 3 2 2 2 4 3" xfId="54289"/>
    <cellStyle name="Normal 3 2 2 2 5" xfId="54290"/>
    <cellStyle name="Normal 3 2 2 2 6" xfId="54291"/>
    <cellStyle name="Normal 3 2 2 3" xfId="54292"/>
    <cellStyle name="Normal 3 2 2 3 2" xfId="54293"/>
    <cellStyle name="Normal 3 2 2 3 2 2" xfId="54294"/>
    <cellStyle name="Normal 3 2 2 3 2 2 2" xfId="54295"/>
    <cellStyle name="Normal 3 2 2 3 2 2 3" xfId="54296"/>
    <cellStyle name="Normal 3 2 2 3 2 3" xfId="54297"/>
    <cellStyle name="Normal 3 2 2 3 2 4" xfId="54298"/>
    <cellStyle name="Normal 3 2 2 3 3" xfId="54299"/>
    <cellStyle name="Normal 3 2 2 3 3 2" xfId="54300"/>
    <cellStyle name="Normal 3 2 2 3 3 3" xfId="54301"/>
    <cellStyle name="Normal 3 2 2 3 4" xfId="54302"/>
    <cellStyle name="Normal 3 2 2 3 5" xfId="54303"/>
    <cellStyle name="Normal 3 2 2 4" xfId="54304"/>
    <cellStyle name="Normal 3 2 2 4 2" xfId="54305"/>
    <cellStyle name="Normal 3 2 2 4 2 2" xfId="54306"/>
    <cellStyle name="Normal 3 2 2 4 2 3" xfId="54307"/>
    <cellStyle name="Normal 3 2 2 4 3" xfId="54308"/>
    <cellStyle name="Normal 3 2 2 4 4" xfId="54309"/>
    <cellStyle name="Normal 3 2 2 5" xfId="54310"/>
    <cellStyle name="Normal 3 2 2 5 2" xfId="54311"/>
    <cellStyle name="Normal 3 2 2 5 3" xfId="54312"/>
    <cellStyle name="Normal 3 2 2 6" xfId="54313"/>
    <cellStyle name="Normal 3 2 2 6 2" xfId="54314"/>
    <cellStyle name="Normal 3 2 2 6 3" xfId="54315"/>
    <cellStyle name="Normal 3 2 2 7" xfId="54316"/>
    <cellStyle name="Normal 3 2 2 8" xfId="54317"/>
    <cellStyle name="Normal 3 2 2 9" xfId="54318"/>
    <cellStyle name="Normal 3 2 3" xfId="54319"/>
    <cellStyle name="Normal 3 2 3 2" xfId="54320"/>
    <cellStyle name="Normal 3 2 3 2 2" xfId="54321"/>
    <cellStyle name="Normal 3 2 3 2 2 2" xfId="54322"/>
    <cellStyle name="Normal 3 2 3 2 2 3" xfId="54323"/>
    <cellStyle name="Normal 3 2 3 2 3" xfId="54324"/>
    <cellStyle name="Normal 3 2 3 2 4" xfId="54325"/>
    <cellStyle name="Normal 3 2 3 3" xfId="54326"/>
    <cellStyle name="Normal 3 2 3 3 2" xfId="54327"/>
    <cellStyle name="Normal 3 2 3 3 3" xfId="54328"/>
    <cellStyle name="Normal 3 2 3 4" xfId="54329"/>
    <cellStyle name="Normal 3 2 3 4 2" xfId="54330"/>
    <cellStyle name="Normal 3 2 3 4 3" xfId="54331"/>
    <cellStyle name="Normal 3 2 3 5" xfId="54332"/>
    <cellStyle name="Normal 3 2 3 6" xfId="54333"/>
    <cellStyle name="Normal 3 2 4" xfId="54334"/>
    <cellStyle name="Normal 3 2 4 2" xfId="54335"/>
    <cellStyle name="Normal 3 2 4 2 2" xfId="54336"/>
    <cellStyle name="Normal 3 2 4 2 2 2" xfId="54337"/>
    <cellStyle name="Normal 3 2 4 2 2 3" xfId="54338"/>
    <cellStyle name="Normal 3 2 4 2 3" xfId="54339"/>
    <cellStyle name="Normal 3 2 4 2 4" xfId="54340"/>
    <cellStyle name="Normal 3 2 4 3" xfId="54341"/>
    <cellStyle name="Normal 3 2 4 3 2" xfId="54342"/>
    <cellStyle name="Normal 3 2 4 3 3" xfId="54343"/>
    <cellStyle name="Normal 3 2 4 4" xfId="54344"/>
    <cellStyle name="Normal 3 2 4 5" xfId="54345"/>
    <cellStyle name="Normal 3 2 5" xfId="54346"/>
    <cellStyle name="Normal 3 2 5 2" xfId="54347"/>
    <cellStyle name="Normal 3 2 5 2 2" xfId="54348"/>
    <cellStyle name="Normal 3 2 5 2 3" xfId="54349"/>
    <cellStyle name="Normal 3 2 5 3" xfId="54350"/>
    <cellStyle name="Normal 3 2 5 4" xfId="54351"/>
    <cellStyle name="Normal 3 2 6" xfId="54352"/>
    <cellStyle name="Normal 3 2 6 2" xfId="54353"/>
    <cellStyle name="Normal 3 2 6 3" xfId="54354"/>
    <cellStyle name="Normal 3 2 7" xfId="54355"/>
    <cellStyle name="Normal 3 2 7 2" xfId="54356"/>
    <cellStyle name="Normal 3 2 7 3" xfId="54357"/>
    <cellStyle name="Normal 3 2 8" xfId="54358"/>
    <cellStyle name="Normal 3 2 8 2" xfId="54359"/>
    <cellStyle name="Normal 3 2 8 3" xfId="54360"/>
    <cellStyle name="Normal 3 2 9" xfId="54361"/>
    <cellStyle name="Normal 3 3" xfId="125"/>
    <cellStyle name="Normal 3 3 10" xfId="54362"/>
    <cellStyle name="Normal 3 3 11" xfId="54363"/>
    <cellStyle name="Normal 3 3 2" xfId="54364"/>
    <cellStyle name="Normal 3 3 2 10" xfId="61449"/>
    <cellStyle name="Normal 3 3 2 2" xfId="54365"/>
    <cellStyle name="Normal 3 3 2 2 2" xfId="54366"/>
    <cellStyle name="Normal 3 3 2 2 2 2" xfId="54367"/>
    <cellStyle name="Normal 3 3 2 2 2 2 2" xfId="54368"/>
    <cellStyle name="Normal 3 3 2 2 2 2 3" xfId="54369"/>
    <cellStyle name="Normal 3 3 2 2 2 3" xfId="54370"/>
    <cellStyle name="Normal 3 3 2 2 2 4" xfId="54371"/>
    <cellStyle name="Normal 3 3 2 2 3" xfId="54372"/>
    <cellStyle name="Normal 3 3 2 2 3 2" xfId="54373"/>
    <cellStyle name="Normal 3 3 2 2 3 3" xfId="54374"/>
    <cellStyle name="Normal 3 3 2 2 4" xfId="54375"/>
    <cellStyle name="Normal 3 3 2 2 4 2" xfId="54376"/>
    <cellStyle name="Normal 3 3 2 2 4 3" xfId="54377"/>
    <cellStyle name="Normal 3 3 2 2 5" xfId="54378"/>
    <cellStyle name="Normal 3 3 2 2 6" xfId="54379"/>
    <cellStyle name="Normal 3 3 2 3" xfId="54380"/>
    <cellStyle name="Normal 3 3 2 3 2" xfId="54381"/>
    <cellStyle name="Normal 3 3 2 3 2 2" xfId="54382"/>
    <cellStyle name="Normal 3 3 2 3 2 2 2" xfId="54383"/>
    <cellStyle name="Normal 3 3 2 3 2 2 3" xfId="54384"/>
    <cellStyle name="Normal 3 3 2 3 2 3" xfId="54385"/>
    <cellStyle name="Normal 3 3 2 3 2 4" xfId="54386"/>
    <cellStyle name="Normal 3 3 2 3 3" xfId="54387"/>
    <cellStyle name="Normal 3 3 2 3 3 2" xfId="54388"/>
    <cellStyle name="Normal 3 3 2 3 3 3" xfId="54389"/>
    <cellStyle name="Normal 3 3 2 3 4" xfId="54390"/>
    <cellStyle name="Normal 3 3 2 3 5" xfId="54391"/>
    <cellStyle name="Normal 3 3 2 4" xfId="54392"/>
    <cellStyle name="Normal 3 3 2 4 2" xfId="54393"/>
    <cellStyle name="Normal 3 3 2 4 2 2" xfId="54394"/>
    <cellStyle name="Normal 3 3 2 4 2 3" xfId="54395"/>
    <cellStyle name="Normal 3 3 2 4 3" xfId="54396"/>
    <cellStyle name="Normal 3 3 2 4 4" xfId="54397"/>
    <cellStyle name="Normal 3 3 2 5" xfId="54398"/>
    <cellStyle name="Normal 3 3 2 5 2" xfId="54399"/>
    <cellStyle name="Normal 3 3 2 5 3" xfId="54400"/>
    <cellStyle name="Normal 3 3 2 6" xfId="54401"/>
    <cellStyle name="Normal 3 3 2 6 2" xfId="54402"/>
    <cellStyle name="Normal 3 3 2 6 3" xfId="54403"/>
    <cellStyle name="Normal 3 3 2 7" xfId="54404"/>
    <cellStyle name="Normal 3 3 2 8" xfId="54405"/>
    <cellStyle name="Normal 3 3 2 9" xfId="54406"/>
    <cellStyle name="Normal 3 3 3" xfId="54407"/>
    <cellStyle name="Normal 3 3 3 2" xfId="54408"/>
    <cellStyle name="Normal 3 3 3 2 2" xfId="54409"/>
    <cellStyle name="Normal 3 3 3 2 2 2" xfId="54410"/>
    <cellStyle name="Normal 3 3 3 2 2 3" xfId="54411"/>
    <cellStyle name="Normal 3 3 3 2 3" xfId="54412"/>
    <cellStyle name="Normal 3 3 3 2 4" xfId="54413"/>
    <cellStyle name="Normal 3 3 3 3" xfId="54414"/>
    <cellStyle name="Normal 3 3 3 3 2" xfId="54415"/>
    <cellStyle name="Normal 3 3 3 3 3" xfId="54416"/>
    <cellStyle name="Normal 3 3 3 4" xfId="54417"/>
    <cellStyle name="Normal 3 3 3 4 2" xfId="54418"/>
    <cellStyle name="Normal 3 3 3 4 3" xfId="54419"/>
    <cellStyle name="Normal 3 3 3 5" xfId="54420"/>
    <cellStyle name="Normal 3 3 3 6" xfId="54421"/>
    <cellStyle name="Normal 3 3 3 7" xfId="54422"/>
    <cellStyle name="Normal 3 3 4" xfId="54423"/>
    <cellStyle name="Normal 3 3 4 2" xfId="54424"/>
    <cellStyle name="Normal 3 3 4 2 2" xfId="54425"/>
    <cellStyle name="Normal 3 3 4 2 2 2" xfId="54426"/>
    <cellStyle name="Normal 3 3 4 2 2 3" xfId="54427"/>
    <cellStyle name="Normal 3 3 4 2 3" xfId="54428"/>
    <cellStyle name="Normal 3 3 4 2 4" xfId="54429"/>
    <cellStyle name="Normal 3 3 4 3" xfId="54430"/>
    <cellStyle name="Normal 3 3 4 3 2" xfId="54431"/>
    <cellStyle name="Normal 3 3 4 3 3" xfId="54432"/>
    <cellStyle name="Normal 3 3 4 4" xfId="54433"/>
    <cellStyle name="Normal 3 3 4 5" xfId="54434"/>
    <cellStyle name="Normal 3 3 5" xfId="54435"/>
    <cellStyle name="Normal 3 3 5 2" xfId="54436"/>
    <cellStyle name="Normal 3 3 5 2 2" xfId="54437"/>
    <cellStyle name="Normal 3 3 5 2 3" xfId="54438"/>
    <cellStyle name="Normal 3 3 5 3" xfId="54439"/>
    <cellStyle name="Normal 3 3 5 4" xfId="54440"/>
    <cellStyle name="Normal 3 3 6" xfId="54441"/>
    <cellStyle name="Normal 3 3 6 2" xfId="54442"/>
    <cellStyle name="Normal 3 3 6 3" xfId="54443"/>
    <cellStyle name="Normal 3 3 7" xfId="54444"/>
    <cellStyle name="Normal 3 3 7 2" xfId="54445"/>
    <cellStyle name="Normal 3 3 7 3" xfId="54446"/>
    <cellStyle name="Normal 3 3 8" xfId="54447"/>
    <cellStyle name="Normal 3 3 8 2" xfId="54448"/>
    <cellStyle name="Normal 3 3 8 3" xfId="54449"/>
    <cellStyle name="Normal 3 3 9" xfId="54450"/>
    <cellStyle name="Normal 3 4" xfId="54451"/>
    <cellStyle name="Normal 3 4 2" xfId="54452"/>
    <cellStyle name="Normal 3 4 3" xfId="54453"/>
    <cellStyle name="Normal 3 5" xfId="54454"/>
    <cellStyle name="Normal 3 5 2" xfId="54455"/>
    <cellStyle name="Normal 3 6" xfId="54456"/>
    <cellStyle name="Normal 3 7" xfId="54457"/>
    <cellStyle name="Normal 3 8" xfId="62398"/>
    <cellStyle name="Normal 3_2012-13 budgets summary V1 Start - April 2012" xfId="54458"/>
    <cellStyle name="Normal 30" xfId="60760"/>
    <cellStyle name="Normal 31" xfId="60763"/>
    <cellStyle name="Normal 32" xfId="61935"/>
    <cellStyle name="Normal 33" xfId="62391"/>
    <cellStyle name="Normal 34" xfId="62392"/>
    <cellStyle name="Normal 35" xfId="62393"/>
    <cellStyle name="Normal 36" xfId="62395"/>
    <cellStyle name="Normal 37" xfId="62400"/>
    <cellStyle name="Normal 38" xfId="62402"/>
    <cellStyle name="Normal 39" xfId="62403"/>
    <cellStyle name="Normal 4" xfId="58"/>
    <cellStyle name="Normal 4 2" xfId="87"/>
    <cellStyle name="Normal 4 2 2" xfId="54459"/>
    <cellStyle name="Normal 4 2 2 2" xfId="54460"/>
    <cellStyle name="Normal 4 2 2 2 2" xfId="54461"/>
    <cellStyle name="Normal 4 2 2 2 2 2" xfId="54462"/>
    <cellStyle name="Normal 4 2 2 2 2 3" xfId="54463"/>
    <cellStyle name="Normal 4 2 2 2 3" xfId="54464"/>
    <cellStyle name="Normal 4 2 2 2 4" xfId="54465"/>
    <cellStyle name="Normal 4 2 2 2 5" xfId="54466"/>
    <cellStyle name="Normal 4 2 2 3" xfId="54467"/>
    <cellStyle name="Normal 4 2 2 3 2" xfId="54468"/>
    <cellStyle name="Normal 4 2 2 3 3" xfId="54469"/>
    <cellStyle name="Normal 4 2 2 4" xfId="54470"/>
    <cellStyle name="Normal 4 2 2 4 2" xfId="54471"/>
    <cellStyle name="Normal 4 2 2 4 3" xfId="54472"/>
    <cellStyle name="Normal 4 2 2 5" xfId="54473"/>
    <cellStyle name="Normal 4 2 2 6" xfId="54474"/>
    <cellStyle name="Normal 4 2 2 7" xfId="54475"/>
    <cellStyle name="Normal 4 2 3" xfId="54476"/>
    <cellStyle name="Normal 4 2 3 2" xfId="54477"/>
    <cellStyle name="Normal 4 2 3 2 2" xfId="54478"/>
    <cellStyle name="Normal 4 2 3 2 2 2" xfId="54479"/>
    <cellStyle name="Normal 4 2 3 2 2 3" xfId="54480"/>
    <cellStyle name="Normal 4 2 3 2 3" xfId="54481"/>
    <cellStyle name="Normal 4 2 3 2 4" xfId="54482"/>
    <cellStyle name="Normal 4 2 3 3" xfId="54483"/>
    <cellStyle name="Normal 4 2 3 3 2" xfId="54484"/>
    <cellStyle name="Normal 4 2 3 3 3" xfId="54485"/>
    <cellStyle name="Normal 4 2 3 4" xfId="54486"/>
    <cellStyle name="Normal 4 2 3 5" xfId="54487"/>
    <cellStyle name="Normal 4 2 3 6" xfId="54488"/>
    <cellStyle name="Normal 4 2 3 7" xfId="61458"/>
    <cellStyle name="Normal 4 2 4" xfId="54489"/>
    <cellStyle name="Normal 4 2 4 2" xfId="54490"/>
    <cellStyle name="Normal 4 2 4 2 2" xfId="54491"/>
    <cellStyle name="Normal 4 2 4 2 3" xfId="54492"/>
    <cellStyle name="Normal 4 2 4 3" xfId="54493"/>
    <cellStyle name="Normal 4 2 4 4" xfId="54494"/>
    <cellStyle name="Normal 4 2 5" xfId="54495"/>
    <cellStyle name="Normal 4 2 5 2" xfId="54496"/>
    <cellStyle name="Normal 4 2 5 3" xfId="54497"/>
    <cellStyle name="Normal 4 2 6" xfId="54498"/>
    <cellStyle name="Normal 4 2 6 2" xfId="54499"/>
    <cellStyle name="Normal 4 2 6 3" xfId="54500"/>
    <cellStyle name="Normal 4 2 7" xfId="54501"/>
    <cellStyle name="Normal 4 2 8" xfId="54502"/>
    <cellStyle name="Normal 4 2 9" xfId="54503"/>
    <cellStyle name="Normal 4 3" xfId="624"/>
    <cellStyle name="Normal 4 3 2" xfId="54504"/>
    <cellStyle name="Normal 4 4" xfId="727"/>
    <cellStyle name="Normal 4 5" xfId="737"/>
    <cellStyle name="Normal 4 5 2" xfId="54505"/>
    <cellStyle name="Normal 4 5 2 2" xfId="61714"/>
    <cellStyle name="Normal 4 5 3" xfId="54506"/>
    <cellStyle name="Normal 4 6" xfId="54507"/>
    <cellStyle name="Normal 4 6 2" xfId="54508"/>
    <cellStyle name="Normal 4 7" xfId="54509"/>
    <cellStyle name="Normal 40 4" xfId="54510"/>
    <cellStyle name="Normal 5" xfId="75"/>
    <cellStyle name="Normal 5 10" xfId="54511"/>
    <cellStyle name="Normal 5 2" xfId="88"/>
    <cellStyle name="Normal 5 2 2" xfId="54512"/>
    <cellStyle name="Normal 5 2 2 2" xfId="54513"/>
    <cellStyle name="Normal 5 2 2 2 2" xfId="54514"/>
    <cellStyle name="Normal 5 2 2 2 2 2" xfId="54515"/>
    <cellStyle name="Normal 5 2 2 2 2 3" xfId="54516"/>
    <cellStyle name="Normal 5 2 2 2 3" xfId="54517"/>
    <cellStyle name="Normal 5 2 2 2 4" xfId="54518"/>
    <cellStyle name="Normal 5 2 2 3" xfId="54519"/>
    <cellStyle name="Normal 5 2 2 3 2" xfId="54520"/>
    <cellStyle name="Normal 5 2 2 3 3" xfId="54521"/>
    <cellStyle name="Normal 5 2 2 4" xfId="54522"/>
    <cellStyle name="Normal 5 2 2 4 2" xfId="54523"/>
    <cellStyle name="Normal 5 2 2 4 3" xfId="54524"/>
    <cellStyle name="Normal 5 2 2 5" xfId="54525"/>
    <cellStyle name="Normal 5 2 2 6" xfId="54526"/>
    <cellStyle name="Normal 5 2 2 7" xfId="54527"/>
    <cellStyle name="Normal 5 2 3" xfId="54528"/>
    <cellStyle name="Normal 5 2 3 2" xfId="54529"/>
    <cellStyle name="Normal 5 2 3 2 2" xfId="54530"/>
    <cellStyle name="Normal 5 2 3 2 2 2" xfId="54531"/>
    <cellStyle name="Normal 5 2 3 2 2 3" xfId="54532"/>
    <cellStyle name="Normal 5 2 3 2 3" xfId="54533"/>
    <cellStyle name="Normal 5 2 3 2 4" xfId="54534"/>
    <cellStyle name="Normal 5 2 3 3" xfId="54535"/>
    <cellStyle name="Normal 5 2 3 3 2" xfId="54536"/>
    <cellStyle name="Normal 5 2 3 3 3" xfId="54537"/>
    <cellStyle name="Normal 5 2 3 4" xfId="54538"/>
    <cellStyle name="Normal 5 2 3 5" xfId="54539"/>
    <cellStyle name="Normal 5 2 4" xfId="54540"/>
    <cellStyle name="Normal 5 2 4 2" xfId="54541"/>
    <cellStyle name="Normal 5 2 4 2 2" xfId="54542"/>
    <cellStyle name="Normal 5 2 4 2 3" xfId="54543"/>
    <cellStyle name="Normal 5 2 4 3" xfId="54544"/>
    <cellStyle name="Normal 5 2 4 4" xfId="54545"/>
    <cellStyle name="Normal 5 2 5" xfId="54546"/>
    <cellStyle name="Normal 5 2 5 2" xfId="54547"/>
    <cellStyle name="Normal 5 2 5 3" xfId="54548"/>
    <cellStyle name="Normal 5 2 6" xfId="54549"/>
    <cellStyle name="Normal 5 2 6 2" xfId="54550"/>
    <cellStyle name="Normal 5 2 6 3" xfId="54551"/>
    <cellStyle name="Normal 5 2 7" xfId="54552"/>
    <cellStyle name="Normal 5 2 8" xfId="54553"/>
    <cellStyle name="Normal 5 2 9" xfId="54554"/>
    <cellStyle name="Normal 5 3" xfId="568"/>
    <cellStyle name="Normal 5 3 2" xfId="54555"/>
    <cellStyle name="Normal 5 3 2 2" xfId="54556"/>
    <cellStyle name="Normal 5 3 2 2 2" xfId="54557"/>
    <cellStyle name="Normal 5 3 2 2 3" xfId="54558"/>
    <cellStyle name="Normal 5 3 2 3" xfId="54559"/>
    <cellStyle name="Normal 5 3 2 4" xfId="54560"/>
    <cellStyle name="Normal 5 3 2 5" xfId="54561"/>
    <cellStyle name="Normal 5 3 3" xfId="54562"/>
    <cellStyle name="Normal 5 3 3 2" xfId="54563"/>
    <cellStyle name="Normal 5 3 3 3" xfId="54564"/>
    <cellStyle name="Normal 5 3 3 4" xfId="54565"/>
    <cellStyle name="Normal 5 3 4" xfId="54566"/>
    <cellStyle name="Normal 5 3 4 2" xfId="54567"/>
    <cellStyle name="Normal 5 3 4 3" xfId="54568"/>
    <cellStyle name="Normal 5 3 5" xfId="54569"/>
    <cellStyle name="Normal 5 3 6" xfId="54570"/>
    <cellStyle name="Normal 5 3 7" xfId="54571"/>
    <cellStyle name="Normal 5 4" xfId="712"/>
    <cellStyle name="Normal 5 4 2" xfId="54572"/>
    <cellStyle name="Normal 5 4 2 2" xfId="54573"/>
    <cellStyle name="Normal 5 4 2 2 2" xfId="54574"/>
    <cellStyle name="Normal 5 4 2 2 3" xfId="54575"/>
    <cellStyle name="Normal 5 4 2 3" xfId="54576"/>
    <cellStyle name="Normal 5 4 2 4" xfId="54577"/>
    <cellStyle name="Normal 5 4 3" xfId="54578"/>
    <cellStyle name="Normal 5 4 3 2" xfId="54579"/>
    <cellStyle name="Normal 5 4 3 3" xfId="54580"/>
    <cellStyle name="Normal 5 4 4" xfId="54581"/>
    <cellStyle name="Normal 5 4 5" xfId="54582"/>
    <cellStyle name="Normal 5 4 6" xfId="54583"/>
    <cellStyle name="Normal 5 5" xfId="552"/>
    <cellStyle name="Normal 5 5 2" xfId="54584"/>
    <cellStyle name="Normal 5 5 2 2" xfId="54585"/>
    <cellStyle name="Normal 5 5 2 3" xfId="54586"/>
    <cellStyle name="Normal 5 5 3" xfId="54587"/>
    <cellStyle name="Normal 5 5 4" xfId="54588"/>
    <cellStyle name="Normal 5 5 5" xfId="54589"/>
    <cellStyle name="Normal 5 6" xfId="725"/>
    <cellStyle name="Normal 5 6 2" xfId="54590"/>
    <cellStyle name="Normal 5 6 3" xfId="54591"/>
    <cellStyle name="Normal 5 6 4" xfId="54592"/>
    <cellStyle name="Normal 5 7" xfId="736"/>
    <cellStyle name="Normal 5 7 2" xfId="54593"/>
    <cellStyle name="Normal 5 7 2 2" xfId="54594"/>
    <cellStyle name="Normal 5 7 3" xfId="54595"/>
    <cellStyle name="Normal 5 7 4" xfId="54596"/>
    <cellStyle name="Normal 5 8" xfId="54597"/>
    <cellStyle name="Normal 5 8 2" xfId="54598"/>
    <cellStyle name="Normal 5 8 2 2" xfId="54599"/>
    <cellStyle name="Normal 5 8 3" xfId="54600"/>
    <cellStyle name="Normal 5 8 4" xfId="54601"/>
    <cellStyle name="Normal 5 9" xfId="54602"/>
    <cellStyle name="Normal 5 9 2" xfId="54603"/>
    <cellStyle name="Normal 6" xfId="77"/>
    <cellStyle name="Normal 6 10" xfId="54604"/>
    <cellStyle name="Normal 6 10 2" xfId="54605"/>
    <cellStyle name="Normal 6 10 3" xfId="54606"/>
    <cellStyle name="Normal 6 11" xfId="54607"/>
    <cellStyle name="Normal 6 12" xfId="54608"/>
    <cellStyle name="Normal 6 13" xfId="54609"/>
    <cellStyle name="Normal 6 2" xfId="90"/>
    <cellStyle name="Normal 6 2 2" xfId="54610"/>
    <cellStyle name="Normal 6 2 2 2" xfId="54611"/>
    <cellStyle name="Normal 6 2 2 2 2" xfId="54612"/>
    <cellStyle name="Normal 6 2 2 2 2 2" xfId="54613"/>
    <cellStyle name="Normal 6 2 2 2 2 3" xfId="54614"/>
    <cellStyle name="Normal 6 2 2 2 3" xfId="54615"/>
    <cellStyle name="Normal 6 2 2 2 4" xfId="54616"/>
    <cellStyle name="Normal 6 2 2 3" xfId="54617"/>
    <cellStyle name="Normal 6 2 2 3 2" xfId="54618"/>
    <cellStyle name="Normal 6 2 2 3 3" xfId="54619"/>
    <cellStyle name="Normal 6 2 2 4" xfId="54620"/>
    <cellStyle name="Normal 6 2 2 4 2" xfId="54621"/>
    <cellStyle name="Normal 6 2 2 4 3" xfId="54622"/>
    <cellStyle name="Normal 6 2 2 5" xfId="54623"/>
    <cellStyle name="Normal 6 2 2 6" xfId="54624"/>
    <cellStyle name="Normal 6 2 2 7" xfId="54625"/>
    <cellStyle name="Normal 6 2 3" xfId="54626"/>
    <cellStyle name="Normal 6 2 3 2" xfId="54627"/>
    <cellStyle name="Normal 6 2 3 2 2" xfId="54628"/>
    <cellStyle name="Normal 6 2 3 2 2 2" xfId="54629"/>
    <cellStyle name="Normal 6 2 3 2 2 3" xfId="54630"/>
    <cellStyle name="Normal 6 2 3 2 3" xfId="54631"/>
    <cellStyle name="Normal 6 2 3 2 4" xfId="54632"/>
    <cellStyle name="Normal 6 2 3 3" xfId="54633"/>
    <cellStyle name="Normal 6 2 3 3 2" xfId="54634"/>
    <cellStyle name="Normal 6 2 3 3 3" xfId="54635"/>
    <cellStyle name="Normal 6 2 3 4" xfId="54636"/>
    <cellStyle name="Normal 6 2 3 5" xfId="54637"/>
    <cellStyle name="Normal 6 2 3 6" xfId="54638"/>
    <cellStyle name="Normal 6 2 4" xfId="54639"/>
    <cellStyle name="Normal 6 2 4 2" xfId="54640"/>
    <cellStyle name="Normal 6 2 4 2 2" xfId="54641"/>
    <cellStyle name="Normal 6 2 4 2 3" xfId="54642"/>
    <cellStyle name="Normal 6 2 4 3" xfId="54643"/>
    <cellStyle name="Normal 6 2 4 4" xfId="54644"/>
    <cellStyle name="Normal 6 2 5" xfId="54645"/>
    <cellStyle name="Normal 6 2 5 2" xfId="54646"/>
    <cellStyle name="Normal 6 2 5 3" xfId="54647"/>
    <cellStyle name="Normal 6 2 6" xfId="54648"/>
    <cellStyle name="Normal 6 2 6 2" xfId="54649"/>
    <cellStyle name="Normal 6 2 6 3" xfId="54650"/>
    <cellStyle name="Normal 6 2 7" xfId="54651"/>
    <cellStyle name="Normal 6 2 8" xfId="54652"/>
    <cellStyle name="Normal 6 2 9" xfId="54653"/>
    <cellStyle name="Normal 6 3" xfId="723"/>
    <cellStyle name="Normal 6 3 2" xfId="54654"/>
    <cellStyle name="Normal 6 3 3" xfId="54655"/>
    <cellStyle name="Normal 6 4" xfId="735"/>
    <cellStyle name="Normal 6 4 2" xfId="54656"/>
    <cellStyle name="Normal 6 4 2 2" xfId="54657"/>
    <cellStyle name="Normal 6 4 2 2 2" xfId="54658"/>
    <cellStyle name="Normal 6 4 2 2 2 2" xfId="54659"/>
    <cellStyle name="Normal 6 4 2 2 2 3" xfId="54660"/>
    <cellStyle name="Normal 6 4 2 2 3" xfId="54661"/>
    <cellStyle name="Normal 6 4 2 2 4" xfId="54662"/>
    <cellStyle name="Normal 6 4 2 3" xfId="54663"/>
    <cellStyle name="Normal 6 4 2 3 2" xfId="54664"/>
    <cellStyle name="Normal 6 4 2 3 3" xfId="54665"/>
    <cellStyle name="Normal 6 4 2 4" xfId="54666"/>
    <cellStyle name="Normal 6 4 2 4 2" xfId="54667"/>
    <cellStyle name="Normal 6 4 2 4 3" xfId="54668"/>
    <cellStyle name="Normal 6 4 2 5" xfId="54669"/>
    <cellStyle name="Normal 6 4 2 6" xfId="54670"/>
    <cellStyle name="Normal 6 4 2 7" xfId="54671"/>
    <cellStyle name="Normal 6 4 2 8" xfId="61722"/>
    <cellStyle name="Normal 6 4 3" xfId="54672"/>
    <cellStyle name="Normal 6 4 3 2" xfId="54673"/>
    <cellStyle name="Normal 6 4 3 2 2" xfId="54674"/>
    <cellStyle name="Normal 6 4 3 2 2 2" xfId="54675"/>
    <cellStyle name="Normal 6 4 3 2 2 3" xfId="54676"/>
    <cellStyle name="Normal 6 4 3 2 3" xfId="54677"/>
    <cellStyle name="Normal 6 4 3 2 4" xfId="54678"/>
    <cellStyle name="Normal 6 4 3 3" xfId="54679"/>
    <cellStyle name="Normal 6 4 3 3 2" xfId="54680"/>
    <cellStyle name="Normal 6 4 3 3 3" xfId="54681"/>
    <cellStyle name="Normal 6 4 3 4" xfId="54682"/>
    <cellStyle name="Normal 6 4 3 5" xfId="54683"/>
    <cellStyle name="Normal 6 4 3 6" xfId="54684"/>
    <cellStyle name="Normal 6 4 4" xfId="54685"/>
    <cellStyle name="Normal 6 4 4 2" xfId="54686"/>
    <cellStyle name="Normal 6 4 4 2 2" xfId="54687"/>
    <cellStyle name="Normal 6 4 4 2 3" xfId="54688"/>
    <cellStyle name="Normal 6 4 4 3" xfId="54689"/>
    <cellStyle name="Normal 6 4 4 4" xfId="54690"/>
    <cellStyle name="Normal 6 4 5" xfId="54691"/>
    <cellStyle name="Normal 6 4 5 2" xfId="54692"/>
    <cellStyle name="Normal 6 4 5 3" xfId="54693"/>
    <cellStyle name="Normal 6 4 6" xfId="54694"/>
    <cellStyle name="Normal 6 4 6 2" xfId="54695"/>
    <cellStyle name="Normal 6 4 6 3" xfId="54696"/>
    <cellStyle name="Normal 6 4 7" xfId="54697"/>
    <cellStyle name="Normal 6 4 8" xfId="54698"/>
    <cellStyle name="Normal 6 4 9" xfId="54699"/>
    <cellStyle name="Normal 6 5" xfId="54700"/>
    <cellStyle name="Normal 6 5 2" xfId="54701"/>
    <cellStyle name="Normal 6 5 2 2" xfId="54702"/>
    <cellStyle name="Normal 6 5 2 2 2" xfId="54703"/>
    <cellStyle name="Normal 6 5 2 2 3" xfId="54704"/>
    <cellStyle name="Normal 6 5 2 3" xfId="54705"/>
    <cellStyle name="Normal 6 5 2 4" xfId="54706"/>
    <cellStyle name="Normal 6 5 3" xfId="54707"/>
    <cellStyle name="Normal 6 5 3 2" xfId="54708"/>
    <cellStyle name="Normal 6 5 3 3" xfId="54709"/>
    <cellStyle name="Normal 6 5 4" xfId="54710"/>
    <cellStyle name="Normal 6 5 4 2" xfId="54711"/>
    <cellStyle name="Normal 6 5 4 3" xfId="54712"/>
    <cellStyle name="Normal 6 5 5" xfId="54713"/>
    <cellStyle name="Normal 6 5 6" xfId="54714"/>
    <cellStyle name="Normal 6 5 7" xfId="54715"/>
    <cellStyle name="Normal 6 6" xfId="54716"/>
    <cellStyle name="Normal 6 6 2" xfId="54717"/>
    <cellStyle name="Normal 6 6 2 2" xfId="54718"/>
    <cellStyle name="Normal 6 6 2 2 2" xfId="54719"/>
    <cellStyle name="Normal 6 6 2 2 3" xfId="54720"/>
    <cellStyle name="Normal 6 6 2 3" xfId="54721"/>
    <cellStyle name="Normal 6 6 2 4" xfId="54722"/>
    <cellStyle name="Normal 6 6 3" xfId="54723"/>
    <cellStyle name="Normal 6 6 3 2" xfId="54724"/>
    <cellStyle name="Normal 6 6 3 3" xfId="54725"/>
    <cellStyle name="Normal 6 6 4" xfId="54726"/>
    <cellStyle name="Normal 6 6 5" xfId="54727"/>
    <cellStyle name="Normal 6 7" xfId="54728"/>
    <cellStyle name="Normal 6 7 2" xfId="54729"/>
    <cellStyle name="Normal 6 7 2 2" xfId="54730"/>
    <cellStyle name="Normal 6 7 2 3" xfId="54731"/>
    <cellStyle name="Normal 6 7 3" xfId="54732"/>
    <cellStyle name="Normal 6 7 4" xfId="54733"/>
    <cellStyle name="Normal 6 8" xfId="54734"/>
    <cellStyle name="Normal 6 8 2" xfId="54735"/>
    <cellStyle name="Normal 6 8 3" xfId="54736"/>
    <cellStyle name="Normal 6 9" xfId="54737"/>
    <cellStyle name="Normal 6 9 2" xfId="54738"/>
    <cellStyle name="Normal 6 9 3" xfId="54739"/>
    <cellStyle name="Normal 7" xfId="93"/>
    <cellStyle name="Normal 7 2" xfId="726"/>
    <cellStyle name="Normal 7 2 2" xfId="54740"/>
    <cellStyle name="Normal 7 2 2 2" xfId="54741"/>
    <cellStyle name="Normal 7 2 2 2 2" xfId="54742"/>
    <cellStyle name="Normal 7 2 2 2 3" xfId="54743"/>
    <cellStyle name="Normal 7 2 2 3" xfId="54744"/>
    <cellStyle name="Normal 7 2 2 4" xfId="54745"/>
    <cellStyle name="Normal 7 2 3" xfId="54746"/>
    <cellStyle name="Normal 7 2 3 2" xfId="54747"/>
    <cellStyle name="Normal 7 2 3 3" xfId="54748"/>
    <cellStyle name="Normal 7 2 4" xfId="54749"/>
    <cellStyle name="Normal 7 2 4 2" xfId="54750"/>
    <cellStyle name="Normal 7 2 4 3" xfId="54751"/>
    <cellStyle name="Normal 7 2 5" xfId="54752"/>
    <cellStyle name="Normal 7 2 6" xfId="54753"/>
    <cellStyle name="Normal 7 2 7" xfId="54754"/>
    <cellStyle name="Normal 7 3" xfId="734"/>
    <cellStyle name="Normal 7 3 2" xfId="54755"/>
    <cellStyle name="Normal 7 3 2 2" xfId="54756"/>
    <cellStyle name="Normal 7 3 2 2 2" xfId="54757"/>
    <cellStyle name="Normal 7 3 2 2 3" xfId="54758"/>
    <cellStyle name="Normal 7 3 2 3" xfId="54759"/>
    <cellStyle name="Normal 7 3 2 4" xfId="54760"/>
    <cellStyle name="Normal 7 3 2 5" xfId="54761"/>
    <cellStyle name="Normal 7 3 2 6" xfId="61725"/>
    <cellStyle name="Normal 7 3 3" xfId="54762"/>
    <cellStyle name="Normal 7 3 3 2" xfId="54763"/>
    <cellStyle name="Normal 7 3 3 3" xfId="54764"/>
    <cellStyle name="Normal 7 3 3 4" xfId="54765"/>
    <cellStyle name="Normal 7 3 4" xfId="54766"/>
    <cellStyle name="Normal 7 3 5" xfId="54767"/>
    <cellStyle name="Normal 7 3 6" xfId="54768"/>
    <cellStyle name="Normal 7 4" xfId="54769"/>
    <cellStyle name="Normal 7 4 2" xfId="54770"/>
    <cellStyle name="Normal 7 4 2 2" xfId="54771"/>
    <cellStyle name="Normal 7 4 2 3" xfId="54772"/>
    <cellStyle name="Normal 7 4 2 4" xfId="54773"/>
    <cellStyle name="Normal 7 4 3" xfId="54774"/>
    <cellStyle name="Normal 7 4 4" xfId="54775"/>
    <cellStyle name="Normal 7 4 5" xfId="54776"/>
    <cellStyle name="Normal 7 5" xfId="54777"/>
    <cellStyle name="Normal 7 5 2" xfId="54778"/>
    <cellStyle name="Normal 7 5 3" xfId="54779"/>
    <cellStyle name="Normal 7 6" xfId="54780"/>
    <cellStyle name="Normal 7 6 2" xfId="54781"/>
    <cellStyle name="Normal 7 6 3" xfId="54782"/>
    <cellStyle name="Normal 7 7" xfId="54783"/>
    <cellStyle name="Normal 8" xfId="96"/>
    <cellStyle name="Normal 8 2" xfId="724"/>
    <cellStyle name="Normal 8 2 2" xfId="54784"/>
    <cellStyle name="Normal 8 2 2 2" xfId="54785"/>
    <cellStyle name="Normal 8 2 2 2 2" xfId="54786"/>
    <cellStyle name="Normal 8 2 2 2 3" xfId="54787"/>
    <cellStyle name="Normal 8 2 2 3" xfId="54788"/>
    <cellStyle name="Normal 8 2 2 4" xfId="54789"/>
    <cellStyle name="Normal 8 2 3" xfId="54790"/>
    <cellStyle name="Normal 8 2 3 2" xfId="54791"/>
    <cellStyle name="Normal 8 2 3 3" xfId="54792"/>
    <cellStyle name="Normal 8 2 4" xfId="54793"/>
    <cellStyle name="Normal 8 2 4 2" xfId="54794"/>
    <cellStyle name="Normal 8 2 4 3" xfId="54795"/>
    <cellStyle name="Normal 8 2 5" xfId="54796"/>
    <cellStyle name="Normal 8 2 6" xfId="54797"/>
    <cellStyle name="Normal 8 2 7" xfId="54798"/>
    <cellStyle name="Normal 8 3" xfId="733"/>
    <cellStyle name="Normal 8 3 2" xfId="54799"/>
    <cellStyle name="Normal 8 3 2 2" xfId="54800"/>
    <cellStyle name="Normal 8 3 2 2 2" xfId="54801"/>
    <cellStyle name="Normal 8 3 2 2 3" xfId="54802"/>
    <cellStyle name="Normal 8 3 2 3" xfId="54803"/>
    <cellStyle name="Normal 8 3 2 4" xfId="54804"/>
    <cellStyle name="Normal 8 3 2 5" xfId="54805"/>
    <cellStyle name="Normal 8 3 3" xfId="54806"/>
    <cellStyle name="Normal 8 3 3 2" xfId="54807"/>
    <cellStyle name="Normal 8 3 3 3" xfId="54808"/>
    <cellStyle name="Normal 8 3 3 4" xfId="54809"/>
    <cellStyle name="Normal 8 3 4" xfId="54810"/>
    <cellStyle name="Normal 8 3 5" xfId="54811"/>
    <cellStyle name="Normal 8 3 6" xfId="54812"/>
    <cellStyle name="Normal 8 4" xfId="54813"/>
    <cellStyle name="Normal 8 4 2" xfId="54814"/>
    <cellStyle name="Normal 8 4 2 2" xfId="54815"/>
    <cellStyle name="Normal 8 4 2 3" xfId="54816"/>
    <cellStyle name="Normal 8 4 3" xfId="54817"/>
    <cellStyle name="Normal 8 4 4" xfId="54818"/>
    <cellStyle name="Normal 8 4 5" xfId="54819"/>
    <cellStyle name="Normal 8 5" xfId="54820"/>
    <cellStyle name="Normal 8 5 2" xfId="54821"/>
    <cellStyle name="Normal 8 5 3" xfId="54822"/>
    <cellStyle name="Normal 8 6" xfId="54823"/>
    <cellStyle name="Normal 8 6 2" xfId="54824"/>
    <cellStyle name="Normal 8 6 3" xfId="54825"/>
    <cellStyle name="Normal 8 7" xfId="54826"/>
    <cellStyle name="Normal 9" xfId="68"/>
    <cellStyle name="Normal 9 2" xfId="146"/>
    <cellStyle name="Normal 9 2 2" xfId="272"/>
    <cellStyle name="Normal 9 3" xfId="312"/>
    <cellStyle name="Normal 9 3 2" xfId="432"/>
    <cellStyle name="Normal 9 3 3" xfId="708"/>
    <cellStyle name="Normal 9 3 3 2" xfId="714"/>
    <cellStyle name="Normal 9 4" xfId="211"/>
    <cellStyle name="Normal 9 5" xfId="54827"/>
    <cellStyle name="Normal 9 5 2" xfId="54828"/>
    <cellStyle name="Normal 9 6" xfId="54829"/>
    <cellStyle name="Normal_Sheet1" xfId="51"/>
    <cellStyle name="Normal_Sheet3" xfId="62401"/>
    <cellStyle name="Note 10" xfId="54830"/>
    <cellStyle name="Note 2" xfId="41"/>
    <cellStyle name="Note 2 10" xfId="1091"/>
    <cellStyle name="Note 2 10 10" xfId="23087"/>
    <cellStyle name="Note 2 10 11" xfId="54831"/>
    <cellStyle name="Note 2 10 2" xfId="1085"/>
    <cellStyle name="Note 2 10 2 2" xfId="2769"/>
    <cellStyle name="Note 2 10 2 2 2" xfId="6189"/>
    <cellStyle name="Note 2 10 2 2 2 2" xfId="13029"/>
    <cellStyle name="Note 2 10 2 2 3" xfId="9609"/>
    <cellStyle name="Note 2 10 2 3" xfId="3909"/>
    <cellStyle name="Note 2 10 2 3 2" xfId="7329"/>
    <cellStyle name="Note 2 10 2 3 2 2" xfId="14169"/>
    <cellStyle name="Note 2 10 2 3 3" xfId="10749"/>
    <cellStyle name="Note 2 10 2 4" xfId="5049"/>
    <cellStyle name="Note 2 10 2 4 2" xfId="11889"/>
    <cellStyle name="Note 2 10 2 5" xfId="8469"/>
    <cellStyle name="Note 2 10 2 6" xfId="24122"/>
    <cellStyle name="Note 2 10 2 7" xfId="31410"/>
    <cellStyle name="Note 2 10 3" xfId="1896"/>
    <cellStyle name="Note 2 10 3 2" xfId="5316"/>
    <cellStyle name="Note 2 10 3 2 2" xfId="12156"/>
    <cellStyle name="Note 2 10 3 2 3" xfId="54832"/>
    <cellStyle name="Note 2 10 3 3" xfId="8736"/>
    <cellStyle name="Note 2 10 3 4" xfId="25094"/>
    <cellStyle name="Note 2 10 3 5" xfId="32343"/>
    <cellStyle name="Note 2 10 4" xfId="3036"/>
    <cellStyle name="Note 2 10 4 2" xfId="6456"/>
    <cellStyle name="Note 2 10 4 2 2" xfId="13296"/>
    <cellStyle name="Note 2 10 4 2 3" xfId="54833"/>
    <cellStyle name="Note 2 10 4 3" xfId="9876"/>
    <cellStyle name="Note 2 10 4 4" xfId="26120"/>
    <cellStyle name="Note 2 10 4 5" xfId="33320"/>
    <cellStyle name="Note 2 10 5" xfId="4176"/>
    <cellStyle name="Note 2 10 5 2" xfId="11016"/>
    <cellStyle name="Note 2 10 5 2 2" xfId="54834"/>
    <cellStyle name="Note 2 10 5 2 3" xfId="54835"/>
    <cellStyle name="Note 2 10 5 3" xfId="27101"/>
    <cellStyle name="Note 2 10 5 4" xfId="34260"/>
    <cellStyle name="Note 2 10 6" xfId="7596"/>
    <cellStyle name="Note 2 10 6 2" xfId="28070"/>
    <cellStyle name="Note 2 10 6 2 2" xfId="54836"/>
    <cellStyle name="Note 2 10 6 2 3" xfId="54837"/>
    <cellStyle name="Note 2 10 6 3" xfId="35206"/>
    <cellStyle name="Note 2 10 6 4" xfId="54838"/>
    <cellStyle name="Note 2 10 7" xfId="20706"/>
    <cellStyle name="Note 2 10 7 2" xfId="29027"/>
    <cellStyle name="Note 2 10 7 2 2" xfId="54839"/>
    <cellStyle name="Note 2 10 7 2 3" xfId="54840"/>
    <cellStyle name="Note 2 10 7 3" xfId="36120"/>
    <cellStyle name="Note 2 10 7 4" xfId="54841"/>
    <cellStyle name="Note 2 10 8" xfId="21118"/>
    <cellStyle name="Note 2 10 8 2" xfId="29432"/>
    <cellStyle name="Note 2 10 8 2 2" xfId="54842"/>
    <cellStyle name="Note 2 10 8 2 3" xfId="54843"/>
    <cellStyle name="Note 2 10 8 3" xfId="36505"/>
    <cellStyle name="Note 2 10 8 4" xfId="54844"/>
    <cellStyle name="Note 2 10 9" xfId="22142"/>
    <cellStyle name="Note 2 10 9 2" xfId="30440"/>
    <cellStyle name="Note 2 10 9 2 2" xfId="54845"/>
    <cellStyle name="Note 2 10 9 2 3" xfId="54846"/>
    <cellStyle name="Note 2 10 9 3" xfId="37471"/>
    <cellStyle name="Note 2 10 9 4" xfId="54847"/>
    <cellStyle name="Note 2 11" xfId="14713"/>
    <cellStyle name="Note 2 11 10" xfId="23075"/>
    <cellStyle name="Note 2 11 11" xfId="54848"/>
    <cellStyle name="Note 2 11 2" xfId="15794"/>
    <cellStyle name="Note 2 11 2 2" xfId="24110"/>
    <cellStyle name="Note 2 11 2 2 2" xfId="54849"/>
    <cellStyle name="Note 2 11 2 2 3" xfId="54850"/>
    <cellStyle name="Note 2 11 2 3" xfId="31398"/>
    <cellStyle name="Note 2 11 2 4" xfId="54851"/>
    <cellStyle name="Note 2 11 3" xfId="16760"/>
    <cellStyle name="Note 2 11 3 2" xfId="25082"/>
    <cellStyle name="Note 2 11 3 2 2" xfId="54852"/>
    <cellStyle name="Note 2 11 3 2 3" xfId="54853"/>
    <cellStyle name="Note 2 11 3 3" xfId="32331"/>
    <cellStyle name="Note 2 11 3 4" xfId="54854"/>
    <cellStyle name="Note 2 11 4" xfId="17784"/>
    <cellStyle name="Note 2 11 4 2" xfId="26108"/>
    <cellStyle name="Note 2 11 4 2 2" xfId="54855"/>
    <cellStyle name="Note 2 11 4 2 3" xfId="54856"/>
    <cellStyle name="Note 2 11 4 3" xfId="33308"/>
    <cellStyle name="Note 2 11 4 4" xfId="54857"/>
    <cellStyle name="Note 2 11 5" xfId="18768"/>
    <cellStyle name="Note 2 11 5 2" xfId="27089"/>
    <cellStyle name="Note 2 11 5 2 2" xfId="54858"/>
    <cellStyle name="Note 2 11 5 2 3" xfId="54859"/>
    <cellStyle name="Note 2 11 5 3" xfId="34248"/>
    <cellStyle name="Note 2 11 5 4" xfId="54860"/>
    <cellStyle name="Note 2 11 6" xfId="19737"/>
    <cellStyle name="Note 2 11 6 2" xfId="28058"/>
    <cellStyle name="Note 2 11 6 2 2" xfId="54861"/>
    <cellStyle name="Note 2 11 6 2 3" xfId="54862"/>
    <cellStyle name="Note 2 11 6 3" xfId="35194"/>
    <cellStyle name="Note 2 11 6 4" xfId="54863"/>
    <cellStyle name="Note 2 11 7" xfId="20694"/>
    <cellStyle name="Note 2 11 7 2" xfId="29015"/>
    <cellStyle name="Note 2 11 7 2 2" xfId="54864"/>
    <cellStyle name="Note 2 11 7 2 3" xfId="54865"/>
    <cellStyle name="Note 2 11 7 3" xfId="36108"/>
    <cellStyle name="Note 2 11 7 4" xfId="54866"/>
    <cellStyle name="Note 2 11 8" xfId="21341"/>
    <cellStyle name="Note 2 11 8 2" xfId="29645"/>
    <cellStyle name="Note 2 11 8 2 2" xfId="54867"/>
    <cellStyle name="Note 2 11 8 2 3" xfId="54868"/>
    <cellStyle name="Note 2 11 8 3" xfId="36711"/>
    <cellStyle name="Note 2 11 8 4" xfId="54869"/>
    <cellStyle name="Note 2 11 9" xfId="22130"/>
    <cellStyle name="Note 2 11 9 2" xfId="30428"/>
    <cellStyle name="Note 2 11 9 2 2" xfId="54870"/>
    <cellStyle name="Note 2 11 9 2 3" xfId="54871"/>
    <cellStyle name="Note 2 11 9 3" xfId="37459"/>
    <cellStyle name="Note 2 11 9 4" xfId="54872"/>
    <cellStyle name="Note 2 12" xfId="14926"/>
    <cellStyle name="Note 2 12 10" xfId="23289"/>
    <cellStyle name="Note 2 12 11" xfId="54873"/>
    <cellStyle name="Note 2 12 2" xfId="16007"/>
    <cellStyle name="Note 2 12 2 2" xfId="24324"/>
    <cellStyle name="Note 2 12 2 2 2" xfId="54874"/>
    <cellStyle name="Note 2 12 2 2 3" xfId="54875"/>
    <cellStyle name="Note 2 12 2 3" xfId="31604"/>
    <cellStyle name="Note 2 12 2 4" xfId="54876"/>
    <cellStyle name="Note 2 12 3" xfId="16973"/>
    <cellStyle name="Note 2 12 3 2" xfId="25296"/>
    <cellStyle name="Note 2 12 3 2 2" xfId="54877"/>
    <cellStyle name="Note 2 12 3 2 3" xfId="54878"/>
    <cellStyle name="Note 2 12 3 3" xfId="32537"/>
    <cellStyle name="Note 2 12 3 4" xfId="54879"/>
    <cellStyle name="Note 2 12 4" xfId="18000"/>
    <cellStyle name="Note 2 12 4 2" xfId="26322"/>
    <cellStyle name="Note 2 12 4 2 2" xfId="54880"/>
    <cellStyle name="Note 2 12 4 2 3" xfId="54881"/>
    <cellStyle name="Note 2 12 4 3" xfId="33514"/>
    <cellStyle name="Note 2 12 4 4" xfId="54882"/>
    <cellStyle name="Note 2 12 5" xfId="18984"/>
    <cellStyle name="Note 2 12 5 2" xfId="27304"/>
    <cellStyle name="Note 2 12 5 2 2" xfId="54883"/>
    <cellStyle name="Note 2 12 5 2 3" xfId="54884"/>
    <cellStyle name="Note 2 12 5 3" xfId="34455"/>
    <cellStyle name="Note 2 12 5 4" xfId="54885"/>
    <cellStyle name="Note 2 12 6" xfId="19952"/>
    <cellStyle name="Note 2 12 6 2" xfId="28274"/>
    <cellStyle name="Note 2 12 6 2 2" xfId="54886"/>
    <cellStyle name="Note 2 12 6 2 3" xfId="54887"/>
    <cellStyle name="Note 2 12 6 3" xfId="35402"/>
    <cellStyle name="Note 2 12 6 4" xfId="54888"/>
    <cellStyle name="Note 2 12 7" xfId="20910"/>
    <cellStyle name="Note 2 12 7 2" xfId="29229"/>
    <cellStyle name="Note 2 12 7 2 2" xfId="54889"/>
    <cellStyle name="Note 2 12 7 2 3" xfId="54890"/>
    <cellStyle name="Note 2 12 7 3" xfId="36312"/>
    <cellStyle name="Note 2 12 7 4" xfId="54891"/>
    <cellStyle name="Note 2 12 8" xfId="21417"/>
    <cellStyle name="Note 2 12 8 2" xfId="29720"/>
    <cellStyle name="Note 2 12 8 2 2" xfId="54892"/>
    <cellStyle name="Note 2 12 8 2 3" xfId="54893"/>
    <cellStyle name="Note 2 12 8 3" xfId="36782"/>
    <cellStyle name="Note 2 12 8 4" xfId="54894"/>
    <cellStyle name="Note 2 12 9" xfId="22345"/>
    <cellStyle name="Note 2 12 9 2" xfId="30643"/>
    <cellStyle name="Note 2 12 9 2 2" xfId="54895"/>
    <cellStyle name="Note 2 12 9 2 3" xfId="54896"/>
    <cellStyle name="Note 2 12 9 3" xfId="37665"/>
    <cellStyle name="Note 2 12 9 4" xfId="54897"/>
    <cellStyle name="Note 2 13" xfId="14987"/>
    <cellStyle name="Note 2 13 10" xfId="23348"/>
    <cellStyle name="Note 2 13 11" xfId="54898"/>
    <cellStyle name="Note 2 13 2" xfId="16068"/>
    <cellStyle name="Note 2 13 2 2" xfId="24383"/>
    <cellStyle name="Note 2 13 2 2 2" xfId="54899"/>
    <cellStyle name="Note 2 13 2 2 3" xfId="54900"/>
    <cellStyle name="Note 2 13 2 3" xfId="31662"/>
    <cellStyle name="Note 2 13 2 4" xfId="54901"/>
    <cellStyle name="Note 2 13 3" xfId="17034"/>
    <cellStyle name="Note 2 13 3 2" xfId="25355"/>
    <cellStyle name="Note 2 13 3 2 2" xfId="54902"/>
    <cellStyle name="Note 2 13 3 2 3" xfId="54903"/>
    <cellStyle name="Note 2 13 3 3" xfId="32595"/>
    <cellStyle name="Note 2 13 3 4" xfId="54904"/>
    <cellStyle name="Note 2 13 4" xfId="18061"/>
    <cellStyle name="Note 2 13 4 2" xfId="26381"/>
    <cellStyle name="Note 2 13 4 2 2" xfId="54905"/>
    <cellStyle name="Note 2 13 4 2 3" xfId="54906"/>
    <cellStyle name="Note 2 13 4 3" xfId="33572"/>
    <cellStyle name="Note 2 13 4 4" xfId="54907"/>
    <cellStyle name="Note 2 13 5" xfId="19045"/>
    <cellStyle name="Note 2 13 5 2" xfId="27365"/>
    <cellStyle name="Note 2 13 5 2 2" xfId="54908"/>
    <cellStyle name="Note 2 13 5 2 3" xfId="54909"/>
    <cellStyle name="Note 2 13 5 3" xfId="34515"/>
    <cellStyle name="Note 2 13 5 4" xfId="54910"/>
    <cellStyle name="Note 2 13 6" xfId="20013"/>
    <cellStyle name="Note 2 13 6 2" xfId="28335"/>
    <cellStyle name="Note 2 13 6 2 2" xfId="54911"/>
    <cellStyle name="Note 2 13 6 2 3" xfId="54912"/>
    <cellStyle name="Note 2 13 6 3" xfId="35462"/>
    <cellStyle name="Note 2 13 6 4" xfId="54913"/>
    <cellStyle name="Note 2 13 7" xfId="20971"/>
    <cellStyle name="Note 2 13 7 2" xfId="29288"/>
    <cellStyle name="Note 2 13 7 2 2" xfId="54914"/>
    <cellStyle name="Note 2 13 7 2 3" xfId="54915"/>
    <cellStyle name="Note 2 13 7 3" xfId="36370"/>
    <cellStyle name="Note 2 13 7 4" xfId="54916"/>
    <cellStyle name="Note 2 13 8" xfId="21478"/>
    <cellStyle name="Note 2 13 8 2" xfId="29779"/>
    <cellStyle name="Note 2 13 8 2 2" xfId="54917"/>
    <cellStyle name="Note 2 13 8 2 3" xfId="54918"/>
    <cellStyle name="Note 2 13 8 3" xfId="36840"/>
    <cellStyle name="Note 2 13 8 4" xfId="54919"/>
    <cellStyle name="Note 2 13 9" xfId="22406"/>
    <cellStyle name="Note 2 13 9 2" xfId="30702"/>
    <cellStyle name="Note 2 13 9 2 2" xfId="54920"/>
    <cellStyle name="Note 2 13 9 2 3" xfId="54921"/>
    <cellStyle name="Note 2 13 9 3" xfId="37723"/>
    <cellStyle name="Note 2 13 9 4" xfId="54922"/>
    <cellStyle name="Note 2 14" xfId="15050"/>
    <cellStyle name="Note 2 14 10" xfId="23410"/>
    <cellStyle name="Note 2 14 11" xfId="54923"/>
    <cellStyle name="Note 2 14 2" xfId="16130"/>
    <cellStyle name="Note 2 14 2 2" xfId="24445"/>
    <cellStyle name="Note 2 14 2 2 2" xfId="54924"/>
    <cellStyle name="Note 2 14 2 2 3" xfId="54925"/>
    <cellStyle name="Note 2 14 2 3" xfId="31722"/>
    <cellStyle name="Note 2 14 2 4" xfId="54926"/>
    <cellStyle name="Note 2 14 3" xfId="17097"/>
    <cellStyle name="Note 2 14 3 2" xfId="25418"/>
    <cellStyle name="Note 2 14 3 2 2" xfId="54927"/>
    <cellStyle name="Note 2 14 3 2 3" xfId="54928"/>
    <cellStyle name="Note 2 14 3 3" xfId="32656"/>
    <cellStyle name="Note 2 14 3 4" xfId="54929"/>
    <cellStyle name="Note 2 14 4" xfId="18124"/>
    <cellStyle name="Note 2 14 4 2" xfId="26444"/>
    <cellStyle name="Note 2 14 4 2 2" xfId="54930"/>
    <cellStyle name="Note 2 14 4 2 3" xfId="54931"/>
    <cellStyle name="Note 2 14 4 3" xfId="33633"/>
    <cellStyle name="Note 2 14 4 4" xfId="54932"/>
    <cellStyle name="Note 2 14 5" xfId="19108"/>
    <cellStyle name="Note 2 14 5 2" xfId="27428"/>
    <cellStyle name="Note 2 14 5 2 2" xfId="54933"/>
    <cellStyle name="Note 2 14 5 2 3" xfId="54934"/>
    <cellStyle name="Note 2 14 5 3" xfId="34576"/>
    <cellStyle name="Note 2 14 5 4" xfId="54935"/>
    <cellStyle name="Note 2 14 6" xfId="20076"/>
    <cellStyle name="Note 2 14 6 2" xfId="28398"/>
    <cellStyle name="Note 2 14 6 2 2" xfId="54936"/>
    <cellStyle name="Note 2 14 6 2 3" xfId="54937"/>
    <cellStyle name="Note 2 14 6 3" xfId="35523"/>
    <cellStyle name="Note 2 14 6 4" xfId="54938"/>
    <cellStyle name="Note 2 14 7" xfId="21033"/>
    <cellStyle name="Note 2 14 7 2" xfId="29350"/>
    <cellStyle name="Note 2 14 7 2 2" xfId="54939"/>
    <cellStyle name="Note 2 14 7 2 3" xfId="54940"/>
    <cellStyle name="Note 2 14 7 3" xfId="36430"/>
    <cellStyle name="Note 2 14 7 4" xfId="54941"/>
    <cellStyle name="Note 2 14 8" xfId="21540"/>
    <cellStyle name="Note 2 14 8 2" xfId="29841"/>
    <cellStyle name="Note 2 14 8 2 2" xfId="54942"/>
    <cellStyle name="Note 2 14 8 2 3" xfId="54943"/>
    <cellStyle name="Note 2 14 8 3" xfId="36900"/>
    <cellStyle name="Note 2 14 8 4" xfId="54944"/>
    <cellStyle name="Note 2 14 9" xfId="22468"/>
    <cellStyle name="Note 2 14 9 2" xfId="30764"/>
    <cellStyle name="Note 2 14 9 2 2" xfId="54945"/>
    <cellStyle name="Note 2 14 9 2 3" xfId="54946"/>
    <cellStyle name="Note 2 14 9 3" xfId="37783"/>
    <cellStyle name="Note 2 14 9 4" xfId="54947"/>
    <cellStyle name="Note 2 15" xfId="15126"/>
    <cellStyle name="Note 2 15 10" xfId="54948"/>
    <cellStyle name="Note 2 15 2" xfId="16206"/>
    <cellStyle name="Note 2 15 2 2" xfId="24519"/>
    <cellStyle name="Note 2 15 2 2 2" xfId="54949"/>
    <cellStyle name="Note 2 15 2 2 3" xfId="54950"/>
    <cellStyle name="Note 2 15 2 3" xfId="31796"/>
    <cellStyle name="Note 2 15 2 4" xfId="54951"/>
    <cellStyle name="Note 2 15 3" xfId="17172"/>
    <cellStyle name="Note 2 15 3 2" xfId="25493"/>
    <cellStyle name="Note 2 15 3 2 2" xfId="54952"/>
    <cellStyle name="Note 2 15 3 2 3" xfId="54953"/>
    <cellStyle name="Note 2 15 3 3" xfId="32729"/>
    <cellStyle name="Note 2 15 3 4" xfId="54954"/>
    <cellStyle name="Note 2 15 4" xfId="18200"/>
    <cellStyle name="Note 2 15 4 2" xfId="26520"/>
    <cellStyle name="Note 2 15 4 2 2" xfId="54955"/>
    <cellStyle name="Note 2 15 4 2 3" xfId="54956"/>
    <cellStyle name="Note 2 15 4 3" xfId="33707"/>
    <cellStyle name="Note 2 15 4 4" xfId="54957"/>
    <cellStyle name="Note 2 15 5" xfId="19184"/>
    <cellStyle name="Note 2 15 5 2" xfId="27504"/>
    <cellStyle name="Note 2 15 5 2 2" xfId="54958"/>
    <cellStyle name="Note 2 15 5 2 3" xfId="54959"/>
    <cellStyle name="Note 2 15 5 3" xfId="34652"/>
    <cellStyle name="Note 2 15 5 4" xfId="54960"/>
    <cellStyle name="Note 2 15 6" xfId="20152"/>
    <cellStyle name="Note 2 15 6 2" xfId="28474"/>
    <cellStyle name="Note 2 15 6 2 2" xfId="54961"/>
    <cellStyle name="Note 2 15 6 2 3" xfId="54962"/>
    <cellStyle name="Note 2 15 6 3" xfId="35599"/>
    <cellStyle name="Note 2 15 6 4" xfId="54963"/>
    <cellStyle name="Note 2 15 7" xfId="21613"/>
    <cellStyle name="Note 2 15 7 2" xfId="29914"/>
    <cellStyle name="Note 2 15 7 2 2" xfId="54964"/>
    <cellStyle name="Note 2 15 7 2 3" xfId="54965"/>
    <cellStyle name="Note 2 15 7 3" xfId="36973"/>
    <cellStyle name="Note 2 15 7 4" xfId="54966"/>
    <cellStyle name="Note 2 15 8" xfId="22541"/>
    <cellStyle name="Note 2 15 8 2" xfId="30837"/>
    <cellStyle name="Note 2 15 8 2 2" xfId="54967"/>
    <cellStyle name="Note 2 15 8 2 3" xfId="54968"/>
    <cellStyle name="Note 2 15 8 3" xfId="37856"/>
    <cellStyle name="Note 2 15 8 4" xfId="54969"/>
    <cellStyle name="Note 2 15 9" xfId="23483"/>
    <cellStyle name="Note 2 16" xfId="15175"/>
    <cellStyle name="Note 2 16 10" xfId="54970"/>
    <cellStyle name="Note 2 16 2" xfId="16255"/>
    <cellStyle name="Note 2 16 2 2" xfId="24568"/>
    <cellStyle name="Note 2 16 2 2 2" xfId="54971"/>
    <cellStyle name="Note 2 16 2 2 3" xfId="54972"/>
    <cellStyle name="Note 2 16 2 3" xfId="31840"/>
    <cellStyle name="Note 2 16 2 4" xfId="54973"/>
    <cellStyle name="Note 2 16 3" xfId="17221"/>
    <cellStyle name="Note 2 16 3 2" xfId="25542"/>
    <cellStyle name="Note 2 16 3 2 2" xfId="54974"/>
    <cellStyle name="Note 2 16 3 2 3" xfId="54975"/>
    <cellStyle name="Note 2 16 3 3" xfId="32773"/>
    <cellStyle name="Note 2 16 3 4" xfId="54976"/>
    <cellStyle name="Note 2 16 4" xfId="18249"/>
    <cellStyle name="Note 2 16 4 2" xfId="26569"/>
    <cellStyle name="Note 2 16 4 2 2" xfId="54977"/>
    <cellStyle name="Note 2 16 4 2 3" xfId="54978"/>
    <cellStyle name="Note 2 16 4 3" xfId="33751"/>
    <cellStyle name="Note 2 16 4 4" xfId="54979"/>
    <cellStyle name="Note 2 16 5" xfId="19233"/>
    <cellStyle name="Note 2 16 5 2" xfId="27553"/>
    <cellStyle name="Note 2 16 5 2 2" xfId="54980"/>
    <cellStyle name="Note 2 16 5 2 3" xfId="54981"/>
    <cellStyle name="Note 2 16 5 3" xfId="34701"/>
    <cellStyle name="Note 2 16 5 4" xfId="54982"/>
    <cellStyle name="Note 2 16 6" xfId="20201"/>
    <cellStyle name="Note 2 16 6 2" xfId="28523"/>
    <cellStyle name="Note 2 16 6 2 2" xfId="54983"/>
    <cellStyle name="Note 2 16 6 2 3" xfId="54984"/>
    <cellStyle name="Note 2 16 6 3" xfId="35643"/>
    <cellStyle name="Note 2 16 6 4" xfId="54985"/>
    <cellStyle name="Note 2 16 7" xfId="21662"/>
    <cellStyle name="Note 2 16 7 2" xfId="29963"/>
    <cellStyle name="Note 2 16 7 2 2" xfId="54986"/>
    <cellStyle name="Note 2 16 7 2 3" xfId="54987"/>
    <cellStyle name="Note 2 16 7 3" xfId="37017"/>
    <cellStyle name="Note 2 16 7 4" xfId="54988"/>
    <cellStyle name="Note 2 16 8" xfId="22590"/>
    <cellStyle name="Note 2 16 8 2" xfId="30886"/>
    <cellStyle name="Note 2 16 8 2 2" xfId="54989"/>
    <cellStyle name="Note 2 16 8 2 3" xfId="54990"/>
    <cellStyle name="Note 2 16 8 3" xfId="37900"/>
    <cellStyle name="Note 2 16 8 4" xfId="54991"/>
    <cellStyle name="Note 2 16 9" xfId="23532"/>
    <cellStyle name="Note 2 17" xfId="15172"/>
    <cellStyle name="Note 2 17 10" xfId="54992"/>
    <cellStyle name="Note 2 17 2" xfId="16252"/>
    <cellStyle name="Note 2 17 2 2" xfId="24565"/>
    <cellStyle name="Note 2 17 2 2 2" xfId="54993"/>
    <cellStyle name="Note 2 17 2 2 3" xfId="54994"/>
    <cellStyle name="Note 2 17 2 3" xfId="31837"/>
    <cellStyle name="Note 2 17 2 4" xfId="54995"/>
    <cellStyle name="Note 2 17 3" xfId="17218"/>
    <cellStyle name="Note 2 17 3 2" xfId="25539"/>
    <cellStyle name="Note 2 17 3 2 2" xfId="54996"/>
    <cellStyle name="Note 2 17 3 2 3" xfId="54997"/>
    <cellStyle name="Note 2 17 3 3" xfId="32770"/>
    <cellStyle name="Note 2 17 3 4" xfId="54998"/>
    <cellStyle name="Note 2 17 4" xfId="18246"/>
    <cellStyle name="Note 2 17 4 2" xfId="26566"/>
    <cellStyle name="Note 2 17 4 2 2" xfId="54999"/>
    <cellStyle name="Note 2 17 4 2 3" xfId="55000"/>
    <cellStyle name="Note 2 17 4 3" xfId="33748"/>
    <cellStyle name="Note 2 17 4 4" xfId="55001"/>
    <cellStyle name="Note 2 17 5" xfId="19230"/>
    <cellStyle name="Note 2 17 5 2" xfId="27550"/>
    <cellStyle name="Note 2 17 5 2 2" xfId="55002"/>
    <cellStyle name="Note 2 17 5 2 3" xfId="55003"/>
    <cellStyle name="Note 2 17 5 3" xfId="34698"/>
    <cellStyle name="Note 2 17 5 4" xfId="55004"/>
    <cellStyle name="Note 2 17 6" xfId="20198"/>
    <cellStyle name="Note 2 17 6 2" xfId="28520"/>
    <cellStyle name="Note 2 17 6 2 2" xfId="55005"/>
    <cellStyle name="Note 2 17 6 2 3" xfId="55006"/>
    <cellStyle name="Note 2 17 6 3" xfId="35640"/>
    <cellStyle name="Note 2 17 6 4" xfId="55007"/>
    <cellStyle name="Note 2 17 7" xfId="21659"/>
    <cellStyle name="Note 2 17 7 2" xfId="29960"/>
    <cellStyle name="Note 2 17 7 2 2" xfId="55008"/>
    <cellStyle name="Note 2 17 7 2 3" xfId="55009"/>
    <cellStyle name="Note 2 17 7 3" xfId="37014"/>
    <cellStyle name="Note 2 17 7 4" xfId="55010"/>
    <cellStyle name="Note 2 17 8" xfId="22587"/>
    <cellStyle name="Note 2 17 8 2" xfId="30883"/>
    <cellStyle name="Note 2 17 8 2 2" xfId="55011"/>
    <cellStyle name="Note 2 17 8 2 3" xfId="55012"/>
    <cellStyle name="Note 2 17 8 3" xfId="37897"/>
    <cellStyle name="Note 2 17 8 4" xfId="55013"/>
    <cellStyle name="Note 2 17 9" xfId="23529"/>
    <cellStyle name="Note 2 18" xfId="15214"/>
    <cellStyle name="Note 2 18 10" xfId="55014"/>
    <cellStyle name="Note 2 18 2" xfId="16294"/>
    <cellStyle name="Note 2 18 2 2" xfId="24607"/>
    <cellStyle name="Note 2 18 2 2 2" xfId="55015"/>
    <cellStyle name="Note 2 18 2 2 3" xfId="55016"/>
    <cellStyle name="Note 2 18 2 3" xfId="31876"/>
    <cellStyle name="Note 2 18 2 4" xfId="55017"/>
    <cellStyle name="Note 2 18 3" xfId="17260"/>
    <cellStyle name="Note 2 18 3 2" xfId="25581"/>
    <cellStyle name="Note 2 18 3 2 2" xfId="55018"/>
    <cellStyle name="Note 2 18 3 2 3" xfId="55019"/>
    <cellStyle name="Note 2 18 3 3" xfId="32809"/>
    <cellStyle name="Note 2 18 3 4" xfId="55020"/>
    <cellStyle name="Note 2 18 4" xfId="18288"/>
    <cellStyle name="Note 2 18 4 2" xfId="26608"/>
    <cellStyle name="Note 2 18 4 2 2" xfId="55021"/>
    <cellStyle name="Note 2 18 4 2 3" xfId="55022"/>
    <cellStyle name="Note 2 18 4 3" xfId="33787"/>
    <cellStyle name="Note 2 18 4 4" xfId="55023"/>
    <cellStyle name="Note 2 18 5" xfId="19272"/>
    <cellStyle name="Note 2 18 5 2" xfId="27592"/>
    <cellStyle name="Note 2 18 5 2 2" xfId="55024"/>
    <cellStyle name="Note 2 18 5 2 3" xfId="55025"/>
    <cellStyle name="Note 2 18 5 3" xfId="34740"/>
    <cellStyle name="Note 2 18 5 4" xfId="55026"/>
    <cellStyle name="Note 2 18 6" xfId="20240"/>
    <cellStyle name="Note 2 18 6 2" xfId="28562"/>
    <cellStyle name="Note 2 18 6 2 2" xfId="55027"/>
    <cellStyle name="Note 2 18 6 2 3" xfId="55028"/>
    <cellStyle name="Note 2 18 6 3" xfId="35679"/>
    <cellStyle name="Note 2 18 6 4" xfId="55029"/>
    <cellStyle name="Note 2 18 7" xfId="21701"/>
    <cellStyle name="Note 2 18 7 2" xfId="30002"/>
    <cellStyle name="Note 2 18 7 2 2" xfId="55030"/>
    <cellStyle name="Note 2 18 7 2 3" xfId="55031"/>
    <cellStyle name="Note 2 18 7 3" xfId="37053"/>
    <cellStyle name="Note 2 18 7 4" xfId="55032"/>
    <cellStyle name="Note 2 18 8" xfId="22629"/>
    <cellStyle name="Note 2 18 8 2" xfId="30925"/>
    <cellStyle name="Note 2 18 8 2 2" xfId="55033"/>
    <cellStyle name="Note 2 18 8 2 3" xfId="55034"/>
    <cellStyle name="Note 2 18 8 3" xfId="37936"/>
    <cellStyle name="Note 2 18 8 4" xfId="55035"/>
    <cellStyle name="Note 2 18 9" xfId="23571"/>
    <cellStyle name="Note 2 19" xfId="15212"/>
    <cellStyle name="Note 2 19 10" xfId="55036"/>
    <cellStyle name="Note 2 19 2" xfId="16292"/>
    <cellStyle name="Note 2 19 2 2" xfId="24605"/>
    <cellStyle name="Note 2 19 2 2 2" xfId="55037"/>
    <cellStyle name="Note 2 19 2 2 3" xfId="55038"/>
    <cellStyle name="Note 2 19 2 3" xfId="31874"/>
    <cellStyle name="Note 2 19 2 4" xfId="55039"/>
    <cellStyle name="Note 2 19 3" xfId="17258"/>
    <cellStyle name="Note 2 19 3 2" xfId="25579"/>
    <cellStyle name="Note 2 19 3 2 2" xfId="55040"/>
    <cellStyle name="Note 2 19 3 2 3" xfId="55041"/>
    <cellStyle name="Note 2 19 3 3" xfId="32807"/>
    <cellStyle name="Note 2 19 3 4" xfId="55042"/>
    <cellStyle name="Note 2 19 4" xfId="18286"/>
    <cellStyle name="Note 2 19 4 2" xfId="26606"/>
    <cellStyle name="Note 2 19 4 2 2" xfId="55043"/>
    <cellStyle name="Note 2 19 4 2 3" xfId="55044"/>
    <cellStyle name="Note 2 19 4 3" xfId="33785"/>
    <cellStyle name="Note 2 19 4 4" xfId="55045"/>
    <cellStyle name="Note 2 19 5" xfId="19270"/>
    <cellStyle name="Note 2 19 5 2" xfId="27590"/>
    <cellStyle name="Note 2 19 5 2 2" xfId="55046"/>
    <cellStyle name="Note 2 19 5 2 3" xfId="55047"/>
    <cellStyle name="Note 2 19 5 3" xfId="34738"/>
    <cellStyle name="Note 2 19 5 4" xfId="55048"/>
    <cellStyle name="Note 2 19 6" xfId="20238"/>
    <cellStyle name="Note 2 19 6 2" xfId="28560"/>
    <cellStyle name="Note 2 19 6 2 2" xfId="55049"/>
    <cellStyle name="Note 2 19 6 2 3" xfId="55050"/>
    <cellStyle name="Note 2 19 6 3" xfId="35677"/>
    <cellStyle name="Note 2 19 6 4" xfId="55051"/>
    <cellStyle name="Note 2 19 7" xfId="21699"/>
    <cellStyle name="Note 2 19 7 2" xfId="30000"/>
    <cellStyle name="Note 2 19 7 2 2" xfId="55052"/>
    <cellStyle name="Note 2 19 7 2 3" xfId="55053"/>
    <cellStyle name="Note 2 19 7 3" xfId="37051"/>
    <cellStyle name="Note 2 19 7 4" xfId="55054"/>
    <cellStyle name="Note 2 19 8" xfId="22627"/>
    <cellStyle name="Note 2 19 8 2" xfId="30923"/>
    <cellStyle name="Note 2 19 8 2 2" xfId="55055"/>
    <cellStyle name="Note 2 19 8 2 3" xfId="55056"/>
    <cellStyle name="Note 2 19 8 3" xfId="37934"/>
    <cellStyle name="Note 2 19 8 4" xfId="55057"/>
    <cellStyle name="Note 2 19 9" xfId="23569"/>
    <cellStyle name="Note 2 2" xfId="55"/>
    <cellStyle name="Note 2 2 10" xfId="14655"/>
    <cellStyle name="Note 2 2 10 10" xfId="23017"/>
    <cellStyle name="Note 2 2 10 2" xfId="15736"/>
    <cellStyle name="Note 2 2 10 2 2" xfId="24052"/>
    <cellStyle name="Note 2 2 10 2 2 2" xfId="55058"/>
    <cellStyle name="Note 2 2 10 2 2 3" xfId="55059"/>
    <cellStyle name="Note 2 2 10 2 3" xfId="31344"/>
    <cellStyle name="Note 2 2 10 2 4" xfId="55060"/>
    <cellStyle name="Note 2 2 10 3" xfId="16702"/>
    <cellStyle name="Note 2 2 10 3 2" xfId="25023"/>
    <cellStyle name="Note 2 2 10 3 2 2" xfId="55061"/>
    <cellStyle name="Note 2 2 10 3 2 3" xfId="55062"/>
    <cellStyle name="Note 2 2 10 3 3" xfId="32277"/>
    <cellStyle name="Note 2 2 10 3 4" xfId="55063"/>
    <cellStyle name="Note 2 2 10 4" xfId="17726"/>
    <cellStyle name="Note 2 2 10 4 2" xfId="26049"/>
    <cellStyle name="Note 2 2 10 4 2 2" xfId="55064"/>
    <cellStyle name="Note 2 2 10 4 2 3" xfId="55065"/>
    <cellStyle name="Note 2 2 10 4 3" xfId="33254"/>
    <cellStyle name="Note 2 2 10 4 4" xfId="55066"/>
    <cellStyle name="Note 2 2 10 5" xfId="18709"/>
    <cellStyle name="Note 2 2 10 5 2" xfId="27030"/>
    <cellStyle name="Note 2 2 10 5 2 2" xfId="55067"/>
    <cellStyle name="Note 2 2 10 5 2 3" xfId="55068"/>
    <cellStyle name="Note 2 2 10 5 3" xfId="34193"/>
    <cellStyle name="Note 2 2 10 5 4" xfId="55069"/>
    <cellStyle name="Note 2 2 10 6" xfId="19678"/>
    <cellStyle name="Note 2 2 10 6 2" xfId="27999"/>
    <cellStyle name="Note 2 2 10 6 2 2" xfId="55070"/>
    <cellStyle name="Note 2 2 10 6 2 3" xfId="55071"/>
    <cellStyle name="Note 2 2 10 6 3" xfId="35139"/>
    <cellStyle name="Note 2 2 10 6 4" xfId="55072"/>
    <cellStyle name="Note 2 2 10 7" xfId="20635"/>
    <cellStyle name="Note 2 2 10 7 2" xfId="28956"/>
    <cellStyle name="Note 2 2 10 7 2 2" xfId="55073"/>
    <cellStyle name="Note 2 2 10 7 2 3" xfId="55074"/>
    <cellStyle name="Note 2 2 10 7 3" xfId="36054"/>
    <cellStyle name="Note 2 2 10 7 4" xfId="55075"/>
    <cellStyle name="Note 2 2 10 8" xfId="21072"/>
    <cellStyle name="Note 2 2 10 8 2" xfId="29389"/>
    <cellStyle name="Note 2 2 10 8 2 2" xfId="55076"/>
    <cellStyle name="Note 2 2 10 8 2 3" xfId="55077"/>
    <cellStyle name="Note 2 2 10 8 3" xfId="36467"/>
    <cellStyle name="Note 2 2 10 8 4" xfId="55078"/>
    <cellStyle name="Note 2 2 10 9" xfId="22072"/>
    <cellStyle name="Note 2 2 10 9 2" xfId="30370"/>
    <cellStyle name="Note 2 2 10 9 2 2" xfId="55079"/>
    <cellStyle name="Note 2 2 10 9 2 3" xfId="55080"/>
    <cellStyle name="Note 2 2 10 9 3" xfId="37405"/>
    <cellStyle name="Note 2 2 10 9 4" xfId="55081"/>
    <cellStyle name="Note 2 2 11" xfId="14669"/>
    <cellStyle name="Note 2 2 11 10" xfId="23031"/>
    <cellStyle name="Note 2 2 11 2" xfId="15750"/>
    <cellStyle name="Note 2 2 11 2 2" xfId="24066"/>
    <cellStyle name="Note 2 2 11 2 2 2" xfId="55082"/>
    <cellStyle name="Note 2 2 11 2 2 3" xfId="55083"/>
    <cellStyle name="Note 2 2 11 2 3" xfId="31358"/>
    <cellStyle name="Note 2 2 11 2 4" xfId="55084"/>
    <cellStyle name="Note 2 2 11 3" xfId="16716"/>
    <cellStyle name="Note 2 2 11 3 2" xfId="25037"/>
    <cellStyle name="Note 2 2 11 3 2 2" xfId="55085"/>
    <cellStyle name="Note 2 2 11 3 2 3" xfId="55086"/>
    <cellStyle name="Note 2 2 11 3 3" xfId="32291"/>
    <cellStyle name="Note 2 2 11 3 4" xfId="55087"/>
    <cellStyle name="Note 2 2 11 4" xfId="17740"/>
    <cellStyle name="Note 2 2 11 4 2" xfId="26063"/>
    <cellStyle name="Note 2 2 11 4 2 2" xfId="55088"/>
    <cellStyle name="Note 2 2 11 4 2 3" xfId="55089"/>
    <cellStyle name="Note 2 2 11 4 3" xfId="33268"/>
    <cellStyle name="Note 2 2 11 4 4" xfId="55090"/>
    <cellStyle name="Note 2 2 11 5" xfId="18723"/>
    <cellStyle name="Note 2 2 11 5 2" xfId="27044"/>
    <cellStyle name="Note 2 2 11 5 2 2" xfId="55091"/>
    <cellStyle name="Note 2 2 11 5 2 3" xfId="55092"/>
    <cellStyle name="Note 2 2 11 5 3" xfId="34207"/>
    <cellStyle name="Note 2 2 11 5 4" xfId="55093"/>
    <cellStyle name="Note 2 2 11 6" xfId="19692"/>
    <cellStyle name="Note 2 2 11 6 2" xfId="28013"/>
    <cellStyle name="Note 2 2 11 6 2 2" xfId="55094"/>
    <cellStyle name="Note 2 2 11 6 2 3" xfId="55095"/>
    <cellStyle name="Note 2 2 11 6 3" xfId="35153"/>
    <cellStyle name="Note 2 2 11 6 4" xfId="55096"/>
    <cellStyle name="Note 2 2 11 7" xfId="20649"/>
    <cellStyle name="Note 2 2 11 7 2" xfId="28970"/>
    <cellStyle name="Note 2 2 11 7 2 2" xfId="55097"/>
    <cellStyle name="Note 2 2 11 7 2 3" xfId="55098"/>
    <cellStyle name="Note 2 2 11 7 3" xfId="36068"/>
    <cellStyle name="Note 2 2 11 7 4" xfId="55099"/>
    <cellStyle name="Note 2 2 11 8" xfId="21281"/>
    <cellStyle name="Note 2 2 11 8 2" xfId="29588"/>
    <cellStyle name="Note 2 2 11 8 2 2" xfId="55100"/>
    <cellStyle name="Note 2 2 11 8 2 3" xfId="55101"/>
    <cellStyle name="Note 2 2 11 8 3" xfId="36655"/>
    <cellStyle name="Note 2 2 11 8 4" xfId="55102"/>
    <cellStyle name="Note 2 2 11 9" xfId="22086"/>
    <cellStyle name="Note 2 2 11 9 2" xfId="30384"/>
    <cellStyle name="Note 2 2 11 9 2 2" xfId="55103"/>
    <cellStyle name="Note 2 2 11 9 2 3" xfId="55104"/>
    <cellStyle name="Note 2 2 11 9 3" xfId="37419"/>
    <cellStyle name="Note 2 2 11 9 4" xfId="55105"/>
    <cellStyle name="Note 2 2 12" xfId="14711"/>
    <cellStyle name="Note 2 2 12 10" xfId="23073"/>
    <cellStyle name="Note 2 2 12 11" xfId="55106"/>
    <cellStyle name="Note 2 2 12 2" xfId="15792"/>
    <cellStyle name="Note 2 2 12 2 2" xfId="24108"/>
    <cellStyle name="Note 2 2 12 2 2 2" xfId="55107"/>
    <cellStyle name="Note 2 2 12 2 2 3" xfId="55108"/>
    <cellStyle name="Note 2 2 12 2 3" xfId="31396"/>
    <cellStyle name="Note 2 2 12 2 4" xfId="55109"/>
    <cellStyle name="Note 2 2 12 3" xfId="16758"/>
    <cellStyle name="Note 2 2 12 3 2" xfId="25080"/>
    <cellStyle name="Note 2 2 12 3 2 2" xfId="55110"/>
    <cellStyle name="Note 2 2 12 3 2 3" xfId="55111"/>
    <cellStyle name="Note 2 2 12 3 3" xfId="32329"/>
    <cellStyle name="Note 2 2 12 3 4" xfId="55112"/>
    <cellStyle name="Note 2 2 12 4" xfId="17782"/>
    <cellStyle name="Note 2 2 12 4 2" xfId="26106"/>
    <cellStyle name="Note 2 2 12 4 2 2" xfId="55113"/>
    <cellStyle name="Note 2 2 12 4 2 3" xfId="55114"/>
    <cellStyle name="Note 2 2 12 4 3" xfId="33306"/>
    <cellStyle name="Note 2 2 12 4 4" xfId="55115"/>
    <cellStyle name="Note 2 2 12 5" xfId="18766"/>
    <cellStyle name="Note 2 2 12 5 2" xfId="27087"/>
    <cellStyle name="Note 2 2 12 5 2 2" xfId="55116"/>
    <cellStyle name="Note 2 2 12 5 2 3" xfId="55117"/>
    <cellStyle name="Note 2 2 12 5 3" xfId="34246"/>
    <cellStyle name="Note 2 2 12 5 4" xfId="55118"/>
    <cellStyle name="Note 2 2 12 6" xfId="19735"/>
    <cellStyle name="Note 2 2 12 6 2" xfId="28056"/>
    <cellStyle name="Note 2 2 12 6 2 2" xfId="55119"/>
    <cellStyle name="Note 2 2 12 6 2 3" xfId="55120"/>
    <cellStyle name="Note 2 2 12 6 3" xfId="35192"/>
    <cellStyle name="Note 2 2 12 6 4" xfId="55121"/>
    <cellStyle name="Note 2 2 12 7" xfId="20692"/>
    <cellStyle name="Note 2 2 12 7 2" xfId="29013"/>
    <cellStyle name="Note 2 2 12 7 2 2" xfId="55122"/>
    <cellStyle name="Note 2 2 12 7 2 3" xfId="55123"/>
    <cellStyle name="Note 2 2 12 7 3" xfId="36106"/>
    <cellStyle name="Note 2 2 12 7 4" xfId="55124"/>
    <cellStyle name="Note 2 2 12 8" xfId="21373"/>
    <cellStyle name="Note 2 2 12 8 2" xfId="29676"/>
    <cellStyle name="Note 2 2 12 8 2 2" xfId="55125"/>
    <cellStyle name="Note 2 2 12 8 2 3" xfId="55126"/>
    <cellStyle name="Note 2 2 12 8 3" xfId="36740"/>
    <cellStyle name="Note 2 2 12 8 4" xfId="55127"/>
    <cellStyle name="Note 2 2 12 9" xfId="22128"/>
    <cellStyle name="Note 2 2 12 9 2" xfId="30426"/>
    <cellStyle name="Note 2 2 12 9 2 2" xfId="55128"/>
    <cellStyle name="Note 2 2 12 9 2 3" xfId="55129"/>
    <cellStyle name="Note 2 2 12 9 3" xfId="37457"/>
    <cellStyle name="Note 2 2 12 9 4" xfId="55130"/>
    <cellStyle name="Note 2 2 13" xfId="14795"/>
    <cellStyle name="Note 2 2 13 10" xfId="23159"/>
    <cellStyle name="Note 2 2 13 11" xfId="55131"/>
    <cellStyle name="Note 2 2 13 2" xfId="15876"/>
    <cellStyle name="Note 2 2 13 2 2" xfId="24194"/>
    <cellStyle name="Note 2 2 13 2 2 2" xfId="55132"/>
    <cellStyle name="Note 2 2 13 2 2 3" xfId="55133"/>
    <cellStyle name="Note 2 2 13 2 3" xfId="31480"/>
    <cellStyle name="Note 2 2 13 2 4" xfId="55134"/>
    <cellStyle name="Note 2 2 13 3" xfId="16842"/>
    <cellStyle name="Note 2 2 13 3 2" xfId="25166"/>
    <cellStyle name="Note 2 2 13 3 2 2" xfId="55135"/>
    <cellStyle name="Note 2 2 13 3 2 3" xfId="55136"/>
    <cellStyle name="Note 2 2 13 3 3" xfId="32413"/>
    <cellStyle name="Note 2 2 13 3 4" xfId="55137"/>
    <cellStyle name="Note 2 2 13 4" xfId="17869"/>
    <cellStyle name="Note 2 2 13 4 2" xfId="26192"/>
    <cellStyle name="Note 2 2 13 4 2 2" xfId="55138"/>
    <cellStyle name="Note 2 2 13 4 2 3" xfId="55139"/>
    <cellStyle name="Note 2 2 13 4 3" xfId="33390"/>
    <cellStyle name="Note 2 2 13 4 4" xfId="55140"/>
    <cellStyle name="Note 2 2 13 5" xfId="18853"/>
    <cellStyle name="Note 2 2 13 5 2" xfId="27173"/>
    <cellStyle name="Note 2 2 13 5 2 2" xfId="55141"/>
    <cellStyle name="Note 2 2 13 5 2 3" xfId="55142"/>
    <cellStyle name="Note 2 2 13 5 3" xfId="34330"/>
    <cellStyle name="Note 2 2 13 5 4" xfId="55143"/>
    <cellStyle name="Note 2 2 13 6" xfId="19821"/>
    <cellStyle name="Note 2 2 13 6 2" xfId="28143"/>
    <cellStyle name="Note 2 2 13 6 2 2" xfId="55144"/>
    <cellStyle name="Note 2 2 13 6 2 3" xfId="55145"/>
    <cellStyle name="Note 2 2 13 6 3" xfId="35277"/>
    <cellStyle name="Note 2 2 13 6 4" xfId="55146"/>
    <cellStyle name="Note 2 2 13 7" xfId="20779"/>
    <cellStyle name="Note 2 2 13 7 2" xfId="29099"/>
    <cellStyle name="Note 2 2 13 7 2 2" xfId="55147"/>
    <cellStyle name="Note 2 2 13 7 2 3" xfId="55148"/>
    <cellStyle name="Note 2 2 13 7 3" xfId="36189"/>
    <cellStyle name="Note 2 2 13 7 4" xfId="55149"/>
    <cellStyle name="Note 2 2 13 8" xfId="21170"/>
    <cellStyle name="Note 2 2 13 8 2" xfId="29482"/>
    <cellStyle name="Note 2 2 13 8 2 2" xfId="55150"/>
    <cellStyle name="Note 2 2 13 8 2 3" xfId="55151"/>
    <cellStyle name="Note 2 2 13 8 3" xfId="36553"/>
    <cellStyle name="Note 2 2 13 8 4" xfId="55152"/>
    <cellStyle name="Note 2 2 13 9" xfId="22215"/>
    <cellStyle name="Note 2 2 13 9 2" xfId="30513"/>
    <cellStyle name="Note 2 2 13 9 2 2" xfId="55153"/>
    <cellStyle name="Note 2 2 13 9 2 3" xfId="55154"/>
    <cellStyle name="Note 2 2 13 9 3" xfId="37541"/>
    <cellStyle name="Note 2 2 13 9 4" xfId="55155"/>
    <cellStyle name="Note 2 2 14" xfId="14788"/>
    <cellStyle name="Note 2 2 14 10" xfId="23153"/>
    <cellStyle name="Note 2 2 14 11" xfId="55156"/>
    <cellStyle name="Note 2 2 14 2" xfId="15869"/>
    <cellStyle name="Note 2 2 14 2 2" xfId="24188"/>
    <cellStyle name="Note 2 2 14 2 2 2" xfId="55157"/>
    <cellStyle name="Note 2 2 14 2 2 3" xfId="55158"/>
    <cellStyle name="Note 2 2 14 2 3" xfId="31474"/>
    <cellStyle name="Note 2 2 14 2 4" xfId="55159"/>
    <cellStyle name="Note 2 2 14 3" xfId="16835"/>
    <cellStyle name="Note 2 2 14 3 2" xfId="25160"/>
    <cellStyle name="Note 2 2 14 3 2 2" xfId="55160"/>
    <cellStyle name="Note 2 2 14 3 2 3" xfId="55161"/>
    <cellStyle name="Note 2 2 14 3 3" xfId="32407"/>
    <cellStyle name="Note 2 2 14 3 4" xfId="55162"/>
    <cellStyle name="Note 2 2 14 4" xfId="17862"/>
    <cellStyle name="Note 2 2 14 4 2" xfId="26186"/>
    <cellStyle name="Note 2 2 14 4 2 2" xfId="55163"/>
    <cellStyle name="Note 2 2 14 4 2 3" xfId="55164"/>
    <cellStyle name="Note 2 2 14 4 3" xfId="33384"/>
    <cellStyle name="Note 2 2 14 4 4" xfId="55165"/>
    <cellStyle name="Note 2 2 14 5" xfId="18846"/>
    <cellStyle name="Note 2 2 14 5 2" xfId="27167"/>
    <cellStyle name="Note 2 2 14 5 2 2" xfId="55166"/>
    <cellStyle name="Note 2 2 14 5 2 3" xfId="55167"/>
    <cellStyle name="Note 2 2 14 5 3" xfId="34324"/>
    <cellStyle name="Note 2 2 14 5 4" xfId="55168"/>
    <cellStyle name="Note 2 2 14 6" xfId="19814"/>
    <cellStyle name="Note 2 2 14 6 2" xfId="28136"/>
    <cellStyle name="Note 2 2 14 6 2 2" xfId="55169"/>
    <cellStyle name="Note 2 2 14 6 2 3" xfId="55170"/>
    <cellStyle name="Note 2 2 14 6 3" xfId="35270"/>
    <cellStyle name="Note 2 2 14 6 4" xfId="55171"/>
    <cellStyle name="Note 2 2 14 7" xfId="20772"/>
    <cellStyle name="Note 2 2 14 7 2" xfId="29093"/>
    <cellStyle name="Note 2 2 14 7 2 2" xfId="55172"/>
    <cellStyle name="Note 2 2 14 7 2 3" xfId="55173"/>
    <cellStyle name="Note 2 2 14 7 3" xfId="36183"/>
    <cellStyle name="Note 2 2 14 7 4" xfId="55174"/>
    <cellStyle name="Note 2 2 14 8" xfId="21347"/>
    <cellStyle name="Note 2 2 14 8 2" xfId="29650"/>
    <cellStyle name="Note 2 2 14 8 2 2" xfId="55175"/>
    <cellStyle name="Note 2 2 14 8 2 3" xfId="55176"/>
    <cellStyle name="Note 2 2 14 8 3" xfId="36715"/>
    <cellStyle name="Note 2 2 14 8 4" xfId="55177"/>
    <cellStyle name="Note 2 2 14 9" xfId="22208"/>
    <cellStyle name="Note 2 2 14 9 2" xfId="30506"/>
    <cellStyle name="Note 2 2 14 9 2 2" xfId="55178"/>
    <cellStyle name="Note 2 2 14 9 2 3" xfId="55179"/>
    <cellStyle name="Note 2 2 14 9 3" xfId="37535"/>
    <cellStyle name="Note 2 2 14 9 4" xfId="55180"/>
    <cellStyle name="Note 2 2 15" xfId="14836"/>
    <cellStyle name="Note 2 2 15 10" xfId="23199"/>
    <cellStyle name="Note 2 2 15 11" xfId="55181"/>
    <cellStyle name="Note 2 2 15 2" xfId="15917"/>
    <cellStyle name="Note 2 2 15 2 2" xfId="24234"/>
    <cellStyle name="Note 2 2 15 2 2 2" xfId="55182"/>
    <cellStyle name="Note 2 2 15 2 2 3" xfId="55183"/>
    <cellStyle name="Note 2 2 15 2 3" xfId="31518"/>
    <cellStyle name="Note 2 2 15 2 4" xfId="55184"/>
    <cellStyle name="Note 2 2 15 3" xfId="16883"/>
    <cellStyle name="Note 2 2 15 3 2" xfId="25206"/>
    <cellStyle name="Note 2 2 15 3 2 2" xfId="55185"/>
    <cellStyle name="Note 2 2 15 3 2 3" xfId="55186"/>
    <cellStyle name="Note 2 2 15 3 3" xfId="32451"/>
    <cellStyle name="Note 2 2 15 3 4" xfId="55187"/>
    <cellStyle name="Note 2 2 15 4" xfId="17910"/>
    <cellStyle name="Note 2 2 15 4 2" xfId="26232"/>
    <cellStyle name="Note 2 2 15 4 2 2" xfId="55188"/>
    <cellStyle name="Note 2 2 15 4 2 3" xfId="55189"/>
    <cellStyle name="Note 2 2 15 4 3" xfId="33428"/>
    <cellStyle name="Note 2 2 15 4 4" xfId="55190"/>
    <cellStyle name="Note 2 2 15 5" xfId="18894"/>
    <cellStyle name="Note 2 2 15 5 2" xfId="27214"/>
    <cellStyle name="Note 2 2 15 5 2 2" xfId="55191"/>
    <cellStyle name="Note 2 2 15 5 2 3" xfId="55192"/>
    <cellStyle name="Note 2 2 15 5 3" xfId="34369"/>
    <cellStyle name="Note 2 2 15 5 4" xfId="55193"/>
    <cellStyle name="Note 2 2 15 6" xfId="19862"/>
    <cellStyle name="Note 2 2 15 6 2" xfId="28184"/>
    <cellStyle name="Note 2 2 15 6 2 2" xfId="55194"/>
    <cellStyle name="Note 2 2 15 6 2 3" xfId="55195"/>
    <cellStyle name="Note 2 2 15 6 3" xfId="35316"/>
    <cellStyle name="Note 2 2 15 6 4" xfId="55196"/>
    <cellStyle name="Note 2 2 15 7" xfId="20820"/>
    <cellStyle name="Note 2 2 15 7 2" xfId="29139"/>
    <cellStyle name="Note 2 2 15 7 2 2" xfId="55197"/>
    <cellStyle name="Note 2 2 15 7 2 3" xfId="55198"/>
    <cellStyle name="Note 2 2 15 7 3" xfId="36226"/>
    <cellStyle name="Note 2 2 15 7 4" xfId="55199"/>
    <cellStyle name="Note 2 2 15 8" xfId="21337"/>
    <cellStyle name="Note 2 2 15 8 2" xfId="29641"/>
    <cellStyle name="Note 2 2 15 8 2 2" xfId="55200"/>
    <cellStyle name="Note 2 2 15 8 2 3" xfId="55201"/>
    <cellStyle name="Note 2 2 15 8 3" xfId="36707"/>
    <cellStyle name="Note 2 2 15 8 4" xfId="55202"/>
    <cellStyle name="Note 2 2 15 9" xfId="22255"/>
    <cellStyle name="Note 2 2 15 9 2" xfId="30553"/>
    <cellStyle name="Note 2 2 15 9 2 2" xfId="55203"/>
    <cellStyle name="Note 2 2 15 9 2 3" xfId="55204"/>
    <cellStyle name="Note 2 2 15 9 3" xfId="37579"/>
    <cellStyle name="Note 2 2 15 9 4" xfId="55205"/>
    <cellStyle name="Note 2 2 16" xfId="14873"/>
    <cellStyle name="Note 2 2 16 10" xfId="23236"/>
    <cellStyle name="Note 2 2 16 11" xfId="55206"/>
    <cellStyle name="Note 2 2 16 2" xfId="15954"/>
    <cellStyle name="Note 2 2 16 2 2" xfId="24271"/>
    <cellStyle name="Note 2 2 16 2 2 2" xfId="55207"/>
    <cellStyle name="Note 2 2 16 2 2 3" xfId="55208"/>
    <cellStyle name="Note 2 2 16 2 3" xfId="31554"/>
    <cellStyle name="Note 2 2 16 2 4" xfId="55209"/>
    <cellStyle name="Note 2 2 16 3" xfId="16920"/>
    <cellStyle name="Note 2 2 16 3 2" xfId="25243"/>
    <cellStyle name="Note 2 2 16 3 2 2" xfId="55210"/>
    <cellStyle name="Note 2 2 16 3 2 3" xfId="55211"/>
    <cellStyle name="Note 2 2 16 3 3" xfId="32487"/>
    <cellStyle name="Note 2 2 16 3 4" xfId="55212"/>
    <cellStyle name="Note 2 2 16 4" xfId="17947"/>
    <cellStyle name="Note 2 2 16 4 2" xfId="26269"/>
    <cellStyle name="Note 2 2 16 4 2 2" xfId="55213"/>
    <cellStyle name="Note 2 2 16 4 2 3" xfId="55214"/>
    <cellStyle name="Note 2 2 16 4 3" xfId="33464"/>
    <cellStyle name="Note 2 2 16 4 4" xfId="55215"/>
    <cellStyle name="Note 2 2 16 5" xfId="18931"/>
    <cellStyle name="Note 2 2 16 5 2" xfId="27251"/>
    <cellStyle name="Note 2 2 16 5 2 2" xfId="55216"/>
    <cellStyle name="Note 2 2 16 5 2 3" xfId="55217"/>
    <cellStyle name="Note 2 2 16 5 3" xfId="34405"/>
    <cellStyle name="Note 2 2 16 5 4" xfId="55218"/>
    <cellStyle name="Note 2 2 16 6" xfId="19899"/>
    <cellStyle name="Note 2 2 16 6 2" xfId="28221"/>
    <cellStyle name="Note 2 2 16 6 2 2" xfId="55219"/>
    <cellStyle name="Note 2 2 16 6 2 3" xfId="55220"/>
    <cellStyle name="Note 2 2 16 6 3" xfId="35352"/>
    <cellStyle name="Note 2 2 16 6 4" xfId="55221"/>
    <cellStyle name="Note 2 2 16 7" xfId="20857"/>
    <cellStyle name="Note 2 2 16 7 2" xfId="29176"/>
    <cellStyle name="Note 2 2 16 7 2 2" xfId="55222"/>
    <cellStyle name="Note 2 2 16 7 2 3" xfId="55223"/>
    <cellStyle name="Note 2 2 16 7 3" xfId="36262"/>
    <cellStyle name="Note 2 2 16 7 4" xfId="55224"/>
    <cellStyle name="Note 2 2 16 8" xfId="17574"/>
    <cellStyle name="Note 2 2 16 8 2" xfId="25893"/>
    <cellStyle name="Note 2 2 16 8 2 2" xfId="55225"/>
    <cellStyle name="Note 2 2 16 8 2 3" xfId="55226"/>
    <cellStyle name="Note 2 2 16 8 3" xfId="33106"/>
    <cellStyle name="Note 2 2 16 8 4" xfId="55227"/>
    <cellStyle name="Note 2 2 16 9" xfId="22292"/>
    <cellStyle name="Note 2 2 16 9 2" xfId="30590"/>
    <cellStyle name="Note 2 2 16 9 2 2" xfId="55228"/>
    <cellStyle name="Note 2 2 16 9 2 3" xfId="55229"/>
    <cellStyle name="Note 2 2 16 9 3" xfId="37615"/>
    <cellStyle name="Note 2 2 16 9 4" xfId="55230"/>
    <cellStyle name="Note 2 2 17" xfId="14889"/>
    <cellStyle name="Note 2 2 17 10" xfId="23252"/>
    <cellStyle name="Note 2 2 17 11" xfId="55231"/>
    <cellStyle name="Note 2 2 17 2" xfId="15970"/>
    <cellStyle name="Note 2 2 17 2 2" xfId="24287"/>
    <cellStyle name="Note 2 2 17 2 2 2" xfId="55232"/>
    <cellStyle name="Note 2 2 17 2 2 3" xfId="55233"/>
    <cellStyle name="Note 2 2 17 2 3" xfId="31568"/>
    <cellStyle name="Note 2 2 17 2 4" xfId="55234"/>
    <cellStyle name="Note 2 2 17 3" xfId="16936"/>
    <cellStyle name="Note 2 2 17 3 2" xfId="25259"/>
    <cellStyle name="Note 2 2 17 3 2 2" xfId="55235"/>
    <cellStyle name="Note 2 2 17 3 2 3" xfId="55236"/>
    <cellStyle name="Note 2 2 17 3 3" xfId="32501"/>
    <cellStyle name="Note 2 2 17 3 4" xfId="55237"/>
    <cellStyle name="Note 2 2 17 4" xfId="17963"/>
    <cellStyle name="Note 2 2 17 4 2" xfId="26285"/>
    <cellStyle name="Note 2 2 17 4 2 2" xfId="55238"/>
    <cellStyle name="Note 2 2 17 4 2 3" xfId="55239"/>
    <cellStyle name="Note 2 2 17 4 3" xfId="33478"/>
    <cellStyle name="Note 2 2 17 4 4" xfId="55240"/>
    <cellStyle name="Note 2 2 17 5" xfId="18947"/>
    <cellStyle name="Note 2 2 17 5 2" xfId="27267"/>
    <cellStyle name="Note 2 2 17 5 2 2" xfId="55241"/>
    <cellStyle name="Note 2 2 17 5 2 3" xfId="55242"/>
    <cellStyle name="Note 2 2 17 5 3" xfId="34419"/>
    <cellStyle name="Note 2 2 17 5 4" xfId="55243"/>
    <cellStyle name="Note 2 2 17 6" xfId="19915"/>
    <cellStyle name="Note 2 2 17 6 2" xfId="28237"/>
    <cellStyle name="Note 2 2 17 6 2 2" xfId="55244"/>
    <cellStyle name="Note 2 2 17 6 2 3" xfId="55245"/>
    <cellStyle name="Note 2 2 17 6 3" xfId="35366"/>
    <cellStyle name="Note 2 2 17 6 4" xfId="55246"/>
    <cellStyle name="Note 2 2 17 7" xfId="20873"/>
    <cellStyle name="Note 2 2 17 7 2" xfId="29192"/>
    <cellStyle name="Note 2 2 17 7 2 2" xfId="55247"/>
    <cellStyle name="Note 2 2 17 7 2 3" xfId="55248"/>
    <cellStyle name="Note 2 2 17 7 3" xfId="36276"/>
    <cellStyle name="Note 2 2 17 7 4" xfId="55249"/>
    <cellStyle name="Note 2 2 17 8" xfId="21380"/>
    <cellStyle name="Note 2 2 17 8 2" xfId="29683"/>
    <cellStyle name="Note 2 2 17 8 2 2" xfId="55250"/>
    <cellStyle name="Note 2 2 17 8 2 3" xfId="55251"/>
    <cellStyle name="Note 2 2 17 8 3" xfId="36746"/>
    <cellStyle name="Note 2 2 17 8 4" xfId="55252"/>
    <cellStyle name="Note 2 2 17 9" xfId="22308"/>
    <cellStyle name="Note 2 2 17 9 2" xfId="30606"/>
    <cellStyle name="Note 2 2 17 9 2 2" xfId="55253"/>
    <cellStyle name="Note 2 2 17 9 2 3" xfId="55254"/>
    <cellStyle name="Note 2 2 17 9 3" xfId="37629"/>
    <cellStyle name="Note 2 2 17 9 4" xfId="55255"/>
    <cellStyle name="Note 2 2 18" xfId="14934"/>
    <cellStyle name="Note 2 2 18 10" xfId="23297"/>
    <cellStyle name="Note 2 2 18 11" xfId="55256"/>
    <cellStyle name="Note 2 2 18 2" xfId="16015"/>
    <cellStyle name="Note 2 2 18 2 2" xfId="24332"/>
    <cellStyle name="Note 2 2 18 2 2 2" xfId="55257"/>
    <cellStyle name="Note 2 2 18 2 2 3" xfId="55258"/>
    <cellStyle name="Note 2 2 18 2 3" xfId="31612"/>
    <cellStyle name="Note 2 2 18 2 4" xfId="55259"/>
    <cellStyle name="Note 2 2 18 3" xfId="16981"/>
    <cellStyle name="Note 2 2 18 3 2" xfId="25304"/>
    <cellStyle name="Note 2 2 18 3 2 2" xfId="55260"/>
    <cellStyle name="Note 2 2 18 3 2 3" xfId="55261"/>
    <cellStyle name="Note 2 2 18 3 3" xfId="32545"/>
    <cellStyle name="Note 2 2 18 3 4" xfId="55262"/>
    <cellStyle name="Note 2 2 18 4" xfId="18008"/>
    <cellStyle name="Note 2 2 18 4 2" xfId="26330"/>
    <cellStyle name="Note 2 2 18 4 2 2" xfId="55263"/>
    <cellStyle name="Note 2 2 18 4 2 3" xfId="55264"/>
    <cellStyle name="Note 2 2 18 4 3" xfId="33522"/>
    <cellStyle name="Note 2 2 18 4 4" xfId="55265"/>
    <cellStyle name="Note 2 2 18 5" xfId="18992"/>
    <cellStyle name="Note 2 2 18 5 2" xfId="27312"/>
    <cellStyle name="Note 2 2 18 5 2 2" xfId="55266"/>
    <cellStyle name="Note 2 2 18 5 2 3" xfId="55267"/>
    <cellStyle name="Note 2 2 18 5 3" xfId="34463"/>
    <cellStyle name="Note 2 2 18 5 4" xfId="55268"/>
    <cellStyle name="Note 2 2 18 6" xfId="19960"/>
    <cellStyle name="Note 2 2 18 6 2" xfId="28282"/>
    <cellStyle name="Note 2 2 18 6 2 2" xfId="55269"/>
    <cellStyle name="Note 2 2 18 6 2 3" xfId="55270"/>
    <cellStyle name="Note 2 2 18 6 3" xfId="35410"/>
    <cellStyle name="Note 2 2 18 6 4" xfId="55271"/>
    <cellStyle name="Note 2 2 18 7" xfId="20918"/>
    <cellStyle name="Note 2 2 18 7 2" xfId="29237"/>
    <cellStyle name="Note 2 2 18 7 2 2" xfId="55272"/>
    <cellStyle name="Note 2 2 18 7 2 3" xfId="55273"/>
    <cellStyle name="Note 2 2 18 7 3" xfId="36320"/>
    <cellStyle name="Note 2 2 18 7 4" xfId="55274"/>
    <cellStyle name="Note 2 2 18 8" xfId="21425"/>
    <cellStyle name="Note 2 2 18 8 2" xfId="29728"/>
    <cellStyle name="Note 2 2 18 8 2 2" xfId="55275"/>
    <cellStyle name="Note 2 2 18 8 2 3" xfId="55276"/>
    <cellStyle name="Note 2 2 18 8 3" xfId="36790"/>
    <cellStyle name="Note 2 2 18 8 4" xfId="55277"/>
    <cellStyle name="Note 2 2 18 9" xfId="22353"/>
    <cellStyle name="Note 2 2 18 9 2" xfId="30651"/>
    <cellStyle name="Note 2 2 18 9 2 2" xfId="55278"/>
    <cellStyle name="Note 2 2 18 9 2 3" xfId="55279"/>
    <cellStyle name="Note 2 2 18 9 3" xfId="37673"/>
    <cellStyle name="Note 2 2 18 9 4" xfId="55280"/>
    <cellStyle name="Note 2 2 19" xfId="14930"/>
    <cellStyle name="Note 2 2 19 10" xfId="23293"/>
    <cellStyle name="Note 2 2 19 11" xfId="55281"/>
    <cellStyle name="Note 2 2 19 2" xfId="16011"/>
    <cellStyle name="Note 2 2 19 2 2" xfId="24328"/>
    <cellStyle name="Note 2 2 19 2 2 2" xfId="55282"/>
    <cellStyle name="Note 2 2 19 2 2 3" xfId="55283"/>
    <cellStyle name="Note 2 2 19 2 3" xfId="31608"/>
    <cellStyle name="Note 2 2 19 2 4" xfId="55284"/>
    <cellStyle name="Note 2 2 19 3" xfId="16977"/>
    <cellStyle name="Note 2 2 19 3 2" xfId="25300"/>
    <cellStyle name="Note 2 2 19 3 2 2" xfId="55285"/>
    <cellStyle name="Note 2 2 19 3 2 3" xfId="55286"/>
    <cellStyle name="Note 2 2 19 3 3" xfId="32541"/>
    <cellStyle name="Note 2 2 19 3 4" xfId="55287"/>
    <cellStyle name="Note 2 2 19 4" xfId="18004"/>
    <cellStyle name="Note 2 2 19 4 2" xfId="26326"/>
    <cellStyle name="Note 2 2 19 4 2 2" xfId="55288"/>
    <cellStyle name="Note 2 2 19 4 2 3" xfId="55289"/>
    <cellStyle name="Note 2 2 19 4 3" xfId="33518"/>
    <cellStyle name="Note 2 2 19 4 4" xfId="55290"/>
    <cellStyle name="Note 2 2 19 5" xfId="18988"/>
    <cellStyle name="Note 2 2 19 5 2" xfId="27308"/>
    <cellStyle name="Note 2 2 19 5 2 2" xfId="55291"/>
    <cellStyle name="Note 2 2 19 5 2 3" xfId="55292"/>
    <cellStyle name="Note 2 2 19 5 3" xfId="34459"/>
    <cellStyle name="Note 2 2 19 5 4" xfId="55293"/>
    <cellStyle name="Note 2 2 19 6" xfId="19956"/>
    <cellStyle name="Note 2 2 19 6 2" xfId="28278"/>
    <cellStyle name="Note 2 2 19 6 2 2" xfId="55294"/>
    <cellStyle name="Note 2 2 19 6 2 3" xfId="55295"/>
    <cellStyle name="Note 2 2 19 6 3" xfId="35406"/>
    <cellStyle name="Note 2 2 19 6 4" xfId="55296"/>
    <cellStyle name="Note 2 2 19 7" xfId="20914"/>
    <cellStyle name="Note 2 2 19 7 2" xfId="29233"/>
    <cellStyle name="Note 2 2 19 7 2 2" xfId="55297"/>
    <cellStyle name="Note 2 2 19 7 2 3" xfId="55298"/>
    <cellStyle name="Note 2 2 19 7 3" xfId="36316"/>
    <cellStyle name="Note 2 2 19 7 4" xfId="55299"/>
    <cellStyle name="Note 2 2 19 8" xfId="21421"/>
    <cellStyle name="Note 2 2 19 8 2" xfId="29724"/>
    <cellStyle name="Note 2 2 19 8 2 2" xfId="55300"/>
    <cellStyle name="Note 2 2 19 8 2 3" xfId="55301"/>
    <cellStyle name="Note 2 2 19 8 3" xfId="36786"/>
    <cellStyle name="Note 2 2 19 8 4" xfId="55302"/>
    <cellStyle name="Note 2 2 19 9" xfId="22349"/>
    <cellStyle name="Note 2 2 19 9 2" xfId="30647"/>
    <cellStyle name="Note 2 2 19 9 2 2" xfId="55303"/>
    <cellStyle name="Note 2 2 19 9 2 3" xfId="55304"/>
    <cellStyle name="Note 2 2 19 9 3" xfId="37669"/>
    <cellStyle name="Note 2 2 19 9 4" xfId="55305"/>
    <cellStyle name="Note 2 2 2" xfId="79"/>
    <cellStyle name="Note 2 2 2 10" xfId="14438"/>
    <cellStyle name="Note 2 2 2 10 2" xfId="55306"/>
    <cellStyle name="Note 2 2 2 10 3" xfId="55307"/>
    <cellStyle name="Note 2 2 2 11" xfId="55308"/>
    <cellStyle name="Note 2 2 2 12" xfId="55309"/>
    <cellStyle name="Note 2 2 2 13" xfId="55310"/>
    <cellStyle name="Note 2 2 2 14" xfId="55311"/>
    <cellStyle name="Note 2 2 2 15" xfId="60786"/>
    <cellStyle name="Note 2 2 2 2" xfId="153"/>
    <cellStyle name="Note 2 2 2 2 2" xfId="279"/>
    <cellStyle name="Note 2 2 2 2 2 2" xfId="688"/>
    <cellStyle name="Note 2 2 2 2 2 2 2" xfId="1639"/>
    <cellStyle name="Note 2 2 2 2 2 2 2 2" xfId="768"/>
    <cellStyle name="Note 2 2 2 2 2 2 2 2 2" xfId="2440"/>
    <cellStyle name="Note 2 2 2 2 2 2 2 2 2 2" xfId="5860"/>
    <cellStyle name="Note 2 2 2 2 2 2 2 2 2 2 2" xfId="12700"/>
    <cellStyle name="Note 2 2 2 2 2 2 2 2 2 3" xfId="9280"/>
    <cellStyle name="Note 2 2 2 2 2 2 2 2 3" xfId="3580"/>
    <cellStyle name="Note 2 2 2 2 2 2 2 2 3 2" xfId="7000"/>
    <cellStyle name="Note 2 2 2 2 2 2 2 2 3 2 2" xfId="13840"/>
    <cellStyle name="Note 2 2 2 2 2 2 2 2 3 3" xfId="10420"/>
    <cellStyle name="Note 2 2 2 2 2 2 2 2 4" xfId="4720"/>
    <cellStyle name="Note 2 2 2 2 2 2 2 2 4 2" xfId="11560"/>
    <cellStyle name="Note 2 2 2 2 2 2 2 2 5" xfId="8140"/>
    <cellStyle name="Note 2 2 2 2 2 2 2 3" xfId="2473"/>
    <cellStyle name="Note 2 2 2 2 2 2 2 3 2" xfId="5893"/>
    <cellStyle name="Note 2 2 2 2 2 2 2 3 2 2" xfId="12733"/>
    <cellStyle name="Note 2 2 2 2 2 2 2 3 3" xfId="9313"/>
    <cellStyle name="Note 2 2 2 2 2 2 2 4" xfId="3613"/>
    <cellStyle name="Note 2 2 2 2 2 2 2 4 2" xfId="7033"/>
    <cellStyle name="Note 2 2 2 2 2 2 2 4 2 2" xfId="13873"/>
    <cellStyle name="Note 2 2 2 2 2 2 2 4 3" xfId="10453"/>
    <cellStyle name="Note 2 2 2 2 2 2 2 5" xfId="4753"/>
    <cellStyle name="Note 2 2 2 2 2 2 2 5 2" xfId="11593"/>
    <cellStyle name="Note 2 2 2 2 2 2 2 6" xfId="8173"/>
    <cellStyle name="Note 2 2 2 2 2 2 2 7" xfId="61657"/>
    <cellStyle name="Note 2 2 2 2 2 2 2 8" xfId="62141"/>
    <cellStyle name="Note 2 2 2 2 2 2 3" xfId="38532"/>
    <cellStyle name="Note 2 2 2 2 2 2 4" xfId="55312"/>
    <cellStyle name="Note 2 2 2 2 2 2 5" xfId="55313"/>
    <cellStyle name="Note 2 2 2 2 2 2 6" xfId="55314"/>
    <cellStyle name="Note 2 2 2 2 2 2 7" xfId="61272"/>
    <cellStyle name="Note 2 2 2 2 2 3" xfId="1285"/>
    <cellStyle name="Note 2 2 2 2 2 3 2" xfId="985"/>
    <cellStyle name="Note 2 2 2 2 2 3 2 2" xfId="2587"/>
    <cellStyle name="Note 2 2 2 2 2 3 2 2 2" xfId="6007"/>
    <cellStyle name="Note 2 2 2 2 2 3 2 2 2 2" xfId="12847"/>
    <cellStyle name="Note 2 2 2 2 2 3 2 2 3" xfId="9427"/>
    <cellStyle name="Note 2 2 2 2 2 3 2 3" xfId="3727"/>
    <cellStyle name="Note 2 2 2 2 2 3 2 3 2" xfId="7147"/>
    <cellStyle name="Note 2 2 2 2 2 3 2 3 2 2" xfId="13987"/>
    <cellStyle name="Note 2 2 2 2 2 3 2 3 3" xfId="10567"/>
    <cellStyle name="Note 2 2 2 2 2 3 2 4" xfId="4867"/>
    <cellStyle name="Note 2 2 2 2 2 3 2 4 2" xfId="11707"/>
    <cellStyle name="Note 2 2 2 2 2 3 2 5" xfId="8287"/>
    <cellStyle name="Note 2 2 2 2 2 3 3" xfId="2105"/>
    <cellStyle name="Note 2 2 2 2 2 3 3 2" xfId="5525"/>
    <cellStyle name="Note 2 2 2 2 2 3 3 2 2" xfId="12365"/>
    <cellStyle name="Note 2 2 2 2 2 3 3 3" xfId="8945"/>
    <cellStyle name="Note 2 2 2 2 2 3 4" xfId="3245"/>
    <cellStyle name="Note 2 2 2 2 2 3 4 2" xfId="6665"/>
    <cellStyle name="Note 2 2 2 2 2 3 4 2 2" xfId="13505"/>
    <cellStyle name="Note 2 2 2 2 2 3 4 3" xfId="10085"/>
    <cellStyle name="Note 2 2 2 2 2 3 5" xfId="4385"/>
    <cellStyle name="Note 2 2 2 2 2 3 5 2" xfId="11225"/>
    <cellStyle name="Note 2 2 2 2 2 3 6" xfId="7805"/>
    <cellStyle name="Note 2 2 2 2 2 3 7" xfId="61658"/>
    <cellStyle name="Note 2 2 2 2 2 3 8" xfId="62142"/>
    <cellStyle name="Note 2 2 2 2 2 4" xfId="38295"/>
    <cellStyle name="Note 2 2 2 2 2 5" xfId="55315"/>
    <cellStyle name="Note 2 2 2 2 2 6" xfId="55316"/>
    <cellStyle name="Note 2 2 2 2 2 7" xfId="55317"/>
    <cellStyle name="Note 2 2 2 2 2 8" xfId="55318"/>
    <cellStyle name="Note 2 2 2 2 2 9" xfId="60961"/>
    <cellStyle name="Note 2 2 2 2 3" xfId="600"/>
    <cellStyle name="Note 2 2 2 2 3 2" xfId="1587"/>
    <cellStyle name="Note 2 2 2 2 3 2 2" xfId="1743"/>
    <cellStyle name="Note 2 2 2 2 3 2 2 2" xfId="2883"/>
    <cellStyle name="Note 2 2 2 2 3 2 2 2 2" xfId="6303"/>
    <cellStyle name="Note 2 2 2 2 3 2 2 2 2 2" xfId="13143"/>
    <cellStyle name="Note 2 2 2 2 3 2 2 2 3" xfId="9723"/>
    <cellStyle name="Note 2 2 2 2 3 2 2 3" xfId="4023"/>
    <cellStyle name="Note 2 2 2 2 3 2 2 3 2" xfId="7443"/>
    <cellStyle name="Note 2 2 2 2 3 2 2 3 2 2" xfId="14283"/>
    <cellStyle name="Note 2 2 2 2 3 2 2 3 3" xfId="10863"/>
    <cellStyle name="Note 2 2 2 2 3 2 2 4" xfId="5163"/>
    <cellStyle name="Note 2 2 2 2 3 2 2 4 2" xfId="12003"/>
    <cellStyle name="Note 2 2 2 2 3 2 2 5" xfId="8583"/>
    <cellStyle name="Note 2 2 2 2 3 2 3" xfId="2412"/>
    <cellStyle name="Note 2 2 2 2 3 2 3 2" xfId="5832"/>
    <cellStyle name="Note 2 2 2 2 3 2 3 2 2" xfId="12672"/>
    <cellStyle name="Note 2 2 2 2 3 2 3 3" xfId="9252"/>
    <cellStyle name="Note 2 2 2 2 3 2 4" xfId="3552"/>
    <cellStyle name="Note 2 2 2 2 3 2 4 2" xfId="6972"/>
    <cellStyle name="Note 2 2 2 2 3 2 4 2 2" xfId="13812"/>
    <cellStyle name="Note 2 2 2 2 3 2 4 3" xfId="10392"/>
    <cellStyle name="Note 2 2 2 2 3 2 5" xfId="4692"/>
    <cellStyle name="Note 2 2 2 2 3 2 5 2" xfId="11532"/>
    <cellStyle name="Note 2 2 2 2 3 2 6" xfId="8112"/>
    <cellStyle name="Note 2 2 2 2 3 2 7" xfId="61656"/>
    <cellStyle name="Note 2 2 2 2 3 2 8" xfId="62140"/>
    <cellStyle name="Note 2 2 2 2 3 3" xfId="38481"/>
    <cellStyle name="Note 2 2 2 2 3 4" xfId="55319"/>
    <cellStyle name="Note 2 2 2 2 3 5" xfId="55320"/>
    <cellStyle name="Note 2 2 2 2 3 6" xfId="55321"/>
    <cellStyle name="Note 2 2 2 2 3 7" xfId="61273"/>
    <cellStyle name="Note 2 2 2 2 4" xfId="1161"/>
    <cellStyle name="Note 2 2 2 2 4 2" xfId="1782"/>
    <cellStyle name="Note 2 2 2 2 4 2 2" xfId="2922"/>
    <cellStyle name="Note 2 2 2 2 4 2 2 2" xfId="6342"/>
    <cellStyle name="Note 2 2 2 2 4 2 2 2 2" xfId="13182"/>
    <cellStyle name="Note 2 2 2 2 4 2 2 3" xfId="9762"/>
    <cellStyle name="Note 2 2 2 2 4 2 3" xfId="4062"/>
    <cellStyle name="Note 2 2 2 2 4 2 3 2" xfId="7482"/>
    <cellStyle name="Note 2 2 2 2 4 2 3 2 2" xfId="14322"/>
    <cellStyle name="Note 2 2 2 2 4 2 3 3" xfId="10902"/>
    <cellStyle name="Note 2 2 2 2 4 2 4" xfId="5202"/>
    <cellStyle name="Note 2 2 2 2 4 2 4 2" xfId="12042"/>
    <cellStyle name="Note 2 2 2 2 4 2 5" xfId="8622"/>
    <cellStyle name="Note 2 2 2 2 4 3" xfId="1980"/>
    <cellStyle name="Note 2 2 2 2 4 3 2" xfId="5400"/>
    <cellStyle name="Note 2 2 2 2 4 3 2 2" xfId="12240"/>
    <cellStyle name="Note 2 2 2 2 4 3 3" xfId="8820"/>
    <cellStyle name="Note 2 2 2 2 4 4" xfId="3120"/>
    <cellStyle name="Note 2 2 2 2 4 4 2" xfId="6540"/>
    <cellStyle name="Note 2 2 2 2 4 4 2 2" xfId="13380"/>
    <cellStyle name="Note 2 2 2 2 4 4 3" xfId="9960"/>
    <cellStyle name="Note 2 2 2 2 4 5" xfId="4260"/>
    <cellStyle name="Note 2 2 2 2 4 5 2" xfId="11100"/>
    <cellStyle name="Note 2 2 2 2 4 6" xfId="7680"/>
    <cellStyle name="Note 2 2 2 2 4 7" xfId="61659"/>
    <cellStyle name="Note 2 2 2 2 4 8" xfId="62143"/>
    <cellStyle name="Note 2 2 2 2 5" xfId="23904"/>
    <cellStyle name="Note 2 2 2 2 6" xfId="38217"/>
    <cellStyle name="Note 2 2 2 2 7" xfId="55322"/>
    <cellStyle name="Note 2 2 2 2 8" xfId="55323"/>
    <cellStyle name="Note 2 2 2 2 9" xfId="60837"/>
    <cellStyle name="Note 2 2 2 3" xfId="319"/>
    <cellStyle name="Note 2 2 2 3 2" xfId="379"/>
    <cellStyle name="Note 2 2 2 3 2 2" xfId="1384"/>
    <cellStyle name="Note 2 2 2 3 2 2 2" xfId="916"/>
    <cellStyle name="Note 2 2 2 3 2 2 2 2" xfId="2636"/>
    <cellStyle name="Note 2 2 2 3 2 2 2 2 2" xfId="6056"/>
    <cellStyle name="Note 2 2 2 3 2 2 2 2 2 2" xfId="12896"/>
    <cellStyle name="Note 2 2 2 3 2 2 2 2 3" xfId="9476"/>
    <cellStyle name="Note 2 2 2 3 2 2 2 3" xfId="3776"/>
    <cellStyle name="Note 2 2 2 3 2 2 2 3 2" xfId="7196"/>
    <cellStyle name="Note 2 2 2 3 2 2 2 3 2 2" xfId="14036"/>
    <cellStyle name="Note 2 2 2 3 2 2 2 3 3" xfId="10616"/>
    <cellStyle name="Note 2 2 2 3 2 2 2 4" xfId="4916"/>
    <cellStyle name="Note 2 2 2 3 2 2 2 4 2" xfId="11756"/>
    <cellStyle name="Note 2 2 2 3 2 2 2 5" xfId="8336"/>
    <cellStyle name="Note 2 2 2 3 2 2 3" xfId="2205"/>
    <cellStyle name="Note 2 2 2 3 2 2 3 2" xfId="5625"/>
    <cellStyle name="Note 2 2 2 3 2 2 3 2 2" xfId="12465"/>
    <cellStyle name="Note 2 2 2 3 2 2 3 3" xfId="9045"/>
    <cellStyle name="Note 2 2 2 3 2 2 4" xfId="3345"/>
    <cellStyle name="Note 2 2 2 3 2 2 4 2" xfId="6765"/>
    <cellStyle name="Note 2 2 2 3 2 2 4 2 2" xfId="13605"/>
    <cellStyle name="Note 2 2 2 3 2 2 4 3" xfId="10185"/>
    <cellStyle name="Note 2 2 2 3 2 2 5" xfId="4485"/>
    <cellStyle name="Note 2 2 2 3 2 2 5 2" xfId="11325"/>
    <cellStyle name="Note 2 2 2 3 2 2 6" xfId="7905"/>
    <cellStyle name="Note 2 2 2 3 2 2 7" xfId="61654"/>
    <cellStyle name="Note 2 2 2 3 2 2 8" xfId="62138"/>
    <cellStyle name="Note 2 2 2 3 2 3" xfId="38362"/>
    <cellStyle name="Note 2 2 2 3 2 4" xfId="55324"/>
    <cellStyle name="Note 2 2 2 3 2 5" xfId="55325"/>
    <cellStyle name="Note 2 2 2 3 2 6" xfId="55326"/>
    <cellStyle name="Note 2 2 2 3 2 7" xfId="55327"/>
    <cellStyle name="Note 2 2 2 3 2 8" xfId="61060"/>
    <cellStyle name="Note 2 2 2 3 3" xfId="1324"/>
    <cellStyle name="Note 2 2 2 3 3 2" xfId="967"/>
    <cellStyle name="Note 2 2 2 3 3 2 2" xfId="2644"/>
    <cellStyle name="Note 2 2 2 3 3 2 2 2" xfId="6064"/>
    <cellStyle name="Note 2 2 2 3 3 2 2 2 2" xfId="12904"/>
    <cellStyle name="Note 2 2 2 3 3 2 2 3" xfId="9484"/>
    <cellStyle name="Note 2 2 2 3 3 2 3" xfId="3784"/>
    <cellStyle name="Note 2 2 2 3 3 2 3 2" xfId="7204"/>
    <cellStyle name="Note 2 2 2 3 3 2 3 2 2" xfId="14044"/>
    <cellStyle name="Note 2 2 2 3 3 2 3 3" xfId="10624"/>
    <cellStyle name="Note 2 2 2 3 3 2 4" xfId="4924"/>
    <cellStyle name="Note 2 2 2 3 3 2 4 2" xfId="11764"/>
    <cellStyle name="Note 2 2 2 3 3 2 5" xfId="8344"/>
    <cellStyle name="Note 2 2 2 3 3 3" xfId="2145"/>
    <cellStyle name="Note 2 2 2 3 3 3 2" xfId="5565"/>
    <cellStyle name="Note 2 2 2 3 3 3 2 2" xfId="12405"/>
    <cellStyle name="Note 2 2 2 3 3 3 3" xfId="8985"/>
    <cellStyle name="Note 2 2 2 3 3 4" xfId="3285"/>
    <cellStyle name="Note 2 2 2 3 3 4 2" xfId="6705"/>
    <cellStyle name="Note 2 2 2 3 3 4 2 2" xfId="13545"/>
    <cellStyle name="Note 2 2 2 3 3 4 3" xfId="10125"/>
    <cellStyle name="Note 2 2 2 3 3 5" xfId="4425"/>
    <cellStyle name="Note 2 2 2 3 3 5 2" xfId="11265"/>
    <cellStyle name="Note 2 2 2 3 3 6" xfId="7845"/>
    <cellStyle name="Note 2 2 2 3 3 7" xfId="61655"/>
    <cellStyle name="Note 2 2 2 3 3 8" xfId="62139"/>
    <cellStyle name="Note 2 2 2 3 4" xfId="24875"/>
    <cellStyle name="Note 2 2 2 3 5" xfId="32135"/>
    <cellStyle name="Note 2 2 2 3 6" xfId="55328"/>
    <cellStyle name="Note 2 2 2 3 7" xfId="55329"/>
    <cellStyle name="Note 2 2 2 3 8" xfId="55330"/>
    <cellStyle name="Note 2 2 2 3 9" xfId="61000"/>
    <cellStyle name="Note 2 2 2 4" xfId="220"/>
    <cellStyle name="Note 2 2 2 4 2" xfId="225"/>
    <cellStyle name="Note 2 2 2 4 2 2" xfId="1232"/>
    <cellStyle name="Note 2 2 2 4 2 2 2" xfId="1012"/>
    <cellStyle name="Note 2 2 2 4 2 2 2 2" xfId="1958"/>
    <cellStyle name="Note 2 2 2 4 2 2 2 2 2" xfId="5378"/>
    <cellStyle name="Note 2 2 2 4 2 2 2 2 2 2" xfId="12218"/>
    <cellStyle name="Note 2 2 2 4 2 2 2 2 3" xfId="8798"/>
    <cellStyle name="Note 2 2 2 4 2 2 2 3" xfId="3098"/>
    <cellStyle name="Note 2 2 2 4 2 2 2 3 2" xfId="6518"/>
    <cellStyle name="Note 2 2 2 4 2 2 2 3 2 2" xfId="13358"/>
    <cellStyle name="Note 2 2 2 4 2 2 2 3 3" xfId="9938"/>
    <cellStyle name="Note 2 2 2 4 2 2 2 4" xfId="4238"/>
    <cellStyle name="Note 2 2 2 4 2 2 2 4 2" xfId="11078"/>
    <cellStyle name="Note 2 2 2 4 2 2 2 5" xfId="7658"/>
    <cellStyle name="Note 2 2 2 4 2 2 3" xfId="2052"/>
    <cellStyle name="Note 2 2 2 4 2 2 3 2" xfId="5472"/>
    <cellStyle name="Note 2 2 2 4 2 2 3 2 2" xfId="12312"/>
    <cellStyle name="Note 2 2 2 4 2 2 3 3" xfId="8892"/>
    <cellStyle name="Note 2 2 2 4 2 2 4" xfId="3192"/>
    <cellStyle name="Note 2 2 2 4 2 2 4 2" xfId="6612"/>
    <cellStyle name="Note 2 2 2 4 2 2 4 2 2" xfId="13452"/>
    <cellStyle name="Note 2 2 2 4 2 2 4 3" xfId="10032"/>
    <cellStyle name="Note 2 2 2 4 2 2 5" xfId="4332"/>
    <cellStyle name="Note 2 2 2 4 2 2 5 2" xfId="11172"/>
    <cellStyle name="Note 2 2 2 4 2 2 6" xfId="7752"/>
    <cellStyle name="Note 2 2 2 4 2 2 7" xfId="61652"/>
    <cellStyle name="Note 2 2 2 4 2 2 8" xfId="62136"/>
    <cellStyle name="Note 2 2 2 4 2 3" xfId="38254"/>
    <cellStyle name="Note 2 2 2 4 2 4" xfId="55331"/>
    <cellStyle name="Note 2 2 2 4 2 5" xfId="55332"/>
    <cellStyle name="Note 2 2 2 4 2 6" xfId="55333"/>
    <cellStyle name="Note 2 2 2 4 2 7" xfId="55334"/>
    <cellStyle name="Note 2 2 2 4 2 8" xfId="60908"/>
    <cellStyle name="Note 2 2 2 4 3" xfId="1227"/>
    <cellStyle name="Note 2 2 2 4 3 2" xfId="1812"/>
    <cellStyle name="Note 2 2 2 4 3 2 2" xfId="2952"/>
    <cellStyle name="Note 2 2 2 4 3 2 2 2" xfId="6372"/>
    <cellStyle name="Note 2 2 2 4 3 2 2 2 2" xfId="13212"/>
    <cellStyle name="Note 2 2 2 4 3 2 2 3" xfId="9792"/>
    <cellStyle name="Note 2 2 2 4 3 2 3" xfId="4092"/>
    <cellStyle name="Note 2 2 2 4 3 2 3 2" xfId="7512"/>
    <cellStyle name="Note 2 2 2 4 3 2 3 2 2" xfId="14352"/>
    <cellStyle name="Note 2 2 2 4 3 2 3 3" xfId="10932"/>
    <cellStyle name="Note 2 2 2 4 3 2 4" xfId="5232"/>
    <cellStyle name="Note 2 2 2 4 3 2 4 2" xfId="12072"/>
    <cellStyle name="Note 2 2 2 4 3 2 5" xfId="8652"/>
    <cellStyle name="Note 2 2 2 4 3 3" xfId="2047"/>
    <cellStyle name="Note 2 2 2 4 3 3 2" xfId="5467"/>
    <cellStyle name="Note 2 2 2 4 3 3 2 2" xfId="12307"/>
    <cellStyle name="Note 2 2 2 4 3 3 3" xfId="8887"/>
    <cellStyle name="Note 2 2 2 4 3 4" xfId="3187"/>
    <cellStyle name="Note 2 2 2 4 3 4 2" xfId="6607"/>
    <cellStyle name="Note 2 2 2 4 3 4 2 2" xfId="13447"/>
    <cellStyle name="Note 2 2 2 4 3 4 3" xfId="10027"/>
    <cellStyle name="Note 2 2 2 4 3 5" xfId="4327"/>
    <cellStyle name="Note 2 2 2 4 3 5 2" xfId="11167"/>
    <cellStyle name="Note 2 2 2 4 3 6" xfId="7747"/>
    <cellStyle name="Note 2 2 2 4 3 7" xfId="61653"/>
    <cellStyle name="Note 2 2 2 4 3 8" xfId="62137"/>
    <cellStyle name="Note 2 2 2 4 4" xfId="25899"/>
    <cellStyle name="Note 2 2 2 4 5" xfId="33112"/>
    <cellStyle name="Note 2 2 2 4 6" xfId="55335"/>
    <cellStyle name="Note 2 2 2 4 7" xfId="55336"/>
    <cellStyle name="Note 2 2 2 4 8" xfId="55337"/>
    <cellStyle name="Note 2 2 2 4 9" xfId="60903"/>
    <cellStyle name="Note 2 2 2 5" xfId="482"/>
    <cellStyle name="Note 2 2 2 5 2" xfId="444"/>
    <cellStyle name="Note 2 2 2 5 2 2" xfId="1448"/>
    <cellStyle name="Note 2 2 2 5 2 2 2" xfId="885"/>
    <cellStyle name="Note 2 2 2 5 2 2 2 2" xfId="2786"/>
    <cellStyle name="Note 2 2 2 5 2 2 2 2 2" xfId="6206"/>
    <cellStyle name="Note 2 2 2 5 2 2 2 2 2 2" xfId="13046"/>
    <cellStyle name="Note 2 2 2 5 2 2 2 2 3" xfId="9626"/>
    <cellStyle name="Note 2 2 2 5 2 2 2 3" xfId="3926"/>
    <cellStyle name="Note 2 2 2 5 2 2 2 3 2" xfId="7346"/>
    <cellStyle name="Note 2 2 2 5 2 2 2 3 2 2" xfId="14186"/>
    <cellStyle name="Note 2 2 2 5 2 2 2 3 3" xfId="10766"/>
    <cellStyle name="Note 2 2 2 5 2 2 2 4" xfId="5066"/>
    <cellStyle name="Note 2 2 2 5 2 2 2 4 2" xfId="11906"/>
    <cellStyle name="Note 2 2 2 5 2 2 2 5" xfId="8486"/>
    <cellStyle name="Note 2 2 2 5 2 2 3" xfId="2269"/>
    <cellStyle name="Note 2 2 2 5 2 2 3 2" xfId="5689"/>
    <cellStyle name="Note 2 2 2 5 2 2 3 2 2" xfId="12529"/>
    <cellStyle name="Note 2 2 2 5 2 2 3 3" xfId="9109"/>
    <cellStyle name="Note 2 2 2 5 2 2 4" xfId="3409"/>
    <cellStyle name="Note 2 2 2 5 2 2 4 2" xfId="6829"/>
    <cellStyle name="Note 2 2 2 5 2 2 4 2 2" xfId="13669"/>
    <cellStyle name="Note 2 2 2 5 2 2 4 3" xfId="10249"/>
    <cellStyle name="Note 2 2 2 5 2 2 5" xfId="4549"/>
    <cellStyle name="Note 2 2 2 5 2 2 5 2" xfId="11389"/>
    <cellStyle name="Note 2 2 2 5 2 2 6" xfId="7969"/>
    <cellStyle name="Note 2 2 2 5 2 2 7" xfId="61650"/>
    <cellStyle name="Note 2 2 2 5 2 2 8" xfId="62134"/>
    <cellStyle name="Note 2 2 2 5 2 3" xfId="38407"/>
    <cellStyle name="Note 2 2 2 5 2 4" xfId="55338"/>
    <cellStyle name="Note 2 2 2 5 2 5" xfId="55339"/>
    <cellStyle name="Note 2 2 2 5 2 6" xfId="55340"/>
    <cellStyle name="Note 2 2 2 5 2 7" xfId="55341"/>
    <cellStyle name="Note 2 2 2 5 2 8" xfId="61124"/>
    <cellStyle name="Note 2 2 2 5 3" xfId="1486"/>
    <cellStyle name="Note 2 2 2 5 3 2" xfId="866"/>
    <cellStyle name="Note 2 2 2 5 3 2 2" xfId="2518"/>
    <cellStyle name="Note 2 2 2 5 3 2 2 2" xfId="5938"/>
    <cellStyle name="Note 2 2 2 5 3 2 2 2 2" xfId="12778"/>
    <cellStyle name="Note 2 2 2 5 3 2 2 3" xfId="9358"/>
    <cellStyle name="Note 2 2 2 5 3 2 3" xfId="3658"/>
    <cellStyle name="Note 2 2 2 5 3 2 3 2" xfId="7078"/>
    <cellStyle name="Note 2 2 2 5 3 2 3 2 2" xfId="13918"/>
    <cellStyle name="Note 2 2 2 5 3 2 3 3" xfId="10498"/>
    <cellStyle name="Note 2 2 2 5 3 2 4" xfId="4798"/>
    <cellStyle name="Note 2 2 2 5 3 2 4 2" xfId="11638"/>
    <cellStyle name="Note 2 2 2 5 3 2 5" xfId="8218"/>
    <cellStyle name="Note 2 2 2 5 3 3" xfId="2307"/>
    <cellStyle name="Note 2 2 2 5 3 3 2" xfId="5727"/>
    <cellStyle name="Note 2 2 2 5 3 3 2 2" xfId="12567"/>
    <cellStyle name="Note 2 2 2 5 3 3 3" xfId="9147"/>
    <cellStyle name="Note 2 2 2 5 3 4" xfId="3447"/>
    <cellStyle name="Note 2 2 2 5 3 4 2" xfId="6867"/>
    <cellStyle name="Note 2 2 2 5 3 4 2 2" xfId="13707"/>
    <cellStyle name="Note 2 2 2 5 3 4 3" xfId="10287"/>
    <cellStyle name="Note 2 2 2 5 3 5" xfId="4587"/>
    <cellStyle name="Note 2 2 2 5 3 5 2" xfId="11427"/>
    <cellStyle name="Note 2 2 2 5 3 6" xfId="8007"/>
    <cellStyle name="Note 2 2 2 5 3 7" xfId="61651"/>
    <cellStyle name="Note 2 2 2 5 3 8" xfId="62135"/>
    <cellStyle name="Note 2 2 2 5 4" xfId="26877"/>
    <cellStyle name="Note 2 2 2 5 5" xfId="34046"/>
    <cellStyle name="Note 2 2 2 5 6" xfId="55342"/>
    <cellStyle name="Note 2 2 2 5 7" xfId="55343"/>
    <cellStyle name="Note 2 2 2 5 8" xfId="55344"/>
    <cellStyle name="Note 2 2 2 5 9" xfId="61162"/>
    <cellStyle name="Note 2 2 2 6" xfId="463"/>
    <cellStyle name="Note 2 2 2 6 2" xfId="529"/>
    <cellStyle name="Note 2 2 2 6 2 2" xfId="1533"/>
    <cellStyle name="Note 2 2 2 6 2 2 2" xfId="842"/>
    <cellStyle name="Note 2 2 2 6 2 2 2 2" xfId="2567"/>
    <cellStyle name="Note 2 2 2 6 2 2 2 2 2" xfId="5987"/>
    <cellStyle name="Note 2 2 2 6 2 2 2 2 2 2" xfId="12827"/>
    <cellStyle name="Note 2 2 2 6 2 2 2 2 3" xfId="9407"/>
    <cellStyle name="Note 2 2 2 6 2 2 2 3" xfId="3707"/>
    <cellStyle name="Note 2 2 2 6 2 2 2 3 2" xfId="7127"/>
    <cellStyle name="Note 2 2 2 6 2 2 2 3 2 2" xfId="13967"/>
    <cellStyle name="Note 2 2 2 6 2 2 2 3 3" xfId="10547"/>
    <cellStyle name="Note 2 2 2 6 2 2 2 4" xfId="4847"/>
    <cellStyle name="Note 2 2 2 6 2 2 2 4 2" xfId="11687"/>
    <cellStyle name="Note 2 2 2 6 2 2 2 5" xfId="8267"/>
    <cellStyle name="Note 2 2 2 6 2 2 3" xfId="2354"/>
    <cellStyle name="Note 2 2 2 6 2 2 3 2" xfId="5774"/>
    <cellStyle name="Note 2 2 2 6 2 2 3 2 2" xfId="12614"/>
    <cellStyle name="Note 2 2 2 6 2 2 3 3" xfId="9194"/>
    <cellStyle name="Note 2 2 2 6 2 2 4" xfId="3494"/>
    <cellStyle name="Note 2 2 2 6 2 2 4 2" xfId="6914"/>
    <cellStyle name="Note 2 2 2 6 2 2 4 2 2" xfId="13754"/>
    <cellStyle name="Note 2 2 2 6 2 2 4 3" xfId="10334"/>
    <cellStyle name="Note 2 2 2 6 2 2 5" xfId="4634"/>
    <cellStyle name="Note 2 2 2 6 2 2 5 2" xfId="11474"/>
    <cellStyle name="Note 2 2 2 6 2 2 6" xfId="8054"/>
    <cellStyle name="Note 2 2 2 6 2 2 7" xfId="61648"/>
    <cellStyle name="Note 2 2 2 6 2 2 8" xfId="62132"/>
    <cellStyle name="Note 2 2 2 6 2 3" xfId="38448"/>
    <cellStyle name="Note 2 2 2 6 2 4" xfId="55345"/>
    <cellStyle name="Note 2 2 2 6 2 5" xfId="55346"/>
    <cellStyle name="Note 2 2 2 6 2 6" xfId="55347"/>
    <cellStyle name="Note 2 2 2 6 2 7" xfId="55348"/>
    <cellStyle name="Note 2 2 2 6 2 8" xfId="61209"/>
    <cellStyle name="Note 2 2 2 6 3" xfId="1467"/>
    <cellStyle name="Note 2 2 2 6 3 2" xfId="1734"/>
    <cellStyle name="Note 2 2 2 6 3 2 2" xfId="2874"/>
    <cellStyle name="Note 2 2 2 6 3 2 2 2" xfId="6294"/>
    <cellStyle name="Note 2 2 2 6 3 2 2 2 2" xfId="13134"/>
    <cellStyle name="Note 2 2 2 6 3 2 2 3" xfId="9714"/>
    <cellStyle name="Note 2 2 2 6 3 2 3" xfId="4014"/>
    <cellStyle name="Note 2 2 2 6 3 2 3 2" xfId="7434"/>
    <cellStyle name="Note 2 2 2 6 3 2 3 2 2" xfId="14274"/>
    <cellStyle name="Note 2 2 2 6 3 2 3 3" xfId="10854"/>
    <cellStyle name="Note 2 2 2 6 3 2 4" xfId="5154"/>
    <cellStyle name="Note 2 2 2 6 3 2 4 2" xfId="11994"/>
    <cellStyle name="Note 2 2 2 6 3 2 5" xfId="8574"/>
    <cellStyle name="Note 2 2 2 6 3 3" xfId="2288"/>
    <cellStyle name="Note 2 2 2 6 3 3 2" xfId="5708"/>
    <cellStyle name="Note 2 2 2 6 3 3 2 2" xfId="12548"/>
    <cellStyle name="Note 2 2 2 6 3 3 3" xfId="9128"/>
    <cellStyle name="Note 2 2 2 6 3 4" xfId="3428"/>
    <cellStyle name="Note 2 2 2 6 3 4 2" xfId="6848"/>
    <cellStyle name="Note 2 2 2 6 3 4 2 2" xfId="13688"/>
    <cellStyle name="Note 2 2 2 6 3 4 3" xfId="10268"/>
    <cellStyle name="Note 2 2 2 6 3 5" xfId="4568"/>
    <cellStyle name="Note 2 2 2 6 3 5 2" xfId="11408"/>
    <cellStyle name="Note 2 2 2 6 3 6" xfId="7988"/>
    <cellStyle name="Note 2 2 2 6 3 7" xfId="61649"/>
    <cellStyle name="Note 2 2 2 6 3 8" xfId="62133"/>
    <cellStyle name="Note 2 2 2 6 4" xfId="23894"/>
    <cellStyle name="Note 2 2 2 6 5" xfId="31238"/>
    <cellStyle name="Note 2 2 2 6 6" xfId="55349"/>
    <cellStyle name="Note 2 2 2 6 7" xfId="55350"/>
    <cellStyle name="Note 2 2 2 6 8" xfId="55351"/>
    <cellStyle name="Note 2 2 2 6 9" xfId="61143"/>
    <cellStyle name="Note 2 2 2 7" xfId="1110"/>
    <cellStyle name="Note 2 2 2 7 10" xfId="62144"/>
    <cellStyle name="Note 2 2 2 7 2" xfId="1071"/>
    <cellStyle name="Note 2 2 2 7 2 2" xfId="2500"/>
    <cellStyle name="Note 2 2 2 7 2 2 2" xfId="5920"/>
    <cellStyle name="Note 2 2 2 7 2 2 2 2" xfId="12760"/>
    <cellStyle name="Note 2 2 2 7 2 2 3" xfId="9340"/>
    <cellStyle name="Note 2 2 2 7 2 3" xfId="3640"/>
    <cellStyle name="Note 2 2 2 7 2 3 2" xfId="7060"/>
    <cellStyle name="Note 2 2 2 7 2 3 2 2" xfId="13900"/>
    <cellStyle name="Note 2 2 2 7 2 3 3" xfId="10480"/>
    <cellStyle name="Note 2 2 2 7 2 4" xfId="4780"/>
    <cellStyle name="Note 2 2 2 7 2 4 2" xfId="11620"/>
    <cellStyle name="Note 2 2 2 7 2 5" xfId="8200"/>
    <cellStyle name="Note 2 2 2 7 3" xfId="1919"/>
    <cellStyle name="Note 2 2 2 7 3 2" xfId="5339"/>
    <cellStyle name="Note 2 2 2 7 3 2 2" xfId="12179"/>
    <cellStyle name="Note 2 2 2 7 3 3" xfId="8759"/>
    <cellStyle name="Note 2 2 2 7 4" xfId="3059"/>
    <cellStyle name="Note 2 2 2 7 4 2" xfId="6479"/>
    <cellStyle name="Note 2 2 2 7 4 2 2" xfId="13319"/>
    <cellStyle name="Note 2 2 2 7 4 3" xfId="9899"/>
    <cellStyle name="Note 2 2 2 7 5" xfId="4199"/>
    <cellStyle name="Note 2 2 2 7 5 2" xfId="11039"/>
    <cellStyle name="Note 2 2 2 7 6" xfId="7619"/>
    <cellStyle name="Note 2 2 2 7 7" xfId="23842"/>
    <cellStyle name="Note 2 2 2 7 8" xfId="31191"/>
    <cellStyle name="Note 2 2 2 7 9" xfId="61660"/>
    <cellStyle name="Note 2 2 2 8" xfId="21136"/>
    <cellStyle name="Note 2 2 2 8 2" xfId="29450"/>
    <cellStyle name="Note 2 2 2 8 2 2" xfId="55352"/>
    <cellStyle name="Note 2 2 2 8 2 3" xfId="55353"/>
    <cellStyle name="Note 2 2 2 8 3" xfId="36522"/>
    <cellStyle name="Note 2 2 2 8 4" xfId="55354"/>
    <cellStyle name="Note 2 2 2 9" xfId="21358"/>
    <cellStyle name="Note 2 2 2 9 2" xfId="29661"/>
    <cellStyle name="Note 2 2 2 9 2 2" xfId="55355"/>
    <cellStyle name="Note 2 2 2 9 2 3" xfId="55356"/>
    <cellStyle name="Note 2 2 2 9 3" xfId="36726"/>
    <cellStyle name="Note 2 2 2 9 4" xfId="55357"/>
    <cellStyle name="Note 2 2 20" xfId="14964"/>
    <cellStyle name="Note 2 2 20 10" xfId="23325"/>
    <cellStyle name="Note 2 2 20 11" xfId="55358"/>
    <cellStyle name="Note 2 2 20 2" xfId="16045"/>
    <cellStyle name="Note 2 2 20 2 2" xfId="24360"/>
    <cellStyle name="Note 2 2 20 2 2 2" xfId="55359"/>
    <cellStyle name="Note 2 2 20 2 2 3" xfId="55360"/>
    <cellStyle name="Note 2 2 20 2 3" xfId="31639"/>
    <cellStyle name="Note 2 2 20 2 4" xfId="55361"/>
    <cellStyle name="Note 2 2 20 3" xfId="17011"/>
    <cellStyle name="Note 2 2 20 3 2" xfId="25332"/>
    <cellStyle name="Note 2 2 20 3 2 2" xfId="55362"/>
    <cellStyle name="Note 2 2 20 3 2 3" xfId="55363"/>
    <cellStyle name="Note 2 2 20 3 3" xfId="32572"/>
    <cellStyle name="Note 2 2 20 3 4" xfId="55364"/>
    <cellStyle name="Note 2 2 20 4" xfId="18038"/>
    <cellStyle name="Note 2 2 20 4 2" xfId="26358"/>
    <cellStyle name="Note 2 2 20 4 2 2" xfId="55365"/>
    <cellStyle name="Note 2 2 20 4 2 3" xfId="55366"/>
    <cellStyle name="Note 2 2 20 4 3" xfId="33549"/>
    <cellStyle name="Note 2 2 20 4 4" xfId="55367"/>
    <cellStyle name="Note 2 2 20 5" xfId="19022"/>
    <cellStyle name="Note 2 2 20 5 2" xfId="27342"/>
    <cellStyle name="Note 2 2 20 5 2 2" xfId="55368"/>
    <cellStyle name="Note 2 2 20 5 2 3" xfId="55369"/>
    <cellStyle name="Note 2 2 20 5 3" xfId="34492"/>
    <cellStyle name="Note 2 2 20 5 4" xfId="55370"/>
    <cellStyle name="Note 2 2 20 6" xfId="19990"/>
    <cellStyle name="Note 2 2 20 6 2" xfId="28312"/>
    <cellStyle name="Note 2 2 20 6 2 2" xfId="55371"/>
    <cellStyle name="Note 2 2 20 6 2 3" xfId="55372"/>
    <cellStyle name="Note 2 2 20 6 3" xfId="35439"/>
    <cellStyle name="Note 2 2 20 6 4" xfId="55373"/>
    <cellStyle name="Note 2 2 20 7" xfId="20948"/>
    <cellStyle name="Note 2 2 20 7 2" xfId="29265"/>
    <cellStyle name="Note 2 2 20 7 2 2" xfId="55374"/>
    <cellStyle name="Note 2 2 20 7 2 3" xfId="55375"/>
    <cellStyle name="Note 2 2 20 7 3" xfId="36347"/>
    <cellStyle name="Note 2 2 20 7 4" xfId="55376"/>
    <cellStyle name="Note 2 2 20 8" xfId="21455"/>
    <cellStyle name="Note 2 2 20 8 2" xfId="29756"/>
    <cellStyle name="Note 2 2 20 8 2 2" xfId="55377"/>
    <cellStyle name="Note 2 2 20 8 2 3" xfId="55378"/>
    <cellStyle name="Note 2 2 20 8 3" xfId="36817"/>
    <cellStyle name="Note 2 2 20 8 4" xfId="55379"/>
    <cellStyle name="Note 2 2 20 9" xfId="22383"/>
    <cellStyle name="Note 2 2 20 9 2" xfId="30679"/>
    <cellStyle name="Note 2 2 20 9 2 2" xfId="55380"/>
    <cellStyle name="Note 2 2 20 9 2 3" xfId="55381"/>
    <cellStyle name="Note 2 2 20 9 3" xfId="37700"/>
    <cellStyle name="Note 2 2 20 9 4" xfId="55382"/>
    <cellStyle name="Note 2 2 21" xfId="15011"/>
    <cellStyle name="Note 2 2 21 10" xfId="23372"/>
    <cellStyle name="Note 2 2 21 11" xfId="55383"/>
    <cellStyle name="Note 2 2 21 2" xfId="16092"/>
    <cellStyle name="Note 2 2 21 2 2" xfId="24407"/>
    <cellStyle name="Note 2 2 21 2 2 2" xfId="55384"/>
    <cellStyle name="Note 2 2 21 2 2 3" xfId="55385"/>
    <cellStyle name="Note 2 2 21 2 3" xfId="31686"/>
    <cellStyle name="Note 2 2 21 2 4" xfId="55386"/>
    <cellStyle name="Note 2 2 21 3" xfId="17058"/>
    <cellStyle name="Note 2 2 21 3 2" xfId="25379"/>
    <cellStyle name="Note 2 2 21 3 2 2" xfId="55387"/>
    <cellStyle name="Note 2 2 21 3 2 3" xfId="55388"/>
    <cellStyle name="Note 2 2 21 3 3" xfId="32619"/>
    <cellStyle name="Note 2 2 21 3 4" xfId="55389"/>
    <cellStyle name="Note 2 2 21 4" xfId="18085"/>
    <cellStyle name="Note 2 2 21 4 2" xfId="26405"/>
    <cellStyle name="Note 2 2 21 4 2 2" xfId="55390"/>
    <cellStyle name="Note 2 2 21 4 2 3" xfId="55391"/>
    <cellStyle name="Note 2 2 21 4 3" xfId="33596"/>
    <cellStyle name="Note 2 2 21 4 4" xfId="55392"/>
    <cellStyle name="Note 2 2 21 5" xfId="19069"/>
    <cellStyle name="Note 2 2 21 5 2" xfId="27389"/>
    <cellStyle name="Note 2 2 21 5 2 2" xfId="55393"/>
    <cellStyle name="Note 2 2 21 5 2 3" xfId="55394"/>
    <cellStyle name="Note 2 2 21 5 3" xfId="34539"/>
    <cellStyle name="Note 2 2 21 5 4" xfId="55395"/>
    <cellStyle name="Note 2 2 21 6" xfId="20037"/>
    <cellStyle name="Note 2 2 21 6 2" xfId="28359"/>
    <cellStyle name="Note 2 2 21 6 2 2" xfId="55396"/>
    <cellStyle name="Note 2 2 21 6 2 3" xfId="55397"/>
    <cellStyle name="Note 2 2 21 6 3" xfId="35486"/>
    <cellStyle name="Note 2 2 21 6 4" xfId="55398"/>
    <cellStyle name="Note 2 2 21 7" xfId="20995"/>
    <cellStyle name="Note 2 2 21 7 2" xfId="29312"/>
    <cellStyle name="Note 2 2 21 7 2 2" xfId="55399"/>
    <cellStyle name="Note 2 2 21 7 2 3" xfId="55400"/>
    <cellStyle name="Note 2 2 21 7 3" xfId="36394"/>
    <cellStyle name="Note 2 2 21 7 4" xfId="55401"/>
    <cellStyle name="Note 2 2 21 8" xfId="21502"/>
    <cellStyle name="Note 2 2 21 8 2" xfId="29803"/>
    <cellStyle name="Note 2 2 21 8 2 2" xfId="55402"/>
    <cellStyle name="Note 2 2 21 8 2 3" xfId="55403"/>
    <cellStyle name="Note 2 2 21 8 3" xfId="36864"/>
    <cellStyle name="Note 2 2 21 8 4" xfId="55404"/>
    <cellStyle name="Note 2 2 21 9" xfId="22430"/>
    <cellStyle name="Note 2 2 21 9 2" xfId="30726"/>
    <cellStyle name="Note 2 2 21 9 2 2" xfId="55405"/>
    <cellStyle name="Note 2 2 21 9 2 3" xfId="55406"/>
    <cellStyle name="Note 2 2 21 9 3" xfId="37747"/>
    <cellStyle name="Note 2 2 21 9 4" xfId="55407"/>
    <cellStyle name="Note 2 2 22" xfId="15044"/>
    <cellStyle name="Note 2 2 22 10" xfId="23404"/>
    <cellStyle name="Note 2 2 22 11" xfId="55408"/>
    <cellStyle name="Note 2 2 22 2" xfId="16124"/>
    <cellStyle name="Note 2 2 22 2 2" xfId="24439"/>
    <cellStyle name="Note 2 2 22 2 2 2" xfId="55409"/>
    <cellStyle name="Note 2 2 22 2 2 3" xfId="55410"/>
    <cellStyle name="Note 2 2 22 2 3" xfId="31716"/>
    <cellStyle name="Note 2 2 22 2 4" xfId="55411"/>
    <cellStyle name="Note 2 2 22 3" xfId="17091"/>
    <cellStyle name="Note 2 2 22 3 2" xfId="25412"/>
    <cellStyle name="Note 2 2 22 3 2 2" xfId="55412"/>
    <cellStyle name="Note 2 2 22 3 2 3" xfId="55413"/>
    <cellStyle name="Note 2 2 22 3 3" xfId="32650"/>
    <cellStyle name="Note 2 2 22 3 4" xfId="55414"/>
    <cellStyle name="Note 2 2 22 4" xfId="18118"/>
    <cellStyle name="Note 2 2 22 4 2" xfId="26438"/>
    <cellStyle name="Note 2 2 22 4 2 2" xfId="55415"/>
    <cellStyle name="Note 2 2 22 4 2 3" xfId="55416"/>
    <cellStyle name="Note 2 2 22 4 3" xfId="33627"/>
    <cellStyle name="Note 2 2 22 4 4" xfId="55417"/>
    <cellStyle name="Note 2 2 22 5" xfId="19102"/>
    <cellStyle name="Note 2 2 22 5 2" xfId="27422"/>
    <cellStyle name="Note 2 2 22 5 2 2" xfId="55418"/>
    <cellStyle name="Note 2 2 22 5 2 3" xfId="55419"/>
    <cellStyle name="Note 2 2 22 5 3" xfId="34570"/>
    <cellStyle name="Note 2 2 22 5 4" xfId="55420"/>
    <cellStyle name="Note 2 2 22 6" xfId="20070"/>
    <cellStyle name="Note 2 2 22 6 2" xfId="28392"/>
    <cellStyle name="Note 2 2 22 6 2 2" xfId="55421"/>
    <cellStyle name="Note 2 2 22 6 2 3" xfId="55422"/>
    <cellStyle name="Note 2 2 22 6 3" xfId="35517"/>
    <cellStyle name="Note 2 2 22 6 4" xfId="55423"/>
    <cellStyle name="Note 2 2 22 7" xfId="21027"/>
    <cellStyle name="Note 2 2 22 7 2" xfId="29344"/>
    <cellStyle name="Note 2 2 22 7 2 2" xfId="55424"/>
    <cellStyle name="Note 2 2 22 7 2 3" xfId="55425"/>
    <cellStyle name="Note 2 2 22 7 3" xfId="36424"/>
    <cellStyle name="Note 2 2 22 7 4" xfId="55426"/>
    <cellStyle name="Note 2 2 22 8" xfId="21534"/>
    <cellStyle name="Note 2 2 22 8 2" xfId="29835"/>
    <cellStyle name="Note 2 2 22 8 2 2" xfId="55427"/>
    <cellStyle name="Note 2 2 22 8 2 3" xfId="55428"/>
    <cellStyle name="Note 2 2 22 8 3" xfId="36894"/>
    <cellStyle name="Note 2 2 22 8 4" xfId="55429"/>
    <cellStyle name="Note 2 2 22 9" xfId="22462"/>
    <cellStyle name="Note 2 2 22 9 2" xfId="30758"/>
    <cellStyle name="Note 2 2 22 9 2 2" xfId="55430"/>
    <cellStyle name="Note 2 2 22 9 2 3" xfId="55431"/>
    <cellStyle name="Note 2 2 22 9 3" xfId="37777"/>
    <cellStyle name="Note 2 2 22 9 4" xfId="55432"/>
    <cellStyle name="Note 2 2 23" xfId="15078"/>
    <cellStyle name="Note 2 2 23 10" xfId="23437"/>
    <cellStyle name="Note 2 2 23 11" xfId="55433"/>
    <cellStyle name="Note 2 2 23 2" xfId="16158"/>
    <cellStyle name="Note 2 2 23 2 2" xfId="24472"/>
    <cellStyle name="Note 2 2 23 2 2 2" xfId="55434"/>
    <cellStyle name="Note 2 2 23 2 2 3" xfId="55435"/>
    <cellStyle name="Note 2 2 23 2 3" xfId="31749"/>
    <cellStyle name="Note 2 2 23 2 4" xfId="55436"/>
    <cellStyle name="Note 2 2 23 3" xfId="17125"/>
    <cellStyle name="Note 2 2 23 3 2" xfId="25446"/>
    <cellStyle name="Note 2 2 23 3 2 2" xfId="55437"/>
    <cellStyle name="Note 2 2 23 3 2 3" xfId="55438"/>
    <cellStyle name="Note 2 2 23 3 3" xfId="32683"/>
    <cellStyle name="Note 2 2 23 3 4" xfId="55439"/>
    <cellStyle name="Note 2 2 23 4" xfId="18152"/>
    <cellStyle name="Note 2 2 23 4 2" xfId="26472"/>
    <cellStyle name="Note 2 2 23 4 2 2" xfId="55440"/>
    <cellStyle name="Note 2 2 23 4 2 3" xfId="55441"/>
    <cellStyle name="Note 2 2 23 4 3" xfId="33660"/>
    <cellStyle name="Note 2 2 23 4 4" xfId="55442"/>
    <cellStyle name="Note 2 2 23 5" xfId="19136"/>
    <cellStyle name="Note 2 2 23 5 2" xfId="27456"/>
    <cellStyle name="Note 2 2 23 5 2 2" xfId="55443"/>
    <cellStyle name="Note 2 2 23 5 2 3" xfId="55444"/>
    <cellStyle name="Note 2 2 23 5 3" xfId="34604"/>
    <cellStyle name="Note 2 2 23 5 4" xfId="55445"/>
    <cellStyle name="Note 2 2 23 6" xfId="20104"/>
    <cellStyle name="Note 2 2 23 6 2" xfId="28426"/>
    <cellStyle name="Note 2 2 23 6 2 2" xfId="55446"/>
    <cellStyle name="Note 2 2 23 6 2 3" xfId="55447"/>
    <cellStyle name="Note 2 2 23 6 3" xfId="35551"/>
    <cellStyle name="Note 2 2 23 6 4" xfId="55448"/>
    <cellStyle name="Note 2 2 23 7" xfId="21060"/>
    <cellStyle name="Note 2 2 23 7 2" xfId="29377"/>
    <cellStyle name="Note 2 2 23 7 2 2" xfId="55449"/>
    <cellStyle name="Note 2 2 23 7 2 3" xfId="55450"/>
    <cellStyle name="Note 2 2 23 7 3" xfId="36456"/>
    <cellStyle name="Note 2 2 23 7 4" xfId="55451"/>
    <cellStyle name="Note 2 2 23 8" xfId="21567"/>
    <cellStyle name="Note 2 2 23 8 2" xfId="29868"/>
    <cellStyle name="Note 2 2 23 8 2 2" xfId="55452"/>
    <cellStyle name="Note 2 2 23 8 2 3" xfId="55453"/>
    <cellStyle name="Note 2 2 23 8 3" xfId="36927"/>
    <cellStyle name="Note 2 2 23 8 4" xfId="55454"/>
    <cellStyle name="Note 2 2 23 9" xfId="22495"/>
    <cellStyle name="Note 2 2 23 9 2" xfId="30791"/>
    <cellStyle name="Note 2 2 23 9 2 2" xfId="55455"/>
    <cellStyle name="Note 2 2 23 9 2 3" xfId="55456"/>
    <cellStyle name="Note 2 2 23 9 3" xfId="37810"/>
    <cellStyle name="Note 2 2 23 9 4" xfId="55457"/>
    <cellStyle name="Note 2 2 24" xfId="15138"/>
    <cellStyle name="Note 2 2 24 10" xfId="55458"/>
    <cellStyle name="Note 2 2 24 2" xfId="16218"/>
    <cellStyle name="Note 2 2 24 2 2" xfId="24531"/>
    <cellStyle name="Note 2 2 24 2 2 2" xfId="55459"/>
    <cellStyle name="Note 2 2 24 2 2 3" xfId="55460"/>
    <cellStyle name="Note 2 2 24 2 3" xfId="31806"/>
    <cellStyle name="Note 2 2 24 2 4" xfId="55461"/>
    <cellStyle name="Note 2 2 24 3" xfId="17184"/>
    <cellStyle name="Note 2 2 24 3 2" xfId="25505"/>
    <cellStyle name="Note 2 2 24 3 2 2" xfId="55462"/>
    <cellStyle name="Note 2 2 24 3 2 3" xfId="55463"/>
    <cellStyle name="Note 2 2 24 3 3" xfId="32739"/>
    <cellStyle name="Note 2 2 24 3 4" xfId="55464"/>
    <cellStyle name="Note 2 2 24 4" xfId="18212"/>
    <cellStyle name="Note 2 2 24 4 2" xfId="26532"/>
    <cellStyle name="Note 2 2 24 4 2 2" xfId="55465"/>
    <cellStyle name="Note 2 2 24 4 2 3" xfId="55466"/>
    <cellStyle name="Note 2 2 24 4 3" xfId="33717"/>
    <cellStyle name="Note 2 2 24 4 4" xfId="55467"/>
    <cellStyle name="Note 2 2 24 5" xfId="19196"/>
    <cellStyle name="Note 2 2 24 5 2" xfId="27516"/>
    <cellStyle name="Note 2 2 24 5 2 2" xfId="55468"/>
    <cellStyle name="Note 2 2 24 5 2 3" xfId="55469"/>
    <cellStyle name="Note 2 2 24 5 3" xfId="34664"/>
    <cellStyle name="Note 2 2 24 5 4" xfId="55470"/>
    <cellStyle name="Note 2 2 24 6" xfId="20164"/>
    <cellStyle name="Note 2 2 24 6 2" xfId="28486"/>
    <cellStyle name="Note 2 2 24 6 2 2" xfId="55471"/>
    <cellStyle name="Note 2 2 24 6 2 3" xfId="55472"/>
    <cellStyle name="Note 2 2 24 6 3" xfId="35609"/>
    <cellStyle name="Note 2 2 24 6 4" xfId="55473"/>
    <cellStyle name="Note 2 2 24 7" xfId="21625"/>
    <cellStyle name="Note 2 2 24 7 2" xfId="29926"/>
    <cellStyle name="Note 2 2 24 7 2 2" xfId="55474"/>
    <cellStyle name="Note 2 2 24 7 2 3" xfId="55475"/>
    <cellStyle name="Note 2 2 24 7 3" xfId="36983"/>
    <cellStyle name="Note 2 2 24 7 4" xfId="55476"/>
    <cellStyle name="Note 2 2 24 8" xfId="22553"/>
    <cellStyle name="Note 2 2 24 8 2" xfId="30849"/>
    <cellStyle name="Note 2 2 24 8 2 2" xfId="55477"/>
    <cellStyle name="Note 2 2 24 8 2 3" xfId="55478"/>
    <cellStyle name="Note 2 2 24 8 3" xfId="37866"/>
    <cellStyle name="Note 2 2 24 8 4" xfId="55479"/>
    <cellStyle name="Note 2 2 24 9" xfId="23495"/>
    <cellStyle name="Note 2 2 25" xfId="15158"/>
    <cellStyle name="Note 2 2 25 10" xfId="55480"/>
    <cellStyle name="Note 2 2 25 2" xfId="16238"/>
    <cellStyle name="Note 2 2 25 2 2" xfId="24551"/>
    <cellStyle name="Note 2 2 25 2 2 2" xfId="55481"/>
    <cellStyle name="Note 2 2 25 2 2 3" xfId="55482"/>
    <cellStyle name="Note 2 2 25 2 3" xfId="31824"/>
    <cellStyle name="Note 2 2 25 2 4" xfId="55483"/>
    <cellStyle name="Note 2 2 25 3" xfId="17204"/>
    <cellStyle name="Note 2 2 25 3 2" xfId="25525"/>
    <cellStyle name="Note 2 2 25 3 2 2" xfId="55484"/>
    <cellStyle name="Note 2 2 25 3 2 3" xfId="55485"/>
    <cellStyle name="Note 2 2 25 3 3" xfId="32757"/>
    <cellStyle name="Note 2 2 25 3 4" xfId="55486"/>
    <cellStyle name="Note 2 2 25 4" xfId="18232"/>
    <cellStyle name="Note 2 2 25 4 2" xfId="26552"/>
    <cellStyle name="Note 2 2 25 4 2 2" xfId="55487"/>
    <cellStyle name="Note 2 2 25 4 2 3" xfId="55488"/>
    <cellStyle name="Note 2 2 25 4 3" xfId="33735"/>
    <cellStyle name="Note 2 2 25 4 4" xfId="55489"/>
    <cellStyle name="Note 2 2 25 5" xfId="19216"/>
    <cellStyle name="Note 2 2 25 5 2" xfId="27536"/>
    <cellStyle name="Note 2 2 25 5 2 2" xfId="55490"/>
    <cellStyle name="Note 2 2 25 5 2 3" xfId="55491"/>
    <cellStyle name="Note 2 2 25 5 3" xfId="34684"/>
    <cellStyle name="Note 2 2 25 5 4" xfId="55492"/>
    <cellStyle name="Note 2 2 25 6" xfId="20184"/>
    <cellStyle name="Note 2 2 25 6 2" xfId="28506"/>
    <cellStyle name="Note 2 2 25 6 2 2" xfId="55493"/>
    <cellStyle name="Note 2 2 25 6 2 3" xfId="55494"/>
    <cellStyle name="Note 2 2 25 6 3" xfId="35627"/>
    <cellStyle name="Note 2 2 25 6 4" xfId="55495"/>
    <cellStyle name="Note 2 2 25 7" xfId="21645"/>
    <cellStyle name="Note 2 2 25 7 2" xfId="29946"/>
    <cellStyle name="Note 2 2 25 7 2 2" xfId="55496"/>
    <cellStyle name="Note 2 2 25 7 2 3" xfId="55497"/>
    <cellStyle name="Note 2 2 25 7 3" xfId="37001"/>
    <cellStyle name="Note 2 2 25 7 4" xfId="55498"/>
    <cellStyle name="Note 2 2 25 8" xfId="22573"/>
    <cellStyle name="Note 2 2 25 8 2" xfId="30869"/>
    <cellStyle name="Note 2 2 25 8 2 2" xfId="55499"/>
    <cellStyle name="Note 2 2 25 8 2 3" xfId="55500"/>
    <cellStyle name="Note 2 2 25 8 3" xfId="37884"/>
    <cellStyle name="Note 2 2 25 8 4" xfId="55501"/>
    <cellStyle name="Note 2 2 25 9" xfId="23515"/>
    <cellStyle name="Note 2 2 26" xfId="15180"/>
    <cellStyle name="Note 2 2 26 10" xfId="55502"/>
    <cellStyle name="Note 2 2 26 2" xfId="16260"/>
    <cellStyle name="Note 2 2 26 2 2" xfId="24573"/>
    <cellStyle name="Note 2 2 26 2 2 2" xfId="55503"/>
    <cellStyle name="Note 2 2 26 2 2 3" xfId="55504"/>
    <cellStyle name="Note 2 2 26 2 3" xfId="31845"/>
    <cellStyle name="Note 2 2 26 2 4" xfId="55505"/>
    <cellStyle name="Note 2 2 26 3" xfId="17226"/>
    <cellStyle name="Note 2 2 26 3 2" xfId="25547"/>
    <cellStyle name="Note 2 2 26 3 2 2" xfId="55506"/>
    <cellStyle name="Note 2 2 26 3 2 3" xfId="55507"/>
    <cellStyle name="Note 2 2 26 3 3" xfId="32778"/>
    <cellStyle name="Note 2 2 26 3 4" xfId="55508"/>
    <cellStyle name="Note 2 2 26 4" xfId="18254"/>
    <cellStyle name="Note 2 2 26 4 2" xfId="26574"/>
    <cellStyle name="Note 2 2 26 4 2 2" xfId="55509"/>
    <cellStyle name="Note 2 2 26 4 2 3" xfId="55510"/>
    <cellStyle name="Note 2 2 26 4 3" xfId="33756"/>
    <cellStyle name="Note 2 2 26 4 4" xfId="55511"/>
    <cellStyle name="Note 2 2 26 5" xfId="19238"/>
    <cellStyle name="Note 2 2 26 5 2" xfId="27558"/>
    <cellStyle name="Note 2 2 26 5 2 2" xfId="55512"/>
    <cellStyle name="Note 2 2 26 5 2 3" xfId="55513"/>
    <cellStyle name="Note 2 2 26 5 3" xfId="34706"/>
    <cellStyle name="Note 2 2 26 5 4" xfId="55514"/>
    <cellStyle name="Note 2 2 26 6" xfId="20206"/>
    <cellStyle name="Note 2 2 26 6 2" xfId="28528"/>
    <cellStyle name="Note 2 2 26 6 2 2" xfId="55515"/>
    <cellStyle name="Note 2 2 26 6 2 3" xfId="55516"/>
    <cellStyle name="Note 2 2 26 6 3" xfId="35648"/>
    <cellStyle name="Note 2 2 26 6 4" xfId="55517"/>
    <cellStyle name="Note 2 2 26 7" xfId="21667"/>
    <cellStyle name="Note 2 2 26 7 2" xfId="29968"/>
    <cellStyle name="Note 2 2 26 7 2 2" xfId="55518"/>
    <cellStyle name="Note 2 2 26 7 2 3" xfId="55519"/>
    <cellStyle name="Note 2 2 26 7 3" xfId="37022"/>
    <cellStyle name="Note 2 2 26 7 4" xfId="55520"/>
    <cellStyle name="Note 2 2 26 8" xfId="22595"/>
    <cellStyle name="Note 2 2 26 8 2" xfId="30891"/>
    <cellStyle name="Note 2 2 26 8 2 2" xfId="55521"/>
    <cellStyle name="Note 2 2 26 8 2 3" xfId="55522"/>
    <cellStyle name="Note 2 2 26 8 3" xfId="37905"/>
    <cellStyle name="Note 2 2 26 8 4" xfId="55523"/>
    <cellStyle name="Note 2 2 26 9" xfId="23537"/>
    <cellStyle name="Note 2 2 27" xfId="15128"/>
    <cellStyle name="Note 2 2 27 10" xfId="55524"/>
    <cellStyle name="Note 2 2 27 2" xfId="16208"/>
    <cellStyle name="Note 2 2 27 2 2" xfId="24521"/>
    <cellStyle name="Note 2 2 27 2 2 2" xfId="55525"/>
    <cellStyle name="Note 2 2 27 2 2 3" xfId="55526"/>
    <cellStyle name="Note 2 2 27 2 3" xfId="31798"/>
    <cellStyle name="Note 2 2 27 2 4" xfId="55527"/>
    <cellStyle name="Note 2 2 27 3" xfId="17174"/>
    <cellStyle name="Note 2 2 27 3 2" xfId="25495"/>
    <cellStyle name="Note 2 2 27 3 2 2" xfId="55528"/>
    <cellStyle name="Note 2 2 27 3 2 3" xfId="55529"/>
    <cellStyle name="Note 2 2 27 3 3" xfId="32731"/>
    <cellStyle name="Note 2 2 27 3 4" xfId="55530"/>
    <cellStyle name="Note 2 2 27 4" xfId="18202"/>
    <cellStyle name="Note 2 2 27 4 2" xfId="26522"/>
    <cellStyle name="Note 2 2 27 4 2 2" xfId="55531"/>
    <cellStyle name="Note 2 2 27 4 2 3" xfId="55532"/>
    <cellStyle name="Note 2 2 27 4 3" xfId="33709"/>
    <cellStyle name="Note 2 2 27 4 4" xfId="55533"/>
    <cellStyle name="Note 2 2 27 5" xfId="19186"/>
    <cellStyle name="Note 2 2 27 5 2" xfId="27506"/>
    <cellStyle name="Note 2 2 27 5 2 2" xfId="55534"/>
    <cellStyle name="Note 2 2 27 5 2 3" xfId="55535"/>
    <cellStyle name="Note 2 2 27 5 3" xfId="34654"/>
    <cellStyle name="Note 2 2 27 5 4" xfId="55536"/>
    <cellStyle name="Note 2 2 27 6" xfId="20154"/>
    <cellStyle name="Note 2 2 27 6 2" xfId="28476"/>
    <cellStyle name="Note 2 2 27 6 2 2" xfId="55537"/>
    <cellStyle name="Note 2 2 27 6 2 3" xfId="55538"/>
    <cellStyle name="Note 2 2 27 6 3" xfId="35601"/>
    <cellStyle name="Note 2 2 27 6 4" xfId="55539"/>
    <cellStyle name="Note 2 2 27 7" xfId="21615"/>
    <cellStyle name="Note 2 2 27 7 2" xfId="29916"/>
    <cellStyle name="Note 2 2 27 7 2 2" xfId="55540"/>
    <cellStyle name="Note 2 2 27 7 2 3" xfId="55541"/>
    <cellStyle name="Note 2 2 27 7 3" xfId="36975"/>
    <cellStyle name="Note 2 2 27 7 4" xfId="55542"/>
    <cellStyle name="Note 2 2 27 8" xfId="22543"/>
    <cellStyle name="Note 2 2 27 8 2" xfId="30839"/>
    <cellStyle name="Note 2 2 27 8 2 2" xfId="55543"/>
    <cellStyle name="Note 2 2 27 8 2 3" xfId="55544"/>
    <cellStyle name="Note 2 2 27 8 3" xfId="37858"/>
    <cellStyle name="Note 2 2 27 8 4" xfId="55545"/>
    <cellStyle name="Note 2 2 27 9" xfId="23485"/>
    <cellStyle name="Note 2 2 28" xfId="15196"/>
    <cellStyle name="Note 2 2 28 10" xfId="55546"/>
    <cellStyle name="Note 2 2 28 2" xfId="16276"/>
    <cellStyle name="Note 2 2 28 2 2" xfId="24589"/>
    <cellStyle name="Note 2 2 28 2 2 2" xfId="55547"/>
    <cellStyle name="Note 2 2 28 2 2 3" xfId="55548"/>
    <cellStyle name="Note 2 2 28 2 3" xfId="31859"/>
    <cellStyle name="Note 2 2 28 2 4" xfId="55549"/>
    <cellStyle name="Note 2 2 28 3" xfId="17242"/>
    <cellStyle name="Note 2 2 28 3 2" xfId="25563"/>
    <cellStyle name="Note 2 2 28 3 2 2" xfId="55550"/>
    <cellStyle name="Note 2 2 28 3 2 3" xfId="55551"/>
    <cellStyle name="Note 2 2 28 3 3" xfId="32792"/>
    <cellStyle name="Note 2 2 28 3 4" xfId="55552"/>
    <cellStyle name="Note 2 2 28 4" xfId="18270"/>
    <cellStyle name="Note 2 2 28 4 2" xfId="26590"/>
    <cellStyle name="Note 2 2 28 4 2 2" xfId="55553"/>
    <cellStyle name="Note 2 2 28 4 2 3" xfId="55554"/>
    <cellStyle name="Note 2 2 28 4 3" xfId="33770"/>
    <cellStyle name="Note 2 2 28 4 4" xfId="55555"/>
    <cellStyle name="Note 2 2 28 5" xfId="19254"/>
    <cellStyle name="Note 2 2 28 5 2" xfId="27574"/>
    <cellStyle name="Note 2 2 28 5 2 2" xfId="55556"/>
    <cellStyle name="Note 2 2 28 5 2 3" xfId="55557"/>
    <cellStyle name="Note 2 2 28 5 3" xfId="34722"/>
    <cellStyle name="Note 2 2 28 5 4" xfId="55558"/>
    <cellStyle name="Note 2 2 28 6" xfId="20222"/>
    <cellStyle name="Note 2 2 28 6 2" xfId="28544"/>
    <cellStyle name="Note 2 2 28 6 2 2" xfId="55559"/>
    <cellStyle name="Note 2 2 28 6 2 3" xfId="55560"/>
    <cellStyle name="Note 2 2 28 6 3" xfId="35662"/>
    <cellStyle name="Note 2 2 28 6 4" xfId="55561"/>
    <cellStyle name="Note 2 2 28 7" xfId="21683"/>
    <cellStyle name="Note 2 2 28 7 2" xfId="29984"/>
    <cellStyle name="Note 2 2 28 7 2 2" xfId="55562"/>
    <cellStyle name="Note 2 2 28 7 2 3" xfId="55563"/>
    <cellStyle name="Note 2 2 28 7 3" xfId="37036"/>
    <cellStyle name="Note 2 2 28 7 4" xfId="55564"/>
    <cellStyle name="Note 2 2 28 8" xfId="22611"/>
    <cellStyle name="Note 2 2 28 8 2" xfId="30907"/>
    <cellStyle name="Note 2 2 28 8 2 2" xfId="55565"/>
    <cellStyle name="Note 2 2 28 8 2 3" xfId="55566"/>
    <cellStyle name="Note 2 2 28 8 3" xfId="37919"/>
    <cellStyle name="Note 2 2 28 8 4" xfId="55567"/>
    <cellStyle name="Note 2 2 28 9" xfId="23553"/>
    <cellStyle name="Note 2 2 29" xfId="15261"/>
    <cellStyle name="Note 2 2 29 10" xfId="55568"/>
    <cellStyle name="Note 2 2 29 2" xfId="16341"/>
    <cellStyle name="Note 2 2 29 2 2" xfId="24654"/>
    <cellStyle name="Note 2 2 29 2 2 2" xfId="55569"/>
    <cellStyle name="Note 2 2 29 2 2 3" xfId="55570"/>
    <cellStyle name="Note 2 2 29 2 3" xfId="31921"/>
    <cellStyle name="Note 2 2 29 2 4" xfId="55571"/>
    <cellStyle name="Note 2 2 29 3" xfId="17307"/>
    <cellStyle name="Note 2 2 29 3 2" xfId="25628"/>
    <cellStyle name="Note 2 2 29 3 2 2" xfId="55572"/>
    <cellStyle name="Note 2 2 29 3 2 3" xfId="55573"/>
    <cellStyle name="Note 2 2 29 3 3" xfId="32854"/>
    <cellStyle name="Note 2 2 29 3 4" xfId="55574"/>
    <cellStyle name="Note 2 2 29 4" xfId="18335"/>
    <cellStyle name="Note 2 2 29 4 2" xfId="26655"/>
    <cellStyle name="Note 2 2 29 4 2 2" xfId="55575"/>
    <cellStyle name="Note 2 2 29 4 2 3" xfId="55576"/>
    <cellStyle name="Note 2 2 29 4 3" xfId="33832"/>
    <cellStyle name="Note 2 2 29 4 4" xfId="55577"/>
    <cellStyle name="Note 2 2 29 5" xfId="19319"/>
    <cellStyle name="Note 2 2 29 5 2" xfId="27639"/>
    <cellStyle name="Note 2 2 29 5 2 2" xfId="55578"/>
    <cellStyle name="Note 2 2 29 5 2 3" xfId="55579"/>
    <cellStyle name="Note 2 2 29 5 3" xfId="34787"/>
    <cellStyle name="Note 2 2 29 5 4" xfId="55580"/>
    <cellStyle name="Note 2 2 29 6" xfId="20287"/>
    <cellStyle name="Note 2 2 29 6 2" xfId="28609"/>
    <cellStyle name="Note 2 2 29 6 2 2" xfId="55581"/>
    <cellStyle name="Note 2 2 29 6 2 3" xfId="55582"/>
    <cellStyle name="Note 2 2 29 6 3" xfId="35724"/>
    <cellStyle name="Note 2 2 29 6 4" xfId="55583"/>
    <cellStyle name="Note 2 2 29 7" xfId="21748"/>
    <cellStyle name="Note 2 2 29 7 2" xfId="30049"/>
    <cellStyle name="Note 2 2 29 7 2 2" xfId="55584"/>
    <cellStyle name="Note 2 2 29 7 2 3" xfId="55585"/>
    <cellStyle name="Note 2 2 29 7 3" xfId="37098"/>
    <cellStyle name="Note 2 2 29 7 4" xfId="55586"/>
    <cellStyle name="Note 2 2 29 8" xfId="22676"/>
    <cellStyle name="Note 2 2 29 8 2" xfId="30972"/>
    <cellStyle name="Note 2 2 29 8 2 2" xfId="55587"/>
    <cellStyle name="Note 2 2 29 8 2 3" xfId="55588"/>
    <cellStyle name="Note 2 2 29 8 3" xfId="37981"/>
    <cellStyle name="Note 2 2 29 8 4" xfId="55589"/>
    <cellStyle name="Note 2 2 29 9" xfId="23618"/>
    <cellStyle name="Note 2 2 3" xfId="115"/>
    <cellStyle name="Note 2 2 3 10" xfId="14437"/>
    <cellStyle name="Note 2 2 3 10 2" xfId="55590"/>
    <cellStyle name="Note 2 2 3 10 3" xfId="55591"/>
    <cellStyle name="Note 2 2 3 11" xfId="55592"/>
    <cellStyle name="Note 2 2 3 12" xfId="55593"/>
    <cellStyle name="Note 2 2 3 13" xfId="55594"/>
    <cellStyle name="Note 2 2 3 14" xfId="55595"/>
    <cellStyle name="Note 2 2 3 15" xfId="60807"/>
    <cellStyle name="Note 2 2 3 2" xfId="247"/>
    <cellStyle name="Note 2 2 3 2 2" xfId="658"/>
    <cellStyle name="Note 2 2 3 2 2 2" xfId="1609"/>
    <cellStyle name="Note 2 2 3 2 2 2 2" xfId="798"/>
    <cellStyle name="Note 2 2 3 2 2 2 2 2" xfId="2548"/>
    <cellStyle name="Note 2 2 3 2 2 2 2 2 2" xfId="5968"/>
    <cellStyle name="Note 2 2 3 2 2 2 2 2 2 2" xfId="12808"/>
    <cellStyle name="Note 2 2 3 2 2 2 2 2 3" xfId="9388"/>
    <cellStyle name="Note 2 2 3 2 2 2 2 3" xfId="3688"/>
    <cellStyle name="Note 2 2 3 2 2 2 2 3 2" xfId="7108"/>
    <cellStyle name="Note 2 2 3 2 2 2 2 3 2 2" xfId="13948"/>
    <cellStyle name="Note 2 2 3 2 2 2 2 3 3" xfId="10528"/>
    <cellStyle name="Note 2 2 3 2 2 2 2 4" xfId="4828"/>
    <cellStyle name="Note 2 2 3 2 2 2 2 4 2" xfId="11668"/>
    <cellStyle name="Note 2 2 3 2 2 2 2 5" xfId="8248"/>
    <cellStyle name="Note 2 2 3 2 2 2 3" xfId="2443"/>
    <cellStyle name="Note 2 2 3 2 2 2 3 2" xfId="5863"/>
    <cellStyle name="Note 2 2 3 2 2 2 3 2 2" xfId="12703"/>
    <cellStyle name="Note 2 2 3 2 2 2 3 3" xfId="9283"/>
    <cellStyle name="Note 2 2 3 2 2 2 4" xfId="3583"/>
    <cellStyle name="Note 2 2 3 2 2 2 4 2" xfId="7003"/>
    <cellStyle name="Note 2 2 3 2 2 2 4 2 2" xfId="13843"/>
    <cellStyle name="Note 2 2 3 2 2 2 4 3" xfId="10423"/>
    <cellStyle name="Note 2 2 3 2 2 2 5" xfId="4723"/>
    <cellStyle name="Note 2 2 3 2 2 2 5 2" xfId="11563"/>
    <cellStyle name="Note 2 2 3 2 2 2 6" xfId="8143"/>
    <cellStyle name="Note 2 2 3 2 2 2 7" xfId="61645"/>
    <cellStyle name="Note 2 2 3 2 2 2 8" xfId="62129"/>
    <cellStyle name="Note 2 2 3 2 2 3" xfId="38502"/>
    <cellStyle name="Note 2 2 3 2 2 4" xfId="55596"/>
    <cellStyle name="Note 2 2 3 2 2 5" xfId="55597"/>
    <cellStyle name="Note 2 2 3 2 2 6" xfId="55598"/>
    <cellStyle name="Note 2 2 3 2 2 7" xfId="55599"/>
    <cellStyle name="Note 2 2 3 2 2 8" xfId="61274"/>
    <cellStyle name="Note 2 2 3 2 3" xfId="1254"/>
    <cellStyle name="Note 2 2 3 2 3 2" xfId="1001"/>
    <cellStyle name="Note 2 2 3 2 3 2 2" xfId="2621"/>
    <cellStyle name="Note 2 2 3 2 3 2 2 2" xfId="6041"/>
    <cellStyle name="Note 2 2 3 2 3 2 2 2 2" xfId="12881"/>
    <cellStyle name="Note 2 2 3 2 3 2 2 3" xfId="9461"/>
    <cellStyle name="Note 2 2 3 2 3 2 3" xfId="3761"/>
    <cellStyle name="Note 2 2 3 2 3 2 3 2" xfId="7181"/>
    <cellStyle name="Note 2 2 3 2 3 2 3 2 2" xfId="14021"/>
    <cellStyle name="Note 2 2 3 2 3 2 3 3" xfId="10601"/>
    <cellStyle name="Note 2 2 3 2 3 2 4" xfId="4901"/>
    <cellStyle name="Note 2 2 3 2 3 2 4 2" xfId="11741"/>
    <cellStyle name="Note 2 2 3 2 3 2 5" xfId="8321"/>
    <cellStyle name="Note 2 2 3 2 3 3" xfId="2074"/>
    <cellStyle name="Note 2 2 3 2 3 3 2" xfId="5494"/>
    <cellStyle name="Note 2 2 3 2 3 3 2 2" xfId="12334"/>
    <cellStyle name="Note 2 2 3 2 3 3 3" xfId="8914"/>
    <cellStyle name="Note 2 2 3 2 3 4" xfId="3214"/>
    <cellStyle name="Note 2 2 3 2 3 4 2" xfId="6634"/>
    <cellStyle name="Note 2 2 3 2 3 4 2 2" xfId="13474"/>
    <cellStyle name="Note 2 2 3 2 3 4 3" xfId="10054"/>
    <cellStyle name="Note 2 2 3 2 3 5" xfId="4354"/>
    <cellStyle name="Note 2 2 3 2 3 5 2" xfId="11194"/>
    <cellStyle name="Note 2 2 3 2 3 6" xfId="7774"/>
    <cellStyle name="Note 2 2 3 2 3 7" xfId="61646"/>
    <cellStyle name="Note 2 2 3 2 3 8" xfId="62130"/>
    <cellStyle name="Note 2 2 3 2 4" xfId="23905"/>
    <cellStyle name="Note 2 2 3 2 5" xfId="38268"/>
    <cellStyle name="Note 2 2 3 2 6" xfId="55600"/>
    <cellStyle name="Note 2 2 3 2 7" xfId="55601"/>
    <cellStyle name="Note 2 2 3 2 8" xfId="60930"/>
    <cellStyle name="Note 2 2 3 3" xfId="570"/>
    <cellStyle name="Note 2 2 3 3 2" xfId="1557"/>
    <cellStyle name="Note 2 2 3 3 2 2" xfId="832"/>
    <cellStyle name="Note 2 2 3 3 2 2 2" xfId="2561"/>
    <cellStyle name="Note 2 2 3 3 2 2 2 2" xfId="5981"/>
    <cellStyle name="Note 2 2 3 3 2 2 2 2 2" xfId="12821"/>
    <cellStyle name="Note 2 2 3 3 2 2 2 3" xfId="9401"/>
    <cellStyle name="Note 2 2 3 3 2 2 3" xfId="3701"/>
    <cellStyle name="Note 2 2 3 3 2 2 3 2" xfId="7121"/>
    <cellStyle name="Note 2 2 3 3 2 2 3 2 2" xfId="13961"/>
    <cellStyle name="Note 2 2 3 3 2 2 3 3" xfId="10541"/>
    <cellStyle name="Note 2 2 3 3 2 2 4" xfId="4841"/>
    <cellStyle name="Note 2 2 3 3 2 2 4 2" xfId="11681"/>
    <cellStyle name="Note 2 2 3 3 2 2 5" xfId="8261"/>
    <cellStyle name="Note 2 2 3 3 2 3" xfId="2382"/>
    <cellStyle name="Note 2 2 3 3 2 3 2" xfId="5802"/>
    <cellStyle name="Note 2 2 3 3 2 3 2 2" xfId="12642"/>
    <cellStyle name="Note 2 2 3 3 2 3 3" xfId="9222"/>
    <cellStyle name="Note 2 2 3 3 2 4" xfId="3522"/>
    <cellStyle name="Note 2 2 3 3 2 4 2" xfId="6942"/>
    <cellStyle name="Note 2 2 3 3 2 4 2 2" xfId="13782"/>
    <cellStyle name="Note 2 2 3 3 2 4 3" xfId="10362"/>
    <cellStyle name="Note 2 2 3 3 2 5" xfId="4662"/>
    <cellStyle name="Note 2 2 3 3 2 5 2" xfId="11502"/>
    <cellStyle name="Note 2 2 3 3 2 6" xfId="8082"/>
    <cellStyle name="Note 2 2 3 3 2 7" xfId="61644"/>
    <cellStyle name="Note 2 2 3 3 2 8" xfId="62128"/>
    <cellStyle name="Note 2 2 3 3 3" xfId="24876"/>
    <cellStyle name="Note 2 2 3 3 4" xfId="32136"/>
    <cellStyle name="Note 2 2 3 3 5" xfId="55602"/>
    <cellStyle name="Note 2 2 3 3 6" xfId="55603"/>
    <cellStyle name="Note 2 2 3 3 7" xfId="55604"/>
    <cellStyle name="Note 2 2 3 3 8" xfId="55605"/>
    <cellStyle name="Note 2 2 3 3 9" xfId="61275"/>
    <cellStyle name="Note 2 2 3 4" xfId="1131"/>
    <cellStyle name="Note 2 2 3 4 10" xfId="62131"/>
    <cellStyle name="Note 2 2 3 4 2" xfId="1061"/>
    <cellStyle name="Note 2 2 3 4 2 2" xfId="2553"/>
    <cellStyle name="Note 2 2 3 4 2 2 2" xfId="5973"/>
    <cellStyle name="Note 2 2 3 4 2 2 2 2" xfId="12813"/>
    <cellStyle name="Note 2 2 3 4 2 2 3" xfId="9393"/>
    <cellStyle name="Note 2 2 3 4 2 3" xfId="3693"/>
    <cellStyle name="Note 2 2 3 4 2 3 2" xfId="7113"/>
    <cellStyle name="Note 2 2 3 4 2 3 2 2" xfId="13953"/>
    <cellStyle name="Note 2 2 3 4 2 3 3" xfId="10533"/>
    <cellStyle name="Note 2 2 3 4 2 4" xfId="4833"/>
    <cellStyle name="Note 2 2 3 4 2 4 2" xfId="11673"/>
    <cellStyle name="Note 2 2 3 4 2 5" xfId="8253"/>
    <cellStyle name="Note 2 2 3 4 3" xfId="1945"/>
    <cellStyle name="Note 2 2 3 4 3 2" xfId="5365"/>
    <cellStyle name="Note 2 2 3 4 3 2 2" xfId="12205"/>
    <cellStyle name="Note 2 2 3 4 3 3" xfId="8785"/>
    <cellStyle name="Note 2 2 3 4 4" xfId="3085"/>
    <cellStyle name="Note 2 2 3 4 4 2" xfId="6505"/>
    <cellStyle name="Note 2 2 3 4 4 2 2" xfId="13345"/>
    <cellStyle name="Note 2 2 3 4 4 3" xfId="9925"/>
    <cellStyle name="Note 2 2 3 4 5" xfId="4225"/>
    <cellStyle name="Note 2 2 3 4 5 2" xfId="11065"/>
    <cellStyle name="Note 2 2 3 4 6" xfId="7645"/>
    <cellStyle name="Note 2 2 3 4 7" xfId="25900"/>
    <cellStyle name="Note 2 2 3 4 8" xfId="33113"/>
    <cellStyle name="Note 2 2 3 4 9" xfId="61647"/>
    <cellStyle name="Note 2 2 3 5" xfId="18560"/>
    <cellStyle name="Note 2 2 3 5 2" xfId="26878"/>
    <cellStyle name="Note 2 2 3 5 2 2" xfId="55606"/>
    <cellStyle name="Note 2 2 3 5 2 3" xfId="55607"/>
    <cellStyle name="Note 2 2 3 5 3" xfId="34047"/>
    <cellStyle name="Note 2 2 3 5 4" xfId="55608"/>
    <cellStyle name="Note 2 2 3 6" xfId="16556"/>
    <cellStyle name="Note 2 2 3 6 2" xfId="24869"/>
    <cellStyle name="Note 2 2 3 6 2 2" xfId="55609"/>
    <cellStyle name="Note 2 2 3 6 2 3" xfId="55610"/>
    <cellStyle name="Note 2 2 3 6 3" xfId="32129"/>
    <cellStyle name="Note 2 2 3 6 4" xfId="55611"/>
    <cellStyle name="Note 2 2 3 7" xfId="19133"/>
    <cellStyle name="Note 2 2 3 7 2" xfId="27453"/>
    <cellStyle name="Note 2 2 3 7 2 2" xfId="55612"/>
    <cellStyle name="Note 2 2 3 7 2 3" xfId="55613"/>
    <cellStyle name="Note 2 2 3 7 3" xfId="34601"/>
    <cellStyle name="Note 2 2 3 7 4" xfId="55614"/>
    <cellStyle name="Note 2 2 3 8" xfId="21105"/>
    <cellStyle name="Note 2 2 3 8 2" xfId="29421"/>
    <cellStyle name="Note 2 2 3 8 2 2" xfId="55615"/>
    <cellStyle name="Note 2 2 3 8 2 3" xfId="55616"/>
    <cellStyle name="Note 2 2 3 8 3" xfId="36494"/>
    <cellStyle name="Note 2 2 3 8 4" xfId="55617"/>
    <cellStyle name="Note 2 2 3 9" xfId="21309"/>
    <cellStyle name="Note 2 2 3 9 2" xfId="29616"/>
    <cellStyle name="Note 2 2 3 9 2 2" xfId="55618"/>
    <cellStyle name="Note 2 2 3 9 2 3" xfId="55619"/>
    <cellStyle name="Note 2 2 3 9 3" xfId="36683"/>
    <cellStyle name="Note 2 2 3 9 4" xfId="55620"/>
    <cellStyle name="Note 2 2 30" xfId="15273"/>
    <cellStyle name="Note 2 2 30 10" xfId="55621"/>
    <cellStyle name="Note 2 2 30 2" xfId="16353"/>
    <cellStyle name="Note 2 2 30 2 2" xfId="24666"/>
    <cellStyle name="Note 2 2 30 2 2 2" xfId="55622"/>
    <cellStyle name="Note 2 2 30 2 2 3" xfId="55623"/>
    <cellStyle name="Note 2 2 30 2 3" xfId="31933"/>
    <cellStyle name="Note 2 2 30 2 4" xfId="55624"/>
    <cellStyle name="Note 2 2 30 3" xfId="17319"/>
    <cellStyle name="Note 2 2 30 3 2" xfId="25640"/>
    <cellStyle name="Note 2 2 30 3 2 2" xfId="55625"/>
    <cellStyle name="Note 2 2 30 3 2 3" xfId="55626"/>
    <cellStyle name="Note 2 2 30 3 3" xfId="32866"/>
    <cellStyle name="Note 2 2 30 3 4" xfId="55627"/>
    <cellStyle name="Note 2 2 30 4" xfId="18347"/>
    <cellStyle name="Note 2 2 30 4 2" xfId="26667"/>
    <cellStyle name="Note 2 2 30 4 2 2" xfId="55628"/>
    <cellStyle name="Note 2 2 30 4 2 3" xfId="55629"/>
    <cellStyle name="Note 2 2 30 4 3" xfId="33844"/>
    <cellStyle name="Note 2 2 30 4 4" xfId="55630"/>
    <cellStyle name="Note 2 2 30 5" xfId="19331"/>
    <cellStyle name="Note 2 2 30 5 2" xfId="27651"/>
    <cellStyle name="Note 2 2 30 5 2 2" xfId="55631"/>
    <cellStyle name="Note 2 2 30 5 2 3" xfId="55632"/>
    <cellStyle name="Note 2 2 30 5 3" xfId="34799"/>
    <cellStyle name="Note 2 2 30 5 4" xfId="55633"/>
    <cellStyle name="Note 2 2 30 6" xfId="20299"/>
    <cellStyle name="Note 2 2 30 6 2" xfId="28621"/>
    <cellStyle name="Note 2 2 30 6 2 2" xfId="55634"/>
    <cellStyle name="Note 2 2 30 6 2 3" xfId="55635"/>
    <cellStyle name="Note 2 2 30 6 3" xfId="35736"/>
    <cellStyle name="Note 2 2 30 6 4" xfId="55636"/>
    <cellStyle name="Note 2 2 30 7" xfId="21760"/>
    <cellStyle name="Note 2 2 30 7 2" xfId="30061"/>
    <cellStyle name="Note 2 2 30 7 2 2" xfId="55637"/>
    <cellStyle name="Note 2 2 30 7 2 3" xfId="55638"/>
    <cellStyle name="Note 2 2 30 7 3" xfId="37110"/>
    <cellStyle name="Note 2 2 30 7 4" xfId="55639"/>
    <cellStyle name="Note 2 2 30 8" xfId="22688"/>
    <cellStyle name="Note 2 2 30 8 2" xfId="30984"/>
    <cellStyle name="Note 2 2 30 8 2 2" xfId="55640"/>
    <cellStyle name="Note 2 2 30 8 2 3" xfId="55641"/>
    <cellStyle name="Note 2 2 30 8 3" xfId="37993"/>
    <cellStyle name="Note 2 2 30 8 4" xfId="55642"/>
    <cellStyle name="Note 2 2 30 9" xfId="23630"/>
    <cellStyle name="Note 2 2 31" xfId="15296"/>
    <cellStyle name="Note 2 2 31 10" xfId="55643"/>
    <cellStyle name="Note 2 2 31 2" xfId="16376"/>
    <cellStyle name="Note 2 2 31 2 2" xfId="24689"/>
    <cellStyle name="Note 2 2 31 2 2 2" xfId="55644"/>
    <cellStyle name="Note 2 2 31 2 2 3" xfId="55645"/>
    <cellStyle name="Note 2 2 31 2 3" xfId="31955"/>
    <cellStyle name="Note 2 2 31 2 4" xfId="55646"/>
    <cellStyle name="Note 2 2 31 3" xfId="17342"/>
    <cellStyle name="Note 2 2 31 3 2" xfId="25663"/>
    <cellStyle name="Note 2 2 31 3 2 2" xfId="55647"/>
    <cellStyle name="Note 2 2 31 3 2 3" xfId="55648"/>
    <cellStyle name="Note 2 2 31 3 3" xfId="32888"/>
    <cellStyle name="Note 2 2 31 3 4" xfId="55649"/>
    <cellStyle name="Note 2 2 31 4" xfId="18370"/>
    <cellStyle name="Note 2 2 31 4 2" xfId="26690"/>
    <cellStyle name="Note 2 2 31 4 2 2" xfId="55650"/>
    <cellStyle name="Note 2 2 31 4 2 3" xfId="55651"/>
    <cellStyle name="Note 2 2 31 4 3" xfId="33866"/>
    <cellStyle name="Note 2 2 31 4 4" xfId="55652"/>
    <cellStyle name="Note 2 2 31 5" xfId="19353"/>
    <cellStyle name="Note 2 2 31 5 2" xfId="27674"/>
    <cellStyle name="Note 2 2 31 5 2 2" xfId="55653"/>
    <cellStyle name="Note 2 2 31 5 2 3" xfId="55654"/>
    <cellStyle name="Note 2 2 31 5 3" xfId="34822"/>
    <cellStyle name="Note 2 2 31 5 4" xfId="55655"/>
    <cellStyle name="Note 2 2 31 6" xfId="20322"/>
    <cellStyle name="Note 2 2 31 6 2" xfId="28644"/>
    <cellStyle name="Note 2 2 31 6 2 2" xfId="55656"/>
    <cellStyle name="Note 2 2 31 6 2 3" xfId="55657"/>
    <cellStyle name="Note 2 2 31 6 3" xfId="35758"/>
    <cellStyle name="Note 2 2 31 6 4" xfId="55658"/>
    <cellStyle name="Note 2 2 31 7" xfId="21783"/>
    <cellStyle name="Note 2 2 31 7 2" xfId="30084"/>
    <cellStyle name="Note 2 2 31 7 2 2" xfId="55659"/>
    <cellStyle name="Note 2 2 31 7 2 3" xfId="55660"/>
    <cellStyle name="Note 2 2 31 7 3" xfId="37132"/>
    <cellStyle name="Note 2 2 31 7 4" xfId="55661"/>
    <cellStyle name="Note 2 2 31 8" xfId="22711"/>
    <cellStyle name="Note 2 2 31 8 2" xfId="31007"/>
    <cellStyle name="Note 2 2 31 8 2 2" xfId="55662"/>
    <cellStyle name="Note 2 2 31 8 2 3" xfId="55663"/>
    <cellStyle name="Note 2 2 31 8 3" xfId="38015"/>
    <cellStyle name="Note 2 2 31 8 4" xfId="55664"/>
    <cellStyle name="Note 2 2 31 9" xfId="23653"/>
    <cellStyle name="Note 2 2 32" xfId="15239"/>
    <cellStyle name="Note 2 2 32 10" xfId="55665"/>
    <cellStyle name="Note 2 2 32 11" xfId="55666"/>
    <cellStyle name="Note 2 2 32 2" xfId="16319"/>
    <cellStyle name="Note 2 2 32 2 2" xfId="24632"/>
    <cellStyle name="Note 2 2 32 2 2 2" xfId="55667"/>
    <cellStyle name="Note 2 2 32 2 2 3" xfId="55668"/>
    <cellStyle name="Note 2 2 32 2 3" xfId="31899"/>
    <cellStyle name="Note 2 2 32 2 4" xfId="55669"/>
    <cellStyle name="Note 2 2 32 3" xfId="17285"/>
    <cellStyle name="Note 2 2 32 3 2" xfId="25606"/>
    <cellStyle name="Note 2 2 32 3 2 2" xfId="55670"/>
    <cellStyle name="Note 2 2 32 3 2 3" xfId="55671"/>
    <cellStyle name="Note 2 2 32 3 3" xfId="32832"/>
    <cellStyle name="Note 2 2 32 3 4" xfId="55672"/>
    <cellStyle name="Note 2 2 32 4" xfId="18313"/>
    <cellStyle name="Note 2 2 32 4 2" xfId="26633"/>
    <cellStyle name="Note 2 2 32 4 2 2" xfId="55673"/>
    <cellStyle name="Note 2 2 32 4 2 3" xfId="55674"/>
    <cellStyle name="Note 2 2 32 4 3" xfId="33810"/>
    <cellStyle name="Note 2 2 32 4 4" xfId="55675"/>
    <cellStyle name="Note 2 2 32 5" xfId="19297"/>
    <cellStyle name="Note 2 2 32 5 2" xfId="27617"/>
    <cellStyle name="Note 2 2 32 5 2 2" xfId="55676"/>
    <cellStyle name="Note 2 2 32 5 2 3" xfId="55677"/>
    <cellStyle name="Note 2 2 32 5 3" xfId="34765"/>
    <cellStyle name="Note 2 2 32 5 4" xfId="55678"/>
    <cellStyle name="Note 2 2 32 6" xfId="20265"/>
    <cellStyle name="Note 2 2 32 6 2" xfId="28587"/>
    <cellStyle name="Note 2 2 32 6 2 2" xfId="55679"/>
    <cellStyle name="Note 2 2 32 6 2 3" xfId="55680"/>
    <cellStyle name="Note 2 2 32 6 3" xfId="35702"/>
    <cellStyle name="Note 2 2 32 6 4" xfId="55681"/>
    <cellStyle name="Note 2 2 32 7" xfId="21726"/>
    <cellStyle name="Note 2 2 32 7 2" xfId="30027"/>
    <cellStyle name="Note 2 2 32 7 2 2" xfId="55682"/>
    <cellStyle name="Note 2 2 32 7 2 3" xfId="55683"/>
    <cellStyle name="Note 2 2 32 7 3" xfId="37076"/>
    <cellStyle name="Note 2 2 32 7 4" xfId="55684"/>
    <cellStyle name="Note 2 2 32 8" xfId="22654"/>
    <cellStyle name="Note 2 2 32 8 2" xfId="30950"/>
    <cellStyle name="Note 2 2 32 8 2 2" xfId="55685"/>
    <cellStyle name="Note 2 2 32 8 2 3" xfId="55686"/>
    <cellStyle name="Note 2 2 32 8 3" xfId="37959"/>
    <cellStyle name="Note 2 2 32 8 4" xfId="55687"/>
    <cellStyle name="Note 2 2 32 9" xfId="23596"/>
    <cellStyle name="Note 2 2 32 9 2" xfId="55688"/>
    <cellStyle name="Note 2 2 32 9 3" xfId="55689"/>
    <cellStyle name="Note 2 2 33" xfId="15311"/>
    <cellStyle name="Note 2 2 33 10" xfId="55690"/>
    <cellStyle name="Note 2 2 33 2" xfId="16391"/>
    <cellStyle name="Note 2 2 33 2 2" xfId="24704"/>
    <cellStyle name="Note 2 2 33 2 2 2" xfId="55691"/>
    <cellStyle name="Note 2 2 33 2 2 3" xfId="55692"/>
    <cellStyle name="Note 2 2 33 2 3" xfId="31969"/>
    <cellStyle name="Note 2 2 33 2 4" xfId="55693"/>
    <cellStyle name="Note 2 2 33 3" xfId="17357"/>
    <cellStyle name="Note 2 2 33 3 2" xfId="25678"/>
    <cellStyle name="Note 2 2 33 3 2 2" xfId="55694"/>
    <cellStyle name="Note 2 2 33 3 2 3" xfId="55695"/>
    <cellStyle name="Note 2 2 33 3 3" xfId="32902"/>
    <cellStyle name="Note 2 2 33 3 4" xfId="55696"/>
    <cellStyle name="Note 2 2 33 4" xfId="18385"/>
    <cellStyle name="Note 2 2 33 4 2" xfId="26705"/>
    <cellStyle name="Note 2 2 33 4 2 2" xfId="55697"/>
    <cellStyle name="Note 2 2 33 4 2 3" xfId="55698"/>
    <cellStyle name="Note 2 2 33 4 3" xfId="33880"/>
    <cellStyle name="Note 2 2 33 4 4" xfId="55699"/>
    <cellStyle name="Note 2 2 33 5" xfId="19368"/>
    <cellStyle name="Note 2 2 33 5 2" xfId="27689"/>
    <cellStyle name="Note 2 2 33 5 2 2" xfId="55700"/>
    <cellStyle name="Note 2 2 33 5 2 3" xfId="55701"/>
    <cellStyle name="Note 2 2 33 5 3" xfId="34837"/>
    <cellStyle name="Note 2 2 33 5 4" xfId="55702"/>
    <cellStyle name="Note 2 2 33 6" xfId="20337"/>
    <cellStyle name="Note 2 2 33 6 2" xfId="28659"/>
    <cellStyle name="Note 2 2 33 6 2 2" xfId="55703"/>
    <cellStyle name="Note 2 2 33 6 2 3" xfId="55704"/>
    <cellStyle name="Note 2 2 33 6 3" xfId="35772"/>
    <cellStyle name="Note 2 2 33 6 4" xfId="55705"/>
    <cellStyle name="Note 2 2 33 7" xfId="21798"/>
    <cellStyle name="Note 2 2 33 7 2" xfId="30099"/>
    <cellStyle name="Note 2 2 33 7 2 2" xfId="55706"/>
    <cellStyle name="Note 2 2 33 7 2 3" xfId="55707"/>
    <cellStyle name="Note 2 2 33 7 3" xfId="37146"/>
    <cellStyle name="Note 2 2 33 7 4" xfId="55708"/>
    <cellStyle name="Note 2 2 33 8" xfId="22726"/>
    <cellStyle name="Note 2 2 33 8 2" xfId="31022"/>
    <cellStyle name="Note 2 2 33 8 2 2" xfId="55709"/>
    <cellStyle name="Note 2 2 33 8 2 3" xfId="55710"/>
    <cellStyle name="Note 2 2 33 8 3" xfId="38029"/>
    <cellStyle name="Note 2 2 33 8 4" xfId="55711"/>
    <cellStyle name="Note 2 2 33 9" xfId="23668"/>
    <cellStyle name="Note 2 2 34" xfId="15333"/>
    <cellStyle name="Note 2 2 34 10" xfId="55712"/>
    <cellStyle name="Note 2 2 34 11" xfId="55713"/>
    <cellStyle name="Note 2 2 34 2" xfId="16413"/>
    <cellStyle name="Note 2 2 34 2 2" xfId="24726"/>
    <cellStyle name="Note 2 2 34 2 2 2" xfId="55714"/>
    <cellStyle name="Note 2 2 34 2 2 3" xfId="55715"/>
    <cellStyle name="Note 2 2 34 2 3" xfId="31991"/>
    <cellStyle name="Note 2 2 34 2 4" xfId="55716"/>
    <cellStyle name="Note 2 2 34 3" xfId="17379"/>
    <cellStyle name="Note 2 2 34 3 2" xfId="25700"/>
    <cellStyle name="Note 2 2 34 3 2 2" xfId="55717"/>
    <cellStyle name="Note 2 2 34 3 2 3" xfId="55718"/>
    <cellStyle name="Note 2 2 34 3 3" xfId="32924"/>
    <cellStyle name="Note 2 2 34 3 4" xfId="55719"/>
    <cellStyle name="Note 2 2 34 4" xfId="18407"/>
    <cellStyle name="Note 2 2 34 4 2" xfId="26727"/>
    <cellStyle name="Note 2 2 34 4 2 2" xfId="55720"/>
    <cellStyle name="Note 2 2 34 4 2 3" xfId="55721"/>
    <cellStyle name="Note 2 2 34 4 3" xfId="33902"/>
    <cellStyle name="Note 2 2 34 4 4" xfId="55722"/>
    <cellStyle name="Note 2 2 34 5" xfId="19390"/>
    <cellStyle name="Note 2 2 34 5 2" xfId="27711"/>
    <cellStyle name="Note 2 2 34 5 2 2" xfId="55723"/>
    <cellStyle name="Note 2 2 34 5 2 3" xfId="55724"/>
    <cellStyle name="Note 2 2 34 5 3" xfId="34859"/>
    <cellStyle name="Note 2 2 34 5 4" xfId="55725"/>
    <cellStyle name="Note 2 2 34 6" xfId="20359"/>
    <cellStyle name="Note 2 2 34 6 2" xfId="28681"/>
    <cellStyle name="Note 2 2 34 6 2 2" xfId="55726"/>
    <cellStyle name="Note 2 2 34 6 2 3" xfId="55727"/>
    <cellStyle name="Note 2 2 34 6 3" xfId="35794"/>
    <cellStyle name="Note 2 2 34 6 4" xfId="55728"/>
    <cellStyle name="Note 2 2 34 7" xfId="21820"/>
    <cellStyle name="Note 2 2 34 7 2" xfId="30121"/>
    <cellStyle name="Note 2 2 34 7 2 2" xfId="55729"/>
    <cellStyle name="Note 2 2 34 7 2 3" xfId="55730"/>
    <cellStyle name="Note 2 2 34 7 3" xfId="37168"/>
    <cellStyle name="Note 2 2 34 7 4" xfId="55731"/>
    <cellStyle name="Note 2 2 34 8" xfId="22748"/>
    <cellStyle name="Note 2 2 34 8 2" xfId="31044"/>
    <cellStyle name="Note 2 2 34 8 2 2" xfId="55732"/>
    <cellStyle name="Note 2 2 34 8 2 3" xfId="55733"/>
    <cellStyle name="Note 2 2 34 8 3" xfId="38051"/>
    <cellStyle name="Note 2 2 34 8 4" xfId="55734"/>
    <cellStyle name="Note 2 2 34 9" xfId="23690"/>
    <cellStyle name="Note 2 2 34 9 2" xfId="55735"/>
    <cellStyle name="Note 2 2 34 9 3" xfId="55736"/>
    <cellStyle name="Note 2 2 35" xfId="15384"/>
    <cellStyle name="Note 2 2 35 10" xfId="55737"/>
    <cellStyle name="Note 2 2 35 11" xfId="55738"/>
    <cellStyle name="Note 2 2 35 2" xfId="16464"/>
    <cellStyle name="Note 2 2 35 2 2" xfId="24777"/>
    <cellStyle name="Note 2 2 35 2 2 2" xfId="55739"/>
    <cellStyle name="Note 2 2 35 2 2 3" xfId="55740"/>
    <cellStyle name="Note 2 2 35 2 3" xfId="32041"/>
    <cellStyle name="Note 2 2 35 2 4" xfId="55741"/>
    <cellStyle name="Note 2 2 35 3" xfId="17430"/>
    <cellStyle name="Note 2 2 35 3 2" xfId="25751"/>
    <cellStyle name="Note 2 2 35 3 2 2" xfId="55742"/>
    <cellStyle name="Note 2 2 35 3 2 3" xfId="55743"/>
    <cellStyle name="Note 2 2 35 3 3" xfId="32974"/>
    <cellStyle name="Note 2 2 35 3 4" xfId="55744"/>
    <cellStyle name="Note 2 2 35 4" xfId="18458"/>
    <cellStyle name="Note 2 2 35 4 2" xfId="26778"/>
    <cellStyle name="Note 2 2 35 4 2 2" xfId="55745"/>
    <cellStyle name="Note 2 2 35 4 2 3" xfId="55746"/>
    <cellStyle name="Note 2 2 35 4 3" xfId="33952"/>
    <cellStyle name="Note 2 2 35 4 4" xfId="55747"/>
    <cellStyle name="Note 2 2 35 5" xfId="19441"/>
    <cellStyle name="Note 2 2 35 5 2" xfId="27762"/>
    <cellStyle name="Note 2 2 35 5 2 2" xfId="55748"/>
    <cellStyle name="Note 2 2 35 5 2 3" xfId="55749"/>
    <cellStyle name="Note 2 2 35 5 3" xfId="34910"/>
    <cellStyle name="Note 2 2 35 5 4" xfId="55750"/>
    <cellStyle name="Note 2 2 35 6" xfId="20410"/>
    <cellStyle name="Note 2 2 35 6 2" xfId="28732"/>
    <cellStyle name="Note 2 2 35 6 2 2" xfId="55751"/>
    <cellStyle name="Note 2 2 35 6 2 3" xfId="55752"/>
    <cellStyle name="Note 2 2 35 6 3" xfId="35844"/>
    <cellStyle name="Note 2 2 35 6 4" xfId="55753"/>
    <cellStyle name="Note 2 2 35 7" xfId="21871"/>
    <cellStyle name="Note 2 2 35 7 2" xfId="30172"/>
    <cellStyle name="Note 2 2 35 7 2 2" xfId="55754"/>
    <cellStyle name="Note 2 2 35 7 2 3" xfId="55755"/>
    <cellStyle name="Note 2 2 35 7 3" xfId="37217"/>
    <cellStyle name="Note 2 2 35 7 4" xfId="55756"/>
    <cellStyle name="Note 2 2 35 8" xfId="22799"/>
    <cellStyle name="Note 2 2 35 8 2" xfId="31095"/>
    <cellStyle name="Note 2 2 35 8 2 2" xfId="55757"/>
    <cellStyle name="Note 2 2 35 8 2 3" xfId="55758"/>
    <cellStyle name="Note 2 2 35 8 3" xfId="38101"/>
    <cellStyle name="Note 2 2 35 8 4" xfId="55759"/>
    <cellStyle name="Note 2 2 35 9" xfId="23741"/>
    <cellStyle name="Note 2 2 35 9 2" xfId="55760"/>
    <cellStyle name="Note 2 2 35 9 3" xfId="55761"/>
    <cellStyle name="Note 2 2 36" xfId="15400"/>
    <cellStyle name="Note 2 2 36 10" xfId="55762"/>
    <cellStyle name="Note 2 2 36 11" xfId="55763"/>
    <cellStyle name="Note 2 2 36 2" xfId="16480"/>
    <cellStyle name="Note 2 2 36 2 2" xfId="24793"/>
    <cellStyle name="Note 2 2 36 2 2 2" xfId="55764"/>
    <cellStyle name="Note 2 2 36 2 2 3" xfId="55765"/>
    <cellStyle name="Note 2 2 36 2 3" xfId="32055"/>
    <cellStyle name="Note 2 2 36 2 4" xfId="55766"/>
    <cellStyle name="Note 2 2 36 3" xfId="17446"/>
    <cellStyle name="Note 2 2 36 3 2" xfId="25767"/>
    <cellStyle name="Note 2 2 36 3 2 2" xfId="55767"/>
    <cellStyle name="Note 2 2 36 3 2 3" xfId="55768"/>
    <cellStyle name="Note 2 2 36 3 3" xfId="32988"/>
    <cellStyle name="Note 2 2 36 3 4" xfId="55769"/>
    <cellStyle name="Note 2 2 36 4" xfId="18474"/>
    <cellStyle name="Note 2 2 36 4 2" xfId="26794"/>
    <cellStyle name="Note 2 2 36 4 2 2" xfId="55770"/>
    <cellStyle name="Note 2 2 36 4 2 3" xfId="55771"/>
    <cellStyle name="Note 2 2 36 4 3" xfId="33966"/>
    <cellStyle name="Note 2 2 36 4 4" xfId="55772"/>
    <cellStyle name="Note 2 2 36 5" xfId="19457"/>
    <cellStyle name="Note 2 2 36 5 2" xfId="27778"/>
    <cellStyle name="Note 2 2 36 5 2 2" xfId="55773"/>
    <cellStyle name="Note 2 2 36 5 2 3" xfId="55774"/>
    <cellStyle name="Note 2 2 36 5 3" xfId="34926"/>
    <cellStyle name="Note 2 2 36 5 4" xfId="55775"/>
    <cellStyle name="Note 2 2 36 6" xfId="20426"/>
    <cellStyle name="Note 2 2 36 6 2" xfId="28748"/>
    <cellStyle name="Note 2 2 36 6 2 2" xfId="55776"/>
    <cellStyle name="Note 2 2 36 6 2 3" xfId="55777"/>
    <cellStyle name="Note 2 2 36 6 3" xfId="35858"/>
    <cellStyle name="Note 2 2 36 6 4" xfId="55778"/>
    <cellStyle name="Note 2 2 36 7" xfId="21887"/>
    <cellStyle name="Note 2 2 36 7 2" xfId="30188"/>
    <cellStyle name="Note 2 2 36 7 2 2" xfId="55779"/>
    <cellStyle name="Note 2 2 36 7 2 3" xfId="55780"/>
    <cellStyle name="Note 2 2 36 7 3" xfId="37231"/>
    <cellStyle name="Note 2 2 36 7 4" xfId="55781"/>
    <cellStyle name="Note 2 2 36 8" xfId="22815"/>
    <cellStyle name="Note 2 2 36 8 2" xfId="31111"/>
    <cellStyle name="Note 2 2 36 8 2 2" xfId="55782"/>
    <cellStyle name="Note 2 2 36 8 2 3" xfId="55783"/>
    <cellStyle name="Note 2 2 36 8 3" xfId="38115"/>
    <cellStyle name="Note 2 2 36 8 4" xfId="55784"/>
    <cellStyle name="Note 2 2 36 9" xfId="23757"/>
    <cellStyle name="Note 2 2 36 9 2" xfId="55785"/>
    <cellStyle name="Note 2 2 36 9 3" xfId="55786"/>
    <cellStyle name="Note 2 2 37" xfId="15416"/>
    <cellStyle name="Note 2 2 37 10" xfId="55787"/>
    <cellStyle name="Note 2 2 37 11" xfId="55788"/>
    <cellStyle name="Note 2 2 37 2" xfId="16496"/>
    <cellStyle name="Note 2 2 37 2 2" xfId="24809"/>
    <cellStyle name="Note 2 2 37 2 2 2" xfId="55789"/>
    <cellStyle name="Note 2 2 37 2 2 3" xfId="55790"/>
    <cellStyle name="Note 2 2 37 2 3" xfId="32070"/>
    <cellStyle name="Note 2 2 37 2 4" xfId="55791"/>
    <cellStyle name="Note 2 2 37 3" xfId="17462"/>
    <cellStyle name="Note 2 2 37 3 2" xfId="25783"/>
    <cellStyle name="Note 2 2 37 3 2 2" xfId="55792"/>
    <cellStyle name="Note 2 2 37 3 2 3" xfId="55793"/>
    <cellStyle name="Note 2 2 37 3 3" xfId="33003"/>
    <cellStyle name="Note 2 2 37 3 4" xfId="55794"/>
    <cellStyle name="Note 2 2 37 4" xfId="18490"/>
    <cellStyle name="Note 2 2 37 4 2" xfId="26810"/>
    <cellStyle name="Note 2 2 37 4 2 2" xfId="55795"/>
    <cellStyle name="Note 2 2 37 4 2 3" xfId="55796"/>
    <cellStyle name="Note 2 2 37 4 3" xfId="33981"/>
    <cellStyle name="Note 2 2 37 4 4" xfId="55797"/>
    <cellStyle name="Note 2 2 37 5" xfId="19473"/>
    <cellStyle name="Note 2 2 37 5 2" xfId="27794"/>
    <cellStyle name="Note 2 2 37 5 2 2" xfId="55798"/>
    <cellStyle name="Note 2 2 37 5 2 3" xfId="55799"/>
    <cellStyle name="Note 2 2 37 5 3" xfId="34942"/>
    <cellStyle name="Note 2 2 37 5 4" xfId="55800"/>
    <cellStyle name="Note 2 2 37 6" xfId="20442"/>
    <cellStyle name="Note 2 2 37 6 2" xfId="28764"/>
    <cellStyle name="Note 2 2 37 6 2 2" xfId="55801"/>
    <cellStyle name="Note 2 2 37 6 2 3" xfId="55802"/>
    <cellStyle name="Note 2 2 37 6 3" xfId="35873"/>
    <cellStyle name="Note 2 2 37 6 4" xfId="55803"/>
    <cellStyle name="Note 2 2 37 7" xfId="21903"/>
    <cellStyle name="Note 2 2 37 7 2" xfId="30204"/>
    <cellStyle name="Note 2 2 37 7 2 2" xfId="55804"/>
    <cellStyle name="Note 2 2 37 7 2 3" xfId="55805"/>
    <cellStyle name="Note 2 2 37 7 3" xfId="37246"/>
    <cellStyle name="Note 2 2 37 7 4" xfId="55806"/>
    <cellStyle name="Note 2 2 37 8" xfId="22831"/>
    <cellStyle name="Note 2 2 37 8 2" xfId="31127"/>
    <cellStyle name="Note 2 2 37 8 2 2" xfId="55807"/>
    <cellStyle name="Note 2 2 37 8 2 3" xfId="55808"/>
    <cellStyle name="Note 2 2 37 8 3" xfId="38130"/>
    <cellStyle name="Note 2 2 37 8 4" xfId="55809"/>
    <cellStyle name="Note 2 2 37 9" xfId="23773"/>
    <cellStyle name="Note 2 2 37 9 2" xfId="55810"/>
    <cellStyle name="Note 2 2 37 9 3" xfId="55811"/>
    <cellStyle name="Note 2 2 38" xfId="15430"/>
    <cellStyle name="Note 2 2 38 10" xfId="55812"/>
    <cellStyle name="Note 2 2 38 11" xfId="55813"/>
    <cellStyle name="Note 2 2 38 2" xfId="16510"/>
    <cellStyle name="Note 2 2 38 2 2" xfId="24823"/>
    <cellStyle name="Note 2 2 38 2 2 2" xfId="55814"/>
    <cellStyle name="Note 2 2 38 2 2 3" xfId="55815"/>
    <cellStyle name="Note 2 2 38 2 3" xfId="32084"/>
    <cellStyle name="Note 2 2 38 2 4" xfId="55816"/>
    <cellStyle name="Note 2 2 38 3" xfId="17476"/>
    <cellStyle name="Note 2 2 38 3 2" xfId="25797"/>
    <cellStyle name="Note 2 2 38 3 2 2" xfId="55817"/>
    <cellStyle name="Note 2 2 38 3 2 3" xfId="55818"/>
    <cellStyle name="Note 2 2 38 3 3" xfId="33017"/>
    <cellStyle name="Note 2 2 38 3 4" xfId="55819"/>
    <cellStyle name="Note 2 2 38 4" xfId="18504"/>
    <cellStyle name="Note 2 2 38 4 2" xfId="26824"/>
    <cellStyle name="Note 2 2 38 4 2 2" xfId="55820"/>
    <cellStyle name="Note 2 2 38 4 2 3" xfId="55821"/>
    <cellStyle name="Note 2 2 38 4 3" xfId="33995"/>
    <cellStyle name="Note 2 2 38 4 4" xfId="55822"/>
    <cellStyle name="Note 2 2 38 5" xfId="19487"/>
    <cellStyle name="Note 2 2 38 5 2" xfId="27808"/>
    <cellStyle name="Note 2 2 38 5 2 2" xfId="55823"/>
    <cellStyle name="Note 2 2 38 5 2 3" xfId="55824"/>
    <cellStyle name="Note 2 2 38 5 3" xfId="34956"/>
    <cellStyle name="Note 2 2 38 5 4" xfId="55825"/>
    <cellStyle name="Note 2 2 38 6" xfId="20456"/>
    <cellStyle name="Note 2 2 38 6 2" xfId="28778"/>
    <cellStyle name="Note 2 2 38 6 2 2" xfId="55826"/>
    <cellStyle name="Note 2 2 38 6 2 3" xfId="55827"/>
    <cellStyle name="Note 2 2 38 6 3" xfId="35887"/>
    <cellStyle name="Note 2 2 38 6 4" xfId="55828"/>
    <cellStyle name="Note 2 2 38 7" xfId="21917"/>
    <cellStyle name="Note 2 2 38 7 2" xfId="30218"/>
    <cellStyle name="Note 2 2 38 7 2 2" xfId="55829"/>
    <cellStyle name="Note 2 2 38 7 2 3" xfId="55830"/>
    <cellStyle name="Note 2 2 38 7 3" xfId="37260"/>
    <cellStyle name="Note 2 2 38 7 4" xfId="55831"/>
    <cellStyle name="Note 2 2 38 8" xfId="22845"/>
    <cellStyle name="Note 2 2 38 8 2" xfId="31141"/>
    <cellStyle name="Note 2 2 38 8 2 2" xfId="55832"/>
    <cellStyle name="Note 2 2 38 8 2 3" xfId="55833"/>
    <cellStyle name="Note 2 2 38 8 3" xfId="38144"/>
    <cellStyle name="Note 2 2 38 8 4" xfId="55834"/>
    <cellStyle name="Note 2 2 38 9" xfId="23787"/>
    <cellStyle name="Note 2 2 38 9 2" xfId="55835"/>
    <cellStyle name="Note 2 2 38 9 3" xfId="55836"/>
    <cellStyle name="Note 2 2 39" xfId="15444"/>
    <cellStyle name="Note 2 2 39 10" xfId="55837"/>
    <cellStyle name="Note 2 2 39 11" xfId="55838"/>
    <cellStyle name="Note 2 2 39 2" xfId="16524"/>
    <cellStyle name="Note 2 2 39 2 2" xfId="24837"/>
    <cellStyle name="Note 2 2 39 2 2 2" xfId="55839"/>
    <cellStyle name="Note 2 2 39 2 2 3" xfId="55840"/>
    <cellStyle name="Note 2 2 39 2 3" xfId="32098"/>
    <cellStyle name="Note 2 2 39 2 4" xfId="55841"/>
    <cellStyle name="Note 2 2 39 3" xfId="17490"/>
    <cellStyle name="Note 2 2 39 3 2" xfId="25811"/>
    <cellStyle name="Note 2 2 39 3 2 2" xfId="55842"/>
    <cellStyle name="Note 2 2 39 3 2 3" xfId="55843"/>
    <cellStyle name="Note 2 2 39 3 3" xfId="33031"/>
    <cellStyle name="Note 2 2 39 3 4" xfId="55844"/>
    <cellStyle name="Note 2 2 39 4" xfId="18518"/>
    <cellStyle name="Note 2 2 39 4 2" xfId="26838"/>
    <cellStyle name="Note 2 2 39 4 2 2" xfId="55845"/>
    <cellStyle name="Note 2 2 39 4 2 3" xfId="55846"/>
    <cellStyle name="Note 2 2 39 4 3" xfId="34009"/>
    <cellStyle name="Note 2 2 39 4 4" xfId="55847"/>
    <cellStyle name="Note 2 2 39 5" xfId="19501"/>
    <cellStyle name="Note 2 2 39 5 2" xfId="27822"/>
    <cellStyle name="Note 2 2 39 5 2 2" xfId="55848"/>
    <cellStyle name="Note 2 2 39 5 2 3" xfId="55849"/>
    <cellStyle name="Note 2 2 39 5 3" xfId="34970"/>
    <cellStyle name="Note 2 2 39 5 4" xfId="55850"/>
    <cellStyle name="Note 2 2 39 6" xfId="20470"/>
    <cellStyle name="Note 2 2 39 6 2" xfId="28792"/>
    <cellStyle name="Note 2 2 39 6 2 2" xfId="55851"/>
    <cellStyle name="Note 2 2 39 6 2 3" xfId="55852"/>
    <cellStyle name="Note 2 2 39 6 3" xfId="35901"/>
    <cellStyle name="Note 2 2 39 6 4" xfId="55853"/>
    <cellStyle name="Note 2 2 39 7" xfId="21931"/>
    <cellStyle name="Note 2 2 39 7 2" xfId="30232"/>
    <cellStyle name="Note 2 2 39 7 2 2" xfId="55854"/>
    <cellStyle name="Note 2 2 39 7 2 3" xfId="55855"/>
    <cellStyle name="Note 2 2 39 7 3" xfId="37274"/>
    <cellStyle name="Note 2 2 39 7 4" xfId="55856"/>
    <cellStyle name="Note 2 2 39 8" xfId="22859"/>
    <cellStyle name="Note 2 2 39 8 2" xfId="31155"/>
    <cellStyle name="Note 2 2 39 8 2 2" xfId="55857"/>
    <cellStyle name="Note 2 2 39 8 2 3" xfId="55858"/>
    <cellStyle name="Note 2 2 39 8 3" xfId="38158"/>
    <cellStyle name="Note 2 2 39 8 4" xfId="55859"/>
    <cellStyle name="Note 2 2 39 9" xfId="23801"/>
    <cellStyle name="Note 2 2 39 9 2" xfId="55860"/>
    <cellStyle name="Note 2 2 39 9 3" xfId="55861"/>
    <cellStyle name="Note 2 2 4" xfId="138"/>
    <cellStyle name="Note 2 2 4 10" xfId="55862"/>
    <cellStyle name="Note 2 2 4 11" xfId="55863"/>
    <cellStyle name="Note 2 2 4 12" xfId="55864"/>
    <cellStyle name="Note 2 2 4 13" xfId="55865"/>
    <cellStyle name="Note 2 2 4 14" xfId="60823"/>
    <cellStyle name="Note 2 2 4 2" xfId="264"/>
    <cellStyle name="Note 2 2 4 2 2" xfId="674"/>
    <cellStyle name="Note 2 2 4 2 2 2" xfId="1625"/>
    <cellStyle name="Note 2 2 4 2 2 2 2" xfId="782"/>
    <cellStyle name="Note 2 2 4 2 2 2 2 2" xfId="2542"/>
    <cellStyle name="Note 2 2 4 2 2 2 2 2 2" xfId="5962"/>
    <cellStyle name="Note 2 2 4 2 2 2 2 2 2 2" xfId="12802"/>
    <cellStyle name="Note 2 2 4 2 2 2 2 2 3" xfId="9382"/>
    <cellStyle name="Note 2 2 4 2 2 2 2 3" xfId="3682"/>
    <cellStyle name="Note 2 2 4 2 2 2 2 3 2" xfId="7102"/>
    <cellStyle name="Note 2 2 4 2 2 2 2 3 2 2" xfId="13942"/>
    <cellStyle name="Note 2 2 4 2 2 2 2 3 3" xfId="10522"/>
    <cellStyle name="Note 2 2 4 2 2 2 2 4" xfId="4822"/>
    <cellStyle name="Note 2 2 4 2 2 2 2 4 2" xfId="11662"/>
    <cellStyle name="Note 2 2 4 2 2 2 2 5" xfId="8242"/>
    <cellStyle name="Note 2 2 4 2 2 2 3" xfId="2459"/>
    <cellStyle name="Note 2 2 4 2 2 2 3 2" xfId="5879"/>
    <cellStyle name="Note 2 2 4 2 2 2 3 2 2" xfId="12719"/>
    <cellStyle name="Note 2 2 4 2 2 2 3 3" xfId="9299"/>
    <cellStyle name="Note 2 2 4 2 2 2 4" xfId="3599"/>
    <cellStyle name="Note 2 2 4 2 2 2 4 2" xfId="7019"/>
    <cellStyle name="Note 2 2 4 2 2 2 4 2 2" xfId="13859"/>
    <cellStyle name="Note 2 2 4 2 2 2 4 3" xfId="10439"/>
    <cellStyle name="Note 2 2 4 2 2 2 5" xfId="4739"/>
    <cellStyle name="Note 2 2 4 2 2 2 5 2" xfId="11579"/>
    <cellStyle name="Note 2 2 4 2 2 2 6" xfId="8159"/>
    <cellStyle name="Note 2 2 4 2 2 2 7" xfId="61406"/>
    <cellStyle name="Note 2 2 4 2 2 2 8" xfId="61985"/>
    <cellStyle name="Note 2 2 4 2 2 3" xfId="38518"/>
    <cellStyle name="Note 2 2 4 2 2 4" xfId="55866"/>
    <cellStyle name="Note 2 2 4 2 2 5" xfId="55867"/>
    <cellStyle name="Note 2 2 4 2 2 6" xfId="55868"/>
    <cellStyle name="Note 2 2 4 2 2 7" xfId="55869"/>
    <cellStyle name="Note 2 2 4 2 2 8" xfId="61276"/>
    <cellStyle name="Note 2 2 4 2 3" xfId="1271"/>
    <cellStyle name="Note 2 2 4 2 3 2" xfId="1770"/>
    <cellStyle name="Note 2 2 4 2 3 2 2" xfId="2910"/>
    <cellStyle name="Note 2 2 4 2 3 2 2 2" xfId="6330"/>
    <cellStyle name="Note 2 2 4 2 3 2 2 2 2" xfId="13170"/>
    <cellStyle name="Note 2 2 4 2 3 2 2 3" xfId="9750"/>
    <cellStyle name="Note 2 2 4 2 3 2 3" xfId="4050"/>
    <cellStyle name="Note 2 2 4 2 3 2 3 2" xfId="7470"/>
    <cellStyle name="Note 2 2 4 2 3 2 3 2 2" xfId="14310"/>
    <cellStyle name="Note 2 2 4 2 3 2 3 3" xfId="10890"/>
    <cellStyle name="Note 2 2 4 2 3 2 4" xfId="5190"/>
    <cellStyle name="Note 2 2 4 2 3 2 4 2" xfId="12030"/>
    <cellStyle name="Note 2 2 4 2 3 2 5" xfId="8610"/>
    <cellStyle name="Note 2 2 4 2 3 3" xfId="2091"/>
    <cellStyle name="Note 2 2 4 2 3 3 2" xfId="5511"/>
    <cellStyle name="Note 2 2 4 2 3 3 2 2" xfId="12351"/>
    <cellStyle name="Note 2 2 4 2 3 3 3" xfId="8931"/>
    <cellStyle name="Note 2 2 4 2 3 4" xfId="3231"/>
    <cellStyle name="Note 2 2 4 2 3 4 2" xfId="6651"/>
    <cellStyle name="Note 2 2 4 2 3 4 2 2" xfId="13491"/>
    <cellStyle name="Note 2 2 4 2 3 4 3" xfId="10071"/>
    <cellStyle name="Note 2 2 4 2 3 5" xfId="4371"/>
    <cellStyle name="Note 2 2 4 2 3 5 2" xfId="11211"/>
    <cellStyle name="Note 2 2 4 2 3 6" xfId="7791"/>
    <cellStyle name="Note 2 2 4 2 3 7" xfId="61468"/>
    <cellStyle name="Note 2 2 4 2 3 8" xfId="62029"/>
    <cellStyle name="Note 2 2 4 2 4" xfId="23930"/>
    <cellStyle name="Note 2 2 4 2 5" xfId="38281"/>
    <cellStyle name="Note 2 2 4 2 6" xfId="55870"/>
    <cellStyle name="Note 2 2 4 2 7" xfId="55871"/>
    <cellStyle name="Note 2 2 4 2 8" xfId="60947"/>
    <cellStyle name="Note 2 2 4 3" xfId="586"/>
    <cellStyle name="Note 2 2 4 3 2" xfId="1573"/>
    <cellStyle name="Note 2 2 4 3 2 2" xfId="1801"/>
    <cellStyle name="Note 2 2 4 3 2 2 2" xfId="2941"/>
    <cellStyle name="Note 2 2 4 3 2 2 2 2" xfId="6361"/>
    <cellStyle name="Note 2 2 4 3 2 2 2 2 2" xfId="13201"/>
    <cellStyle name="Note 2 2 4 3 2 2 2 3" xfId="9781"/>
    <cellStyle name="Note 2 2 4 3 2 2 3" xfId="4081"/>
    <cellStyle name="Note 2 2 4 3 2 2 3 2" xfId="7501"/>
    <cellStyle name="Note 2 2 4 3 2 2 3 2 2" xfId="14341"/>
    <cellStyle name="Note 2 2 4 3 2 2 3 3" xfId="10921"/>
    <cellStyle name="Note 2 2 4 3 2 2 4" xfId="5221"/>
    <cellStyle name="Note 2 2 4 3 2 2 4 2" xfId="12061"/>
    <cellStyle name="Note 2 2 4 3 2 2 5" xfId="8641"/>
    <cellStyle name="Note 2 2 4 3 2 3" xfId="2398"/>
    <cellStyle name="Note 2 2 4 3 2 3 2" xfId="5818"/>
    <cellStyle name="Note 2 2 4 3 2 3 2 2" xfId="12658"/>
    <cellStyle name="Note 2 2 4 3 2 3 3" xfId="9238"/>
    <cellStyle name="Note 2 2 4 3 2 4" xfId="3538"/>
    <cellStyle name="Note 2 2 4 3 2 4 2" xfId="6958"/>
    <cellStyle name="Note 2 2 4 3 2 4 2 2" xfId="13798"/>
    <cellStyle name="Note 2 2 4 3 2 4 3" xfId="10378"/>
    <cellStyle name="Note 2 2 4 3 2 5" xfId="4678"/>
    <cellStyle name="Note 2 2 4 3 2 5 2" xfId="11518"/>
    <cellStyle name="Note 2 2 4 3 2 6" xfId="8098"/>
    <cellStyle name="Note 2 2 4 3 2 7" xfId="61369"/>
    <cellStyle name="Note 2 2 4 3 2 8" xfId="61959"/>
    <cellStyle name="Note 2 2 4 3 3" xfId="24901"/>
    <cellStyle name="Note 2 2 4 3 4" xfId="32161"/>
    <cellStyle name="Note 2 2 4 3 5" xfId="55872"/>
    <cellStyle name="Note 2 2 4 3 6" xfId="55873"/>
    <cellStyle name="Note 2 2 4 3 7" xfId="55874"/>
    <cellStyle name="Note 2 2 4 3 8" xfId="55875"/>
    <cellStyle name="Note 2 2 4 3 9" xfId="61277"/>
    <cellStyle name="Note 2 2 4 4" xfId="1147"/>
    <cellStyle name="Note 2 2 4 4 10" xfId="62127"/>
    <cellStyle name="Note 2 2 4 4 2" xfId="1701"/>
    <cellStyle name="Note 2 2 4 4 2 2" xfId="2841"/>
    <cellStyle name="Note 2 2 4 4 2 2 2" xfId="6261"/>
    <cellStyle name="Note 2 2 4 4 2 2 2 2" xfId="13101"/>
    <cellStyle name="Note 2 2 4 4 2 2 3" xfId="9681"/>
    <cellStyle name="Note 2 2 4 4 2 3" xfId="3981"/>
    <cellStyle name="Note 2 2 4 4 2 3 2" xfId="7401"/>
    <cellStyle name="Note 2 2 4 4 2 3 2 2" xfId="14241"/>
    <cellStyle name="Note 2 2 4 4 2 3 3" xfId="10821"/>
    <cellStyle name="Note 2 2 4 4 2 4" xfId="5121"/>
    <cellStyle name="Note 2 2 4 4 2 4 2" xfId="11961"/>
    <cellStyle name="Note 2 2 4 4 2 5" xfId="8541"/>
    <cellStyle name="Note 2 2 4 4 3" xfId="1966"/>
    <cellStyle name="Note 2 2 4 4 3 2" xfId="5386"/>
    <cellStyle name="Note 2 2 4 4 3 2 2" xfId="12226"/>
    <cellStyle name="Note 2 2 4 4 3 3" xfId="8806"/>
    <cellStyle name="Note 2 2 4 4 4" xfId="3106"/>
    <cellStyle name="Note 2 2 4 4 4 2" xfId="6526"/>
    <cellStyle name="Note 2 2 4 4 4 2 2" xfId="13366"/>
    <cellStyle name="Note 2 2 4 4 4 3" xfId="9946"/>
    <cellStyle name="Note 2 2 4 4 5" xfId="4246"/>
    <cellStyle name="Note 2 2 4 4 5 2" xfId="11086"/>
    <cellStyle name="Note 2 2 4 4 6" xfId="7666"/>
    <cellStyle name="Note 2 2 4 4 7" xfId="25926"/>
    <cellStyle name="Note 2 2 4 4 8" xfId="33138"/>
    <cellStyle name="Note 2 2 4 4 9" xfId="61643"/>
    <cellStyle name="Note 2 2 4 5" xfId="18585"/>
    <cellStyle name="Note 2 2 4 5 2" xfId="26904"/>
    <cellStyle name="Note 2 2 4 5 2 2" xfId="55876"/>
    <cellStyle name="Note 2 2 4 5 2 3" xfId="55877"/>
    <cellStyle name="Note 2 2 4 5 3" xfId="34073"/>
    <cellStyle name="Note 2 2 4 5 4" xfId="55878"/>
    <cellStyle name="Note 2 2 4 6" xfId="19553"/>
    <cellStyle name="Note 2 2 4 6 2" xfId="27874"/>
    <cellStyle name="Note 2 2 4 6 2 2" xfId="55879"/>
    <cellStyle name="Note 2 2 4 6 2 3" xfId="55880"/>
    <cellStyle name="Note 2 2 4 6 3" xfId="35021"/>
    <cellStyle name="Note 2 2 4 6 4" xfId="55881"/>
    <cellStyle name="Note 2 2 4 7" xfId="20511"/>
    <cellStyle name="Note 2 2 4 7 2" xfId="28833"/>
    <cellStyle name="Note 2 2 4 7 2 2" xfId="55882"/>
    <cellStyle name="Note 2 2 4 7 2 3" xfId="55883"/>
    <cellStyle name="Note 2 2 4 7 3" xfId="35938"/>
    <cellStyle name="Note 2 2 4 7 4" xfId="55884"/>
    <cellStyle name="Note 2 2 4 8" xfId="21112"/>
    <cellStyle name="Note 2 2 4 8 2" xfId="29426"/>
    <cellStyle name="Note 2 2 4 8 2 2" xfId="55885"/>
    <cellStyle name="Note 2 2 4 8 2 3" xfId="55886"/>
    <cellStyle name="Note 2 2 4 8 3" xfId="36499"/>
    <cellStyle name="Note 2 2 4 8 4" xfId="55887"/>
    <cellStyle name="Note 2 2 4 9" xfId="22894"/>
    <cellStyle name="Note 2 2 4 9 2" xfId="55888"/>
    <cellStyle name="Note 2 2 4 9 3" xfId="55889"/>
    <cellStyle name="Note 2 2 40" xfId="15348"/>
    <cellStyle name="Note 2 2 40 10" xfId="55890"/>
    <cellStyle name="Note 2 2 40 11" xfId="55891"/>
    <cellStyle name="Note 2 2 40 2" xfId="16428"/>
    <cellStyle name="Note 2 2 40 2 2" xfId="24741"/>
    <cellStyle name="Note 2 2 40 2 2 2" xfId="55892"/>
    <cellStyle name="Note 2 2 40 2 2 3" xfId="55893"/>
    <cellStyle name="Note 2 2 40 2 3" xfId="32006"/>
    <cellStyle name="Note 2 2 40 2 4" xfId="55894"/>
    <cellStyle name="Note 2 2 40 3" xfId="17394"/>
    <cellStyle name="Note 2 2 40 3 2" xfId="25715"/>
    <cellStyle name="Note 2 2 40 3 2 2" xfId="55895"/>
    <cellStyle name="Note 2 2 40 3 2 3" xfId="55896"/>
    <cellStyle name="Note 2 2 40 3 3" xfId="32939"/>
    <cellStyle name="Note 2 2 40 3 4" xfId="55897"/>
    <cellStyle name="Note 2 2 40 4" xfId="18422"/>
    <cellStyle name="Note 2 2 40 4 2" xfId="26742"/>
    <cellStyle name="Note 2 2 40 4 2 2" xfId="55898"/>
    <cellStyle name="Note 2 2 40 4 2 3" xfId="55899"/>
    <cellStyle name="Note 2 2 40 4 3" xfId="33917"/>
    <cellStyle name="Note 2 2 40 4 4" xfId="55900"/>
    <cellStyle name="Note 2 2 40 5" xfId="19405"/>
    <cellStyle name="Note 2 2 40 5 2" xfId="27726"/>
    <cellStyle name="Note 2 2 40 5 2 2" xfId="55901"/>
    <cellStyle name="Note 2 2 40 5 2 3" xfId="55902"/>
    <cellStyle name="Note 2 2 40 5 3" xfId="34874"/>
    <cellStyle name="Note 2 2 40 5 4" xfId="55903"/>
    <cellStyle name="Note 2 2 40 6" xfId="20374"/>
    <cellStyle name="Note 2 2 40 6 2" xfId="28696"/>
    <cellStyle name="Note 2 2 40 6 2 2" xfId="55904"/>
    <cellStyle name="Note 2 2 40 6 2 3" xfId="55905"/>
    <cellStyle name="Note 2 2 40 6 3" xfId="35809"/>
    <cellStyle name="Note 2 2 40 6 4" xfId="55906"/>
    <cellStyle name="Note 2 2 40 7" xfId="21835"/>
    <cellStyle name="Note 2 2 40 7 2" xfId="30136"/>
    <cellStyle name="Note 2 2 40 7 2 2" xfId="55907"/>
    <cellStyle name="Note 2 2 40 7 2 3" xfId="55908"/>
    <cellStyle name="Note 2 2 40 7 3" xfId="37183"/>
    <cellStyle name="Note 2 2 40 7 4" xfId="55909"/>
    <cellStyle name="Note 2 2 40 8" xfId="22763"/>
    <cellStyle name="Note 2 2 40 8 2" xfId="31059"/>
    <cellStyle name="Note 2 2 40 8 2 2" xfId="55910"/>
    <cellStyle name="Note 2 2 40 8 2 3" xfId="55911"/>
    <cellStyle name="Note 2 2 40 8 3" xfId="38066"/>
    <cellStyle name="Note 2 2 40 8 4" xfId="55912"/>
    <cellStyle name="Note 2 2 40 9" xfId="23705"/>
    <cellStyle name="Note 2 2 40 9 2" xfId="55913"/>
    <cellStyle name="Note 2 2 40 9 3" xfId="55914"/>
    <cellStyle name="Note 2 2 41" xfId="15476"/>
    <cellStyle name="Note 2 2 41 10" xfId="55915"/>
    <cellStyle name="Note 2 2 41 11" xfId="55916"/>
    <cellStyle name="Note 2 2 41 2" xfId="16550"/>
    <cellStyle name="Note 2 2 41 2 2" xfId="24863"/>
    <cellStyle name="Note 2 2 41 2 2 2" xfId="55917"/>
    <cellStyle name="Note 2 2 41 2 2 3" xfId="55918"/>
    <cellStyle name="Note 2 2 41 2 3" xfId="32123"/>
    <cellStyle name="Note 2 2 41 2 4" xfId="55919"/>
    <cellStyle name="Note 2 2 41 3" xfId="17522"/>
    <cellStyle name="Note 2 2 41 3 2" xfId="25842"/>
    <cellStyle name="Note 2 2 41 3 2 2" xfId="55920"/>
    <cellStyle name="Note 2 2 41 3 2 3" xfId="55921"/>
    <cellStyle name="Note 2 2 41 3 3" xfId="33060"/>
    <cellStyle name="Note 2 2 41 3 4" xfId="55922"/>
    <cellStyle name="Note 2 2 41 4" xfId="18549"/>
    <cellStyle name="Note 2 2 41 4 2" xfId="26866"/>
    <cellStyle name="Note 2 2 41 4 2 2" xfId="55923"/>
    <cellStyle name="Note 2 2 41 4 2 3" xfId="55924"/>
    <cellStyle name="Note 2 2 41 4 3" xfId="34036"/>
    <cellStyle name="Note 2 2 41 4 4" xfId="55925"/>
    <cellStyle name="Note 2 2 41 5" xfId="19533"/>
    <cellStyle name="Note 2 2 41 5 2" xfId="27854"/>
    <cellStyle name="Note 2 2 41 5 2 2" xfId="55926"/>
    <cellStyle name="Note 2 2 41 5 2 3" xfId="55927"/>
    <cellStyle name="Note 2 2 41 5 3" xfId="35002"/>
    <cellStyle name="Note 2 2 41 5 4" xfId="55928"/>
    <cellStyle name="Note 2 2 41 6" xfId="20497"/>
    <cellStyle name="Note 2 2 41 6 2" xfId="28819"/>
    <cellStyle name="Note 2 2 41 6 2 2" xfId="55929"/>
    <cellStyle name="Note 2 2 41 6 2 3" xfId="55930"/>
    <cellStyle name="Note 2 2 41 6 3" xfId="35926"/>
    <cellStyle name="Note 2 2 41 6 4" xfId="55931"/>
    <cellStyle name="Note 2 2 41 7" xfId="21957"/>
    <cellStyle name="Note 2 2 41 7 2" xfId="30258"/>
    <cellStyle name="Note 2 2 41 7 2 2" xfId="55932"/>
    <cellStyle name="Note 2 2 41 7 2 3" xfId="55933"/>
    <cellStyle name="Note 2 2 41 7 3" xfId="37298"/>
    <cellStyle name="Note 2 2 41 7 4" xfId="55934"/>
    <cellStyle name="Note 2 2 41 8" xfId="22881"/>
    <cellStyle name="Note 2 2 41 8 2" xfId="31177"/>
    <cellStyle name="Note 2 2 41 8 2 2" xfId="55935"/>
    <cellStyle name="Note 2 2 41 8 2 3" xfId="55936"/>
    <cellStyle name="Note 2 2 41 8 3" xfId="38179"/>
    <cellStyle name="Note 2 2 41 8 4" xfId="55937"/>
    <cellStyle name="Note 2 2 41 9" xfId="23826"/>
    <cellStyle name="Note 2 2 41 9 2" xfId="55938"/>
    <cellStyle name="Note 2 2 41 9 3" xfId="55939"/>
    <cellStyle name="Note 2 2 42" xfId="15514"/>
    <cellStyle name="Note 2 2 42 2" xfId="23854"/>
    <cellStyle name="Note 2 2 42 2 2" xfId="55940"/>
    <cellStyle name="Note 2 2 42 2 3" xfId="55941"/>
    <cellStyle name="Note 2 2 42 3" xfId="31201"/>
    <cellStyle name="Note 2 2 42 4" xfId="55942"/>
    <cellStyle name="Note 2 2 43" xfId="17551"/>
    <cellStyle name="Note 2 2 43 2" xfId="25870"/>
    <cellStyle name="Note 2 2 43 2 2" xfId="55943"/>
    <cellStyle name="Note 2 2 43 2 3" xfId="55944"/>
    <cellStyle name="Note 2 2 43 3" xfId="33087"/>
    <cellStyle name="Note 2 2 43 4" xfId="55945"/>
    <cellStyle name="Note 2 2 44" xfId="20493"/>
    <cellStyle name="Note 2 2 44 2" xfId="28815"/>
    <cellStyle name="Note 2 2 44 2 2" xfId="55946"/>
    <cellStyle name="Note 2 2 44 2 3" xfId="55947"/>
    <cellStyle name="Note 2 2 44 3" xfId="35923"/>
    <cellStyle name="Note 2 2 44 4" xfId="55948"/>
    <cellStyle name="Note 2 2 45" xfId="21367"/>
    <cellStyle name="Note 2 2 45 2" xfId="29670"/>
    <cellStyle name="Note 2 2 45 2 2" xfId="55949"/>
    <cellStyle name="Note 2 2 45 2 3" xfId="55950"/>
    <cellStyle name="Note 2 2 45 3" xfId="36735"/>
    <cellStyle name="Note 2 2 45 4" xfId="55951"/>
    <cellStyle name="Note 2 2 46" xfId="14501"/>
    <cellStyle name="Note 2 2 46 2" xfId="55952"/>
    <cellStyle name="Note 2 2 46 3" xfId="55953"/>
    <cellStyle name="Note 2 2 47" xfId="55954"/>
    <cellStyle name="Note 2 2 48" xfId="55955"/>
    <cellStyle name="Note 2 2 49" xfId="55956"/>
    <cellStyle name="Note 2 2 5" xfId="202"/>
    <cellStyle name="Note 2 2 5 10" xfId="22959"/>
    <cellStyle name="Note 2 2 5 11" xfId="55957"/>
    <cellStyle name="Note 2 2 5 12" xfId="55958"/>
    <cellStyle name="Note 2 2 5 13" xfId="55959"/>
    <cellStyle name="Note 2 2 5 14" xfId="55960"/>
    <cellStyle name="Note 2 2 5 15" xfId="60886"/>
    <cellStyle name="Note 2 2 5 2" xfId="358"/>
    <cellStyle name="Note 2 2 5 2 2" xfId="1363"/>
    <cellStyle name="Note 2 2 5 2 2 2" xfId="929"/>
    <cellStyle name="Note 2 2 5 2 2 2 2" xfId="2683"/>
    <cellStyle name="Note 2 2 5 2 2 2 2 2" xfId="6103"/>
    <cellStyle name="Note 2 2 5 2 2 2 2 2 2" xfId="12943"/>
    <cellStyle name="Note 2 2 5 2 2 2 2 3" xfId="9523"/>
    <cellStyle name="Note 2 2 5 2 2 2 3" xfId="3823"/>
    <cellStyle name="Note 2 2 5 2 2 2 3 2" xfId="7243"/>
    <cellStyle name="Note 2 2 5 2 2 2 3 2 2" xfId="14083"/>
    <cellStyle name="Note 2 2 5 2 2 2 3 3" xfId="10663"/>
    <cellStyle name="Note 2 2 5 2 2 2 4" xfId="4963"/>
    <cellStyle name="Note 2 2 5 2 2 2 4 2" xfId="11803"/>
    <cellStyle name="Note 2 2 5 2 2 2 5" xfId="8383"/>
    <cellStyle name="Note 2 2 5 2 2 3" xfId="2184"/>
    <cellStyle name="Note 2 2 5 2 2 3 2" xfId="5604"/>
    <cellStyle name="Note 2 2 5 2 2 3 2 2" xfId="12444"/>
    <cellStyle name="Note 2 2 5 2 2 3 3" xfId="9024"/>
    <cellStyle name="Note 2 2 5 2 2 4" xfId="3324"/>
    <cellStyle name="Note 2 2 5 2 2 4 2" xfId="6744"/>
    <cellStyle name="Note 2 2 5 2 2 4 2 2" xfId="13584"/>
    <cellStyle name="Note 2 2 5 2 2 4 3" xfId="10164"/>
    <cellStyle name="Note 2 2 5 2 2 5" xfId="4464"/>
    <cellStyle name="Note 2 2 5 2 2 5 2" xfId="11304"/>
    <cellStyle name="Note 2 2 5 2 2 6" xfId="7884"/>
    <cellStyle name="Note 2 2 5 2 2 7" xfId="61642"/>
    <cellStyle name="Note 2 2 5 2 2 8" xfId="62126"/>
    <cellStyle name="Note 2 2 5 2 3" xfId="23994"/>
    <cellStyle name="Note 2 2 5 2 4" xfId="31289"/>
    <cellStyle name="Note 2 2 5 2 5" xfId="55961"/>
    <cellStyle name="Note 2 2 5 2 6" xfId="55962"/>
    <cellStyle name="Note 2 2 5 2 7" xfId="55963"/>
    <cellStyle name="Note 2 2 5 2 8" xfId="55964"/>
    <cellStyle name="Note 2 2 5 2 9" xfId="61039"/>
    <cellStyle name="Note 2 2 5 3" xfId="1210"/>
    <cellStyle name="Note 2 2 5 3 10" xfId="62338"/>
    <cellStyle name="Note 2 2 5 3 2" xfId="1848"/>
    <cellStyle name="Note 2 2 5 3 2 2" xfId="2988"/>
    <cellStyle name="Note 2 2 5 3 2 2 2" xfId="6408"/>
    <cellStyle name="Note 2 2 5 3 2 2 2 2" xfId="13248"/>
    <cellStyle name="Note 2 2 5 3 2 2 3" xfId="9828"/>
    <cellStyle name="Note 2 2 5 3 2 3" xfId="4128"/>
    <cellStyle name="Note 2 2 5 3 2 3 2" xfId="7548"/>
    <cellStyle name="Note 2 2 5 3 2 3 2 2" xfId="14388"/>
    <cellStyle name="Note 2 2 5 3 2 3 3" xfId="10968"/>
    <cellStyle name="Note 2 2 5 3 2 4" xfId="5268"/>
    <cellStyle name="Note 2 2 5 3 2 4 2" xfId="12108"/>
    <cellStyle name="Note 2 2 5 3 2 5" xfId="8688"/>
    <cellStyle name="Note 2 2 5 3 3" xfId="2029"/>
    <cellStyle name="Note 2 2 5 3 3 2" xfId="5449"/>
    <cellStyle name="Note 2 2 5 3 3 2 2" xfId="12289"/>
    <cellStyle name="Note 2 2 5 3 3 3" xfId="8869"/>
    <cellStyle name="Note 2 2 5 3 4" xfId="3169"/>
    <cellStyle name="Note 2 2 5 3 4 2" xfId="6589"/>
    <cellStyle name="Note 2 2 5 3 4 2 2" xfId="13429"/>
    <cellStyle name="Note 2 2 5 3 4 3" xfId="10009"/>
    <cellStyle name="Note 2 2 5 3 5" xfId="4309"/>
    <cellStyle name="Note 2 2 5 3 5 2" xfId="11149"/>
    <cellStyle name="Note 2 2 5 3 6" xfId="7729"/>
    <cellStyle name="Note 2 2 5 3 7" xfId="24965"/>
    <cellStyle name="Note 2 2 5 3 8" xfId="32222"/>
    <cellStyle name="Note 2 2 5 3 9" xfId="61882"/>
    <cellStyle name="Note 2 2 5 4" xfId="17667"/>
    <cellStyle name="Note 2 2 5 4 2" xfId="25991"/>
    <cellStyle name="Note 2 2 5 4 2 2" xfId="55965"/>
    <cellStyle name="Note 2 2 5 4 2 3" xfId="55966"/>
    <cellStyle name="Note 2 2 5 4 3" xfId="33199"/>
    <cellStyle name="Note 2 2 5 4 4" xfId="55967"/>
    <cellStyle name="Note 2 2 5 5" xfId="18650"/>
    <cellStyle name="Note 2 2 5 5 2" xfId="26971"/>
    <cellStyle name="Note 2 2 5 5 2 2" xfId="55968"/>
    <cellStyle name="Note 2 2 5 5 2 3" xfId="55969"/>
    <cellStyle name="Note 2 2 5 5 3" xfId="34137"/>
    <cellStyle name="Note 2 2 5 5 4" xfId="55970"/>
    <cellStyle name="Note 2 2 5 6" xfId="19619"/>
    <cellStyle name="Note 2 2 5 6 2" xfId="27940"/>
    <cellStyle name="Note 2 2 5 6 2 2" xfId="55971"/>
    <cellStyle name="Note 2 2 5 6 2 3" xfId="55972"/>
    <cellStyle name="Note 2 2 5 6 3" xfId="35083"/>
    <cellStyle name="Note 2 2 5 6 4" xfId="55973"/>
    <cellStyle name="Note 2 2 5 7" xfId="20576"/>
    <cellStyle name="Note 2 2 5 7 2" xfId="28898"/>
    <cellStyle name="Note 2 2 5 7 2 2" xfId="55974"/>
    <cellStyle name="Note 2 2 5 7 2 3" xfId="55975"/>
    <cellStyle name="Note 2 2 5 7 3" xfId="35999"/>
    <cellStyle name="Note 2 2 5 7 4" xfId="55976"/>
    <cellStyle name="Note 2 2 5 8" xfId="21167"/>
    <cellStyle name="Note 2 2 5 8 2" xfId="29479"/>
    <cellStyle name="Note 2 2 5 8 2 2" xfId="55977"/>
    <cellStyle name="Note 2 2 5 8 2 3" xfId="55978"/>
    <cellStyle name="Note 2 2 5 8 3" xfId="36551"/>
    <cellStyle name="Note 2 2 5 8 4" xfId="55979"/>
    <cellStyle name="Note 2 2 5 9" xfId="22013"/>
    <cellStyle name="Note 2 2 5 9 2" xfId="30312"/>
    <cellStyle name="Note 2 2 5 9 2 2" xfId="55980"/>
    <cellStyle name="Note 2 2 5 9 2 3" xfId="55981"/>
    <cellStyle name="Note 2 2 5 9 3" xfId="37350"/>
    <cellStyle name="Note 2 2 5 9 4" xfId="55982"/>
    <cellStyle name="Note 2 2 50" xfId="55983"/>
    <cellStyle name="Note 2 2 51" xfId="60772"/>
    <cellStyle name="Note 2 2 6" xfId="394"/>
    <cellStyle name="Note 2 2 6 10" xfId="22977"/>
    <cellStyle name="Note 2 2 6 11" xfId="55984"/>
    <cellStyle name="Note 2 2 6 12" xfId="55985"/>
    <cellStyle name="Note 2 2 6 13" xfId="55986"/>
    <cellStyle name="Note 2 2 6 14" xfId="55987"/>
    <cellStyle name="Note 2 2 6 15" xfId="61075"/>
    <cellStyle name="Note 2 2 6 2" xfId="361"/>
    <cellStyle name="Note 2 2 6 2 2" xfId="1366"/>
    <cellStyle name="Note 2 2 6 2 2 2" xfId="926"/>
    <cellStyle name="Note 2 2 6 2 2 2 2" xfId="2528"/>
    <cellStyle name="Note 2 2 6 2 2 2 2 2" xfId="5948"/>
    <cellStyle name="Note 2 2 6 2 2 2 2 2 2" xfId="12788"/>
    <cellStyle name="Note 2 2 6 2 2 2 2 3" xfId="9368"/>
    <cellStyle name="Note 2 2 6 2 2 2 3" xfId="3668"/>
    <cellStyle name="Note 2 2 6 2 2 2 3 2" xfId="7088"/>
    <cellStyle name="Note 2 2 6 2 2 2 3 2 2" xfId="13928"/>
    <cellStyle name="Note 2 2 6 2 2 2 3 3" xfId="10508"/>
    <cellStyle name="Note 2 2 6 2 2 2 4" xfId="4808"/>
    <cellStyle name="Note 2 2 6 2 2 2 4 2" xfId="11648"/>
    <cellStyle name="Note 2 2 6 2 2 2 5" xfId="8228"/>
    <cellStyle name="Note 2 2 6 2 2 3" xfId="2187"/>
    <cellStyle name="Note 2 2 6 2 2 3 2" xfId="5607"/>
    <cellStyle name="Note 2 2 6 2 2 3 2 2" xfId="12447"/>
    <cellStyle name="Note 2 2 6 2 2 3 3" xfId="9027"/>
    <cellStyle name="Note 2 2 6 2 2 4" xfId="3327"/>
    <cellStyle name="Note 2 2 6 2 2 4 2" xfId="6747"/>
    <cellStyle name="Note 2 2 6 2 2 4 2 2" xfId="13587"/>
    <cellStyle name="Note 2 2 6 2 2 4 3" xfId="10167"/>
    <cellStyle name="Note 2 2 6 2 2 5" xfId="4467"/>
    <cellStyle name="Note 2 2 6 2 2 5 2" xfId="11307"/>
    <cellStyle name="Note 2 2 6 2 2 6" xfId="7887"/>
    <cellStyle name="Note 2 2 6 2 2 7" xfId="61640"/>
    <cellStyle name="Note 2 2 6 2 2 8" xfId="62124"/>
    <cellStyle name="Note 2 2 6 2 3" xfId="24012"/>
    <cellStyle name="Note 2 2 6 2 4" xfId="31306"/>
    <cellStyle name="Note 2 2 6 2 5" xfId="55988"/>
    <cellStyle name="Note 2 2 6 2 6" xfId="55989"/>
    <cellStyle name="Note 2 2 6 2 7" xfId="55990"/>
    <cellStyle name="Note 2 2 6 2 8" xfId="55991"/>
    <cellStyle name="Note 2 2 6 2 9" xfId="61042"/>
    <cellStyle name="Note 2 2 6 3" xfId="1399"/>
    <cellStyle name="Note 2 2 6 3 10" xfId="62125"/>
    <cellStyle name="Note 2 2 6 3 2" xfId="1820"/>
    <cellStyle name="Note 2 2 6 3 2 2" xfId="2960"/>
    <cellStyle name="Note 2 2 6 3 2 2 2" xfId="6380"/>
    <cellStyle name="Note 2 2 6 3 2 2 2 2" xfId="13220"/>
    <cellStyle name="Note 2 2 6 3 2 2 3" xfId="9800"/>
    <cellStyle name="Note 2 2 6 3 2 3" xfId="4100"/>
    <cellStyle name="Note 2 2 6 3 2 3 2" xfId="7520"/>
    <cellStyle name="Note 2 2 6 3 2 3 2 2" xfId="14360"/>
    <cellStyle name="Note 2 2 6 3 2 3 3" xfId="10940"/>
    <cellStyle name="Note 2 2 6 3 2 4" xfId="5240"/>
    <cellStyle name="Note 2 2 6 3 2 4 2" xfId="12080"/>
    <cellStyle name="Note 2 2 6 3 2 5" xfId="8660"/>
    <cellStyle name="Note 2 2 6 3 3" xfId="2220"/>
    <cellStyle name="Note 2 2 6 3 3 2" xfId="5640"/>
    <cellStyle name="Note 2 2 6 3 3 2 2" xfId="12480"/>
    <cellStyle name="Note 2 2 6 3 3 3" xfId="9060"/>
    <cellStyle name="Note 2 2 6 3 4" xfId="3360"/>
    <cellStyle name="Note 2 2 6 3 4 2" xfId="6780"/>
    <cellStyle name="Note 2 2 6 3 4 2 2" xfId="13620"/>
    <cellStyle name="Note 2 2 6 3 4 3" xfId="10200"/>
    <cellStyle name="Note 2 2 6 3 5" xfId="4500"/>
    <cellStyle name="Note 2 2 6 3 5 2" xfId="11340"/>
    <cellStyle name="Note 2 2 6 3 6" xfId="7920"/>
    <cellStyle name="Note 2 2 6 3 7" xfId="24983"/>
    <cellStyle name="Note 2 2 6 3 8" xfId="32239"/>
    <cellStyle name="Note 2 2 6 3 9" xfId="61641"/>
    <cellStyle name="Note 2 2 6 4" xfId="17686"/>
    <cellStyle name="Note 2 2 6 4 2" xfId="26009"/>
    <cellStyle name="Note 2 2 6 4 2 2" xfId="55992"/>
    <cellStyle name="Note 2 2 6 4 2 3" xfId="55993"/>
    <cellStyle name="Note 2 2 6 4 3" xfId="33216"/>
    <cellStyle name="Note 2 2 6 4 4" xfId="55994"/>
    <cellStyle name="Note 2 2 6 5" xfId="18669"/>
    <cellStyle name="Note 2 2 6 5 2" xfId="26990"/>
    <cellStyle name="Note 2 2 6 5 2 2" xfId="55995"/>
    <cellStyle name="Note 2 2 6 5 2 3" xfId="55996"/>
    <cellStyle name="Note 2 2 6 5 3" xfId="34155"/>
    <cellStyle name="Note 2 2 6 5 4" xfId="55997"/>
    <cellStyle name="Note 2 2 6 6" xfId="19638"/>
    <cellStyle name="Note 2 2 6 6 2" xfId="27959"/>
    <cellStyle name="Note 2 2 6 6 2 2" xfId="55998"/>
    <cellStyle name="Note 2 2 6 6 2 3" xfId="55999"/>
    <cellStyle name="Note 2 2 6 6 3" xfId="35101"/>
    <cellStyle name="Note 2 2 6 6 4" xfId="56000"/>
    <cellStyle name="Note 2 2 6 7" xfId="20595"/>
    <cellStyle name="Note 2 2 6 7 2" xfId="28916"/>
    <cellStyle name="Note 2 2 6 7 2 2" xfId="56001"/>
    <cellStyle name="Note 2 2 6 7 2 3" xfId="56002"/>
    <cellStyle name="Note 2 2 6 7 3" xfId="36016"/>
    <cellStyle name="Note 2 2 6 7 4" xfId="56003"/>
    <cellStyle name="Note 2 2 6 8" xfId="21308"/>
    <cellStyle name="Note 2 2 6 8 2" xfId="29615"/>
    <cellStyle name="Note 2 2 6 8 2 2" xfId="56004"/>
    <cellStyle name="Note 2 2 6 8 2 3" xfId="56005"/>
    <cellStyle name="Note 2 2 6 8 3" xfId="36682"/>
    <cellStyle name="Note 2 2 6 8 4" xfId="56006"/>
    <cellStyle name="Note 2 2 6 9" xfId="22032"/>
    <cellStyle name="Note 2 2 6 9 2" xfId="30330"/>
    <cellStyle name="Note 2 2 6 9 2 2" xfId="56007"/>
    <cellStyle name="Note 2 2 6 9 2 3" xfId="56008"/>
    <cellStyle name="Note 2 2 6 9 3" xfId="37367"/>
    <cellStyle name="Note 2 2 6 9 4" xfId="56009"/>
    <cellStyle name="Note 2 2 7" xfId="507"/>
    <cellStyle name="Note 2 2 7 10" xfId="22932"/>
    <cellStyle name="Note 2 2 7 11" xfId="56010"/>
    <cellStyle name="Note 2 2 7 12" xfId="56011"/>
    <cellStyle name="Note 2 2 7 13" xfId="56012"/>
    <cellStyle name="Note 2 2 7 14" xfId="56013"/>
    <cellStyle name="Note 2 2 7 15" xfId="61187"/>
    <cellStyle name="Note 2 2 7 2" xfId="356"/>
    <cellStyle name="Note 2 2 7 2 2" xfId="1361"/>
    <cellStyle name="Note 2 2 7 2 2 2" xfId="931"/>
    <cellStyle name="Note 2 2 7 2 2 2 2" xfId="2539"/>
    <cellStyle name="Note 2 2 7 2 2 2 2 2" xfId="5959"/>
    <cellStyle name="Note 2 2 7 2 2 2 2 2 2" xfId="12799"/>
    <cellStyle name="Note 2 2 7 2 2 2 2 3" xfId="9379"/>
    <cellStyle name="Note 2 2 7 2 2 2 3" xfId="3679"/>
    <cellStyle name="Note 2 2 7 2 2 2 3 2" xfId="7099"/>
    <cellStyle name="Note 2 2 7 2 2 2 3 2 2" xfId="13939"/>
    <cellStyle name="Note 2 2 7 2 2 2 3 3" xfId="10519"/>
    <cellStyle name="Note 2 2 7 2 2 2 4" xfId="4819"/>
    <cellStyle name="Note 2 2 7 2 2 2 4 2" xfId="11659"/>
    <cellStyle name="Note 2 2 7 2 2 2 5" xfId="8239"/>
    <cellStyle name="Note 2 2 7 2 2 3" xfId="2182"/>
    <cellStyle name="Note 2 2 7 2 2 3 2" xfId="5602"/>
    <cellStyle name="Note 2 2 7 2 2 3 2 2" xfId="12442"/>
    <cellStyle name="Note 2 2 7 2 2 3 3" xfId="9022"/>
    <cellStyle name="Note 2 2 7 2 2 4" xfId="3322"/>
    <cellStyle name="Note 2 2 7 2 2 4 2" xfId="6742"/>
    <cellStyle name="Note 2 2 7 2 2 4 2 2" xfId="13582"/>
    <cellStyle name="Note 2 2 7 2 2 4 3" xfId="10162"/>
    <cellStyle name="Note 2 2 7 2 2 5" xfId="4462"/>
    <cellStyle name="Note 2 2 7 2 2 5 2" xfId="11302"/>
    <cellStyle name="Note 2 2 7 2 2 6" xfId="7882"/>
    <cellStyle name="Note 2 2 7 2 2 7" xfId="61442"/>
    <cellStyle name="Note 2 2 7 2 2 8" xfId="62011"/>
    <cellStyle name="Note 2 2 7 2 3" xfId="23968"/>
    <cellStyle name="Note 2 2 7 2 4" xfId="31265"/>
    <cellStyle name="Note 2 2 7 2 5" xfId="56014"/>
    <cellStyle name="Note 2 2 7 2 6" xfId="56015"/>
    <cellStyle name="Note 2 2 7 2 7" xfId="56016"/>
    <cellStyle name="Note 2 2 7 2 8" xfId="56017"/>
    <cellStyle name="Note 2 2 7 2 9" xfId="61037"/>
    <cellStyle name="Note 2 2 7 3" xfId="1511"/>
    <cellStyle name="Note 2 2 7 3 10" xfId="61958"/>
    <cellStyle name="Note 2 2 7 3 2" xfId="854"/>
    <cellStyle name="Note 2 2 7 3 2 2" xfId="2643"/>
    <cellStyle name="Note 2 2 7 3 2 2 2" xfId="6063"/>
    <cellStyle name="Note 2 2 7 3 2 2 2 2" xfId="12903"/>
    <cellStyle name="Note 2 2 7 3 2 2 3" xfId="9483"/>
    <cellStyle name="Note 2 2 7 3 2 3" xfId="3783"/>
    <cellStyle name="Note 2 2 7 3 2 3 2" xfId="7203"/>
    <cellStyle name="Note 2 2 7 3 2 3 2 2" xfId="14043"/>
    <cellStyle name="Note 2 2 7 3 2 3 3" xfId="10623"/>
    <cellStyle name="Note 2 2 7 3 2 4" xfId="4923"/>
    <cellStyle name="Note 2 2 7 3 2 4 2" xfId="11763"/>
    <cellStyle name="Note 2 2 7 3 2 5" xfId="8343"/>
    <cellStyle name="Note 2 2 7 3 3" xfId="2332"/>
    <cellStyle name="Note 2 2 7 3 3 2" xfId="5752"/>
    <cellStyle name="Note 2 2 7 3 3 2 2" xfId="12592"/>
    <cellStyle name="Note 2 2 7 3 3 3" xfId="9172"/>
    <cellStyle name="Note 2 2 7 3 4" xfId="3472"/>
    <cellStyle name="Note 2 2 7 3 4 2" xfId="6892"/>
    <cellStyle name="Note 2 2 7 3 4 2 2" xfId="13732"/>
    <cellStyle name="Note 2 2 7 3 4 3" xfId="10312"/>
    <cellStyle name="Note 2 2 7 3 5" xfId="4612"/>
    <cellStyle name="Note 2 2 7 3 5 2" xfId="11452"/>
    <cellStyle name="Note 2 2 7 3 6" xfId="8032"/>
    <cellStyle name="Note 2 2 7 3 7" xfId="24939"/>
    <cellStyle name="Note 2 2 7 3 8" xfId="32198"/>
    <cellStyle name="Note 2 2 7 3 9" xfId="61368"/>
    <cellStyle name="Note 2 2 7 4" xfId="17642"/>
    <cellStyle name="Note 2 2 7 4 2" xfId="25965"/>
    <cellStyle name="Note 2 2 7 4 2 2" xfId="56018"/>
    <cellStyle name="Note 2 2 7 4 2 3" xfId="56019"/>
    <cellStyle name="Note 2 2 7 4 3" xfId="33175"/>
    <cellStyle name="Note 2 2 7 4 4" xfId="56020"/>
    <cellStyle name="Note 2 2 7 5" xfId="18624"/>
    <cellStyle name="Note 2 2 7 5 2" xfId="26944"/>
    <cellStyle name="Note 2 2 7 5 2 2" xfId="56021"/>
    <cellStyle name="Note 2 2 7 5 2 3" xfId="56022"/>
    <cellStyle name="Note 2 2 7 5 3" xfId="34112"/>
    <cellStyle name="Note 2 2 7 5 4" xfId="56023"/>
    <cellStyle name="Note 2 2 7 6" xfId="19593"/>
    <cellStyle name="Note 2 2 7 6 2" xfId="27913"/>
    <cellStyle name="Note 2 2 7 6 2 2" xfId="56024"/>
    <cellStyle name="Note 2 2 7 6 2 3" xfId="56025"/>
    <cellStyle name="Note 2 2 7 6 3" xfId="35058"/>
    <cellStyle name="Note 2 2 7 6 4" xfId="56026"/>
    <cellStyle name="Note 2 2 7 7" xfId="20550"/>
    <cellStyle name="Note 2 2 7 7 2" xfId="28872"/>
    <cellStyle name="Note 2 2 7 7 2 2" xfId="56027"/>
    <cellStyle name="Note 2 2 7 7 2 3" xfId="56028"/>
    <cellStyle name="Note 2 2 7 7 3" xfId="35975"/>
    <cellStyle name="Note 2 2 7 7 4" xfId="56029"/>
    <cellStyle name="Note 2 2 7 8" xfId="21282"/>
    <cellStyle name="Note 2 2 7 8 2" xfId="29589"/>
    <cellStyle name="Note 2 2 7 8 2 2" xfId="56030"/>
    <cellStyle name="Note 2 2 7 8 2 3" xfId="56031"/>
    <cellStyle name="Note 2 2 7 8 3" xfId="36656"/>
    <cellStyle name="Note 2 2 7 8 4" xfId="56032"/>
    <cellStyle name="Note 2 2 7 9" xfId="21986"/>
    <cellStyle name="Note 2 2 7 9 2" xfId="30286"/>
    <cellStyle name="Note 2 2 7 9 2 2" xfId="56033"/>
    <cellStyle name="Note 2 2 7 9 2 3" xfId="56034"/>
    <cellStyle name="Note 2 2 7 9 3" xfId="37326"/>
    <cellStyle name="Note 2 2 7 9 4" xfId="56035"/>
    <cellStyle name="Note 2 2 8" xfId="1096"/>
    <cellStyle name="Note 2 2 8 10" xfId="22995"/>
    <cellStyle name="Note 2 2 8 11" xfId="61737"/>
    <cellStyle name="Note 2 2 8 2" xfId="1081"/>
    <cellStyle name="Note 2 2 8 2 2" xfId="2720"/>
    <cellStyle name="Note 2 2 8 2 2 2" xfId="6140"/>
    <cellStyle name="Note 2 2 8 2 2 2 2" xfId="12980"/>
    <cellStyle name="Note 2 2 8 2 2 3" xfId="9560"/>
    <cellStyle name="Note 2 2 8 2 3" xfId="3860"/>
    <cellStyle name="Note 2 2 8 2 3 2" xfId="7280"/>
    <cellStyle name="Note 2 2 8 2 3 2 2" xfId="14120"/>
    <cellStyle name="Note 2 2 8 2 3 3" xfId="10700"/>
    <cellStyle name="Note 2 2 8 2 4" xfId="5000"/>
    <cellStyle name="Note 2 2 8 2 4 2" xfId="11840"/>
    <cellStyle name="Note 2 2 8 2 5" xfId="8420"/>
    <cellStyle name="Note 2 2 8 2 6" xfId="24030"/>
    <cellStyle name="Note 2 2 8 2 7" xfId="31323"/>
    <cellStyle name="Note 2 2 8 2 8" xfId="61405"/>
    <cellStyle name="Note 2 2 8 2 9" xfId="61984"/>
    <cellStyle name="Note 2 2 8 3" xfId="1903"/>
    <cellStyle name="Note 2 2 8 3 2" xfId="5323"/>
    <cellStyle name="Note 2 2 8 3 2 2" xfId="12163"/>
    <cellStyle name="Note 2 2 8 3 2 3" xfId="56036"/>
    <cellStyle name="Note 2 2 8 3 3" xfId="8743"/>
    <cellStyle name="Note 2 2 8 3 4" xfId="25001"/>
    <cellStyle name="Note 2 2 8 3 5" xfId="32256"/>
    <cellStyle name="Note 2 2 8 4" xfId="3043"/>
    <cellStyle name="Note 2 2 8 4 2" xfId="6463"/>
    <cellStyle name="Note 2 2 8 4 2 2" xfId="13303"/>
    <cellStyle name="Note 2 2 8 4 2 3" xfId="56037"/>
    <cellStyle name="Note 2 2 8 4 3" xfId="9883"/>
    <cellStyle name="Note 2 2 8 4 4" xfId="26027"/>
    <cellStyle name="Note 2 2 8 4 5" xfId="33233"/>
    <cellStyle name="Note 2 2 8 5" xfId="4183"/>
    <cellStyle name="Note 2 2 8 5 2" xfId="11023"/>
    <cellStyle name="Note 2 2 8 5 2 2" xfId="56038"/>
    <cellStyle name="Note 2 2 8 5 2 3" xfId="56039"/>
    <cellStyle name="Note 2 2 8 5 3" xfId="27008"/>
    <cellStyle name="Note 2 2 8 5 4" xfId="34172"/>
    <cellStyle name="Note 2 2 8 6" xfId="7603"/>
    <cellStyle name="Note 2 2 8 6 2" xfId="27977"/>
    <cellStyle name="Note 2 2 8 6 2 2" xfId="56040"/>
    <cellStyle name="Note 2 2 8 6 2 3" xfId="56041"/>
    <cellStyle name="Note 2 2 8 6 3" xfId="35118"/>
    <cellStyle name="Note 2 2 8 6 4" xfId="56042"/>
    <cellStyle name="Note 2 2 8 7" xfId="20613"/>
    <cellStyle name="Note 2 2 8 7 2" xfId="28934"/>
    <cellStyle name="Note 2 2 8 7 2 2" xfId="56043"/>
    <cellStyle name="Note 2 2 8 7 2 3" xfId="56044"/>
    <cellStyle name="Note 2 2 8 7 3" xfId="36033"/>
    <cellStyle name="Note 2 2 8 7 4" xfId="56045"/>
    <cellStyle name="Note 2 2 8 8" xfId="21263"/>
    <cellStyle name="Note 2 2 8 8 2" xfId="29571"/>
    <cellStyle name="Note 2 2 8 8 2 2" xfId="56046"/>
    <cellStyle name="Note 2 2 8 8 2 3" xfId="56047"/>
    <cellStyle name="Note 2 2 8 8 3" xfId="36638"/>
    <cellStyle name="Note 2 2 8 8 4" xfId="56048"/>
    <cellStyle name="Note 2 2 8 9" xfId="22050"/>
    <cellStyle name="Note 2 2 8 9 2" xfId="30348"/>
    <cellStyle name="Note 2 2 8 9 2 2" xfId="56049"/>
    <cellStyle name="Note 2 2 8 9 2 3" xfId="56050"/>
    <cellStyle name="Note 2 2 8 9 3" xfId="37384"/>
    <cellStyle name="Note 2 2 8 9 4" xfId="56051"/>
    <cellStyle name="Note 2 2 9" xfId="14553"/>
    <cellStyle name="Note 2 2 9 10" xfId="22909"/>
    <cellStyle name="Note 2 2 9 11" xfId="61485"/>
    <cellStyle name="Note 2 2 9 2" xfId="15632"/>
    <cellStyle name="Note 2 2 9 2 2" xfId="23945"/>
    <cellStyle name="Note 2 2 9 2 2 2" xfId="56052"/>
    <cellStyle name="Note 2 2 9 2 2 3" xfId="56053"/>
    <cellStyle name="Note 2 2 9 2 3" xfId="31242"/>
    <cellStyle name="Note 2 2 9 2 4" xfId="56054"/>
    <cellStyle name="Note 2 2 9 3" xfId="16599"/>
    <cellStyle name="Note 2 2 9 3 2" xfId="24916"/>
    <cellStyle name="Note 2 2 9 3 2 2" xfId="56055"/>
    <cellStyle name="Note 2 2 9 3 2 3" xfId="56056"/>
    <cellStyle name="Note 2 2 9 3 3" xfId="32175"/>
    <cellStyle name="Note 2 2 9 3 4" xfId="56057"/>
    <cellStyle name="Note 2 2 9 4" xfId="17619"/>
    <cellStyle name="Note 2 2 9 4 2" xfId="25942"/>
    <cellStyle name="Note 2 2 9 4 2 2" xfId="56058"/>
    <cellStyle name="Note 2 2 9 4 2 3" xfId="56059"/>
    <cellStyle name="Note 2 2 9 4 3" xfId="33152"/>
    <cellStyle name="Note 2 2 9 4 4" xfId="56060"/>
    <cellStyle name="Note 2 2 9 5" xfId="18601"/>
    <cellStyle name="Note 2 2 9 5 2" xfId="26920"/>
    <cellStyle name="Note 2 2 9 5 2 2" xfId="56061"/>
    <cellStyle name="Note 2 2 9 5 2 3" xfId="56062"/>
    <cellStyle name="Note 2 2 9 5 3" xfId="34088"/>
    <cellStyle name="Note 2 2 9 5 4" xfId="56063"/>
    <cellStyle name="Note 2 2 9 6" xfId="19569"/>
    <cellStyle name="Note 2 2 9 6 2" xfId="27890"/>
    <cellStyle name="Note 2 2 9 6 2 2" xfId="56064"/>
    <cellStyle name="Note 2 2 9 6 2 3" xfId="56065"/>
    <cellStyle name="Note 2 2 9 6 3" xfId="35035"/>
    <cellStyle name="Note 2 2 9 6 4" xfId="56066"/>
    <cellStyle name="Note 2 2 9 7" xfId="20527"/>
    <cellStyle name="Note 2 2 9 7 2" xfId="28849"/>
    <cellStyle name="Note 2 2 9 7 2 2" xfId="56067"/>
    <cellStyle name="Note 2 2 9 7 2 3" xfId="56068"/>
    <cellStyle name="Note 2 2 9 7 3" xfId="35952"/>
    <cellStyle name="Note 2 2 9 7 4" xfId="56069"/>
    <cellStyle name="Note 2 2 9 8" xfId="21213"/>
    <cellStyle name="Note 2 2 9 8 2" xfId="29524"/>
    <cellStyle name="Note 2 2 9 8 2 2" xfId="56070"/>
    <cellStyle name="Note 2 2 9 8 2 3" xfId="56071"/>
    <cellStyle name="Note 2 2 9 8 3" xfId="36593"/>
    <cellStyle name="Note 2 2 9 8 4" xfId="56072"/>
    <cellStyle name="Note 2 2 9 9" xfId="21290"/>
    <cellStyle name="Note 2 2 9 9 2" xfId="29597"/>
    <cellStyle name="Note 2 2 9 9 2 2" xfId="56073"/>
    <cellStyle name="Note 2 2 9 9 2 3" xfId="56074"/>
    <cellStyle name="Note 2 2 9 9 3" xfId="36664"/>
    <cellStyle name="Note 2 2 9 9 4" xfId="56075"/>
    <cellStyle name="Note 2 20" xfId="15376"/>
    <cellStyle name="Note 2 20 10" xfId="56076"/>
    <cellStyle name="Note 2 20 11" xfId="56077"/>
    <cellStyle name="Note 2 20 2" xfId="16456"/>
    <cellStyle name="Note 2 20 2 2" xfId="24769"/>
    <cellStyle name="Note 2 20 2 2 2" xfId="56078"/>
    <cellStyle name="Note 2 20 2 2 3" xfId="56079"/>
    <cellStyle name="Note 2 20 2 3" xfId="32033"/>
    <cellStyle name="Note 2 20 2 4" xfId="56080"/>
    <cellStyle name="Note 2 20 3" xfId="17422"/>
    <cellStyle name="Note 2 20 3 2" xfId="25743"/>
    <cellStyle name="Note 2 20 3 2 2" xfId="56081"/>
    <cellStyle name="Note 2 20 3 2 3" xfId="56082"/>
    <cellStyle name="Note 2 20 3 3" xfId="32966"/>
    <cellStyle name="Note 2 20 3 4" xfId="56083"/>
    <cellStyle name="Note 2 20 4" xfId="18450"/>
    <cellStyle name="Note 2 20 4 2" xfId="26770"/>
    <cellStyle name="Note 2 20 4 2 2" xfId="56084"/>
    <cellStyle name="Note 2 20 4 2 3" xfId="56085"/>
    <cellStyle name="Note 2 20 4 3" xfId="33944"/>
    <cellStyle name="Note 2 20 4 4" xfId="56086"/>
    <cellStyle name="Note 2 20 5" xfId="19433"/>
    <cellStyle name="Note 2 20 5 2" xfId="27754"/>
    <cellStyle name="Note 2 20 5 2 2" xfId="56087"/>
    <cellStyle name="Note 2 20 5 2 3" xfId="56088"/>
    <cellStyle name="Note 2 20 5 3" xfId="34902"/>
    <cellStyle name="Note 2 20 5 4" xfId="56089"/>
    <cellStyle name="Note 2 20 6" xfId="20402"/>
    <cellStyle name="Note 2 20 6 2" xfId="28724"/>
    <cellStyle name="Note 2 20 6 2 2" xfId="56090"/>
    <cellStyle name="Note 2 20 6 2 3" xfId="56091"/>
    <cellStyle name="Note 2 20 6 3" xfId="35836"/>
    <cellStyle name="Note 2 20 6 4" xfId="56092"/>
    <cellStyle name="Note 2 20 7" xfId="21863"/>
    <cellStyle name="Note 2 20 7 2" xfId="30164"/>
    <cellStyle name="Note 2 20 7 2 2" xfId="56093"/>
    <cellStyle name="Note 2 20 7 2 3" xfId="56094"/>
    <cellStyle name="Note 2 20 7 3" xfId="37209"/>
    <cellStyle name="Note 2 20 7 4" xfId="56095"/>
    <cellStyle name="Note 2 20 8" xfId="22791"/>
    <cellStyle name="Note 2 20 8 2" xfId="31087"/>
    <cellStyle name="Note 2 20 8 2 2" xfId="56096"/>
    <cellStyle name="Note 2 20 8 2 3" xfId="56097"/>
    <cellStyle name="Note 2 20 8 3" xfId="38093"/>
    <cellStyle name="Note 2 20 8 4" xfId="56098"/>
    <cellStyle name="Note 2 20 9" xfId="23733"/>
    <cellStyle name="Note 2 20 9 2" xfId="56099"/>
    <cellStyle name="Note 2 20 9 3" xfId="56100"/>
    <cellStyle name="Note 2 21" xfId="15461"/>
    <cellStyle name="Note 2 21 10" xfId="56101"/>
    <cellStyle name="Note 2 21 11" xfId="56102"/>
    <cellStyle name="Note 2 21 2" xfId="16541"/>
    <cellStyle name="Note 2 21 2 2" xfId="24854"/>
    <cellStyle name="Note 2 21 2 2 2" xfId="56103"/>
    <cellStyle name="Note 2 21 2 2 3" xfId="56104"/>
    <cellStyle name="Note 2 21 2 3" xfId="32114"/>
    <cellStyle name="Note 2 21 2 4" xfId="56105"/>
    <cellStyle name="Note 2 21 3" xfId="17507"/>
    <cellStyle name="Note 2 21 3 2" xfId="25828"/>
    <cellStyle name="Note 2 21 3 2 2" xfId="56106"/>
    <cellStyle name="Note 2 21 3 2 3" xfId="56107"/>
    <cellStyle name="Note 2 21 3 3" xfId="33047"/>
    <cellStyle name="Note 2 21 3 4" xfId="56108"/>
    <cellStyle name="Note 2 21 4" xfId="18535"/>
    <cellStyle name="Note 2 21 4 2" xfId="26855"/>
    <cellStyle name="Note 2 21 4 2 2" xfId="56109"/>
    <cellStyle name="Note 2 21 4 2 3" xfId="56110"/>
    <cellStyle name="Note 2 21 4 3" xfId="34025"/>
    <cellStyle name="Note 2 21 4 4" xfId="56111"/>
    <cellStyle name="Note 2 21 5" xfId="19518"/>
    <cellStyle name="Note 2 21 5 2" xfId="27839"/>
    <cellStyle name="Note 2 21 5 2 2" xfId="56112"/>
    <cellStyle name="Note 2 21 5 2 3" xfId="56113"/>
    <cellStyle name="Note 2 21 5 3" xfId="34987"/>
    <cellStyle name="Note 2 21 5 4" xfId="56114"/>
    <cellStyle name="Note 2 21 6" xfId="20487"/>
    <cellStyle name="Note 2 21 6 2" xfId="28809"/>
    <cellStyle name="Note 2 21 6 2 2" xfId="56115"/>
    <cellStyle name="Note 2 21 6 2 3" xfId="56116"/>
    <cellStyle name="Note 2 21 6 3" xfId="35917"/>
    <cellStyle name="Note 2 21 6 4" xfId="56117"/>
    <cellStyle name="Note 2 21 7" xfId="21948"/>
    <cellStyle name="Note 2 21 7 2" xfId="30249"/>
    <cellStyle name="Note 2 21 7 2 2" xfId="56118"/>
    <cellStyle name="Note 2 21 7 2 3" xfId="56119"/>
    <cellStyle name="Note 2 21 7 3" xfId="37290"/>
    <cellStyle name="Note 2 21 7 4" xfId="56120"/>
    <cellStyle name="Note 2 21 8" xfId="22876"/>
    <cellStyle name="Note 2 21 8 2" xfId="31172"/>
    <cellStyle name="Note 2 21 8 2 2" xfId="56121"/>
    <cellStyle name="Note 2 21 8 2 3" xfId="56122"/>
    <cellStyle name="Note 2 21 8 3" xfId="38174"/>
    <cellStyle name="Note 2 21 8 4" xfId="56123"/>
    <cellStyle name="Note 2 21 9" xfId="23818"/>
    <cellStyle name="Note 2 21 9 2" xfId="56124"/>
    <cellStyle name="Note 2 21 9 3" xfId="56125"/>
    <cellStyle name="Note 2 22" xfId="15515"/>
    <cellStyle name="Note 2 22 2" xfId="23855"/>
    <cellStyle name="Note 2 22 2 2" xfId="56126"/>
    <cellStyle name="Note 2 22 2 3" xfId="56127"/>
    <cellStyle name="Note 2 22 3" xfId="31202"/>
    <cellStyle name="Note 2 22 4" xfId="56128"/>
    <cellStyle name="Note 2 23" xfId="17550"/>
    <cellStyle name="Note 2 23 2" xfId="25869"/>
    <cellStyle name="Note 2 23 2 2" xfId="56129"/>
    <cellStyle name="Note 2 23 2 3" xfId="56130"/>
    <cellStyle name="Note 2 23 3" xfId="33086"/>
    <cellStyle name="Note 2 23 4" xfId="56131"/>
    <cellStyle name="Note 2 24" xfId="18159"/>
    <cellStyle name="Note 2 24 2" xfId="26479"/>
    <cellStyle name="Note 2 24 2 2" xfId="56132"/>
    <cellStyle name="Note 2 24 2 3" xfId="56133"/>
    <cellStyle name="Note 2 24 3" xfId="33666"/>
    <cellStyle name="Note 2 24 4" xfId="56134"/>
    <cellStyle name="Note 2 25" xfId="15564"/>
    <cellStyle name="Note 2 25 2" xfId="23890"/>
    <cellStyle name="Note 2 25 2 2" xfId="56135"/>
    <cellStyle name="Note 2 25 2 3" xfId="56136"/>
    <cellStyle name="Note 2 25 3" xfId="31234"/>
    <cellStyle name="Note 2 25 4" xfId="56137"/>
    <cellStyle name="Note 2 26" xfId="14502"/>
    <cellStyle name="Note 2 26 2" xfId="56138"/>
    <cellStyle name="Note 2 26 3" xfId="56139"/>
    <cellStyle name="Note 2 27" xfId="56140"/>
    <cellStyle name="Note 2 28" xfId="56141"/>
    <cellStyle name="Note 2 29" xfId="56142"/>
    <cellStyle name="Note 2 3" xfId="72"/>
    <cellStyle name="Note 2 3 10" xfId="56143"/>
    <cellStyle name="Note 2 3 11" xfId="56144"/>
    <cellStyle name="Note 2 3 12" xfId="56145"/>
    <cellStyle name="Note 2 3 13" xfId="56146"/>
    <cellStyle name="Note 2 3 14" xfId="60782"/>
    <cellStyle name="Note 2 3 2" xfId="149"/>
    <cellStyle name="Note 2 3 2 2" xfId="275"/>
    <cellStyle name="Note 2 3 2 2 2" xfId="684"/>
    <cellStyle name="Note 2 3 2 2 2 2" xfId="1635"/>
    <cellStyle name="Note 2 3 2 2 2 2 2" xfId="772"/>
    <cellStyle name="Note 2 3 2 2 2 2 2 2" xfId="2551"/>
    <cellStyle name="Note 2 3 2 2 2 2 2 2 2" xfId="5971"/>
    <cellStyle name="Note 2 3 2 2 2 2 2 2 2 2" xfId="12811"/>
    <cellStyle name="Note 2 3 2 2 2 2 2 2 3" xfId="9391"/>
    <cellStyle name="Note 2 3 2 2 2 2 2 3" xfId="3691"/>
    <cellStyle name="Note 2 3 2 2 2 2 2 3 2" xfId="7111"/>
    <cellStyle name="Note 2 3 2 2 2 2 2 3 2 2" xfId="13951"/>
    <cellStyle name="Note 2 3 2 2 2 2 2 3 3" xfId="10531"/>
    <cellStyle name="Note 2 3 2 2 2 2 2 4" xfId="4831"/>
    <cellStyle name="Note 2 3 2 2 2 2 2 4 2" xfId="11671"/>
    <cellStyle name="Note 2 3 2 2 2 2 2 5" xfId="8251"/>
    <cellStyle name="Note 2 3 2 2 2 2 3" xfId="2469"/>
    <cellStyle name="Note 2 3 2 2 2 2 3 2" xfId="5889"/>
    <cellStyle name="Note 2 3 2 2 2 2 3 2 2" xfId="12729"/>
    <cellStyle name="Note 2 3 2 2 2 2 3 3" xfId="9309"/>
    <cellStyle name="Note 2 3 2 2 2 2 4" xfId="3609"/>
    <cellStyle name="Note 2 3 2 2 2 2 4 2" xfId="7029"/>
    <cellStyle name="Note 2 3 2 2 2 2 4 2 2" xfId="13869"/>
    <cellStyle name="Note 2 3 2 2 2 2 4 3" xfId="10449"/>
    <cellStyle name="Note 2 3 2 2 2 2 5" xfId="4749"/>
    <cellStyle name="Note 2 3 2 2 2 2 5 2" xfId="11589"/>
    <cellStyle name="Note 2 3 2 2 2 2 6" xfId="8169"/>
    <cellStyle name="Note 2 3 2 2 2 2 7" xfId="61469"/>
    <cellStyle name="Note 2 3 2 2 2 2 8" xfId="62030"/>
    <cellStyle name="Note 2 3 2 2 2 3" xfId="38528"/>
    <cellStyle name="Note 2 3 2 2 2 4" xfId="56147"/>
    <cellStyle name="Note 2 3 2 2 2 5" xfId="56148"/>
    <cellStyle name="Note 2 3 2 2 2 6" xfId="56149"/>
    <cellStyle name="Note 2 3 2 2 2 7" xfId="61278"/>
    <cellStyle name="Note 2 3 2 2 3" xfId="1281"/>
    <cellStyle name="Note 2 3 2 2 3 2" xfId="987"/>
    <cellStyle name="Note 2 3 2 2 3 2 2" xfId="2569"/>
    <cellStyle name="Note 2 3 2 2 3 2 2 2" xfId="5989"/>
    <cellStyle name="Note 2 3 2 2 3 2 2 2 2" xfId="12829"/>
    <cellStyle name="Note 2 3 2 2 3 2 2 3" xfId="9409"/>
    <cellStyle name="Note 2 3 2 2 3 2 3" xfId="3709"/>
    <cellStyle name="Note 2 3 2 2 3 2 3 2" xfId="7129"/>
    <cellStyle name="Note 2 3 2 2 3 2 3 2 2" xfId="13969"/>
    <cellStyle name="Note 2 3 2 2 3 2 3 3" xfId="10549"/>
    <cellStyle name="Note 2 3 2 2 3 2 4" xfId="4849"/>
    <cellStyle name="Note 2 3 2 2 3 2 4 2" xfId="11689"/>
    <cellStyle name="Note 2 3 2 2 3 2 5" xfId="8269"/>
    <cellStyle name="Note 2 3 2 2 3 3" xfId="2101"/>
    <cellStyle name="Note 2 3 2 2 3 3 2" xfId="5521"/>
    <cellStyle name="Note 2 3 2 2 3 3 2 2" xfId="12361"/>
    <cellStyle name="Note 2 3 2 2 3 3 3" xfId="8941"/>
    <cellStyle name="Note 2 3 2 2 3 4" xfId="3241"/>
    <cellStyle name="Note 2 3 2 2 3 4 2" xfId="6661"/>
    <cellStyle name="Note 2 3 2 2 3 4 2 2" xfId="13501"/>
    <cellStyle name="Note 2 3 2 2 3 4 3" xfId="10081"/>
    <cellStyle name="Note 2 3 2 2 3 5" xfId="4381"/>
    <cellStyle name="Note 2 3 2 2 3 5 2" xfId="11221"/>
    <cellStyle name="Note 2 3 2 2 3 6" xfId="7801"/>
    <cellStyle name="Note 2 3 2 2 3 7" xfId="61441"/>
    <cellStyle name="Note 2 3 2 2 3 8" xfId="62010"/>
    <cellStyle name="Note 2 3 2 2 4" xfId="38291"/>
    <cellStyle name="Note 2 3 2 2 5" xfId="56150"/>
    <cellStyle name="Note 2 3 2 2 6" xfId="56151"/>
    <cellStyle name="Note 2 3 2 2 7" xfId="56152"/>
    <cellStyle name="Note 2 3 2 2 8" xfId="56153"/>
    <cellStyle name="Note 2 3 2 2 9" xfId="60957"/>
    <cellStyle name="Note 2 3 2 3" xfId="596"/>
    <cellStyle name="Note 2 3 2 3 2" xfId="1583"/>
    <cellStyle name="Note 2 3 2 3 2 2" xfId="819"/>
    <cellStyle name="Note 2 3 2 3 2 2 2" xfId="2773"/>
    <cellStyle name="Note 2 3 2 3 2 2 2 2" xfId="6193"/>
    <cellStyle name="Note 2 3 2 3 2 2 2 2 2" xfId="13033"/>
    <cellStyle name="Note 2 3 2 3 2 2 2 3" xfId="9613"/>
    <cellStyle name="Note 2 3 2 3 2 2 3" xfId="3913"/>
    <cellStyle name="Note 2 3 2 3 2 2 3 2" xfId="7333"/>
    <cellStyle name="Note 2 3 2 3 2 2 3 2 2" xfId="14173"/>
    <cellStyle name="Note 2 3 2 3 2 2 3 3" xfId="10753"/>
    <cellStyle name="Note 2 3 2 3 2 2 4" xfId="5053"/>
    <cellStyle name="Note 2 3 2 3 2 2 4 2" xfId="11893"/>
    <cellStyle name="Note 2 3 2 3 2 2 5" xfId="8473"/>
    <cellStyle name="Note 2 3 2 3 2 3" xfId="2408"/>
    <cellStyle name="Note 2 3 2 3 2 3 2" xfId="5828"/>
    <cellStyle name="Note 2 3 2 3 2 3 2 2" xfId="12668"/>
    <cellStyle name="Note 2 3 2 3 2 3 3" xfId="9248"/>
    <cellStyle name="Note 2 3 2 3 2 4" xfId="3548"/>
    <cellStyle name="Note 2 3 2 3 2 4 2" xfId="6968"/>
    <cellStyle name="Note 2 3 2 3 2 4 2 2" xfId="13808"/>
    <cellStyle name="Note 2 3 2 3 2 4 3" xfId="10388"/>
    <cellStyle name="Note 2 3 2 3 2 5" xfId="4688"/>
    <cellStyle name="Note 2 3 2 3 2 5 2" xfId="11528"/>
    <cellStyle name="Note 2 3 2 3 2 6" xfId="8108"/>
    <cellStyle name="Note 2 3 2 3 2 7" xfId="61404"/>
    <cellStyle name="Note 2 3 2 3 2 8" xfId="61983"/>
    <cellStyle name="Note 2 3 2 3 3" xfId="38477"/>
    <cellStyle name="Note 2 3 2 3 4" xfId="56154"/>
    <cellStyle name="Note 2 3 2 3 5" xfId="56155"/>
    <cellStyle name="Note 2 3 2 3 6" xfId="56156"/>
    <cellStyle name="Note 2 3 2 3 7" xfId="61279"/>
    <cellStyle name="Note 2 3 2 4" xfId="1157"/>
    <cellStyle name="Note 2 3 2 4 2" xfId="1049"/>
    <cellStyle name="Note 2 3 2 4 2 2" xfId="2659"/>
    <cellStyle name="Note 2 3 2 4 2 2 2" xfId="6079"/>
    <cellStyle name="Note 2 3 2 4 2 2 2 2" xfId="12919"/>
    <cellStyle name="Note 2 3 2 4 2 2 3" xfId="9499"/>
    <cellStyle name="Note 2 3 2 4 2 3" xfId="3799"/>
    <cellStyle name="Note 2 3 2 4 2 3 2" xfId="7219"/>
    <cellStyle name="Note 2 3 2 4 2 3 2 2" xfId="14059"/>
    <cellStyle name="Note 2 3 2 4 2 3 3" xfId="10639"/>
    <cellStyle name="Note 2 3 2 4 2 4" xfId="4939"/>
    <cellStyle name="Note 2 3 2 4 2 4 2" xfId="11779"/>
    <cellStyle name="Note 2 3 2 4 2 5" xfId="8359"/>
    <cellStyle name="Note 2 3 2 4 3" xfId="1976"/>
    <cellStyle name="Note 2 3 2 4 3 2" xfId="5396"/>
    <cellStyle name="Note 2 3 2 4 3 2 2" xfId="12236"/>
    <cellStyle name="Note 2 3 2 4 3 3" xfId="8816"/>
    <cellStyle name="Note 2 3 2 4 4" xfId="3116"/>
    <cellStyle name="Note 2 3 2 4 4 2" xfId="6536"/>
    <cellStyle name="Note 2 3 2 4 4 2 2" xfId="13376"/>
    <cellStyle name="Note 2 3 2 4 4 3" xfId="9956"/>
    <cellStyle name="Note 2 3 2 4 5" xfId="4256"/>
    <cellStyle name="Note 2 3 2 4 5 2" xfId="11096"/>
    <cellStyle name="Note 2 3 2 4 6" xfId="7676"/>
    <cellStyle name="Note 2 3 2 4 7" xfId="61367"/>
    <cellStyle name="Note 2 3 2 4 8" xfId="61957"/>
    <cellStyle name="Note 2 3 2 5" xfId="23916"/>
    <cellStyle name="Note 2 3 2 6" xfId="38213"/>
    <cellStyle name="Note 2 3 2 7" xfId="56157"/>
    <cellStyle name="Note 2 3 2 8" xfId="56158"/>
    <cellStyle name="Note 2 3 2 9" xfId="60833"/>
    <cellStyle name="Note 2 3 3" xfId="315"/>
    <cellStyle name="Note 2 3 3 2" xfId="353"/>
    <cellStyle name="Note 2 3 3 2 2" xfId="1358"/>
    <cellStyle name="Note 2 3 3 2 2 2" xfId="934"/>
    <cellStyle name="Note 2 3 3 2 2 2 2" xfId="2434"/>
    <cellStyle name="Note 2 3 3 2 2 2 2 2" xfId="5854"/>
    <cellStyle name="Note 2 3 3 2 2 2 2 2 2" xfId="12694"/>
    <cellStyle name="Note 2 3 3 2 2 2 2 3" xfId="9274"/>
    <cellStyle name="Note 2 3 3 2 2 2 3" xfId="3574"/>
    <cellStyle name="Note 2 3 3 2 2 2 3 2" xfId="6994"/>
    <cellStyle name="Note 2 3 3 2 2 2 3 2 2" xfId="13834"/>
    <cellStyle name="Note 2 3 3 2 2 2 3 3" xfId="10414"/>
    <cellStyle name="Note 2 3 3 2 2 2 4" xfId="4714"/>
    <cellStyle name="Note 2 3 3 2 2 2 4 2" xfId="11554"/>
    <cellStyle name="Note 2 3 3 2 2 2 5" xfId="8134"/>
    <cellStyle name="Note 2 3 3 2 2 3" xfId="2179"/>
    <cellStyle name="Note 2 3 3 2 2 3 2" xfId="5599"/>
    <cellStyle name="Note 2 3 3 2 2 3 2 2" xfId="12439"/>
    <cellStyle name="Note 2 3 3 2 2 3 3" xfId="9019"/>
    <cellStyle name="Note 2 3 3 2 2 4" xfId="3319"/>
    <cellStyle name="Note 2 3 3 2 2 4 2" xfId="6739"/>
    <cellStyle name="Note 2 3 3 2 2 4 2 2" xfId="13579"/>
    <cellStyle name="Note 2 3 3 2 2 4 3" xfId="10159"/>
    <cellStyle name="Note 2 3 3 2 2 5" xfId="4459"/>
    <cellStyle name="Note 2 3 3 2 2 5 2" xfId="11299"/>
    <cellStyle name="Note 2 3 3 2 2 6" xfId="7879"/>
    <cellStyle name="Note 2 3 3 2 2 7" xfId="61440"/>
    <cellStyle name="Note 2 3 3 2 2 8" xfId="62009"/>
    <cellStyle name="Note 2 3 3 2 3" xfId="38342"/>
    <cellStyle name="Note 2 3 3 2 4" xfId="56159"/>
    <cellStyle name="Note 2 3 3 2 5" xfId="56160"/>
    <cellStyle name="Note 2 3 3 2 6" xfId="56161"/>
    <cellStyle name="Note 2 3 3 2 7" xfId="56162"/>
    <cellStyle name="Note 2 3 3 2 8" xfId="61034"/>
    <cellStyle name="Note 2 3 3 3" xfId="1320"/>
    <cellStyle name="Note 2 3 3 3 2" xfId="1856"/>
    <cellStyle name="Note 2 3 3 3 2 2" xfId="2996"/>
    <cellStyle name="Note 2 3 3 3 2 2 2" xfId="6416"/>
    <cellStyle name="Note 2 3 3 3 2 2 2 2" xfId="13256"/>
    <cellStyle name="Note 2 3 3 3 2 2 3" xfId="9836"/>
    <cellStyle name="Note 2 3 3 3 2 3" xfId="4136"/>
    <cellStyle name="Note 2 3 3 3 2 3 2" xfId="7556"/>
    <cellStyle name="Note 2 3 3 3 2 3 2 2" xfId="14396"/>
    <cellStyle name="Note 2 3 3 3 2 3 3" xfId="10976"/>
    <cellStyle name="Note 2 3 3 3 2 4" xfId="5276"/>
    <cellStyle name="Note 2 3 3 3 2 4 2" xfId="12116"/>
    <cellStyle name="Note 2 3 3 3 2 5" xfId="8696"/>
    <cellStyle name="Note 2 3 3 3 3" xfId="2141"/>
    <cellStyle name="Note 2 3 3 3 3 2" xfId="5561"/>
    <cellStyle name="Note 2 3 3 3 3 2 2" xfId="12401"/>
    <cellStyle name="Note 2 3 3 3 3 3" xfId="8981"/>
    <cellStyle name="Note 2 3 3 3 4" xfId="3281"/>
    <cellStyle name="Note 2 3 3 3 4 2" xfId="6701"/>
    <cellStyle name="Note 2 3 3 3 4 2 2" xfId="13541"/>
    <cellStyle name="Note 2 3 3 3 4 3" xfId="10121"/>
    <cellStyle name="Note 2 3 3 3 5" xfId="4421"/>
    <cellStyle name="Note 2 3 3 3 5 2" xfId="11261"/>
    <cellStyle name="Note 2 3 3 3 6" xfId="7841"/>
    <cellStyle name="Note 2 3 3 3 7" xfId="61366"/>
    <cellStyle name="Note 2 3 3 3 8" xfId="61956"/>
    <cellStyle name="Note 2 3 3 4" xfId="24887"/>
    <cellStyle name="Note 2 3 3 5" xfId="32147"/>
    <cellStyle name="Note 2 3 3 6" xfId="56163"/>
    <cellStyle name="Note 2 3 3 7" xfId="56164"/>
    <cellStyle name="Note 2 3 3 8" xfId="56165"/>
    <cellStyle name="Note 2 3 3 9" xfId="60996"/>
    <cellStyle name="Note 2 3 4" xfId="214"/>
    <cellStyle name="Note 2 3 4 2" xfId="452"/>
    <cellStyle name="Note 2 3 4 2 2" xfId="1456"/>
    <cellStyle name="Note 2 3 4 2 2 2" xfId="881"/>
    <cellStyle name="Note 2 3 4 2 2 2 2" xfId="2753"/>
    <cellStyle name="Note 2 3 4 2 2 2 2 2" xfId="6173"/>
    <cellStyle name="Note 2 3 4 2 2 2 2 2 2" xfId="13013"/>
    <cellStyle name="Note 2 3 4 2 2 2 2 3" xfId="9593"/>
    <cellStyle name="Note 2 3 4 2 2 2 3" xfId="3893"/>
    <cellStyle name="Note 2 3 4 2 2 2 3 2" xfId="7313"/>
    <cellStyle name="Note 2 3 4 2 2 2 3 2 2" xfId="14153"/>
    <cellStyle name="Note 2 3 4 2 2 2 3 3" xfId="10733"/>
    <cellStyle name="Note 2 3 4 2 2 2 4" xfId="5033"/>
    <cellStyle name="Note 2 3 4 2 2 2 4 2" xfId="11873"/>
    <cellStyle name="Note 2 3 4 2 2 2 5" xfId="8453"/>
    <cellStyle name="Note 2 3 4 2 2 3" xfId="2277"/>
    <cellStyle name="Note 2 3 4 2 2 3 2" xfId="5697"/>
    <cellStyle name="Note 2 3 4 2 2 3 2 2" xfId="12537"/>
    <cellStyle name="Note 2 3 4 2 2 3 3" xfId="9117"/>
    <cellStyle name="Note 2 3 4 2 2 4" xfId="3417"/>
    <cellStyle name="Note 2 3 4 2 2 4 2" xfId="6837"/>
    <cellStyle name="Note 2 3 4 2 2 4 2 2" xfId="13677"/>
    <cellStyle name="Note 2 3 4 2 2 4 3" xfId="10257"/>
    <cellStyle name="Note 2 3 4 2 2 5" xfId="4557"/>
    <cellStyle name="Note 2 3 4 2 2 5 2" xfId="11397"/>
    <cellStyle name="Note 2 3 4 2 2 6" xfId="7977"/>
    <cellStyle name="Note 2 3 4 2 2 7" xfId="61365"/>
    <cellStyle name="Note 2 3 4 2 2 8" xfId="61955"/>
    <cellStyle name="Note 2 3 4 2 3" xfId="38413"/>
    <cellStyle name="Note 2 3 4 2 4" xfId="56166"/>
    <cellStyle name="Note 2 3 4 2 5" xfId="56167"/>
    <cellStyle name="Note 2 3 4 2 6" xfId="56168"/>
    <cellStyle name="Note 2 3 4 2 7" xfId="56169"/>
    <cellStyle name="Note 2 3 4 2 8" xfId="61132"/>
    <cellStyle name="Note 2 3 4 3" xfId="1221"/>
    <cellStyle name="Note 2 3 4 3 2" xfId="1017"/>
    <cellStyle name="Note 2 3 4 3 2 2" xfId="2634"/>
    <cellStyle name="Note 2 3 4 3 2 2 2" xfId="6054"/>
    <cellStyle name="Note 2 3 4 3 2 2 2 2" xfId="12894"/>
    <cellStyle name="Note 2 3 4 3 2 2 3" xfId="9474"/>
    <cellStyle name="Note 2 3 4 3 2 3" xfId="3774"/>
    <cellStyle name="Note 2 3 4 3 2 3 2" xfId="7194"/>
    <cellStyle name="Note 2 3 4 3 2 3 2 2" xfId="14034"/>
    <cellStyle name="Note 2 3 4 3 2 3 3" xfId="10614"/>
    <cellStyle name="Note 2 3 4 3 2 4" xfId="4914"/>
    <cellStyle name="Note 2 3 4 3 2 4 2" xfId="11754"/>
    <cellStyle name="Note 2 3 4 3 2 5" xfId="8334"/>
    <cellStyle name="Note 2 3 4 3 3" xfId="2041"/>
    <cellStyle name="Note 2 3 4 3 3 2" xfId="5461"/>
    <cellStyle name="Note 2 3 4 3 3 2 2" xfId="12301"/>
    <cellStyle name="Note 2 3 4 3 3 3" xfId="8881"/>
    <cellStyle name="Note 2 3 4 3 4" xfId="3181"/>
    <cellStyle name="Note 2 3 4 3 4 2" xfId="6601"/>
    <cellStyle name="Note 2 3 4 3 4 2 2" xfId="13441"/>
    <cellStyle name="Note 2 3 4 3 4 3" xfId="10021"/>
    <cellStyle name="Note 2 3 4 3 5" xfId="4321"/>
    <cellStyle name="Note 2 3 4 3 5 2" xfId="11161"/>
    <cellStyle name="Note 2 3 4 3 6" xfId="7741"/>
    <cellStyle name="Note 2 3 4 3 7" xfId="61403"/>
    <cellStyle name="Note 2 3 4 3 8" xfId="61982"/>
    <cellStyle name="Note 2 3 4 4" xfId="25911"/>
    <cellStyle name="Note 2 3 4 5" xfId="33124"/>
    <cellStyle name="Note 2 3 4 6" xfId="56170"/>
    <cellStyle name="Note 2 3 4 7" xfId="56171"/>
    <cellStyle name="Note 2 3 4 8" xfId="56172"/>
    <cellStyle name="Note 2 3 4 9" xfId="60897"/>
    <cellStyle name="Note 2 3 5" xfId="423"/>
    <cellStyle name="Note 2 3 5 2" xfId="544"/>
    <cellStyle name="Note 2 3 5 2 2" xfId="1548"/>
    <cellStyle name="Note 2 3 5 2 2 2" xfId="1720"/>
    <cellStyle name="Note 2 3 5 2 2 2 2" xfId="2860"/>
    <cellStyle name="Note 2 3 5 2 2 2 2 2" xfId="6280"/>
    <cellStyle name="Note 2 3 5 2 2 2 2 2 2" xfId="13120"/>
    <cellStyle name="Note 2 3 5 2 2 2 2 3" xfId="9700"/>
    <cellStyle name="Note 2 3 5 2 2 2 3" xfId="4000"/>
    <cellStyle name="Note 2 3 5 2 2 2 3 2" xfId="7420"/>
    <cellStyle name="Note 2 3 5 2 2 2 3 2 2" xfId="14260"/>
    <cellStyle name="Note 2 3 5 2 2 2 3 3" xfId="10840"/>
    <cellStyle name="Note 2 3 5 2 2 2 4" xfId="5140"/>
    <cellStyle name="Note 2 3 5 2 2 2 4 2" xfId="11980"/>
    <cellStyle name="Note 2 3 5 2 2 2 5" xfId="8560"/>
    <cellStyle name="Note 2 3 5 2 2 3" xfId="2369"/>
    <cellStyle name="Note 2 3 5 2 2 3 2" xfId="5789"/>
    <cellStyle name="Note 2 3 5 2 2 3 2 2" xfId="12629"/>
    <cellStyle name="Note 2 3 5 2 2 3 3" xfId="9209"/>
    <cellStyle name="Note 2 3 5 2 2 4" xfId="3509"/>
    <cellStyle name="Note 2 3 5 2 2 4 2" xfId="6929"/>
    <cellStyle name="Note 2 3 5 2 2 4 2 2" xfId="13769"/>
    <cellStyle name="Note 2 3 5 2 2 4 3" xfId="10349"/>
    <cellStyle name="Note 2 3 5 2 2 5" xfId="4649"/>
    <cellStyle name="Note 2 3 5 2 2 5 2" xfId="11489"/>
    <cellStyle name="Note 2 3 5 2 2 6" xfId="8069"/>
    <cellStyle name="Note 2 3 5 2 2 7" xfId="61402"/>
    <cellStyle name="Note 2 3 5 2 2 8" xfId="61981"/>
    <cellStyle name="Note 2 3 5 2 3" xfId="38459"/>
    <cellStyle name="Note 2 3 5 2 4" xfId="56173"/>
    <cellStyle name="Note 2 3 5 2 5" xfId="56174"/>
    <cellStyle name="Note 2 3 5 2 6" xfId="56175"/>
    <cellStyle name="Note 2 3 5 2 7" xfId="56176"/>
    <cellStyle name="Note 2 3 5 2 8" xfId="61224"/>
    <cellStyle name="Note 2 3 5 3" xfId="1428"/>
    <cellStyle name="Note 2 3 5 3 2" xfId="895"/>
    <cellStyle name="Note 2 3 5 3 2 2" xfId="2770"/>
    <cellStyle name="Note 2 3 5 3 2 2 2" xfId="6190"/>
    <cellStyle name="Note 2 3 5 3 2 2 2 2" xfId="13030"/>
    <cellStyle name="Note 2 3 5 3 2 2 3" xfId="9610"/>
    <cellStyle name="Note 2 3 5 3 2 3" xfId="3910"/>
    <cellStyle name="Note 2 3 5 3 2 3 2" xfId="7330"/>
    <cellStyle name="Note 2 3 5 3 2 3 2 2" xfId="14170"/>
    <cellStyle name="Note 2 3 5 3 2 3 3" xfId="10750"/>
    <cellStyle name="Note 2 3 5 3 2 4" xfId="5050"/>
    <cellStyle name="Note 2 3 5 3 2 4 2" xfId="11890"/>
    <cellStyle name="Note 2 3 5 3 2 5" xfId="8470"/>
    <cellStyle name="Note 2 3 5 3 3" xfId="2249"/>
    <cellStyle name="Note 2 3 5 3 3 2" xfId="5669"/>
    <cellStyle name="Note 2 3 5 3 3 2 2" xfId="12509"/>
    <cellStyle name="Note 2 3 5 3 3 3" xfId="9089"/>
    <cellStyle name="Note 2 3 5 3 4" xfId="3389"/>
    <cellStyle name="Note 2 3 5 3 4 2" xfId="6809"/>
    <cellStyle name="Note 2 3 5 3 4 2 2" xfId="13649"/>
    <cellStyle name="Note 2 3 5 3 4 3" xfId="10229"/>
    <cellStyle name="Note 2 3 5 3 5" xfId="4529"/>
    <cellStyle name="Note 2 3 5 3 5 2" xfId="11369"/>
    <cellStyle name="Note 2 3 5 3 6" xfId="7949"/>
    <cellStyle name="Note 2 3 5 3 7" xfId="61439"/>
    <cellStyle name="Note 2 3 5 3 8" xfId="62008"/>
    <cellStyle name="Note 2 3 5 4" xfId="26889"/>
    <cellStyle name="Note 2 3 5 5" xfId="34058"/>
    <cellStyle name="Note 2 3 5 6" xfId="56177"/>
    <cellStyle name="Note 2 3 5 7" xfId="56178"/>
    <cellStyle name="Note 2 3 5 8" xfId="56179"/>
    <cellStyle name="Note 2 3 5 9" xfId="61104"/>
    <cellStyle name="Note 2 3 6" xfId="504"/>
    <cellStyle name="Note 2 3 6 2" xfId="380"/>
    <cellStyle name="Note 2 3 6 2 2" xfId="1385"/>
    <cellStyle name="Note 2 3 6 2 2 2" xfId="1763"/>
    <cellStyle name="Note 2 3 6 2 2 2 2" xfId="2903"/>
    <cellStyle name="Note 2 3 6 2 2 2 2 2" xfId="6323"/>
    <cellStyle name="Note 2 3 6 2 2 2 2 2 2" xfId="13163"/>
    <cellStyle name="Note 2 3 6 2 2 2 2 3" xfId="9743"/>
    <cellStyle name="Note 2 3 6 2 2 2 3" xfId="4043"/>
    <cellStyle name="Note 2 3 6 2 2 2 3 2" xfId="7463"/>
    <cellStyle name="Note 2 3 6 2 2 2 3 2 2" xfId="14303"/>
    <cellStyle name="Note 2 3 6 2 2 2 3 3" xfId="10883"/>
    <cellStyle name="Note 2 3 6 2 2 2 4" xfId="5183"/>
    <cellStyle name="Note 2 3 6 2 2 2 4 2" xfId="12023"/>
    <cellStyle name="Note 2 3 6 2 2 2 5" xfId="8603"/>
    <cellStyle name="Note 2 3 6 2 2 3" xfId="2206"/>
    <cellStyle name="Note 2 3 6 2 2 3 2" xfId="5626"/>
    <cellStyle name="Note 2 3 6 2 2 3 2 2" xfId="12466"/>
    <cellStyle name="Note 2 3 6 2 2 3 3" xfId="9046"/>
    <cellStyle name="Note 2 3 6 2 2 4" xfId="3346"/>
    <cellStyle name="Note 2 3 6 2 2 4 2" xfId="6766"/>
    <cellStyle name="Note 2 3 6 2 2 4 2 2" xfId="13606"/>
    <cellStyle name="Note 2 3 6 2 2 4 3" xfId="10186"/>
    <cellStyle name="Note 2 3 6 2 2 5" xfId="4486"/>
    <cellStyle name="Note 2 3 6 2 2 5 2" xfId="11326"/>
    <cellStyle name="Note 2 3 6 2 2 6" xfId="7906"/>
    <cellStyle name="Note 2 3 6 2 2 7" xfId="61438"/>
    <cellStyle name="Note 2 3 6 2 2 8" xfId="62007"/>
    <cellStyle name="Note 2 3 6 2 3" xfId="38363"/>
    <cellStyle name="Note 2 3 6 2 4" xfId="56180"/>
    <cellStyle name="Note 2 3 6 2 5" xfId="56181"/>
    <cellStyle name="Note 2 3 6 2 6" xfId="56182"/>
    <cellStyle name="Note 2 3 6 2 7" xfId="56183"/>
    <cellStyle name="Note 2 3 6 2 8" xfId="61061"/>
    <cellStyle name="Note 2 3 6 3" xfId="1508"/>
    <cellStyle name="Note 2 3 6 3 2" xfId="1665"/>
    <cellStyle name="Note 2 3 6 3 2 2" xfId="2805"/>
    <cellStyle name="Note 2 3 6 3 2 2 2" xfId="6225"/>
    <cellStyle name="Note 2 3 6 3 2 2 2 2" xfId="13065"/>
    <cellStyle name="Note 2 3 6 3 2 2 3" xfId="9645"/>
    <cellStyle name="Note 2 3 6 3 2 3" xfId="3945"/>
    <cellStyle name="Note 2 3 6 3 2 3 2" xfId="7365"/>
    <cellStyle name="Note 2 3 6 3 2 3 2 2" xfId="14205"/>
    <cellStyle name="Note 2 3 6 3 2 3 3" xfId="10785"/>
    <cellStyle name="Note 2 3 6 3 2 4" xfId="5085"/>
    <cellStyle name="Note 2 3 6 3 2 4 2" xfId="11925"/>
    <cellStyle name="Note 2 3 6 3 2 5" xfId="8505"/>
    <cellStyle name="Note 2 3 6 3 3" xfId="2329"/>
    <cellStyle name="Note 2 3 6 3 3 2" xfId="5749"/>
    <cellStyle name="Note 2 3 6 3 3 2 2" xfId="12589"/>
    <cellStyle name="Note 2 3 6 3 3 3" xfId="9169"/>
    <cellStyle name="Note 2 3 6 3 4" xfId="3469"/>
    <cellStyle name="Note 2 3 6 3 4 2" xfId="6889"/>
    <cellStyle name="Note 2 3 6 3 4 2 2" xfId="13729"/>
    <cellStyle name="Note 2 3 6 3 4 3" xfId="10309"/>
    <cellStyle name="Note 2 3 6 3 5" xfId="4609"/>
    <cellStyle name="Note 2 3 6 3 5 2" xfId="11449"/>
    <cellStyle name="Note 2 3 6 3 6" xfId="8029"/>
    <cellStyle name="Note 2 3 6 3 7" xfId="61364"/>
    <cellStyle name="Note 2 3 6 3 8" xfId="61954"/>
    <cellStyle name="Note 2 3 6 4" xfId="25864"/>
    <cellStyle name="Note 2 3 6 5" xfId="33081"/>
    <cellStyle name="Note 2 3 6 6" xfId="56184"/>
    <cellStyle name="Note 2 3 6 7" xfId="56185"/>
    <cellStyle name="Note 2 3 6 8" xfId="56186"/>
    <cellStyle name="Note 2 3 6 9" xfId="61184"/>
    <cellStyle name="Note 2 3 7" xfId="1106"/>
    <cellStyle name="Note 2 3 7 10" xfId="62229"/>
    <cellStyle name="Note 2 3 7 2" xfId="1072"/>
    <cellStyle name="Note 2 3 7 2 2" xfId="2560"/>
    <cellStyle name="Note 2 3 7 2 2 2" xfId="5980"/>
    <cellStyle name="Note 2 3 7 2 2 2 2" xfId="12820"/>
    <cellStyle name="Note 2 3 7 2 2 3" xfId="9400"/>
    <cellStyle name="Note 2 3 7 2 3" xfId="3700"/>
    <cellStyle name="Note 2 3 7 2 3 2" xfId="7120"/>
    <cellStyle name="Note 2 3 7 2 3 2 2" xfId="13960"/>
    <cellStyle name="Note 2 3 7 2 3 3" xfId="10540"/>
    <cellStyle name="Note 2 3 7 2 4" xfId="4840"/>
    <cellStyle name="Note 2 3 7 2 4 2" xfId="11680"/>
    <cellStyle name="Note 2 3 7 2 5" xfId="8260"/>
    <cellStyle name="Note 2 3 7 2 6" xfId="61401"/>
    <cellStyle name="Note 2 3 7 2 7" xfId="61980"/>
    <cellStyle name="Note 2 3 7 3" xfId="1915"/>
    <cellStyle name="Note 2 3 7 3 2" xfId="5335"/>
    <cellStyle name="Note 2 3 7 3 2 2" xfId="12175"/>
    <cellStyle name="Note 2 3 7 3 3" xfId="8755"/>
    <cellStyle name="Note 2 3 7 4" xfId="3055"/>
    <cellStyle name="Note 2 3 7 4 2" xfId="6475"/>
    <cellStyle name="Note 2 3 7 4 2 2" xfId="13315"/>
    <cellStyle name="Note 2 3 7 4 3" xfId="9895"/>
    <cellStyle name="Note 2 3 7 5" xfId="4195"/>
    <cellStyle name="Note 2 3 7 5 2" xfId="11035"/>
    <cellStyle name="Note 2 3 7 6" xfId="7615"/>
    <cellStyle name="Note 2 3 7 7" xfId="27667"/>
    <cellStyle name="Note 2 3 7 8" xfId="34815"/>
    <cellStyle name="Note 2 3 7 9" xfId="61750"/>
    <cellStyle name="Note 2 3 8" xfId="21241"/>
    <cellStyle name="Note 2 3 8 2" xfId="29551"/>
    <cellStyle name="Note 2 3 8 2 2" xfId="56187"/>
    <cellStyle name="Note 2 3 8 2 3" xfId="56188"/>
    <cellStyle name="Note 2 3 8 3" xfId="36619"/>
    <cellStyle name="Note 2 3 8 4" xfId="56189"/>
    <cellStyle name="Note 2 3 8 5" xfId="61448"/>
    <cellStyle name="Note 2 3 9" xfId="14426"/>
    <cellStyle name="Note 2 3 9 2" xfId="56190"/>
    <cellStyle name="Note 2 3 9 3" xfId="56191"/>
    <cellStyle name="Note 2 30" xfId="56192"/>
    <cellStyle name="Note 2 31" xfId="60766"/>
    <cellStyle name="Note 2 4" xfId="108"/>
    <cellStyle name="Note 2 4 10" xfId="22926"/>
    <cellStyle name="Note 2 4 11" xfId="56193"/>
    <cellStyle name="Note 2 4 12" xfId="56194"/>
    <cellStyle name="Note 2 4 13" xfId="56195"/>
    <cellStyle name="Note 2 4 14" xfId="56196"/>
    <cellStyle name="Note 2 4 15" xfId="60800"/>
    <cellStyle name="Note 2 4 2" xfId="167"/>
    <cellStyle name="Note 2 4 2 10" xfId="60851"/>
    <cellStyle name="Note 2 4 2 2" xfId="293"/>
    <cellStyle name="Note 2 4 2 2 2" xfId="702"/>
    <cellStyle name="Note 2 4 2 2 2 2" xfId="1653"/>
    <cellStyle name="Note 2 4 2 2 2 2 2" xfId="754"/>
    <cellStyle name="Note 2 4 2 2 2 2 2 2" xfId="2601"/>
    <cellStyle name="Note 2 4 2 2 2 2 2 2 2" xfId="6021"/>
    <cellStyle name="Note 2 4 2 2 2 2 2 2 2 2" xfId="12861"/>
    <cellStyle name="Note 2 4 2 2 2 2 2 2 3" xfId="9441"/>
    <cellStyle name="Note 2 4 2 2 2 2 2 3" xfId="3741"/>
    <cellStyle name="Note 2 4 2 2 2 2 2 3 2" xfId="7161"/>
    <cellStyle name="Note 2 4 2 2 2 2 2 3 2 2" xfId="14001"/>
    <cellStyle name="Note 2 4 2 2 2 2 2 3 3" xfId="10581"/>
    <cellStyle name="Note 2 4 2 2 2 2 2 4" xfId="4881"/>
    <cellStyle name="Note 2 4 2 2 2 2 2 4 2" xfId="11721"/>
    <cellStyle name="Note 2 4 2 2 2 2 2 5" xfId="8301"/>
    <cellStyle name="Note 2 4 2 2 2 2 3" xfId="2487"/>
    <cellStyle name="Note 2 4 2 2 2 2 3 2" xfId="5907"/>
    <cellStyle name="Note 2 4 2 2 2 2 3 2 2" xfId="12747"/>
    <cellStyle name="Note 2 4 2 2 2 2 3 3" xfId="9327"/>
    <cellStyle name="Note 2 4 2 2 2 2 4" xfId="3627"/>
    <cellStyle name="Note 2 4 2 2 2 2 4 2" xfId="7047"/>
    <cellStyle name="Note 2 4 2 2 2 2 4 2 2" xfId="13887"/>
    <cellStyle name="Note 2 4 2 2 2 2 4 3" xfId="10467"/>
    <cellStyle name="Note 2 4 2 2 2 2 5" xfId="4767"/>
    <cellStyle name="Note 2 4 2 2 2 2 5 2" xfId="11607"/>
    <cellStyle name="Note 2 4 2 2 2 2 6" xfId="8187"/>
    <cellStyle name="Note 2 4 2 2 2 2 7" xfId="61400"/>
    <cellStyle name="Note 2 4 2 2 2 2 8" xfId="61979"/>
    <cellStyle name="Note 2 4 2 2 2 3" xfId="38546"/>
    <cellStyle name="Note 2 4 2 2 2 4" xfId="56197"/>
    <cellStyle name="Note 2 4 2 2 2 5" xfId="56198"/>
    <cellStyle name="Note 2 4 2 2 2 6" xfId="56199"/>
    <cellStyle name="Note 2 4 2 2 2 7" xfId="61280"/>
    <cellStyle name="Note 2 4 2 2 3" xfId="1299"/>
    <cellStyle name="Note 2 4 2 2 3 2" xfId="979"/>
    <cellStyle name="Note 2 4 2 2 3 2 2" xfId="2653"/>
    <cellStyle name="Note 2 4 2 2 3 2 2 2" xfId="6073"/>
    <cellStyle name="Note 2 4 2 2 3 2 2 2 2" xfId="12913"/>
    <cellStyle name="Note 2 4 2 2 3 2 2 3" xfId="9493"/>
    <cellStyle name="Note 2 4 2 2 3 2 3" xfId="3793"/>
    <cellStyle name="Note 2 4 2 2 3 2 3 2" xfId="7213"/>
    <cellStyle name="Note 2 4 2 2 3 2 3 2 2" xfId="14053"/>
    <cellStyle name="Note 2 4 2 2 3 2 3 3" xfId="10633"/>
    <cellStyle name="Note 2 4 2 2 3 2 4" xfId="4933"/>
    <cellStyle name="Note 2 4 2 2 3 2 4 2" xfId="11773"/>
    <cellStyle name="Note 2 4 2 2 3 2 5" xfId="8353"/>
    <cellStyle name="Note 2 4 2 2 3 3" xfId="2119"/>
    <cellStyle name="Note 2 4 2 2 3 3 2" xfId="5539"/>
    <cellStyle name="Note 2 4 2 2 3 3 2 2" xfId="12379"/>
    <cellStyle name="Note 2 4 2 2 3 3 3" xfId="8959"/>
    <cellStyle name="Note 2 4 2 2 3 4" xfId="3259"/>
    <cellStyle name="Note 2 4 2 2 3 4 2" xfId="6679"/>
    <cellStyle name="Note 2 4 2 2 3 4 2 2" xfId="13519"/>
    <cellStyle name="Note 2 4 2 2 3 4 3" xfId="10099"/>
    <cellStyle name="Note 2 4 2 2 3 5" xfId="4399"/>
    <cellStyle name="Note 2 4 2 2 3 5 2" xfId="11239"/>
    <cellStyle name="Note 2 4 2 2 3 6" xfId="7819"/>
    <cellStyle name="Note 2 4 2 2 3 7" xfId="61437"/>
    <cellStyle name="Note 2 4 2 2 3 8" xfId="62006"/>
    <cellStyle name="Note 2 4 2 2 4" xfId="38309"/>
    <cellStyle name="Note 2 4 2 2 5" xfId="56200"/>
    <cellStyle name="Note 2 4 2 2 6" xfId="56201"/>
    <cellStyle name="Note 2 4 2 2 7" xfId="56202"/>
    <cellStyle name="Note 2 4 2 2 8" xfId="56203"/>
    <cellStyle name="Note 2 4 2 2 9" xfId="60975"/>
    <cellStyle name="Note 2 4 2 3" xfId="614"/>
    <cellStyle name="Note 2 4 2 3 2" xfId="1601"/>
    <cellStyle name="Note 2 4 2 3 2 2" xfId="806"/>
    <cellStyle name="Note 2 4 2 3 2 2 2" xfId="2593"/>
    <cellStyle name="Note 2 4 2 3 2 2 2 2" xfId="6013"/>
    <cellStyle name="Note 2 4 2 3 2 2 2 2 2" xfId="12853"/>
    <cellStyle name="Note 2 4 2 3 2 2 2 3" xfId="9433"/>
    <cellStyle name="Note 2 4 2 3 2 2 3" xfId="3733"/>
    <cellStyle name="Note 2 4 2 3 2 2 3 2" xfId="7153"/>
    <cellStyle name="Note 2 4 2 3 2 2 3 2 2" xfId="13993"/>
    <cellStyle name="Note 2 4 2 3 2 2 3 3" xfId="10573"/>
    <cellStyle name="Note 2 4 2 3 2 2 4" xfId="4873"/>
    <cellStyle name="Note 2 4 2 3 2 2 4 2" xfId="11713"/>
    <cellStyle name="Note 2 4 2 3 2 2 5" xfId="8293"/>
    <cellStyle name="Note 2 4 2 3 2 3" xfId="2426"/>
    <cellStyle name="Note 2 4 2 3 2 3 2" xfId="5846"/>
    <cellStyle name="Note 2 4 2 3 2 3 2 2" xfId="12686"/>
    <cellStyle name="Note 2 4 2 3 2 3 3" xfId="9266"/>
    <cellStyle name="Note 2 4 2 3 2 4" xfId="3566"/>
    <cellStyle name="Note 2 4 2 3 2 4 2" xfId="6986"/>
    <cellStyle name="Note 2 4 2 3 2 4 2 2" xfId="13826"/>
    <cellStyle name="Note 2 4 2 3 2 4 3" xfId="10406"/>
    <cellStyle name="Note 2 4 2 3 2 5" xfId="4706"/>
    <cellStyle name="Note 2 4 2 3 2 5 2" xfId="11546"/>
    <cellStyle name="Note 2 4 2 3 2 6" xfId="8126"/>
    <cellStyle name="Note 2 4 2 3 2 7" xfId="61362"/>
    <cellStyle name="Note 2 4 2 3 2 8" xfId="61952"/>
    <cellStyle name="Note 2 4 2 3 3" xfId="38495"/>
    <cellStyle name="Note 2 4 2 3 4" xfId="56204"/>
    <cellStyle name="Note 2 4 2 3 5" xfId="56205"/>
    <cellStyle name="Note 2 4 2 3 6" xfId="56206"/>
    <cellStyle name="Note 2 4 2 3 7" xfId="61281"/>
    <cellStyle name="Note 2 4 2 4" xfId="1175"/>
    <cellStyle name="Note 2 4 2 4 2" xfId="1040"/>
    <cellStyle name="Note 2 4 2 4 2 2" xfId="2673"/>
    <cellStyle name="Note 2 4 2 4 2 2 2" xfId="6093"/>
    <cellStyle name="Note 2 4 2 4 2 2 2 2" xfId="12933"/>
    <cellStyle name="Note 2 4 2 4 2 2 3" xfId="9513"/>
    <cellStyle name="Note 2 4 2 4 2 3" xfId="3813"/>
    <cellStyle name="Note 2 4 2 4 2 3 2" xfId="7233"/>
    <cellStyle name="Note 2 4 2 4 2 3 2 2" xfId="14073"/>
    <cellStyle name="Note 2 4 2 4 2 3 3" xfId="10653"/>
    <cellStyle name="Note 2 4 2 4 2 4" xfId="4953"/>
    <cellStyle name="Note 2 4 2 4 2 4 2" xfId="11793"/>
    <cellStyle name="Note 2 4 2 4 2 5" xfId="8373"/>
    <cellStyle name="Note 2 4 2 4 3" xfId="1994"/>
    <cellStyle name="Note 2 4 2 4 3 2" xfId="5414"/>
    <cellStyle name="Note 2 4 2 4 3 2 2" xfId="12254"/>
    <cellStyle name="Note 2 4 2 4 3 3" xfId="8834"/>
    <cellStyle name="Note 2 4 2 4 4" xfId="3134"/>
    <cellStyle name="Note 2 4 2 4 4 2" xfId="6554"/>
    <cellStyle name="Note 2 4 2 4 4 2 2" xfId="13394"/>
    <cellStyle name="Note 2 4 2 4 4 3" xfId="9974"/>
    <cellStyle name="Note 2 4 2 4 5" xfId="4274"/>
    <cellStyle name="Note 2 4 2 4 5 2" xfId="11114"/>
    <cellStyle name="Note 2 4 2 4 6" xfId="7694"/>
    <cellStyle name="Note 2 4 2 4 7" xfId="61363"/>
    <cellStyle name="Note 2 4 2 4 8" xfId="61953"/>
    <cellStyle name="Note 2 4 2 5" xfId="23962"/>
    <cellStyle name="Note 2 4 2 6" xfId="31259"/>
    <cellStyle name="Note 2 4 2 7" xfId="56207"/>
    <cellStyle name="Note 2 4 2 8" xfId="56208"/>
    <cellStyle name="Note 2 4 2 9" xfId="56209"/>
    <cellStyle name="Note 2 4 3" xfId="333"/>
    <cellStyle name="Note 2 4 3 2" xfId="374"/>
    <cellStyle name="Note 2 4 3 2 2" xfId="1379"/>
    <cellStyle name="Note 2 4 3 2 2 2" xfId="919"/>
    <cellStyle name="Note 2 4 3 2 2 2 2" xfId="2654"/>
    <cellStyle name="Note 2 4 3 2 2 2 2 2" xfId="6074"/>
    <cellStyle name="Note 2 4 3 2 2 2 2 2 2" xfId="12914"/>
    <cellStyle name="Note 2 4 3 2 2 2 2 3" xfId="9494"/>
    <cellStyle name="Note 2 4 3 2 2 2 3" xfId="3794"/>
    <cellStyle name="Note 2 4 3 2 2 2 3 2" xfId="7214"/>
    <cellStyle name="Note 2 4 3 2 2 2 3 2 2" xfId="14054"/>
    <cellStyle name="Note 2 4 3 2 2 2 3 3" xfId="10634"/>
    <cellStyle name="Note 2 4 3 2 2 2 4" xfId="4934"/>
    <cellStyle name="Note 2 4 3 2 2 2 4 2" xfId="11774"/>
    <cellStyle name="Note 2 4 3 2 2 2 5" xfId="8354"/>
    <cellStyle name="Note 2 4 3 2 2 3" xfId="2200"/>
    <cellStyle name="Note 2 4 3 2 2 3 2" xfId="5620"/>
    <cellStyle name="Note 2 4 3 2 2 3 2 2" xfId="12460"/>
    <cellStyle name="Note 2 4 3 2 2 3 3" xfId="9040"/>
    <cellStyle name="Note 2 4 3 2 2 4" xfId="3340"/>
    <cellStyle name="Note 2 4 3 2 2 4 2" xfId="6760"/>
    <cellStyle name="Note 2 4 3 2 2 4 2 2" xfId="13600"/>
    <cellStyle name="Note 2 4 3 2 2 4 3" xfId="10180"/>
    <cellStyle name="Note 2 4 3 2 2 5" xfId="4480"/>
    <cellStyle name="Note 2 4 3 2 2 5 2" xfId="11320"/>
    <cellStyle name="Note 2 4 3 2 2 6" xfId="7900"/>
    <cellStyle name="Note 2 4 3 2 2 7" xfId="61637"/>
    <cellStyle name="Note 2 4 3 2 2 8" xfId="62122"/>
    <cellStyle name="Note 2 4 3 2 3" xfId="38357"/>
    <cellStyle name="Note 2 4 3 2 4" xfId="56210"/>
    <cellStyle name="Note 2 4 3 2 5" xfId="56211"/>
    <cellStyle name="Note 2 4 3 2 6" xfId="56212"/>
    <cellStyle name="Note 2 4 3 2 7" xfId="56213"/>
    <cellStyle name="Note 2 4 3 2 8" xfId="61055"/>
    <cellStyle name="Note 2 4 3 3" xfId="1338"/>
    <cellStyle name="Note 2 4 3 3 2" xfId="954"/>
    <cellStyle name="Note 2 4 3 3 2 2" xfId="2771"/>
    <cellStyle name="Note 2 4 3 3 2 2 2" xfId="6191"/>
    <cellStyle name="Note 2 4 3 3 2 2 2 2" xfId="13031"/>
    <cellStyle name="Note 2 4 3 3 2 2 3" xfId="9611"/>
    <cellStyle name="Note 2 4 3 3 2 3" xfId="3911"/>
    <cellStyle name="Note 2 4 3 3 2 3 2" xfId="7331"/>
    <cellStyle name="Note 2 4 3 3 2 3 2 2" xfId="14171"/>
    <cellStyle name="Note 2 4 3 3 2 3 3" xfId="10751"/>
    <cellStyle name="Note 2 4 3 3 2 4" xfId="5051"/>
    <cellStyle name="Note 2 4 3 3 2 4 2" xfId="11891"/>
    <cellStyle name="Note 2 4 3 3 2 5" xfId="8471"/>
    <cellStyle name="Note 2 4 3 3 3" xfId="2159"/>
    <cellStyle name="Note 2 4 3 3 3 2" xfId="5579"/>
    <cellStyle name="Note 2 4 3 3 3 2 2" xfId="12419"/>
    <cellStyle name="Note 2 4 3 3 3 3" xfId="8999"/>
    <cellStyle name="Note 2 4 3 3 4" xfId="3299"/>
    <cellStyle name="Note 2 4 3 3 4 2" xfId="6719"/>
    <cellStyle name="Note 2 4 3 3 4 2 2" xfId="13559"/>
    <cellStyle name="Note 2 4 3 3 4 3" xfId="10139"/>
    <cellStyle name="Note 2 4 3 3 5" xfId="4439"/>
    <cellStyle name="Note 2 4 3 3 5 2" xfId="11279"/>
    <cellStyle name="Note 2 4 3 3 6" xfId="7859"/>
    <cellStyle name="Note 2 4 3 3 7" xfId="61638"/>
    <cellStyle name="Note 2 4 3 3 8" xfId="62123"/>
    <cellStyle name="Note 2 4 3 4" xfId="24933"/>
    <cellStyle name="Note 2 4 3 5" xfId="32192"/>
    <cellStyle name="Note 2 4 3 6" xfId="56214"/>
    <cellStyle name="Note 2 4 3 7" xfId="56215"/>
    <cellStyle name="Note 2 4 3 8" xfId="56216"/>
    <cellStyle name="Note 2 4 3 9" xfId="61014"/>
    <cellStyle name="Note 2 4 4" xfId="240"/>
    <cellStyle name="Note 2 4 4 2" xfId="549"/>
    <cellStyle name="Note 2 4 4 2 2" xfId="1553"/>
    <cellStyle name="Note 2 4 4 2 2 2" xfId="834"/>
    <cellStyle name="Note 2 4 4 2 2 2 2" xfId="2665"/>
    <cellStyle name="Note 2 4 4 2 2 2 2 2" xfId="6085"/>
    <cellStyle name="Note 2 4 4 2 2 2 2 2 2" xfId="12925"/>
    <cellStyle name="Note 2 4 4 2 2 2 2 3" xfId="9505"/>
    <cellStyle name="Note 2 4 4 2 2 2 3" xfId="3805"/>
    <cellStyle name="Note 2 4 4 2 2 2 3 2" xfId="7225"/>
    <cellStyle name="Note 2 4 4 2 2 2 3 2 2" xfId="14065"/>
    <cellStyle name="Note 2 4 4 2 2 2 3 3" xfId="10645"/>
    <cellStyle name="Note 2 4 4 2 2 2 4" xfId="4945"/>
    <cellStyle name="Note 2 4 4 2 2 2 4 2" xfId="11785"/>
    <cellStyle name="Note 2 4 4 2 2 2 5" xfId="8365"/>
    <cellStyle name="Note 2 4 4 2 2 3" xfId="2374"/>
    <cellStyle name="Note 2 4 4 2 2 3 2" xfId="5794"/>
    <cellStyle name="Note 2 4 4 2 2 3 2 2" xfId="12634"/>
    <cellStyle name="Note 2 4 4 2 2 3 3" xfId="9214"/>
    <cellStyle name="Note 2 4 4 2 2 4" xfId="3514"/>
    <cellStyle name="Note 2 4 4 2 2 4 2" xfId="6934"/>
    <cellStyle name="Note 2 4 4 2 2 4 2 2" xfId="13774"/>
    <cellStyle name="Note 2 4 4 2 2 4 3" xfId="10354"/>
    <cellStyle name="Note 2 4 4 2 2 5" xfId="4654"/>
    <cellStyle name="Note 2 4 4 2 2 5 2" xfId="11494"/>
    <cellStyle name="Note 2 4 4 2 2 6" xfId="8074"/>
    <cellStyle name="Note 2 4 4 2 2 7" xfId="61361"/>
    <cellStyle name="Note 2 4 4 2 2 8" xfId="61951"/>
    <cellStyle name="Note 2 4 4 2 3" xfId="38463"/>
    <cellStyle name="Note 2 4 4 2 4" xfId="56217"/>
    <cellStyle name="Note 2 4 4 2 5" xfId="56218"/>
    <cellStyle name="Note 2 4 4 2 6" xfId="56219"/>
    <cellStyle name="Note 2 4 4 2 7" xfId="56220"/>
    <cellStyle name="Note 2 4 4 2 8" xfId="61229"/>
    <cellStyle name="Note 2 4 4 3" xfId="1247"/>
    <cellStyle name="Note 2 4 4 3 2" xfId="1004"/>
    <cellStyle name="Note 2 4 4 3 2 2" xfId="2520"/>
    <cellStyle name="Note 2 4 4 3 2 2 2" xfId="5940"/>
    <cellStyle name="Note 2 4 4 3 2 2 2 2" xfId="12780"/>
    <cellStyle name="Note 2 4 4 3 2 2 3" xfId="9360"/>
    <cellStyle name="Note 2 4 4 3 2 3" xfId="3660"/>
    <cellStyle name="Note 2 4 4 3 2 3 2" xfId="7080"/>
    <cellStyle name="Note 2 4 4 3 2 3 2 2" xfId="13920"/>
    <cellStyle name="Note 2 4 4 3 2 3 3" xfId="10500"/>
    <cellStyle name="Note 2 4 4 3 2 4" xfId="4800"/>
    <cellStyle name="Note 2 4 4 3 2 4 2" xfId="11640"/>
    <cellStyle name="Note 2 4 4 3 2 5" xfId="8220"/>
    <cellStyle name="Note 2 4 4 3 3" xfId="2067"/>
    <cellStyle name="Note 2 4 4 3 3 2" xfId="5487"/>
    <cellStyle name="Note 2 4 4 3 3 2 2" xfId="12327"/>
    <cellStyle name="Note 2 4 4 3 3 3" xfId="8907"/>
    <cellStyle name="Note 2 4 4 3 4" xfId="3207"/>
    <cellStyle name="Note 2 4 4 3 4 2" xfId="6627"/>
    <cellStyle name="Note 2 4 4 3 4 2 2" xfId="13467"/>
    <cellStyle name="Note 2 4 4 3 4 3" xfId="10047"/>
    <cellStyle name="Note 2 4 4 3 5" xfId="4347"/>
    <cellStyle name="Note 2 4 4 3 5 2" xfId="11187"/>
    <cellStyle name="Note 2 4 4 3 6" xfId="7767"/>
    <cellStyle name="Note 2 4 4 3 7" xfId="61436"/>
    <cellStyle name="Note 2 4 4 3 8" xfId="62005"/>
    <cellStyle name="Note 2 4 4 4" xfId="25959"/>
    <cellStyle name="Note 2 4 4 5" xfId="33169"/>
    <cellStyle name="Note 2 4 4 6" xfId="56221"/>
    <cellStyle name="Note 2 4 4 7" xfId="56222"/>
    <cellStyle name="Note 2 4 4 8" xfId="56223"/>
    <cellStyle name="Note 2 4 4 9" xfId="60923"/>
    <cellStyle name="Note 2 4 5" xfId="498"/>
    <cellStyle name="Note 2 4 5 2" xfId="460"/>
    <cellStyle name="Note 2 4 5 2 2" xfId="1464"/>
    <cellStyle name="Note 2 4 5 2 2 2" xfId="877"/>
    <cellStyle name="Note 2 4 5 2 2 2 2" xfId="2752"/>
    <cellStyle name="Note 2 4 5 2 2 2 2 2" xfId="6172"/>
    <cellStyle name="Note 2 4 5 2 2 2 2 2 2" xfId="13012"/>
    <cellStyle name="Note 2 4 5 2 2 2 2 3" xfId="9592"/>
    <cellStyle name="Note 2 4 5 2 2 2 3" xfId="3892"/>
    <cellStyle name="Note 2 4 5 2 2 2 3 2" xfId="7312"/>
    <cellStyle name="Note 2 4 5 2 2 2 3 2 2" xfId="14152"/>
    <cellStyle name="Note 2 4 5 2 2 2 3 3" xfId="10732"/>
    <cellStyle name="Note 2 4 5 2 2 2 4" xfId="5032"/>
    <cellStyle name="Note 2 4 5 2 2 2 4 2" xfId="11872"/>
    <cellStyle name="Note 2 4 5 2 2 2 5" xfId="8452"/>
    <cellStyle name="Note 2 4 5 2 2 3" xfId="2285"/>
    <cellStyle name="Note 2 4 5 2 2 3 2" xfId="5705"/>
    <cellStyle name="Note 2 4 5 2 2 3 2 2" xfId="12545"/>
    <cellStyle name="Note 2 4 5 2 2 3 3" xfId="9125"/>
    <cellStyle name="Note 2 4 5 2 2 4" xfId="3425"/>
    <cellStyle name="Note 2 4 5 2 2 4 2" xfId="6845"/>
    <cellStyle name="Note 2 4 5 2 2 4 2 2" xfId="13685"/>
    <cellStyle name="Note 2 4 5 2 2 4 3" xfId="10265"/>
    <cellStyle name="Note 2 4 5 2 2 5" xfId="4565"/>
    <cellStyle name="Note 2 4 5 2 2 5 2" xfId="11405"/>
    <cellStyle name="Note 2 4 5 2 2 6" xfId="7985"/>
    <cellStyle name="Note 2 4 5 2 2 7" xfId="61634"/>
    <cellStyle name="Note 2 4 5 2 2 8" xfId="62120"/>
    <cellStyle name="Note 2 4 5 2 3" xfId="38417"/>
    <cellStyle name="Note 2 4 5 2 4" xfId="56224"/>
    <cellStyle name="Note 2 4 5 2 5" xfId="56225"/>
    <cellStyle name="Note 2 4 5 2 6" xfId="56226"/>
    <cellStyle name="Note 2 4 5 2 7" xfId="56227"/>
    <cellStyle name="Note 2 4 5 2 8" xfId="61140"/>
    <cellStyle name="Note 2 4 5 3" xfId="1502"/>
    <cellStyle name="Note 2 4 5 3 2" xfId="1748"/>
    <cellStyle name="Note 2 4 5 3 2 2" xfId="2888"/>
    <cellStyle name="Note 2 4 5 3 2 2 2" xfId="6308"/>
    <cellStyle name="Note 2 4 5 3 2 2 2 2" xfId="13148"/>
    <cellStyle name="Note 2 4 5 3 2 2 3" xfId="9728"/>
    <cellStyle name="Note 2 4 5 3 2 3" xfId="4028"/>
    <cellStyle name="Note 2 4 5 3 2 3 2" xfId="7448"/>
    <cellStyle name="Note 2 4 5 3 2 3 2 2" xfId="14288"/>
    <cellStyle name="Note 2 4 5 3 2 3 3" xfId="10868"/>
    <cellStyle name="Note 2 4 5 3 2 4" xfId="5168"/>
    <cellStyle name="Note 2 4 5 3 2 4 2" xfId="12008"/>
    <cellStyle name="Note 2 4 5 3 2 5" xfId="8588"/>
    <cellStyle name="Note 2 4 5 3 3" xfId="2323"/>
    <cellStyle name="Note 2 4 5 3 3 2" xfId="5743"/>
    <cellStyle name="Note 2 4 5 3 3 2 2" xfId="12583"/>
    <cellStyle name="Note 2 4 5 3 3 3" xfId="9163"/>
    <cellStyle name="Note 2 4 5 3 4" xfId="3463"/>
    <cellStyle name="Note 2 4 5 3 4 2" xfId="6883"/>
    <cellStyle name="Note 2 4 5 3 4 2 2" xfId="13723"/>
    <cellStyle name="Note 2 4 5 3 4 3" xfId="10303"/>
    <cellStyle name="Note 2 4 5 3 5" xfId="4603"/>
    <cellStyle name="Note 2 4 5 3 5 2" xfId="11443"/>
    <cellStyle name="Note 2 4 5 3 6" xfId="8023"/>
    <cellStyle name="Note 2 4 5 3 7" xfId="61635"/>
    <cellStyle name="Note 2 4 5 3 8" xfId="62121"/>
    <cellStyle name="Note 2 4 5 4" xfId="26938"/>
    <cellStyle name="Note 2 4 5 5" xfId="34106"/>
    <cellStyle name="Note 2 4 5 6" xfId="56228"/>
    <cellStyle name="Note 2 4 5 7" xfId="56229"/>
    <cellStyle name="Note 2 4 5 8" xfId="56230"/>
    <cellStyle name="Note 2 4 5 9" xfId="61178"/>
    <cellStyle name="Note 2 4 6" xfId="518"/>
    <cellStyle name="Note 2 4 6 2" xfId="401"/>
    <cellStyle name="Note 2 4 6 2 2" xfId="1406"/>
    <cellStyle name="Note 2 4 6 2 2 2" xfId="906"/>
    <cellStyle name="Note 2 4 6 2 2 2 2" xfId="2712"/>
    <cellStyle name="Note 2 4 6 2 2 2 2 2" xfId="6132"/>
    <cellStyle name="Note 2 4 6 2 2 2 2 2 2" xfId="12972"/>
    <cellStyle name="Note 2 4 6 2 2 2 2 3" xfId="9552"/>
    <cellStyle name="Note 2 4 6 2 2 2 3" xfId="3852"/>
    <cellStyle name="Note 2 4 6 2 2 2 3 2" xfId="7272"/>
    <cellStyle name="Note 2 4 6 2 2 2 3 2 2" xfId="14112"/>
    <cellStyle name="Note 2 4 6 2 2 2 3 3" xfId="10692"/>
    <cellStyle name="Note 2 4 6 2 2 2 4" xfId="4992"/>
    <cellStyle name="Note 2 4 6 2 2 2 4 2" xfId="11832"/>
    <cellStyle name="Note 2 4 6 2 2 2 5" xfId="8412"/>
    <cellStyle name="Note 2 4 6 2 2 3" xfId="2227"/>
    <cellStyle name="Note 2 4 6 2 2 3 2" xfId="5647"/>
    <cellStyle name="Note 2 4 6 2 2 3 2 2" xfId="12487"/>
    <cellStyle name="Note 2 4 6 2 2 3 3" xfId="9067"/>
    <cellStyle name="Note 2 4 6 2 2 4" xfId="3367"/>
    <cellStyle name="Note 2 4 6 2 2 4 2" xfId="6787"/>
    <cellStyle name="Note 2 4 6 2 2 4 2 2" xfId="13627"/>
    <cellStyle name="Note 2 4 6 2 2 4 3" xfId="10207"/>
    <cellStyle name="Note 2 4 6 2 2 5" xfId="4507"/>
    <cellStyle name="Note 2 4 6 2 2 5 2" xfId="11347"/>
    <cellStyle name="Note 2 4 6 2 2 6" xfId="7927"/>
    <cellStyle name="Note 2 4 6 2 2 7" xfId="61632"/>
    <cellStyle name="Note 2 4 6 2 2 8" xfId="62118"/>
    <cellStyle name="Note 2 4 6 2 3" xfId="38379"/>
    <cellStyle name="Note 2 4 6 2 4" xfId="56231"/>
    <cellStyle name="Note 2 4 6 2 5" xfId="56232"/>
    <cellStyle name="Note 2 4 6 2 6" xfId="56233"/>
    <cellStyle name="Note 2 4 6 2 7" xfId="56234"/>
    <cellStyle name="Note 2 4 6 2 8" xfId="61082"/>
    <cellStyle name="Note 2 4 6 3" xfId="1522"/>
    <cellStyle name="Note 2 4 6 3 2" xfId="1705"/>
    <cellStyle name="Note 2 4 6 3 2 2" xfId="2845"/>
    <cellStyle name="Note 2 4 6 3 2 2 2" xfId="6265"/>
    <cellStyle name="Note 2 4 6 3 2 2 2 2" xfId="13105"/>
    <cellStyle name="Note 2 4 6 3 2 2 3" xfId="9685"/>
    <cellStyle name="Note 2 4 6 3 2 3" xfId="3985"/>
    <cellStyle name="Note 2 4 6 3 2 3 2" xfId="7405"/>
    <cellStyle name="Note 2 4 6 3 2 3 2 2" xfId="14245"/>
    <cellStyle name="Note 2 4 6 3 2 3 3" xfId="10825"/>
    <cellStyle name="Note 2 4 6 3 2 4" xfId="5125"/>
    <cellStyle name="Note 2 4 6 3 2 4 2" xfId="11965"/>
    <cellStyle name="Note 2 4 6 3 2 5" xfId="8545"/>
    <cellStyle name="Note 2 4 6 3 3" xfId="2343"/>
    <cellStyle name="Note 2 4 6 3 3 2" xfId="5763"/>
    <cellStyle name="Note 2 4 6 3 3 2 2" xfId="12603"/>
    <cellStyle name="Note 2 4 6 3 3 3" xfId="9183"/>
    <cellStyle name="Note 2 4 6 3 4" xfId="3483"/>
    <cellStyle name="Note 2 4 6 3 4 2" xfId="6903"/>
    <cellStyle name="Note 2 4 6 3 4 2 2" xfId="13743"/>
    <cellStyle name="Note 2 4 6 3 4 3" xfId="10323"/>
    <cellStyle name="Note 2 4 6 3 5" xfId="4623"/>
    <cellStyle name="Note 2 4 6 3 5 2" xfId="11463"/>
    <cellStyle name="Note 2 4 6 3 6" xfId="8043"/>
    <cellStyle name="Note 2 4 6 3 7" xfId="61633"/>
    <cellStyle name="Note 2 4 6 3 8" xfId="62119"/>
    <cellStyle name="Note 2 4 6 4" xfId="27907"/>
    <cellStyle name="Note 2 4 6 5" xfId="35052"/>
    <cellStyle name="Note 2 4 6 6" xfId="56235"/>
    <cellStyle name="Note 2 4 6 7" xfId="56236"/>
    <cellStyle name="Note 2 4 6 8" xfId="56237"/>
    <cellStyle name="Note 2 4 6 9" xfId="61198"/>
    <cellStyle name="Note 2 4 7" xfId="1124"/>
    <cellStyle name="Note 2 4 7 10" xfId="62049"/>
    <cellStyle name="Note 2 4 7 2" xfId="1693"/>
    <cellStyle name="Note 2 4 7 2 2" xfId="2833"/>
    <cellStyle name="Note 2 4 7 2 2 2" xfId="6253"/>
    <cellStyle name="Note 2 4 7 2 2 2 2" xfId="13093"/>
    <cellStyle name="Note 2 4 7 2 2 3" xfId="9673"/>
    <cellStyle name="Note 2 4 7 2 3" xfId="3973"/>
    <cellStyle name="Note 2 4 7 2 3 2" xfId="7393"/>
    <cellStyle name="Note 2 4 7 2 3 2 2" xfId="14233"/>
    <cellStyle name="Note 2 4 7 2 3 3" xfId="10813"/>
    <cellStyle name="Note 2 4 7 2 4" xfId="5113"/>
    <cellStyle name="Note 2 4 7 2 4 2" xfId="11953"/>
    <cellStyle name="Note 2 4 7 2 5" xfId="8533"/>
    <cellStyle name="Note 2 4 7 3" xfId="1938"/>
    <cellStyle name="Note 2 4 7 3 2" xfId="5358"/>
    <cellStyle name="Note 2 4 7 3 2 2" xfId="12198"/>
    <cellStyle name="Note 2 4 7 3 3" xfId="8778"/>
    <cellStyle name="Note 2 4 7 4" xfId="3078"/>
    <cellStyle name="Note 2 4 7 4 2" xfId="6498"/>
    <cellStyle name="Note 2 4 7 4 2 2" xfId="13338"/>
    <cellStyle name="Note 2 4 7 4 3" xfId="9918"/>
    <cellStyle name="Note 2 4 7 5" xfId="4218"/>
    <cellStyle name="Note 2 4 7 5 2" xfId="11058"/>
    <cellStyle name="Note 2 4 7 6" xfId="7638"/>
    <cellStyle name="Note 2 4 7 7" xfId="28866"/>
    <cellStyle name="Note 2 4 7 8" xfId="35969"/>
    <cellStyle name="Note 2 4 7 9" xfId="61490"/>
    <cellStyle name="Note 2 4 8" xfId="21264"/>
    <cellStyle name="Note 2 4 8 2" xfId="29572"/>
    <cellStyle name="Note 2 4 8 2 2" xfId="56238"/>
    <cellStyle name="Note 2 4 8 2 3" xfId="56239"/>
    <cellStyle name="Note 2 4 8 3" xfId="36639"/>
    <cellStyle name="Note 2 4 8 4" xfId="56240"/>
    <cellStyle name="Note 2 4 9" xfId="21980"/>
    <cellStyle name="Note 2 4 9 2" xfId="30280"/>
    <cellStyle name="Note 2 4 9 2 2" xfId="56241"/>
    <cellStyle name="Note 2 4 9 2 3" xfId="56242"/>
    <cellStyle name="Note 2 4 9 3" xfId="37320"/>
    <cellStyle name="Note 2 4 9 4" xfId="56243"/>
    <cellStyle name="Note 2 5" xfId="113"/>
    <cellStyle name="Note 2 5 10" xfId="22951"/>
    <cellStyle name="Note 2 5 11" xfId="56244"/>
    <cellStyle name="Note 2 5 12" xfId="56245"/>
    <cellStyle name="Note 2 5 13" xfId="56246"/>
    <cellStyle name="Note 2 5 14" xfId="56247"/>
    <cellStyle name="Note 2 5 15" xfId="60805"/>
    <cellStyle name="Note 2 5 2" xfId="172"/>
    <cellStyle name="Note 2 5 2 10" xfId="60856"/>
    <cellStyle name="Note 2 5 2 2" xfId="298"/>
    <cellStyle name="Note 2 5 2 2 2" xfId="707"/>
    <cellStyle name="Note 2 5 2 2 2 2" xfId="1658"/>
    <cellStyle name="Note 2 5 2 2 2 2 2" xfId="749"/>
    <cellStyle name="Note 2 5 2 2 2 2 2 2" xfId="2499"/>
    <cellStyle name="Note 2 5 2 2 2 2 2 2 2" xfId="5919"/>
    <cellStyle name="Note 2 5 2 2 2 2 2 2 2 2" xfId="12759"/>
    <cellStyle name="Note 2 5 2 2 2 2 2 2 3" xfId="9339"/>
    <cellStyle name="Note 2 5 2 2 2 2 2 3" xfId="3639"/>
    <cellStyle name="Note 2 5 2 2 2 2 2 3 2" xfId="7059"/>
    <cellStyle name="Note 2 5 2 2 2 2 2 3 2 2" xfId="13899"/>
    <cellStyle name="Note 2 5 2 2 2 2 2 3 3" xfId="10479"/>
    <cellStyle name="Note 2 5 2 2 2 2 2 4" xfId="4779"/>
    <cellStyle name="Note 2 5 2 2 2 2 2 4 2" xfId="11619"/>
    <cellStyle name="Note 2 5 2 2 2 2 2 5" xfId="8199"/>
    <cellStyle name="Note 2 5 2 2 2 2 3" xfId="2492"/>
    <cellStyle name="Note 2 5 2 2 2 2 3 2" xfId="5912"/>
    <cellStyle name="Note 2 5 2 2 2 2 3 2 2" xfId="12752"/>
    <cellStyle name="Note 2 5 2 2 2 2 3 3" xfId="9332"/>
    <cellStyle name="Note 2 5 2 2 2 2 4" xfId="3632"/>
    <cellStyle name="Note 2 5 2 2 2 2 4 2" xfId="7052"/>
    <cellStyle name="Note 2 5 2 2 2 2 4 2 2" xfId="13892"/>
    <cellStyle name="Note 2 5 2 2 2 2 4 3" xfId="10472"/>
    <cellStyle name="Note 2 5 2 2 2 2 5" xfId="4772"/>
    <cellStyle name="Note 2 5 2 2 2 2 5 2" xfId="11612"/>
    <cellStyle name="Note 2 5 2 2 2 2 6" xfId="8192"/>
    <cellStyle name="Note 2 5 2 2 2 2 7" xfId="61628"/>
    <cellStyle name="Note 2 5 2 2 2 2 8" xfId="62115"/>
    <cellStyle name="Note 2 5 2 2 2 3" xfId="38551"/>
    <cellStyle name="Note 2 5 2 2 2 4" xfId="56248"/>
    <cellStyle name="Note 2 5 2 2 2 5" xfId="56249"/>
    <cellStyle name="Note 2 5 2 2 2 6" xfId="56250"/>
    <cellStyle name="Note 2 5 2 2 2 7" xfId="61282"/>
    <cellStyle name="Note 2 5 2 2 3" xfId="1304"/>
    <cellStyle name="Note 2 5 2 2 3 2" xfId="1839"/>
    <cellStyle name="Note 2 5 2 2 3 2 2" xfId="2979"/>
    <cellStyle name="Note 2 5 2 2 3 2 2 2" xfId="6399"/>
    <cellStyle name="Note 2 5 2 2 3 2 2 2 2" xfId="13239"/>
    <cellStyle name="Note 2 5 2 2 3 2 2 3" xfId="9819"/>
    <cellStyle name="Note 2 5 2 2 3 2 3" xfId="4119"/>
    <cellStyle name="Note 2 5 2 2 3 2 3 2" xfId="7539"/>
    <cellStyle name="Note 2 5 2 2 3 2 3 2 2" xfId="14379"/>
    <cellStyle name="Note 2 5 2 2 3 2 3 3" xfId="10959"/>
    <cellStyle name="Note 2 5 2 2 3 2 4" xfId="5259"/>
    <cellStyle name="Note 2 5 2 2 3 2 4 2" xfId="12099"/>
    <cellStyle name="Note 2 5 2 2 3 2 5" xfId="8679"/>
    <cellStyle name="Note 2 5 2 2 3 3" xfId="2124"/>
    <cellStyle name="Note 2 5 2 2 3 3 2" xfId="5544"/>
    <cellStyle name="Note 2 5 2 2 3 3 2 2" xfId="12384"/>
    <cellStyle name="Note 2 5 2 2 3 3 3" xfId="8964"/>
    <cellStyle name="Note 2 5 2 2 3 4" xfId="3264"/>
    <cellStyle name="Note 2 5 2 2 3 4 2" xfId="6684"/>
    <cellStyle name="Note 2 5 2 2 3 4 2 2" xfId="13524"/>
    <cellStyle name="Note 2 5 2 2 3 4 3" xfId="10104"/>
    <cellStyle name="Note 2 5 2 2 3 5" xfId="4404"/>
    <cellStyle name="Note 2 5 2 2 3 5 2" xfId="11244"/>
    <cellStyle name="Note 2 5 2 2 3 6" xfId="7824"/>
    <cellStyle name="Note 2 5 2 2 3 7" xfId="61629"/>
    <cellStyle name="Note 2 5 2 2 3 8" xfId="62116"/>
    <cellStyle name="Note 2 5 2 2 4" xfId="38314"/>
    <cellStyle name="Note 2 5 2 2 5" xfId="56251"/>
    <cellStyle name="Note 2 5 2 2 6" xfId="56252"/>
    <cellStyle name="Note 2 5 2 2 7" xfId="56253"/>
    <cellStyle name="Note 2 5 2 2 8" xfId="56254"/>
    <cellStyle name="Note 2 5 2 2 9" xfId="60980"/>
    <cellStyle name="Note 2 5 2 3" xfId="619"/>
    <cellStyle name="Note 2 5 2 3 2" xfId="1606"/>
    <cellStyle name="Note 2 5 2 3 2 2" xfId="801"/>
    <cellStyle name="Note 2 5 2 3 2 2 2" xfId="2783"/>
    <cellStyle name="Note 2 5 2 3 2 2 2 2" xfId="6203"/>
    <cellStyle name="Note 2 5 2 3 2 2 2 2 2" xfId="13043"/>
    <cellStyle name="Note 2 5 2 3 2 2 2 3" xfId="9623"/>
    <cellStyle name="Note 2 5 2 3 2 2 3" xfId="3923"/>
    <cellStyle name="Note 2 5 2 3 2 2 3 2" xfId="7343"/>
    <cellStyle name="Note 2 5 2 3 2 2 3 2 2" xfId="14183"/>
    <cellStyle name="Note 2 5 2 3 2 2 3 3" xfId="10763"/>
    <cellStyle name="Note 2 5 2 3 2 2 4" xfId="5063"/>
    <cellStyle name="Note 2 5 2 3 2 2 4 2" xfId="11903"/>
    <cellStyle name="Note 2 5 2 3 2 2 5" xfId="8483"/>
    <cellStyle name="Note 2 5 2 3 2 3" xfId="2431"/>
    <cellStyle name="Note 2 5 2 3 2 3 2" xfId="5851"/>
    <cellStyle name="Note 2 5 2 3 2 3 2 2" xfId="12691"/>
    <cellStyle name="Note 2 5 2 3 2 3 3" xfId="9271"/>
    <cellStyle name="Note 2 5 2 3 2 4" xfId="3571"/>
    <cellStyle name="Note 2 5 2 3 2 4 2" xfId="6991"/>
    <cellStyle name="Note 2 5 2 3 2 4 2 2" xfId="13831"/>
    <cellStyle name="Note 2 5 2 3 2 4 3" xfId="10411"/>
    <cellStyle name="Note 2 5 2 3 2 5" xfId="4711"/>
    <cellStyle name="Note 2 5 2 3 2 5 2" xfId="11551"/>
    <cellStyle name="Note 2 5 2 3 2 6" xfId="8131"/>
    <cellStyle name="Note 2 5 2 3 2 7" xfId="61626"/>
    <cellStyle name="Note 2 5 2 3 2 8" xfId="62114"/>
    <cellStyle name="Note 2 5 2 3 3" xfId="38500"/>
    <cellStyle name="Note 2 5 2 3 4" xfId="56255"/>
    <cellStyle name="Note 2 5 2 3 5" xfId="56256"/>
    <cellStyle name="Note 2 5 2 3 6" xfId="56257"/>
    <cellStyle name="Note 2 5 2 3 7" xfId="61283"/>
    <cellStyle name="Note 2 5 2 4" xfId="1180"/>
    <cellStyle name="Note 2 5 2 4 2" xfId="1872"/>
    <cellStyle name="Note 2 5 2 4 2 2" xfId="3012"/>
    <cellStyle name="Note 2 5 2 4 2 2 2" xfId="6432"/>
    <cellStyle name="Note 2 5 2 4 2 2 2 2" xfId="13272"/>
    <cellStyle name="Note 2 5 2 4 2 2 3" xfId="9852"/>
    <cellStyle name="Note 2 5 2 4 2 3" xfId="4152"/>
    <cellStyle name="Note 2 5 2 4 2 3 2" xfId="7572"/>
    <cellStyle name="Note 2 5 2 4 2 3 2 2" xfId="14412"/>
    <cellStyle name="Note 2 5 2 4 2 3 3" xfId="10992"/>
    <cellStyle name="Note 2 5 2 4 2 4" xfId="5292"/>
    <cellStyle name="Note 2 5 2 4 2 4 2" xfId="12132"/>
    <cellStyle name="Note 2 5 2 4 2 5" xfId="8712"/>
    <cellStyle name="Note 2 5 2 4 3" xfId="1999"/>
    <cellStyle name="Note 2 5 2 4 3 2" xfId="5419"/>
    <cellStyle name="Note 2 5 2 4 3 2 2" xfId="12259"/>
    <cellStyle name="Note 2 5 2 4 3 3" xfId="8839"/>
    <cellStyle name="Note 2 5 2 4 4" xfId="3139"/>
    <cellStyle name="Note 2 5 2 4 4 2" xfId="6559"/>
    <cellStyle name="Note 2 5 2 4 4 2 2" xfId="13399"/>
    <cellStyle name="Note 2 5 2 4 4 3" xfId="9979"/>
    <cellStyle name="Note 2 5 2 4 5" xfId="4279"/>
    <cellStyle name="Note 2 5 2 4 5 2" xfId="11119"/>
    <cellStyle name="Note 2 5 2 4 6" xfId="7699"/>
    <cellStyle name="Note 2 5 2 4 7" xfId="61631"/>
    <cellStyle name="Note 2 5 2 4 8" xfId="62117"/>
    <cellStyle name="Note 2 5 2 5" xfId="23986"/>
    <cellStyle name="Note 2 5 2 6" xfId="31282"/>
    <cellStyle name="Note 2 5 2 7" xfId="56258"/>
    <cellStyle name="Note 2 5 2 8" xfId="56259"/>
    <cellStyle name="Note 2 5 2 9" xfId="56260"/>
    <cellStyle name="Note 2 5 3" xfId="338"/>
    <cellStyle name="Note 2 5 3 2" xfId="469"/>
    <cellStyle name="Note 2 5 3 2 2" xfId="1473"/>
    <cellStyle name="Note 2 5 3 2 2 2" xfId="872"/>
    <cellStyle name="Note 2 5 3 2 2 2 2" xfId="2762"/>
    <cellStyle name="Note 2 5 3 2 2 2 2 2" xfId="6182"/>
    <cellStyle name="Note 2 5 3 2 2 2 2 2 2" xfId="13022"/>
    <cellStyle name="Note 2 5 3 2 2 2 2 3" xfId="9602"/>
    <cellStyle name="Note 2 5 3 2 2 2 3" xfId="3902"/>
    <cellStyle name="Note 2 5 3 2 2 2 3 2" xfId="7322"/>
    <cellStyle name="Note 2 5 3 2 2 2 3 2 2" xfId="14162"/>
    <cellStyle name="Note 2 5 3 2 2 2 3 3" xfId="10742"/>
    <cellStyle name="Note 2 5 3 2 2 2 4" xfId="5042"/>
    <cellStyle name="Note 2 5 3 2 2 2 4 2" xfId="11882"/>
    <cellStyle name="Note 2 5 3 2 2 2 5" xfId="8462"/>
    <cellStyle name="Note 2 5 3 2 2 3" xfId="2294"/>
    <cellStyle name="Note 2 5 3 2 2 3 2" xfId="5714"/>
    <cellStyle name="Note 2 5 3 2 2 3 2 2" xfId="12554"/>
    <cellStyle name="Note 2 5 3 2 2 3 3" xfId="9134"/>
    <cellStyle name="Note 2 5 3 2 2 4" xfId="3434"/>
    <cellStyle name="Note 2 5 3 2 2 4 2" xfId="6854"/>
    <cellStyle name="Note 2 5 3 2 2 4 2 2" xfId="13694"/>
    <cellStyle name="Note 2 5 3 2 2 4 3" xfId="10274"/>
    <cellStyle name="Note 2 5 3 2 2 5" xfId="4574"/>
    <cellStyle name="Note 2 5 3 2 2 5 2" xfId="11414"/>
    <cellStyle name="Note 2 5 3 2 2 6" xfId="7994"/>
    <cellStyle name="Note 2 5 3 2 2 7" xfId="61624"/>
    <cellStyle name="Note 2 5 3 2 2 8" xfId="62112"/>
    <cellStyle name="Note 2 5 3 2 3" xfId="38420"/>
    <cellStyle name="Note 2 5 3 2 4" xfId="56261"/>
    <cellStyle name="Note 2 5 3 2 5" xfId="56262"/>
    <cellStyle name="Note 2 5 3 2 6" xfId="56263"/>
    <cellStyle name="Note 2 5 3 2 7" xfId="56264"/>
    <cellStyle name="Note 2 5 3 2 8" xfId="61149"/>
    <cellStyle name="Note 2 5 3 3" xfId="1343"/>
    <cellStyle name="Note 2 5 3 3 2" xfId="949"/>
    <cellStyle name="Note 2 5 3 3 2 2" xfId="2598"/>
    <cellStyle name="Note 2 5 3 3 2 2 2" xfId="6018"/>
    <cellStyle name="Note 2 5 3 3 2 2 2 2" xfId="12858"/>
    <cellStyle name="Note 2 5 3 3 2 2 3" xfId="9438"/>
    <cellStyle name="Note 2 5 3 3 2 3" xfId="3738"/>
    <cellStyle name="Note 2 5 3 3 2 3 2" xfId="7158"/>
    <cellStyle name="Note 2 5 3 3 2 3 2 2" xfId="13998"/>
    <cellStyle name="Note 2 5 3 3 2 3 3" xfId="10578"/>
    <cellStyle name="Note 2 5 3 3 2 4" xfId="4878"/>
    <cellStyle name="Note 2 5 3 3 2 4 2" xfId="11718"/>
    <cellStyle name="Note 2 5 3 3 2 5" xfId="8298"/>
    <cellStyle name="Note 2 5 3 3 3" xfId="2164"/>
    <cellStyle name="Note 2 5 3 3 3 2" xfId="5584"/>
    <cellStyle name="Note 2 5 3 3 3 2 2" xfId="12424"/>
    <cellStyle name="Note 2 5 3 3 3 3" xfId="9004"/>
    <cellStyle name="Note 2 5 3 3 4" xfId="3304"/>
    <cellStyle name="Note 2 5 3 3 4 2" xfId="6724"/>
    <cellStyle name="Note 2 5 3 3 4 2 2" xfId="13564"/>
    <cellStyle name="Note 2 5 3 3 4 3" xfId="10144"/>
    <cellStyle name="Note 2 5 3 3 5" xfId="4444"/>
    <cellStyle name="Note 2 5 3 3 5 2" xfId="11284"/>
    <cellStyle name="Note 2 5 3 3 6" xfId="7864"/>
    <cellStyle name="Note 2 5 3 3 7" xfId="61625"/>
    <cellStyle name="Note 2 5 3 3 8" xfId="62113"/>
    <cellStyle name="Note 2 5 3 4" xfId="24957"/>
    <cellStyle name="Note 2 5 3 5" xfId="32215"/>
    <cellStyle name="Note 2 5 3 6" xfId="56265"/>
    <cellStyle name="Note 2 5 3 7" xfId="56266"/>
    <cellStyle name="Note 2 5 3 8" xfId="56267"/>
    <cellStyle name="Note 2 5 3 9" xfId="61019"/>
    <cellStyle name="Note 2 5 4" xfId="245"/>
    <cellStyle name="Note 2 5 4 2" xfId="371"/>
    <cellStyle name="Note 2 5 4 2 2" xfId="1376"/>
    <cellStyle name="Note 2 5 4 2 2 2" xfId="920"/>
    <cellStyle name="Note 2 5 4 2 2 2 2" xfId="2749"/>
    <cellStyle name="Note 2 5 4 2 2 2 2 2" xfId="6169"/>
    <cellStyle name="Note 2 5 4 2 2 2 2 2 2" xfId="13009"/>
    <cellStyle name="Note 2 5 4 2 2 2 2 3" xfId="9589"/>
    <cellStyle name="Note 2 5 4 2 2 2 3" xfId="3889"/>
    <cellStyle name="Note 2 5 4 2 2 2 3 2" xfId="7309"/>
    <cellStyle name="Note 2 5 4 2 2 2 3 2 2" xfId="14149"/>
    <cellStyle name="Note 2 5 4 2 2 2 3 3" xfId="10729"/>
    <cellStyle name="Note 2 5 4 2 2 2 4" xfId="5029"/>
    <cellStyle name="Note 2 5 4 2 2 2 4 2" xfId="11869"/>
    <cellStyle name="Note 2 5 4 2 2 2 5" xfId="8449"/>
    <cellStyle name="Note 2 5 4 2 2 3" xfId="2197"/>
    <cellStyle name="Note 2 5 4 2 2 3 2" xfId="5617"/>
    <cellStyle name="Note 2 5 4 2 2 3 2 2" xfId="12457"/>
    <cellStyle name="Note 2 5 4 2 2 3 3" xfId="9037"/>
    <cellStyle name="Note 2 5 4 2 2 4" xfId="3337"/>
    <cellStyle name="Note 2 5 4 2 2 4 2" xfId="6757"/>
    <cellStyle name="Note 2 5 4 2 2 4 2 2" xfId="13597"/>
    <cellStyle name="Note 2 5 4 2 2 4 3" xfId="10177"/>
    <cellStyle name="Note 2 5 4 2 2 5" xfId="4477"/>
    <cellStyle name="Note 2 5 4 2 2 5 2" xfId="11317"/>
    <cellStyle name="Note 2 5 4 2 2 6" xfId="7897"/>
    <cellStyle name="Note 2 5 4 2 2 7" xfId="61622"/>
    <cellStyle name="Note 2 5 4 2 2 8" xfId="62110"/>
    <cellStyle name="Note 2 5 4 2 3" xfId="38354"/>
    <cellStyle name="Note 2 5 4 2 4" xfId="56268"/>
    <cellStyle name="Note 2 5 4 2 5" xfId="56269"/>
    <cellStyle name="Note 2 5 4 2 6" xfId="56270"/>
    <cellStyle name="Note 2 5 4 2 7" xfId="56271"/>
    <cellStyle name="Note 2 5 4 2 8" xfId="61052"/>
    <cellStyle name="Note 2 5 4 3" xfId="1252"/>
    <cellStyle name="Note 2 5 4 3 2" xfId="1718"/>
    <cellStyle name="Note 2 5 4 3 2 2" xfId="2858"/>
    <cellStyle name="Note 2 5 4 3 2 2 2" xfId="6278"/>
    <cellStyle name="Note 2 5 4 3 2 2 2 2" xfId="13118"/>
    <cellStyle name="Note 2 5 4 3 2 2 3" xfId="9698"/>
    <cellStyle name="Note 2 5 4 3 2 3" xfId="3998"/>
    <cellStyle name="Note 2 5 4 3 2 3 2" xfId="7418"/>
    <cellStyle name="Note 2 5 4 3 2 3 2 2" xfId="14258"/>
    <cellStyle name="Note 2 5 4 3 2 3 3" xfId="10838"/>
    <cellStyle name="Note 2 5 4 3 2 4" xfId="5138"/>
    <cellStyle name="Note 2 5 4 3 2 4 2" xfId="11978"/>
    <cellStyle name="Note 2 5 4 3 2 5" xfId="8558"/>
    <cellStyle name="Note 2 5 4 3 3" xfId="2072"/>
    <cellStyle name="Note 2 5 4 3 3 2" xfId="5492"/>
    <cellStyle name="Note 2 5 4 3 3 2 2" xfId="12332"/>
    <cellStyle name="Note 2 5 4 3 3 3" xfId="8912"/>
    <cellStyle name="Note 2 5 4 3 4" xfId="3212"/>
    <cellStyle name="Note 2 5 4 3 4 2" xfId="6632"/>
    <cellStyle name="Note 2 5 4 3 4 2 2" xfId="13472"/>
    <cellStyle name="Note 2 5 4 3 4 3" xfId="10052"/>
    <cellStyle name="Note 2 5 4 3 5" xfId="4352"/>
    <cellStyle name="Note 2 5 4 3 5 2" xfId="11192"/>
    <cellStyle name="Note 2 5 4 3 6" xfId="7772"/>
    <cellStyle name="Note 2 5 4 3 7" xfId="61623"/>
    <cellStyle name="Note 2 5 4 3 8" xfId="62111"/>
    <cellStyle name="Note 2 5 4 4" xfId="25983"/>
    <cellStyle name="Note 2 5 4 5" xfId="33192"/>
    <cellStyle name="Note 2 5 4 6" xfId="56272"/>
    <cellStyle name="Note 2 5 4 7" xfId="56273"/>
    <cellStyle name="Note 2 5 4 8" xfId="56274"/>
    <cellStyle name="Note 2 5 4 9" xfId="60928"/>
    <cellStyle name="Note 2 5 5" xfId="503"/>
    <cellStyle name="Note 2 5 5 2" xfId="339"/>
    <cellStyle name="Note 2 5 5 2 2" xfId="1344"/>
    <cellStyle name="Note 2 5 5 2 2 2" xfId="948"/>
    <cellStyle name="Note 2 5 5 2 2 2 2" xfId="2787"/>
    <cellStyle name="Note 2 5 5 2 2 2 2 2" xfId="6207"/>
    <cellStyle name="Note 2 5 5 2 2 2 2 2 2" xfId="13047"/>
    <cellStyle name="Note 2 5 5 2 2 2 2 3" xfId="9627"/>
    <cellStyle name="Note 2 5 5 2 2 2 3" xfId="3927"/>
    <cellStyle name="Note 2 5 5 2 2 2 3 2" xfId="7347"/>
    <cellStyle name="Note 2 5 5 2 2 2 3 2 2" xfId="14187"/>
    <cellStyle name="Note 2 5 5 2 2 2 3 3" xfId="10767"/>
    <cellStyle name="Note 2 5 5 2 2 2 4" xfId="5067"/>
    <cellStyle name="Note 2 5 5 2 2 2 4 2" xfId="11907"/>
    <cellStyle name="Note 2 5 5 2 2 2 5" xfId="8487"/>
    <cellStyle name="Note 2 5 5 2 2 3" xfId="2165"/>
    <cellStyle name="Note 2 5 5 2 2 3 2" xfId="5585"/>
    <cellStyle name="Note 2 5 5 2 2 3 2 2" xfId="12425"/>
    <cellStyle name="Note 2 5 5 2 2 3 3" xfId="9005"/>
    <cellStyle name="Note 2 5 5 2 2 4" xfId="3305"/>
    <cellStyle name="Note 2 5 5 2 2 4 2" xfId="6725"/>
    <cellStyle name="Note 2 5 5 2 2 4 2 2" xfId="13565"/>
    <cellStyle name="Note 2 5 5 2 2 4 3" xfId="10145"/>
    <cellStyle name="Note 2 5 5 2 2 5" xfId="4445"/>
    <cellStyle name="Note 2 5 5 2 2 5 2" xfId="11285"/>
    <cellStyle name="Note 2 5 5 2 2 6" xfId="7865"/>
    <cellStyle name="Note 2 5 5 2 2 7" xfId="61435"/>
    <cellStyle name="Note 2 5 5 2 2 8" xfId="62004"/>
    <cellStyle name="Note 2 5 5 2 3" xfId="38330"/>
    <cellStyle name="Note 2 5 5 2 4" xfId="56275"/>
    <cellStyle name="Note 2 5 5 2 5" xfId="56276"/>
    <cellStyle name="Note 2 5 5 2 6" xfId="56277"/>
    <cellStyle name="Note 2 5 5 2 7" xfId="56278"/>
    <cellStyle name="Note 2 5 5 2 8" xfId="61020"/>
    <cellStyle name="Note 2 5 5 3" xfId="1507"/>
    <cellStyle name="Note 2 5 5 3 2" xfId="855"/>
    <cellStyle name="Note 2 5 5 3 2 2" xfId="2708"/>
    <cellStyle name="Note 2 5 5 3 2 2 2" xfId="6128"/>
    <cellStyle name="Note 2 5 5 3 2 2 2 2" xfId="12968"/>
    <cellStyle name="Note 2 5 5 3 2 2 3" xfId="9548"/>
    <cellStyle name="Note 2 5 5 3 2 3" xfId="3848"/>
    <cellStyle name="Note 2 5 5 3 2 3 2" xfId="7268"/>
    <cellStyle name="Note 2 5 5 3 2 3 2 2" xfId="14108"/>
    <cellStyle name="Note 2 5 5 3 2 3 3" xfId="10688"/>
    <cellStyle name="Note 2 5 5 3 2 4" xfId="4988"/>
    <cellStyle name="Note 2 5 5 3 2 4 2" xfId="11828"/>
    <cellStyle name="Note 2 5 5 3 2 5" xfId="8408"/>
    <cellStyle name="Note 2 5 5 3 3" xfId="2328"/>
    <cellStyle name="Note 2 5 5 3 3 2" xfId="5748"/>
    <cellStyle name="Note 2 5 5 3 3 2 2" xfId="12588"/>
    <cellStyle name="Note 2 5 5 3 3 3" xfId="9168"/>
    <cellStyle name="Note 2 5 5 3 4" xfId="3468"/>
    <cellStyle name="Note 2 5 5 3 4 2" xfId="6888"/>
    <cellStyle name="Note 2 5 5 3 4 2 2" xfId="13728"/>
    <cellStyle name="Note 2 5 5 3 4 3" xfId="10308"/>
    <cellStyle name="Note 2 5 5 3 5" xfId="4608"/>
    <cellStyle name="Note 2 5 5 3 5 2" xfId="11448"/>
    <cellStyle name="Note 2 5 5 3 6" xfId="8028"/>
    <cellStyle name="Note 2 5 5 3 7" xfId="61360"/>
    <cellStyle name="Note 2 5 5 3 8" xfId="61950"/>
    <cellStyle name="Note 2 5 5 4" xfId="26963"/>
    <cellStyle name="Note 2 5 5 5" xfId="34130"/>
    <cellStyle name="Note 2 5 5 6" xfId="56279"/>
    <cellStyle name="Note 2 5 5 7" xfId="56280"/>
    <cellStyle name="Note 2 5 5 8" xfId="56281"/>
    <cellStyle name="Note 2 5 5 9" xfId="61183"/>
    <cellStyle name="Note 2 5 6" xfId="523"/>
    <cellStyle name="Note 2 5 6 2" xfId="355"/>
    <cellStyle name="Note 2 5 6 2 2" xfId="1360"/>
    <cellStyle name="Note 2 5 6 2 2 2" xfId="932"/>
    <cellStyle name="Note 2 5 6 2 2 2 2" xfId="2709"/>
    <cellStyle name="Note 2 5 6 2 2 2 2 2" xfId="6129"/>
    <cellStyle name="Note 2 5 6 2 2 2 2 2 2" xfId="12969"/>
    <cellStyle name="Note 2 5 6 2 2 2 2 3" xfId="9549"/>
    <cellStyle name="Note 2 5 6 2 2 2 3" xfId="3849"/>
    <cellStyle name="Note 2 5 6 2 2 2 3 2" xfId="7269"/>
    <cellStyle name="Note 2 5 6 2 2 2 3 2 2" xfId="14109"/>
    <cellStyle name="Note 2 5 6 2 2 2 3 3" xfId="10689"/>
    <cellStyle name="Note 2 5 6 2 2 2 4" xfId="4989"/>
    <cellStyle name="Note 2 5 6 2 2 2 4 2" xfId="11829"/>
    <cellStyle name="Note 2 5 6 2 2 2 5" xfId="8409"/>
    <cellStyle name="Note 2 5 6 2 2 3" xfId="2181"/>
    <cellStyle name="Note 2 5 6 2 2 3 2" xfId="5601"/>
    <cellStyle name="Note 2 5 6 2 2 3 2 2" xfId="12441"/>
    <cellStyle name="Note 2 5 6 2 2 3 3" xfId="9021"/>
    <cellStyle name="Note 2 5 6 2 2 4" xfId="3321"/>
    <cellStyle name="Note 2 5 6 2 2 4 2" xfId="6741"/>
    <cellStyle name="Note 2 5 6 2 2 4 2 2" xfId="13581"/>
    <cellStyle name="Note 2 5 6 2 2 4 3" xfId="10161"/>
    <cellStyle name="Note 2 5 6 2 2 5" xfId="4461"/>
    <cellStyle name="Note 2 5 6 2 2 5 2" xfId="11301"/>
    <cellStyle name="Note 2 5 6 2 2 6" xfId="7881"/>
    <cellStyle name="Note 2 5 6 2 2 7" xfId="61359"/>
    <cellStyle name="Note 2 5 6 2 2 8" xfId="61949"/>
    <cellStyle name="Note 2 5 6 2 3" xfId="38343"/>
    <cellStyle name="Note 2 5 6 2 4" xfId="56282"/>
    <cellStyle name="Note 2 5 6 2 5" xfId="56283"/>
    <cellStyle name="Note 2 5 6 2 6" xfId="56284"/>
    <cellStyle name="Note 2 5 6 2 7" xfId="56285"/>
    <cellStyle name="Note 2 5 6 2 8" xfId="61036"/>
    <cellStyle name="Note 2 5 6 3" xfId="1527"/>
    <cellStyle name="Note 2 5 6 3 2" xfId="846"/>
    <cellStyle name="Note 2 5 6 3 2 2" xfId="2439"/>
    <cellStyle name="Note 2 5 6 3 2 2 2" xfId="5859"/>
    <cellStyle name="Note 2 5 6 3 2 2 2 2" xfId="12699"/>
    <cellStyle name="Note 2 5 6 3 2 2 3" xfId="9279"/>
    <cellStyle name="Note 2 5 6 3 2 3" xfId="3579"/>
    <cellStyle name="Note 2 5 6 3 2 3 2" xfId="6999"/>
    <cellStyle name="Note 2 5 6 3 2 3 2 2" xfId="13839"/>
    <cellStyle name="Note 2 5 6 3 2 3 3" xfId="10419"/>
    <cellStyle name="Note 2 5 6 3 2 4" xfId="4719"/>
    <cellStyle name="Note 2 5 6 3 2 4 2" xfId="11559"/>
    <cellStyle name="Note 2 5 6 3 2 5" xfId="8139"/>
    <cellStyle name="Note 2 5 6 3 3" xfId="2348"/>
    <cellStyle name="Note 2 5 6 3 3 2" xfId="5768"/>
    <cellStyle name="Note 2 5 6 3 3 2 2" xfId="12608"/>
    <cellStyle name="Note 2 5 6 3 3 3" xfId="9188"/>
    <cellStyle name="Note 2 5 6 3 4" xfId="3488"/>
    <cellStyle name="Note 2 5 6 3 4 2" xfId="6908"/>
    <cellStyle name="Note 2 5 6 3 4 2 2" xfId="13748"/>
    <cellStyle name="Note 2 5 6 3 4 3" xfId="10328"/>
    <cellStyle name="Note 2 5 6 3 5" xfId="4628"/>
    <cellStyle name="Note 2 5 6 3 5 2" xfId="11468"/>
    <cellStyle name="Note 2 5 6 3 6" xfId="8048"/>
    <cellStyle name="Note 2 5 6 3 7" xfId="61399"/>
    <cellStyle name="Note 2 5 6 3 8" xfId="61978"/>
    <cellStyle name="Note 2 5 6 4" xfId="27932"/>
    <cellStyle name="Note 2 5 6 5" xfId="35076"/>
    <cellStyle name="Note 2 5 6 6" xfId="56286"/>
    <cellStyle name="Note 2 5 6 7" xfId="56287"/>
    <cellStyle name="Note 2 5 6 8" xfId="56288"/>
    <cellStyle name="Note 2 5 6 9" xfId="61203"/>
    <cellStyle name="Note 2 5 7" xfId="1129"/>
    <cellStyle name="Note 2 5 7 10" xfId="62308"/>
    <cellStyle name="Note 2 5 7 2" xfId="1063"/>
    <cellStyle name="Note 2 5 7 2 2" xfId="2682"/>
    <cellStyle name="Note 2 5 7 2 2 2" xfId="6102"/>
    <cellStyle name="Note 2 5 7 2 2 2 2" xfId="12942"/>
    <cellStyle name="Note 2 5 7 2 2 3" xfId="9522"/>
    <cellStyle name="Note 2 5 7 2 3" xfId="3822"/>
    <cellStyle name="Note 2 5 7 2 3 2" xfId="7242"/>
    <cellStyle name="Note 2 5 7 2 3 2 2" xfId="14082"/>
    <cellStyle name="Note 2 5 7 2 3 3" xfId="10662"/>
    <cellStyle name="Note 2 5 7 2 4" xfId="4962"/>
    <cellStyle name="Note 2 5 7 2 4 2" xfId="11802"/>
    <cellStyle name="Note 2 5 7 2 5" xfId="8382"/>
    <cellStyle name="Note 2 5 7 3" xfId="1943"/>
    <cellStyle name="Note 2 5 7 3 2" xfId="5363"/>
    <cellStyle name="Note 2 5 7 3 2 2" xfId="12203"/>
    <cellStyle name="Note 2 5 7 3 3" xfId="8783"/>
    <cellStyle name="Note 2 5 7 4" xfId="3083"/>
    <cellStyle name="Note 2 5 7 4 2" xfId="6503"/>
    <cellStyle name="Note 2 5 7 4 2 2" xfId="13343"/>
    <cellStyle name="Note 2 5 7 4 3" xfId="9923"/>
    <cellStyle name="Note 2 5 7 5" xfId="4223"/>
    <cellStyle name="Note 2 5 7 5 2" xfId="11063"/>
    <cellStyle name="Note 2 5 7 6" xfId="7643"/>
    <cellStyle name="Note 2 5 7 7" xfId="28890"/>
    <cellStyle name="Note 2 5 7 8" xfId="35992"/>
    <cellStyle name="Note 2 5 7 9" xfId="61833"/>
    <cellStyle name="Note 2 5 8" xfId="15503"/>
    <cellStyle name="Note 2 5 8 2" xfId="23844"/>
    <cellStyle name="Note 2 5 8 2 2" xfId="56289"/>
    <cellStyle name="Note 2 5 8 2 3" xfId="56290"/>
    <cellStyle name="Note 2 5 8 3" xfId="31193"/>
    <cellStyle name="Note 2 5 8 4" xfId="56291"/>
    <cellStyle name="Note 2 5 9" xfId="22005"/>
    <cellStyle name="Note 2 5 9 2" xfId="30304"/>
    <cellStyle name="Note 2 5 9 2 2" xfId="56292"/>
    <cellStyle name="Note 2 5 9 2 3" xfId="56293"/>
    <cellStyle name="Note 2 5 9 3" xfId="37343"/>
    <cellStyle name="Note 2 5 9 4" xfId="56294"/>
    <cellStyle name="Note 2 6" xfId="133"/>
    <cellStyle name="Note 2 6 10" xfId="22938"/>
    <cellStyle name="Note 2 6 11" xfId="56295"/>
    <cellStyle name="Note 2 6 12" xfId="56296"/>
    <cellStyle name="Note 2 6 13" xfId="56297"/>
    <cellStyle name="Note 2 6 14" xfId="56298"/>
    <cellStyle name="Note 2 6 15" xfId="60818"/>
    <cellStyle name="Note 2 6 2" xfId="259"/>
    <cellStyle name="Note 2 6 2 2" xfId="669"/>
    <cellStyle name="Note 2 6 2 2 2" xfId="1620"/>
    <cellStyle name="Note 2 6 2 2 2 2" xfId="787"/>
    <cellStyle name="Note 2 6 2 2 2 2 2" xfId="2529"/>
    <cellStyle name="Note 2 6 2 2 2 2 2 2" xfId="5949"/>
    <cellStyle name="Note 2 6 2 2 2 2 2 2 2" xfId="12789"/>
    <cellStyle name="Note 2 6 2 2 2 2 2 3" xfId="9369"/>
    <cellStyle name="Note 2 6 2 2 2 2 3" xfId="3669"/>
    <cellStyle name="Note 2 6 2 2 2 2 3 2" xfId="7089"/>
    <cellStyle name="Note 2 6 2 2 2 2 3 2 2" xfId="13929"/>
    <cellStyle name="Note 2 6 2 2 2 2 3 3" xfId="10509"/>
    <cellStyle name="Note 2 6 2 2 2 2 4" xfId="4809"/>
    <cellStyle name="Note 2 6 2 2 2 2 4 2" xfId="11649"/>
    <cellStyle name="Note 2 6 2 2 2 2 5" xfId="8229"/>
    <cellStyle name="Note 2 6 2 2 2 3" xfId="2454"/>
    <cellStyle name="Note 2 6 2 2 2 3 2" xfId="5874"/>
    <cellStyle name="Note 2 6 2 2 2 3 2 2" xfId="12714"/>
    <cellStyle name="Note 2 6 2 2 2 3 3" xfId="9294"/>
    <cellStyle name="Note 2 6 2 2 2 4" xfId="3594"/>
    <cellStyle name="Note 2 6 2 2 2 4 2" xfId="7014"/>
    <cellStyle name="Note 2 6 2 2 2 4 2 2" xfId="13854"/>
    <cellStyle name="Note 2 6 2 2 2 4 3" xfId="10434"/>
    <cellStyle name="Note 2 6 2 2 2 5" xfId="4734"/>
    <cellStyle name="Note 2 6 2 2 2 5 2" xfId="11574"/>
    <cellStyle name="Note 2 6 2 2 2 6" xfId="8154"/>
    <cellStyle name="Note 2 6 2 2 2 7" xfId="61619"/>
    <cellStyle name="Note 2 6 2 2 2 8" xfId="62107"/>
    <cellStyle name="Note 2 6 2 2 3" xfId="38513"/>
    <cellStyle name="Note 2 6 2 2 4" xfId="56299"/>
    <cellStyle name="Note 2 6 2 2 5" xfId="56300"/>
    <cellStyle name="Note 2 6 2 2 6" xfId="56301"/>
    <cellStyle name="Note 2 6 2 2 7" xfId="56302"/>
    <cellStyle name="Note 2 6 2 2 8" xfId="61284"/>
    <cellStyle name="Note 2 6 2 3" xfId="1266"/>
    <cellStyle name="Note 2 6 2 3 2" xfId="995"/>
    <cellStyle name="Note 2 6 2 3 2 2" xfId="2563"/>
    <cellStyle name="Note 2 6 2 3 2 2 2" xfId="5983"/>
    <cellStyle name="Note 2 6 2 3 2 2 2 2" xfId="12823"/>
    <cellStyle name="Note 2 6 2 3 2 2 3" xfId="9403"/>
    <cellStyle name="Note 2 6 2 3 2 3" xfId="3703"/>
    <cellStyle name="Note 2 6 2 3 2 3 2" xfId="7123"/>
    <cellStyle name="Note 2 6 2 3 2 3 2 2" xfId="13963"/>
    <cellStyle name="Note 2 6 2 3 2 3 3" xfId="10543"/>
    <cellStyle name="Note 2 6 2 3 2 4" xfId="4843"/>
    <cellStyle name="Note 2 6 2 3 2 4 2" xfId="11683"/>
    <cellStyle name="Note 2 6 2 3 2 5" xfId="8263"/>
    <cellStyle name="Note 2 6 2 3 3" xfId="2086"/>
    <cellStyle name="Note 2 6 2 3 3 2" xfId="5506"/>
    <cellStyle name="Note 2 6 2 3 3 2 2" xfId="12346"/>
    <cellStyle name="Note 2 6 2 3 3 3" xfId="8926"/>
    <cellStyle name="Note 2 6 2 3 4" xfId="3226"/>
    <cellStyle name="Note 2 6 2 3 4 2" xfId="6646"/>
    <cellStyle name="Note 2 6 2 3 4 2 2" xfId="13486"/>
    <cellStyle name="Note 2 6 2 3 4 3" xfId="10066"/>
    <cellStyle name="Note 2 6 2 3 5" xfId="4366"/>
    <cellStyle name="Note 2 6 2 3 5 2" xfId="11206"/>
    <cellStyle name="Note 2 6 2 3 6" xfId="7786"/>
    <cellStyle name="Note 2 6 2 3 7" xfId="61620"/>
    <cellStyle name="Note 2 6 2 3 8" xfId="62108"/>
    <cellStyle name="Note 2 6 2 4" xfId="23974"/>
    <cellStyle name="Note 2 6 2 5" xfId="31271"/>
    <cellStyle name="Note 2 6 2 6" xfId="56303"/>
    <cellStyle name="Note 2 6 2 7" xfId="56304"/>
    <cellStyle name="Note 2 6 2 8" xfId="56305"/>
    <cellStyle name="Note 2 6 2 9" xfId="60942"/>
    <cellStyle name="Note 2 6 3" xfId="581"/>
    <cellStyle name="Note 2 6 3 2" xfId="1568"/>
    <cellStyle name="Note 2 6 3 2 2" xfId="1819"/>
    <cellStyle name="Note 2 6 3 2 2 2" xfId="2959"/>
    <cellStyle name="Note 2 6 3 2 2 2 2" xfId="6379"/>
    <cellStyle name="Note 2 6 3 2 2 2 2 2" xfId="13219"/>
    <cellStyle name="Note 2 6 3 2 2 2 3" xfId="9799"/>
    <cellStyle name="Note 2 6 3 2 2 3" xfId="4099"/>
    <cellStyle name="Note 2 6 3 2 2 3 2" xfId="7519"/>
    <cellStyle name="Note 2 6 3 2 2 3 2 2" xfId="14359"/>
    <cellStyle name="Note 2 6 3 2 2 3 3" xfId="10939"/>
    <cellStyle name="Note 2 6 3 2 2 4" xfId="5239"/>
    <cellStyle name="Note 2 6 3 2 2 4 2" xfId="12079"/>
    <cellStyle name="Note 2 6 3 2 2 5" xfId="8659"/>
    <cellStyle name="Note 2 6 3 2 3" xfId="2393"/>
    <cellStyle name="Note 2 6 3 2 3 2" xfId="5813"/>
    <cellStyle name="Note 2 6 3 2 3 2 2" xfId="12653"/>
    <cellStyle name="Note 2 6 3 2 3 3" xfId="9233"/>
    <cellStyle name="Note 2 6 3 2 4" xfId="3533"/>
    <cellStyle name="Note 2 6 3 2 4 2" xfId="6953"/>
    <cellStyle name="Note 2 6 3 2 4 2 2" xfId="13793"/>
    <cellStyle name="Note 2 6 3 2 4 3" xfId="10373"/>
    <cellStyle name="Note 2 6 3 2 5" xfId="4673"/>
    <cellStyle name="Note 2 6 3 2 5 2" xfId="11513"/>
    <cellStyle name="Note 2 6 3 2 6" xfId="8093"/>
    <cellStyle name="Note 2 6 3 2 7" xfId="61618"/>
    <cellStyle name="Note 2 6 3 2 8" xfId="62106"/>
    <cellStyle name="Note 2 6 3 3" xfId="24945"/>
    <cellStyle name="Note 2 6 3 4" xfId="32204"/>
    <cellStyle name="Note 2 6 3 5" xfId="56306"/>
    <cellStyle name="Note 2 6 3 6" xfId="56307"/>
    <cellStyle name="Note 2 6 3 7" xfId="56308"/>
    <cellStyle name="Note 2 6 3 8" xfId="56309"/>
    <cellStyle name="Note 2 6 3 9" xfId="61285"/>
    <cellStyle name="Note 2 6 4" xfId="1142"/>
    <cellStyle name="Note 2 6 4 10" xfId="62109"/>
    <cellStyle name="Note 2 6 4 2" xfId="1725"/>
    <cellStyle name="Note 2 6 4 2 2" xfId="2865"/>
    <cellStyle name="Note 2 6 4 2 2 2" xfId="6285"/>
    <cellStyle name="Note 2 6 4 2 2 2 2" xfId="13125"/>
    <cellStyle name="Note 2 6 4 2 2 3" xfId="9705"/>
    <cellStyle name="Note 2 6 4 2 3" xfId="4005"/>
    <cellStyle name="Note 2 6 4 2 3 2" xfId="7425"/>
    <cellStyle name="Note 2 6 4 2 3 2 2" xfId="14265"/>
    <cellStyle name="Note 2 6 4 2 3 3" xfId="10845"/>
    <cellStyle name="Note 2 6 4 2 4" xfId="5145"/>
    <cellStyle name="Note 2 6 4 2 4 2" xfId="11985"/>
    <cellStyle name="Note 2 6 4 2 5" xfId="8565"/>
    <cellStyle name="Note 2 6 4 3" xfId="1961"/>
    <cellStyle name="Note 2 6 4 3 2" xfId="5381"/>
    <cellStyle name="Note 2 6 4 3 2 2" xfId="12221"/>
    <cellStyle name="Note 2 6 4 3 3" xfId="8801"/>
    <cellStyle name="Note 2 6 4 4" xfId="3101"/>
    <cellStyle name="Note 2 6 4 4 2" xfId="6521"/>
    <cellStyle name="Note 2 6 4 4 2 2" xfId="13361"/>
    <cellStyle name="Note 2 6 4 4 3" xfId="9941"/>
    <cellStyle name="Note 2 6 4 5" xfId="4241"/>
    <cellStyle name="Note 2 6 4 5 2" xfId="11081"/>
    <cellStyle name="Note 2 6 4 6" xfId="7661"/>
    <cellStyle name="Note 2 6 4 7" xfId="25971"/>
    <cellStyle name="Note 2 6 4 8" xfId="33181"/>
    <cellStyle name="Note 2 6 4 9" xfId="61621"/>
    <cellStyle name="Note 2 6 5" xfId="18630"/>
    <cellStyle name="Note 2 6 5 2" xfId="26950"/>
    <cellStyle name="Note 2 6 5 2 2" xfId="56310"/>
    <cellStyle name="Note 2 6 5 2 3" xfId="56311"/>
    <cellStyle name="Note 2 6 5 3" xfId="34118"/>
    <cellStyle name="Note 2 6 5 4" xfId="56312"/>
    <cellStyle name="Note 2 6 6" xfId="19599"/>
    <cellStyle name="Note 2 6 6 2" xfId="27919"/>
    <cellStyle name="Note 2 6 6 2 2" xfId="56313"/>
    <cellStyle name="Note 2 6 6 2 3" xfId="56314"/>
    <cellStyle name="Note 2 6 6 3" xfId="35064"/>
    <cellStyle name="Note 2 6 6 4" xfId="56315"/>
    <cellStyle name="Note 2 6 7" xfId="20556"/>
    <cellStyle name="Note 2 6 7 2" xfId="28878"/>
    <cellStyle name="Note 2 6 7 2 2" xfId="56316"/>
    <cellStyle name="Note 2 6 7 2 3" xfId="56317"/>
    <cellStyle name="Note 2 6 7 3" xfId="35981"/>
    <cellStyle name="Note 2 6 7 4" xfId="56318"/>
    <cellStyle name="Note 2 6 8" xfId="21245"/>
    <cellStyle name="Note 2 6 8 2" xfId="29554"/>
    <cellStyle name="Note 2 6 8 2 2" xfId="56319"/>
    <cellStyle name="Note 2 6 8 2 3" xfId="56320"/>
    <cellStyle name="Note 2 6 8 3" xfId="36622"/>
    <cellStyle name="Note 2 6 8 4" xfId="56321"/>
    <cellStyle name="Note 2 6 9" xfId="21992"/>
    <cellStyle name="Note 2 6 9 2" xfId="30292"/>
    <cellStyle name="Note 2 6 9 2 2" xfId="56322"/>
    <cellStyle name="Note 2 6 9 2 3" xfId="56323"/>
    <cellStyle name="Note 2 6 9 3" xfId="37332"/>
    <cellStyle name="Note 2 6 9 4" xfId="56324"/>
    <cellStyle name="Note 2 7" xfId="193"/>
    <cellStyle name="Note 2 7 10" xfId="23045"/>
    <cellStyle name="Note 2 7 11" xfId="56325"/>
    <cellStyle name="Note 2 7 12" xfId="56326"/>
    <cellStyle name="Note 2 7 13" xfId="56327"/>
    <cellStyle name="Note 2 7 14" xfId="56328"/>
    <cellStyle name="Note 2 7 15" xfId="60769"/>
    <cellStyle name="Note 2 7 2" xfId="228"/>
    <cellStyle name="Note 2 7 2 2" xfId="1235"/>
    <cellStyle name="Note 2 7 2 2 2" xfId="1862"/>
    <cellStyle name="Note 2 7 2 2 2 2" xfId="3002"/>
    <cellStyle name="Note 2 7 2 2 2 2 2" xfId="6422"/>
    <cellStyle name="Note 2 7 2 2 2 2 2 2" xfId="13262"/>
    <cellStyle name="Note 2 7 2 2 2 2 3" xfId="9842"/>
    <cellStyle name="Note 2 7 2 2 2 3" xfId="4142"/>
    <cellStyle name="Note 2 7 2 2 2 3 2" xfId="7562"/>
    <cellStyle name="Note 2 7 2 2 2 3 2 2" xfId="14402"/>
    <cellStyle name="Note 2 7 2 2 2 3 3" xfId="10982"/>
    <cellStyle name="Note 2 7 2 2 2 4" xfId="5282"/>
    <cellStyle name="Note 2 7 2 2 2 4 2" xfId="12122"/>
    <cellStyle name="Note 2 7 2 2 2 5" xfId="8702"/>
    <cellStyle name="Note 2 7 2 2 3" xfId="2055"/>
    <cellStyle name="Note 2 7 2 2 3 2" xfId="5475"/>
    <cellStyle name="Note 2 7 2 2 3 2 2" xfId="12315"/>
    <cellStyle name="Note 2 7 2 2 3 3" xfId="8895"/>
    <cellStyle name="Note 2 7 2 2 4" xfId="3195"/>
    <cellStyle name="Note 2 7 2 2 4 2" xfId="6615"/>
    <cellStyle name="Note 2 7 2 2 4 2 2" xfId="13455"/>
    <cellStyle name="Note 2 7 2 2 4 3" xfId="10035"/>
    <cellStyle name="Note 2 7 2 2 5" xfId="4335"/>
    <cellStyle name="Note 2 7 2 2 5 2" xfId="11175"/>
    <cellStyle name="Note 2 7 2 2 6" xfId="7755"/>
    <cellStyle name="Note 2 7 2 2 7" xfId="61616"/>
    <cellStyle name="Note 2 7 2 2 8" xfId="62104"/>
    <cellStyle name="Note 2 7 2 3" xfId="24080"/>
    <cellStyle name="Note 2 7 2 4" xfId="31371"/>
    <cellStyle name="Note 2 7 2 5" xfId="56329"/>
    <cellStyle name="Note 2 7 2 6" xfId="56330"/>
    <cellStyle name="Note 2 7 2 7" xfId="56331"/>
    <cellStyle name="Note 2 7 2 8" xfId="56332"/>
    <cellStyle name="Note 2 7 2 9" xfId="60911"/>
    <cellStyle name="Note 2 7 3" xfId="656"/>
    <cellStyle name="Note 2 7 3 2" xfId="1607"/>
    <cellStyle name="Note 2 7 3 2 2" xfId="800"/>
    <cellStyle name="Note 2 7 3 2 2 2" xfId="2672"/>
    <cellStyle name="Note 2 7 3 2 2 2 2" xfId="6092"/>
    <cellStyle name="Note 2 7 3 2 2 2 2 2" xfId="12932"/>
    <cellStyle name="Note 2 7 3 2 2 2 3" xfId="9512"/>
    <cellStyle name="Note 2 7 3 2 2 3" xfId="3812"/>
    <cellStyle name="Note 2 7 3 2 2 3 2" xfId="7232"/>
    <cellStyle name="Note 2 7 3 2 2 3 2 2" xfId="14072"/>
    <cellStyle name="Note 2 7 3 2 2 3 3" xfId="10652"/>
    <cellStyle name="Note 2 7 3 2 2 4" xfId="4952"/>
    <cellStyle name="Note 2 7 3 2 2 4 2" xfId="11792"/>
    <cellStyle name="Note 2 7 3 2 2 5" xfId="8372"/>
    <cellStyle name="Note 2 7 3 2 3" xfId="2441"/>
    <cellStyle name="Note 2 7 3 2 3 2" xfId="5861"/>
    <cellStyle name="Note 2 7 3 2 3 2 2" xfId="12701"/>
    <cellStyle name="Note 2 7 3 2 3 3" xfId="9281"/>
    <cellStyle name="Note 2 7 3 2 4" xfId="3581"/>
    <cellStyle name="Note 2 7 3 2 4 2" xfId="7001"/>
    <cellStyle name="Note 2 7 3 2 4 2 2" xfId="13841"/>
    <cellStyle name="Note 2 7 3 2 4 3" xfId="10421"/>
    <cellStyle name="Note 2 7 3 2 5" xfId="4721"/>
    <cellStyle name="Note 2 7 3 2 5 2" xfId="11561"/>
    <cellStyle name="Note 2 7 3 2 6" xfId="8141"/>
    <cellStyle name="Note 2 7 3 2 7" xfId="61615"/>
    <cellStyle name="Note 2 7 3 2 8" xfId="62103"/>
    <cellStyle name="Note 2 7 3 3" xfId="25051"/>
    <cellStyle name="Note 2 7 3 4" xfId="32304"/>
    <cellStyle name="Note 2 7 3 5" xfId="56333"/>
    <cellStyle name="Note 2 7 3 6" xfId="56334"/>
    <cellStyle name="Note 2 7 3 7" xfId="56335"/>
    <cellStyle name="Note 2 7 3 8" xfId="56336"/>
    <cellStyle name="Note 2 7 3 9" xfId="60877"/>
    <cellStyle name="Note 2 7 4" xfId="1201"/>
    <cellStyle name="Note 2 7 4 10" xfId="62105"/>
    <cellStyle name="Note 2 7 4 2" xfId="1709"/>
    <cellStyle name="Note 2 7 4 2 2" xfId="2849"/>
    <cellStyle name="Note 2 7 4 2 2 2" xfId="6269"/>
    <cellStyle name="Note 2 7 4 2 2 2 2" xfId="13109"/>
    <cellStyle name="Note 2 7 4 2 2 3" xfId="9689"/>
    <cellStyle name="Note 2 7 4 2 3" xfId="3989"/>
    <cellStyle name="Note 2 7 4 2 3 2" xfId="7409"/>
    <cellStyle name="Note 2 7 4 2 3 2 2" xfId="14249"/>
    <cellStyle name="Note 2 7 4 2 3 3" xfId="10829"/>
    <cellStyle name="Note 2 7 4 2 4" xfId="5129"/>
    <cellStyle name="Note 2 7 4 2 4 2" xfId="11969"/>
    <cellStyle name="Note 2 7 4 2 5" xfId="8549"/>
    <cellStyle name="Note 2 7 4 3" xfId="2020"/>
    <cellStyle name="Note 2 7 4 3 2" xfId="5440"/>
    <cellStyle name="Note 2 7 4 3 2 2" xfId="12280"/>
    <cellStyle name="Note 2 7 4 3 3" xfId="8860"/>
    <cellStyle name="Note 2 7 4 4" xfId="3160"/>
    <cellStyle name="Note 2 7 4 4 2" xfId="6580"/>
    <cellStyle name="Note 2 7 4 4 2 2" xfId="13420"/>
    <cellStyle name="Note 2 7 4 4 3" xfId="10000"/>
    <cellStyle name="Note 2 7 4 5" xfId="4300"/>
    <cellStyle name="Note 2 7 4 5 2" xfId="11140"/>
    <cellStyle name="Note 2 7 4 6" xfId="7720"/>
    <cellStyle name="Note 2 7 4 7" xfId="26077"/>
    <cellStyle name="Note 2 7 4 8" xfId="33281"/>
    <cellStyle name="Note 2 7 4 9" xfId="61617"/>
    <cellStyle name="Note 2 7 5" xfId="18737"/>
    <cellStyle name="Note 2 7 5 2" xfId="27058"/>
    <cellStyle name="Note 2 7 5 2 2" xfId="56337"/>
    <cellStyle name="Note 2 7 5 2 3" xfId="56338"/>
    <cellStyle name="Note 2 7 5 3" xfId="34220"/>
    <cellStyle name="Note 2 7 5 4" xfId="56339"/>
    <cellStyle name="Note 2 7 6" xfId="19706"/>
    <cellStyle name="Note 2 7 6 2" xfId="28027"/>
    <cellStyle name="Note 2 7 6 2 2" xfId="56340"/>
    <cellStyle name="Note 2 7 6 2 3" xfId="56341"/>
    <cellStyle name="Note 2 7 6 3" xfId="35166"/>
    <cellStyle name="Note 2 7 6 4" xfId="56342"/>
    <cellStyle name="Note 2 7 7" xfId="20663"/>
    <cellStyle name="Note 2 7 7 2" xfId="28984"/>
    <cellStyle name="Note 2 7 7 2 2" xfId="56343"/>
    <cellStyle name="Note 2 7 7 2 3" xfId="56344"/>
    <cellStyle name="Note 2 7 7 3" xfId="36081"/>
    <cellStyle name="Note 2 7 7 4" xfId="56345"/>
    <cellStyle name="Note 2 7 8" xfId="21180"/>
    <cellStyle name="Note 2 7 8 2" xfId="29492"/>
    <cellStyle name="Note 2 7 8 2 2" xfId="56346"/>
    <cellStyle name="Note 2 7 8 2 3" xfId="56347"/>
    <cellStyle name="Note 2 7 8 3" xfId="36563"/>
    <cellStyle name="Note 2 7 8 4" xfId="56348"/>
    <cellStyle name="Note 2 7 9" xfId="22100"/>
    <cellStyle name="Note 2 7 9 2" xfId="30398"/>
    <cellStyle name="Note 2 7 9 2 2" xfId="56349"/>
    <cellStyle name="Note 2 7 9 2 3" xfId="56350"/>
    <cellStyle name="Note 2 7 9 3" xfId="37432"/>
    <cellStyle name="Note 2 7 9 4" xfId="56351"/>
    <cellStyle name="Note 2 8" xfId="461"/>
    <cellStyle name="Note 2 8 10" xfId="23091"/>
    <cellStyle name="Note 2 8 11" xfId="56352"/>
    <cellStyle name="Note 2 8 12" xfId="56353"/>
    <cellStyle name="Note 2 8 13" xfId="56354"/>
    <cellStyle name="Note 2 8 14" xfId="56355"/>
    <cellStyle name="Note 2 8 15" xfId="56356"/>
    <cellStyle name="Note 2 8 16" xfId="61141"/>
    <cellStyle name="Note 2 8 2" xfId="538"/>
    <cellStyle name="Note 2 8 2 2" xfId="1542"/>
    <cellStyle name="Note 2 8 2 2 2" xfId="1088"/>
    <cellStyle name="Note 2 8 2 2 2 2" xfId="2710"/>
    <cellStyle name="Note 2 8 2 2 2 2 2" xfId="6130"/>
    <cellStyle name="Note 2 8 2 2 2 2 2 2" xfId="12970"/>
    <cellStyle name="Note 2 8 2 2 2 2 3" xfId="9550"/>
    <cellStyle name="Note 2 8 2 2 2 3" xfId="3850"/>
    <cellStyle name="Note 2 8 2 2 2 3 2" xfId="7270"/>
    <cellStyle name="Note 2 8 2 2 2 3 2 2" xfId="14110"/>
    <cellStyle name="Note 2 8 2 2 2 3 3" xfId="10690"/>
    <cellStyle name="Note 2 8 2 2 2 4" xfId="4990"/>
    <cellStyle name="Note 2 8 2 2 2 4 2" xfId="11830"/>
    <cellStyle name="Note 2 8 2 2 2 5" xfId="8410"/>
    <cellStyle name="Note 2 8 2 2 3" xfId="2363"/>
    <cellStyle name="Note 2 8 2 2 3 2" xfId="5783"/>
    <cellStyle name="Note 2 8 2 2 3 2 2" xfId="12623"/>
    <cellStyle name="Note 2 8 2 2 3 3" xfId="9203"/>
    <cellStyle name="Note 2 8 2 2 4" xfId="3503"/>
    <cellStyle name="Note 2 8 2 2 4 2" xfId="6923"/>
    <cellStyle name="Note 2 8 2 2 4 2 2" xfId="13763"/>
    <cellStyle name="Note 2 8 2 2 4 3" xfId="10343"/>
    <cellStyle name="Note 2 8 2 2 5" xfId="4643"/>
    <cellStyle name="Note 2 8 2 2 5 2" xfId="11483"/>
    <cellStyle name="Note 2 8 2 2 6" xfId="8063"/>
    <cellStyle name="Note 2 8 2 2 7" xfId="61613"/>
    <cellStyle name="Note 2 8 2 2 8" xfId="62101"/>
    <cellStyle name="Note 2 8 2 3" xfId="24126"/>
    <cellStyle name="Note 2 8 2 4" xfId="31414"/>
    <cellStyle name="Note 2 8 2 5" xfId="56357"/>
    <cellStyle name="Note 2 8 2 6" xfId="56358"/>
    <cellStyle name="Note 2 8 2 7" xfId="56359"/>
    <cellStyle name="Note 2 8 2 8" xfId="56360"/>
    <cellStyle name="Note 2 8 2 9" xfId="61218"/>
    <cellStyle name="Note 2 8 3" xfId="1465"/>
    <cellStyle name="Note 2 8 3 10" xfId="62102"/>
    <cellStyle name="Note 2 8 3 2" xfId="876"/>
    <cellStyle name="Note 2 8 3 2 2" xfId="2695"/>
    <cellStyle name="Note 2 8 3 2 2 2" xfId="6115"/>
    <cellStyle name="Note 2 8 3 2 2 2 2" xfId="12955"/>
    <cellStyle name="Note 2 8 3 2 2 3" xfId="9535"/>
    <cellStyle name="Note 2 8 3 2 3" xfId="3835"/>
    <cellStyle name="Note 2 8 3 2 3 2" xfId="7255"/>
    <cellStyle name="Note 2 8 3 2 3 2 2" xfId="14095"/>
    <cellStyle name="Note 2 8 3 2 3 3" xfId="10675"/>
    <cellStyle name="Note 2 8 3 2 4" xfId="4975"/>
    <cellStyle name="Note 2 8 3 2 4 2" xfId="11815"/>
    <cellStyle name="Note 2 8 3 2 5" xfId="8395"/>
    <cellStyle name="Note 2 8 3 3" xfId="2286"/>
    <cellStyle name="Note 2 8 3 3 2" xfId="5706"/>
    <cellStyle name="Note 2 8 3 3 2 2" xfId="12546"/>
    <cellStyle name="Note 2 8 3 3 3" xfId="9126"/>
    <cellStyle name="Note 2 8 3 4" xfId="3426"/>
    <cellStyle name="Note 2 8 3 4 2" xfId="6846"/>
    <cellStyle name="Note 2 8 3 4 2 2" xfId="13686"/>
    <cellStyle name="Note 2 8 3 4 3" xfId="10266"/>
    <cellStyle name="Note 2 8 3 5" xfId="4566"/>
    <cellStyle name="Note 2 8 3 5 2" xfId="11406"/>
    <cellStyle name="Note 2 8 3 6" xfId="7986"/>
    <cellStyle name="Note 2 8 3 7" xfId="25098"/>
    <cellStyle name="Note 2 8 3 8" xfId="32347"/>
    <cellStyle name="Note 2 8 3 9" xfId="61614"/>
    <cellStyle name="Note 2 8 4" xfId="17800"/>
    <cellStyle name="Note 2 8 4 2" xfId="26124"/>
    <cellStyle name="Note 2 8 4 2 2" xfId="56361"/>
    <cellStyle name="Note 2 8 4 2 3" xfId="56362"/>
    <cellStyle name="Note 2 8 4 3" xfId="33324"/>
    <cellStyle name="Note 2 8 4 4" xfId="56363"/>
    <cellStyle name="Note 2 8 5" xfId="18784"/>
    <cellStyle name="Note 2 8 5 2" xfId="27105"/>
    <cellStyle name="Note 2 8 5 2 2" xfId="56364"/>
    <cellStyle name="Note 2 8 5 2 3" xfId="56365"/>
    <cellStyle name="Note 2 8 5 3" xfId="34264"/>
    <cellStyle name="Note 2 8 5 4" xfId="56366"/>
    <cellStyle name="Note 2 8 6" xfId="19752"/>
    <cellStyle name="Note 2 8 6 2" xfId="28074"/>
    <cellStyle name="Note 2 8 6 2 2" xfId="56367"/>
    <cellStyle name="Note 2 8 6 2 3" xfId="56368"/>
    <cellStyle name="Note 2 8 6 3" xfId="35210"/>
    <cellStyle name="Note 2 8 6 4" xfId="56369"/>
    <cellStyle name="Note 2 8 7" xfId="20710"/>
    <cellStyle name="Note 2 8 7 2" xfId="29031"/>
    <cellStyle name="Note 2 8 7 2 2" xfId="56370"/>
    <cellStyle name="Note 2 8 7 2 3" xfId="56371"/>
    <cellStyle name="Note 2 8 7 3" xfId="36124"/>
    <cellStyle name="Note 2 8 7 4" xfId="56372"/>
    <cellStyle name="Note 2 8 8" xfId="21085"/>
    <cellStyle name="Note 2 8 8 2" xfId="29402"/>
    <cellStyle name="Note 2 8 8 2 2" xfId="56373"/>
    <cellStyle name="Note 2 8 8 2 3" xfId="56374"/>
    <cellStyle name="Note 2 8 8 3" xfId="36478"/>
    <cellStyle name="Note 2 8 8 4" xfId="56375"/>
    <cellStyle name="Note 2 8 9" xfId="22146"/>
    <cellStyle name="Note 2 8 9 2" xfId="30444"/>
    <cellStyle name="Note 2 8 9 2 2" xfId="56376"/>
    <cellStyle name="Note 2 8 9 2 3" xfId="56377"/>
    <cellStyle name="Note 2 8 9 3" xfId="37475"/>
    <cellStyle name="Note 2 8 9 4" xfId="56378"/>
    <cellStyle name="Note 2 9" xfId="427"/>
    <cellStyle name="Note 2 9 10" xfId="23148"/>
    <cellStyle name="Note 2 9 11" xfId="56379"/>
    <cellStyle name="Note 2 9 12" xfId="56380"/>
    <cellStyle name="Note 2 9 13" xfId="56381"/>
    <cellStyle name="Note 2 9 14" xfId="56382"/>
    <cellStyle name="Note 2 9 15" xfId="56383"/>
    <cellStyle name="Note 2 9 16" xfId="61108"/>
    <cellStyle name="Note 2 9 2" xfId="458"/>
    <cellStyle name="Note 2 9 2 2" xfId="1462"/>
    <cellStyle name="Note 2 9 2 2 2" xfId="1796"/>
    <cellStyle name="Note 2 9 2 2 2 2" xfId="2936"/>
    <cellStyle name="Note 2 9 2 2 2 2 2" xfId="6356"/>
    <cellStyle name="Note 2 9 2 2 2 2 2 2" xfId="13196"/>
    <cellStyle name="Note 2 9 2 2 2 2 3" xfId="9776"/>
    <cellStyle name="Note 2 9 2 2 2 3" xfId="4076"/>
    <cellStyle name="Note 2 9 2 2 2 3 2" xfId="7496"/>
    <cellStyle name="Note 2 9 2 2 2 3 2 2" xfId="14336"/>
    <cellStyle name="Note 2 9 2 2 2 3 3" xfId="10916"/>
    <cellStyle name="Note 2 9 2 2 2 4" xfId="5216"/>
    <cellStyle name="Note 2 9 2 2 2 4 2" xfId="12056"/>
    <cellStyle name="Note 2 9 2 2 2 5" xfId="8636"/>
    <cellStyle name="Note 2 9 2 2 3" xfId="2283"/>
    <cellStyle name="Note 2 9 2 2 3 2" xfId="5703"/>
    <cellStyle name="Note 2 9 2 2 3 2 2" xfId="12543"/>
    <cellStyle name="Note 2 9 2 2 3 3" xfId="9123"/>
    <cellStyle name="Note 2 9 2 2 4" xfId="3423"/>
    <cellStyle name="Note 2 9 2 2 4 2" xfId="6843"/>
    <cellStyle name="Note 2 9 2 2 4 2 2" xfId="13683"/>
    <cellStyle name="Note 2 9 2 2 4 3" xfId="10263"/>
    <cellStyle name="Note 2 9 2 2 5" xfId="4563"/>
    <cellStyle name="Note 2 9 2 2 5 2" xfId="11403"/>
    <cellStyle name="Note 2 9 2 2 6" xfId="7983"/>
    <cellStyle name="Note 2 9 2 2 7" xfId="61611"/>
    <cellStyle name="Note 2 9 2 2 8" xfId="62099"/>
    <cellStyle name="Note 2 9 2 3" xfId="24183"/>
    <cellStyle name="Note 2 9 2 4" xfId="31470"/>
    <cellStyle name="Note 2 9 2 5" xfId="56384"/>
    <cellStyle name="Note 2 9 2 6" xfId="56385"/>
    <cellStyle name="Note 2 9 2 7" xfId="56386"/>
    <cellStyle name="Note 2 9 2 8" xfId="56387"/>
    <cellStyle name="Note 2 9 2 9" xfId="61138"/>
    <cellStyle name="Note 2 9 3" xfId="1432"/>
    <cellStyle name="Note 2 9 3 10" xfId="62100"/>
    <cellStyle name="Note 2 9 3 2" xfId="893"/>
    <cellStyle name="Note 2 9 3 2 2" xfId="2657"/>
    <cellStyle name="Note 2 9 3 2 2 2" xfId="6077"/>
    <cellStyle name="Note 2 9 3 2 2 2 2" xfId="12917"/>
    <cellStyle name="Note 2 9 3 2 2 3" xfId="9497"/>
    <cellStyle name="Note 2 9 3 2 3" xfId="3797"/>
    <cellStyle name="Note 2 9 3 2 3 2" xfId="7217"/>
    <cellStyle name="Note 2 9 3 2 3 2 2" xfId="14057"/>
    <cellStyle name="Note 2 9 3 2 3 3" xfId="10637"/>
    <cellStyle name="Note 2 9 3 2 4" xfId="4937"/>
    <cellStyle name="Note 2 9 3 2 4 2" xfId="11777"/>
    <cellStyle name="Note 2 9 3 2 5" xfId="8357"/>
    <cellStyle name="Note 2 9 3 3" xfId="2253"/>
    <cellStyle name="Note 2 9 3 3 2" xfId="5673"/>
    <cellStyle name="Note 2 9 3 3 2 2" xfId="12513"/>
    <cellStyle name="Note 2 9 3 3 3" xfId="9093"/>
    <cellStyle name="Note 2 9 3 4" xfId="3393"/>
    <cellStyle name="Note 2 9 3 4 2" xfId="6813"/>
    <cellStyle name="Note 2 9 3 4 2 2" xfId="13653"/>
    <cellStyle name="Note 2 9 3 4 3" xfId="10233"/>
    <cellStyle name="Note 2 9 3 5" xfId="4533"/>
    <cellStyle name="Note 2 9 3 5 2" xfId="11373"/>
    <cellStyle name="Note 2 9 3 6" xfId="7953"/>
    <cellStyle name="Note 2 9 3 7" xfId="25155"/>
    <cellStyle name="Note 2 9 3 8" xfId="32403"/>
    <cellStyle name="Note 2 9 3 9" xfId="61612"/>
    <cellStyle name="Note 2 9 4" xfId="17857"/>
    <cellStyle name="Note 2 9 4 2" xfId="26181"/>
    <cellStyle name="Note 2 9 4 2 2" xfId="56388"/>
    <cellStyle name="Note 2 9 4 2 3" xfId="56389"/>
    <cellStyle name="Note 2 9 4 3" xfId="33380"/>
    <cellStyle name="Note 2 9 4 4" xfId="56390"/>
    <cellStyle name="Note 2 9 5" xfId="18841"/>
    <cellStyle name="Note 2 9 5 2" xfId="27162"/>
    <cellStyle name="Note 2 9 5 2 2" xfId="56391"/>
    <cellStyle name="Note 2 9 5 2 3" xfId="56392"/>
    <cellStyle name="Note 2 9 5 3" xfId="34320"/>
    <cellStyle name="Note 2 9 5 4" xfId="56393"/>
    <cellStyle name="Note 2 9 6" xfId="19809"/>
    <cellStyle name="Note 2 9 6 2" xfId="28131"/>
    <cellStyle name="Note 2 9 6 2 2" xfId="56394"/>
    <cellStyle name="Note 2 9 6 2 3" xfId="56395"/>
    <cellStyle name="Note 2 9 6 3" xfId="35266"/>
    <cellStyle name="Note 2 9 6 4" xfId="56396"/>
    <cellStyle name="Note 2 9 7" xfId="20767"/>
    <cellStyle name="Note 2 9 7 2" xfId="29088"/>
    <cellStyle name="Note 2 9 7 2 2" xfId="56397"/>
    <cellStyle name="Note 2 9 7 2 3" xfId="56398"/>
    <cellStyle name="Note 2 9 7 3" xfId="36179"/>
    <cellStyle name="Note 2 9 7 4" xfId="56399"/>
    <cellStyle name="Note 2 9 8" xfId="21068"/>
    <cellStyle name="Note 2 9 8 2" xfId="29385"/>
    <cellStyle name="Note 2 9 8 2 2" xfId="56400"/>
    <cellStyle name="Note 2 9 8 2 3" xfId="56401"/>
    <cellStyle name="Note 2 9 8 3" xfId="36463"/>
    <cellStyle name="Note 2 9 8 4" xfId="56402"/>
    <cellStyle name="Note 2 9 9" xfId="22203"/>
    <cellStyle name="Note 2 9 9 2" xfId="30501"/>
    <cellStyle name="Note 2 9 9 2 2" xfId="56403"/>
    <cellStyle name="Note 2 9 9 2 3" xfId="56404"/>
    <cellStyle name="Note 2 9 9 3" xfId="37531"/>
    <cellStyle name="Note 2 9 9 4" xfId="56405"/>
    <cellStyle name="Note 3" xfId="64"/>
    <cellStyle name="Note 3 10" xfId="56406"/>
    <cellStyle name="Note 3 11" xfId="60777"/>
    <cellStyle name="Note 3 2" xfId="121"/>
    <cellStyle name="Note 3 2 2" xfId="253"/>
    <cellStyle name="Note 3 2 2 2" xfId="664"/>
    <cellStyle name="Note 3 2 2 2 2" xfId="1615"/>
    <cellStyle name="Note 3 2 2 2 2 2" xfId="792"/>
    <cellStyle name="Note 3 2 2 2 2 2 2" xfId="2692"/>
    <cellStyle name="Note 3 2 2 2 2 2 2 2" xfId="6112"/>
    <cellStyle name="Note 3 2 2 2 2 2 2 2 2" xfId="12952"/>
    <cellStyle name="Note 3 2 2 2 2 2 2 3" xfId="9532"/>
    <cellStyle name="Note 3 2 2 2 2 2 3" xfId="3832"/>
    <cellStyle name="Note 3 2 2 2 2 2 3 2" xfId="7252"/>
    <cellStyle name="Note 3 2 2 2 2 2 3 2 2" xfId="14092"/>
    <cellStyle name="Note 3 2 2 2 2 2 3 3" xfId="10672"/>
    <cellStyle name="Note 3 2 2 2 2 2 4" xfId="4972"/>
    <cellStyle name="Note 3 2 2 2 2 2 4 2" xfId="11812"/>
    <cellStyle name="Note 3 2 2 2 2 2 5" xfId="8392"/>
    <cellStyle name="Note 3 2 2 2 2 3" xfId="2449"/>
    <cellStyle name="Note 3 2 2 2 2 3 2" xfId="5869"/>
    <cellStyle name="Note 3 2 2 2 2 3 2 2" xfId="12709"/>
    <cellStyle name="Note 3 2 2 2 2 3 3" xfId="9289"/>
    <cellStyle name="Note 3 2 2 2 2 4" xfId="3589"/>
    <cellStyle name="Note 3 2 2 2 2 4 2" xfId="7009"/>
    <cellStyle name="Note 3 2 2 2 2 4 2 2" xfId="13849"/>
    <cellStyle name="Note 3 2 2 2 2 4 3" xfId="10429"/>
    <cellStyle name="Note 3 2 2 2 2 5" xfId="4729"/>
    <cellStyle name="Note 3 2 2 2 2 5 2" xfId="11569"/>
    <cellStyle name="Note 3 2 2 2 2 6" xfId="8149"/>
    <cellStyle name="Note 3 2 2 2 2 7" xfId="61459"/>
    <cellStyle name="Note 3 2 2 2 2 8" xfId="62023"/>
    <cellStyle name="Note 3 2 2 2 3" xfId="38508"/>
    <cellStyle name="Note 3 2 2 2 4" xfId="56407"/>
    <cellStyle name="Note 3 2 2 2 5" xfId="56408"/>
    <cellStyle name="Note 3 2 2 2 6" xfId="56409"/>
    <cellStyle name="Note 3 2 2 2 7" xfId="61286"/>
    <cellStyle name="Note 3 2 2 3" xfId="1260"/>
    <cellStyle name="Note 3 2 2 3 2" xfId="1686"/>
    <cellStyle name="Note 3 2 2 3 2 2" xfId="2826"/>
    <cellStyle name="Note 3 2 2 3 2 2 2" xfId="6246"/>
    <cellStyle name="Note 3 2 2 3 2 2 2 2" xfId="13086"/>
    <cellStyle name="Note 3 2 2 3 2 2 3" xfId="9666"/>
    <cellStyle name="Note 3 2 2 3 2 3" xfId="3966"/>
    <cellStyle name="Note 3 2 2 3 2 3 2" xfId="7386"/>
    <cellStyle name="Note 3 2 2 3 2 3 2 2" xfId="14226"/>
    <cellStyle name="Note 3 2 2 3 2 3 3" xfId="10806"/>
    <cellStyle name="Note 3 2 2 3 2 4" xfId="5106"/>
    <cellStyle name="Note 3 2 2 3 2 4 2" xfId="11946"/>
    <cellStyle name="Note 3 2 2 3 2 5" xfId="8526"/>
    <cellStyle name="Note 3 2 2 3 3" xfId="2080"/>
    <cellStyle name="Note 3 2 2 3 3 2" xfId="5500"/>
    <cellStyle name="Note 3 2 2 3 3 2 2" xfId="12340"/>
    <cellStyle name="Note 3 2 2 3 3 3" xfId="8920"/>
    <cellStyle name="Note 3 2 2 3 4" xfId="3220"/>
    <cellStyle name="Note 3 2 2 3 4 2" xfId="6640"/>
    <cellStyle name="Note 3 2 2 3 4 2 2" xfId="13480"/>
    <cellStyle name="Note 3 2 2 3 4 3" xfId="10060"/>
    <cellStyle name="Note 3 2 2 3 5" xfId="4360"/>
    <cellStyle name="Note 3 2 2 3 5 2" xfId="11200"/>
    <cellStyle name="Note 3 2 2 3 6" xfId="7780"/>
    <cellStyle name="Note 3 2 2 3 7" xfId="61610"/>
    <cellStyle name="Note 3 2 2 3 8" xfId="62098"/>
    <cellStyle name="Note 3 2 2 4" xfId="38274"/>
    <cellStyle name="Note 3 2 2 5" xfId="56410"/>
    <cellStyle name="Note 3 2 2 6" xfId="56411"/>
    <cellStyle name="Note 3 2 2 7" xfId="56412"/>
    <cellStyle name="Note 3 2 2 8" xfId="60936"/>
    <cellStyle name="Note 3 2 3" xfId="576"/>
    <cellStyle name="Note 3 2 3 2" xfId="1563"/>
    <cellStyle name="Note 3 2 3 2 2" xfId="1863"/>
    <cellStyle name="Note 3 2 3 2 2 2" xfId="3003"/>
    <cellStyle name="Note 3 2 3 2 2 2 2" xfId="6423"/>
    <cellStyle name="Note 3 2 3 2 2 2 2 2" xfId="13263"/>
    <cellStyle name="Note 3 2 3 2 2 2 3" xfId="9843"/>
    <cellStyle name="Note 3 2 3 2 2 3" xfId="4143"/>
    <cellStyle name="Note 3 2 3 2 2 3 2" xfId="7563"/>
    <cellStyle name="Note 3 2 3 2 2 3 2 2" xfId="14403"/>
    <cellStyle name="Note 3 2 3 2 2 3 3" xfId="10983"/>
    <cellStyle name="Note 3 2 3 2 2 4" xfId="5283"/>
    <cellStyle name="Note 3 2 3 2 2 4 2" xfId="12123"/>
    <cellStyle name="Note 3 2 3 2 2 5" xfId="8703"/>
    <cellStyle name="Note 3 2 3 2 3" xfId="2388"/>
    <cellStyle name="Note 3 2 3 2 3 2" xfId="5808"/>
    <cellStyle name="Note 3 2 3 2 3 2 2" xfId="12648"/>
    <cellStyle name="Note 3 2 3 2 3 3" xfId="9228"/>
    <cellStyle name="Note 3 2 3 2 4" xfId="3528"/>
    <cellStyle name="Note 3 2 3 2 4 2" xfId="6948"/>
    <cellStyle name="Note 3 2 3 2 4 2 2" xfId="13788"/>
    <cellStyle name="Note 3 2 3 2 4 3" xfId="10368"/>
    <cellStyle name="Note 3 2 3 2 5" xfId="4668"/>
    <cellStyle name="Note 3 2 3 2 5 2" xfId="11508"/>
    <cellStyle name="Note 3 2 3 2 6" xfId="8088"/>
    <cellStyle name="Note 3 2 3 2 7" xfId="61609"/>
    <cellStyle name="Note 3 2 3 2 8" xfId="62097"/>
    <cellStyle name="Note 3 2 3 3" xfId="38467"/>
    <cellStyle name="Note 3 2 3 4" xfId="56413"/>
    <cellStyle name="Note 3 2 3 5" xfId="56414"/>
    <cellStyle name="Note 3 2 3 6" xfId="56415"/>
    <cellStyle name="Note 3 2 3 7" xfId="61287"/>
    <cellStyle name="Note 3 2 4" xfId="1137"/>
    <cellStyle name="Note 3 2 4 2" xfId="743"/>
    <cellStyle name="Note 3 2 4 2 2" xfId="2588"/>
    <cellStyle name="Note 3 2 4 2 2 2" xfId="6008"/>
    <cellStyle name="Note 3 2 4 2 2 2 2" xfId="12848"/>
    <cellStyle name="Note 3 2 4 2 2 3" xfId="9428"/>
    <cellStyle name="Note 3 2 4 2 3" xfId="3728"/>
    <cellStyle name="Note 3 2 4 2 3 2" xfId="7148"/>
    <cellStyle name="Note 3 2 4 2 3 2 2" xfId="13988"/>
    <cellStyle name="Note 3 2 4 2 3 3" xfId="10568"/>
    <cellStyle name="Note 3 2 4 2 4" xfId="4868"/>
    <cellStyle name="Note 3 2 4 2 4 2" xfId="11708"/>
    <cellStyle name="Note 3 2 4 2 5" xfId="8288"/>
    <cellStyle name="Note 3 2 4 3" xfId="1951"/>
    <cellStyle name="Note 3 2 4 3 2" xfId="5371"/>
    <cellStyle name="Note 3 2 4 3 2 2" xfId="12211"/>
    <cellStyle name="Note 3 2 4 3 3" xfId="8791"/>
    <cellStyle name="Note 3 2 4 4" xfId="3091"/>
    <cellStyle name="Note 3 2 4 4 2" xfId="6511"/>
    <cellStyle name="Note 3 2 4 4 2 2" xfId="13351"/>
    <cellStyle name="Note 3 2 4 4 3" xfId="9931"/>
    <cellStyle name="Note 3 2 4 5" xfId="4231"/>
    <cellStyle name="Note 3 2 4 5 2" xfId="11071"/>
    <cellStyle name="Note 3 2 4 6" xfId="7651"/>
    <cellStyle name="Note 3 2 4 7" xfId="61859"/>
    <cellStyle name="Note 3 2 4 8" xfId="62324"/>
    <cellStyle name="Note 3 2 5" xfId="38203"/>
    <cellStyle name="Note 3 2 6" xfId="56416"/>
    <cellStyle name="Note 3 2 7" xfId="56417"/>
    <cellStyle name="Note 3 2 8" xfId="60813"/>
    <cellStyle name="Note 3 3" xfId="143"/>
    <cellStyle name="Note 3 3 2" xfId="269"/>
    <cellStyle name="Note 3 3 2 2" xfId="679"/>
    <cellStyle name="Note 3 3 2 2 2" xfId="1630"/>
    <cellStyle name="Note 3 3 2 2 2 2" xfId="777"/>
    <cellStyle name="Note 3 3 2 2 2 2 2" xfId="2706"/>
    <cellStyle name="Note 3 3 2 2 2 2 2 2" xfId="6126"/>
    <cellStyle name="Note 3 3 2 2 2 2 2 2 2" xfId="12966"/>
    <cellStyle name="Note 3 3 2 2 2 2 2 3" xfId="9546"/>
    <cellStyle name="Note 3 3 2 2 2 2 3" xfId="3846"/>
    <cellStyle name="Note 3 3 2 2 2 2 3 2" xfId="7266"/>
    <cellStyle name="Note 3 3 2 2 2 2 3 2 2" xfId="14106"/>
    <cellStyle name="Note 3 3 2 2 2 2 3 3" xfId="10686"/>
    <cellStyle name="Note 3 3 2 2 2 2 4" xfId="4986"/>
    <cellStyle name="Note 3 3 2 2 2 2 4 2" xfId="11826"/>
    <cellStyle name="Note 3 3 2 2 2 2 5" xfId="8406"/>
    <cellStyle name="Note 3 3 2 2 2 3" xfId="2464"/>
    <cellStyle name="Note 3 3 2 2 2 3 2" xfId="5884"/>
    <cellStyle name="Note 3 3 2 2 2 3 2 2" xfId="12724"/>
    <cellStyle name="Note 3 3 2 2 2 3 3" xfId="9304"/>
    <cellStyle name="Note 3 3 2 2 2 4" xfId="3604"/>
    <cellStyle name="Note 3 3 2 2 2 4 2" xfId="7024"/>
    <cellStyle name="Note 3 3 2 2 2 4 2 2" xfId="13864"/>
    <cellStyle name="Note 3 3 2 2 2 4 3" xfId="10444"/>
    <cellStyle name="Note 3 3 2 2 2 5" xfId="4744"/>
    <cellStyle name="Note 3 3 2 2 2 5 2" xfId="11584"/>
    <cellStyle name="Note 3 3 2 2 2 6" xfId="8164"/>
    <cellStyle name="Note 3 3 2 2 2 7" xfId="61607"/>
    <cellStyle name="Note 3 3 2 2 2 8" xfId="62095"/>
    <cellStyle name="Note 3 3 2 2 3" xfId="38523"/>
    <cellStyle name="Note 3 3 2 2 4" xfId="56418"/>
    <cellStyle name="Note 3 3 2 2 5" xfId="56419"/>
    <cellStyle name="Note 3 3 2 2 6" xfId="56420"/>
    <cellStyle name="Note 3 3 2 2 7" xfId="61288"/>
    <cellStyle name="Note 3 3 2 3" xfId="1276"/>
    <cellStyle name="Note 3 3 2 3 2" xfId="990"/>
    <cellStyle name="Note 3 3 2 3 2 2" xfId="2599"/>
    <cellStyle name="Note 3 3 2 3 2 2 2" xfId="6019"/>
    <cellStyle name="Note 3 3 2 3 2 2 2 2" xfId="12859"/>
    <cellStyle name="Note 3 3 2 3 2 2 3" xfId="9439"/>
    <cellStyle name="Note 3 3 2 3 2 3" xfId="3739"/>
    <cellStyle name="Note 3 3 2 3 2 3 2" xfId="7159"/>
    <cellStyle name="Note 3 3 2 3 2 3 2 2" xfId="13999"/>
    <cellStyle name="Note 3 3 2 3 2 3 3" xfId="10579"/>
    <cellStyle name="Note 3 3 2 3 2 4" xfId="4879"/>
    <cellStyle name="Note 3 3 2 3 2 4 2" xfId="11719"/>
    <cellStyle name="Note 3 3 2 3 2 5" xfId="8299"/>
    <cellStyle name="Note 3 3 2 3 3" xfId="2096"/>
    <cellStyle name="Note 3 3 2 3 3 2" xfId="5516"/>
    <cellStyle name="Note 3 3 2 3 3 2 2" xfId="12356"/>
    <cellStyle name="Note 3 3 2 3 3 3" xfId="8936"/>
    <cellStyle name="Note 3 3 2 3 4" xfId="3236"/>
    <cellStyle name="Note 3 3 2 3 4 2" xfId="6656"/>
    <cellStyle name="Note 3 3 2 3 4 2 2" xfId="13496"/>
    <cellStyle name="Note 3 3 2 3 4 3" xfId="10076"/>
    <cellStyle name="Note 3 3 2 3 5" xfId="4376"/>
    <cellStyle name="Note 3 3 2 3 5 2" xfId="11216"/>
    <cellStyle name="Note 3 3 2 3 6" xfId="7796"/>
    <cellStyle name="Note 3 3 2 3 7" xfId="61608"/>
    <cellStyle name="Note 3 3 2 3 8" xfId="62096"/>
    <cellStyle name="Note 3 3 2 4" xfId="38286"/>
    <cellStyle name="Note 3 3 2 5" xfId="56421"/>
    <cellStyle name="Note 3 3 2 6" xfId="56422"/>
    <cellStyle name="Note 3 3 2 7" xfId="56423"/>
    <cellStyle name="Note 3 3 2 8" xfId="60952"/>
    <cellStyle name="Note 3 3 3" xfId="591"/>
    <cellStyle name="Note 3 3 3 2" xfId="1578"/>
    <cellStyle name="Note 3 3 3 2 2" xfId="822"/>
    <cellStyle name="Note 3 3 3 2 2 2" xfId="2711"/>
    <cellStyle name="Note 3 3 3 2 2 2 2" xfId="6131"/>
    <cellStyle name="Note 3 3 3 2 2 2 2 2" xfId="12971"/>
    <cellStyle name="Note 3 3 3 2 2 2 3" xfId="9551"/>
    <cellStyle name="Note 3 3 3 2 2 3" xfId="3851"/>
    <cellStyle name="Note 3 3 3 2 2 3 2" xfId="7271"/>
    <cellStyle name="Note 3 3 3 2 2 3 2 2" xfId="14111"/>
    <cellStyle name="Note 3 3 3 2 2 3 3" xfId="10691"/>
    <cellStyle name="Note 3 3 3 2 2 4" xfId="4991"/>
    <cellStyle name="Note 3 3 3 2 2 4 2" xfId="11831"/>
    <cellStyle name="Note 3 3 3 2 2 5" xfId="8411"/>
    <cellStyle name="Note 3 3 3 2 3" xfId="2403"/>
    <cellStyle name="Note 3 3 3 2 3 2" xfId="5823"/>
    <cellStyle name="Note 3 3 3 2 3 2 2" xfId="12663"/>
    <cellStyle name="Note 3 3 3 2 3 3" xfId="9243"/>
    <cellStyle name="Note 3 3 3 2 4" xfId="3543"/>
    <cellStyle name="Note 3 3 3 2 4 2" xfId="6963"/>
    <cellStyle name="Note 3 3 3 2 4 2 2" xfId="13803"/>
    <cellStyle name="Note 3 3 3 2 4 3" xfId="10383"/>
    <cellStyle name="Note 3 3 3 2 5" xfId="4683"/>
    <cellStyle name="Note 3 3 3 2 5 2" xfId="11523"/>
    <cellStyle name="Note 3 3 3 2 6" xfId="8103"/>
    <cellStyle name="Note 3 3 3 2 7" xfId="61606"/>
    <cellStyle name="Note 3 3 3 2 8" xfId="62094"/>
    <cellStyle name="Note 3 3 3 3" xfId="38472"/>
    <cellStyle name="Note 3 3 3 4" xfId="56424"/>
    <cellStyle name="Note 3 3 3 5" xfId="56425"/>
    <cellStyle name="Note 3 3 3 6" xfId="56426"/>
    <cellStyle name="Note 3 3 3 7" xfId="61289"/>
    <cellStyle name="Note 3 3 4" xfId="1152"/>
    <cellStyle name="Note 3 3 4 2" xfId="1052"/>
    <cellStyle name="Note 3 3 4 2 2" xfId="2597"/>
    <cellStyle name="Note 3 3 4 2 2 2" xfId="6017"/>
    <cellStyle name="Note 3 3 4 2 2 2 2" xfId="12857"/>
    <cellStyle name="Note 3 3 4 2 2 3" xfId="9437"/>
    <cellStyle name="Note 3 3 4 2 3" xfId="3737"/>
    <cellStyle name="Note 3 3 4 2 3 2" xfId="7157"/>
    <cellStyle name="Note 3 3 4 2 3 2 2" xfId="13997"/>
    <cellStyle name="Note 3 3 4 2 3 3" xfId="10577"/>
    <cellStyle name="Note 3 3 4 2 4" xfId="4877"/>
    <cellStyle name="Note 3 3 4 2 4 2" xfId="11717"/>
    <cellStyle name="Note 3 3 4 2 5" xfId="8297"/>
    <cellStyle name="Note 3 3 4 3" xfId="1971"/>
    <cellStyle name="Note 3 3 4 3 2" xfId="5391"/>
    <cellStyle name="Note 3 3 4 3 2 2" xfId="12231"/>
    <cellStyle name="Note 3 3 4 3 3" xfId="8811"/>
    <cellStyle name="Note 3 3 4 4" xfId="3111"/>
    <cellStyle name="Note 3 3 4 4 2" xfId="6531"/>
    <cellStyle name="Note 3 3 4 4 2 2" xfId="13371"/>
    <cellStyle name="Note 3 3 4 4 3" xfId="9951"/>
    <cellStyle name="Note 3 3 4 5" xfId="4251"/>
    <cellStyle name="Note 3 3 4 5 2" xfId="11091"/>
    <cellStyle name="Note 3 3 4 6" xfId="7671"/>
    <cellStyle name="Note 3 3 4 7" xfId="61851"/>
    <cellStyle name="Note 3 3 4 8" xfId="62318"/>
    <cellStyle name="Note 3 3 5" xfId="38208"/>
    <cellStyle name="Note 3 3 6" xfId="56427"/>
    <cellStyle name="Note 3 3 7" xfId="56428"/>
    <cellStyle name="Note 3 3 8" xfId="60828"/>
    <cellStyle name="Note 3 4" xfId="309"/>
    <cellStyle name="Note 3 4 2" xfId="381"/>
    <cellStyle name="Note 3 4 2 2" xfId="1386"/>
    <cellStyle name="Note 3 4 2 2 2" xfId="1816"/>
    <cellStyle name="Note 3 4 2 2 2 2" xfId="2956"/>
    <cellStyle name="Note 3 4 2 2 2 2 2" xfId="6376"/>
    <cellStyle name="Note 3 4 2 2 2 2 2 2" xfId="13216"/>
    <cellStyle name="Note 3 4 2 2 2 2 3" xfId="9796"/>
    <cellStyle name="Note 3 4 2 2 2 3" xfId="4096"/>
    <cellStyle name="Note 3 4 2 2 2 3 2" xfId="7516"/>
    <cellStyle name="Note 3 4 2 2 2 3 2 2" xfId="14356"/>
    <cellStyle name="Note 3 4 2 2 2 3 3" xfId="10936"/>
    <cellStyle name="Note 3 4 2 2 2 4" xfId="5236"/>
    <cellStyle name="Note 3 4 2 2 2 4 2" xfId="12076"/>
    <cellStyle name="Note 3 4 2 2 2 5" xfId="8656"/>
    <cellStyle name="Note 3 4 2 2 3" xfId="2207"/>
    <cellStyle name="Note 3 4 2 2 3 2" xfId="5627"/>
    <cellStyle name="Note 3 4 2 2 3 2 2" xfId="12467"/>
    <cellStyle name="Note 3 4 2 2 3 3" xfId="9047"/>
    <cellStyle name="Note 3 4 2 2 4" xfId="3347"/>
    <cellStyle name="Note 3 4 2 2 4 2" xfId="6767"/>
    <cellStyle name="Note 3 4 2 2 4 2 2" xfId="13607"/>
    <cellStyle name="Note 3 4 2 2 4 3" xfId="10187"/>
    <cellStyle name="Note 3 4 2 2 5" xfId="4487"/>
    <cellStyle name="Note 3 4 2 2 5 2" xfId="11327"/>
    <cellStyle name="Note 3 4 2 2 6" xfId="7907"/>
    <cellStyle name="Note 3 4 2 2 7" xfId="61605"/>
    <cellStyle name="Note 3 4 2 2 8" xfId="62093"/>
    <cellStyle name="Note 3 4 2 3" xfId="38364"/>
    <cellStyle name="Note 3 4 2 4" xfId="56429"/>
    <cellStyle name="Note 3 4 2 5" xfId="56430"/>
    <cellStyle name="Note 3 4 2 6" xfId="56431"/>
    <cellStyle name="Note 3 4 2 7" xfId="61062"/>
    <cellStyle name="Note 3 4 3" xfId="1315"/>
    <cellStyle name="Note 3 4 3 2" xfId="1760"/>
    <cellStyle name="Note 3 4 3 2 2" xfId="2900"/>
    <cellStyle name="Note 3 4 3 2 2 2" xfId="6320"/>
    <cellStyle name="Note 3 4 3 2 2 2 2" xfId="13160"/>
    <cellStyle name="Note 3 4 3 2 2 3" xfId="9740"/>
    <cellStyle name="Note 3 4 3 2 3" xfId="4040"/>
    <cellStyle name="Note 3 4 3 2 3 2" xfId="7460"/>
    <cellStyle name="Note 3 4 3 2 3 2 2" xfId="14300"/>
    <cellStyle name="Note 3 4 3 2 3 3" xfId="10880"/>
    <cellStyle name="Note 3 4 3 2 4" xfId="5180"/>
    <cellStyle name="Note 3 4 3 2 4 2" xfId="12020"/>
    <cellStyle name="Note 3 4 3 2 5" xfId="8600"/>
    <cellStyle name="Note 3 4 3 3" xfId="2135"/>
    <cellStyle name="Note 3 4 3 3 2" xfId="5555"/>
    <cellStyle name="Note 3 4 3 3 2 2" xfId="12395"/>
    <cellStyle name="Note 3 4 3 3 3" xfId="8975"/>
    <cellStyle name="Note 3 4 3 4" xfId="3275"/>
    <cellStyle name="Note 3 4 3 4 2" xfId="6695"/>
    <cellStyle name="Note 3 4 3 4 2 2" xfId="13535"/>
    <cellStyle name="Note 3 4 3 4 3" xfId="10115"/>
    <cellStyle name="Note 3 4 3 5" xfId="4415"/>
    <cellStyle name="Note 3 4 3 5 2" xfId="11255"/>
    <cellStyle name="Note 3 4 3 6" xfId="7835"/>
    <cellStyle name="Note 3 4 3 7" xfId="61462"/>
    <cellStyle name="Note 3 4 3 8" xfId="62025"/>
    <cellStyle name="Note 3 4 4" xfId="38317"/>
    <cellStyle name="Note 3 4 5" xfId="56432"/>
    <cellStyle name="Note 3 4 6" xfId="56433"/>
    <cellStyle name="Note 3 4 7" xfId="60991"/>
    <cellStyle name="Note 3 5" xfId="208"/>
    <cellStyle name="Note 3 5 2" xfId="181"/>
    <cellStyle name="Note 3 5 2 2" xfId="1189"/>
    <cellStyle name="Note 3 5 2 2 2" xfId="1034"/>
    <cellStyle name="Note 3 5 2 2 2 2" xfId="2574"/>
    <cellStyle name="Note 3 5 2 2 2 2 2" xfId="5994"/>
    <cellStyle name="Note 3 5 2 2 2 2 2 2" xfId="12834"/>
    <cellStyle name="Note 3 5 2 2 2 2 3" xfId="9414"/>
    <cellStyle name="Note 3 5 2 2 2 3" xfId="3714"/>
    <cellStyle name="Note 3 5 2 2 2 3 2" xfId="7134"/>
    <cellStyle name="Note 3 5 2 2 2 3 2 2" xfId="13974"/>
    <cellStyle name="Note 3 5 2 2 2 3 3" xfId="10554"/>
    <cellStyle name="Note 3 5 2 2 2 4" xfId="4854"/>
    <cellStyle name="Note 3 5 2 2 2 4 2" xfId="11694"/>
    <cellStyle name="Note 3 5 2 2 2 5" xfId="8274"/>
    <cellStyle name="Note 3 5 2 2 3" xfId="2008"/>
    <cellStyle name="Note 3 5 2 2 3 2" xfId="5428"/>
    <cellStyle name="Note 3 5 2 2 3 2 2" xfId="12268"/>
    <cellStyle name="Note 3 5 2 2 3 3" xfId="8848"/>
    <cellStyle name="Note 3 5 2 2 4" xfId="3148"/>
    <cellStyle name="Note 3 5 2 2 4 2" xfId="6568"/>
    <cellStyle name="Note 3 5 2 2 4 2 2" xfId="13408"/>
    <cellStyle name="Note 3 5 2 2 4 3" xfId="9988"/>
    <cellStyle name="Note 3 5 2 2 5" xfId="4288"/>
    <cellStyle name="Note 3 5 2 2 5 2" xfId="11128"/>
    <cellStyle name="Note 3 5 2 2 6" xfId="7708"/>
    <cellStyle name="Note 3 5 2 2 7" xfId="61503"/>
    <cellStyle name="Note 3 5 2 2 8" xfId="62056"/>
    <cellStyle name="Note 3 5 2 3" xfId="38238"/>
    <cellStyle name="Note 3 5 2 4" xfId="56434"/>
    <cellStyle name="Note 3 5 2 5" xfId="56435"/>
    <cellStyle name="Note 3 5 2 6" xfId="56436"/>
    <cellStyle name="Note 3 5 2 7" xfId="60865"/>
    <cellStyle name="Note 3 5 3" xfId="1216"/>
    <cellStyle name="Note 3 5 3 2" xfId="1019"/>
    <cellStyle name="Note 3 5 3 2 2" xfId="2555"/>
    <cellStyle name="Note 3 5 3 2 2 2" xfId="5975"/>
    <cellStyle name="Note 3 5 3 2 2 2 2" xfId="12815"/>
    <cellStyle name="Note 3 5 3 2 2 3" xfId="9395"/>
    <cellStyle name="Note 3 5 3 2 3" xfId="3695"/>
    <cellStyle name="Note 3 5 3 2 3 2" xfId="7115"/>
    <cellStyle name="Note 3 5 3 2 3 2 2" xfId="13955"/>
    <cellStyle name="Note 3 5 3 2 3 3" xfId="10535"/>
    <cellStyle name="Note 3 5 3 2 4" xfId="4835"/>
    <cellStyle name="Note 3 5 3 2 4 2" xfId="11675"/>
    <cellStyle name="Note 3 5 3 2 5" xfId="8255"/>
    <cellStyle name="Note 3 5 3 3" xfId="2035"/>
    <cellStyle name="Note 3 5 3 3 2" xfId="5455"/>
    <cellStyle name="Note 3 5 3 3 2 2" xfId="12295"/>
    <cellStyle name="Note 3 5 3 3 3" xfId="8875"/>
    <cellStyle name="Note 3 5 3 4" xfId="3175"/>
    <cellStyle name="Note 3 5 3 4 2" xfId="6595"/>
    <cellStyle name="Note 3 5 3 4 2 2" xfId="13435"/>
    <cellStyle name="Note 3 5 3 4 3" xfId="10015"/>
    <cellStyle name="Note 3 5 3 5" xfId="4315"/>
    <cellStyle name="Note 3 5 3 5 2" xfId="11155"/>
    <cellStyle name="Note 3 5 3 6" xfId="7735"/>
    <cellStyle name="Note 3 5 3 7" xfId="61828"/>
    <cellStyle name="Note 3 5 3 8" xfId="62305"/>
    <cellStyle name="Note 3 5 4" xfId="38250"/>
    <cellStyle name="Note 3 5 5" xfId="56437"/>
    <cellStyle name="Note 3 5 6" xfId="56438"/>
    <cellStyle name="Note 3 5 7" xfId="60892"/>
    <cellStyle name="Note 3 6" xfId="435"/>
    <cellStyle name="Note 3 6 2" xfId="536"/>
    <cellStyle name="Note 3 6 2 2" xfId="1540"/>
    <cellStyle name="Note 3 6 2 2 2" xfId="1702"/>
    <cellStyle name="Note 3 6 2 2 2 2" xfId="2842"/>
    <cellStyle name="Note 3 6 2 2 2 2 2" xfId="6262"/>
    <cellStyle name="Note 3 6 2 2 2 2 2 2" xfId="13102"/>
    <cellStyle name="Note 3 6 2 2 2 2 3" xfId="9682"/>
    <cellStyle name="Note 3 6 2 2 2 3" xfId="3982"/>
    <cellStyle name="Note 3 6 2 2 2 3 2" xfId="7402"/>
    <cellStyle name="Note 3 6 2 2 2 3 2 2" xfId="14242"/>
    <cellStyle name="Note 3 6 2 2 2 3 3" xfId="10822"/>
    <cellStyle name="Note 3 6 2 2 2 4" xfId="5122"/>
    <cellStyle name="Note 3 6 2 2 2 4 2" xfId="11962"/>
    <cellStyle name="Note 3 6 2 2 2 5" xfId="8542"/>
    <cellStyle name="Note 3 6 2 2 3" xfId="2361"/>
    <cellStyle name="Note 3 6 2 2 3 2" xfId="5781"/>
    <cellStyle name="Note 3 6 2 2 3 2 2" xfId="12621"/>
    <cellStyle name="Note 3 6 2 2 3 3" xfId="9201"/>
    <cellStyle name="Note 3 6 2 2 4" xfId="3501"/>
    <cellStyle name="Note 3 6 2 2 4 2" xfId="6921"/>
    <cellStyle name="Note 3 6 2 2 4 2 2" xfId="13761"/>
    <cellStyle name="Note 3 6 2 2 4 3" xfId="10341"/>
    <cellStyle name="Note 3 6 2 2 5" xfId="4641"/>
    <cellStyle name="Note 3 6 2 2 5 2" xfId="11481"/>
    <cellStyle name="Note 3 6 2 2 6" xfId="8061"/>
    <cellStyle name="Note 3 6 2 2 7" xfId="61486"/>
    <cellStyle name="Note 3 6 2 2 8" xfId="62045"/>
    <cellStyle name="Note 3 6 2 3" xfId="38454"/>
    <cellStyle name="Note 3 6 2 4" xfId="56439"/>
    <cellStyle name="Note 3 6 2 5" xfId="56440"/>
    <cellStyle name="Note 3 6 2 6" xfId="56441"/>
    <cellStyle name="Note 3 6 2 7" xfId="61216"/>
    <cellStyle name="Note 3 6 3" xfId="1439"/>
    <cellStyle name="Note 3 6 3 2" xfId="890"/>
    <cellStyle name="Note 3 6 3 2 2" xfId="2521"/>
    <cellStyle name="Note 3 6 3 2 2 2" xfId="5941"/>
    <cellStyle name="Note 3 6 3 2 2 2 2" xfId="12781"/>
    <cellStyle name="Note 3 6 3 2 2 3" xfId="9361"/>
    <cellStyle name="Note 3 6 3 2 3" xfId="3661"/>
    <cellStyle name="Note 3 6 3 2 3 2" xfId="7081"/>
    <cellStyle name="Note 3 6 3 2 3 2 2" xfId="13921"/>
    <cellStyle name="Note 3 6 3 2 3 3" xfId="10501"/>
    <cellStyle name="Note 3 6 3 2 4" xfId="4801"/>
    <cellStyle name="Note 3 6 3 2 4 2" xfId="11641"/>
    <cellStyle name="Note 3 6 3 2 5" xfId="8221"/>
    <cellStyle name="Note 3 6 3 3" xfId="2260"/>
    <cellStyle name="Note 3 6 3 3 2" xfId="5680"/>
    <cellStyle name="Note 3 6 3 3 2 2" xfId="12520"/>
    <cellStyle name="Note 3 6 3 3 3" xfId="9100"/>
    <cellStyle name="Note 3 6 3 4" xfId="3400"/>
    <cellStyle name="Note 3 6 3 4 2" xfId="6820"/>
    <cellStyle name="Note 3 6 3 4 2 2" xfId="13660"/>
    <cellStyle name="Note 3 6 3 4 3" xfId="10240"/>
    <cellStyle name="Note 3 6 3 5" xfId="4540"/>
    <cellStyle name="Note 3 6 3 5 2" xfId="11380"/>
    <cellStyle name="Note 3 6 3 6" xfId="7960"/>
    <cellStyle name="Note 3 6 3 7" xfId="61604"/>
    <cellStyle name="Note 3 6 3 8" xfId="62092"/>
    <cellStyle name="Note 3 6 4" xfId="38398"/>
    <cellStyle name="Note 3 6 5" xfId="56442"/>
    <cellStyle name="Note 3 6 6" xfId="56443"/>
    <cellStyle name="Note 3 6 7" xfId="56444"/>
    <cellStyle name="Note 3 6 8" xfId="61115"/>
    <cellStyle name="Note 3 7" xfId="448"/>
    <cellStyle name="Note 3 7 2" xfId="197"/>
    <cellStyle name="Note 3 7 2 2" xfId="1205"/>
    <cellStyle name="Note 3 7 2 2 2" xfId="1752"/>
    <cellStyle name="Note 3 7 2 2 2 2" xfId="2892"/>
    <cellStyle name="Note 3 7 2 2 2 2 2" xfId="6312"/>
    <cellStyle name="Note 3 7 2 2 2 2 2 2" xfId="13152"/>
    <cellStyle name="Note 3 7 2 2 2 2 3" xfId="9732"/>
    <cellStyle name="Note 3 7 2 2 2 3" xfId="4032"/>
    <cellStyle name="Note 3 7 2 2 2 3 2" xfId="7452"/>
    <cellStyle name="Note 3 7 2 2 2 3 2 2" xfId="14292"/>
    <cellStyle name="Note 3 7 2 2 2 3 3" xfId="10872"/>
    <cellStyle name="Note 3 7 2 2 2 4" xfId="5172"/>
    <cellStyle name="Note 3 7 2 2 2 4 2" xfId="12012"/>
    <cellStyle name="Note 3 7 2 2 2 5" xfId="8592"/>
    <cellStyle name="Note 3 7 2 2 3" xfId="2024"/>
    <cellStyle name="Note 3 7 2 2 3 2" xfId="5444"/>
    <cellStyle name="Note 3 7 2 2 3 2 2" xfId="12284"/>
    <cellStyle name="Note 3 7 2 2 3 3" xfId="8864"/>
    <cellStyle name="Note 3 7 2 2 4" xfId="3164"/>
    <cellStyle name="Note 3 7 2 2 4 2" xfId="6584"/>
    <cellStyle name="Note 3 7 2 2 4 2 2" xfId="13424"/>
    <cellStyle name="Note 3 7 2 2 4 3" xfId="10004"/>
    <cellStyle name="Note 3 7 2 2 5" xfId="4304"/>
    <cellStyle name="Note 3 7 2 2 5 2" xfId="11144"/>
    <cellStyle name="Note 3 7 2 2 6" xfId="7724"/>
    <cellStyle name="Note 3 7 2 2 7" xfId="61602"/>
    <cellStyle name="Note 3 7 2 2 8" xfId="62090"/>
    <cellStyle name="Note 3 7 2 3" xfId="38246"/>
    <cellStyle name="Note 3 7 2 4" xfId="56445"/>
    <cellStyle name="Note 3 7 2 5" xfId="56446"/>
    <cellStyle name="Note 3 7 2 6" xfId="56447"/>
    <cellStyle name="Note 3 7 2 7" xfId="60881"/>
    <cellStyle name="Note 3 7 3" xfId="1452"/>
    <cellStyle name="Note 3 7 3 2" xfId="1732"/>
    <cellStyle name="Note 3 7 3 2 2" xfId="2872"/>
    <cellStyle name="Note 3 7 3 2 2 2" xfId="6292"/>
    <cellStyle name="Note 3 7 3 2 2 2 2" xfId="13132"/>
    <cellStyle name="Note 3 7 3 2 2 3" xfId="9712"/>
    <cellStyle name="Note 3 7 3 2 3" xfId="4012"/>
    <cellStyle name="Note 3 7 3 2 3 2" xfId="7432"/>
    <cellStyle name="Note 3 7 3 2 3 2 2" xfId="14272"/>
    <cellStyle name="Note 3 7 3 2 3 3" xfId="10852"/>
    <cellStyle name="Note 3 7 3 2 4" xfId="5152"/>
    <cellStyle name="Note 3 7 3 2 4 2" xfId="11992"/>
    <cellStyle name="Note 3 7 3 2 5" xfId="8572"/>
    <cellStyle name="Note 3 7 3 3" xfId="2273"/>
    <cellStyle name="Note 3 7 3 3 2" xfId="5693"/>
    <cellStyle name="Note 3 7 3 3 2 2" xfId="12533"/>
    <cellStyle name="Note 3 7 3 3 3" xfId="9113"/>
    <cellStyle name="Note 3 7 3 4" xfId="3413"/>
    <cellStyle name="Note 3 7 3 4 2" xfId="6833"/>
    <cellStyle name="Note 3 7 3 4 2 2" xfId="13673"/>
    <cellStyle name="Note 3 7 3 4 3" xfId="10253"/>
    <cellStyle name="Note 3 7 3 5" xfId="4553"/>
    <cellStyle name="Note 3 7 3 5 2" xfId="11393"/>
    <cellStyle name="Note 3 7 3 6" xfId="7973"/>
    <cellStyle name="Note 3 7 3 7" xfId="61603"/>
    <cellStyle name="Note 3 7 3 8" xfId="62091"/>
    <cellStyle name="Note 3 7 4" xfId="38409"/>
    <cellStyle name="Note 3 7 5" xfId="56448"/>
    <cellStyle name="Note 3 7 6" xfId="56449"/>
    <cellStyle name="Note 3 7 7" xfId="56450"/>
    <cellStyle name="Note 3 7 8" xfId="61128"/>
    <cellStyle name="Note 3 8" xfId="1101"/>
    <cellStyle name="Note 3 8 2" xfId="1076"/>
    <cellStyle name="Note 3 8 2 2" xfId="2763"/>
    <cellStyle name="Note 3 8 2 2 2" xfId="6183"/>
    <cellStyle name="Note 3 8 2 2 2 2" xfId="13023"/>
    <cellStyle name="Note 3 8 2 2 3" xfId="9603"/>
    <cellStyle name="Note 3 8 2 3" xfId="3903"/>
    <cellStyle name="Note 3 8 2 3 2" xfId="7323"/>
    <cellStyle name="Note 3 8 2 3 2 2" xfId="14163"/>
    <cellStyle name="Note 3 8 2 3 3" xfId="10743"/>
    <cellStyle name="Note 3 8 2 4" xfId="5043"/>
    <cellStyle name="Note 3 8 2 4 2" xfId="11883"/>
    <cellStyle name="Note 3 8 2 5" xfId="8463"/>
    <cellStyle name="Note 3 8 3" xfId="1908"/>
    <cellStyle name="Note 3 8 3 2" xfId="5328"/>
    <cellStyle name="Note 3 8 3 2 2" xfId="12168"/>
    <cellStyle name="Note 3 8 3 3" xfId="8748"/>
    <cellStyle name="Note 3 8 4" xfId="3048"/>
    <cellStyle name="Note 3 8 4 2" xfId="6468"/>
    <cellStyle name="Note 3 8 4 2 2" xfId="13308"/>
    <cellStyle name="Note 3 8 4 3" xfId="9888"/>
    <cellStyle name="Note 3 8 5" xfId="4188"/>
    <cellStyle name="Note 3 8 5 2" xfId="11028"/>
    <cellStyle name="Note 3 8 6" xfId="7608"/>
    <cellStyle name="Note 3 9" xfId="38187"/>
    <cellStyle name="Note 4" xfId="100"/>
    <cellStyle name="Note 4 10" xfId="60792"/>
    <cellStyle name="Note 4 2" xfId="159"/>
    <cellStyle name="Note 4 2 2" xfId="285"/>
    <cellStyle name="Note 4 2 2 2" xfId="694"/>
    <cellStyle name="Note 4 2 2 2 2" xfId="1645"/>
    <cellStyle name="Note 4 2 2 2 2 2" xfId="762"/>
    <cellStyle name="Note 4 2 2 2 2 2 2" xfId="2761"/>
    <cellStyle name="Note 4 2 2 2 2 2 2 2" xfId="6181"/>
    <cellStyle name="Note 4 2 2 2 2 2 2 2 2" xfId="13021"/>
    <cellStyle name="Note 4 2 2 2 2 2 2 3" xfId="9601"/>
    <cellStyle name="Note 4 2 2 2 2 2 3" xfId="3901"/>
    <cellStyle name="Note 4 2 2 2 2 2 3 2" xfId="7321"/>
    <cellStyle name="Note 4 2 2 2 2 2 3 2 2" xfId="14161"/>
    <cellStyle name="Note 4 2 2 2 2 2 3 3" xfId="10741"/>
    <cellStyle name="Note 4 2 2 2 2 2 4" xfId="5041"/>
    <cellStyle name="Note 4 2 2 2 2 2 4 2" xfId="11881"/>
    <cellStyle name="Note 4 2 2 2 2 2 5" xfId="8461"/>
    <cellStyle name="Note 4 2 2 2 2 3" xfId="2479"/>
    <cellStyle name="Note 4 2 2 2 2 3 2" xfId="5899"/>
    <cellStyle name="Note 4 2 2 2 2 3 2 2" xfId="12739"/>
    <cellStyle name="Note 4 2 2 2 2 3 3" xfId="9319"/>
    <cellStyle name="Note 4 2 2 2 2 4" xfId="3619"/>
    <cellStyle name="Note 4 2 2 2 2 4 2" xfId="7039"/>
    <cellStyle name="Note 4 2 2 2 2 4 2 2" xfId="13879"/>
    <cellStyle name="Note 4 2 2 2 2 4 3" xfId="10459"/>
    <cellStyle name="Note 4 2 2 2 2 5" xfId="4759"/>
    <cellStyle name="Note 4 2 2 2 2 5 2" xfId="11599"/>
    <cellStyle name="Note 4 2 2 2 2 6" xfId="8179"/>
    <cellStyle name="Note 4 2 2 2 2 7" xfId="61479"/>
    <cellStyle name="Note 4 2 2 2 2 8" xfId="62039"/>
    <cellStyle name="Note 4 2 2 2 3" xfId="38538"/>
    <cellStyle name="Note 4 2 2 2 4" xfId="56451"/>
    <cellStyle name="Note 4 2 2 2 5" xfId="56452"/>
    <cellStyle name="Note 4 2 2 2 6" xfId="56453"/>
    <cellStyle name="Note 4 2 2 2 7" xfId="61290"/>
    <cellStyle name="Note 4 2 2 3" xfId="1291"/>
    <cellStyle name="Note 4 2 2 3 2" xfId="983"/>
    <cellStyle name="Note 4 2 2 3 2 2" xfId="1889"/>
    <cellStyle name="Note 4 2 2 3 2 2 2" xfId="5309"/>
    <cellStyle name="Note 4 2 2 3 2 2 2 2" xfId="12149"/>
    <cellStyle name="Note 4 2 2 3 2 2 3" xfId="8729"/>
    <cellStyle name="Note 4 2 2 3 2 3" xfId="3029"/>
    <cellStyle name="Note 4 2 2 3 2 3 2" xfId="6449"/>
    <cellStyle name="Note 4 2 2 3 2 3 2 2" xfId="13289"/>
    <cellStyle name="Note 4 2 2 3 2 3 3" xfId="9869"/>
    <cellStyle name="Note 4 2 2 3 2 4" xfId="4169"/>
    <cellStyle name="Note 4 2 2 3 2 4 2" xfId="11009"/>
    <cellStyle name="Note 4 2 2 3 2 5" xfId="7589"/>
    <cellStyle name="Note 4 2 2 3 3" xfId="2111"/>
    <cellStyle name="Note 4 2 2 3 3 2" xfId="5531"/>
    <cellStyle name="Note 4 2 2 3 3 2 2" xfId="12371"/>
    <cellStyle name="Note 4 2 2 3 3 3" xfId="8951"/>
    <cellStyle name="Note 4 2 2 3 4" xfId="3251"/>
    <cellStyle name="Note 4 2 2 3 4 2" xfId="6671"/>
    <cellStyle name="Note 4 2 2 3 4 2 2" xfId="13511"/>
    <cellStyle name="Note 4 2 2 3 4 3" xfId="10091"/>
    <cellStyle name="Note 4 2 2 3 5" xfId="4391"/>
    <cellStyle name="Note 4 2 2 3 5 2" xfId="11231"/>
    <cellStyle name="Note 4 2 2 3 6" xfId="7811"/>
    <cellStyle name="Note 4 2 2 3 7" xfId="61601"/>
    <cellStyle name="Note 4 2 2 3 8" xfId="62089"/>
    <cellStyle name="Note 4 2 2 4" xfId="38301"/>
    <cellStyle name="Note 4 2 2 5" xfId="56454"/>
    <cellStyle name="Note 4 2 2 6" xfId="56455"/>
    <cellStyle name="Note 4 2 2 7" xfId="56456"/>
    <cellStyle name="Note 4 2 2 8" xfId="60967"/>
    <cellStyle name="Note 4 2 3" xfId="606"/>
    <cellStyle name="Note 4 2 3 2" xfId="1593"/>
    <cellStyle name="Note 4 2 3 2 2" xfId="813"/>
    <cellStyle name="Note 4 2 3 2 2 2" xfId="1954"/>
    <cellStyle name="Note 4 2 3 2 2 2 2" xfId="5374"/>
    <cellStyle name="Note 4 2 3 2 2 2 2 2" xfId="12214"/>
    <cellStyle name="Note 4 2 3 2 2 2 3" xfId="8794"/>
    <cellStyle name="Note 4 2 3 2 2 3" xfId="3094"/>
    <cellStyle name="Note 4 2 3 2 2 3 2" xfId="6514"/>
    <cellStyle name="Note 4 2 3 2 2 3 2 2" xfId="13354"/>
    <cellStyle name="Note 4 2 3 2 2 3 3" xfId="9934"/>
    <cellStyle name="Note 4 2 3 2 2 4" xfId="4234"/>
    <cellStyle name="Note 4 2 3 2 2 4 2" xfId="11074"/>
    <cellStyle name="Note 4 2 3 2 2 5" xfId="7654"/>
    <cellStyle name="Note 4 2 3 2 3" xfId="2418"/>
    <cellStyle name="Note 4 2 3 2 3 2" xfId="5838"/>
    <cellStyle name="Note 4 2 3 2 3 2 2" xfId="12678"/>
    <cellStyle name="Note 4 2 3 2 3 3" xfId="9258"/>
    <cellStyle name="Note 4 2 3 2 4" xfId="3558"/>
    <cellStyle name="Note 4 2 3 2 4 2" xfId="6978"/>
    <cellStyle name="Note 4 2 3 2 4 2 2" xfId="13818"/>
    <cellStyle name="Note 4 2 3 2 4 3" xfId="10398"/>
    <cellStyle name="Note 4 2 3 2 5" xfId="4698"/>
    <cellStyle name="Note 4 2 3 2 5 2" xfId="11538"/>
    <cellStyle name="Note 4 2 3 2 6" xfId="8118"/>
    <cellStyle name="Note 4 2 3 2 7" xfId="61450"/>
    <cellStyle name="Note 4 2 3 2 8" xfId="62017"/>
    <cellStyle name="Note 4 2 3 3" xfId="38487"/>
    <cellStyle name="Note 4 2 3 4" xfId="56457"/>
    <cellStyle name="Note 4 2 3 5" xfId="56458"/>
    <cellStyle name="Note 4 2 3 6" xfId="56459"/>
    <cellStyle name="Note 4 2 3 7" xfId="61291"/>
    <cellStyle name="Note 4 2 4" xfId="1167"/>
    <cellStyle name="Note 4 2 4 2" xfId="1044"/>
    <cellStyle name="Note 4 2 4 2 2" xfId="2796"/>
    <cellStyle name="Note 4 2 4 2 2 2" xfId="6216"/>
    <cellStyle name="Note 4 2 4 2 2 2 2" xfId="13056"/>
    <cellStyle name="Note 4 2 4 2 2 3" xfId="9636"/>
    <cellStyle name="Note 4 2 4 2 3" xfId="3936"/>
    <cellStyle name="Note 4 2 4 2 3 2" xfId="7356"/>
    <cellStyle name="Note 4 2 4 2 3 2 2" xfId="14196"/>
    <cellStyle name="Note 4 2 4 2 3 3" xfId="10776"/>
    <cellStyle name="Note 4 2 4 2 4" xfId="5076"/>
    <cellStyle name="Note 4 2 4 2 4 2" xfId="11916"/>
    <cellStyle name="Note 4 2 4 2 5" xfId="8496"/>
    <cellStyle name="Note 4 2 4 3" xfId="1986"/>
    <cellStyle name="Note 4 2 4 3 2" xfId="5406"/>
    <cellStyle name="Note 4 2 4 3 2 2" xfId="12246"/>
    <cellStyle name="Note 4 2 4 3 3" xfId="8826"/>
    <cellStyle name="Note 4 2 4 4" xfId="3126"/>
    <cellStyle name="Note 4 2 4 4 2" xfId="6546"/>
    <cellStyle name="Note 4 2 4 4 2 2" xfId="13386"/>
    <cellStyle name="Note 4 2 4 4 3" xfId="9966"/>
    <cellStyle name="Note 4 2 4 5" xfId="4266"/>
    <cellStyle name="Note 4 2 4 5 2" xfId="11106"/>
    <cellStyle name="Note 4 2 4 6" xfId="7686"/>
    <cellStyle name="Note 4 2 4 7" xfId="61498"/>
    <cellStyle name="Note 4 2 4 8" xfId="62052"/>
    <cellStyle name="Note 4 2 5" xfId="38223"/>
    <cellStyle name="Note 4 2 6" xfId="56460"/>
    <cellStyle name="Note 4 2 7" xfId="56461"/>
    <cellStyle name="Note 4 2 8" xfId="60843"/>
    <cellStyle name="Note 4 3" xfId="325"/>
    <cellStyle name="Note 4 3 2" xfId="342"/>
    <cellStyle name="Note 4 3 2 2" xfId="1347"/>
    <cellStyle name="Note 4 3 2 2 2" xfId="945"/>
    <cellStyle name="Note 4 3 2 2 2 2" xfId="2775"/>
    <cellStyle name="Note 4 3 2 2 2 2 2" xfId="6195"/>
    <cellStyle name="Note 4 3 2 2 2 2 2 2" xfId="13035"/>
    <cellStyle name="Note 4 3 2 2 2 2 3" xfId="9615"/>
    <cellStyle name="Note 4 3 2 2 2 3" xfId="3915"/>
    <cellStyle name="Note 4 3 2 2 2 3 2" xfId="7335"/>
    <cellStyle name="Note 4 3 2 2 2 3 2 2" xfId="14175"/>
    <cellStyle name="Note 4 3 2 2 2 3 3" xfId="10755"/>
    <cellStyle name="Note 4 3 2 2 2 4" xfId="5055"/>
    <cellStyle name="Note 4 3 2 2 2 4 2" xfId="11895"/>
    <cellStyle name="Note 4 3 2 2 2 5" xfId="8475"/>
    <cellStyle name="Note 4 3 2 2 3" xfId="2168"/>
    <cellStyle name="Note 4 3 2 2 3 2" xfId="5588"/>
    <cellStyle name="Note 4 3 2 2 3 2 2" xfId="12428"/>
    <cellStyle name="Note 4 3 2 2 3 3" xfId="9008"/>
    <cellStyle name="Note 4 3 2 2 4" xfId="3308"/>
    <cellStyle name="Note 4 3 2 2 4 2" xfId="6728"/>
    <cellStyle name="Note 4 3 2 2 4 2 2" xfId="13568"/>
    <cellStyle name="Note 4 3 2 2 4 3" xfId="10148"/>
    <cellStyle name="Note 4 3 2 2 5" xfId="4448"/>
    <cellStyle name="Note 4 3 2 2 5 2" xfId="11288"/>
    <cellStyle name="Note 4 3 2 2 6" xfId="7868"/>
    <cellStyle name="Note 4 3 2 2 7" xfId="61600"/>
    <cellStyle name="Note 4 3 2 2 8" xfId="62088"/>
    <cellStyle name="Note 4 3 2 3" xfId="38332"/>
    <cellStyle name="Note 4 3 2 4" xfId="56462"/>
    <cellStyle name="Note 4 3 2 5" xfId="56463"/>
    <cellStyle name="Note 4 3 2 6" xfId="56464"/>
    <cellStyle name="Note 4 3 2 7" xfId="61023"/>
    <cellStyle name="Note 4 3 3" xfId="1330"/>
    <cellStyle name="Note 4 3 3 2" xfId="962"/>
    <cellStyle name="Note 4 3 3 2 2" xfId="2768"/>
    <cellStyle name="Note 4 3 3 2 2 2" xfId="6188"/>
    <cellStyle name="Note 4 3 3 2 2 2 2" xfId="13028"/>
    <cellStyle name="Note 4 3 3 2 2 3" xfId="9608"/>
    <cellStyle name="Note 4 3 3 2 3" xfId="3908"/>
    <cellStyle name="Note 4 3 3 2 3 2" xfId="7328"/>
    <cellStyle name="Note 4 3 3 2 3 2 2" xfId="14168"/>
    <cellStyle name="Note 4 3 3 2 3 3" xfId="10748"/>
    <cellStyle name="Note 4 3 3 2 4" xfId="5048"/>
    <cellStyle name="Note 4 3 3 2 4 2" xfId="11888"/>
    <cellStyle name="Note 4 3 3 2 5" xfId="8468"/>
    <cellStyle name="Note 4 3 3 3" xfId="2151"/>
    <cellStyle name="Note 4 3 3 3 2" xfId="5571"/>
    <cellStyle name="Note 4 3 3 3 2 2" xfId="12411"/>
    <cellStyle name="Note 4 3 3 3 3" xfId="8991"/>
    <cellStyle name="Note 4 3 3 4" xfId="3291"/>
    <cellStyle name="Note 4 3 3 4 2" xfId="6711"/>
    <cellStyle name="Note 4 3 3 4 2 2" xfId="13551"/>
    <cellStyle name="Note 4 3 3 4 3" xfId="10131"/>
    <cellStyle name="Note 4 3 3 5" xfId="4431"/>
    <cellStyle name="Note 4 3 3 5 2" xfId="11271"/>
    <cellStyle name="Note 4 3 3 6" xfId="7851"/>
    <cellStyle name="Note 4 3 3 7" xfId="61846"/>
    <cellStyle name="Note 4 3 3 8" xfId="62314"/>
    <cellStyle name="Note 4 3 4" xfId="38322"/>
    <cellStyle name="Note 4 3 5" xfId="56465"/>
    <cellStyle name="Note 4 3 6" xfId="56466"/>
    <cellStyle name="Note 4 3 7" xfId="61006"/>
    <cellStyle name="Note 4 4" xfId="232"/>
    <cellStyle name="Note 4 4 2" xfId="347"/>
    <cellStyle name="Note 4 4 2 2" xfId="1352"/>
    <cellStyle name="Note 4 4 2 2 2" xfId="940"/>
    <cellStyle name="Note 4 4 2 2 2 2" xfId="2790"/>
    <cellStyle name="Note 4 4 2 2 2 2 2" xfId="6210"/>
    <cellStyle name="Note 4 4 2 2 2 2 2 2" xfId="13050"/>
    <cellStyle name="Note 4 4 2 2 2 2 3" xfId="9630"/>
    <cellStyle name="Note 4 4 2 2 2 3" xfId="3930"/>
    <cellStyle name="Note 4 4 2 2 2 3 2" xfId="7350"/>
    <cellStyle name="Note 4 4 2 2 2 3 2 2" xfId="14190"/>
    <cellStyle name="Note 4 4 2 2 2 3 3" xfId="10770"/>
    <cellStyle name="Note 4 4 2 2 2 4" xfId="5070"/>
    <cellStyle name="Note 4 4 2 2 2 4 2" xfId="11910"/>
    <cellStyle name="Note 4 4 2 2 2 5" xfId="8490"/>
    <cellStyle name="Note 4 4 2 2 3" xfId="2173"/>
    <cellStyle name="Note 4 4 2 2 3 2" xfId="5593"/>
    <cellStyle name="Note 4 4 2 2 3 2 2" xfId="12433"/>
    <cellStyle name="Note 4 4 2 2 3 3" xfId="9013"/>
    <cellStyle name="Note 4 4 2 2 4" xfId="3313"/>
    <cellStyle name="Note 4 4 2 2 4 2" xfId="6733"/>
    <cellStyle name="Note 4 4 2 2 4 2 2" xfId="13573"/>
    <cellStyle name="Note 4 4 2 2 4 3" xfId="10153"/>
    <cellStyle name="Note 4 4 2 2 5" xfId="4453"/>
    <cellStyle name="Note 4 4 2 2 5 2" xfId="11293"/>
    <cellStyle name="Note 4 4 2 2 6" xfId="7873"/>
    <cellStyle name="Note 4 4 2 2 7" xfId="61599"/>
    <cellStyle name="Note 4 4 2 2 8" xfId="62087"/>
    <cellStyle name="Note 4 4 2 3" xfId="38336"/>
    <cellStyle name="Note 4 4 2 4" xfId="56467"/>
    <cellStyle name="Note 4 4 2 5" xfId="56468"/>
    <cellStyle name="Note 4 4 2 6" xfId="56469"/>
    <cellStyle name="Note 4 4 2 7" xfId="61028"/>
    <cellStyle name="Note 4 4 3" xfId="1239"/>
    <cellStyle name="Note 4 4 3 2" xfId="1009"/>
    <cellStyle name="Note 4 4 3 2 2" xfId="2595"/>
    <cellStyle name="Note 4 4 3 2 2 2" xfId="6015"/>
    <cellStyle name="Note 4 4 3 2 2 2 2" xfId="12855"/>
    <cellStyle name="Note 4 4 3 2 2 3" xfId="9435"/>
    <cellStyle name="Note 4 4 3 2 3" xfId="3735"/>
    <cellStyle name="Note 4 4 3 2 3 2" xfId="7155"/>
    <cellStyle name="Note 4 4 3 2 3 2 2" xfId="13995"/>
    <cellStyle name="Note 4 4 3 2 3 3" xfId="10575"/>
    <cellStyle name="Note 4 4 3 2 4" xfId="4875"/>
    <cellStyle name="Note 4 4 3 2 4 2" xfId="11715"/>
    <cellStyle name="Note 4 4 3 2 5" xfId="8295"/>
    <cellStyle name="Note 4 4 3 3" xfId="2059"/>
    <cellStyle name="Note 4 4 3 3 2" xfId="5479"/>
    <cellStyle name="Note 4 4 3 3 2 2" xfId="12319"/>
    <cellStyle name="Note 4 4 3 3 3" xfId="8899"/>
    <cellStyle name="Note 4 4 3 4" xfId="3199"/>
    <cellStyle name="Note 4 4 3 4 2" xfId="6619"/>
    <cellStyle name="Note 4 4 3 4 2 2" xfId="13459"/>
    <cellStyle name="Note 4 4 3 4 3" xfId="10039"/>
    <cellStyle name="Note 4 4 3 5" xfId="4339"/>
    <cellStyle name="Note 4 4 3 5 2" xfId="11179"/>
    <cellStyle name="Note 4 4 3 6" xfId="7759"/>
    <cellStyle name="Note 4 4 3 7" xfId="61823"/>
    <cellStyle name="Note 4 4 3 8" xfId="62301"/>
    <cellStyle name="Note 4 4 4" xfId="38259"/>
    <cellStyle name="Note 4 4 5" xfId="56470"/>
    <cellStyle name="Note 4 4 6" xfId="56471"/>
    <cellStyle name="Note 4 4 7" xfId="60915"/>
    <cellStyle name="Note 4 5" xfId="490"/>
    <cellStyle name="Note 4 5 2" xfId="537"/>
    <cellStyle name="Note 4 5 2 2" xfId="1541"/>
    <cellStyle name="Note 4 5 2 2 2" xfId="839"/>
    <cellStyle name="Note 4 5 2 2 2 2" xfId="2519"/>
    <cellStyle name="Note 4 5 2 2 2 2 2" xfId="5939"/>
    <cellStyle name="Note 4 5 2 2 2 2 2 2" xfId="12779"/>
    <cellStyle name="Note 4 5 2 2 2 2 3" xfId="9359"/>
    <cellStyle name="Note 4 5 2 2 2 3" xfId="3659"/>
    <cellStyle name="Note 4 5 2 2 2 3 2" xfId="7079"/>
    <cellStyle name="Note 4 5 2 2 2 3 2 2" xfId="13919"/>
    <cellStyle name="Note 4 5 2 2 2 3 3" xfId="10499"/>
    <cellStyle name="Note 4 5 2 2 2 4" xfId="4799"/>
    <cellStyle name="Note 4 5 2 2 2 4 2" xfId="11639"/>
    <cellStyle name="Note 4 5 2 2 2 5" xfId="8219"/>
    <cellStyle name="Note 4 5 2 2 3" xfId="2362"/>
    <cellStyle name="Note 4 5 2 2 3 2" xfId="5782"/>
    <cellStyle name="Note 4 5 2 2 3 2 2" xfId="12622"/>
    <cellStyle name="Note 4 5 2 2 3 3" xfId="9202"/>
    <cellStyle name="Note 4 5 2 2 4" xfId="3502"/>
    <cellStyle name="Note 4 5 2 2 4 2" xfId="6922"/>
    <cellStyle name="Note 4 5 2 2 4 2 2" xfId="13762"/>
    <cellStyle name="Note 4 5 2 2 4 3" xfId="10342"/>
    <cellStyle name="Note 4 5 2 2 5" xfId="4642"/>
    <cellStyle name="Note 4 5 2 2 5 2" xfId="11482"/>
    <cellStyle name="Note 4 5 2 2 6" xfId="8062"/>
    <cellStyle name="Note 4 5 2 2 7" xfId="61597"/>
    <cellStyle name="Note 4 5 2 2 8" xfId="62085"/>
    <cellStyle name="Note 4 5 2 3" xfId="38455"/>
    <cellStyle name="Note 4 5 2 4" xfId="56472"/>
    <cellStyle name="Note 4 5 2 5" xfId="56473"/>
    <cellStyle name="Note 4 5 2 6" xfId="56474"/>
    <cellStyle name="Note 4 5 2 7" xfId="61217"/>
    <cellStyle name="Note 4 5 3" xfId="1494"/>
    <cellStyle name="Note 4 5 3 2" xfId="862"/>
    <cellStyle name="Note 4 5 3 2 2" xfId="2698"/>
    <cellStyle name="Note 4 5 3 2 2 2" xfId="6118"/>
    <cellStyle name="Note 4 5 3 2 2 2 2" xfId="12958"/>
    <cellStyle name="Note 4 5 3 2 2 3" xfId="9538"/>
    <cellStyle name="Note 4 5 3 2 3" xfId="3838"/>
    <cellStyle name="Note 4 5 3 2 3 2" xfId="7258"/>
    <cellStyle name="Note 4 5 3 2 3 2 2" xfId="14098"/>
    <cellStyle name="Note 4 5 3 2 3 3" xfId="10678"/>
    <cellStyle name="Note 4 5 3 2 4" xfId="4978"/>
    <cellStyle name="Note 4 5 3 2 4 2" xfId="11818"/>
    <cellStyle name="Note 4 5 3 2 5" xfId="8398"/>
    <cellStyle name="Note 4 5 3 3" xfId="2315"/>
    <cellStyle name="Note 4 5 3 3 2" xfId="5735"/>
    <cellStyle name="Note 4 5 3 3 2 2" xfId="12575"/>
    <cellStyle name="Note 4 5 3 3 3" xfId="9155"/>
    <cellStyle name="Note 4 5 3 4" xfId="3455"/>
    <cellStyle name="Note 4 5 3 4 2" xfId="6875"/>
    <cellStyle name="Note 4 5 3 4 2 2" xfId="13715"/>
    <cellStyle name="Note 4 5 3 4 3" xfId="10295"/>
    <cellStyle name="Note 4 5 3 5" xfId="4595"/>
    <cellStyle name="Note 4 5 3 5 2" xfId="11435"/>
    <cellStyle name="Note 4 5 3 6" xfId="8015"/>
    <cellStyle name="Note 4 5 3 7" xfId="61598"/>
    <cellStyle name="Note 4 5 3 8" xfId="62086"/>
    <cellStyle name="Note 4 5 4" xfId="38429"/>
    <cellStyle name="Note 4 5 5" xfId="56475"/>
    <cellStyle name="Note 4 5 6" xfId="56476"/>
    <cellStyle name="Note 4 5 7" xfId="56477"/>
    <cellStyle name="Note 4 5 8" xfId="61170"/>
    <cellStyle name="Note 4 6" xfId="431"/>
    <cellStyle name="Note 4 6 2" xfId="527"/>
    <cellStyle name="Note 4 6 2 2" xfId="1531"/>
    <cellStyle name="Note 4 6 2 2 2" xfId="844"/>
    <cellStyle name="Note 4 6 2 2 2 2" xfId="2754"/>
    <cellStyle name="Note 4 6 2 2 2 2 2" xfId="6174"/>
    <cellStyle name="Note 4 6 2 2 2 2 2 2" xfId="13014"/>
    <cellStyle name="Note 4 6 2 2 2 2 3" xfId="9594"/>
    <cellStyle name="Note 4 6 2 2 2 3" xfId="3894"/>
    <cellStyle name="Note 4 6 2 2 2 3 2" xfId="7314"/>
    <cellStyle name="Note 4 6 2 2 2 3 2 2" xfId="14154"/>
    <cellStyle name="Note 4 6 2 2 2 3 3" xfId="10734"/>
    <cellStyle name="Note 4 6 2 2 2 4" xfId="5034"/>
    <cellStyle name="Note 4 6 2 2 2 4 2" xfId="11874"/>
    <cellStyle name="Note 4 6 2 2 2 5" xfId="8454"/>
    <cellStyle name="Note 4 6 2 2 3" xfId="2352"/>
    <cellStyle name="Note 4 6 2 2 3 2" xfId="5772"/>
    <cellStyle name="Note 4 6 2 2 3 2 2" xfId="12612"/>
    <cellStyle name="Note 4 6 2 2 3 3" xfId="9192"/>
    <cellStyle name="Note 4 6 2 2 4" xfId="3492"/>
    <cellStyle name="Note 4 6 2 2 4 2" xfId="6912"/>
    <cellStyle name="Note 4 6 2 2 4 2 2" xfId="13752"/>
    <cellStyle name="Note 4 6 2 2 4 3" xfId="10332"/>
    <cellStyle name="Note 4 6 2 2 5" xfId="4632"/>
    <cellStyle name="Note 4 6 2 2 5 2" xfId="11472"/>
    <cellStyle name="Note 4 6 2 2 6" xfId="8052"/>
    <cellStyle name="Note 4 6 2 2 7" xfId="61499"/>
    <cellStyle name="Note 4 6 2 2 8" xfId="62053"/>
    <cellStyle name="Note 4 6 2 3" xfId="38447"/>
    <cellStyle name="Note 4 6 2 4" xfId="56478"/>
    <cellStyle name="Note 4 6 2 5" xfId="56479"/>
    <cellStyle name="Note 4 6 2 6" xfId="56480"/>
    <cellStyle name="Note 4 6 2 7" xfId="61207"/>
    <cellStyle name="Note 4 6 3" xfId="1436"/>
    <cellStyle name="Note 4 6 3 2" xfId="891"/>
    <cellStyle name="Note 4 6 3 2 2" xfId="2600"/>
    <cellStyle name="Note 4 6 3 2 2 2" xfId="6020"/>
    <cellStyle name="Note 4 6 3 2 2 2 2" xfId="12860"/>
    <cellStyle name="Note 4 6 3 2 2 3" xfId="9440"/>
    <cellStyle name="Note 4 6 3 2 3" xfId="3740"/>
    <cellStyle name="Note 4 6 3 2 3 2" xfId="7160"/>
    <cellStyle name="Note 4 6 3 2 3 2 2" xfId="14000"/>
    <cellStyle name="Note 4 6 3 2 3 3" xfId="10580"/>
    <cellStyle name="Note 4 6 3 2 4" xfId="4880"/>
    <cellStyle name="Note 4 6 3 2 4 2" xfId="11720"/>
    <cellStyle name="Note 4 6 3 2 5" xfId="8300"/>
    <cellStyle name="Note 4 6 3 3" xfId="2257"/>
    <cellStyle name="Note 4 6 3 3 2" xfId="5677"/>
    <cellStyle name="Note 4 6 3 3 2 2" xfId="12517"/>
    <cellStyle name="Note 4 6 3 3 3" xfId="9097"/>
    <cellStyle name="Note 4 6 3 4" xfId="3397"/>
    <cellStyle name="Note 4 6 3 4 2" xfId="6817"/>
    <cellStyle name="Note 4 6 3 4 2 2" xfId="13657"/>
    <cellStyle name="Note 4 6 3 4 3" xfId="10237"/>
    <cellStyle name="Note 4 6 3 5" xfId="4537"/>
    <cellStyle name="Note 4 6 3 5 2" xfId="11377"/>
    <cellStyle name="Note 4 6 3 6" xfId="7957"/>
    <cellStyle name="Note 4 6 3 7" xfId="61596"/>
    <cellStyle name="Note 4 6 3 8" xfId="62084"/>
    <cellStyle name="Note 4 6 4" xfId="38397"/>
    <cellStyle name="Note 4 6 5" xfId="56481"/>
    <cellStyle name="Note 4 6 6" xfId="56482"/>
    <cellStyle name="Note 4 6 7" xfId="56483"/>
    <cellStyle name="Note 4 6 8" xfId="61112"/>
    <cellStyle name="Note 4 7" xfId="1116"/>
    <cellStyle name="Note 4 7 2" xfId="1728"/>
    <cellStyle name="Note 4 7 2 2" xfId="2868"/>
    <cellStyle name="Note 4 7 2 2 2" xfId="6288"/>
    <cellStyle name="Note 4 7 2 2 2 2" xfId="13128"/>
    <cellStyle name="Note 4 7 2 2 3" xfId="9708"/>
    <cellStyle name="Note 4 7 2 3" xfId="4008"/>
    <cellStyle name="Note 4 7 2 3 2" xfId="7428"/>
    <cellStyle name="Note 4 7 2 3 2 2" xfId="14268"/>
    <cellStyle name="Note 4 7 2 3 3" xfId="10848"/>
    <cellStyle name="Note 4 7 2 4" xfId="5148"/>
    <cellStyle name="Note 4 7 2 4 2" xfId="11988"/>
    <cellStyle name="Note 4 7 2 5" xfId="8568"/>
    <cellStyle name="Note 4 7 3" xfId="1930"/>
    <cellStyle name="Note 4 7 3 2" xfId="5350"/>
    <cellStyle name="Note 4 7 3 2 2" xfId="12190"/>
    <cellStyle name="Note 4 7 3 3" xfId="8770"/>
    <cellStyle name="Note 4 7 4" xfId="3070"/>
    <cellStyle name="Note 4 7 4 2" xfId="6490"/>
    <cellStyle name="Note 4 7 4 2 2" xfId="13330"/>
    <cellStyle name="Note 4 7 4 3" xfId="9910"/>
    <cellStyle name="Note 4 7 5" xfId="4210"/>
    <cellStyle name="Note 4 7 5 2" xfId="11050"/>
    <cellStyle name="Note 4 7 6" xfId="7630"/>
    <cellStyle name="Note 4 8" xfId="38193"/>
    <cellStyle name="Note 4 9" xfId="56484"/>
    <cellStyle name="Note 5" xfId="107"/>
    <cellStyle name="Note 5 10" xfId="56485"/>
    <cellStyle name="Note 5 11" xfId="60799"/>
    <cellStyle name="Note 5 2" xfId="166"/>
    <cellStyle name="Note 5 2 2" xfId="292"/>
    <cellStyle name="Note 5 2 2 2" xfId="701"/>
    <cellStyle name="Note 5 2 2 2 2" xfId="1652"/>
    <cellStyle name="Note 5 2 2 2 2 2" xfId="755"/>
    <cellStyle name="Note 5 2 2 2 2 2 2" xfId="2547"/>
    <cellStyle name="Note 5 2 2 2 2 2 2 2" xfId="5967"/>
    <cellStyle name="Note 5 2 2 2 2 2 2 2 2" xfId="12807"/>
    <cellStyle name="Note 5 2 2 2 2 2 2 3" xfId="9387"/>
    <cellStyle name="Note 5 2 2 2 2 2 3" xfId="3687"/>
    <cellStyle name="Note 5 2 2 2 2 2 3 2" xfId="7107"/>
    <cellStyle name="Note 5 2 2 2 2 2 3 2 2" xfId="13947"/>
    <cellStyle name="Note 5 2 2 2 2 2 3 3" xfId="10527"/>
    <cellStyle name="Note 5 2 2 2 2 2 4" xfId="4827"/>
    <cellStyle name="Note 5 2 2 2 2 2 4 2" xfId="11667"/>
    <cellStyle name="Note 5 2 2 2 2 2 5" xfId="8247"/>
    <cellStyle name="Note 5 2 2 2 2 3" xfId="2486"/>
    <cellStyle name="Note 5 2 2 2 2 3 2" xfId="5906"/>
    <cellStyle name="Note 5 2 2 2 2 3 2 2" xfId="12746"/>
    <cellStyle name="Note 5 2 2 2 2 3 3" xfId="9326"/>
    <cellStyle name="Note 5 2 2 2 2 4" xfId="3626"/>
    <cellStyle name="Note 5 2 2 2 2 4 2" xfId="7046"/>
    <cellStyle name="Note 5 2 2 2 2 4 2 2" xfId="13886"/>
    <cellStyle name="Note 5 2 2 2 2 4 3" xfId="10466"/>
    <cellStyle name="Note 5 2 2 2 2 5" xfId="4766"/>
    <cellStyle name="Note 5 2 2 2 2 5 2" xfId="11606"/>
    <cellStyle name="Note 5 2 2 2 2 6" xfId="8186"/>
    <cellStyle name="Note 5 2 2 2 2 7" xfId="61594"/>
    <cellStyle name="Note 5 2 2 2 2 8" xfId="62082"/>
    <cellStyle name="Note 5 2 2 2 3" xfId="38545"/>
    <cellStyle name="Note 5 2 2 2 4" xfId="56486"/>
    <cellStyle name="Note 5 2 2 2 5" xfId="56487"/>
    <cellStyle name="Note 5 2 2 2 6" xfId="56488"/>
    <cellStyle name="Note 5 2 2 2 7" xfId="61292"/>
    <cellStyle name="Note 5 2 2 3" xfId="1298"/>
    <cellStyle name="Note 5 2 2 3 2" xfId="1864"/>
    <cellStyle name="Note 5 2 2 3 2 2" xfId="3004"/>
    <cellStyle name="Note 5 2 2 3 2 2 2" xfId="6424"/>
    <cellStyle name="Note 5 2 2 3 2 2 2 2" xfId="13264"/>
    <cellStyle name="Note 5 2 2 3 2 2 3" xfId="9844"/>
    <cellStyle name="Note 5 2 2 3 2 3" xfId="4144"/>
    <cellStyle name="Note 5 2 2 3 2 3 2" xfId="7564"/>
    <cellStyle name="Note 5 2 2 3 2 3 2 2" xfId="14404"/>
    <cellStyle name="Note 5 2 2 3 2 3 3" xfId="10984"/>
    <cellStyle name="Note 5 2 2 3 2 4" xfId="5284"/>
    <cellStyle name="Note 5 2 2 3 2 4 2" xfId="12124"/>
    <cellStyle name="Note 5 2 2 3 2 5" xfId="8704"/>
    <cellStyle name="Note 5 2 2 3 3" xfId="2118"/>
    <cellStyle name="Note 5 2 2 3 3 2" xfId="5538"/>
    <cellStyle name="Note 5 2 2 3 3 2 2" xfId="12378"/>
    <cellStyle name="Note 5 2 2 3 3 3" xfId="8958"/>
    <cellStyle name="Note 5 2 2 3 4" xfId="3258"/>
    <cellStyle name="Note 5 2 2 3 4 2" xfId="6678"/>
    <cellStyle name="Note 5 2 2 3 4 2 2" xfId="13518"/>
    <cellStyle name="Note 5 2 2 3 4 3" xfId="10098"/>
    <cellStyle name="Note 5 2 2 3 5" xfId="4398"/>
    <cellStyle name="Note 5 2 2 3 5 2" xfId="11238"/>
    <cellStyle name="Note 5 2 2 3 6" xfId="7818"/>
    <cellStyle name="Note 5 2 2 3 7" xfId="61473"/>
    <cellStyle name="Note 5 2 2 3 8" xfId="62034"/>
    <cellStyle name="Note 5 2 2 4" xfId="38308"/>
    <cellStyle name="Note 5 2 2 5" xfId="56489"/>
    <cellStyle name="Note 5 2 2 6" xfId="56490"/>
    <cellStyle name="Note 5 2 2 7" xfId="56491"/>
    <cellStyle name="Note 5 2 2 8" xfId="60974"/>
    <cellStyle name="Note 5 2 3" xfId="613"/>
    <cellStyle name="Note 5 2 3 2" xfId="1600"/>
    <cellStyle name="Note 5 2 3 2 2" xfId="807"/>
    <cellStyle name="Note 5 2 3 2 2 2" xfId="2508"/>
    <cellStyle name="Note 5 2 3 2 2 2 2" xfId="5928"/>
    <cellStyle name="Note 5 2 3 2 2 2 2 2" xfId="12768"/>
    <cellStyle name="Note 5 2 3 2 2 2 3" xfId="9348"/>
    <cellStyle name="Note 5 2 3 2 2 3" xfId="3648"/>
    <cellStyle name="Note 5 2 3 2 2 3 2" xfId="7068"/>
    <cellStyle name="Note 5 2 3 2 2 3 2 2" xfId="13908"/>
    <cellStyle name="Note 5 2 3 2 2 3 3" xfId="10488"/>
    <cellStyle name="Note 5 2 3 2 2 4" xfId="4788"/>
    <cellStyle name="Note 5 2 3 2 2 4 2" xfId="11628"/>
    <cellStyle name="Note 5 2 3 2 2 5" xfId="8208"/>
    <cellStyle name="Note 5 2 3 2 3" xfId="2425"/>
    <cellStyle name="Note 5 2 3 2 3 2" xfId="5845"/>
    <cellStyle name="Note 5 2 3 2 3 2 2" xfId="12685"/>
    <cellStyle name="Note 5 2 3 2 3 3" xfId="9265"/>
    <cellStyle name="Note 5 2 3 2 4" xfId="3565"/>
    <cellStyle name="Note 5 2 3 2 4 2" xfId="6985"/>
    <cellStyle name="Note 5 2 3 2 4 2 2" xfId="13825"/>
    <cellStyle name="Note 5 2 3 2 4 3" xfId="10405"/>
    <cellStyle name="Note 5 2 3 2 5" xfId="4705"/>
    <cellStyle name="Note 5 2 3 2 5 2" xfId="11545"/>
    <cellStyle name="Note 5 2 3 2 6" xfId="8125"/>
    <cellStyle name="Note 5 2 3 2 7" xfId="61593"/>
    <cellStyle name="Note 5 2 3 2 8" xfId="62081"/>
    <cellStyle name="Note 5 2 3 3" xfId="38494"/>
    <cellStyle name="Note 5 2 3 4" xfId="56492"/>
    <cellStyle name="Note 5 2 3 5" xfId="56493"/>
    <cellStyle name="Note 5 2 3 6" xfId="56494"/>
    <cellStyle name="Note 5 2 3 7" xfId="61293"/>
    <cellStyle name="Note 5 2 4" xfId="1174"/>
    <cellStyle name="Note 5 2 4 2" xfId="1041"/>
    <cellStyle name="Note 5 2 4 2 2" xfId="2784"/>
    <cellStyle name="Note 5 2 4 2 2 2" xfId="6204"/>
    <cellStyle name="Note 5 2 4 2 2 2 2" xfId="13044"/>
    <cellStyle name="Note 5 2 4 2 2 3" xfId="9624"/>
    <cellStyle name="Note 5 2 4 2 3" xfId="3924"/>
    <cellStyle name="Note 5 2 4 2 3 2" xfId="7344"/>
    <cellStyle name="Note 5 2 4 2 3 2 2" xfId="14184"/>
    <cellStyle name="Note 5 2 4 2 3 3" xfId="10764"/>
    <cellStyle name="Note 5 2 4 2 4" xfId="5064"/>
    <cellStyle name="Note 5 2 4 2 4 2" xfId="11904"/>
    <cellStyle name="Note 5 2 4 2 5" xfId="8484"/>
    <cellStyle name="Note 5 2 4 3" xfId="1993"/>
    <cellStyle name="Note 5 2 4 3 2" xfId="5413"/>
    <cellStyle name="Note 5 2 4 3 2 2" xfId="12253"/>
    <cellStyle name="Note 5 2 4 3 3" xfId="8833"/>
    <cellStyle name="Note 5 2 4 4" xfId="3133"/>
    <cellStyle name="Note 5 2 4 4 2" xfId="6553"/>
    <cellStyle name="Note 5 2 4 4 2 2" xfId="13393"/>
    <cellStyle name="Note 5 2 4 4 3" xfId="9973"/>
    <cellStyle name="Note 5 2 4 5" xfId="4273"/>
    <cellStyle name="Note 5 2 4 5 2" xfId="11113"/>
    <cellStyle name="Note 5 2 4 6" xfId="7693"/>
    <cellStyle name="Note 5 2 4 7" xfId="61595"/>
    <cellStyle name="Note 5 2 4 8" xfId="62083"/>
    <cellStyle name="Note 5 2 5" xfId="38228"/>
    <cellStyle name="Note 5 2 6" xfId="56495"/>
    <cellStyle name="Note 5 2 7" xfId="56496"/>
    <cellStyle name="Note 5 2 8" xfId="56497"/>
    <cellStyle name="Note 5 2 9" xfId="60850"/>
    <cellStyle name="Note 5 3" xfId="332"/>
    <cellStyle name="Note 5 3 2" xfId="349"/>
    <cellStyle name="Note 5 3 2 2" xfId="1354"/>
    <cellStyle name="Note 5 3 2 2 2" xfId="938"/>
    <cellStyle name="Note 5 3 2 2 2 2" xfId="2503"/>
    <cellStyle name="Note 5 3 2 2 2 2 2" xfId="5923"/>
    <cellStyle name="Note 5 3 2 2 2 2 2 2" xfId="12763"/>
    <cellStyle name="Note 5 3 2 2 2 2 3" xfId="9343"/>
    <cellStyle name="Note 5 3 2 2 2 3" xfId="3643"/>
    <cellStyle name="Note 5 3 2 2 2 3 2" xfId="7063"/>
    <cellStyle name="Note 5 3 2 2 2 3 2 2" xfId="13903"/>
    <cellStyle name="Note 5 3 2 2 2 3 3" xfId="10483"/>
    <cellStyle name="Note 5 3 2 2 2 4" xfId="4783"/>
    <cellStyle name="Note 5 3 2 2 2 4 2" xfId="11623"/>
    <cellStyle name="Note 5 3 2 2 2 5" xfId="8203"/>
    <cellStyle name="Note 5 3 2 2 3" xfId="2175"/>
    <cellStyle name="Note 5 3 2 2 3 2" xfId="5595"/>
    <cellStyle name="Note 5 3 2 2 3 2 2" xfId="12435"/>
    <cellStyle name="Note 5 3 2 2 3 3" xfId="9015"/>
    <cellStyle name="Note 5 3 2 2 4" xfId="3315"/>
    <cellStyle name="Note 5 3 2 2 4 2" xfId="6735"/>
    <cellStyle name="Note 5 3 2 2 4 2 2" xfId="13575"/>
    <cellStyle name="Note 5 3 2 2 4 3" xfId="10155"/>
    <cellStyle name="Note 5 3 2 2 5" xfId="4455"/>
    <cellStyle name="Note 5 3 2 2 5 2" xfId="11295"/>
    <cellStyle name="Note 5 3 2 2 6" xfId="7875"/>
    <cellStyle name="Note 5 3 2 2 7" xfId="61471"/>
    <cellStyle name="Note 5 3 2 2 8" xfId="62032"/>
    <cellStyle name="Note 5 3 2 3" xfId="38338"/>
    <cellStyle name="Note 5 3 2 4" xfId="56498"/>
    <cellStyle name="Note 5 3 2 5" xfId="56499"/>
    <cellStyle name="Note 5 3 2 6" xfId="56500"/>
    <cellStyle name="Note 5 3 2 7" xfId="61030"/>
    <cellStyle name="Note 5 3 3" xfId="1337"/>
    <cellStyle name="Note 5 3 3 2" xfId="955"/>
    <cellStyle name="Note 5 3 3 2 2" xfId="2647"/>
    <cellStyle name="Note 5 3 3 2 2 2" xfId="6067"/>
    <cellStyle name="Note 5 3 3 2 2 2 2" xfId="12907"/>
    <cellStyle name="Note 5 3 3 2 2 3" xfId="9487"/>
    <cellStyle name="Note 5 3 3 2 3" xfId="3787"/>
    <cellStyle name="Note 5 3 3 2 3 2" xfId="7207"/>
    <cellStyle name="Note 5 3 3 2 3 2 2" xfId="14047"/>
    <cellStyle name="Note 5 3 3 2 3 3" xfId="10627"/>
    <cellStyle name="Note 5 3 3 2 4" xfId="4927"/>
    <cellStyle name="Note 5 3 3 2 4 2" xfId="11767"/>
    <cellStyle name="Note 5 3 3 2 5" xfId="8347"/>
    <cellStyle name="Note 5 3 3 3" xfId="2158"/>
    <cellStyle name="Note 5 3 3 3 2" xfId="5578"/>
    <cellStyle name="Note 5 3 3 3 2 2" xfId="12418"/>
    <cellStyle name="Note 5 3 3 3 3" xfId="8998"/>
    <cellStyle name="Note 5 3 3 4" xfId="3298"/>
    <cellStyle name="Note 5 3 3 4 2" xfId="6718"/>
    <cellStyle name="Note 5 3 3 4 2 2" xfId="13558"/>
    <cellStyle name="Note 5 3 3 4 3" xfId="10138"/>
    <cellStyle name="Note 5 3 3 5" xfId="4438"/>
    <cellStyle name="Note 5 3 3 5 2" xfId="11278"/>
    <cellStyle name="Note 5 3 3 6" xfId="7858"/>
    <cellStyle name="Note 5 3 3 7" xfId="61592"/>
    <cellStyle name="Note 5 3 3 8" xfId="62080"/>
    <cellStyle name="Note 5 3 4" xfId="38327"/>
    <cellStyle name="Note 5 3 5" xfId="56501"/>
    <cellStyle name="Note 5 3 6" xfId="56502"/>
    <cellStyle name="Note 5 3 7" xfId="56503"/>
    <cellStyle name="Note 5 3 8" xfId="61013"/>
    <cellStyle name="Note 5 4" xfId="239"/>
    <cellStyle name="Note 5 4 2" xfId="205"/>
    <cellStyle name="Note 5 4 2 2" xfId="1213"/>
    <cellStyle name="Note 5 4 2 2 2" xfId="1868"/>
    <cellStyle name="Note 5 4 2 2 2 2" xfId="3008"/>
    <cellStyle name="Note 5 4 2 2 2 2 2" xfId="6428"/>
    <cellStyle name="Note 5 4 2 2 2 2 2 2" xfId="13268"/>
    <cellStyle name="Note 5 4 2 2 2 2 3" xfId="9848"/>
    <cellStyle name="Note 5 4 2 2 2 3" xfId="4148"/>
    <cellStyle name="Note 5 4 2 2 2 3 2" xfId="7568"/>
    <cellStyle name="Note 5 4 2 2 2 3 2 2" xfId="14408"/>
    <cellStyle name="Note 5 4 2 2 2 3 3" xfId="10988"/>
    <cellStyle name="Note 5 4 2 2 2 4" xfId="5288"/>
    <cellStyle name="Note 5 4 2 2 2 4 2" xfId="12128"/>
    <cellStyle name="Note 5 4 2 2 2 5" xfId="8708"/>
    <cellStyle name="Note 5 4 2 2 3" xfId="2032"/>
    <cellStyle name="Note 5 4 2 2 3 2" xfId="5452"/>
    <cellStyle name="Note 5 4 2 2 3 2 2" xfId="12292"/>
    <cellStyle name="Note 5 4 2 2 3 3" xfId="8872"/>
    <cellStyle name="Note 5 4 2 2 4" xfId="3172"/>
    <cellStyle name="Note 5 4 2 2 4 2" xfId="6592"/>
    <cellStyle name="Note 5 4 2 2 4 2 2" xfId="13432"/>
    <cellStyle name="Note 5 4 2 2 4 3" xfId="10012"/>
    <cellStyle name="Note 5 4 2 2 5" xfId="4312"/>
    <cellStyle name="Note 5 4 2 2 5 2" xfId="11152"/>
    <cellStyle name="Note 5 4 2 2 6" xfId="7732"/>
    <cellStyle name="Note 5 4 2 2 7" xfId="61590"/>
    <cellStyle name="Note 5 4 2 2 8" xfId="62078"/>
    <cellStyle name="Note 5 4 2 3" xfId="38247"/>
    <cellStyle name="Note 5 4 2 4" xfId="56504"/>
    <cellStyle name="Note 5 4 2 5" xfId="56505"/>
    <cellStyle name="Note 5 4 2 6" xfId="56506"/>
    <cellStyle name="Note 5 4 2 7" xfId="60889"/>
    <cellStyle name="Note 5 4 3" xfId="1246"/>
    <cellStyle name="Note 5 4 3 2" xfId="1005"/>
    <cellStyle name="Note 5 4 3 2 2" xfId="2604"/>
    <cellStyle name="Note 5 4 3 2 2 2" xfId="6024"/>
    <cellStyle name="Note 5 4 3 2 2 2 2" xfId="12864"/>
    <cellStyle name="Note 5 4 3 2 2 3" xfId="9444"/>
    <cellStyle name="Note 5 4 3 2 3" xfId="3744"/>
    <cellStyle name="Note 5 4 3 2 3 2" xfId="7164"/>
    <cellStyle name="Note 5 4 3 2 3 2 2" xfId="14004"/>
    <cellStyle name="Note 5 4 3 2 3 3" xfId="10584"/>
    <cellStyle name="Note 5 4 3 2 4" xfId="4884"/>
    <cellStyle name="Note 5 4 3 2 4 2" xfId="11724"/>
    <cellStyle name="Note 5 4 3 2 5" xfId="8304"/>
    <cellStyle name="Note 5 4 3 3" xfId="2066"/>
    <cellStyle name="Note 5 4 3 3 2" xfId="5486"/>
    <cellStyle name="Note 5 4 3 3 2 2" xfId="12326"/>
    <cellStyle name="Note 5 4 3 3 3" xfId="8906"/>
    <cellStyle name="Note 5 4 3 4" xfId="3206"/>
    <cellStyle name="Note 5 4 3 4 2" xfId="6626"/>
    <cellStyle name="Note 5 4 3 4 2 2" xfId="13466"/>
    <cellStyle name="Note 5 4 3 4 3" xfId="10046"/>
    <cellStyle name="Note 5 4 3 5" xfId="4346"/>
    <cellStyle name="Note 5 4 3 5 2" xfId="11186"/>
    <cellStyle name="Note 5 4 3 6" xfId="7766"/>
    <cellStyle name="Note 5 4 3 7" xfId="61591"/>
    <cellStyle name="Note 5 4 3 8" xfId="62079"/>
    <cellStyle name="Note 5 4 4" xfId="38264"/>
    <cellStyle name="Note 5 4 5" xfId="56507"/>
    <cellStyle name="Note 5 4 6" xfId="56508"/>
    <cellStyle name="Note 5 4 7" xfId="56509"/>
    <cellStyle name="Note 5 4 8" xfId="60922"/>
    <cellStyle name="Note 5 5" xfId="497"/>
    <cellStyle name="Note 5 5 2" xfId="439"/>
    <cellStyle name="Note 5 5 2 2" xfId="1443"/>
    <cellStyle name="Note 5 5 2 2 2" xfId="888"/>
    <cellStyle name="Note 5 5 2 2 2 2" xfId="2798"/>
    <cellStyle name="Note 5 5 2 2 2 2 2" xfId="6218"/>
    <cellStyle name="Note 5 5 2 2 2 2 2 2" xfId="13058"/>
    <cellStyle name="Note 5 5 2 2 2 2 3" xfId="9638"/>
    <cellStyle name="Note 5 5 2 2 2 3" xfId="3938"/>
    <cellStyle name="Note 5 5 2 2 2 3 2" xfId="7358"/>
    <cellStyle name="Note 5 5 2 2 2 3 2 2" xfId="14198"/>
    <cellStyle name="Note 5 5 2 2 2 3 3" xfId="10778"/>
    <cellStyle name="Note 5 5 2 2 2 4" xfId="5078"/>
    <cellStyle name="Note 5 5 2 2 2 4 2" xfId="11918"/>
    <cellStyle name="Note 5 5 2 2 2 5" xfId="8498"/>
    <cellStyle name="Note 5 5 2 2 3" xfId="2264"/>
    <cellStyle name="Note 5 5 2 2 3 2" xfId="5684"/>
    <cellStyle name="Note 5 5 2 2 3 2 2" xfId="12524"/>
    <cellStyle name="Note 5 5 2 2 3 3" xfId="9104"/>
    <cellStyle name="Note 5 5 2 2 4" xfId="3404"/>
    <cellStyle name="Note 5 5 2 2 4 2" xfId="6824"/>
    <cellStyle name="Note 5 5 2 2 4 2 2" xfId="13664"/>
    <cellStyle name="Note 5 5 2 2 4 3" xfId="10244"/>
    <cellStyle name="Note 5 5 2 2 5" xfId="4544"/>
    <cellStyle name="Note 5 5 2 2 5 2" xfId="11384"/>
    <cellStyle name="Note 5 5 2 2 6" xfId="7964"/>
    <cellStyle name="Note 5 5 2 2 7" xfId="61475"/>
    <cellStyle name="Note 5 5 2 2 8" xfId="62036"/>
    <cellStyle name="Note 5 5 2 3" xfId="38402"/>
    <cellStyle name="Note 5 5 2 4" xfId="56510"/>
    <cellStyle name="Note 5 5 2 5" xfId="56511"/>
    <cellStyle name="Note 5 5 2 6" xfId="56512"/>
    <cellStyle name="Note 5 5 2 7" xfId="61119"/>
    <cellStyle name="Note 5 5 3" xfId="1501"/>
    <cellStyle name="Note 5 5 3 2" xfId="859"/>
    <cellStyle name="Note 5 5 3 2 2" xfId="2666"/>
    <cellStyle name="Note 5 5 3 2 2 2" xfId="6086"/>
    <cellStyle name="Note 5 5 3 2 2 2 2" xfId="12926"/>
    <cellStyle name="Note 5 5 3 2 2 3" xfId="9506"/>
    <cellStyle name="Note 5 5 3 2 3" xfId="3806"/>
    <cellStyle name="Note 5 5 3 2 3 2" xfId="7226"/>
    <cellStyle name="Note 5 5 3 2 3 2 2" xfId="14066"/>
    <cellStyle name="Note 5 5 3 2 3 3" xfId="10646"/>
    <cellStyle name="Note 5 5 3 2 4" xfId="4946"/>
    <cellStyle name="Note 5 5 3 2 4 2" xfId="11786"/>
    <cellStyle name="Note 5 5 3 2 5" xfId="8366"/>
    <cellStyle name="Note 5 5 3 3" xfId="2322"/>
    <cellStyle name="Note 5 5 3 3 2" xfId="5742"/>
    <cellStyle name="Note 5 5 3 3 2 2" xfId="12582"/>
    <cellStyle name="Note 5 5 3 3 3" xfId="9162"/>
    <cellStyle name="Note 5 5 3 4" xfId="3462"/>
    <cellStyle name="Note 5 5 3 4 2" xfId="6882"/>
    <cellStyle name="Note 5 5 3 4 2 2" xfId="13722"/>
    <cellStyle name="Note 5 5 3 4 3" xfId="10302"/>
    <cellStyle name="Note 5 5 3 5" xfId="4602"/>
    <cellStyle name="Note 5 5 3 5 2" xfId="11442"/>
    <cellStyle name="Note 5 5 3 6" xfId="8022"/>
    <cellStyle name="Note 5 5 3 7" xfId="61589"/>
    <cellStyle name="Note 5 5 3 8" xfId="62077"/>
    <cellStyle name="Note 5 5 4" xfId="38434"/>
    <cellStyle name="Note 5 5 5" xfId="56513"/>
    <cellStyle name="Note 5 5 6" xfId="56514"/>
    <cellStyle name="Note 5 5 7" xfId="56515"/>
    <cellStyle name="Note 5 5 8" xfId="61177"/>
    <cellStyle name="Note 5 6" xfId="517"/>
    <cellStyle name="Note 5 6 2" xfId="430"/>
    <cellStyle name="Note 5 6 2 2" xfId="1435"/>
    <cellStyle name="Note 5 6 2 2 2" xfId="892"/>
    <cellStyle name="Note 5 6 2 2 2 2" xfId="2533"/>
    <cellStyle name="Note 5 6 2 2 2 2 2" xfId="5953"/>
    <cellStyle name="Note 5 6 2 2 2 2 2 2" xfId="12793"/>
    <cellStyle name="Note 5 6 2 2 2 2 3" xfId="9373"/>
    <cellStyle name="Note 5 6 2 2 2 3" xfId="3673"/>
    <cellStyle name="Note 5 6 2 2 2 3 2" xfId="7093"/>
    <cellStyle name="Note 5 6 2 2 2 3 2 2" xfId="13933"/>
    <cellStyle name="Note 5 6 2 2 2 3 3" xfId="10513"/>
    <cellStyle name="Note 5 6 2 2 2 4" xfId="4813"/>
    <cellStyle name="Note 5 6 2 2 2 4 2" xfId="11653"/>
    <cellStyle name="Note 5 6 2 2 2 5" xfId="8233"/>
    <cellStyle name="Note 5 6 2 2 3" xfId="2256"/>
    <cellStyle name="Note 5 6 2 2 3 2" xfId="5676"/>
    <cellStyle name="Note 5 6 2 2 3 2 2" xfId="12516"/>
    <cellStyle name="Note 5 6 2 2 3 3" xfId="9096"/>
    <cellStyle name="Note 5 6 2 2 4" xfId="3396"/>
    <cellStyle name="Note 5 6 2 2 4 2" xfId="6816"/>
    <cellStyle name="Note 5 6 2 2 4 2 2" xfId="13656"/>
    <cellStyle name="Note 5 6 2 2 4 3" xfId="10236"/>
    <cellStyle name="Note 5 6 2 2 5" xfId="4536"/>
    <cellStyle name="Note 5 6 2 2 5 2" xfId="11376"/>
    <cellStyle name="Note 5 6 2 2 6" xfId="7956"/>
    <cellStyle name="Note 5 6 2 2 7" xfId="61588"/>
    <cellStyle name="Note 5 6 2 2 8" xfId="62076"/>
    <cellStyle name="Note 5 6 2 3" xfId="38396"/>
    <cellStyle name="Note 5 6 2 4" xfId="56516"/>
    <cellStyle name="Note 5 6 2 5" xfId="56517"/>
    <cellStyle name="Note 5 6 2 6" xfId="56518"/>
    <cellStyle name="Note 5 6 2 7" xfId="61111"/>
    <cellStyle name="Note 5 6 3" xfId="1521"/>
    <cellStyle name="Note 5 6 3 2" xfId="1757"/>
    <cellStyle name="Note 5 6 3 2 2" xfId="2897"/>
    <cellStyle name="Note 5 6 3 2 2 2" xfId="6317"/>
    <cellStyle name="Note 5 6 3 2 2 2 2" xfId="13157"/>
    <cellStyle name="Note 5 6 3 2 2 3" xfId="9737"/>
    <cellStyle name="Note 5 6 3 2 3" xfId="4037"/>
    <cellStyle name="Note 5 6 3 2 3 2" xfId="7457"/>
    <cellStyle name="Note 5 6 3 2 3 2 2" xfId="14297"/>
    <cellStyle name="Note 5 6 3 2 3 3" xfId="10877"/>
    <cellStyle name="Note 5 6 3 2 4" xfId="5177"/>
    <cellStyle name="Note 5 6 3 2 4 2" xfId="12017"/>
    <cellStyle name="Note 5 6 3 2 5" xfId="8597"/>
    <cellStyle name="Note 5 6 3 3" xfId="2342"/>
    <cellStyle name="Note 5 6 3 3 2" xfId="5762"/>
    <cellStyle name="Note 5 6 3 3 2 2" xfId="12602"/>
    <cellStyle name="Note 5 6 3 3 3" xfId="9182"/>
    <cellStyle name="Note 5 6 3 4" xfId="3482"/>
    <cellStyle name="Note 5 6 3 4 2" xfId="6902"/>
    <cellStyle name="Note 5 6 3 4 2 2" xfId="13742"/>
    <cellStyle name="Note 5 6 3 4 3" xfId="10322"/>
    <cellStyle name="Note 5 6 3 5" xfId="4622"/>
    <cellStyle name="Note 5 6 3 5 2" xfId="11462"/>
    <cellStyle name="Note 5 6 3 6" xfId="8042"/>
    <cellStyle name="Note 5 6 3 7" xfId="61434"/>
    <cellStyle name="Note 5 6 3 8" xfId="62003"/>
    <cellStyle name="Note 5 6 4" xfId="38442"/>
    <cellStyle name="Note 5 6 5" xfId="56519"/>
    <cellStyle name="Note 5 6 6" xfId="56520"/>
    <cellStyle name="Note 5 6 7" xfId="56521"/>
    <cellStyle name="Note 5 6 8" xfId="61197"/>
    <cellStyle name="Note 5 7" xfId="1123"/>
    <cellStyle name="Note 5 7 2" xfId="745"/>
    <cellStyle name="Note 5 7 2 2" xfId="1955"/>
    <cellStyle name="Note 5 7 2 2 2" xfId="5375"/>
    <cellStyle name="Note 5 7 2 2 2 2" xfId="12215"/>
    <cellStyle name="Note 5 7 2 2 3" xfId="8795"/>
    <cellStyle name="Note 5 7 2 3" xfId="3095"/>
    <cellStyle name="Note 5 7 2 3 2" xfId="6515"/>
    <cellStyle name="Note 5 7 2 3 2 2" xfId="13355"/>
    <cellStyle name="Note 5 7 2 3 3" xfId="9935"/>
    <cellStyle name="Note 5 7 2 4" xfId="4235"/>
    <cellStyle name="Note 5 7 2 4 2" xfId="11075"/>
    <cellStyle name="Note 5 7 2 5" xfId="7655"/>
    <cellStyle name="Note 5 7 3" xfId="1937"/>
    <cellStyle name="Note 5 7 3 2" xfId="5357"/>
    <cellStyle name="Note 5 7 3 2 2" xfId="12197"/>
    <cellStyle name="Note 5 7 3 3" xfId="8777"/>
    <cellStyle name="Note 5 7 4" xfId="3077"/>
    <cellStyle name="Note 5 7 4 2" xfId="6497"/>
    <cellStyle name="Note 5 7 4 2 2" xfId="13337"/>
    <cellStyle name="Note 5 7 4 3" xfId="9917"/>
    <cellStyle name="Note 5 7 5" xfId="4217"/>
    <cellStyle name="Note 5 7 5 2" xfId="11057"/>
    <cellStyle name="Note 5 7 6" xfId="7637"/>
    <cellStyle name="Note 5 7 7" xfId="61874"/>
    <cellStyle name="Note 5 7 8" xfId="62334"/>
    <cellStyle name="Note 5 8" xfId="38198"/>
    <cellStyle name="Note 5 9" xfId="56522"/>
    <cellStyle name="Note 6" xfId="56523"/>
    <cellStyle name="Note 6 2" xfId="56524"/>
    <cellStyle name="Note 6 2 2" xfId="56525"/>
    <cellStyle name="Note 6 2 2 2" xfId="56526"/>
    <cellStyle name="Note 6 2 2 3" xfId="56527"/>
    <cellStyle name="Note 6 2 3" xfId="56528"/>
    <cellStyle name="Note 6 2 4" xfId="56529"/>
    <cellStyle name="Note 6 2 5" xfId="56530"/>
    <cellStyle name="Note 6 2 6" xfId="61838"/>
    <cellStyle name="Note 6 3" xfId="56531"/>
    <cellStyle name="Note 6 3 2" xfId="56532"/>
    <cellStyle name="Note 6 3 3" xfId="56533"/>
    <cellStyle name="Note 6 3 4" xfId="56534"/>
    <cellStyle name="Note 6 4" xfId="56535"/>
    <cellStyle name="Note 6 5" xfId="56536"/>
    <cellStyle name="Note 6 6" xfId="56537"/>
    <cellStyle name="Note 6 7" xfId="61493"/>
    <cellStyle name="Note 7" xfId="56538"/>
    <cellStyle name="Note 7 2" xfId="56539"/>
    <cellStyle name="Note 7 3" xfId="56540"/>
    <cellStyle name="Note 8" xfId="56541"/>
    <cellStyle name="Note 9" xfId="56542"/>
    <cellStyle name="NoteItem" xfId="56543"/>
    <cellStyle name="NoteNum" xfId="56544"/>
    <cellStyle name="Notes_multi" xfId="56545"/>
    <cellStyle name="NoteSection" xfId="56546"/>
    <cellStyle name="NoteSubItem" xfId="56547"/>
    <cellStyle name="NoteSubItemTotal" xfId="56548"/>
    <cellStyle name="NoteSubTotal" xfId="56549"/>
    <cellStyle name="NumResAccts" xfId="56550"/>
    <cellStyle name="NumResAccts 2" xfId="56551"/>
    <cellStyle name="NumResAccts_x000a_NA_x000d__x000a_" xfId="56552"/>
    <cellStyle name="OPa" xfId="56553"/>
    <cellStyle name="OPa 2" xfId="56554"/>
    <cellStyle name="OPa 2 2" xfId="56555"/>
    <cellStyle name="OPa 2 3" xfId="56556"/>
    <cellStyle name="OPa 3" xfId="56557"/>
    <cellStyle name="OPa 4" xfId="56558"/>
    <cellStyle name="OPb" xfId="56559"/>
    <cellStyle name="OPb 2" xfId="56560"/>
    <cellStyle name="OPb 2 2" xfId="56561"/>
    <cellStyle name="OPb 2 3" xfId="56562"/>
    <cellStyle name="OPb 3" xfId="56563"/>
    <cellStyle name="OPb 4" xfId="56564"/>
    <cellStyle name="OpenBals" xfId="56565"/>
    <cellStyle name="OpenBals 2" xfId="56566"/>
    <cellStyle name="OpenBals 2 2" xfId="56567"/>
    <cellStyle name="OpenBals 3" xfId="56568"/>
    <cellStyle name="OpeningBals" xfId="56569"/>
    <cellStyle name="OpeningBals 2" xfId="56570"/>
    <cellStyle name="OpSub" xfId="56571"/>
    <cellStyle name="OpSub 2" xfId="56572"/>
    <cellStyle name="Option" xfId="56573"/>
    <cellStyle name="Output 10" xfId="62399"/>
    <cellStyle name="Output 2" xfId="42"/>
    <cellStyle name="Output 2 10" xfId="1092"/>
    <cellStyle name="Output 2 10 10" xfId="14723"/>
    <cellStyle name="Output 2 10 11" xfId="23085"/>
    <cellStyle name="Output 2 10 2" xfId="1084"/>
    <cellStyle name="Output 2 10 2 2" xfId="2685"/>
    <cellStyle name="Output 2 10 2 2 2" xfId="6105"/>
    <cellStyle name="Output 2 10 2 2 2 2" xfId="12945"/>
    <cellStyle name="Output 2 10 2 2 3" xfId="9525"/>
    <cellStyle name="Output 2 10 2 3" xfId="3825"/>
    <cellStyle name="Output 2 10 2 3 2" xfId="7245"/>
    <cellStyle name="Output 2 10 2 3 2 2" xfId="14085"/>
    <cellStyle name="Output 2 10 2 3 3" xfId="10665"/>
    <cellStyle name="Output 2 10 2 4" xfId="4965"/>
    <cellStyle name="Output 2 10 2 4 2" xfId="11805"/>
    <cellStyle name="Output 2 10 2 5" xfId="8385"/>
    <cellStyle name="Output 2 10 2 6" xfId="15804"/>
    <cellStyle name="Output 2 10 2 7" xfId="24120"/>
    <cellStyle name="Output 2 10 2 8" xfId="31408"/>
    <cellStyle name="Output 2 10 3" xfId="1897"/>
    <cellStyle name="Output 2 10 3 2" xfId="5317"/>
    <cellStyle name="Output 2 10 3 2 2" xfId="12157"/>
    <cellStyle name="Output 2 10 3 2 3" xfId="56574"/>
    <cellStyle name="Output 2 10 3 3" xfId="8737"/>
    <cellStyle name="Output 2 10 3 4" xfId="16770"/>
    <cellStyle name="Output 2 10 3 5" xfId="25092"/>
    <cellStyle name="Output 2 10 3 6" xfId="32341"/>
    <cellStyle name="Output 2 10 4" xfId="3037"/>
    <cellStyle name="Output 2 10 4 2" xfId="6457"/>
    <cellStyle name="Output 2 10 4 2 2" xfId="13297"/>
    <cellStyle name="Output 2 10 4 2 3" xfId="56575"/>
    <cellStyle name="Output 2 10 4 3" xfId="9877"/>
    <cellStyle name="Output 2 10 4 4" xfId="17794"/>
    <cellStyle name="Output 2 10 4 5" xfId="26118"/>
    <cellStyle name="Output 2 10 4 6" xfId="33318"/>
    <cellStyle name="Output 2 10 5" xfId="4177"/>
    <cellStyle name="Output 2 10 5 2" xfId="11017"/>
    <cellStyle name="Output 2 10 5 2 2" xfId="56576"/>
    <cellStyle name="Output 2 10 5 2 3" xfId="56577"/>
    <cellStyle name="Output 2 10 5 3" xfId="18778"/>
    <cellStyle name="Output 2 10 5 4" xfId="27099"/>
    <cellStyle name="Output 2 10 5 5" xfId="34258"/>
    <cellStyle name="Output 2 10 6" xfId="7597"/>
    <cellStyle name="Output 2 10 6 2" xfId="19747"/>
    <cellStyle name="Output 2 10 6 2 2" xfId="56578"/>
    <cellStyle name="Output 2 10 6 2 3" xfId="56579"/>
    <cellStyle name="Output 2 10 6 3" xfId="28068"/>
    <cellStyle name="Output 2 10 6 4" xfId="35204"/>
    <cellStyle name="Output 2 10 7" xfId="20704"/>
    <cellStyle name="Output 2 10 7 2" xfId="29025"/>
    <cellStyle name="Output 2 10 7 2 2" xfId="56580"/>
    <cellStyle name="Output 2 10 7 2 3" xfId="56581"/>
    <cellStyle name="Output 2 10 7 3" xfId="36118"/>
    <cellStyle name="Output 2 10 7 4" xfId="56582"/>
    <cellStyle name="Output 2 10 8" xfId="21145"/>
    <cellStyle name="Output 2 10 8 2" xfId="29457"/>
    <cellStyle name="Output 2 10 8 2 2" xfId="56583"/>
    <cellStyle name="Output 2 10 8 2 3" xfId="56584"/>
    <cellStyle name="Output 2 10 8 3" xfId="36529"/>
    <cellStyle name="Output 2 10 8 4" xfId="56585"/>
    <cellStyle name="Output 2 10 9" xfId="22140"/>
    <cellStyle name="Output 2 10 9 2" xfId="30438"/>
    <cellStyle name="Output 2 10 9 3" xfId="37469"/>
    <cellStyle name="Output 2 11" xfId="14800"/>
    <cellStyle name="Output 2 11 10" xfId="23164"/>
    <cellStyle name="Output 2 11 11" xfId="56586"/>
    <cellStyle name="Output 2 11 2" xfId="15881"/>
    <cellStyle name="Output 2 11 2 2" xfId="24199"/>
    <cellStyle name="Output 2 11 2 2 2" xfId="56587"/>
    <cellStyle name="Output 2 11 2 2 3" xfId="56588"/>
    <cellStyle name="Output 2 11 2 3" xfId="31485"/>
    <cellStyle name="Output 2 11 2 4" xfId="56589"/>
    <cellStyle name="Output 2 11 3" xfId="16847"/>
    <cellStyle name="Output 2 11 3 2" xfId="25171"/>
    <cellStyle name="Output 2 11 3 2 2" xfId="56590"/>
    <cellStyle name="Output 2 11 3 2 3" xfId="56591"/>
    <cellStyle name="Output 2 11 3 3" xfId="32418"/>
    <cellStyle name="Output 2 11 3 4" xfId="56592"/>
    <cellStyle name="Output 2 11 4" xfId="17874"/>
    <cellStyle name="Output 2 11 4 2" xfId="26197"/>
    <cellStyle name="Output 2 11 4 2 2" xfId="56593"/>
    <cellStyle name="Output 2 11 4 2 3" xfId="56594"/>
    <cellStyle name="Output 2 11 4 3" xfId="33395"/>
    <cellStyle name="Output 2 11 4 4" xfId="56595"/>
    <cellStyle name="Output 2 11 5" xfId="18858"/>
    <cellStyle name="Output 2 11 5 2" xfId="27178"/>
    <cellStyle name="Output 2 11 5 2 2" xfId="56596"/>
    <cellStyle name="Output 2 11 5 2 3" xfId="56597"/>
    <cellStyle name="Output 2 11 5 3" xfId="34335"/>
    <cellStyle name="Output 2 11 5 4" xfId="56598"/>
    <cellStyle name="Output 2 11 6" xfId="19826"/>
    <cellStyle name="Output 2 11 6 2" xfId="28148"/>
    <cellStyle name="Output 2 11 6 2 2" xfId="56599"/>
    <cellStyle name="Output 2 11 6 2 3" xfId="56600"/>
    <cellStyle name="Output 2 11 6 3" xfId="35282"/>
    <cellStyle name="Output 2 11 6 4" xfId="56601"/>
    <cellStyle name="Output 2 11 7" xfId="20784"/>
    <cellStyle name="Output 2 11 7 2" xfId="29104"/>
    <cellStyle name="Output 2 11 7 2 2" xfId="56602"/>
    <cellStyle name="Output 2 11 7 2 3" xfId="56603"/>
    <cellStyle name="Output 2 11 7 3" xfId="36194"/>
    <cellStyle name="Output 2 11 7 4" xfId="56604"/>
    <cellStyle name="Output 2 11 8" xfId="21126"/>
    <cellStyle name="Output 2 11 8 2" xfId="29440"/>
    <cellStyle name="Output 2 11 8 2 2" xfId="56605"/>
    <cellStyle name="Output 2 11 8 2 3" xfId="56606"/>
    <cellStyle name="Output 2 11 8 3" xfId="36513"/>
    <cellStyle name="Output 2 11 8 4" xfId="56607"/>
    <cellStyle name="Output 2 11 9" xfId="22220"/>
    <cellStyle name="Output 2 11 9 2" xfId="30518"/>
    <cellStyle name="Output 2 11 9 3" xfId="37546"/>
    <cellStyle name="Output 2 12" xfId="14860"/>
    <cellStyle name="Output 2 12 10" xfId="23223"/>
    <cellStyle name="Output 2 12 11" xfId="56608"/>
    <cellStyle name="Output 2 12 2" xfId="15941"/>
    <cellStyle name="Output 2 12 2 2" xfId="24258"/>
    <cellStyle name="Output 2 12 2 2 2" xfId="56609"/>
    <cellStyle name="Output 2 12 2 2 3" xfId="56610"/>
    <cellStyle name="Output 2 12 2 3" xfId="31542"/>
    <cellStyle name="Output 2 12 2 4" xfId="56611"/>
    <cellStyle name="Output 2 12 3" xfId="16907"/>
    <cellStyle name="Output 2 12 3 2" xfId="25230"/>
    <cellStyle name="Output 2 12 3 2 2" xfId="56612"/>
    <cellStyle name="Output 2 12 3 2 3" xfId="56613"/>
    <cellStyle name="Output 2 12 3 3" xfId="32475"/>
    <cellStyle name="Output 2 12 3 4" xfId="56614"/>
    <cellStyle name="Output 2 12 4" xfId="17934"/>
    <cellStyle name="Output 2 12 4 2" xfId="26256"/>
    <cellStyle name="Output 2 12 4 2 2" xfId="56615"/>
    <cellStyle name="Output 2 12 4 2 3" xfId="56616"/>
    <cellStyle name="Output 2 12 4 3" xfId="33452"/>
    <cellStyle name="Output 2 12 4 4" xfId="56617"/>
    <cellStyle name="Output 2 12 5" xfId="18918"/>
    <cellStyle name="Output 2 12 5 2" xfId="27238"/>
    <cellStyle name="Output 2 12 5 2 2" xfId="56618"/>
    <cellStyle name="Output 2 12 5 2 3" xfId="56619"/>
    <cellStyle name="Output 2 12 5 3" xfId="34393"/>
    <cellStyle name="Output 2 12 5 4" xfId="56620"/>
    <cellStyle name="Output 2 12 6" xfId="19886"/>
    <cellStyle name="Output 2 12 6 2" xfId="28208"/>
    <cellStyle name="Output 2 12 6 2 2" xfId="56621"/>
    <cellStyle name="Output 2 12 6 2 3" xfId="56622"/>
    <cellStyle name="Output 2 12 6 3" xfId="35340"/>
    <cellStyle name="Output 2 12 6 4" xfId="56623"/>
    <cellStyle name="Output 2 12 7" xfId="20844"/>
    <cellStyle name="Output 2 12 7 2" xfId="29163"/>
    <cellStyle name="Output 2 12 7 2 2" xfId="56624"/>
    <cellStyle name="Output 2 12 7 2 3" xfId="56625"/>
    <cellStyle name="Output 2 12 7 3" xfId="36250"/>
    <cellStyle name="Output 2 12 7 4" xfId="56626"/>
    <cellStyle name="Output 2 12 8" xfId="15535"/>
    <cellStyle name="Output 2 12 8 2" xfId="23871"/>
    <cellStyle name="Output 2 12 8 2 2" xfId="56627"/>
    <cellStyle name="Output 2 12 8 2 3" xfId="56628"/>
    <cellStyle name="Output 2 12 8 3" xfId="31216"/>
    <cellStyle name="Output 2 12 8 4" xfId="56629"/>
    <cellStyle name="Output 2 12 9" xfId="22279"/>
    <cellStyle name="Output 2 12 9 2" xfId="30577"/>
    <cellStyle name="Output 2 12 9 3" xfId="37603"/>
    <cellStyle name="Output 2 13" xfId="14733"/>
    <cellStyle name="Output 2 13 10" xfId="23097"/>
    <cellStyle name="Output 2 13 11" xfId="56630"/>
    <cellStyle name="Output 2 13 2" xfId="15814"/>
    <cellStyle name="Output 2 13 2 2" xfId="24132"/>
    <cellStyle name="Output 2 13 2 2 2" xfId="56631"/>
    <cellStyle name="Output 2 13 2 2 3" xfId="56632"/>
    <cellStyle name="Output 2 13 2 3" xfId="31420"/>
    <cellStyle name="Output 2 13 2 4" xfId="56633"/>
    <cellStyle name="Output 2 13 3" xfId="16780"/>
    <cellStyle name="Output 2 13 3 2" xfId="25104"/>
    <cellStyle name="Output 2 13 3 2 2" xfId="56634"/>
    <cellStyle name="Output 2 13 3 2 3" xfId="56635"/>
    <cellStyle name="Output 2 13 3 3" xfId="32353"/>
    <cellStyle name="Output 2 13 3 4" xfId="56636"/>
    <cellStyle name="Output 2 13 4" xfId="17806"/>
    <cellStyle name="Output 2 13 4 2" xfId="26130"/>
    <cellStyle name="Output 2 13 4 2 2" xfId="56637"/>
    <cellStyle name="Output 2 13 4 2 3" xfId="56638"/>
    <cellStyle name="Output 2 13 4 3" xfId="33330"/>
    <cellStyle name="Output 2 13 4 4" xfId="56639"/>
    <cellStyle name="Output 2 13 5" xfId="18790"/>
    <cellStyle name="Output 2 13 5 2" xfId="27111"/>
    <cellStyle name="Output 2 13 5 2 2" xfId="56640"/>
    <cellStyle name="Output 2 13 5 2 3" xfId="56641"/>
    <cellStyle name="Output 2 13 5 3" xfId="34270"/>
    <cellStyle name="Output 2 13 5 4" xfId="56642"/>
    <cellStyle name="Output 2 13 6" xfId="19758"/>
    <cellStyle name="Output 2 13 6 2" xfId="28080"/>
    <cellStyle name="Output 2 13 6 2 2" xfId="56643"/>
    <cellStyle name="Output 2 13 6 2 3" xfId="56644"/>
    <cellStyle name="Output 2 13 6 3" xfId="35216"/>
    <cellStyle name="Output 2 13 6 4" xfId="56645"/>
    <cellStyle name="Output 2 13 7" xfId="20716"/>
    <cellStyle name="Output 2 13 7 2" xfId="29037"/>
    <cellStyle name="Output 2 13 7 2 2" xfId="56646"/>
    <cellStyle name="Output 2 13 7 2 3" xfId="56647"/>
    <cellStyle name="Output 2 13 7 3" xfId="36130"/>
    <cellStyle name="Output 2 13 7 4" xfId="56648"/>
    <cellStyle name="Output 2 13 8" xfId="21192"/>
    <cellStyle name="Output 2 13 8 2" xfId="29504"/>
    <cellStyle name="Output 2 13 8 2 2" xfId="56649"/>
    <cellStyle name="Output 2 13 8 2 3" xfId="56650"/>
    <cellStyle name="Output 2 13 8 3" xfId="36575"/>
    <cellStyle name="Output 2 13 8 4" xfId="56651"/>
    <cellStyle name="Output 2 13 9" xfId="22152"/>
    <cellStyle name="Output 2 13 9 2" xfId="30450"/>
    <cellStyle name="Output 2 13 9 3" xfId="37481"/>
    <cellStyle name="Output 2 14" xfId="14945"/>
    <cellStyle name="Output 2 14 10" xfId="23308"/>
    <cellStyle name="Output 2 14 11" xfId="56652"/>
    <cellStyle name="Output 2 14 2" xfId="16026"/>
    <cellStyle name="Output 2 14 2 2" xfId="24343"/>
    <cellStyle name="Output 2 14 2 2 2" xfId="56653"/>
    <cellStyle name="Output 2 14 2 2 3" xfId="56654"/>
    <cellStyle name="Output 2 14 2 3" xfId="31623"/>
    <cellStyle name="Output 2 14 2 4" xfId="56655"/>
    <cellStyle name="Output 2 14 3" xfId="16992"/>
    <cellStyle name="Output 2 14 3 2" xfId="25315"/>
    <cellStyle name="Output 2 14 3 2 2" xfId="56656"/>
    <cellStyle name="Output 2 14 3 2 3" xfId="56657"/>
    <cellStyle name="Output 2 14 3 3" xfId="32556"/>
    <cellStyle name="Output 2 14 3 4" xfId="56658"/>
    <cellStyle name="Output 2 14 4" xfId="18019"/>
    <cellStyle name="Output 2 14 4 2" xfId="26341"/>
    <cellStyle name="Output 2 14 4 2 2" xfId="56659"/>
    <cellStyle name="Output 2 14 4 2 3" xfId="56660"/>
    <cellStyle name="Output 2 14 4 3" xfId="33533"/>
    <cellStyle name="Output 2 14 4 4" xfId="56661"/>
    <cellStyle name="Output 2 14 5" xfId="19003"/>
    <cellStyle name="Output 2 14 5 2" xfId="27323"/>
    <cellStyle name="Output 2 14 5 2 2" xfId="56662"/>
    <cellStyle name="Output 2 14 5 2 3" xfId="56663"/>
    <cellStyle name="Output 2 14 5 3" xfId="34474"/>
    <cellStyle name="Output 2 14 5 4" xfId="56664"/>
    <cellStyle name="Output 2 14 6" xfId="19971"/>
    <cellStyle name="Output 2 14 6 2" xfId="28293"/>
    <cellStyle name="Output 2 14 6 2 2" xfId="56665"/>
    <cellStyle name="Output 2 14 6 2 3" xfId="56666"/>
    <cellStyle name="Output 2 14 6 3" xfId="35421"/>
    <cellStyle name="Output 2 14 6 4" xfId="56667"/>
    <cellStyle name="Output 2 14 7" xfId="20929"/>
    <cellStyle name="Output 2 14 7 2" xfId="29248"/>
    <cellStyle name="Output 2 14 7 2 2" xfId="56668"/>
    <cellStyle name="Output 2 14 7 2 3" xfId="56669"/>
    <cellStyle name="Output 2 14 7 3" xfId="36331"/>
    <cellStyle name="Output 2 14 7 4" xfId="56670"/>
    <cellStyle name="Output 2 14 8" xfId="21436"/>
    <cellStyle name="Output 2 14 8 2" xfId="29739"/>
    <cellStyle name="Output 2 14 8 2 2" xfId="56671"/>
    <cellStyle name="Output 2 14 8 2 3" xfId="56672"/>
    <cellStyle name="Output 2 14 8 3" xfId="36801"/>
    <cellStyle name="Output 2 14 8 4" xfId="56673"/>
    <cellStyle name="Output 2 14 9" xfId="22364"/>
    <cellStyle name="Output 2 14 9 2" xfId="30662"/>
    <cellStyle name="Output 2 14 9 3" xfId="37684"/>
    <cellStyle name="Output 2 15" xfId="15017"/>
    <cellStyle name="Output 2 15 10" xfId="23377"/>
    <cellStyle name="Output 2 15 11" xfId="56674"/>
    <cellStyle name="Output 2 15 2" xfId="16097"/>
    <cellStyle name="Output 2 15 2 2" xfId="24412"/>
    <cellStyle name="Output 2 15 2 2 2" xfId="56675"/>
    <cellStyle name="Output 2 15 2 2 3" xfId="56676"/>
    <cellStyle name="Output 2 15 2 3" xfId="31690"/>
    <cellStyle name="Output 2 15 2 4" xfId="56677"/>
    <cellStyle name="Output 2 15 3" xfId="17064"/>
    <cellStyle name="Output 2 15 3 2" xfId="25385"/>
    <cellStyle name="Output 2 15 3 2 2" xfId="56678"/>
    <cellStyle name="Output 2 15 3 2 3" xfId="56679"/>
    <cellStyle name="Output 2 15 3 3" xfId="32624"/>
    <cellStyle name="Output 2 15 3 4" xfId="56680"/>
    <cellStyle name="Output 2 15 4" xfId="18091"/>
    <cellStyle name="Output 2 15 4 2" xfId="26411"/>
    <cellStyle name="Output 2 15 4 2 2" xfId="56681"/>
    <cellStyle name="Output 2 15 4 2 3" xfId="56682"/>
    <cellStyle name="Output 2 15 4 3" xfId="33601"/>
    <cellStyle name="Output 2 15 4 4" xfId="56683"/>
    <cellStyle name="Output 2 15 5" xfId="19075"/>
    <cellStyle name="Output 2 15 5 2" xfId="27395"/>
    <cellStyle name="Output 2 15 5 2 2" xfId="56684"/>
    <cellStyle name="Output 2 15 5 2 3" xfId="56685"/>
    <cellStyle name="Output 2 15 5 3" xfId="34544"/>
    <cellStyle name="Output 2 15 5 4" xfId="56686"/>
    <cellStyle name="Output 2 15 6" xfId="20043"/>
    <cellStyle name="Output 2 15 6 2" xfId="28365"/>
    <cellStyle name="Output 2 15 6 2 2" xfId="56687"/>
    <cellStyle name="Output 2 15 6 2 3" xfId="56688"/>
    <cellStyle name="Output 2 15 6 3" xfId="35491"/>
    <cellStyle name="Output 2 15 6 4" xfId="56689"/>
    <cellStyle name="Output 2 15 7" xfId="21000"/>
    <cellStyle name="Output 2 15 7 2" xfId="29317"/>
    <cellStyle name="Output 2 15 7 2 2" xfId="56690"/>
    <cellStyle name="Output 2 15 7 2 3" xfId="56691"/>
    <cellStyle name="Output 2 15 7 3" xfId="36398"/>
    <cellStyle name="Output 2 15 7 4" xfId="56692"/>
    <cellStyle name="Output 2 15 8" xfId="21507"/>
    <cellStyle name="Output 2 15 8 2" xfId="29808"/>
    <cellStyle name="Output 2 15 8 2 2" xfId="56693"/>
    <cellStyle name="Output 2 15 8 2 3" xfId="56694"/>
    <cellStyle name="Output 2 15 8 3" xfId="36868"/>
    <cellStyle name="Output 2 15 8 4" xfId="56695"/>
    <cellStyle name="Output 2 15 9" xfId="22435"/>
    <cellStyle name="Output 2 15 9 2" xfId="30731"/>
    <cellStyle name="Output 2 15 9 3" xfId="37751"/>
    <cellStyle name="Output 2 16" xfId="15042"/>
    <cellStyle name="Output 2 16 10" xfId="23402"/>
    <cellStyle name="Output 2 16 11" xfId="56696"/>
    <cellStyle name="Output 2 16 2" xfId="16122"/>
    <cellStyle name="Output 2 16 2 2" xfId="24437"/>
    <cellStyle name="Output 2 16 2 2 2" xfId="56697"/>
    <cellStyle name="Output 2 16 2 2 3" xfId="56698"/>
    <cellStyle name="Output 2 16 2 3" xfId="31714"/>
    <cellStyle name="Output 2 16 2 4" xfId="56699"/>
    <cellStyle name="Output 2 16 3" xfId="17089"/>
    <cellStyle name="Output 2 16 3 2" xfId="25410"/>
    <cellStyle name="Output 2 16 3 2 2" xfId="56700"/>
    <cellStyle name="Output 2 16 3 2 3" xfId="56701"/>
    <cellStyle name="Output 2 16 3 3" xfId="32648"/>
    <cellStyle name="Output 2 16 3 4" xfId="56702"/>
    <cellStyle name="Output 2 16 4" xfId="18116"/>
    <cellStyle name="Output 2 16 4 2" xfId="26436"/>
    <cellStyle name="Output 2 16 4 2 2" xfId="56703"/>
    <cellStyle name="Output 2 16 4 2 3" xfId="56704"/>
    <cellStyle name="Output 2 16 4 3" xfId="33625"/>
    <cellStyle name="Output 2 16 4 4" xfId="56705"/>
    <cellStyle name="Output 2 16 5" xfId="19100"/>
    <cellStyle name="Output 2 16 5 2" xfId="27420"/>
    <cellStyle name="Output 2 16 5 2 2" xfId="56706"/>
    <cellStyle name="Output 2 16 5 2 3" xfId="56707"/>
    <cellStyle name="Output 2 16 5 3" xfId="34568"/>
    <cellStyle name="Output 2 16 5 4" xfId="56708"/>
    <cellStyle name="Output 2 16 6" xfId="20068"/>
    <cellStyle name="Output 2 16 6 2" xfId="28390"/>
    <cellStyle name="Output 2 16 6 2 2" xfId="56709"/>
    <cellStyle name="Output 2 16 6 2 3" xfId="56710"/>
    <cellStyle name="Output 2 16 6 3" xfId="35515"/>
    <cellStyle name="Output 2 16 6 4" xfId="56711"/>
    <cellStyle name="Output 2 16 7" xfId="21025"/>
    <cellStyle name="Output 2 16 7 2" xfId="29342"/>
    <cellStyle name="Output 2 16 7 2 2" xfId="56712"/>
    <cellStyle name="Output 2 16 7 2 3" xfId="56713"/>
    <cellStyle name="Output 2 16 7 3" xfId="36422"/>
    <cellStyle name="Output 2 16 7 4" xfId="56714"/>
    <cellStyle name="Output 2 16 8" xfId="21532"/>
    <cellStyle name="Output 2 16 8 2" xfId="29833"/>
    <cellStyle name="Output 2 16 8 2 2" xfId="56715"/>
    <cellStyle name="Output 2 16 8 2 3" xfId="56716"/>
    <cellStyle name="Output 2 16 8 3" xfId="36892"/>
    <cellStyle name="Output 2 16 8 4" xfId="56717"/>
    <cellStyle name="Output 2 16 9" xfId="22460"/>
    <cellStyle name="Output 2 16 9 2" xfId="30756"/>
    <cellStyle name="Output 2 16 9 3" xfId="37775"/>
    <cellStyle name="Output 2 17" xfId="15125"/>
    <cellStyle name="Output 2 17 10" xfId="56718"/>
    <cellStyle name="Output 2 17 2" xfId="16205"/>
    <cellStyle name="Output 2 17 2 2" xfId="24518"/>
    <cellStyle name="Output 2 17 2 2 2" xfId="56719"/>
    <cellStyle name="Output 2 17 2 2 3" xfId="56720"/>
    <cellStyle name="Output 2 17 2 3" xfId="31795"/>
    <cellStyle name="Output 2 17 2 4" xfId="56721"/>
    <cellStyle name="Output 2 17 3" xfId="17171"/>
    <cellStyle name="Output 2 17 3 2" xfId="25492"/>
    <cellStyle name="Output 2 17 3 2 2" xfId="56722"/>
    <cellStyle name="Output 2 17 3 2 3" xfId="56723"/>
    <cellStyle name="Output 2 17 3 3" xfId="32728"/>
    <cellStyle name="Output 2 17 3 4" xfId="56724"/>
    <cellStyle name="Output 2 17 4" xfId="18199"/>
    <cellStyle name="Output 2 17 4 2" xfId="26519"/>
    <cellStyle name="Output 2 17 4 2 2" xfId="56725"/>
    <cellStyle name="Output 2 17 4 2 3" xfId="56726"/>
    <cellStyle name="Output 2 17 4 3" xfId="33706"/>
    <cellStyle name="Output 2 17 4 4" xfId="56727"/>
    <cellStyle name="Output 2 17 5" xfId="19183"/>
    <cellStyle name="Output 2 17 5 2" xfId="27503"/>
    <cellStyle name="Output 2 17 5 2 2" xfId="56728"/>
    <cellStyle name="Output 2 17 5 2 3" xfId="56729"/>
    <cellStyle name="Output 2 17 5 3" xfId="34651"/>
    <cellStyle name="Output 2 17 5 4" xfId="56730"/>
    <cellStyle name="Output 2 17 6" xfId="20151"/>
    <cellStyle name="Output 2 17 6 2" xfId="28473"/>
    <cellStyle name="Output 2 17 6 2 2" xfId="56731"/>
    <cellStyle name="Output 2 17 6 2 3" xfId="56732"/>
    <cellStyle name="Output 2 17 6 3" xfId="35598"/>
    <cellStyle name="Output 2 17 6 4" xfId="56733"/>
    <cellStyle name="Output 2 17 7" xfId="21612"/>
    <cellStyle name="Output 2 17 7 2" xfId="29913"/>
    <cellStyle name="Output 2 17 7 2 2" xfId="56734"/>
    <cellStyle name="Output 2 17 7 2 3" xfId="56735"/>
    <cellStyle name="Output 2 17 7 3" xfId="36972"/>
    <cellStyle name="Output 2 17 7 4" xfId="56736"/>
    <cellStyle name="Output 2 17 8" xfId="22540"/>
    <cellStyle name="Output 2 17 8 2" xfId="30836"/>
    <cellStyle name="Output 2 17 8 3" xfId="37855"/>
    <cellStyle name="Output 2 17 9" xfId="23482"/>
    <cellStyle name="Output 2 18" xfId="15174"/>
    <cellStyle name="Output 2 18 10" xfId="56737"/>
    <cellStyle name="Output 2 18 2" xfId="16254"/>
    <cellStyle name="Output 2 18 2 2" xfId="24567"/>
    <cellStyle name="Output 2 18 2 2 2" xfId="56738"/>
    <cellStyle name="Output 2 18 2 2 3" xfId="56739"/>
    <cellStyle name="Output 2 18 2 3" xfId="31839"/>
    <cellStyle name="Output 2 18 2 4" xfId="56740"/>
    <cellStyle name="Output 2 18 3" xfId="17220"/>
    <cellStyle name="Output 2 18 3 2" xfId="25541"/>
    <cellStyle name="Output 2 18 3 2 2" xfId="56741"/>
    <cellStyle name="Output 2 18 3 2 3" xfId="56742"/>
    <cellStyle name="Output 2 18 3 3" xfId="32772"/>
    <cellStyle name="Output 2 18 3 4" xfId="56743"/>
    <cellStyle name="Output 2 18 4" xfId="18248"/>
    <cellStyle name="Output 2 18 4 2" xfId="26568"/>
    <cellStyle name="Output 2 18 4 2 2" xfId="56744"/>
    <cellStyle name="Output 2 18 4 2 3" xfId="56745"/>
    <cellStyle name="Output 2 18 4 3" xfId="33750"/>
    <cellStyle name="Output 2 18 4 4" xfId="56746"/>
    <cellStyle name="Output 2 18 5" xfId="19232"/>
    <cellStyle name="Output 2 18 5 2" xfId="27552"/>
    <cellStyle name="Output 2 18 5 2 2" xfId="56747"/>
    <cellStyle name="Output 2 18 5 2 3" xfId="56748"/>
    <cellStyle name="Output 2 18 5 3" xfId="34700"/>
    <cellStyle name="Output 2 18 5 4" xfId="56749"/>
    <cellStyle name="Output 2 18 6" xfId="20200"/>
    <cellStyle name="Output 2 18 6 2" xfId="28522"/>
    <cellStyle name="Output 2 18 6 2 2" xfId="56750"/>
    <cellStyle name="Output 2 18 6 2 3" xfId="56751"/>
    <cellStyle name="Output 2 18 6 3" xfId="35642"/>
    <cellStyle name="Output 2 18 6 4" xfId="56752"/>
    <cellStyle name="Output 2 18 7" xfId="21661"/>
    <cellStyle name="Output 2 18 7 2" xfId="29962"/>
    <cellStyle name="Output 2 18 7 2 2" xfId="56753"/>
    <cellStyle name="Output 2 18 7 2 3" xfId="56754"/>
    <cellStyle name="Output 2 18 7 3" xfId="37016"/>
    <cellStyle name="Output 2 18 7 4" xfId="56755"/>
    <cellStyle name="Output 2 18 8" xfId="22589"/>
    <cellStyle name="Output 2 18 8 2" xfId="30885"/>
    <cellStyle name="Output 2 18 8 3" xfId="37899"/>
    <cellStyle name="Output 2 18 9" xfId="23531"/>
    <cellStyle name="Output 2 19" xfId="15132"/>
    <cellStyle name="Output 2 19 10" xfId="56756"/>
    <cellStyle name="Output 2 19 2" xfId="16212"/>
    <cellStyle name="Output 2 19 2 2" xfId="24525"/>
    <cellStyle name="Output 2 19 2 2 2" xfId="56757"/>
    <cellStyle name="Output 2 19 2 2 3" xfId="56758"/>
    <cellStyle name="Output 2 19 2 3" xfId="31801"/>
    <cellStyle name="Output 2 19 2 4" xfId="56759"/>
    <cellStyle name="Output 2 19 3" xfId="17178"/>
    <cellStyle name="Output 2 19 3 2" xfId="25499"/>
    <cellStyle name="Output 2 19 3 2 2" xfId="56760"/>
    <cellStyle name="Output 2 19 3 2 3" xfId="56761"/>
    <cellStyle name="Output 2 19 3 3" xfId="32734"/>
    <cellStyle name="Output 2 19 3 4" xfId="56762"/>
    <cellStyle name="Output 2 19 4" xfId="18206"/>
    <cellStyle name="Output 2 19 4 2" xfId="26526"/>
    <cellStyle name="Output 2 19 4 2 2" xfId="56763"/>
    <cellStyle name="Output 2 19 4 2 3" xfId="56764"/>
    <cellStyle name="Output 2 19 4 3" xfId="33712"/>
    <cellStyle name="Output 2 19 4 4" xfId="56765"/>
    <cellStyle name="Output 2 19 5" xfId="19190"/>
    <cellStyle name="Output 2 19 5 2" xfId="27510"/>
    <cellStyle name="Output 2 19 5 2 2" xfId="56766"/>
    <cellStyle name="Output 2 19 5 2 3" xfId="56767"/>
    <cellStyle name="Output 2 19 5 3" xfId="34658"/>
    <cellStyle name="Output 2 19 5 4" xfId="56768"/>
    <cellStyle name="Output 2 19 6" xfId="20158"/>
    <cellStyle name="Output 2 19 6 2" xfId="28480"/>
    <cellStyle name="Output 2 19 6 2 2" xfId="56769"/>
    <cellStyle name="Output 2 19 6 2 3" xfId="56770"/>
    <cellStyle name="Output 2 19 6 3" xfId="35604"/>
    <cellStyle name="Output 2 19 6 4" xfId="56771"/>
    <cellStyle name="Output 2 19 7" xfId="21619"/>
    <cellStyle name="Output 2 19 7 2" xfId="29920"/>
    <cellStyle name="Output 2 19 7 2 2" xfId="56772"/>
    <cellStyle name="Output 2 19 7 2 3" xfId="56773"/>
    <cellStyle name="Output 2 19 7 3" xfId="36978"/>
    <cellStyle name="Output 2 19 7 4" xfId="56774"/>
    <cellStyle name="Output 2 19 8" xfId="22547"/>
    <cellStyle name="Output 2 19 8 2" xfId="30843"/>
    <cellStyle name="Output 2 19 8 3" xfId="37861"/>
    <cellStyle name="Output 2 19 9" xfId="23489"/>
    <cellStyle name="Output 2 2" xfId="56"/>
    <cellStyle name="Output 2 2 10" xfId="14710"/>
    <cellStyle name="Output 2 2 10 10" xfId="23072"/>
    <cellStyle name="Output 2 2 10 11" xfId="56775"/>
    <cellStyle name="Output 2 2 10 12" xfId="61868"/>
    <cellStyle name="Output 2 2 10 2" xfId="15791"/>
    <cellStyle name="Output 2 2 10 2 2" xfId="24107"/>
    <cellStyle name="Output 2 2 10 2 2 2" xfId="56776"/>
    <cellStyle name="Output 2 2 10 2 2 3" xfId="56777"/>
    <cellStyle name="Output 2 2 10 2 3" xfId="31395"/>
    <cellStyle name="Output 2 2 10 2 4" xfId="56778"/>
    <cellStyle name="Output 2 2 10 3" xfId="16757"/>
    <cellStyle name="Output 2 2 10 3 2" xfId="25079"/>
    <cellStyle name="Output 2 2 10 3 2 2" xfId="56779"/>
    <cellStyle name="Output 2 2 10 3 2 3" xfId="56780"/>
    <cellStyle name="Output 2 2 10 3 3" xfId="32328"/>
    <cellStyle name="Output 2 2 10 3 4" xfId="56781"/>
    <cellStyle name="Output 2 2 10 4" xfId="17781"/>
    <cellStyle name="Output 2 2 10 4 2" xfId="26105"/>
    <cellStyle name="Output 2 2 10 4 2 2" xfId="56782"/>
    <cellStyle name="Output 2 2 10 4 2 3" xfId="56783"/>
    <cellStyle name="Output 2 2 10 4 3" xfId="33305"/>
    <cellStyle name="Output 2 2 10 4 4" xfId="56784"/>
    <cellStyle name="Output 2 2 10 5" xfId="18765"/>
    <cellStyle name="Output 2 2 10 5 2" xfId="27086"/>
    <cellStyle name="Output 2 2 10 5 2 2" xfId="56785"/>
    <cellStyle name="Output 2 2 10 5 2 3" xfId="56786"/>
    <cellStyle name="Output 2 2 10 5 3" xfId="34245"/>
    <cellStyle name="Output 2 2 10 5 4" xfId="56787"/>
    <cellStyle name="Output 2 2 10 6" xfId="19734"/>
    <cellStyle name="Output 2 2 10 6 2" xfId="28055"/>
    <cellStyle name="Output 2 2 10 6 2 2" xfId="56788"/>
    <cellStyle name="Output 2 2 10 6 2 3" xfId="56789"/>
    <cellStyle name="Output 2 2 10 6 3" xfId="35191"/>
    <cellStyle name="Output 2 2 10 6 4" xfId="56790"/>
    <cellStyle name="Output 2 2 10 7" xfId="20691"/>
    <cellStyle name="Output 2 2 10 7 2" xfId="29012"/>
    <cellStyle name="Output 2 2 10 7 2 2" xfId="56791"/>
    <cellStyle name="Output 2 2 10 7 2 3" xfId="56792"/>
    <cellStyle name="Output 2 2 10 7 3" xfId="36105"/>
    <cellStyle name="Output 2 2 10 7 4" xfId="56793"/>
    <cellStyle name="Output 2 2 10 8" xfId="15497"/>
    <cellStyle name="Output 2 2 10 8 2" xfId="23837"/>
    <cellStyle name="Output 2 2 10 8 2 2" xfId="56794"/>
    <cellStyle name="Output 2 2 10 8 2 3" xfId="56795"/>
    <cellStyle name="Output 2 2 10 8 3" xfId="31186"/>
    <cellStyle name="Output 2 2 10 8 4" xfId="56796"/>
    <cellStyle name="Output 2 2 10 9" xfId="22127"/>
    <cellStyle name="Output 2 2 10 9 2" xfId="30425"/>
    <cellStyle name="Output 2 2 10 9 3" xfId="37456"/>
    <cellStyle name="Output 2 2 11" xfId="14796"/>
    <cellStyle name="Output 2 2 11 10" xfId="23160"/>
    <cellStyle name="Output 2 2 11 11" xfId="56797"/>
    <cellStyle name="Output 2 2 11 2" xfId="15877"/>
    <cellStyle name="Output 2 2 11 2 2" xfId="24195"/>
    <cellStyle name="Output 2 2 11 2 2 2" xfId="56798"/>
    <cellStyle name="Output 2 2 11 2 2 3" xfId="56799"/>
    <cellStyle name="Output 2 2 11 2 3" xfId="31481"/>
    <cellStyle name="Output 2 2 11 2 4" xfId="56800"/>
    <cellStyle name="Output 2 2 11 3" xfId="16843"/>
    <cellStyle name="Output 2 2 11 3 2" xfId="25167"/>
    <cellStyle name="Output 2 2 11 3 2 2" xfId="56801"/>
    <cellStyle name="Output 2 2 11 3 2 3" xfId="56802"/>
    <cellStyle name="Output 2 2 11 3 3" xfId="32414"/>
    <cellStyle name="Output 2 2 11 3 4" xfId="56803"/>
    <cellStyle name="Output 2 2 11 4" xfId="17870"/>
    <cellStyle name="Output 2 2 11 4 2" xfId="26193"/>
    <cellStyle name="Output 2 2 11 4 2 2" xfId="56804"/>
    <cellStyle name="Output 2 2 11 4 2 3" xfId="56805"/>
    <cellStyle name="Output 2 2 11 4 3" xfId="33391"/>
    <cellStyle name="Output 2 2 11 4 4" xfId="56806"/>
    <cellStyle name="Output 2 2 11 5" xfId="18854"/>
    <cellStyle name="Output 2 2 11 5 2" xfId="27174"/>
    <cellStyle name="Output 2 2 11 5 2 2" xfId="56807"/>
    <cellStyle name="Output 2 2 11 5 2 3" xfId="56808"/>
    <cellStyle name="Output 2 2 11 5 3" xfId="34331"/>
    <cellStyle name="Output 2 2 11 5 4" xfId="56809"/>
    <cellStyle name="Output 2 2 11 6" xfId="19822"/>
    <cellStyle name="Output 2 2 11 6 2" xfId="28144"/>
    <cellStyle name="Output 2 2 11 6 2 2" xfId="56810"/>
    <cellStyle name="Output 2 2 11 6 2 3" xfId="56811"/>
    <cellStyle name="Output 2 2 11 6 3" xfId="35278"/>
    <cellStyle name="Output 2 2 11 6 4" xfId="56812"/>
    <cellStyle name="Output 2 2 11 7" xfId="20780"/>
    <cellStyle name="Output 2 2 11 7 2" xfId="29100"/>
    <cellStyle name="Output 2 2 11 7 2 2" xfId="56813"/>
    <cellStyle name="Output 2 2 11 7 2 3" xfId="56814"/>
    <cellStyle name="Output 2 2 11 7 3" xfId="36190"/>
    <cellStyle name="Output 2 2 11 7 4" xfId="56815"/>
    <cellStyle name="Output 2 2 11 8" xfId="21200"/>
    <cellStyle name="Output 2 2 11 8 2" xfId="29512"/>
    <cellStyle name="Output 2 2 11 8 2 2" xfId="56816"/>
    <cellStyle name="Output 2 2 11 8 2 3" xfId="56817"/>
    <cellStyle name="Output 2 2 11 8 3" xfId="36582"/>
    <cellStyle name="Output 2 2 11 8 4" xfId="56818"/>
    <cellStyle name="Output 2 2 11 9" xfId="22216"/>
    <cellStyle name="Output 2 2 11 9 2" xfId="30514"/>
    <cellStyle name="Output 2 2 11 9 3" xfId="37542"/>
    <cellStyle name="Output 2 2 12" xfId="14706"/>
    <cellStyle name="Output 2 2 12 10" xfId="23068"/>
    <cellStyle name="Output 2 2 12 11" xfId="56819"/>
    <cellStyle name="Output 2 2 12 2" xfId="15787"/>
    <cellStyle name="Output 2 2 12 2 2" xfId="24103"/>
    <cellStyle name="Output 2 2 12 2 2 2" xfId="56820"/>
    <cellStyle name="Output 2 2 12 2 2 3" xfId="56821"/>
    <cellStyle name="Output 2 2 12 2 3" xfId="31392"/>
    <cellStyle name="Output 2 2 12 2 4" xfId="56822"/>
    <cellStyle name="Output 2 2 12 3" xfId="16753"/>
    <cellStyle name="Output 2 2 12 3 2" xfId="25075"/>
    <cellStyle name="Output 2 2 12 3 2 2" xfId="56823"/>
    <cellStyle name="Output 2 2 12 3 2 3" xfId="56824"/>
    <cellStyle name="Output 2 2 12 3 3" xfId="32325"/>
    <cellStyle name="Output 2 2 12 3 4" xfId="56825"/>
    <cellStyle name="Output 2 2 12 4" xfId="17777"/>
    <cellStyle name="Output 2 2 12 4 2" xfId="26101"/>
    <cellStyle name="Output 2 2 12 4 2 2" xfId="56826"/>
    <cellStyle name="Output 2 2 12 4 2 3" xfId="56827"/>
    <cellStyle name="Output 2 2 12 4 3" xfId="33302"/>
    <cellStyle name="Output 2 2 12 4 4" xfId="56828"/>
    <cellStyle name="Output 2 2 12 5" xfId="18761"/>
    <cellStyle name="Output 2 2 12 5 2" xfId="27082"/>
    <cellStyle name="Output 2 2 12 5 2 2" xfId="56829"/>
    <cellStyle name="Output 2 2 12 5 2 3" xfId="56830"/>
    <cellStyle name="Output 2 2 12 5 3" xfId="34242"/>
    <cellStyle name="Output 2 2 12 5 4" xfId="56831"/>
    <cellStyle name="Output 2 2 12 6" xfId="19730"/>
    <cellStyle name="Output 2 2 12 6 2" xfId="28051"/>
    <cellStyle name="Output 2 2 12 6 2 2" xfId="56832"/>
    <cellStyle name="Output 2 2 12 6 2 3" xfId="56833"/>
    <cellStyle name="Output 2 2 12 6 3" xfId="35188"/>
    <cellStyle name="Output 2 2 12 6 4" xfId="56834"/>
    <cellStyle name="Output 2 2 12 7" xfId="20687"/>
    <cellStyle name="Output 2 2 12 7 2" xfId="29008"/>
    <cellStyle name="Output 2 2 12 7 2 2" xfId="56835"/>
    <cellStyle name="Output 2 2 12 7 2 3" xfId="56836"/>
    <cellStyle name="Output 2 2 12 7 3" xfId="36102"/>
    <cellStyle name="Output 2 2 12 7 4" xfId="56837"/>
    <cellStyle name="Output 2 2 12 8" xfId="21361"/>
    <cellStyle name="Output 2 2 12 8 2" xfId="29664"/>
    <cellStyle name="Output 2 2 12 8 2 2" xfId="56838"/>
    <cellStyle name="Output 2 2 12 8 2 3" xfId="56839"/>
    <cellStyle name="Output 2 2 12 8 3" xfId="36729"/>
    <cellStyle name="Output 2 2 12 8 4" xfId="56840"/>
    <cellStyle name="Output 2 2 12 9" xfId="22123"/>
    <cellStyle name="Output 2 2 12 9 2" xfId="30421"/>
    <cellStyle name="Output 2 2 12 9 3" xfId="37453"/>
    <cellStyle name="Output 2 2 13" xfId="14837"/>
    <cellStyle name="Output 2 2 13 10" xfId="23200"/>
    <cellStyle name="Output 2 2 13 11" xfId="56841"/>
    <cellStyle name="Output 2 2 13 2" xfId="15918"/>
    <cellStyle name="Output 2 2 13 2 2" xfId="24235"/>
    <cellStyle name="Output 2 2 13 2 2 2" xfId="56842"/>
    <cellStyle name="Output 2 2 13 2 2 3" xfId="56843"/>
    <cellStyle name="Output 2 2 13 2 3" xfId="31519"/>
    <cellStyle name="Output 2 2 13 2 4" xfId="56844"/>
    <cellStyle name="Output 2 2 13 3" xfId="16884"/>
    <cellStyle name="Output 2 2 13 3 2" xfId="25207"/>
    <cellStyle name="Output 2 2 13 3 2 2" xfId="56845"/>
    <cellStyle name="Output 2 2 13 3 2 3" xfId="56846"/>
    <cellStyle name="Output 2 2 13 3 3" xfId="32452"/>
    <cellStyle name="Output 2 2 13 3 4" xfId="56847"/>
    <cellStyle name="Output 2 2 13 4" xfId="17911"/>
    <cellStyle name="Output 2 2 13 4 2" xfId="26233"/>
    <cellStyle name="Output 2 2 13 4 2 2" xfId="56848"/>
    <cellStyle name="Output 2 2 13 4 2 3" xfId="56849"/>
    <cellStyle name="Output 2 2 13 4 3" xfId="33429"/>
    <cellStyle name="Output 2 2 13 4 4" xfId="56850"/>
    <cellStyle name="Output 2 2 13 5" xfId="18895"/>
    <cellStyle name="Output 2 2 13 5 2" xfId="27215"/>
    <cellStyle name="Output 2 2 13 5 2 2" xfId="56851"/>
    <cellStyle name="Output 2 2 13 5 2 3" xfId="56852"/>
    <cellStyle name="Output 2 2 13 5 3" xfId="34370"/>
    <cellStyle name="Output 2 2 13 5 4" xfId="56853"/>
    <cellStyle name="Output 2 2 13 6" xfId="19863"/>
    <cellStyle name="Output 2 2 13 6 2" xfId="28185"/>
    <cellStyle name="Output 2 2 13 6 2 2" xfId="56854"/>
    <cellStyle name="Output 2 2 13 6 2 3" xfId="56855"/>
    <cellStyle name="Output 2 2 13 6 3" xfId="35317"/>
    <cellStyle name="Output 2 2 13 6 4" xfId="56856"/>
    <cellStyle name="Output 2 2 13 7" xfId="20821"/>
    <cellStyle name="Output 2 2 13 7 2" xfId="29140"/>
    <cellStyle name="Output 2 2 13 7 2 2" xfId="56857"/>
    <cellStyle name="Output 2 2 13 7 2 3" xfId="56858"/>
    <cellStyle name="Output 2 2 13 7 3" xfId="36227"/>
    <cellStyle name="Output 2 2 13 7 4" xfId="56859"/>
    <cellStyle name="Output 2 2 13 8" xfId="21326"/>
    <cellStyle name="Output 2 2 13 8 2" xfId="29631"/>
    <cellStyle name="Output 2 2 13 8 2 2" xfId="56860"/>
    <cellStyle name="Output 2 2 13 8 2 3" xfId="56861"/>
    <cellStyle name="Output 2 2 13 8 3" xfId="36697"/>
    <cellStyle name="Output 2 2 13 8 4" xfId="56862"/>
    <cellStyle name="Output 2 2 13 9" xfId="22256"/>
    <cellStyle name="Output 2 2 13 9 2" xfId="30554"/>
    <cellStyle name="Output 2 2 13 9 3" xfId="37580"/>
    <cellStyle name="Output 2 2 14" xfId="14874"/>
    <cellStyle name="Output 2 2 14 10" xfId="23237"/>
    <cellStyle name="Output 2 2 14 11" xfId="56863"/>
    <cellStyle name="Output 2 2 14 2" xfId="15955"/>
    <cellStyle name="Output 2 2 14 2 2" xfId="24272"/>
    <cellStyle name="Output 2 2 14 2 2 2" xfId="56864"/>
    <cellStyle name="Output 2 2 14 2 2 3" xfId="56865"/>
    <cellStyle name="Output 2 2 14 2 3" xfId="31555"/>
    <cellStyle name="Output 2 2 14 2 4" xfId="56866"/>
    <cellStyle name="Output 2 2 14 3" xfId="16921"/>
    <cellStyle name="Output 2 2 14 3 2" xfId="25244"/>
    <cellStyle name="Output 2 2 14 3 2 2" xfId="56867"/>
    <cellStyle name="Output 2 2 14 3 2 3" xfId="56868"/>
    <cellStyle name="Output 2 2 14 3 3" xfId="32488"/>
    <cellStyle name="Output 2 2 14 3 4" xfId="56869"/>
    <cellStyle name="Output 2 2 14 4" xfId="17948"/>
    <cellStyle name="Output 2 2 14 4 2" xfId="26270"/>
    <cellStyle name="Output 2 2 14 4 2 2" xfId="56870"/>
    <cellStyle name="Output 2 2 14 4 2 3" xfId="56871"/>
    <cellStyle name="Output 2 2 14 4 3" xfId="33465"/>
    <cellStyle name="Output 2 2 14 4 4" xfId="56872"/>
    <cellStyle name="Output 2 2 14 5" xfId="18932"/>
    <cellStyle name="Output 2 2 14 5 2" xfId="27252"/>
    <cellStyle name="Output 2 2 14 5 2 2" xfId="56873"/>
    <cellStyle name="Output 2 2 14 5 2 3" xfId="56874"/>
    <cellStyle name="Output 2 2 14 5 3" xfId="34406"/>
    <cellStyle name="Output 2 2 14 5 4" xfId="56875"/>
    <cellStyle name="Output 2 2 14 6" xfId="19900"/>
    <cellStyle name="Output 2 2 14 6 2" xfId="28222"/>
    <cellStyle name="Output 2 2 14 6 2 2" xfId="56876"/>
    <cellStyle name="Output 2 2 14 6 2 3" xfId="56877"/>
    <cellStyle name="Output 2 2 14 6 3" xfId="35353"/>
    <cellStyle name="Output 2 2 14 6 4" xfId="56878"/>
    <cellStyle name="Output 2 2 14 7" xfId="20858"/>
    <cellStyle name="Output 2 2 14 7 2" xfId="29177"/>
    <cellStyle name="Output 2 2 14 7 2 2" xfId="56879"/>
    <cellStyle name="Output 2 2 14 7 2 3" xfId="56880"/>
    <cellStyle name="Output 2 2 14 7 3" xfId="36263"/>
    <cellStyle name="Output 2 2 14 7 4" xfId="56881"/>
    <cellStyle name="Output 2 2 14 8" xfId="18545"/>
    <cellStyle name="Output 2 2 14 8 2" xfId="26862"/>
    <cellStyle name="Output 2 2 14 8 2 2" xfId="56882"/>
    <cellStyle name="Output 2 2 14 8 2 3" xfId="56883"/>
    <cellStyle name="Output 2 2 14 8 3" xfId="34032"/>
    <cellStyle name="Output 2 2 14 8 4" xfId="56884"/>
    <cellStyle name="Output 2 2 14 9" xfId="22293"/>
    <cellStyle name="Output 2 2 14 9 2" xfId="30591"/>
    <cellStyle name="Output 2 2 14 9 3" xfId="37616"/>
    <cellStyle name="Output 2 2 15" xfId="14890"/>
    <cellStyle name="Output 2 2 15 10" xfId="23253"/>
    <cellStyle name="Output 2 2 15 11" xfId="56885"/>
    <cellStyle name="Output 2 2 15 2" xfId="15971"/>
    <cellStyle name="Output 2 2 15 2 2" xfId="24288"/>
    <cellStyle name="Output 2 2 15 2 2 2" xfId="56886"/>
    <cellStyle name="Output 2 2 15 2 2 3" xfId="56887"/>
    <cellStyle name="Output 2 2 15 2 3" xfId="31569"/>
    <cellStyle name="Output 2 2 15 2 4" xfId="56888"/>
    <cellStyle name="Output 2 2 15 3" xfId="16937"/>
    <cellStyle name="Output 2 2 15 3 2" xfId="25260"/>
    <cellStyle name="Output 2 2 15 3 2 2" xfId="56889"/>
    <cellStyle name="Output 2 2 15 3 2 3" xfId="56890"/>
    <cellStyle name="Output 2 2 15 3 3" xfId="32502"/>
    <cellStyle name="Output 2 2 15 3 4" xfId="56891"/>
    <cellStyle name="Output 2 2 15 4" xfId="17964"/>
    <cellStyle name="Output 2 2 15 4 2" xfId="26286"/>
    <cellStyle name="Output 2 2 15 4 2 2" xfId="56892"/>
    <cellStyle name="Output 2 2 15 4 2 3" xfId="56893"/>
    <cellStyle name="Output 2 2 15 4 3" xfId="33479"/>
    <cellStyle name="Output 2 2 15 4 4" xfId="56894"/>
    <cellStyle name="Output 2 2 15 5" xfId="18948"/>
    <cellStyle name="Output 2 2 15 5 2" xfId="27268"/>
    <cellStyle name="Output 2 2 15 5 2 2" xfId="56895"/>
    <cellStyle name="Output 2 2 15 5 2 3" xfId="56896"/>
    <cellStyle name="Output 2 2 15 5 3" xfId="34420"/>
    <cellStyle name="Output 2 2 15 5 4" xfId="56897"/>
    <cellStyle name="Output 2 2 15 6" xfId="19916"/>
    <cellStyle name="Output 2 2 15 6 2" xfId="28238"/>
    <cellStyle name="Output 2 2 15 6 2 2" xfId="56898"/>
    <cellStyle name="Output 2 2 15 6 2 3" xfId="56899"/>
    <cellStyle name="Output 2 2 15 6 3" xfId="35367"/>
    <cellStyle name="Output 2 2 15 6 4" xfId="56900"/>
    <cellStyle name="Output 2 2 15 7" xfId="20874"/>
    <cellStyle name="Output 2 2 15 7 2" xfId="29193"/>
    <cellStyle name="Output 2 2 15 7 2 2" xfId="56901"/>
    <cellStyle name="Output 2 2 15 7 2 3" xfId="56902"/>
    <cellStyle name="Output 2 2 15 7 3" xfId="36277"/>
    <cellStyle name="Output 2 2 15 7 4" xfId="56903"/>
    <cellStyle name="Output 2 2 15 8" xfId="21381"/>
    <cellStyle name="Output 2 2 15 8 2" xfId="29684"/>
    <cellStyle name="Output 2 2 15 8 2 2" xfId="56904"/>
    <cellStyle name="Output 2 2 15 8 2 3" xfId="56905"/>
    <cellStyle name="Output 2 2 15 8 3" xfId="36747"/>
    <cellStyle name="Output 2 2 15 8 4" xfId="56906"/>
    <cellStyle name="Output 2 2 15 9" xfId="22309"/>
    <cellStyle name="Output 2 2 15 9 2" xfId="30607"/>
    <cellStyle name="Output 2 2 15 9 3" xfId="37630"/>
    <cellStyle name="Output 2 2 16" xfId="14935"/>
    <cellStyle name="Output 2 2 16 10" xfId="23298"/>
    <cellStyle name="Output 2 2 16 11" xfId="56907"/>
    <cellStyle name="Output 2 2 16 2" xfId="16016"/>
    <cellStyle name="Output 2 2 16 2 2" xfId="24333"/>
    <cellStyle name="Output 2 2 16 2 2 2" xfId="56908"/>
    <cellStyle name="Output 2 2 16 2 2 3" xfId="56909"/>
    <cellStyle name="Output 2 2 16 2 3" xfId="31613"/>
    <cellStyle name="Output 2 2 16 2 4" xfId="56910"/>
    <cellStyle name="Output 2 2 16 3" xfId="16982"/>
    <cellStyle name="Output 2 2 16 3 2" xfId="25305"/>
    <cellStyle name="Output 2 2 16 3 2 2" xfId="56911"/>
    <cellStyle name="Output 2 2 16 3 2 3" xfId="56912"/>
    <cellStyle name="Output 2 2 16 3 3" xfId="32546"/>
    <cellStyle name="Output 2 2 16 3 4" xfId="56913"/>
    <cellStyle name="Output 2 2 16 4" xfId="18009"/>
    <cellStyle name="Output 2 2 16 4 2" xfId="26331"/>
    <cellStyle name="Output 2 2 16 4 2 2" xfId="56914"/>
    <cellStyle name="Output 2 2 16 4 2 3" xfId="56915"/>
    <cellStyle name="Output 2 2 16 4 3" xfId="33523"/>
    <cellStyle name="Output 2 2 16 4 4" xfId="56916"/>
    <cellStyle name="Output 2 2 16 5" xfId="18993"/>
    <cellStyle name="Output 2 2 16 5 2" xfId="27313"/>
    <cellStyle name="Output 2 2 16 5 2 2" xfId="56917"/>
    <cellStyle name="Output 2 2 16 5 2 3" xfId="56918"/>
    <cellStyle name="Output 2 2 16 5 3" xfId="34464"/>
    <cellStyle name="Output 2 2 16 5 4" xfId="56919"/>
    <cellStyle name="Output 2 2 16 6" xfId="19961"/>
    <cellStyle name="Output 2 2 16 6 2" xfId="28283"/>
    <cellStyle name="Output 2 2 16 6 2 2" xfId="56920"/>
    <cellStyle name="Output 2 2 16 6 2 3" xfId="56921"/>
    <cellStyle name="Output 2 2 16 6 3" xfId="35411"/>
    <cellStyle name="Output 2 2 16 6 4" xfId="56922"/>
    <cellStyle name="Output 2 2 16 7" xfId="20919"/>
    <cellStyle name="Output 2 2 16 7 2" xfId="29238"/>
    <cellStyle name="Output 2 2 16 7 2 2" xfId="56923"/>
    <cellStyle name="Output 2 2 16 7 2 3" xfId="56924"/>
    <cellStyle name="Output 2 2 16 7 3" xfId="36321"/>
    <cellStyle name="Output 2 2 16 7 4" xfId="56925"/>
    <cellStyle name="Output 2 2 16 8" xfId="21426"/>
    <cellStyle name="Output 2 2 16 8 2" xfId="29729"/>
    <cellStyle name="Output 2 2 16 8 2 2" xfId="56926"/>
    <cellStyle name="Output 2 2 16 8 2 3" xfId="56927"/>
    <cellStyle name="Output 2 2 16 8 3" xfId="36791"/>
    <cellStyle name="Output 2 2 16 8 4" xfId="56928"/>
    <cellStyle name="Output 2 2 16 9" xfId="22354"/>
    <cellStyle name="Output 2 2 16 9 2" xfId="30652"/>
    <cellStyle name="Output 2 2 16 9 3" xfId="37674"/>
    <cellStyle name="Output 2 2 17" xfId="14851"/>
    <cellStyle name="Output 2 2 17 10" xfId="23214"/>
    <cellStyle name="Output 2 2 17 11" xfId="56929"/>
    <cellStyle name="Output 2 2 17 2" xfId="15932"/>
    <cellStyle name="Output 2 2 17 2 2" xfId="24249"/>
    <cellStyle name="Output 2 2 17 2 2 2" xfId="56930"/>
    <cellStyle name="Output 2 2 17 2 2 3" xfId="56931"/>
    <cellStyle name="Output 2 2 17 2 3" xfId="31533"/>
    <cellStyle name="Output 2 2 17 2 4" xfId="56932"/>
    <cellStyle name="Output 2 2 17 3" xfId="16898"/>
    <cellStyle name="Output 2 2 17 3 2" xfId="25221"/>
    <cellStyle name="Output 2 2 17 3 2 2" xfId="56933"/>
    <cellStyle name="Output 2 2 17 3 2 3" xfId="56934"/>
    <cellStyle name="Output 2 2 17 3 3" xfId="32466"/>
    <cellStyle name="Output 2 2 17 3 4" xfId="56935"/>
    <cellStyle name="Output 2 2 17 4" xfId="17925"/>
    <cellStyle name="Output 2 2 17 4 2" xfId="26247"/>
    <cellStyle name="Output 2 2 17 4 2 2" xfId="56936"/>
    <cellStyle name="Output 2 2 17 4 2 3" xfId="56937"/>
    <cellStyle name="Output 2 2 17 4 3" xfId="33443"/>
    <cellStyle name="Output 2 2 17 4 4" xfId="56938"/>
    <cellStyle name="Output 2 2 17 5" xfId="18909"/>
    <cellStyle name="Output 2 2 17 5 2" xfId="27229"/>
    <cellStyle name="Output 2 2 17 5 2 2" xfId="56939"/>
    <cellStyle name="Output 2 2 17 5 2 3" xfId="56940"/>
    <cellStyle name="Output 2 2 17 5 3" xfId="34384"/>
    <cellStyle name="Output 2 2 17 5 4" xfId="56941"/>
    <cellStyle name="Output 2 2 17 6" xfId="19877"/>
    <cellStyle name="Output 2 2 17 6 2" xfId="28199"/>
    <cellStyle name="Output 2 2 17 6 2 2" xfId="56942"/>
    <cellStyle name="Output 2 2 17 6 2 3" xfId="56943"/>
    <cellStyle name="Output 2 2 17 6 3" xfId="35331"/>
    <cellStyle name="Output 2 2 17 6 4" xfId="56944"/>
    <cellStyle name="Output 2 2 17 7" xfId="20835"/>
    <cellStyle name="Output 2 2 17 7 2" xfId="29154"/>
    <cellStyle name="Output 2 2 17 7 2 2" xfId="56945"/>
    <cellStyle name="Output 2 2 17 7 2 3" xfId="56946"/>
    <cellStyle name="Output 2 2 17 7 3" xfId="36241"/>
    <cellStyle name="Output 2 2 17 7 4" xfId="56947"/>
    <cellStyle name="Output 2 2 17 8" xfId="21083"/>
    <cellStyle name="Output 2 2 17 8 2" xfId="29400"/>
    <cellStyle name="Output 2 2 17 8 2 2" xfId="56948"/>
    <cellStyle name="Output 2 2 17 8 2 3" xfId="56949"/>
    <cellStyle name="Output 2 2 17 8 3" xfId="36476"/>
    <cellStyle name="Output 2 2 17 8 4" xfId="56950"/>
    <cellStyle name="Output 2 2 17 9" xfId="22270"/>
    <cellStyle name="Output 2 2 17 9 2" xfId="30568"/>
    <cellStyle name="Output 2 2 17 9 3" xfId="37594"/>
    <cellStyle name="Output 2 2 18" xfId="14965"/>
    <cellStyle name="Output 2 2 18 10" xfId="23326"/>
    <cellStyle name="Output 2 2 18 11" xfId="56951"/>
    <cellStyle name="Output 2 2 18 2" xfId="16046"/>
    <cellStyle name="Output 2 2 18 2 2" xfId="24361"/>
    <cellStyle name="Output 2 2 18 2 2 2" xfId="56952"/>
    <cellStyle name="Output 2 2 18 2 2 3" xfId="56953"/>
    <cellStyle name="Output 2 2 18 2 3" xfId="31640"/>
    <cellStyle name="Output 2 2 18 2 4" xfId="56954"/>
    <cellStyle name="Output 2 2 18 3" xfId="17012"/>
    <cellStyle name="Output 2 2 18 3 2" xfId="25333"/>
    <cellStyle name="Output 2 2 18 3 2 2" xfId="56955"/>
    <cellStyle name="Output 2 2 18 3 2 3" xfId="56956"/>
    <cellStyle name="Output 2 2 18 3 3" xfId="32573"/>
    <cellStyle name="Output 2 2 18 3 4" xfId="56957"/>
    <cellStyle name="Output 2 2 18 4" xfId="18039"/>
    <cellStyle name="Output 2 2 18 4 2" xfId="26359"/>
    <cellStyle name="Output 2 2 18 4 2 2" xfId="56958"/>
    <cellStyle name="Output 2 2 18 4 2 3" xfId="56959"/>
    <cellStyle name="Output 2 2 18 4 3" xfId="33550"/>
    <cellStyle name="Output 2 2 18 4 4" xfId="56960"/>
    <cellStyle name="Output 2 2 18 5" xfId="19023"/>
    <cellStyle name="Output 2 2 18 5 2" xfId="27343"/>
    <cellStyle name="Output 2 2 18 5 2 2" xfId="56961"/>
    <cellStyle name="Output 2 2 18 5 2 3" xfId="56962"/>
    <cellStyle name="Output 2 2 18 5 3" xfId="34493"/>
    <cellStyle name="Output 2 2 18 5 4" xfId="56963"/>
    <cellStyle name="Output 2 2 18 6" xfId="19991"/>
    <cellStyle name="Output 2 2 18 6 2" xfId="28313"/>
    <cellStyle name="Output 2 2 18 6 2 2" xfId="56964"/>
    <cellStyle name="Output 2 2 18 6 2 3" xfId="56965"/>
    <cellStyle name="Output 2 2 18 6 3" xfId="35440"/>
    <cellStyle name="Output 2 2 18 6 4" xfId="56966"/>
    <cellStyle name="Output 2 2 18 7" xfId="20949"/>
    <cellStyle name="Output 2 2 18 7 2" xfId="29266"/>
    <cellStyle name="Output 2 2 18 7 2 2" xfId="56967"/>
    <cellStyle name="Output 2 2 18 7 2 3" xfId="56968"/>
    <cellStyle name="Output 2 2 18 7 3" xfId="36348"/>
    <cellStyle name="Output 2 2 18 7 4" xfId="56969"/>
    <cellStyle name="Output 2 2 18 8" xfId="21456"/>
    <cellStyle name="Output 2 2 18 8 2" xfId="29757"/>
    <cellStyle name="Output 2 2 18 8 2 2" xfId="56970"/>
    <cellStyle name="Output 2 2 18 8 2 3" xfId="56971"/>
    <cellStyle name="Output 2 2 18 8 3" xfId="36818"/>
    <cellStyle name="Output 2 2 18 8 4" xfId="56972"/>
    <cellStyle name="Output 2 2 18 9" xfId="22384"/>
    <cellStyle name="Output 2 2 18 9 2" xfId="30680"/>
    <cellStyle name="Output 2 2 18 9 3" xfId="37701"/>
    <cellStyle name="Output 2 2 19" xfId="15008"/>
    <cellStyle name="Output 2 2 19 10" xfId="23369"/>
    <cellStyle name="Output 2 2 19 11" xfId="56973"/>
    <cellStyle name="Output 2 2 19 2" xfId="16089"/>
    <cellStyle name="Output 2 2 19 2 2" xfId="24404"/>
    <cellStyle name="Output 2 2 19 2 2 2" xfId="56974"/>
    <cellStyle name="Output 2 2 19 2 2 3" xfId="56975"/>
    <cellStyle name="Output 2 2 19 2 3" xfId="31683"/>
    <cellStyle name="Output 2 2 19 2 4" xfId="56976"/>
    <cellStyle name="Output 2 2 19 3" xfId="17055"/>
    <cellStyle name="Output 2 2 19 3 2" xfId="25376"/>
    <cellStyle name="Output 2 2 19 3 2 2" xfId="56977"/>
    <cellStyle name="Output 2 2 19 3 2 3" xfId="56978"/>
    <cellStyle name="Output 2 2 19 3 3" xfId="32616"/>
    <cellStyle name="Output 2 2 19 3 4" xfId="56979"/>
    <cellStyle name="Output 2 2 19 4" xfId="18082"/>
    <cellStyle name="Output 2 2 19 4 2" xfId="26402"/>
    <cellStyle name="Output 2 2 19 4 2 2" xfId="56980"/>
    <cellStyle name="Output 2 2 19 4 2 3" xfId="56981"/>
    <cellStyle name="Output 2 2 19 4 3" xfId="33593"/>
    <cellStyle name="Output 2 2 19 4 4" xfId="56982"/>
    <cellStyle name="Output 2 2 19 5" xfId="19066"/>
    <cellStyle name="Output 2 2 19 5 2" xfId="27386"/>
    <cellStyle name="Output 2 2 19 5 2 2" xfId="56983"/>
    <cellStyle name="Output 2 2 19 5 2 3" xfId="56984"/>
    <cellStyle name="Output 2 2 19 5 3" xfId="34536"/>
    <cellStyle name="Output 2 2 19 5 4" xfId="56985"/>
    <cellStyle name="Output 2 2 19 6" xfId="20034"/>
    <cellStyle name="Output 2 2 19 6 2" xfId="28356"/>
    <cellStyle name="Output 2 2 19 6 2 2" xfId="56986"/>
    <cellStyle name="Output 2 2 19 6 2 3" xfId="56987"/>
    <cellStyle name="Output 2 2 19 6 3" xfId="35483"/>
    <cellStyle name="Output 2 2 19 6 4" xfId="56988"/>
    <cellStyle name="Output 2 2 19 7" xfId="20992"/>
    <cellStyle name="Output 2 2 19 7 2" xfId="29309"/>
    <cellStyle name="Output 2 2 19 7 2 2" xfId="56989"/>
    <cellStyle name="Output 2 2 19 7 2 3" xfId="56990"/>
    <cellStyle name="Output 2 2 19 7 3" xfId="36391"/>
    <cellStyle name="Output 2 2 19 7 4" xfId="56991"/>
    <cellStyle name="Output 2 2 19 8" xfId="21499"/>
    <cellStyle name="Output 2 2 19 8 2" xfId="29800"/>
    <cellStyle name="Output 2 2 19 8 2 2" xfId="56992"/>
    <cellStyle name="Output 2 2 19 8 2 3" xfId="56993"/>
    <cellStyle name="Output 2 2 19 8 3" xfId="36861"/>
    <cellStyle name="Output 2 2 19 8 4" xfId="56994"/>
    <cellStyle name="Output 2 2 19 9" xfId="22427"/>
    <cellStyle name="Output 2 2 19 9 2" xfId="30723"/>
    <cellStyle name="Output 2 2 19 9 3" xfId="37744"/>
    <cellStyle name="Output 2 2 2" xfId="80"/>
    <cellStyle name="Output 2 2 2 10" xfId="14436"/>
    <cellStyle name="Output 2 2 2 10 2" xfId="56995"/>
    <cellStyle name="Output 2 2 2 10 3" xfId="56996"/>
    <cellStyle name="Output 2 2 2 11" xfId="56997"/>
    <cellStyle name="Output 2 2 2 12" xfId="56998"/>
    <cellStyle name="Output 2 2 2 13" xfId="56999"/>
    <cellStyle name="Output 2 2 2 14" xfId="57000"/>
    <cellStyle name="Output 2 2 2 15" xfId="60787"/>
    <cellStyle name="Output 2 2 2 2" xfId="154"/>
    <cellStyle name="Output 2 2 2 2 2" xfId="280"/>
    <cellStyle name="Output 2 2 2 2 2 2" xfId="689"/>
    <cellStyle name="Output 2 2 2 2 2 2 2" xfId="1640"/>
    <cellStyle name="Output 2 2 2 2 2 2 2 2" xfId="767"/>
    <cellStyle name="Output 2 2 2 2 2 2 2 2 2" xfId="2751"/>
    <cellStyle name="Output 2 2 2 2 2 2 2 2 2 2" xfId="6171"/>
    <cellStyle name="Output 2 2 2 2 2 2 2 2 2 2 2" xfId="13011"/>
    <cellStyle name="Output 2 2 2 2 2 2 2 2 2 3" xfId="9591"/>
    <cellStyle name="Output 2 2 2 2 2 2 2 2 3" xfId="3891"/>
    <cellStyle name="Output 2 2 2 2 2 2 2 2 3 2" xfId="7311"/>
    <cellStyle name="Output 2 2 2 2 2 2 2 2 3 2 2" xfId="14151"/>
    <cellStyle name="Output 2 2 2 2 2 2 2 2 3 3" xfId="10731"/>
    <cellStyle name="Output 2 2 2 2 2 2 2 2 4" xfId="5031"/>
    <cellStyle name="Output 2 2 2 2 2 2 2 2 4 2" xfId="11871"/>
    <cellStyle name="Output 2 2 2 2 2 2 2 2 5" xfId="8451"/>
    <cellStyle name="Output 2 2 2 2 2 2 2 3" xfId="2474"/>
    <cellStyle name="Output 2 2 2 2 2 2 2 3 2" xfId="5894"/>
    <cellStyle name="Output 2 2 2 2 2 2 2 3 2 2" xfId="12734"/>
    <cellStyle name="Output 2 2 2 2 2 2 2 3 3" xfId="9314"/>
    <cellStyle name="Output 2 2 2 2 2 2 2 4" xfId="3614"/>
    <cellStyle name="Output 2 2 2 2 2 2 2 4 2" xfId="7034"/>
    <cellStyle name="Output 2 2 2 2 2 2 2 4 2 2" xfId="13874"/>
    <cellStyle name="Output 2 2 2 2 2 2 2 4 3" xfId="10454"/>
    <cellStyle name="Output 2 2 2 2 2 2 2 5" xfId="4754"/>
    <cellStyle name="Output 2 2 2 2 2 2 2 5 2" xfId="11594"/>
    <cellStyle name="Output 2 2 2 2 2 2 2 6" xfId="8174"/>
    <cellStyle name="Output 2 2 2 2 2 2 2 7" xfId="61584"/>
    <cellStyle name="Output 2 2 2 2 2 2 3" xfId="38533"/>
    <cellStyle name="Output 2 2 2 2 2 2 4" xfId="57001"/>
    <cellStyle name="Output 2 2 2 2 2 2 5" xfId="57002"/>
    <cellStyle name="Output 2 2 2 2 2 2 6" xfId="57003"/>
    <cellStyle name="Output 2 2 2 2 2 2 7" xfId="61294"/>
    <cellStyle name="Output 2 2 2 2 2 3" xfId="1286"/>
    <cellStyle name="Output 2 2 2 2 2 3 2" xfId="1682"/>
    <cellStyle name="Output 2 2 2 2 2 3 2 2" xfId="2822"/>
    <cellStyle name="Output 2 2 2 2 2 3 2 2 2" xfId="6242"/>
    <cellStyle name="Output 2 2 2 2 2 3 2 2 2 2" xfId="13082"/>
    <cellStyle name="Output 2 2 2 2 2 3 2 2 3" xfId="9662"/>
    <cellStyle name="Output 2 2 2 2 2 3 2 3" xfId="3962"/>
    <cellStyle name="Output 2 2 2 2 2 3 2 3 2" xfId="7382"/>
    <cellStyle name="Output 2 2 2 2 2 3 2 3 2 2" xfId="14222"/>
    <cellStyle name="Output 2 2 2 2 2 3 2 3 3" xfId="10802"/>
    <cellStyle name="Output 2 2 2 2 2 3 2 4" xfId="5102"/>
    <cellStyle name="Output 2 2 2 2 2 3 2 4 2" xfId="11942"/>
    <cellStyle name="Output 2 2 2 2 2 3 2 5" xfId="8522"/>
    <cellStyle name="Output 2 2 2 2 2 3 3" xfId="2106"/>
    <cellStyle name="Output 2 2 2 2 2 3 3 2" xfId="5526"/>
    <cellStyle name="Output 2 2 2 2 2 3 3 2 2" xfId="12366"/>
    <cellStyle name="Output 2 2 2 2 2 3 3 3" xfId="8946"/>
    <cellStyle name="Output 2 2 2 2 2 3 4" xfId="3246"/>
    <cellStyle name="Output 2 2 2 2 2 3 4 2" xfId="6666"/>
    <cellStyle name="Output 2 2 2 2 2 3 4 2 2" xfId="13506"/>
    <cellStyle name="Output 2 2 2 2 2 3 4 3" xfId="10086"/>
    <cellStyle name="Output 2 2 2 2 2 3 5" xfId="4386"/>
    <cellStyle name="Output 2 2 2 2 2 3 5 2" xfId="11226"/>
    <cellStyle name="Output 2 2 2 2 2 3 6" xfId="7806"/>
    <cellStyle name="Output 2 2 2 2 2 3 7" xfId="61585"/>
    <cellStyle name="Output 2 2 2 2 2 4" xfId="38296"/>
    <cellStyle name="Output 2 2 2 2 2 5" xfId="57004"/>
    <cellStyle name="Output 2 2 2 2 2 6" xfId="57005"/>
    <cellStyle name="Output 2 2 2 2 2 7" xfId="57006"/>
    <cellStyle name="Output 2 2 2 2 2 8" xfId="57007"/>
    <cellStyle name="Output 2 2 2 2 2 9" xfId="60962"/>
    <cellStyle name="Output 2 2 2 2 3" xfId="601"/>
    <cellStyle name="Output 2 2 2 2 3 2" xfId="1588"/>
    <cellStyle name="Output 2 2 2 2 3 2 2" xfId="1875"/>
    <cellStyle name="Output 2 2 2 2 3 2 2 2" xfId="3015"/>
    <cellStyle name="Output 2 2 2 2 3 2 2 2 2" xfId="6435"/>
    <cellStyle name="Output 2 2 2 2 3 2 2 2 2 2" xfId="13275"/>
    <cellStyle name="Output 2 2 2 2 3 2 2 2 3" xfId="9855"/>
    <cellStyle name="Output 2 2 2 2 3 2 2 3" xfId="4155"/>
    <cellStyle name="Output 2 2 2 2 3 2 2 3 2" xfId="7575"/>
    <cellStyle name="Output 2 2 2 2 3 2 2 3 2 2" xfId="14415"/>
    <cellStyle name="Output 2 2 2 2 3 2 2 3 3" xfId="10995"/>
    <cellStyle name="Output 2 2 2 2 3 2 2 4" xfId="5295"/>
    <cellStyle name="Output 2 2 2 2 3 2 2 4 2" xfId="12135"/>
    <cellStyle name="Output 2 2 2 2 3 2 2 5" xfId="8715"/>
    <cellStyle name="Output 2 2 2 2 3 2 3" xfId="2413"/>
    <cellStyle name="Output 2 2 2 2 3 2 3 2" xfId="5833"/>
    <cellStyle name="Output 2 2 2 2 3 2 3 2 2" xfId="12673"/>
    <cellStyle name="Output 2 2 2 2 3 2 3 3" xfId="9253"/>
    <cellStyle name="Output 2 2 2 2 3 2 4" xfId="3553"/>
    <cellStyle name="Output 2 2 2 2 3 2 4 2" xfId="6973"/>
    <cellStyle name="Output 2 2 2 2 3 2 4 2 2" xfId="13813"/>
    <cellStyle name="Output 2 2 2 2 3 2 4 3" xfId="10393"/>
    <cellStyle name="Output 2 2 2 2 3 2 5" xfId="4693"/>
    <cellStyle name="Output 2 2 2 2 3 2 5 2" xfId="11533"/>
    <cellStyle name="Output 2 2 2 2 3 2 6" xfId="8113"/>
    <cellStyle name="Output 2 2 2 2 3 2 7" xfId="61583"/>
    <cellStyle name="Output 2 2 2 2 3 3" xfId="38482"/>
    <cellStyle name="Output 2 2 2 2 3 4" xfId="57008"/>
    <cellStyle name="Output 2 2 2 2 3 5" xfId="57009"/>
    <cellStyle name="Output 2 2 2 2 3 6" xfId="57010"/>
    <cellStyle name="Output 2 2 2 2 3 7" xfId="61295"/>
    <cellStyle name="Output 2 2 2 2 4" xfId="1162"/>
    <cellStyle name="Output 2 2 2 2 4 2" xfId="1047"/>
    <cellStyle name="Output 2 2 2 2 4 2 2" xfId="2637"/>
    <cellStyle name="Output 2 2 2 2 4 2 2 2" xfId="6057"/>
    <cellStyle name="Output 2 2 2 2 4 2 2 2 2" xfId="12897"/>
    <cellStyle name="Output 2 2 2 2 4 2 2 3" xfId="9477"/>
    <cellStyle name="Output 2 2 2 2 4 2 3" xfId="3777"/>
    <cellStyle name="Output 2 2 2 2 4 2 3 2" xfId="7197"/>
    <cellStyle name="Output 2 2 2 2 4 2 3 2 2" xfId="14037"/>
    <cellStyle name="Output 2 2 2 2 4 2 3 3" xfId="10617"/>
    <cellStyle name="Output 2 2 2 2 4 2 4" xfId="4917"/>
    <cellStyle name="Output 2 2 2 2 4 2 4 2" xfId="11757"/>
    <cellStyle name="Output 2 2 2 2 4 2 5" xfId="8337"/>
    <cellStyle name="Output 2 2 2 2 4 3" xfId="1981"/>
    <cellStyle name="Output 2 2 2 2 4 3 2" xfId="5401"/>
    <cellStyle name="Output 2 2 2 2 4 3 2 2" xfId="12241"/>
    <cellStyle name="Output 2 2 2 2 4 3 3" xfId="8821"/>
    <cellStyle name="Output 2 2 2 2 4 4" xfId="3121"/>
    <cellStyle name="Output 2 2 2 2 4 4 2" xfId="6541"/>
    <cellStyle name="Output 2 2 2 2 4 4 2 2" xfId="13381"/>
    <cellStyle name="Output 2 2 2 2 4 4 3" xfId="9961"/>
    <cellStyle name="Output 2 2 2 2 4 5" xfId="4261"/>
    <cellStyle name="Output 2 2 2 2 4 5 2" xfId="11101"/>
    <cellStyle name="Output 2 2 2 2 4 6" xfId="7681"/>
    <cellStyle name="Output 2 2 2 2 4 7" xfId="61586"/>
    <cellStyle name="Output 2 2 2 2 5" xfId="15592"/>
    <cellStyle name="Output 2 2 2 2 6" xfId="23906"/>
    <cellStyle name="Output 2 2 2 2 7" xfId="38218"/>
    <cellStyle name="Output 2 2 2 2 8" xfId="57011"/>
    <cellStyle name="Output 2 2 2 2 9" xfId="60838"/>
    <cellStyle name="Output 2 2 2 3" xfId="320"/>
    <cellStyle name="Output 2 2 2 3 2" xfId="403"/>
    <cellStyle name="Output 2 2 2 3 2 2" xfId="1408"/>
    <cellStyle name="Output 2 2 2 3 2 2 2" xfId="1704"/>
    <cellStyle name="Output 2 2 2 3 2 2 2 2" xfId="2844"/>
    <cellStyle name="Output 2 2 2 3 2 2 2 2 2" xfId="6264"/>
    <cellStyle name="Output 2 2 2 3 2 2 2 2 2 2" xfId="13104"/>
    <cellStyle name="Output 2 2 2 3 2 2 2 2 3" xfId="9684"/>
    <cellStyle name="Output 2 2 2 3 2 2 2 3" xfId="3984"/>
    <cellStyle name="Output 2 2 2 3 2 2 2 3 2" xfId="7404"/>
    <cellStyle name="Output 2 2 2 3 2 2 2 3 2 2" xfId="14244"/>
    <cellStyle name="Output 2 2 2 3 2 2 2 3 3" xfId="10824"/>
    <cellStyle name="Output 2 2 2 3 2 2 2 4" xfId="5124"/>
    <cellStyle name="Output 2 2 2 3 2 2 2 4 2" xfId="11964"/>
    <cellStyle name="Output 2 2 2 3 2 2 2 5" xfId="8544"/>
    <cellStyle name="Output 2 2 2 3 2 2 3" xfId="2229"/>
    <cellStyle name="Output 2 2 2 3 2 2 3 2" xfId="5649"/>
    <cellStyle name="Output 2 2 2 3 2 2 3 2 2" xfId="12489"/>
    <cellStyle name="Output 2 2 2 3 2 2 3 3" xfId="9069"/>
    <cellStyle name="Output 2 2 2 3 2 2 4" xfId="3369"/>
    <cellStyle name="Output 2 2 2 3 2 2 4 2" xfId="6789"/>
    <cellStyle name="Output 2 2 2 3 2 2 4 2 2" xfId="13629"/>
    <cellStyle name="Output 2 2 2 3 2 2 4 3" xfId="10209"/>
    <cellStyle name="Output 2 2 2 3 2 2 5" xfId="4509"/>
    <cellStyle name="Output 2 2 2 3 2 2 5 2" xfId="11349"/>
    <cellStyle name="Output 2 2 2 3 2 2 6" xfId="7929"/>
    <cellStyle name="Output 2 2 2 3 2 2 7" xfId="61581"/>
    <cellStyle name="Output 2 2 2 3 2 3" xfId="38381"/>
    <cellStyle name="Output 2 2 2 3 2 4" xfId="57012"/>
    <cellStyle name="Output 2 2 2 3 2 5" xfId="57013"/>
    <cellStyle name="Output 2 2 2 3 2 6" xfId="57014"/>
    <cellStyle name="Output 2 2 2 3 2 7" xfId="57015"/>
    <cellStyle name="Output 2 2 2 3 2 8" xfId="61084"/>
    <cellStyle name="Output 2 2 2 3 3" xfId="1325"/>
    <cellStyle name="Output 2 2 2 3 3 2" xfId="966"/>
    <cellStyle name="Output 2 2 2 3 3 2 2" xfId="2724"/>
    <cellStyle name="Output 2 2 2 3 3 2 2 2" xfId="6144"/>
    <cellStyle name="Output 2 2 2 3 3 2 2 2 2" xfId="12984"/>
    <cellStyle name="Output 2 2 2 3 3 2 2 3" xfId="9564"/>
    <cellStyle name="Output 2 2 2 3 3 2 3" xfId="3864"/>
    <cellStyle name="Output 2 2 2 3 3 2 3 2" xfId="7284"/>
    <cellStyle name="Output 2 2 2 3 3 2 3 2 2" xfId="14124"/>
    <cellStyle name="Output 2 2 2 3 3 2 3 3" xfId="10704"/>
    <cellStyle name="Output 2 2 2 3 3 2 4" xfId="5004"/>
    <cellStyle name="Output 2 2 2 3 3 2 4 2" xfId="11844"/>
    <cellStyle name="Output 2 2 2 3 3 2 5" xfId="8424"/>
    <cellStyle name="Output 2 2 2 3 3 3" xfId="2146"/>
    <cellStyle name="Output 2 2 2 3 3 3 2" xfId="5566"/>
    <cellStyle name="Output 2 2 2 3 3 3 2 2" xfId="12406"/>
    <cellStyle name="Output 2 2 2 3 3 3 3" xfId="8986"/>
    <cellStyle name="Output 2 2 2 3 3 4" xfId="3286"/>
    <cellStyle name="Output 2 2 2 3 3 4 2" xfId="6706"/>
    <cellStyle name="Output 2 2 2 3 3 4 2 2" xfId="13546"/>
    <cellStyle name="Output 2 2 2 3 3 4 3" xfId="10126"/>
    <cellStyle name="Output 2 2 2 3 3 5" xfId="4426"/>
    <cellStyle name="Output 2 2 2 3 3 5 2" xfId="11266"/>
    <cellStyle name="Output 2 2 2 3 3 6" xfId="7846"/>
    <cellStyle name="Output 2 2 2 3 3 7" xfId="61582"/>
    <cellStyle name="Output 2 2 2 3 4" xfId="16562"/>
    <cellStyle name="Output 2 2 2 3 5" xfId="24877"/>
    <cellStyle name="Output 2 2 2 3 6" xfId="32137"/>
    <cellStyle name="Output 2 2 2 3 7" xfId="57016"/>
    <cellStyle name="Output 2 2 2 3 8" xfId="57017"/>
    <cellStyle name="Output 2 2 2 3 9" xfId="61001"/>
    <cellStyle name="Output 2 2 2 4" xfId="221"/>
    <cellStyle name="Output 2 2 2 4 2" xfId="462"/>
    <cellStyle name="Output 2 2 2 4 2 2" xfId="1466"/>
    <cellStyle name="Output 2 2 2 4 2 2 2" xfId="1707"/>
    <cellStyle name="Output 2 2 2 4 2 2 2 2" xfId="2847"/>
    <cellStyle name="Output 2 2 2 4 2 2 2 2 2" xfId="6267"/>
    <cellStyle name="Output 2 2 2 4 2 2 2 2 2 2" xfId="13107"/>
    <cellStyle name="Output 2 2 2 4 2 2 2 2 3" xfId="9687"/>
    <cellStyle name="Output 2 2 2 4 2 2 2 3" xfId="3987"/>
    <cellStyle name="Output 2 2 2 4 2 2 2 3 2" xfId="7407"/>
    <cellStyle name="Output 2 2 2 4 2 2 2 3 2 2" xfId="14247"/>
    <cellStyle name="Output 2 2 2 4 2 2 2 3 3" xfId="10827"/>
    <cellStyle name="Output 2 2 2 4 2 2 2 4" xfId="5127"/>
    <cellStyle name="Output 2 2 2 4 2 2 2 4 2" xfId="11967"/>
    <cellStyle name="Output 2 2 2 4 2 2 2 5" xfId="8547"/>
    <cellStyle name="Output 2 2 2 4 2 2 3" xfId="2287"/>
    <cellStyle name="Output 2 2 2 4 2 2 3 2" xfId="5707"/>
    <cellStyle name="Output 2 2 2 4 2 2 3 2 2" xfId="12547"/>
    <cellStyle name="Output 2 2 2 4 2 2 3 3" xfId="9127"/>
    <cellStyle name="Output 2 2 2 4 2 2 4" xfId="3427"/>
    <cellStyle name="Output 2 2 2 4 2 2 4 2" xfId="6847"/>
    <cellStyle name="Output 2 2 2 4 2 2 4 2 2" xfId="13687"/>
    <cellStyle name="Output 2 2 2 4 2 2 4 3" xfId="10267"/>
    <cellStyle name="Output 2 2 2 4 2 2 5" xfId="4567"/>
    <cellStyle name="Output 2 2 2 4 2 2 5 2" xfId="11407"/>
    <cellStyle name="Output 2 2 2 4 2 2 6" xfId="7987"/>
    <cellStyle name="Output 2 2 2 4 2 2 7" xfId="61579"/>
    <cellStyle name="Output 2 2 2 4 2 3" xfId="38418"/>
    <cellStyle name="Output 2 2 2 4 2 4" xfId="57018"/>
    <cellStyle name="Output 2 2 2 4 2 5" xfId="57019"/>
    <cellStyle name="Output 2 2 2 4 2 6" xfId="57020"/>
    <cellStyle name="Output 2 2 2 4 2 7" xfId="57021"/>
    <cellStyle name="Output 2 2 2 4 2 8" xfId="61142"/>
    <cellStyle name="Output 2 2 2 4 3" xfId="1228"/>
    <cellStyle name="Output 2 2 2 4 3 2" xfId="1014"/>
    <cellStyle name="Output 2 2 2 4 3 2 2" xfId="1924"/>
    <cellStyle name="Output 2 2 2 4 3 2 2 2" xfId="5344"/>
    <cellStyle name="Output 2 2 2 4 3 2 2 2 2" xfId="12184"/>
    <cellStyle name="Output 2 2 2 4 3 2 2 3" xfId="8764"/>
    <cellStyle name="Output 2 2 2 4 3 2 3" xfId="3064"/>
    <cellStyle name="Output 2 2 2 4 3 2 3 2" xfId="6484"/>
    <cellStyle name="Output 2 2 2 4 3 2 3 2 2" xfId="13324"/>
    <cellStyle name="Output 2 2 2 4 3 2 3 3" xfId="9904"/>
    <cellStyle name="Output 2 2 2 4 3 2 4" xfId="4204"/>
    <cellStyle name="Output 2 2 2 4 3 2 4 2" xfId="11044"/>
    <cellStyle name="Output 2 2 2 4 3 2 5" xfId="7624"/>
    <cellStyle name="Output 2 2 2 4 3 3" xfId="2048"/>
    <cellStyle name="Output 2 2 2 4 3 3 2" xfId="5468"/>
    <cellStyle name="Output 2 2 2 4 3 3 2 2" xfId="12308"/>
    <cellStyle name="Output 2 2 2 4 3 3 3" xfId="8888"/>
    <cellStyle name="Output 2 2 2 4 3 4" xfId="3188"/>
    <cellStyle name="Output 2 2 2 4 3 4 2" xfId="6608"/>
    <cellStyle name="Output 2 2 2 4 3 4 2 2" xfId="13448"/>
    <cellStyle name="Output 2 2 2 4 3 4 3" xfId="10028"/>
    <cellStyle name="Output 2 2 2 4 3 5" xfId="4328"/>
    <cellStyle name="Output 2 2 2 4 3 5 2" xfId="11168"/>
    <cellStyle name="Output 2 2 2 4 3 6" xfId="7748"/>
    <cellStyle name="Output 2 2 2 4 3 7" xfId="61580"/>
    <cellStyle name="Output 2 2 2 4 4" xfId="17580"/>
    <cellStyle name="Output 2 2 2 4 5" xfId="25901"/>
    <cellStyle name="Output 2 2 2 4 6" xfId="33114"/>
    <cellStyle name="Output 2 2 2 4 7" xfId="57022"/>
    <cellStyle name="Output 2 2 2 4 8" xfId="57023"/>
    <cellStyle name="Output 2 2 2 4 9" xfId="60904"/>
    <cellStyle name="Output 2 2 2 5" xfId="483"/>
    <cellStyle name="Output 2 2 2 5 2" xfId="459"/>
    <cellStyle name="Output 2 2 2 5 2 2" xfId="1463"/>
    <cellStyle name="Output 2 2 2 5 2 2 2" xfId="1710"/>
    <cellStyle name="Output 2 2 2 5 2 2 2 2" xfId="2850"/>
    <cellStyle name="Output 2 2 2 5 2 2 2 2 2" xfId="6270"/>
    <cellStyle name="Output 2 2 2 5 2 2 2 2 2 2" xfId="13110"/>
    <cellStyle name="Output 2 2 2 5 2 2 2 2 3" xfId="9690"/>
    <cellStyle name="Output 2 2 2 5 2 2 2 3" xfId="3990"/>
    <cellStyle name="Output 2 2 2 5 2 2 2 3 2" xfId="7410"/>
    <cellStyle name="Output 2 2 2 5 2 2 2 3 2 2" xfId="14250"/>
    <cellStyle name="Output 2 2 2 5 2 2 2 3 3" xfId="10830"/>
    <cellStyle name="Output 2 2 2 5 2 2 2 4" xfId="5130"/>
    <cellStyle name="Output 2 2 2 5 2 2 2 4 2" xfId="11970"/>
    <cellStyle name="Output 2 2 2 5 2 2 2 5" xfId="8550"/>
    <cellStyle name="Output 2 2 2 5 2 2 3" xfId="2284"/>
    <cellStyle name="Output 2 2 2 5 2 2 3 2" xfId="5704"/>
    <cellStyle name="Output 2 2 2 5 2 2 3 2 2" xfId="12544"/>
    <cellStyle name="Output 2 2 2 5 2 2 3 3" xfId="9124"/>
    <cellStyle name="Output 2 2 2 5 2 2 4" xfId="3424"/>
    <cellStyle name="Output 2 2 2 5 2 2 4 2" xfId="6844"/>
    <cellStyle name="Output 2 2 2 5 2 2 4 2 2" xfId="13684"/>
    <cellStyle name="Output 2 2 2 5 2 2 4 3" xfId="10264"/>
    <cellStyle name="Output 2 2 2 5 2 2 5" xfId="4564"/>
    <cellStyle name="Output 2 2 2 5 2 2 5 2" xfId="11404"/>
    <cellStyle name="Output 2 2 2 5 2 2 6" xfId="7984"/>
    <cellStyle name="Output 2 2 2 5 2 2 7" xfId="61496"/>
    <cellStyle name="Output 2 2 2 5 2 3" xfId="38416"/>
    <cellStyle name="Output 2 2 2 5 2 4" xfId="57024"/>
    <cellStyle name="Output 2 2 2 5 2 5" xfId="57025"/>
    <cellStyle name="Output 2 2 2 5 2 6" xfId="57026"/>
    <cellStyle name="Output 2 2 2 5 2 7" xfId="57027"/>
    <cellStyle name="Output 2 2 2 5 2 8" xfId="61139"/>
    <cellStyle name="Output 2 2 2 5 3" xfId="1487"/>
    <cellStyle name="Output 2 2 2 5 3 2" xfId="1824"/>
    <cellStyle name="Output 2 2 2 5 3 2 2" xfId="2964"/>
    <cellStyle name="Output 2 2 2 5 3 2 2 2" xfId="6384"/>
    <cellStyle name="Output 2 2 2 5 3 2 2 2 2" xfId="13224"/>
    <cellStyle name="Output 2 2 2 5 3 2 2 3" xfId="9804"/>
    <cellStyle name="Output 2 2 2 5 3 2 3" xfId="4104"/>
    <cellStyle name="Output 2 2 2 5 3 2 3 2" xfId="7524"/>
    <cellStyle name="Output 2 2 2 5 3 2 3 2 2" xfId="14364"/>
    <cellStyle name="Output 2 2 2 5 3 2 3 3" xfId="10944"/>
    <cellStyle name="Output 2 2 2 5 3 2 4" xfId="5244"/>
    <cellStyle name="Output 2 2 2 5 3 2 4 2" xfId="12084"/>
    <cellStyle name="Output 2 2 2 5 3 2 5" xfId="8664"/>
    <cellStyle name="Output 2 2 2 5 3 3" xfId="2308"/>
    <cellStyle name="Output 2 2 2 5 3 3 2" xfId="5728"/>
    <cellStyle name="Output 2 2 2 5 3 3 2 2" xfId="12568"/>
    <cellStyle name="Output 2 2 2 5 3 3 3" xfId="9148"/>
    <cellStyle name="Output 2 2 2 5 3 4" xfId="3448"/>
    <cellStyle name="Output 2 2 2 5 3 4 2" xfId="6868"/>
    <cellStyle name="Output 2 2 2 5 3 4 2 2" xfId="13708"/>
    <cellStyle name="Output 2 2 2 5 3 4 3" xfId="10288"/>
    <cellStyle name="Output 2 2 2 5 3 5" xfId="4588"/>
    <cellStyle name="Output 2 2 2 5 3 5 2" xfId="11428"/>
    <cellStyle name="Output 2 2 2 5 3 6" xfId="8008"/>
    <cellStyle name="Output 2 2 2 5 3 7" xfId="61578"/>
    <cellStyle name="Output 2 2 2 5 4" xfId="18561"/>
    <cellStyle name="Output 2 2 2 5 5" xfId="26879"/>
    <cellStyle name="Output 2 2 2 5 6" xfId="34048"/>
    <cellStyle name="Output 2 2 2 5 7" xfId="57028"/>
    <cellStyle name="Output 2 2 2 5 8" xfId="57029"/>
    <cellStyle name="Output 2 2 2 5 9" xfId="61163"/>
    <cellStyle name="Output 2 2 2 6" xfId="445"/>
    <cellStyle name="Output 2 2 2 6 2" xfId="357"/>
    <cellStyle name="Output 2 2 2 6 2 2" xfId="1362"/>
    <cellStyle name="Output 2 2 2 6 2 2 2" xfId="930"/>
    <cellStyle name="Output 2 2 2 6 2 2 2 2" xfId="2578"/>
    <cellStyle name="Output 2 2 2 6 2 2 2 2 2" xfId="5998"/>
    <cellStyle name="Output 2 2 2 6 2 2 2 2 2 2" xfId="12838"/>
    <cellStyle name="Output 2 2 2 6 2 2 2 2 3" xfId="9418"/>
    <cellStyle name="Output 2 2 2 6 2 2 2 3" xfId="3718"/>
    <cellStyle name="Output 2 2 2 6 2 2 2 3 2" xfId="7138"/>
    <cellStyle name="Output 2 2 2 6 2 2 2 3 2 2" xfId="13978"/>
    <cellStyle name="Output 2 2 2 6 2 2 2 3 3" xfId="10558"/>
    <cellStyle name="Output 2 2 2 6 2 2 2 4" xfId="4858"/>
    <cellStyle name="Output 2 2 2 6 2 2 2 4 2" xfId="11698"/>
    <cellStyle name="Output 2 2 2 6 2 2 2 5" xfId="8278"/>
    <cellStyle name="Output 2 2 2 6 2 2 3" xfId="2183"/>
    <cellStyle name="Output 2 2 2 6 2 2 3 2" xfId="5603"/>
    <cellStyle name="Output 2 2 2 6 2 2 3 2 2" xfId="12443"/>
    <cellStyle name="Output 2 2 2 6 2 2 3 3" xfId="9023"/>
    <cellStyle name="Output 2 2 2 6 2 2 4" xfId="3323"/>
    <cellStyle name="Output 2 2 2 6 2 2 4 2" xfId="6743"/>
    <cellStyle name="Output 2 2 2 6 2 2 4 2 2" xfId="13583"/>
    <cellStyle name="Output 2 2 2 6 2 2 4 3" xfId="10163"/>
    <cellStyle name="Output 2 2 2 6 2 2 5" xfId="4463"/>
    <cellStyle name="Output 2 2 2 6 2 2 5 2" xfId="11303"/>
    <cellStyle name="Output 2 2 2 6 2 2 6" xfId="7883"/>
    <cellStyle name="Output 2 2 2 6 2 2 7" xfId="61576"/>
    <cellStyle name="Output 2 2 2 6 2 3" xfId="38344"/>
    <cellStyle name="Output 2 2 2 6 2 4" xfId="57030"/>
    <cellStyle name="Output 2 2 2 6 2 5" xfId="57031"/>
    <cellStyle name="Output 2 2 2 6 2 6" xfId="57032"/>
    <cellStyle name="Output 2 2 2 6 2 7" xfId="57033"/>
    <cellStyle name="Output 2 2 2 6 2 8" xfId="61038"/>
    <cellStyle name="Output 2 2 2 6 3" xfId="1449"/>
    <cellStyle name="Output 2 2 2 6 3 2" xfId="1677"/>
    <cellStyle name="Output 2 2 2 6 3 2 2" xfId="2817"/>
    <cellStyle name="Output 2 2 2 6 3 2 2 2" xfId="6237"/>
    <cellStyle name="Output 2 2 2 6 3 2 2 2 2" xfId="13077"/>
    <cellStyle name="Output 2 2 2 6 3 2 2 3" xfId="9657"/>
    <cellStyle name="Output 2 2 2 6 3 2 3" xfId="3957"/>
    <cellStyle name="Output 2 2 2 6 3 2 3 2" xfId="7377"/>
    <cellStyle name="Output 2 2 2 6 3 2 3 2 2" xfId="14217"/>
    <cellStyle name="Output 2 2 2 6 3 2 3 3" xfId="10797"/>
    <cellStyle name="Output 2 2 2 6 3 2 4" xfId="5097"/>
    <cellStyle name="Output 2 2 2 6 3 2 4 2" xfId="11937"/>
    <cellStyle name="Output 2 2 2 6 3 2 5" xfId="8517"/>
    <cellStyle name="Output 2 2 2 6 3 3" xfId="2270"/>
    <cellStyle name="Output 2 2 2 6 3 3 2" xfId="5690"/>
    <cellStyle name="Output 2 2 2 6 3 3 2 2" xfId="12530"/>
    <cellStyle name="Output 2 2 2 6 3 3 3" xfId="9110"/>
    <cellStyle name="Output 2 2 2 6 3 4" xfId="3410"/>
    <cellStyle name="Output 2 2 2 6 3 4 2" xfId="6830"/>
    <cellStyle name="Output 2 2 2 6 3 4 2 2" xfId="13670"/>
    <cellStyle name="Output 2 2 2 6 3 4 3" xfId="10250"/>
    <cellStyle name="Output 2 2 2 6 3 5" xfId="4550"/>
    <cellStyle name="Output 2 2 2 6 3 5 2" xfId="11390"/>
    <cellStyle name="Output 2 2 2 6 3 6" xfId="7970"/>
    <cellStyle name="Output 2 2 2 6 3 7" xfId="61577"/>
    <cellStyle name="Output 2 2 2 6 4" xfId="16547"/>
    <cellStyle name="Output 2 2 2 6 5" xfId="24860"/>
    <cellStyle name="Output 2 2 2 6 6" xfId="32120"/>
    <cellStyle name="Output 2 2 2 6 7" xfId="57034"/>
    <cellStyle name="Output 2 2 2 6 8" xfId="57035"/>
    <cellStyle name="Output 2 2 2 6 9" xfId="61125"/>
    <cellStyle name="Output 2 2 2 7" xfId="1111"/>
    <cellStyle name="Output 2 2 2 7 10" xfId="61587"/>
    <cellStyle name="Output 2 2 2 7 2" xfId="1070"/>
    <cellStyle name="Output 2 2 2 7 2 2" xfId="2794"/>
    <cellStyle name="Output 2 2 2 7 2 2 2" xfId="6214"/>
    <cellStyle name="Output 2 2 2 7 2 2 2 2" xfId="13054"/>
    <cellStyle name="Output 2 2 2 7 2 2 3" xfId="9634"/>
    <cellStyle name="Output 2 2 2 7 2 3" xfId="3934"/>
    <cellStyle name="Output 2 2 2 7 2 3 2" xfId="7354"/>
    <cellStyle name="Output 2 2 2 7 2 3 2 2" xfId="14194"/>
    <cellStyle name="Output 2 2 2 7 2 3 3" xfId="10774"/>
    <cellStyle name="Output 2 2 2 7 2 4" xfId="5074"/>
    <cellStyle name="Output 2 2 2 7 2 4 2" xfId="11914"/>
    <cellStyle name="Output 2 2 2 7 2 5" xfId="8494"/>
    <cellStyle name="Output 2 2 2 7 3" xfId="1920"/>
    <cellStyle name="Output 2 2 2 7 3 2" xfId="5340"/>
    <cellStyle name="Output 2 2 2 7 3 2 2" xfId="12180"/>
    <cellStyle name="Output 2 2 2 7 3 3" xfId="8760"/>
    <cellStyle name="Output 2 2 2 7 4" xfId="3060"/>
    <cellStyle name="Output 2 2 2 7 4 2" xfId="6480"/>
    <cellStyle name="Output 2 2 2 7 4 2 2" xfId="13320"/>
    <cellStyle name="Output 2 2 2 7 4 3" xfId="9900"/>
    <cellStyle name="Output 2 2 2 7 5" xfId="4200"/>
    <cellStyle name="Output 2 2 2 7 5 2" xfId="11040"/>
    <cellStyle name="Output 2 2 2 7 6" xfId="7620"/>
    <cellStyle name="Output 2 2 2 7 7" xfId="19191"/>
    <cellStyle name="Output 2 2 2 7 8" xfId="27511"/>
    <cellStyle name="Output 2 2 2 7 9" xfId="34659"/>
    <cellStyle name="Output 2 2 2 8" xfId="15532"/>
    <cellStyle name="Output 2 2 2 8 2" xfId="23868"/>
    <cellStyle name="Output 2 2 2 8 2 2" xfId="57036"/>
    <cellStyle name="Output 2 2 2 8 2 3" xfId="57037"/>
    <cellStyle name="Output 2 2 2 8 3" xfId="31214"/>
    <cellStyle name="Output 2 2 2 8 4" xfId="57038"/>
    <cellStyle name="Output 2 2 2 9" xfId="21960"/>
    <cellStyle name="Output 2 2 2 9 2" xfId="30261"/>
    <cellStyle name="Output 2 2 2 9 2 2" xfId="57039"/>
    <cellStyle name="Output 2 2 2 9 2 3" xfId="57040"/>
    <cellStyle name="Output 2 2 2 9 3" xfId="37301"/>
    <cellStyle name="Output 2 2 2 9 4" xfId="57041"/>
    <cellStyle name="Output 2 2 20" xfId="15079"/>
    <cellStyle name="Output 2 2 20 10" xfId="23438"/>
    <cellStyle name="Output 2 2 20 11" xfId="57042"/>
    <cellStyle name="Output 2 2 20 2" xfId="16159"/>
    <cellStyle name="Output 2 2 20 2 2" xfId="24473"/>
    <cellStyle name="Output 2 2 20 2 2 2" xfId="57043"/>
    <cellStyle name="Output 2 2 20 2 2 3" xfId="57044"/>
    <cellStyle name="Output 2 2 20 2 3" xfId="31750"/>
    <cellStyle name="Output 2 2 20 2 4" xfId="57045"/>
    <cellStyle name="Output 2 2 20 3" xfId="17126"/>
    <cellStyle name="Output 2 2 20 3 2" xfId="25447"/>
    <cellStyle name="Output 2 2 20 3 2 2" xfId="57046"/>
    <cellStyle name="Output 2 2 20 3 2 3" xfId="57047"/>
    <cellStyle name="Output 2 2 20 3 3" xfId="32684"/>
    <cellStyle name="Output 2 2 20 3 4" xfId="57048"/>
    <cellStyle name="Output 2 2 20 4" xfId="18153"/>
    <cellStyle name="Output 2 2 20 4 2" xfId="26473"/>
    <cellStyle name="Output 2 2 20 4 2 2" xfId="57049"/>
    <cellStyle name="Output 2 2 20 4 2 3" xfId="57050"/>
    <cellStyle name="Output 2 2 20 4 3" xfId="33661"/>
    <cellStyle name="Output 2 2 20 4 4" xfId="57051"/>
    <cellStyle name="Output 2 2 20 5" xfId="19137"/>
    <cellStyle name="Output 2 2 20 5 2" xfId="27457"/>
    <cellStyle name="Output 2 2 20 5 2 2" xfId="57052"/>
    <cellStyle name="Output 2 2 20 5 2 3" xfId="57053"/>
    <cellStyle name="Output 2 2 20 5 3" xfId="34605"/>
    <cellStyle name="Output 2 2 20 5 4" xfId="57054"/>
    <cellStyle name="Output 2 2 20 6" xfId="20105"/>
    <cellStyle name="Output 2 2 20 6 2" xfId="28427"/>
    <cellStyle name="Output 2 2 20 6 2 2" xfId="57055"/>
    <cellStyle name="Output 2 2 20 6 2 3" xfId="57056"/>
    <cellStyle name="Output 2 2 20 6 3" xfId="35552"/>
    <cellStyle name="Output 2 2 20 6 4" xfId="57057"/>
    <cellStyle name="Output 2 2 20 7" xfId="21061"/>
    <cellStyle name="Output 2 2 20 7 2" xfId="29378"/>
    <cellStyle name="Output 2 2 20 7 2 2" xfId="57058"/>
    <cellStyle name="Output 2 2 20 7 2 3" xfId="57059"/>
    <cellStyle name="Output 2 2 20 7 3" xfId="36457"/>
    <cellStyle name="Output 2 2 20 7 4" xfId="57060"/>
    <cellStyle name="Output 2 2 20 8" xfId="21568"/>
    <cellStyle name="Output 2 2 20 8 2" xfId="29869"/>
    <cellStyle name="Output 2 2 20 8 2 2" xfId="57061"/>
    <cellStyle name="Output 2 2 20 8 2 3" xfId="57062"/>
    <cellStyle name="Output 2 2 20 8 3" xfId="36928"/>
    <cellStyle name="Output 2 2 20 8 4" xfId="57063"/>
    <cellStyle name="Output 2 2 20 9" xfId="22496"/>
    <cellStyle name="Output 2 2 20 9 2" xfId="30792"/>
    <cellStyle name="Output 2 2 20 9 3" xfId="37811"/>
    <cellStyle name="Output 2 2 21" xfId="15139"/>
    <cellStyle name="Output 2 2 21 10" xfId="57064"/>
    <cellStyle name="Output 2 2 21 2" xfId="16219"/>
    <cellStyle name="Output 2 2 21 2 2" xfId="24532"/>
    <cellStyle name="Output 2 2 21 2 2 2" xfId="57065"/>
    <cellStyle name="Output 2 2 21 2 2 3" xfId="57066"/>
    <cellStyle name="Output 2 2 21 2 3" xfId="31807"/>
    <cellStyle name="Output 2 2 21 2 4" xfId="57067"/>
    <cellStyle name="Output 2 2 21 3" xfId="17185"/>
    <cellStyle name="Output 2 2 21 3 2" xfId="25506"/>
    <cellStyle name="Output 2 2 21 3 2 2" xfId="57068"/>
    <cellStyle name="Output 2 2 21 3 2 3" xfId="57069"/>
    <cellStyle name="Output 2 2 21 3 3" xfId="32740"/>
    <cellStyle name="Output 2 2 21 3 4" xfId="57070"/>
    <cellStyle name="Output 2 2 21 4" xfId="18213"/>
    <cellStyle name="Output 2 2 21 4 2" xfId="26533"/>
    <cellStyle name="Output 2 2 21 4 2 2" xfId="57071"/>
    <cellStyle name="Output 2 2 21 4 2 3" xfId="57072"/>
    <cellStyle name="Output 2 2 21 4 3" xfId="33718"/>
    <cellStyle name="Output 2 2 21 4 4" xfId="57073"/>
    <cellStyle name="Output 2 2 21 5" xfId="19197"/>
    <cellStyle name="Output 2 2 21 5 2" xfId="27517"/>
    <cellStyle name="Output 2 2 21 5 2 2" xfId="57074"/>
    <cellStyle name="Output 2 2 21 5 2 3" xfId="57075"/>
    <cellStyle name="Output 2 2 21 5 3" xfId="34665"/>
    <cellStyle name="Output 2 2 21 5 4" xfId="57076"/>
    <cellStyle name="Output 2 2 21 6" xfId="20165"/>
    <cellStyle name="Output 2 2 21 6 2" xfId="28487"/>
    <cellStyle name="Output 2 2 21 6 2 2" xfId="57077"/>
    <cellStyle name="Output 2 2 21 6 2 3" xfId="57078"/>
    <cellStyle name="Output 2 2 21 6 3" xfId="35610"/>
    <cellStyle name="Output 2 2 21 6 4" xfId="57079"/>
    <cellStyle name="Output 2 2 21 7" xfId="21626"/>
    <cellStyle name="Output 2 2 21 7 2" xfId="29927"/>
    <cellStyle name="Output 2 2 21 7 2 2" xfId="57080"/>
    <cellStyle name="Output 2 2 21 7 2 3" xfId="57081"/>
    <cellStyle name="Output 2 2 21 7 3" xfId="36984"/>
    <cellStyle name="Output 2 2 21 7 4" xfId="57082"/>
    <cellStyle name="Output 2 2 21 8" xfId="22554"/>
    <cellStyle name="Output 2 2 21 8 2" xfId="30850"/>
    <cellStyle name="Output 2 2 21 8 3" xfId="37867"/>
    <cellStyle name="Output 2 2 21 9" xfId="23496"/>
    <cellStyle name="Output 2 2 22" xfId="15159"/>
    <cellStyle name="Output 2 2 22 10" xfId="57083"/>
    <cellStyle name="Output 2 2 22 2" xfId="16239"/>
    <cellStyle name="Output 2 2 22 2 2" xfId="24552"/>
    <cellStyle name="Output 2 2 22 2 2 2" xfId="57084"/>
    <cellStyle name="Output 2 2 22 2 2 3" xfId="57085"/>
    <cellStyle name="Output 2 2 22 2 3" xfId="31825"/>
    <cellStyle name="Output 2 2 22 2 4" xfId="57086"/>
    <cellStyle name="Output 2 2 22 3" xfId="17205"/>
    <cellStyle name="Output 2 2 22 3 2" xfId="25526"/>
    <cellStyle name="Output 2 2 22 3 2 2" xfId="57087"/>
    <cellStyle name="Output 2 2 22 3 2 3" xfId="57088"/>
    <cellStyle name="Output 2 2 22 3 3" xfId="32758"/>
    <cellStyle name="Output 2 2 22 3 4" xfId="57089"/>
    <cellStyle name="Output 2 2 22 4" xfId="18233"/>
    <cellStyle name="Output 2 2 22 4 2" xfId="26553"/>
    <cellStyle name="Output 2 2 22 4 2 2" xfId="57090"/>
    <cellStyle name="Output 2 2 22 4 2 3" xfId="57091"/>
    <cellStyle name="Output 2 2 22 4 3" xfId="33736"/>
    <cellStyle name="Output 2 2 22 4 4" xfId="57092"/>
    <cellStyle name="Output 2 2 22 5" xfId="19217"/>
    <cellStyle name="Output 2 2 22 5 2" xfId="27537"/>
    <cellStyle name="Output 2 2 22 5 2 2" xfId="57093"/>
    <cellStyle name="Output 2 2 22 5 2 3" xfId="57094"/>
    <cellStyle name="Output 2 2 22 5 3" xfId="34685"/>
    <cellStyle name="Output 2 2 22 5 4" xfId="57095"/>
    <cellStyle name="Output 2 2 22 6" xfId="20185"/>
    <cellStyle name="Output 2 2 22 6 2" xfId="28507"/>
    <cellStyle name="Output 2 2 22 6 2 2" xfId="57096"/>
    <cellStyle name="Output 2 2 22 6 2 3" xfId="57097"/>
    <cellStyle name="Output 2 2 22 6 3" xfId="35628"/>
    <cellStyle name="Output 2 2 22 6 4" xfId="57098"/>
    <cellStyle name="Output 2 2 22 7" xfId="21646"/>
    <cellStyle name="Output 2 2 22 7 2" xfId="29947"/>
    <cellStyle name="Output 2 2 22 7 2 2" xfId="57099"/>
    <cellStyle name="Output 2 2 22 7 2 3" xfId="57100"/>
    <cellStyle name="Output 2 2 22 7 3" xfId="37002"/>
    <cellStyle name="Output 2 2 22 7 4" xfId="57101"/>
    <cellStyle name="Output 2 2 22 8" xfId="22574"/>
    <cellStyle name="Output 2 2 22 8 2" xfId="30870"/>
    <cellStyle name="Output 2 2 22 8 3" xfId="37885"/>
    <cellStyle name="Output 2 2 22 9" xfId="23516"/>
    <cellStyle name="Output 2 2 23" xfId="15181"/>
    <cellStyle name="Output 2 2 23 10" xfId="57102"/>
    <cellStyle name="Output 2 2 23 2" xfId="16261"/>
    <cellStyle name="Output 2 2 23 2 2" xfId="24574"/>
    <cellStyle name="Output 2 2 23 2 2 2" xfId="57103"/>
    <cellStyle name="Output 2 2 23 2 2 3" xfId="57104"/>
    <cellStyle name="Output 2 2 23 2 3" xfId="31846"/>
    <cellStyle name="Output 2 2 23 2 4" xfId="57105"/>
    <cellStyle name="Output 2 2 23 3" xfId="17227"/>
    <cellStyle name="Output 2 2 23 3 2" xfId="25548"/>
    <cellStyle name="Output 2 2 23 3 2 2" xfId="57106"/>
    <cellStyle name="Output 2 2 23 3 2 3" xfId="57107"/>
    <cellStyle name="Output 2 2 23 3 3" xfId="32779"/>
    <cellStyle name="Output 2 2 23 3 4" xfId="57108"/>
    <cellStyle name="Output 2 2 23 4" xfId="18255"/>
    <cellStyle name="Output 2 2 23 4 2" xfId="26575"/>
    <cellStyle name="Output 2 2 23 4 2 2" xfId="57109"/>
    <cellStyle name="Output 2 2 23 4 2 3" xfId="57110"/>
    <cellStyle name="Output 2 2 23 4 3" xfId="33757"/>
    <cellStyle name="Output 2 2 23 4 4" xfId="57111"/>
    <cellStyle name="Output 2 2 23 5" xfId="19239"/>
    <cellStyle name="Output 2 2 23 5 2" xfId="27559"/>
    <cellStyle name="Output 2 2 23 5 2 2" xfId="57112"/>
    <cellStyle name="Output 2 2 23 5 2 3" xfId="57113"/>
    <cellStyle name="Output 2 2 23 5 3" xfId="34707"/>
    <cellStyle name="Output 2 2 23 5 4" xfId="57114"/>
    <cellStyle name="Output 2 2 23 6" xfId="20207"/>
    <cellStyle name="Output 2 2 23 6 2" xfId="28529"/>
    <cellStyle name="Output 2 2 23 6 2 2" xfId="57115"/>
    <cellStyle name="Output 2 2 23 6 2 3" xfId="57116"/>
    <cellStyle name="Output 2 2 23 6 3" xfId="35649"/>
    <cellStyle name="Output 2 2 23 6 4" xfId="57117"/>
    <cellStyle name="Output 2 2 23 7" xfId="21668"/>
    <cellStyle name="Output 2 2 23 7 2" xfId="29969"/>
    <cellStyle name="Output 2 2 23 7 2 2" xfId="57118"/>
    <cellStyle name="Output 2 2 23 7 2 3" xfId="57119"/>
    <cellStyle name="Output 2 2 23 7 3" xfId="37023"/>
    <cellStyle name="Output 2 2 23 7 4" xfId="57120"/>
    <cellStyle name="Output 2 2 23 8" xfId="22596"/>
    <cellStyle name="Output 2 2 23 8 2" xfId="30892"/>
    <cellStyle name="Output 2 2 23 8 3" xfId="37906"/>
    <cellStyle name="Output 2 2 23 9" xfId="23538"/>
    <cellStyle name="Output 2 2 24" xfId="15107"/>
    <cellStyle name="Output 2 2 24 10" xfId="57121"/>
    <cellStyle name="Output 2 2 24 2" xfId="16187"/>
    <cellStyle name="Output 2 2 24 2 2" xfId="24500"/>
    <cellStyle name="Output 2 2 24 2 2 2" xfId="57122"/>
    <cellStyle name="Output 2 2 24 2 2 3" xfId="57123"/>
    <cellStyle name="Output 2 2 24 2 3" xfId="31777"/>
    <cellStyle name="Output 2 2 24 2 4" xfId="57124"/>
    <cellStyle name="Output 2 2 24 3" xfId="17153"/>
    <cellStyle name="Output 2 2 24 3 2" xfId="25474"/>
    <cellStyle name="Output 2 2 24 3 2 2" xfId="57125"/>
    <cellStyle name="Output 2 2 24 3 2 3" xfId="57126"/>
    <cellStyle name="Output 2 2 24 3 3" xfId="32710"/>
    <cellStyle name="Output 2 2 24 3 4" xfId="57127"/>
    <cellStyle name="Output 2 2 24 4" xfId="18181"/>
    <cellStyle name="Output 2 2 24 4 2" xfId="26501"/>
    <cellStyle name="Output 2 2 24 4 2 2" xfId="57128"/>
    <cellStyle name="Output 2 2 24 4 2 3" xfId="57129"/>
    <cellStyle name="Output 2 2 24 4 3" xfId="33688"/>
    <cellStyle name="Output 2 2 24 4 4" xfId="57130"/>
    <cellStyle name="Output 2 2 24 5" xfId="19165"/>
    <cellStyle name="Output 2 2 24 5 2" xfId="27485"/>
    <cellStyle name="Output 2 2 24 5 2 2" xfId="57131"/>
    <cellStyle name="Output 2 2 24 5 2 3" xfId="57132"/>
    <cellStyle name="Output 2 2 24 5 3" xfId="34633"/>
    <cellStyle name="Output 2 2 24 5 4" xfId="57133"/>
    <cellStyle name="Output 2 2 24 6" xfId="20133"/>
    <cellStyle name="Output 2 2 24 6 2" xfId="28455"/>
    <cellStyle name="Output 2 2 24 6 2 2" xfId="57134"/>
    <cellStyle name="Output 2 2 24 6 2 3" xfId="57135"/>
    <cellStyle name="Output 2 2 24 6 3" xfId="35580"/>
    <cellStyle name="Output 2 2 24 6 4" xfId="57136"/>
    <cellStyle name="Output 2 2 24 7" xfId="21594"/>
    <cellStyle name="Output 2 2 24 7 2" xfId="29895"/>
    <cellStyle name="Output 2 2 24 7 2 2" xfId="57137"/>
    <cellStyle name="Output 2 2 24 7 2 3" xfId="57138"/>
    <cellStyle name="Output 2 2 24 7 3" xfId="36954"/>
    <cellStyle name="Output 2 2 24 7 4" xfId="57139"/>
    <cellStyle name="Output 2 2 24 8" xfId="22522"/>
    <cellStyle name="Output 2 2 24 8 2" xfId="30818"/>
    <cellStyle name="Output 2 2 24 8 3" xfId="37837"/>
    <cellStyle name="Output 2 2 24 9" xfId="23464"/>
    <cellStyle name="Output 2 2 25" xfId="15197"/>
    <cellStyle name="Output 2 2 25 10" xfId="57140"/>
    <cellStyle name="Output 2 2 25 2" xfId="16277"/>
    <cellStyle name="Output 2 2 25 2 2" xfId="24590"/>
    <cellStyle name="Output 2 2 25 2 2 2" xfId="57141"/>
    <cellStyle name="Output 2 2 25 2 2 3" xfId="57142"/>
    <cellStyle name="Output 2 2 25 2 3" xfId="31860"/>
    <cellStyle name="Output 2 2 25 2 4" xfId="57143"/>
    <cellStyle name="Output 2 2 25 3" xfId="17243"/>
    <cellStyle name="Output 2 2 25 3 2" xfId="25564"/>
    <cellStyle name="Output 2 2 25 3 2 2" xfId="57144"/>
    <cellStyle name="Output 2 2 25 3 2 3" xfId="57145"/>
    <cellStyle name="Output 2 2 25 3 3" xfId="32793"/>
    <cellStyle name="Output 2 2 25 3 4" xfId="57146"/>
    <cellStyle name="Output 2 2 25 4" xfId="18271"/>
    <cellStyle name="Output 2 2 25 4 2" xfId="26591"/>
    <cellStyle name="Output 2 2 25 4 2 2" xfId="57147"/>
    <cellStyle name="Output 2 2 25 4 2 3" xfId="57148"/>
    <cellStyle name="Output 2 2 25 4 3" xfId="33771"/>
    <cellStyle name="Output 2 2 25 4 4" xfId="57149"/>
    <cellStyle name="Output 2 2 25 5" xfId="19255"/>
    <cellStyle name="Output 2 2 25 5 2" xfId="27575"/>
    <cellStyle name="Output 2 2 25 5 2 2" xfId="57150"/>
    <cellStyle name="Output 2 2 25 5 2 3" xfId="57151"/>
    <cellStyle name="Output 2 2 25 5 3" xfId="34723"/>
    <cellStyle name="Output 2 2 25 5 4" xfId="57152"/>
    <cellStyle name="Output 2 2 25 6" xfId="20223"/>
    <cellStyle name="Output 2 2 25 6 2" xfId="28545"/>
    <cellStyle name="Output 2 2 25 6 2 2" xfId="57153"/>
    <cellStyle name="Output 2 2 25 6 2 3" xfId="57154"/>
    <cellStyle name="Output 2 2 25 6 3" xfId="35663"/>
    <cellStyle name="Output 2 2 25 6 4" xfId="57155"/>
    <cellStyle name="Output 2 2 25 7" xfId="21684"/>
    <cellStyle name="Output 2 2 25 7 2" xfId="29985"/>
    <cellStyle name="Output 2 2 25 7 2 2" xfId="57156"/>
    <cellStyle name="Output 2 2 25 7 2 3" xfId="57157"/>
    <cellStyle name="Output 2 2 25 7 3" xfId="37037"/>
    <cellStyle name="Output 2 2 25 7 4" xfId="57158"/>
    <cellStyle name="Output 2 2 25 8" xfId="22612"/>
    <cellStyle name="Output 2 2 25 8 2" xfId="30908"/>
    <cellStyle name="Output 2 2 25 8 3" xfId="37920"/>
    <cellStyle name="Output 2 2 25 9" xfId="23554"/>
    <cellStyle name="Output 2 2 26" xfId="15262"/>
    <cellStyle name="Output 2 2 26 10" xfId="57159"/>
    <cellStyle name="Output 2 2 26 2" xfId="16342"/>
    <cellStyle name="Output 2 2 26 2 2" xfId="24655"/>
    <cellStyle name="Output 2 2 26 2 2 2" xfId="57160"/>
    <cellStyle name="Output 2 2 26 2 2 3" xfId="57161"/>
    <cellStyle name="Output 2 2 26 2 3" xfId="31922"/>
    <cellStyle name="Output 2 2 26 2 4" xfId="57162"/>
    <cellStyle name="Output 2 2 26 3" xfId="17308"/>
    <cellStyle name="Output 2 2 26 3 2" xfId="25629"/>
    <cellStyle name="Output 2 2 26 3 2 2" xfId="57163"/>
    <cellStyle name="Output 2 2 26 3 2 3" xfId="57164"/>
    <cellStyle name="Output 2 2 26 3 3" xfId="32855"/>
    <cellStyle name="Output 2 2 26 3 4" xfId="57165"/>
    <cellStyle name="Output 2 2 26 4" xfId="18336"/>
    <cellStyle name="Output 2 2 26 4 2" xfId="26656"/>
    <cellStyle name="Output 2 2 26 4 2 2" xfId="57166"/>
    <cellStyle name="Output 2 2 26 4 2 3" xfId="57167"/>
    <cellStyle name="Output 2 2 26 4 3" xfId="33833"/>
    <cellStyle name="Output 2 2 26 4 4" xfId="57168"/>
    <cellStyle name="Output 2 2 26 5" xfId="19320"/>
    <cellStyle name="Output 2 2 26 5 2" xfId="27640"/>
    <cellStyle name="Output 2 2 26 5 2 2" xfId="57169"/>
    <cellStyle name="Output 2 2 26 5 2 3" xfId="57170"/>
    <cellStyle name="Output 2 2 26 5 3" xfId="34788"/>
    <cellStyle name="Output 2 2 26 5 4" xfId="57171"/>
    <cellStyle name="Output 2 2 26 6" xfId="20288"/>
    <cellStyle name="Output 2 2 26 6 2" xfId="28610"/>
    <cellStyle name="Output 2 2 26 6 2 2" xfId="57172"/>
    <cellStyle name="Output 2 2 26 6 2 3" xfId="57173"/>
    <cellStyle name="Output 2 2 26 6 3" xfId="35725"/>
    <cellStyle name="Output 2 2 26 6 4" xfId="57174"/>
    <cellStyle name="Output 2 2 26 7" xfId="21749"/>
    <cellStyle name="Output 2 2 26 7 2" xfId="30050"/>
    <cellStyle name="Output 2 2 26 7 2 2" xfId="57175"/>
    <cellStyle name="Output 2 2 26 7 2 3" xfId="57176"/>
    <cellStyle name="Output 2 2 26 7 3" xfId="37099"/>
    <cellStyle name="Output 2 2 26 7 4" xfId="57177"/>
    <cellStyle name="Output 2 2 26 8" xfId="22677"/>
    <cellStyle name="Output 2 2 26 8 2" xfId="30973"/>
    <cellStyle name="Output 2 2 26 8 3" xfId="37982"/>
    <cellStyle name="Output 2 2 26 9" xfId="23619"/>
    <cellStyle name="Output 2 2 27" xfId="15257"/>
    <cellStyle name="Output 2 2 27 10" xfId="57178"/>
    <cellStyle name="Output 2 2 27 2" xfId="16337"/>
    <cellStyle name="Output 2 2 27 2 2" xfId="24650"/>
    <cellStyle name="Output 2 2 27 2 2 2" xfId="57179"/>
    <cellStyle name="Output 2 2 27 2 2 3" xfId="57180"/>
    <cellStyle name="Output 2 2 27 2 3" xfId="31917"/>
    <cellStyle name="Output 2 2 27 2 4" xfId="57181"/>
    <cellStyle name="Output 2 2 27 3" xfId="17303"/>
    <cellStyle name="Output 2 2 27 3 2" xfId="25624"/>
    <cellStyle name="Output 2 2 27 3 2 2" xfId="57182"/>
    <cellStyle name="Output 2 2 27 3 2 3" xfId="57183"/>
    <cellStyle name="Output 2 2 27 3 3" xfId="32850"/>
    <cellStyle name="Output 2 2 27 3 4" xfId="57184"/>
    <cellStyle name="Output 2 2 27 4" xfId="18331"/>
    <cellStyle name="Output 2 2 27 4 2" xfId="26651"/>
    <cellStyle name="Output 2 2 27 4 2 2" xfId="57185"/>
    <cellStyle name="Output 2 2 27 4 2 3" xfId="57186"/>
    <cellStyle name="Output 2 2 27 4 3" xfId="33828"/>
    <cellStyle name="Output 2 2 27 4 4" xfId="57187"/>
    <cellStyle name="Output 2 2 27 5" xfId="19315"/>
    <cellStyle name="Output 2 2 27 5 2" xfId="27635"/>
    <cellStyle name="Output 2 2 27 5 2 2" xfId="57188"/>
    <cellStyle name="Output 2 2 27 5 2 3" xfId="57189"/>
    <cellStyle name="Output 2 2 27 5 3" xfId="34783"/>
    <cellStyle name="Output 2 2 27 5 4" xfId="57190"/>
    <cellStyle name="Output 2 2 27 6" xfId="20283"/>
    <cellStyle name="Output 2 2 27 6 2" xfId="28605"/>
    <cellStyle name="Output 2 2 27 6 2 2" xfId="57191"/>
    <cellStyle name="Output 2 2 27 6 2 3" xfId="57192"/>
    <cellStyle name="Output 2 2 27 6 3" xfId="35720"/>
    <cellStyle name="Output 2 2 27 6 4" xfId="57193"/>
    <cellStyle name="Output 2 2 27 7" xfId="21744"/>
    <cellStyle name="Output 2 2 27 7 2" xfId="30045"/>
    <cellStyle name="Output 2 2 27 7 2 2" xfId="57194"/>
    <cellStyle name="Output 2 2 27 7 2 3" xfId="57195"/>
    <cellStyle name="Output 2 2 27 7 3" xfId="37094"/>
    <cellStyle name="Output 2 2 27 7 4" xfId="57196"/>
    <cellStyle name="Output 2 2 27 8" xfId="22672"/>
    <cellStyle name="Output 2 2 27 8 2" xfId="30968"/>
    <cellStyle name="Output 2 2 27 8 3" xfId="37977"/>
    <cellStyle name="Output 2 2 27 9" xfId="23614"/>
    <cellStyle name="Output 2 2 28" xfId="15297"/>
    <cellStyle name="Output 2 2 28 10" xfId="57197"/>
    <cellStyle name="Output 2 2 28 2" xfId="16377"/>
    <cellStyle name="Output 2 2 28 2 2" xfId="24690"/>
    <cellStyle name="Output 2 2 28 2 2 2" xfId="57198"/>
    <cellStyle name="Output 2 2 28 2 2 3" xfId="57199"/>
    <cellStyle name="Output 2 2 28 2 3" xfId="31956"/>
    <cellStyle name="Output 2 2 28 2 4" xfId="57200"/>
    <cellStyle name="Output 2 2 28 3" xfId="17343"/>
    <cellStyle name="Output 2 2 28 3 2" xfId="25664"/>
    <cellStyle name="Output 2 2 28 3 2 2" xfId="57201"/>
    <cellStyle name="Output 2 2 28 3 2 3" xfId="57202"/>
    <cellStyle name="Output 2 2 28 3 3" xfId="32889"/>
    <cellStyle name="Output 2 2 28 3 4" xfId="57203"/>
    <cellStyle name="Output 2 2 28 4" xfId="18371"/>
    <cellStyle name="Output 2 2 28 4 2" xfId="26691"/>
    <cellStyle name="Output 2 2 28 4 2 2" xfId="57204"/>
    <cellStyle name="Output 2 2 28 4 2 3" xfId="57205"/>
    <cellStyle name="Output 2 2 28 4 3" xfId="33867"/>
    <cellStyle name="Output 2 2 28 4 4" xfId="57206"/>
    <cellStyle name="Output 2 2 28 5" xfId="19354"/>
    <cellStyle name="Output 2 2 28 5 2" xfId="27675"/>
    <cellStyle name="Output 2 2 28 5 2 2" xfId="57207"/>
    <cellStyle name="Output 2 2 28 5 2 3" xfId="57208"/>
    <cellStyle name="Output 2 2 28 5 3" xfId="34823"/>
    <cellStyle name="Output 2 2 28 5 4" xfId="57209"/>
    <cellStyle name="Output 2 2 28 6" xfId="20323"/>
    <cellStyle name="Output 2 2 28 6 2" xfId="28645"/>
    <cellStyle name="Output 2 2 28 6 2 2" xfId="57210"/>
    <cellStyle name="Output 2 2 28 6 2 3" xfId="57211"/>
    <cellStyle name="Output 2 2 28 6 3" xfId="35759"/>
    <cellStyle name="Output 2 2 28 6 4" xfId="57212"/>
    <cellStyle name="Output 2 2 28 7" xfId="21784"/>
    <cellStyle name="Output 2 2 28 7 2" xfId="30085"/>
    <cellStyle name="Output 2 2 28 7 2 2" xfId="57213"/>
    <cellStyle name="Output 2 2 28 7 2 3" xfId="57214"/>
    <cellStyle name="Output 2 2 28 7 3" xfId="37133"/>
    <cellStyle name="Output 2 2 28 7 4" xfId="57215"/>
    <cellStyle name="Output 2 2 28 8" xfId="22712"/>
    <cellStyle name="Output 2 2 28 8 2" xfId="31008"/>
    <cellStyle name="Output 2 2 28 8 3" xfId="38016"/>
    <cellStyle name="Output 2 2 28 9" xfId="23654"/>
    <cellStyle name="Output 2 2 29" xfId="15280"/>
    <cellStyle name="Output 2 2 29 10" xfId="57216"/>
    <cellStyle name="Output 2 2 29 2" xfId="16360"/>
    <cellStyle name="Output 2 2 29 2 2" xfId="24673"/>
    <cellStyle name="Output 2 2 29 2 2 2" xfId="57217"/>
    <cellStyle name="Output 2 2 29 2 2 3" xfId="57218"/>
    <cellStyle name="Output 2 2 29 2 3" xfId="31940"/>
    <cellStyle name="Output 2 2 29 2 4" xfId="57219"/>
    <cellStyle name="Output 2 2 29 3" xfId="17326"/>
    <cellStyle name="Output 2 2 29 3 2" xfId="25647"/>
    <cellStyle name="Output 2 2 29 3 2 2" xfId="57220"/>
    <cellStyle name="Output 2 2 29 3 2 3" xfId="57221"/>
    <cellStyle name="Output 2 2 29 3 3" xfId="32873"/>
    <cellStyle name="Output 2 2 29 3 4" xfId="57222"/>
    <cellStyle name="Output 2 2 29 4" xfId="18354"/>
    <cellStyle name="Output 2 2 29 4 2" xfId="26674"/>
    <cellStyle name="Output 2 2 29 4 2 2" xfId="57223"/>
    <cellStyle name="Output 2 2 29 4 2 3" xfId="57224"/>
    <cellStyle name="Output 2 2 29 4 3" xfId="33851"/>
    <cellStyle name="Output 2 2 29 4 4" xfId="57225"/>
    <cellStyle name="Output 2 2 29 5" xfId="19338"/>
    <cellStyle name="Output 2 2 29 5 2" xfId="27658"/>
    <cellStyle name="Output 2 2 29 5 2 2" xfId="57226"/>
    <cellStyle name="Output 2 2 29 5 2 3" xfId="57227"/>
    <cellStyle name="Output 2 2 29 5 3" xfId="34806"/>
    <cellStyle name="Output 2 2 29 5 4" xfId="57228"/>
    <cellStyle name="Output 2 2 29 6" xfId="20306"/>
    <cellStyle name="Output 2 2 29 6 2" xfId="28628"/>
    <cellStyle name="Output 2 2 29 6 2 2" xfId="57229"/>
    <cellStyle name="Output 2 2 29 6 2 3" xfId="57230"/>
    <cellStyle name="Output 2 2 29 6 3" xfId="35743"/>
    <cellStyle name="Output 2 2 29 6 4" xfId="57231"/>
    <cellStyle name="Output 2 2 29 7" xfId="21767"/>
    <cellStyle name="Output 2 2 29 7 2" xfId="30068"/>
    <cellStyle name="Output 2 2 29 7 2 2" xfId="57232"/>
    <cellStyle name="Output 2 2 29 7 2 3" xfId="57233"/>
    <cellStyle name="Output 2 2 29 7 3" xfId="37117"/>
    <cellStyle name="Output 2 2 29 7 4" xfId="57234"/>
    <cellStyle name="Output 2 2 29 8" xfId="22695"/>
    <cellStyle name="Output 2 2 29 8 2" xfId="30991"/>
    <cellStyle name="Output 2 2 29 8 3" xfId="38000"/>
    <cellStyle name="Output 2 2 29 9" xfId="23637"/>
    <cellStyle name="Output 2 2 3" xfId="116"/>
    <cellStyle name="Output 2 2 3 10" xfId="14435"/>
    <cellStyle name="Output 2 2 3 10 2" xfId="57235"/>
    <cellStyle name="Output 2 2 3 10 3" xfId="57236"/>
    <cellStyle name="Output 2 2 3 11" xfId="57237"/>
    <cellStyle name="Output 2 2 3 12" xfId="57238"/>
    <cellStyle name="Output 2 2 3 13" xfId="57239"/>
    <cellStyle name="Output 2 2 3 14" xfId="57240"/>
    <cellStyle name="Output 2 2 3 15" xfId="60808"/>
    <cellStyle name="Output 2 2 3 2" xfId="248"/>
    <cellStyle name="Output 2 2 3 2 2" xfId="659"/>
    <cellStyle name="Output 2 2 3 2 2 2" xfId="1610"/>
    <cellStyle name="Output 2 2 3 2 2 2 2" xfId="797"/>
    <cellStyle name="Output 2 2 3 2 2 2 2 2" xfId="2678"/>
    <cellStyle name="Output 2 2 3 2 2 2 2 2 2" xfId="6098"/>
    <cellStyle name="Output 2 2 3 2 2 2 2 2 2 2" xfId="12938"/>
    <cellStyle name="Output 2 2 3 2 2 2 2 2 3" xfId="9518"/>
    <cellStyle name="Output 2 2 3 2 2 2 2 3" xfId="3818"/>
    <cellStyle name="Output 2 2 3 2 2 2 2 3 2" xfId="7238"/>
    <cellStyle name="Output 2 2 3 2 2 2 2 3 2 2" xfId="14078"/>
    <cellStyle name="Output 2 2 3 2 2 2 2 3 3" xfId="10658"/>
    <cellStyle name="Output 2 2 3 2 2 2 2 4" xfId="4958"/>
    <cellStyle name="Output 2 2 3 2 2 2 2 4 2" xfId="11798"/>
    <cellStyle name="Output 2 2 3 2 2 2 2 5" xfId="8378"/>
    <cellStyle name="Output 2 2 3 2 2 2 3" xfId="2444"/>
    <cellStyle name="Output 2 2 3 2 2 2 3 2" xfId="5864"/>
    <cellStyle name="Output 2 2 3 2 2 2 3 2 2" xfId="12704"/>
    <cellStyle name="Output 2 2 3 2 2 2 3 3" xfId="9284"/>
    <cellStyle name="Output 2 2 3 2 2 2 4" xfId="3584"/>
    <cellStyle name="Output 2 2 3 2 2 2 4 2" xfId="7004"/>
    <cellStyle name="Output 2 2 3 2 2 2 4 2 2" xfId="13844"/>
    <cellStyle name="Output 2 2 3 2 2 2 4 3" xfId="10424"/>
    <cellStyle name="Output 2 2 3 2 2 2 5" xfId="4724"/>
    <cellStyle name="Output 2 2 3 2 2 2 5 2" xfId="11564"/>
    <cellStyle name="Output 2 2 3 2 2 2 6" xfId="8144"/>
    <cellStyle name="Output 2 2 3 2 2 2 7" xfId="61573"/>
    <cellStyle name="Output 2 2 3 2 2 3" xfId="38503"/>
    <cellStyle name="Output 2 2 3 2 2 4" xfId="57241"/>
    <cellStyle name="Output 2 2 3 2 2 5" xfId="57242"/>
    <cellStyle name="Output 2 2 3 2 2 6" xfId="57243"/>
    <cellStyle name="Output 2 2 3 2 2 7" xfId="57244"/>
    <cellStyle name="Output 2 2 3 2 2 8" xfId="61296"/>
    <cellStyle name="Output 2 2 3 2 3" xfId="1255"/>
    <cellStyle name="Output 2 2 3 2 3 2" xfId="1000"/>
    <cellStyle name="Output 2 2 3 2 3 2 2" xfId="2596"/>
    <cellStyle name="Output 2 2 3 2 3 2 2 2" xfId="6016"/>
    <cellStyle name="Output 2 2 3 2 3 2 2 2 2" xfId="12856"/>
    <cellStyle name="Output 2 2 3 2 3 2 2 3" xfId="9436"/>
    <cellStyle name="Output 2 2 3 2 3 2 3" xfId="3736"/>
    <cellStyle name="Output 2 2 3 2 3 2 3 2" xfId="7156"/>
    <cellStyle name="Output 2 2 3 2 3 2 3 2 2" xfId="13996"/>
    <cellStyle name="Output 2 2 3 2 3 2 3 3" xfId="10576"/>
    <cellStyle name="Output 2 2 3 2 3 2 4" xfId="4876"/>
    <cellStyle name="Output 2 2 3 2 3 2 4 2" xfId="11716"/>
    <cellStyle name="Output 2 2 3 2 3 2 5" xfId="8296"/>
    <cellStyle name="Output 2 2 3 2 3 3" xfId="2075"/>
    <cellStyle name="Output 2 2 3 2 3 3 2" xfId="5495"/>
    <cellStyle name="Output 2 2 3 2 3 3 2 2" xfId="12335"/>
    <cellStyle name="Output 2 2 3 2 3 3 3" xfId="8915"/>
    <cellStyle name="Output 2 2 3 2 3 4" xfId="3215"/>
    <cellStyle name="Output 2 2 3 2 3 4 2" xfId="6635"/>
    <cellStyle name="Output 2 2 3 2 3 4 2 2" xfId="13475"/>
    <cellStyle name="Output 2 2 3 2 3 4 3" xfId="10055"/>
    <cellStyle name="Output 2 2 3 2 3 5" xfId="4355"/>
    <cellStyle name="Output 2 2 3 2 3 5 2" xfId="11195"/>
    <cellStyle name="Output 2 2 3 2 3 6" xfId="7775"/>
    <cellStyle name="Output 2 2 3 2 3 7" xfId="61574"/>
    <cellStyle name="Output 2 2 3 2 4" xfId="15593"/>
    <cellStyle name="Output 2 2 3 2 5" xfId="23907"/>
    <cellStyle name="Output 2 2 3 2 6" xfId="38269"/>
    <cellStyle name="Output 2 2 3 2 7" xfId="57245"/>
    <cellStyle name="Output 2 2 3 2 8" xfId="60931"/>
    <cellStyle name="Output 2 2 3 3" xfId="571"/>
    <cellStyle name="Output 2 2 3 3 2" xfId="1558"/>
    <cellStyle name="Output 2 2 3 3 2 2" xfId="831"/>
    <cellStyle name="Output 2 2 3 3 2 2 2" xfId="1912"/>
    <cellStyle name="Output 2 2 3 3 2 2 2 2" xfId="5332"/>
    <cellStyle name="Output 2 2 3 3 2 2 2 2 2" xfId="12172"/>
    <cellStyle name="Output 2 2 3 3 2 2 2 3" xfId="8752"/>
    <cellStyle name="Output 2 2 3 3 2 2 3" xfId="3052"/>
    <cellStyle name="Output 2 2 3 3 2 2 3 2" xfId="6472"/>
    <cellStyle name="Output 2 2 3 3 2 2 3 2 2" xfId="13312"/>
    <cellStyle name="Output 2 2 3 3 2 2 3 3" xfId="9892"/>
    <cellStyle name="Output 2 2 3 3 2 2 4" xfId="4192"/>
    <cellStyle name="Output 2 2 3 3 2 2 4 2" xfId="11032"/>
    <cellStyle name="Output 2 2 3 3 2 2 5" xfId="7612"/>
    <cellStyle name="Output 2 2 3 3 2 3" xfId="2383"/>
    <cellStyle name="Output 2 2 3 3 2 3 2" xfId="5803"/>
    <cellStyle name="Output 2 2 3 3 2 3 2 2" xfId="12643"/>
    <cellStyle name="Output 2 2 3 3 2 3 3" xfId="9223"/>
    <cellStyle name="Output 2 2 3 3 2 4" xfId="3523"/>
    <cellStyle name="Output 2 2 3 3 2 4 2" xfId="6943"/>
    <cellStyle name="Output 2 2 3 3 2 4 2 2" xfId="13783"/>
    <cellStyle name="Output 2 2 3 3 2 4 3" xfId="10363"/>
    <cellStyle name="Output 2 2 3 3 2 5" xfId="4663"/>
    <cellStyle name="Output 2 2 3 3 2 5 2" xfId="11503"/>
    <cellStyle name="Output 2 2 3 3 2 6" xfId="8083"/>
    <cellStyle name="Output 2 2 3 3 2 7" xfId="61572"/>
    <cellStyle name="Output 2 2 3 3 3" xfId="16563"/>
    <cellStyle name="Output 2 2 3 3 4" xfId="24878"/>
    <cellStyle name="Output 2 2 3 3 5" xfId="32138"/>
    <cellStyle name="Output 2 2 3 3 6" xfId="57246"/>
    <cellStyle name="Output 2 2 3 3 7" xfId="57247"/>
    <cellStyle name="Output 2 2 3 3 8" xfId="57248"/>
    <cellStyle name="Output 2 2 3 3 9" xfId="61297"/>
    <cellStyle name="Output 2 2 3 4" xfId="1132"/>
    <cellStyle name="Output 2 2 3 4 10" xfId="61575"/>
    <cellStyle name="Output 2 2 3 4 2" xfId="1060"/>
    <cellStyle name="Output 2 2 3 4 2 2" xfId="2583"/>
    <cellStyle name="Output 2 2 3 4 2 2 2" xfId="6003"/>
    <cellStyle name="Output 2 2 3 4 2 2 2 2" xfId="12843"/>
    <cellStyle name="Output 2 2 3 4 2 2 3" xfId="9423"/>
    <cellStyle name="Output 2 2 3 4 2 3" xfId="3723"/>
    <cellStyle name="Output 2 2 3 4 2 3 2" xfId="7143"/>
    <cellStyle name="Output 2 2 3 4 2 3 2 2" xfId="13983"/>
    <cellStyle name="Output 2 2 3 4 2 3 3" xfId="10563"/>
    <cellStyle name="Output 2 2 3 4 2 4" xfId="4863"/>
    <cellStyle name="Output 2 2 3 4 2 4 2" xfId="11703"/>
    <cellStyle name="Output 2 2 3 4 2 5" xfId="8283"/>
    <cellStyle name="Output 2 2 3 4 3" xfId="1946"/>
    <cellStyle name="Output 2 2 3 4 3 2" xfId="5366"/>
    <cellStyle name="Output 2 2 3 4 3 2 2" xfId="12206"/>
    <cellStyle name="Output 2 2 3 4 3 3" xfId="8786"/>
    <cellStyle name="Output 2 2 3 4 4" xfId="3086"/>
    <cellStyle name="Output 2 2 3 4 4 2" xfId="6506"/>
    <cellStyle name="Output 2 2 3 4 4 2 2" xfId="13346"/>
    <cellStyle name="Output 2 2 3 4 4 3" xfId="9926"/>
    <cellStyle name="Output 2 2 3 4 5" xfId="4226"/>
    <cellStyle name="Output 2 2 3 4 5 2" xfId="11066"/>
    <cellStyle name="Output 2 2 3 4 6" xfId="7646"/>
    <cellStyle name="Output 2 2 3 4 7" xfId="17581"/>
    <cellStyle name="Output 2 2 3 4 8" xfId="25902"/>
    <cellStyle name="Output 2 2 3 4 9" xfId="33115"/>
    <cellStyle name="Output 2 2 3 5" xfId="18562"/>
    <cellStyle name="Output 2 2 3 5 2" xfId="26880"/>
    <cellStyle name="Output 2 2 3 5 2 2" xfId="57249"/>
    <cellStyle name="Output 2 2 3 5 2 3" xfId="57250"/>
    <cellStyle name="Output 2 2 3 5 3" xfId="34049"/>
    <cellStyle name="Output 2 2 3 5 4" xfId="57251"/>
    <cellStyle name="Output 2 2 3 6" xfId="17535"/>
    <cellStyle name="Output 2 2 3 6 2" xfId="25855"/>
    <cellStyle name="Output 2 2 3 6 2 2" xfId="57252"/>
    <cellStyle name="Output 2 2 3 6 2 3" xfId="57253"/>
    <cellStyle name="Output 2 2 3 6 3" xfId="33072"/>
    <cellStyle name="Output 2 2 3 6 4" xfId="57254"/>
    <cellStyle name="Output 2 2 3 7" xfId="19212"/>
    <cellStyle name="Output 2 2 3 7 2" xfId="27532"/>
    <cellStyle name="Output 2 2 3 7 2 2" xfId="57255"/>
    <cellStyle name="Output 2 2 3 7 2 3" xfId="57256"/>
    <cellStyle name="Output 2 2 3 7 3" xfId="34680"/>
    <cellStyle name="Output 2 2 3 7 4" xfId="57257"/>
    <cellStyle name="Output 2 2 3 8" xfId="15523"/>
    <cellStyle name="Output 2 2 3 8 2" xfId="23859"/>
    <cellStyle name="Output 2 2 3 8 2 2" xfId="57258"/>
    <cellStyle name="Output 2 2 3 8 2 3" xfId="57259"/>
    <cellStyle name="Output 2 2 3 8 3" xfId="31206"/>
    <cellStyle name="Output 2 2 3 8 4" xfId="57260"/>
    <cellStyle name="Output 2 2 3 9" xfId="21323"/>
    <cellStyle name="Output 2 2 3 9 2" xfId="29628"/>
    <cellStyle name="Output 2 2 3 9 2 2" xfId="57261"/>
    <cellStyle name="Output 2 2 3 9 2 3" xfId="57262"/>
    <cellStyle name="Output 2 2 3 9 3" xfId="36695"/>
    <cellStyle name="Output 2 2 3 9 4" xfId="57263"/>
    <cellStyle name="Output 2 2 30" xfId="15312"/>
    <cellStyle name="Output 2 2 30 10" xfId="57264"/>
    <cellStyle name="Output 2 2 30 2" xfId="16392"/>
    <cellStyle name="Output 2 2 30 2 2" xfId="24705"/>
    <cellStyle name="Output 2 2 30 2 2 2" xfId="57265"/>
    <cellStyle name="Output 2 2 30 2 2 3" xfId="57266"/>
    <cellStyle name="Output 2 2 30 2 3" xfId="31970"/>
    <cellStyle name="Output 2 2 30 2 4" xfId="57267"/>
    <cellStyle name="Output 2 2 30 3" xfId="17358"/>
    <cellStyle name="Output 2 2 30 3 2" xfId="25679"/>
    <cellStyle name="Output 2 2 30 3 2 2" xfId="57268"/>
    <cellStyle name="Output 2 2 30 3 2 3" xfId="57269"/>
    <cellStyle name="Output 2 2 30 3 3" xfId="32903"/>
    <cellStyle name="Output 2 2 30 3 4" xfId="57270"/>
    <cellStyle name="Output 2 2 30 4" xfId="18386"/>
    <cellStyle name="Output 2 2 30 4 2" xfId="26706"/>
    <cellStyle name="Output 2 2 30 4 2 2" xfId="57271"/>
    <cellStyle name="Output 2 2 30 4 2 3" xfId="57272"/>
    <cellStyle name="Output 2 2 30 4 3" xfId="33881"/>
    <cellStyle name="Output 2 2 30 4 4" xfId="57273"/>
    <cellStyle name="Output 2 2 30 5" xfId="19369"/>
    <cellStyle name="Output 2 2 30 5 2" xfId="27690"/>
    <cellStyle name="Output 2 2 30 5 2 2" xfId="57274"/>
    <cellStyle name="Output 2 2 30 5 2 3" xfId="57275"/>
    <cellStyle name="Output 2 2 30 5 3" xfId="34838"/>
    <cellStyle name="Output 2 2 30 5 4" xfId="57276"/>
    <cellStyle name="Output 2 2 30 6" xfId="20338"/>
    <cellStyle name="Output 2 2 30 6 2" xfId="28660"/>
    <cellStyle name="Output 2 2 30 6 2 2" xfId="57277"/>
    <cellStyle name="Output 2 2 30 6 2 3" xfId="57278"/>
    <cellStyle name="Output 2 2 30 6 3" xfId="35773"/>
    <cellStyle name="Output 2 2 30 6 4" xfId="57279"/>
    <cellStyle name="Output 2 2 30 7" xfId="21799"/>
    <cellStyle name="Output 2 2 30 7 2" xfId="30100"/>
    <cellStyle name="Output 2 2 30 7 2 2" xfId="57280"/>
    <cellStyle name="Output 2 2 30 7 2 3" xfId="57281"/>
    <cellStyle name="Output 2 2 30 7 3" xfId="37147"/>
    <cellStyle name="Output 2 2 30 7 4" xfId="57282"/>
    <cellStyle name="Output 2 2 30 8" xfId="22727"/>
    <cellStyle name="Output 2 2 30 8 2" xfId="31023"/>
    <cellStyle name="Output 2 2 30 8 3" xfId="38030"/>
    <cellStyle name="Output 2 2 30 9" xfId="23669"/>
    <cellStyle name="Output 2 2 31" xfId="15332"/>
    <cellStyle name="Output 2 2 31 10" xfId="57283"/>
    <cellStyle name="Output 2 2 31 2" xfId="16412"/>
    <cellStyle name="Output 2 2 31 2 2" xfId="24725"/>
    <cellStyle name="Output 2 2 31 2 2 2" xfId="57284"/>
    <cellStyle name="Output 2 2 31 2 2 3" xfId="57285"/>
    <cellStyle name="Output 2 2 31 2 3" xfId="31990"/>
    <cellStyle name="Output 2 2 31 2 4" xfId="57286"/>
    <cellStyle name="Output 2 2 31 3" xfId="17378"/>
    <cellStyle name="Output 2 2 31 3 2" xfId="25699"/>
    <cellStyle name="Output 2 2 31 3 2 2" xfId="57287"/>
    <cellStyle name="Output 2 2 31 3 2 3" xfId="57288"/>
    <cellStyle name="Output 2 2 31 3 3" xfId="32923"/>
    <cellStyle name="Output 2 2 31 3 4" xfId="57289"/>
    <cellStyle name="Output 2 2 31 4" xfId="18406"/>
    <cellStyle name="Output 2 2 31 4 2" xfId="26726"/>
    <cellStyle name="Output 2 2 31 4 2 2" xfId="57290"/>
    <cellStyle name="Output 2 2 31 4 2 3" xfId="57291"/>
    <cellStyle name="Output 2 2 31 4 3" xfId="33901"/>
    <cellStyle name="Output 2 2 31 4 4" xfId="57292"/>
    <cellStyle name="Output 2 2 31 5" xfId="19389"/>
    <cellStyle name="Output 2 2 31 5 2" xfId="27710"/>
    <cellStyle name="Output 2 2 31 5 2 2" xfId="57293"/>
    <cellStyle name="Output 2 2 31 5 2 3" xfId="57294"/>
    <cellStyle name="Output 2 2 31 5 3" xfId="34858"/>
    <cellStyle name="Output 2 2 31 5 4" xfId="57295"/>
    <cellStyle name="Output 2 2 31 6" xfId="20358"/>
    <cellStyle name="Output 2 2 31 6 2" xfId="28680"/>
    <cellStyle name="Output 2 2 31 6 2 2" xfId="57296"/>
    <cellStyle name="Output 2 2 31 6 2 3" xfId="57297"/>
    <cellStyle name="Output 2 2 31 6 3" xfId="35793"/>
    <cellStyle name="Output 2 2 31 6 4" xfId="57298"/>
    <cellStyle name="Output 2 2 31 7" xfId="21819"/>
    <cellStyle name="Output 2 2 31 7 2" xfId="30120"/>
    <cellStyle name="Output 2 2 31 7 2 2" xfId="57299"/>
    <cellStyle name="Output 2 2 31 7 2 3" xfId="57300"/>
    <cellStyle name="Output 2 2 31 7 3" xfId="37167"/>
    <cellStyle name="Output 2 2 31 7 4" xfId="57301"/>
    <cellStyle name="Output 2 2 31 8" xfId="22747"/>
    <cellStyle name="Output 2 2 31 8 2" xfId="31043"/>
    <cellStyle name="Output 2 2 31 8 3" xfId="38050"/>
    <cellStyle name="Output 2 2 31 9" xfId="23689"/>
    <cellStyle name="Output 2 2 32" xfId="15385"/>
    <cellStyle name="Output 2 2 32 10" xfId="57302"/>
    <cellStyle name="Output 2 2 32 2" xfId="16465"/>
    <cellStyle name="Output 2 2 32 2 2" xfId="24778"/>
    <cellStyle name="Output 2 2 32 2 2 2" xfId="57303"/>
    <cellStyle name="Output 2 2 32 2 2 3" xfId="57304"/>
    <cellStyle name="Output 2 2 32 2 3" xfId="32042"/>
    <cellStyle name="Output 2 2 32 2 4" xfId="57305"/>
    <cellStyle name="Output 2 2 32 3" xfId="17431"/>
    <cellStyle name="Output 2 2 32 3 2" xfId="25752"/>
    <cellStyle name="Output 2 2 32 3 2 2" xfId="57306"/>
    <cellStyle name="Output 2 2 32 3 2 3" xfId="57307"/>
    <cellStyle name="Output 2 2 32 3 3" xfId="32975"/>
    <cellStyle name="Output 2 2 32 3 4" xfId="57308"/>
    <cellStyle name="Output 2 2 32 4" xfId="18459"/>
    <cellStyle name="Output 2 2 32 4 2" xfId="26779"/>
    <cellStyle name="Output 2 2 32 4 2 2" xfId="57309"/>
    <cellStyle name="Output 2 2 32 4 2 3" xfId="57310"/>
    <cellStyle name="Output 2 2 32 4 3" xfId="33953"/>
    <cellStyle name="Output 2 2 32 4 4" xfId="57311"/>
    <cellStyle name="Output 2 2 32 5" xfId="19442"/>
    <cellStyle name="Output 2 2 32 5 2" xfId="27763"/>
    <cellStyle name="Output 2 2 32 5 2 2" xfId="57312"/>
    <cellStyle name="Output 2 2 32 5 2 3" xfId="57313"/>
    <cellStyle name="Output 2 2 32 5 3" xfId="34911"/>
    <cellStyle name="Output 2 2 32 5 4" xfId="57314"/>
    <cellStyle name="Output 2 2 32 6" xfId="20411"/>
    <cellStyle name="Output 2 2 32 6 2" xfId="28733"/>
    <cellStyle name="Output 2 2 32 6 2 2" xfId="57315"/>
    <cellStyle name="Output 2 2 32 6 2 3" xfId="57316"/>
    <cellStyle name="Output 2 2 32 6 3" xfId="35845"/>
    <cellStyle name="Output 2 2 32 6 4" xfId="57317"/>
    <cellStyle name="Output 2 2 32 7" xfId="21872"/>
    <cellStyle name="Output 2 2 32 7 2" xfId="30173"/>
    <cellStyle name="Output 2 2 32 7 2 2" xfId="57318"/>
    <cellStyle name="Output 2 2 32 7 2 3" xfId="57319"/>
    <cellStyle name="Output 2 2 32 7 3" xfId="37218"/>
    <cellStyle name="Output 2 2 32 7 4" xfId="57320"/>
    <cellStyle name="Output 2 2 32 8" xfId="22800"/>
    <cellStyle name="Output 2 2 32 8 2" xfId="31096"/>
    <cellStyle name="Output 2 2 32 8 3" xfId="38102"/>
    <cellStyle name="Output 2 2 32 9" xfId="23742"/>
    <cellStyle name="Output 2 2 33" xfId="15401"/>
    <cellStyle name="Output 2 2 33 10" xfId="57321"/>
    <cellStyle name="Output 2 2 33 2" xfId="16481"/>
    <cellStyle name="Output 2 2 33 2 2" xfId="24794"/>
    <cellStyle name="Output 2 2 33 2 2 2" xfId="57322"/>
    <cellStyle name="Output 2 2 33 2 2 3" xfId="57323"/>
    <cellStyle name="Output 2 2 33 2 3" xfId="32056"/>
    <cellStyle name="Output 2 2 33 2 4" xfId="57324"/>
    <cellStyle name="Output 2 2 33 3" xfId="17447"/>
    <cellStyle name="Output 2 2 33 3 2" xfId="25768"/>
    <cellStyle name="Output 2 2 33 3 2 2" xfId="57325"/>
    <cellStyle name="Output 2 2 33 3 2 3" xfId="57326"/>
    <cellStyle name="Output 2 2 33 3 3" xfId="32989"/>
    <cellStyle name="Output 2 2 33 3 4" xfId="57327"/>
    <cellStyle name="Output 2 2 33 4" xfId="18475"/>
    <cellStyle name="Output 2 2 33 4 2" xfId="26795"/>
    <cellStyle name="Output 2 2 33 4 2 2" xfId="57328"/>
    <cellStyle name="Output 2 2 33 4 2 3" xfId="57329"/>
    <cellStyle name="Output 2 2 33 4 3" xfId="33967"/>
    <cellStyle name="Output 2 2 33 4 4" xfId="57330"/>
    <cellStyle name="Output 2 2 33 5" xfId="19458"/>
    <cellStyle name="Output 2 2 33 5 2" xfId="27779"/>
    <cellStyle name="Output 2 2 33 5 2 2" xfId="57331"/>
    <cellStyle name="Output 2 2 33 5 2 3" xfId="57332"/>
    <cellStyle name="Output 2 2 33 5 3" xfId="34927"/>
    <cellStyle name="Output 2 2 33 5 4" xfId="57333"/>
    <cellStyle name="Output 2 2 33 6" xfId="20427"/>
    <cellStyle name="Output 2 2 33 6 2" xfId="28749"/>
    <cellStyle name="Output 2 2 33 6 2 2" xfId="57334"/>
    <cellStyle name="Output 2 2 33 6 2 3" xfId="57335"/>
    <cellStyle name="Output 2 2 33 6 3" xfId="35859"/>
    <cellStyle name="Output 2 2 33 6 4" xfId="57336"/>
    <cellStyle name="Output 2 2 33 7" xfId="21888"/>
    <cellStyle name="Output 2 2 33 7 2" xfId="30189"/>
    <cellStyle name="Output 2 2 33 7 2 2" xfId="57337"/>
    <cellStyle name="Output 2 2 33 7 2 3" xfId="57338"/>
    <cellStyle name="Output 2 2 33 7 3" xfId="37232"/>
    <cellStyle name="Output 2 2 33 7 4" xfId="57339"/>
    <cellStyle name="Output 2 2 33 8" xfId="22816"/>
    <cellStyle name="Output 2 2 33 8 2" xfId="31112"/>
    <cellStyle name="Output 2 2 33 8 3" xfId="38116"/>
    <cellStyle name="Output 2 2 33 9" xfId="23758"/>
    <cellStyle name="Output 2 2 34" xfId="15417"/>
    <cellStyle name="Output 2 2 34 10" xfId="57340"/>
    <cellStyle name="Output 2 2 34 2" xfId="16497"/>
    <cellStyle name="Output 2 2 34 2 2" xfId="24810"/>
    <cellStyle name="Output 2 2 34 2 2 2" xfId="57341"/>
    <cellStyle name="Output 2 2 34 2 2 3" xfId="57342"/>
    <cellStyle name="Output 2 2 34 2 3" xfId="32071"/>
    <cellStyle name="Output 2 2 34 2 4" xfId="57343"/>
    <cellStyle name="Output 2 2 34 3" xfId="17463"/>
    <cellStyle name="Output 2 2 34 3 2" xfId="25784"/>
    <cellStyle name="Output 2 2 34 3 2 2" xfId="57344"/>
    <cellStyle name="Output 2 2 34 3 2 3" xfId="57345"/>
    <cellStyle name="Output 2 2 34 3 3" xfId="33004"/>
    <cellStyle name="Output 2 2 34 3 4" xfId="57346"/>
    <cellStyle name="Output 2 2 34 4" xfId="18491"/>
    <cellStyle name="Output 2 2 34 4 2" xfId="26811"/>
    <cellStyle name="Output 2 2 34 4 2 2" xfId="57347"/>
    <cellStyle name="Output 2 2 34 4 2 3" xfId="57348"/>
    <cellStyle name="Output 2 2 34 4 3" xfId="33982"/>
    <cellStyle name="Output 2 2 34 4 4" xfId="57349"/>
    <cellStyle name="Output 2 2 34 5" xfId="19474"/>
    <cellStyle name="Output 2 2 34 5 2" xfId="27795"/>
    <cellStyle name="Output 2 2 34 5 2 2" xfId="57350"/>
    <cellStyle name="Output 2 2 34 5 2 3" xfId="57351"/>
    <cellStyle name="Output 2 2 34 5 3" xfId="34943"/>
    <cellStyle name="Output 2 2 34 5 4" xfId="57352"/>
    <cellStyle name="Output 2 2 34 6" xfId="20443"/>
    <cellStyle name="Output 2 2 34 6 2" xfId="28765"/>
    <cellStyle name="Output 2 2 34 6 2 2" xfId="57353"/>
    <cellStyle name="Output 2 2 34 6 2 3" xfId="57354"/>
    <cellStyle name="Output 2 2 34 6 3" xfId="35874"/>
    <cellStyle name="Output 2 2 34 6 4" xfId="57355"/>
    <cellStyle name="Output 2 2 34 7" xfId="21904"/>
    <cellStyle name="Output 2 2 34 7 2" xfId="30205"/>
    <cellStyle name="Output 2 2 34 7 2 2" xfId="57356"/>
    <cellStyle name="Output 2 2 34 7 2 3" xfId="57357"/>
    <cellStyle name="Output 2 2 34 7 3" xfId="37247"/>
    <cellStyle name="Output 2 2 34 7 4" xfId="57358"/>
    <cellStyle name="Output 2 2 34 8" xfId="22832"/>
    <cellStyle name="Output 2 2 34 8 2" xfId="31128"/>
    <cellStyle name="Output 2 2 34 8 3" xfId="38131"/>
    <cellStyle name="Output 2 2 34 9" xfId="23774"/>
    <cellStyle name="Output 2 2 35" xfId="15431"/>
    <cellStyle name="Output 2 2 35 10" xfId="57359"/>
    <cellStyle name="Output 2 2 35 2" xfId="16511"/>
    <cellStyle name="Output 2 2 35 2 2" xfId="24824"/>
    <cellStyle name="Output 2 2 35 2 2 2" xfId="57360"/>
    <cellStyle name="Output 2 2 35 2 2 3" xfId="57361"/>
    <cellStyle name="Output 2 2 35 2 3" xfId="32085"/>
    <cellStyle name="Output 2 2 35 2 4" xfId="57362"/>
    <cellStyle name="Output 2 2 35 3" xfId="17477"/>
    <cellStyle name="Output 2 2 35 3 2" xfId="25798"/>
    <cellStyle name="Output 2 2 35 3 2 2" xfId="57363"/>
    <cellStyle name="Output 2 2 35 3 2 3" xfId="57364"/>
    <cellStyle name="Output 2 2 35 3 3" xfId="33018"/>
    <cellStyle name="Output 2 2 35 3 4" xfId="57365"/>
    <cellStyle name="Output 2 2 35 4" xfId="18505"/>
    <cellStyle name="Output 2 2 35 4 2" xfId="26825"/>
    <cellStyle name="Output 2 2 35 4 2 2" xfId="57366"/>
    <cellStyle name="Output 2 2 35 4 2 3" xfId="57367"/>
    <cellStyle name="Output 2 2 35 4 3" xfId="33996"/>
    <cellStyle name="Output 2 2 35 4 4" xfId="57368"/>
    <cellStyle name="Output 2 2 35 5" xfId="19488"/>
    <cellStyle name="Output 2 2 35 5 2" xfId="27809"/>
    <cellStyle name="Output 2 2 35 5 2 2" xfId="57369"/>
    <cellStyle name="Output 2 2 35 5 2 3" xfId="57370"/>
    <cellStyle name="Output 2 2 35 5 3" xfId="34957"/>
    <cellStyle name="Output 2 2 35 5 4" xfId="57371"/>
    <cellStyle name="Output 2 2 35 6" xfId="20457"/>
    <cellStyle name="Output 2 2 35 6 2" xfId="28779"/>
    <cellStyle name="Output 2 2 35 6 2 2" xfId="57372"/>
    <cellStyle name="Output 2 2 35 6 2 3" xfId="57373"/>
    <cellStyle name="Output 2 2 35 6 3" xfId="35888"/>
    <cellStyle name="Output 2 2 35 6 4" xfId="57374"/>
    <cellStyle name="Output 2 2 35 7" xfId="21918"/>
    <cellStyle name="Output 2 2 35 7 2" xfId="30219"/>
    <cellStyle name="Output 2 2 35 7 2 2" xfId="57375"/>
    <cellStyle name="Output 2 2 35 7 2 3" xfId="57376"/>
    <cellStyle name="Output 2 2 35 7 3" xfId="37261"/>
    <cellStyle name="Output 2 2 35 7 4" xfId="57377"/>
    <cellStyle name="Output 2 2 35 8" xfId="22846"/>
    <cellStyle name="Output 2 2 35 8 2" xfId="31142"/>
    <cellStyle name="Output 2 2 35 8 3" xfId="38145"/>
    <cellStyle name="Output 2 2 35 9" xfId="23788"/>
    <cellStyle name="Output 2 2 36" xfId="15445"/>
    <cellStyle name="Output 2 2 36 10" xfId="57378"/>
    <cellStyle name="Output 2 2 36 2" xfId="16525"/>
    <cellStyle name="Output 2 2 36 2 2" xfId="24838"/>
    <cellStyle name="Output 2 2 36 2 2 2" xfId="57379"/>
    <cellStyle name="Output 2 2 36 2 2 3" xfId="57380"/>
    <cellStyle name="Output 2 2 36 2 3" xfId="32099"/>
    <cellStyle name="Output 2 2 36 2 4" xfId="57381"/>
    <cellStyle name="Output 2 2 36 3" xfId="17491"/>
    <cellStyle name="Output 2 2 36 3 2" xfId="25812"/>
    <cellStyle name="Output 2 2 36 3 2 2" xfId="57382"/>
    <cellStyle name="Output 2 2 36 3 2 3" xfId="57383"/>
    <cellStyle name="Output 2 2 36 3 3" xfId="33032"/>
    <cellStyle name="Output 2 2 36 3 4" xfId="57384"/>
    <cellStyle name="Output 2 2 36 4" xfId="18519"/>
    <cellStyle name="Output 2 2 36 4 2" xfId="26839"/>
    <cellStyle name="Output 2 2 36 4 2 2" xfId="57385"/>
    <cellStyle name="Output 2 2 36 4 2 3" xfId="57386"/>
    <cellStyle name="Output 2 2 36 4 3" xfId="34010"/>
    <cellStyle name="Output 2 2 36 4 4" xfId="57387"/>
    <cellStyle name="Output 2 2 36 5" xfId="19502"/>
    <cellStyle name="Output 2 2 36 5 2" xfId="27823"/>
    <cellStyle name="Output 2 2 36 5 2 2" xfId="57388"/>
    <cellStyle name="Output 2 2 36 5 2 3" xfId="57389"/>
    <cellStyle name="Output 2 2 36 5 3" xfId="34971"/>
    <cellStyle name="Output 2 2 36 5 4" xfId="57390"/>
    <cellStyle name="Output 2 2 36 6" xfId="20471"/>
    <cellStyle name="Output 2 2 36 6 2" xfId="28793"/>
    <cellStyle name="Output 2 2 36 6 2 2" xfId="57391"/>
    <cellStyle name="Output 2 2 36 6 2 3" xfId="57392"/>
    <cellStyle name="Output 2 2 36 6 3" xfId="35902"/>
    <cellStyle name="Output 2 2 36 6 4" xfId="57393"/>
    <cellStyle name="Output 2 2 36 7" xfId="21932"/>
    <cellStyle name="Output 2 2 36 7 2" xfId="30233"/>
    <cellStyle name="Output 2 2 36 7 2 2" xfId="57394"/>
    <cellStyle name="Output 2 2 36 7 2 3" xfId="57395"/>
    <cellStyle name="Output 2 2 36 7 3" xfId="37275"/>
    <cellStyle name="Output 2 2 36 7 4" xfId="57396"/>
    <cellStyle name="Output 2 2 36 8" xfId="22860"/>
    <cellStyle name="Output 2 2 36 8 2" xfId="31156"/>
    <cellStyle name="Output 2 2 36 8 3" xfId="38159"/>
    <cellStyle name="Output 2 2 36 9" xfId="23802"/>
    <cellStyle name="Output 2 2 37" xfId="15477"/>
    <cellStyle name="Output 2 2 37 10" xfId="57397"/>
    <cellStyle name="Output 2 2 37 2" xfId="16551"/>
    <cellStyle name="Output 2 2 37 2 2" xfId="24864"/>
    <cellStyle name="Output 2 2 37 2 2 2" xfId="57398"/>
    <cellStyle name="Output 2 2 37 2 2 3" xfId="57399"/>
    <cellStyle name="Output 2 2 37 2 3" xfId="32124"/>
    <cellStyle name="Output 2 2 37 2 4" xfId="57400"/>
    <cellStyle name="Output 2 2 37 3" xfId="17523"/>
    <cellStyle name="Output 2 2 37 3 2" xfId="25843"/>
    <cellStyle name="Output 2 2 37 3 2 2" xfId="57401"/>
    <cellStyle name="Output 2 2 37 3 2 3" xfId="57402"/>
    <cellStyle name="Output 2 2 37 3 3" xfId="33061"/>
    <cellStyle name="Output 2 2 37 3 4" xfId="57403"/>
    <cellStyle name="Output 2 2 37 4" xfId="18550"/>
    <cellStyle name="Output 2 2 37 4 2" xfId="26867"/>
    <cellStyle name="Output 2 2 37 4 2 2" xfId="57404"/>
    <cellStyle name="Output 2 2 37 4 2 3" xfId="57405"/>
    <cellStyle name="Output 2 2 37 4 3" xfId="34037"/>
    <cellStyle name="Output 2 2 37 4 4" xfId="57406"/>
    <cellStyle name="Output 2 2 37 5" xfId="19534"/>
    <cellStyle name="Output 2 2 37 5 2" xfId="27855"/>
    <cellStyle name="Output 2 2 37 5 2 2" xfId="57407"/>
    <cellStyle name="Output 2 2 37 5 2 3" xfId="57408"/>
    <cellStyle name="Output 2 2 37 5 3" xfId="35003"/>
    <cellStyle name="Output 2 2 37 5 4" xfId="57409"/>
    <cellStyle name="Output 2 2 37 6" xfId="20498"/>
    <cellStyle name="Output 2 2 37 6 2" xfId="28820"/>
    <cellStyle name="Output 2 2 37 6 2 2" xfId="57410"/>
    <cellStyle name="Output 2 2 37 6 2 3" xfId="57411"/>
    <cellStyle name="Output 2 2 37 6 3" xfId="35927"/>
    <cellStyle name="Output 2 2 37 6 4" xfId="57412"/>
    <cellStyle name="Output 2 2 37 7" xfId="21958"/>
    <cellStyle name="Output 2 2 37 7 2" xfId="30259"/>
    <cellStyle name="Output 2 2 37 7 2 2" xfId="57413"/>
    <cellStyle name="Output 2 2 37 7 2 3" xfId="57414"/>
    <cellStyle name="Output 2 2 37 7 3" xfId="37299"/>
    <cellStyle name="Output 2 2 37 7 4" xfId="57415"/>
    <cellStyle name="Output 2 2 37 8" xfId="22882"/>
    <cellStyle name="Output 2 2 37 8 2" xfId="31178"/>
    <cellStyle name="Output 2 2 37 8 3" xfId="38180"/>
    <cellStyle name="Output 2 2 37 9" xfId="23827"/>
    <cellStyle name="Output 2 2 38" xfId="15512"/>
    <cellStyle name="Output 2 2 38 2" xfId="23852"/>
    <cellStyle name="Output 2 2 38 2 2" xfId="57416"/>
    <cellStyle name="Output 2 2 38 2 3" xfId="57417"/>
    <cellStyle name="Output 2 2 38 3" xfId="31199"/>
    <cellStyle name="Output 2 2 38 4" xfId="57418"/>
    <cellStyle name="Output 2 2 39" xfId="17553"/>
    <cellStyle name="Output 2 2 39 2" xfId="25872"/>
    <cellStyle name="Output 2 2 39 2 2" xfId="57419"/>
    <cellStyle name="Output 2 2 39 2 3" xfId="57420"/>
    <cellStyle name="Output 2 2 39 3" xfId="33089"/>
    <cellStyle name="Output 2 2 39 4" xfId="57421"/>
    <cellStyle name="Output 2 2 4" xfId="139"/>
    <cellStyle name="Output 2 2 4 10" xfId="57422"/>
    <cellStyle name="Output 2 2 4 11" xfId="57423"/>
    <cellStyle name="Output 2 2 4 12" xfId="57424"/>
    <cellStyle name="Output 2 2 4 13" xfId="60824"/>
    <cellStyle name="Output 2 2 4 2" xfId="265"/>
    <cellStyle name="Output 2 2 4 2 2" xfId="675"/>
    <cellStyle name="Output 2 2 4 2 2 2" xfId="1626"/>
    <cellStyle name="Output 2 2 4 2 2 2 2" xfId="781"/>
    <cellStyle name="Output 2 2 4 2 2 2 2 2" xfId="1886"/>
    <cellStyle name="Output 2 2 4 2 2 2 2 2 2" xfId="5306"/>
    <cellStyle name="Output 2 2 4 2 2 2 2 2 2 2" xfId="12146"/>
    <cellStyle name="Output 2 2 4 2 2 2 2 2 3" xfId="8726"/>
    <cellStyle name="Output 2 2 4 2 2 2 2 3" xfId="3026"/>
    <cellStyle name="Output 2 2 4 2 2 2 2 3 2" xfId="6446"/>
    <cellStyle name="Output 2 2 4 2 2 2 2 3 2 2" xfId="13286"/>
    <cellStyle name="Output 2 2 4 2 2 2 2 3 3" xfId="9866"/>
    <cellStyle name="Output 2 2 4 2 2 2 2 4" xfId="4166"/>
    <cellStyle name="Output 2 2 4 2 2 2 2 4 2" xfId="11006"/>
    <cellStyle name="Output 2 2 4 2 2 2 2 5" xfId="7586"/>
    <cellStyle name="Output 2 2 4 2 2 2 3" xfId="2460"/>
    <cellStyle name="Output 2 2 4 2 2 2 3 2" xfId="5880"/>
    <cellStyle name="Output 2 2 4 2 2 2 3 2 2" xfId="12720"/>
    <cellStyle name="Output 2 2 4 2 2 2 3 3" xfId="9300"/>
    <cellStyle name="Output 2 2 4 2 2 2 4" xfId="3600"/>
    <cellStyle name="Output 2 2 4 2 2 2 4 2" xfId="7020"/>
    <cellStyle name="Output 2 2 4 2 2 2 4 2 2" xfId="13860"/>
    <cellStyle name="Output 2 2 4 2 2 2 4 3" xfId="10440"/>
    <cellStyle name="Output 2 2 4 2 2 2 5" xfId="4740"/>
    <cellStyle name="Output 2 2 4 2 2 2 5 2" xfId="11580"/>
    <cellStyle name="Output 2 2 4 2 2 2 6" xfId="8160"/>
    <cellStyle name="Output 2 2 4 2 2 2 7" xfId="61569"/>
    <cellStyle name="Output 2 2 4 2 2 3" xfId="38519"/>
    <cellStyle name="Output 2 2 4 2 2 4" xfId="57425"/>
    <cellStyle name="Output 2 2 4 2 2 5" xfId="57426"/>
    <cellStyle name="Output 2 2 4 2 2 6" xfId="57427"/>
    <cellStyle name="Output 2 2 4 2 2 7" xfId="57428"/>
    <cellStyle name="Output 2 2 4 2 2 8" xfId="61298"/>
    <cellStyle name="Output 2 2 4 2 3" xfId="1272"/>
    <cellStyle name="Output 2 2 4 2 3 2" xfId="992"/>
    <cellStyle name="Output 2 2 4 2 3 2 2" xfId="2535"/>
    <cellStyle name="Output 2 2 4 2 3 2 2 2" xfId="5955"/>
    <cellStyle name="Output 2 2 4 2 3 2 2 2 2" xfId="12795"/>
    <cellStyle name="Output 2 2 4 2 3 2 2 3" xfId="9375"/>
    <cellStyle name="Output 2 2 4 2 3 2 3" xfId="3675"/>
    <cellStyle name="Output 2 2 4 2 3 2 3 2" xfId="7095"/>
    <cellStyle name="Output 2 2 4 2 3 2 3 2 2" xfId="13935"/>
    <cellStyle name="Output 2 2 4 2 3 2 3 3" xfId="10515"/>
    <cellStyle name="Output 2 2 4 2 3 2 4" xfId="4815"/>
    <cellStyle name="Output 2 2 4 2 3 2 4 2" xfId="11655"/>
    <cellStyle name="Output 2 2 4 2 3 2 5" xfId="8235"/>
    <cellStyle name="Output 2 2 4 2 3 3" xfId="2092"/>
    <cellStyle name="Output 2 2 4 2 3 3 2" xfId="5512"/>
    <cellStyle name="Output 2 2 4 2 3 3 2 2" xfId="12352"/>
    <cellStyle name="Output 2 2 4 2 3 3 3" xfId="8932"/>
    <cellStyle name="Output 2 2 4 2 3 4" xfId="3232"/>
    <cellStyle name="Output 2 2 4 2 3 4 2" xfId="6652"/>
    <cellStyle name="Output 2 2 4 2 3 4 2 2" xfId="13492"/>
    <cellStyle name="Output 2 2 4 2 3 4 3" xfId="10072"/>
    <cellStyle name="Output 2 2 4 2 3 5" xfId="4372"/>
    <cellStyle name="Output 2 2 4 2 3 5 2" xfId="11212"/>
    <cellStyle name="Output 2 2 4 2 3 6" xfId="7792"/>
    <cellStyle name="Output 2 2 4 2 3 7" xfId="61570"/>
    <cellStyle name="Output 2 2 4 2 4" xfId="15617"/>
    <cellStyle name="Output 2 2 4 2 5" xfId="23931"/>
    <cellStyle name="Output 2 2 4 2 6" xfId="38282"/>
    <cellStyle name="Output 2 2 4 2 7" xfId="57429"/>
    <cellStyle name="Output 2 2 4 2 8" xfId="60948"/>
    <cellStyle name="Output 2 2 4 3" xfId="587"/>
    <cellStyle name="Output 2 2 4 3 2" xfId="1574"/>
    <cellStyle name="Output 2 2 4 3 2 2" xfId="824"/>
    <cellStyle name="Output 2 2 4 3 2 2 2" xfId="2513"/>
    <cellStyle name="Output 2 2 4 3 2 2 2 2" xfId="5933"/>
    <cellStyle name="Output 2 2 4 3 2 2 2 2 2" xfId="12773"/>
    <cellStyle name="Output 2 2 4 3 2 2 2 3" xfId="9353"/>
    <cellStyle name="Output 2 2 4 3 2 2 3" xfId="3653"/>
    <cellStyle name="Output 2 2 4 3 2 2 3 2" xfId="7073"/>
    <cellStyle name="Output 2 2 4 3 2 2 3 2 2" xfId="13913"/>
    <cellStyle name="Output 2 2 4 3 2 2 3 3" xfId="10493"/>
    <cellStyle name="Output 2 2 4 3 2 2 4" xfId="4793"/>
    <cellStyle name="Output 2 2 4 3 2 2 4 2" xfId="11633"/>
    <cellStyle name="Output 2 2 4 3 2 2 5" xfId="8213"/>
    <cellStyle name="Output 2 2 4 3 2 3" xfId="2399"/>
    <cellStyle name="Output 2 2 4 3 2 3 2" xfId="5819"/>
    <cellStyle name="Output 2 2 4 3 2 3 2 2" xfId="12659"/>
    <cellStyle name="Output 2 2 4 3 2 3 3" xfId="9239"/>
    <cellStyle name="Output 2 2 4 3 2 4" xfId="3539"/>
    <cellStyle name="Output 2 2 4 3 2 4 2" xfId="6959"/>
    <cellStyle name="Output 2 2 4 3 2 4 2 2" xfId="13799"/>
    <cellStyle name="Output 2 2 4 3 2 4 3" xfId="10379"/>
    <cellStyle name="Output 2 2 4 3 2 5" xfId="4679"/>
    <cellStyle name="Output 2 2 4 3 2 5 2" xfId="11519"/>
    <cellStyle name="Output 2 2 4 3 2 6" xfId="8099"/>
    <cellStyle name="Output 2 2 4 3 2 7" xfId="61568"/>
    <cellStyle name="Output 2 2 4 3 3" xfId="16585"/>
    <cellStyle name="Output 2 2 4 3 4" xfId="24902"/>
    <cellStyle name="Output 2 2 4 3 5" xfId="32162"/>
    <cellStyle name="Output 2 2 4 3 6" xfId="57430"/>
    <cellStyle name="Output 2 2 4 3 7" xfId="57431"/>
    <cellStyle name="Output 2 2 4 3 8" xfId="57432"/>
    <cellStyle name="Output 2 2 4 3 9" xfId="61299"/>
    <cellStyle name="Output 2 2 4 4" xfId="1148"/>
    <cellStyle name="Output 2 2 4 4 10" xfId="61571"/>
    <cellStyle name="Output 2 2 4 4 2" xfId="1054"/>
    <cellStyle name="Output 2 2 4 4 2 2" xfId="2758"/>
    <cellStyle name="Output 2 2 4 4 2 2 2" xfId="6178"/>
    <cellStyle name="Output 2 2 4 4 2 2 2 2" xfId="13018"/>
    <cellStyle name="Output 2 2 4 4 2 2 3" xfId="9598"/>
    <cellStyle name="Output 2 2 4 4 2 3" xfId="3898"/>
    <cellStyle name="Output 2 2 4 4 2 3 2" xfId="7318"/>
    <cellStyle name="Output 2 2 4 4 2 3 2 2" xfId="14158"/>
    <cellStyle name="Output 2 2 4 4 2 3 3" xfId="10738"/>
    <cellStyle name="Output 2 2 4 4 2 4" xfId="5038"/>
    <cellStyle name="Output 2 2 4 4 2 4 2" xfId="11878"/>
    <cellStyle name="Output 2 2 4 4 2 5" xfId="8458"/>
    <cellStyle name="Output 2 2 4 4 3" xfId="1967"/>
    <cellStyle name="Output 2 2 4 4 3 2" xfId="5387"/>
    <cellStyle name="Output 2 2 4 4 3 2 2" xfId="12227"/>
    <cellStyle name="Output 2 2 4 4 3 3" xfId="8807"/>
    <cellStyle name="Output 2 2 4 4 4" xfId="3107"/>
    <cellStyle name="Output 2 2 4 4 4 2" xfId="6527"/>
    <cellStyle name="Output 2 2 4 4 4 2 2" xfId="13367"/>
    <cellStyle name="Output 2 2 4 4 4 3" xfId="9947"/>
    <cellStyle name="Output 2 2 4 4 5" xfId="4247"/>
    <cellStyle name="Output 2 2 4 4 5 2" xfId="11087"/>
    <cellStyle name="Output 2 2 4 4 6" xfId="7667"/>
    <cellStyle name="Output 2 2 4 4 7" xfId="17604"/>
    <cellStyle name="Output 2 2 4 4 8" xfId="25927"/>
    <cellStyle name="Output 2 2 4 4 9" xfId="33139"/>
    <cellStyle name="Output 2 2 4 5" xfId="18586"/>
    <cellStyle name="Output 2 2 4 5 2" xfId="26905"/>
    <cellStyle name="Output 2 2 4 5 2 2" xfId="57433"/>
    <cellStyle name="Output 2 2 4 5 2 3" xfId="57434"/>
    <cellStyle name="Output 2 2 4 5 3" xfId="34074"/>
    <cellStyle name="Output 2 2 4 5 4" xfId="57435"/>
    <cellStyle name="Output 2 2 4 6" xfId="19554"/>
    <cellStyle name="Output 2 2 4 6 2" xfId="27875"/>
    <cellStyle name="Output 2 2 4 6 2 2" xfId="57436"/>
    <cellStyle name="Output 2 2 4 6 2 3" xfId="57437"/>
    <cellStyle name="Output 2 2 4 6 3" xfId="35022"/>
    <cellStyle name="Output 2 2 4 6 4" xfId="57438"/>
    <cellStyle name="Output 2 2 4 7" xfId="20512"/>
    <cellStyle name="Output 2 2 4 7 2" xfId="28834"/>
    <cellStyle name="Output 2 2 4 7 2 2" xfId="57439"/>
    <cellStyle name="Output 2 2 4 7 2 3" xfId="57440"/>
    <cellStyle name="Output 2 2 4 7 3" xfId="35939"/>
    <cellStyle name="Output 2 2 4 7 4" xfId="57441"/>
    <cellStyle name="Output 2 2 4 8" xfId="22895"/>
    <cellStyle name="Output 2 2 4 8 2" xfId="57442"/>
    <cellStyle name="Output 2 2 4 8 3" xfId="57443"/>
    <cellStyle name="Output 2 2 4 9" xfId="57444"/>
    <cellStyle name="Output 2 2 40" xfId="20503"/>
    <cellStyle name="Output 2 2 40 2" xfId="28825"/>
    <cellStyle name="Output 2 2 40 2 2" xfId="57445"/>
    <cellStyle name="Output 2 2 40 2 3" xfId="57446"/>
    <cellStyle name="Output 2 2 40 3" xfId="35931"/>
    <cellStyle name="Output 2 2 40 4" xfId="57447"/>
    <cellStyle name="Output 2 2 41" xfId="21961"/>
    <cellStyle name="Output 2 2 41 2" xfId="30262"/>
    <cellStyle name="Output 2 2 41 2 2" xfId="57448"/>
    <cellStyle name="Output 2 2 41 2 3" xfId="57449"/>
    <cellStyle name="Output 2 2 41 3" xfId="37302"/>
    <cellStyle name="Output 2 2 41 4" xfId="57450"/>
    <cellStyle name="Output 2 2 42" xfId="14539"/>
    <cellStyle name="Output 2 2 42 2" xfId="57451"/>
    <cellStyle name="Output 2 2 42 3" xfId="57452"/>
    <cellStyle name="Output 2 2 43" xfId="57453"/>
    <cellStyle name="Output 2 2 44" xfId="57454"/>
    <cellStyle name="Output 2 2 45" xfId="57455"/>
    <cellStyle name="Output 2 2 46" xfId="57456"/>
    <cellStyle name="Output 2 2 47" xfId="60773"/>
    <cellStyle name="Output 2 2 5" xfId="305"/>
    <cellStyle name="Output 2 2 5 10" xfId="14599"/>
    <cellStyle name="Output 2 2 5 11" xfId="22960"/>
    <cellStyle name="Output 2 2 5 12" xfId="57457"/>
    <cellStyle name="Output 2 2 5 13" xfId="57458"/>
    <cellStyle name="Output 2 2 5 14" xfId="57459"/>
    <cellStyle name="Output 2 2 5 15" xfId="60987"/>
    <cellStyle name="Output 2 2 5 2" xfId="534"/>
    <cellStyle name="Output 2 2 5 2 2" xfId="1538"/>
    <cellStyle name="Output 2 2 5 2 2 2" xfId="840"/>
    <cellStyle name="Output 2 2 5 2 2 2 2" xfId="2589"/>
    <cellStyle name="Output 2 2 5 2 2 2 2 2" xfId="6009"/>
    <cellStyle name="Output 2 2 5 2 2 2 2 2 2" xfId="12849"/>
    <cellStyle name="Output 2 2 5 2 2 2 2 3" xfId="9429"/>
    <cellStyle name="Output 2 2 5 2 2 2 3" xfId="3729"/>
    <cellStyle name="Output 2 2 5 2 2 2 3 2" xfId="7149"/>
    <cellStyle name="Output 2 2 5 2 2 2 3 2 2" xfId="13989"/>
    <cellStyle name="Output 2 2 5 2 2 2 3 3" xfId="10569"/>
    <cellStyle name="Output 2 2 5 2 2 2 4" xfId="4869"/>
    <cellStyle name="Output 2 2 5 2 2 2 4 2" xfId="11709"/>
    <cellStyle name="Output 2 2 5 2 2 2 5" xfId="8289"/>
    <cellStyle name="Output 2 2 5 2 2 3" xfId="2359"/>
    <cellStyle name="Output 2 2 5 2 2 3 2" xfId="5779"/>
    <cellStyle name="Output 2 2 5 2 2 3 2 2" xfId="12619"/>
    <cellStyle name="Output 2 2 5 2 2 3 3" xfId="9199"/>
    <cellStyle name="Output 2 2 5 2 2 4" xfId="3499"/>
    <cellStyle name="Output 2 2 5 2 2 4 2" xfId="6919"/>
    <cellStyle name="Output 2 2 5 2 2 4 2 2" xfId="13759"/>
    <cellStyle name="Output 2 2 5 2 2 4 3" xfId="10339"/>
    <cellStyle name="Output 2 2 5 2 2 5" xfId="4639"/>
    <cellStyle name="Output 2 2 5 2 2 5 2" xfId="11479"/>
    <cellStyle name="Output 2 2 5 2 2 6" xfId="8059"/>
    <cellStyle name="Output 2 2 5 2 2 7" xfId="61566"/>
    <cellStyle name="Output 2 2 5 2 3" xfId="15679"/>
    <cellStyle name="Output 2 2 5 2 4" xfId="23995"/>
    <cellStyle name="Output 2 2 5 2 5" xfId="31290"/>
    <cellStyle name="Output 2 2 5 2 6" xfId="57460"/>
    <cellStyle name="Output 2 2 5 2 7" xfId="57461"/>
    <cellStyle name="Output 2 2 5 2 8" xfId="57462"/>
    <cellStyle name="Output 2 2 5 2 9" xfId="61214"/>
    <cellStyle name="Output 2 2 5 3" xfId="1311"/>
    <cellStyle name="Output 2 2 5 3 10" xfId="61567"/>
    <cellStyle name="Output 2 2 5 3 2" xfId="1721"/>
    <cellStyle name="Output 2 2 5 3 2 2" xfId="2861"/>
    <cellStyle name="Output 2 2 5 3 2 2 2" xfId="6281"/>
    <cellStyle name="Output 2 2 5 3 2 2 2 2" xfId="13121"/>
    <cellStyle name="Output 2 2 5 3 2 2 3" xfId="9701"/>
    <cellStyle name="Output 2 2 5 3 2 3" xfId="4001"/>
    <cellStyle name="Output 2 2 5 3 2 3 2" xfId="7421"/>
    <cellStyle name="Output 2 2 5 3 2 3 2 2" xfId="14261"/>
    <cellStyle name="Output 2 2 5 3 2 3 3" xfId="10841"/>
    <cellStyle name="Output 2 2 5 3 2 4" xfId="5141"/>
    <cellStyle name="Output 2 2 5 3 2 4 2" xfId="11981"/>
    <cellStyle name="Output 2 2 5 3 2 5" xfId="8561"/>
    <cellStyle name="Output 2 2 5 3 3" xfId="2131"/>
    <cellStyle name="Output 2 2 5 3 3 2" xfId="5551"/>
    <cellStyle name="Output 2 2 5 3 3 2 2" xfId="12391"/>
    <cellStyle name="Output 2 2 5 3 3 3" xfId="8971"/>
    <cellStyle name="Output 2 2 5 3 4" xfId="3271"/>
    <cellStyle name="Output 2 2 5 3 4 2" xfId="6691"/>
    <cellStyle name="Output 2 2 5 3 4 2 2" xfId="13531"/>
    <cellStyle name="Output 2 2 5 3 4 3" xfId="10111"/>
    <cellStyle name="Output 2 2 5 3 5" xfId="4411"/>
    <cellStyle name="Output 2 2 5 3 5 2" xfId="11251"/>
    <cellStyle name="Output 2 2 5 3 6" xfId="7831"/>
    <cellStyle name="Output 2 2 5 3 7" xfId="16646"/>
    <cellStyle name="Output 2 2 5 3 8" xfId="24966"/>
    <cellStyle name="Output 2 2 5 3 9" xfId="32223"/>
    <cellStyle name="Output 2 2 5 4" xfId="17668"/>
    <cellStyle name="Output 2 2 5 4 2" xfId="25992"/>
    <cellStyle name="Output 2 2 5 4 2 2" xfId="57463"/>
    <cellStyle name="Output 2 2 5 4 2 3" xfId="57464"/>
    <cellStyle name="Output 2 2 5 4 3" xfId="33200"/>
    <cellStyle name="Output 2 2 5 4 4" xfId="57465"/>
    <cellStyle name="Output 2 2 5 5" xfId="18651"/>
    <cellStyle name="Output 2 2 5 5 2" xfId="26972"/>
    <cellStyle name="Output 2 2 5 5 2 2" xfId="57466"/>
    <cellStyle name="Output 2 2 5 5 2 3" xfId="57467"/>
    <cellStyle name="Output 2 2 5 5 3" xfId="34138"/>
    <cellStyle name="Output 2 2 5 5 4" xfId="57468"/>
    <cellStyle name="Output 2 2 5 6" xfId="19620"/>
    <cellStyle name="Output 2 2 5 6 2" xfId="27941"/>
    <cellStyle name="Output 2 2 5 6 2 2" xfId="57469"/>
    <cellStyle name="Output 2 2 5 6 2 3" xfId="57470"/>
    <cellStyle name="Output 2 2 5 6 3" xfId="35084"/>
    <cellStyle name="Output 2 2 5 6 4" xfId="57471"/>
    <cellStyle name="Output 2 2 5 7" xfId="20577"/>
    <cellStyle name="Output 2 2 5 7 2" xfId="28899"/>
    <cellStyle name="Output 2 2 5 7 2 2" xfId="57472"/>
    <cellStyle name="Output 2 2 5 7 2 3" xfId="57473"/>
    <cellStyle name="Output 2 2 5 7 3" xfId="36000"/>
    <cellStyle name="Output 2 2 5 7 4" xfId="57474"/>
    <cellStyle name="Output 2 2 5 8" xfId="21221"/>
    <cellStyle name="Output 2 2 5 8 2" xfId="29532"/>
    <cellStyle name="Output 2 2 5 8 2 2" xfId="57475"/>
    <cellStyle name="Output 2 2 5 8 2 3" xfId="57476"/>
    <cellStyle name="Output 2 2 5 8 3" xfId="36601"/>
    <cellStyle name="Output 2 2 5 8 4" xfId="57477"/>
    <cellStyle name="Output 2 2 5 9" xfId="22014"/>
    <cellStyle name="Output 2 2 5 9 2" xfId="30313"/>
    <cellStyle name="Output 2 2 5 9 3" xfId="37351"/>
    <cellStyle name="Output 2 2 6" xfId="203"/>
    <cellStyle name="Output 2 2 6 10" xfId="14595"/>
    <cellStyle name="Output 2 2 6 11" xfId="22955"/>
    <cellStyle name="Output 2 2 6 12" xfId="57478"/>
    <cellStyle name="Output 2 2 6 13" xfId="57479"/>
    <cellStyle name="Output 2 2 6 14" xfId="57480"/>
    <cellStyle name="Output 2 2 6 15" xfId="60887"/>
    <cellStyle name="Output 2 2 6 2" xfId="383"/>
    <cellStyle name="Output 2 2 6 2 2" xfId="1388"/>
    <cellStyle name="Output 2 2 6 2 2 2" xfId="914"/>
    <cellStyle name="Output 2 2 6 2 2 2 2" xfId="2792"/>
    <cellStyle name="Output 2 2 6 2 2 2 2 2" xfId="6212"/>
    <cellStyle name="Output 2 2 6 2 2 2 2 2 2" xfId="13052"/>
    <cellStyle name="Output 2 2 6 2 2 2 2 3" xfId="9632"/>
    <cellStyle name="Output 2 2 6 2 2 2 3" xfId="3932"/>
    <cellStyle name="Output 2 2 6 2 2 2 3 2" xfId="7352"/>
    <cellStyle name="Output 2 2 6 2 2 2 3 2 2" xfId="14192"/>
    <cellStyle name="Output 2 2 6 2 2 2 3 3" xfId="10772"/>
    <cellStyle name="Output 2 2 6 2 2 2 4" xfId="5072"/>
    <cellStyle name="Output 2 2 6 2 2 2 4 2" xfId="11912"/>
    <cellStyle name="Output 2 2 6 2 2 2 5" xfId="8492"/>
    <cellStyle name="Output 2 2 6 2 2 3" xfId="2209"/>
    <cellStyle name="Output 2 2 6 2 2 3 2" xfId="5629"/>
    <cellStyle name="Output 2 2 6 2 2 3 2 2" xfId="12469"/>
    <cellStyle name="Output 2 2 6 2 2 3 3" xfId="9049"/>
    <cellStyle name="Output 2 2 6 2 2 4" xfId="3349"/>
    <cellStyle name="Output 2 2 6 2 2 4 2" xfId="6769"/>
    <cellStyle name="Output 2 2 6 2 2 4 2 2" xfId="13609"/>
    <cellStyle name="Output 2 2 6 2 2 4 3" xfId="10189"/>
    <cellStyle name="Output 2 2 6 2 2 5" xfId="4489"/>
    <cellStyle name="Output 2 2 6 2 2 5 2" xfId="11329"/>
    <cellStyle name="Output 2 2 6 2 2 6" xfId="7909"/>
    <cellStyle name="Output 2 2 6 2 2 7" xfId="61564"/>
    <cellStyle name="Output 2 2 6 2 3" xfId="15675"/>
    <cellStyle name="Output 2 2 6 2 4" xfId="23990"/>
    <cellStyle name="Output 2 2 6 2 5" xfId="31285"/>
    <cellStyle name="Output 2 2 6 2 6" xfId="57481"/>
    <cellStyle name="Output 2 2 6 2 7" xfId="57482"/>
    <cellStyle name="Output 2 2 6 2 8" xfId="57483"/>
    <cellStyle name="Output 2 2 6 2 9" xfId="61064"/>
    <cellStyle name="Output 2 2 6 3" xfId="1211"/>
    <cellStyle name="Output 2 2 6 3 10" xfId="61460"/>
    <cellStyle name="Output 2 2 6 3 2" xfId="1022"/>
    <cellStyle name="Output 2 2 6 3 2 2" xfId="2562"/>
    <cellStyle name="Output 2 2 6 3 2 2 2" xfId="5982"/>
    <cellStyle name="Output 2 2 6 3 2 2 2 2" xfId="12822"/>
    <cellStyle name="Output 2 2 6 3 2 2 3" xfId="9402"/>
    <cellStyle name="Output 2 2 6 3 2 3" xfId="3702"/>
    <cellStyle name="Output 2 2 6 3 2 3 2" xfId="7122"/>
    <cellStyle name="Output 2 2 6 3 2 3 2 2" xfId="13962"/>
    <cellStyle name="Output 2 2 6 3 2 3 3" xfId="10542"/>
    <cellStyle name="Output 2 2 6 3 2 4" xfId="4842"/>
    <cellStyle name="Output 2 2 6 3 2 4 2" xfId="11682"/>
    <cellStyle name="Output 2 2 6 3 2 5" xfId="8262"/>
    <cellStyle name="Output 2 2 6 3 3" xfId="2030"/>
    <cellStyle name="Output 2 2 6 3 3 2" xfId="5450"/>
    <cellStyle name="Output 2 2 6 3 3 2 2" xfId="12290"/>
    <cellStyle name="Output 2 2 6 3 3 3" xfId="8870"/>
    <cellStyle name="Output 2 2 6 3 4" xfId="3170"/>
    <cellStyle name="Output 2 2 6 3 4 2" xfId="6590"/>
    <cellStyle name="Output 2 2 6 3 4 2 2" xfId="13430"/>
    <cellStyle name="Output 2 2 6 3 4 3" xfId="10010"/>
    <cellStyle name="Output 2 2 6 3 5" xfId="4310"/>
    <cellStyle name="Output 2 2 6 3 5 2" xfId="11150"/>
    <cellStyle name="Output 2 2 6 3 6" xfId="7730"/>
    <cellStyle name="Output 2 2 6 3 7" xfId="16642"/>
    <cellStyle name="Output 2 2 6 3 8" xfId="24961"/>
    <cellStyle name="Output 2 2 6 3 9" xfId="32218"/>
    <cellStyle name="Output 2 2 6 4" xfId="17663"/>
    <cellStyle name="Output 2 2 6 4 2" xfId="25987"/>
    <cellStyle name="Output 2 2 6 4 2 2" xfId="57484"/>
    <cellStyle name="Output 2 2 6 4 2 3" xfId="57485"/>
    <cellStyle name="Output 2 2 6 4 3" xfId="33195"/>
    <cellStyle name="Output 2 2 6 4 4" xfId="57486"/>
    <cellStyle name="Output 2 2 6 5" xfId="18646"/>
    <cellStyle name="Output 2 2 6 5 2" xfId="26967"/>
    <cellStyle name="Output 2 2 6 5 2 2" xfId="57487"/>
    <cellStyle name="Output 2 2 6 5 2 3" xfId="57488"/>
    <cellStyle name="Output 2 2 6 5 3" xfId="34133"/>
    <cellStyle name="Output 2 2 6 5 4" xfId="57489"/>
    <cellStyle name="Output 2 2 6 6" xfId="19615"/>
    <cellStyle name="Output 2 2 6 6 2" xfId="27936"/>
    <cellStyle name="Output 2 2 6 6 2 2" xfId="57490"/>
    <cellStyle name="Output 2 2 6 6 2 3" xfId="57491"/>
    <cellStyle name="Output 2 2 6 6 3" xfId="35079"/>
    <cellStyle name="Output 2 2 6 6 4" xfId="57492"/>
    <cellStyle name="Output 2 2 6 7" xfId="20572"/>
    <cellStyle name="Output 2 2 6 7 2" xfId="28894"/>
    <cellStyle name="Output 2 2 6 7 2 2" xfId="57493"/>
    <cellStyle name="Output 2 2 6 7 2 3" xfId="57494"/>
    <cellStyle name="Output 2 2 6 7 3" xfId="35995"/>
    <cellStyle name="Output 2 2 6 7 4" xfId="57495"/>
    <cellStyle name="Output 2 2 6 8" xfId="21331"/>
    <cellStyle name="Output 2 2 6 8 2" xfId="29636"/>
    <cellStyle name="Output 2 2 6 8 2 2" xfId="57496"/>
    <cellStyle name="Output 2 2 6 8 2 3" xfId="57497"/>
    <cellStyle name="Output 2 2 6 8 3" xfId="36702"/>
    <cellStyle name="Output 2 2 6 8 4" xfId="57498"/>
    <cellStyle name="Output 2 2 6 9" xfId="22009"/>
    <cellStyle name="Output 2 2 6 9 2" xfId="30308"/>
    <cellStyle name="Output 2 2 6 9 3" xfId="37346"/>
    <cellStyle name="Output 2 2 7" xfId="395"/>
    <cellStyle name="Output 2 2 7 10" xfId="14634"/>
    <cellStyle name="Output 2 2 7 11" xfId="22996"/>
    <cellStyle name="Output 2 2 7 12" xfId="57499"/>
    <cellStyle name="Output 2 2 7 13" xfId="57500"/>
    <cellStyle name="Output 2 2 7 14" xfId="57501"/>
    <cellStyle name="Output 2 2 7 15" xfId="61076"/>
    <cellStyle name="Output 2 2 7 2" xfId="474"/>
    <cellStyle name="Output 2 2 7 2 2" xfId="1478"/>
    <cellStyle name="Output 2 2 7 2 2 2" xfId="1867"/>
    <cellStyle name="Output 2 2 7 2 2 2 2" xfId="3007"/>
    <cellStyle name="Output 2 2 7 2 2 2 2 2" xfId="6427"/>
    <cellStyle name="Output 2 2 7 2 2 2 2 2 2" xfId="13267"/>
    <cellStyle name="Output 2 2 7 2 2 2 2 3" xfId="9847"/>
    <cellStyle name="Output 2 2 7 2 2 2 3" xfId="4147"/>
    <cellStyle name="Output 2 2 7 2 2 2 3 2" xfId="7567"/>
    <cellStyle name="Output 2 2 7 2 2 2 3 2 2" xfId="14407"/>
    <cellStyle name="Output 2 2 7 2 2 2 3 3" xfId="10987"/>
    <cellStyle name="Output 2 2 7 2 2 2 4" xfId="5287"/>
    <cellStyle name="Output 2 2 7 2 2 2 4 2" xfId="12127"/>
    <cellStyle name="Output 2 2 7 2 2 2 5" xfId="8707"/>
    <cellStyle name="Output 2 2 7 2 2 3" xfId="2299"/>
    <cellStyle name="Output 2 2 7 2 2 3 2" xfId="5719"/>
    <cellStyle name="Output 2 2 7 2 2 3 2 2" xfId="12559"/>
    <cellStyle name="Output 2 2 7 2 2 3 3" xfId="9139"/>
    <cellStyle name="Output 2 2 7 2 2 4" xfId="3439"/>
    <cellStyle name="Output 2 2 7 2 2 4 2" xfId="6859"/>
    <cellStyle name="Output 2 2 7 2 2 4 2 2" xfId="13699"/>
    <cellStyle name="Output 2 2 7 2 2 4 3" xfId="10279"/>
    <cellStyle name="Output 2 2 7 2 2 5" xfId="4579"/>
    <cellStyle name="Output 2 2 7 2 2 5 2" xfId="11419"/>
    <cellStyle name="Output 2 2 7 2 2 6" xfId="7999"/>
    <cellStyle name="Output 2 2 7 2 2 7" xfId="61562"/>
    <cellStyle name="Output 2 2 7 2 3" xfId="15715"/>
    <cellStyle name="Output 2 2 7 2 4" xfId="24031"/>
    <cellStyle name="Output 2 2 7 2 5" xfId="31324"/>
    <cellStyle name="Output 2 2 7 2 6" xfId="57502"/>
    <cellStyle name="Output 2 2 7 2 7" xfId="57503"/>
    <cellStyle name="Output 2 2 7 2 8" xfId="57504"/>
    <cellStyle name="Output 2 2 7 2 9" xfId="61154"/>
    <cellStyle name="Output 2 2 7 3" xfId="1400"/>
    <cellStyle name="Output 2 2 7 3 10" xfId="61563"/>
    <cellStyle name="Output 2 2 7 3 2" xfId="1791"/>
    <cellStyle name="Output 2 2 7 3 2 2" xfId="2931"/>
    <cellStyle name="Output 2 2 7 3 2 2 2" xfId="6351"/>
    <cellStyle name="Output 2 2 7 3 2 2 2 2" xfId="13191"/>
    <cellStyle name="Output 2 2 7 3 2 2 3" xfId="9771"/>
    <cellStyle name="Output 2 2 7 3 2 3" xfId="4071"/>
    <cellStyle name="Output 2 2 7 3 2 3 2" xfId="7491"/>
    <cellStyle name="Output 2 2 7 3 2 3 2 2" xfId="14331"/>
    <cellStyle name="Output 2 2 7 3 2 3 3" xfId="10911"/>
    <cellStyle name="Output 2 2 7 3 2 4" xfId="5211"/>
    <cellStyle name="Output 2 2 7 3 2 4 2" xfId="12051"/>
    <cellStyle name="Output 2 2 7 3 2 5" xfId="8631"/>
    <cellStyle name="Output 2 2 7 3 3" xfId="2221"/>
    <cellStyle name="Output 2 2 7 3 3 2" xfId="5641"/>
    <cellStyle name="Output 2 2 7 3 3 2 2" xfId="12481"/>
    <cellStyle name="Output 2 2 7 3 3 3" xfId="9061"/>
    <cellStyle name="Output 2 2 7 3 4" xfId="3361"/>
    <cellStyle name="Output 2 2 7 3 4 2" xfId="6781"/>
    <cellStyle name="Output 2 2 7 3 4 2 2" xfId="13621"/>
    <cellStyle name="Output 2 2 7 3 4 3" xfId="10201"/>
    <cellStyle name="Output 2 2 7 3 5" xfId="4501"/>
    <cellStyle name="Output 2 2 7 3 5 2" xfId="11341"/>
    <cellStyle name="Output 2 2 7 3 6" xfId="7921"/>
    <cellStyle name="Output 2 2 7 3 7" xfId="16681"/>
    <cellStyle name="Output 2 2 7 3 8" xfId="25002"/>
    <cellStyle name="Output 2 2 7 3 9" xfId="32257"/>
    <cellStyle name="Output 2 2 7 4" xfId="17705"/>
    <cellStyle name="Output 2 2 7 4 2" xfId="26028"/>
    <cellStyle name="Output 2 2 7 4 2 2" xfId="57505"/>
    <cellStyle name="Output 2 2 7 4 2 3" xfId="57506"/>
    <cellStyle name="Output 2 2 7 4 3" xfId="33234"/>
    <cellStyle name="Output 2 2 7 4 4" xfId="57507"/>
    <cellStyle name="Output 2 2 7 5" xfId="18688"/>
    <cellStyle name="Output 2 2 7 5 2" xfId="27009"/>
    <cellStyle name="Output 2 2 7 5 2 2" xfId="57508"/>
    <cellStyle name="Output 2 2 7 5 2 3" xfId="57509"/>
    <cellStyle name="Output 2 2 7 5 3" xfId="34173"/>
    <cellStyle name="Output 2 2 7 5 4" xfId="57510"/>
    <cellStyle name="Output 2 2 7 6" xfId="19657"/>
    <cellStyle name="Output 2 2 7 6 2" xfId="27978"/>
    <cellStyle name="Output 2 2 7 6 2 2" xfId="57511"/>
    <cellStyle name="Output 2 2 7 6 2 3" xfId="57512"/>
    <cellStyle name="Output 2 2 7 6 3" xfId="35119"/>
    <cellStyle name="Output 2 2 7 6 4" xfId="57513"/>
    <cellStyle name="Output 2 2 7 7" xfId="20614"/>
    <cellStyle name="Output 2 2 7 7 2" xfId="28935"/>
    <cellStyle name="Output 2 2 7 7 2 2" xfId="57514"/>
    <cellStyle name="Output 2 2 7 7 2 3" xfId="57515"/>
    <cellStyle name="Output 2 2 7 7 3" xfId="36034"/>
    <cellStyle name="Output 2 2 7 7 4" xfId="57516"/>
    <cellStyle name="Output 2 2 7 8" xfId="21233"/>
    <cellStyle name="Output 2 2 7 8 2" xfId="29543"/>
    <cellStyle name="Output 2 2 7 8 2 2" xfId="57517"/>
    <cellStyle name="Output 2 2 7 8 2 3" xfId="57518"/>
    <cellStyle name="Output 2 2 7 8 3" xfId="36612"/>
    <cellStyle name="Output 2 2 7 8 4" xfId="57519"/>
    <cellStyle name="Output 2 2 7 9" xfId="22051"/>
    <cellStyle name="Output 2 2 7 9 2" xfId="30349"/>
    <cellStyle name="Output 2 2 7 9 3" xfId="37385"/>
    <cellStyle name="Output 2 2 8" xfId="505"/>
    <cellStyle name="Output 2 2 8 10" xfId="14572"/>
    <cellStyle name="Output 2 2 8 11" xfId="22930"/>
    <cellStyle name="Output 2 2 8 12" xfId="57520"/>
    <cellStyle name="Output 2 2 8 13" xfId="57521"/>
    <cellStyle name="Output 2 2 8 14" xfId="57522"/>
    <cellStyle name="Output 2 2 8 15" xfId="61185"/>
    <cellStyle name="Output 2 2 8 2" xfId="434"/>
    <cellStyle name="Output 2 2 8 2 2" xfId="1438"/>
    <cellStyle name="Output 2 2 8 2 2 2" xfId="1769"/>
    <cellStyle name="Output 2 2 8 2 2 2 2" xfId="2909"/>
    <cellStyle name="Output 2 2 8 2 2 2 2 2" xfId="6329"/>
    <cellStyle name="Output 2 2 8 2 2 2 2 2 2" xfId="13169"/>
    <cellStyle name="Output 2 2 8 2 2 2 2 3" xfId="9749"/>
    <cellStyle name="Output 2 2 8 2 2 2 3" xfId="4049"/>
    <cellStyle name="Output 2 2 8 2 2 2 3 2" xfId="7469"/>
    <cellStyle name="Output 2 2 8 2 2 2 3 2 2" xfId="14309"/>
    <cellStyle name="Output 2 2 8 2 2 2 3 3" xfId="10889"/>
    <cellStyle name="Output 2 2 8 2 2 2 4" xfId="5189"/>
    <cellStyle name="Output 2 2 8 2 2 2 4 2" xfId="12029"/>
    <cellStyle name="Output 2 2 8 2 2 2 5" xfId="8609"/>
    <cellStyle name="Output 2 2 8 2 2 3" xfId="2259"/>
    <cellStyle name="Output 2 2 8 2 2 3 2" xfId="5679"/>
    <cellStyle name="Output 2 2 8 2 2 3 2 2" xfId="12519"/>
    <cellStyle name="Output 2 2 8 2 2 3 3" xfId="9099"/>
    <cellStyle name="Output 2 2 8 2 2 4" xfId="3399"/>
    <cellStyle name="Output 2 2 8 2 2 4 2" xfId="6819"/>
    <cellStyle name="Output 2 2 8 2 2 4 2 2" xfId="13659"/>
    <cellStyle name="Output 2 2 8 2 2 4 3" xfId="10239"/>
    <cellStyle name="Output 2 2 8 2 2 5" xfId="4539"/>
    <cellStyle name="Output 2 2 8 2 2 5 2" xfId="11379"/>
    <cellStyle name="Output 2 2 8 2 2 6" xfId="7959"/>
    <cellStyle name="Output 2 2 8 2 2 7" xfId="61560"/>
    <cellStyle name="Output 2 2 8 2 3" xfId="15653"/>
    <cellStyle name="Output 2 2 8 2 4" xfId="23966"/>
    <cellStyle name="Output 2 2 8 2 5" xfId="31263"/>
    <cellStyle name="Output 2 2 8 2 6" xfId="57523"/>
    <cellStyle name="Output 2 2 8 2 7" xfId="57524"/>
    <cellStyle name="Output 2 2 8 2 8" xfId="57525"/>
    <cellStyle name="Output 2 2 8 2 9" xfId="61114"/>
    <cellStyle name="Output 2 2 8 3" xfId="1509"/>
    <cellStyle name="Output 2 2 8 3 10" xfId="61561"/>
    <cellStyle name="Output 2 2 8 3 2" xfId="1828"/>
    <cellStyle name="Output 2 2 8 3 2 2" xfId="2968"/>
    <cellStyle name="Output 2 2 8 3 2 2 2" xfId="6388"/>
    <cellStyle name="Output 2 2 8 3 2 2 2 2" xfId="13228"/>
    <cellStyle name="Output 2 2 8 3 2 2 3" xfId="9808"/>
    <cellStyle name="Output 2 2 8 3 2 3" xfId="4108"/>
    <cellStyle name="Output 2 2 8 3 2 3 2" xfId="7528"/>
    <cellStyle name="Output 2 2 8 3 2 3 2 2" xfId="14368"/>
    <cellStyle name="Output 2 2 8 3 2 3 3" xfId="10948"/>
    <cellStyle name="Output 2 2 8 3 2 4" xfId="5248"/>
    <cellStyle name="Output 2 2 8 3 2 4 2" xfId="12088"/>
    <cellStyle name="Output 2 2 8 3 2 5" xfId="8668"/>
    <cellStyle name="Output 2 2 8 3 3" xfId="2330"/>
    <cellStyle name="Output 2 2 8 3 3 2" xfId="5750"/>
    <cellStyle name="Output 2 2 8 3 3 2 2" xfId="12590"/>
    <cellStyle name="Output 2 2 8 3 3 3" xfId="9170"/>
    <cellStyle name="Output 2 2 8 3 4" xfId="3470"/>
    <cellStyle name="Output 2 2 8 3 4 2" xfId="6890"/>
    <cellStyle name="Output 2 2 8 3 4 2 2" xfId="13730"/>
    <cellStyle name="Output 2 2 8 3 4 3" xfId="10310"/>
    <cellStyle name="Output 2 2 8 3 5" xfId="4610"/>
    <cellStyle name="Output 2 2 8 3 5 2" xfId="11450"/>
    <cellStyle name="Output 2 2 8 3 6" xfId="8030"/>
    <cellStyle name="Output 2 2 8 3 7" xfId="16620"/>
    <cellStyle name="Output 2 2 8 3 8" xfId="24937"/>
    <cellStyle name="Output 2 2 8 3 9" xfId="32196"/>
    <cellStyle name="Output 2 2 8 4" xfId="17640"/>
    <cellStyle name="Output 2 2 8 4 2" xfId="25963"/>
    <cellStyle name="Output 2 2 8 4 2 2" xfId="57526"/>
    <cellStyle name="Output 2 2 8 4 2 3" xfId="57527"/>
    <cellStyle name="Output 2 2 8 4 3" xfId="33173"/>
    <cellStyle name="Output 2 2 8 4 4" xfId="57528"/>
    <cellStyle name="Output 2 2 8 5" xfId="18622"/>
    <cellStyle name="Output 2 2 8 5 2" xfId="26942"/>
    <cellStyle name="Output 2 2 8 5 2 2" xfId="57529"/>
    <cellStyle name="Output 2 2 8 5 2 3" xfId="57530"/>
    <cellStyle name="Output 2 2 8 5 3" xfId="34110"/>
    <cellStyle name="Output 2 2 8 5 4" xfId="57531"/>
    <cellStyle name="Output 2 2 8 6" xfId="19591"/>
    <cellStyle name="Output 2 2 8 6 2" xfId="27911"/>
    <cellStyle name="Output 2 2 8 6 2 2" xfId="57532"/>
    <cellStyle name="Output 2 2 8 6 2 3" xfId="57533"/>
    <cellStyle name="Output 2 2 8 6 3" xfId="35056"/>
    <cellStyle name="Output 2 2 8 6 4" xfId="57534"/>
    <cellStyle name="Output 2 2 8 7" xfId="20548"/>
    <cellStyle name="Output 2 2 8 7 2" xfId="28870"/>
    <cellStyle name="Output 2 2 8 7 2 2" xfId="57535"/>
    <cellStyle name="Output 2 2 8 7 2 3" xfId="57536"/>
    <cellStyle name="Output 2 2 8 7 3" xfId="35973"/>
    <cellStyle name="Output 2 2 8 7 4" xfId="57537"/>
    <cellStyle name="Output 2 2 8 8" xfId="21287"/>
    <cellStyle name="Output 2 2 8 8 2" xfId="29594"/>
    <cellStyle name="Output 2 2 8 8 2 2" xfId="57538"/>
    <cellStyle name="Output 2 2 8 8 2 3" xfId="57539"/>
    <cellStyle name="Output 2 2 8 8 3" xfId="36661"/>
    <cellStyle name="Output 2 2 8 8 4" xfId="57540"/>
    <cellStyle name="Output 2 2 8 9" xfId="21984"/>
    <cellStyle name="Output 2 2 8 9 2" xfId="30284"/>
    <cellStyle name="Output 2 2 8 9 3" xfId="37324"/>
    <cellStyle name="Output 2 2 9" xfId="1097"/>
    <cellStyle name="Output 2 2 9 10" xfId="14668"/>
    <cellStyle name="Output 2 2 9 11" xfId="23030"/>
    <cellStyle name="Output 2 2 9 12" xfId="61830"/>
    <cellStyle name="Output 2 2 9 2" xfId="1080"/>
    <cellStyle name="Output 2 2 9 2 2" xfId="2743"/>
    <cellStyle name="Output 2 2 9 2 2 2" xfId="6163"/>
    <cellStyle name="Output 2 2 9 2 2 2 2" xfId="13003"/>
    <cellStyle name="Output 2 2 9 2 2 3" xfId="9583"/>
    <cellStyle name="Output 2 2 9 2 3" xfId="3883"/>
    <cellStyle name="Output 2 2 9 2 3 2" xfId="7303"/>
    <cellStyle name="Output 2 2 9 2 3 2 2" xfId="14143"/>
    <cellStyle name="Output 2 2 9 2 3 3" xfId="10723"/>
    <cellStyle name="Output 2 2 9 2 4" xfId="5023"/>
    <cellStyle name="Output 2 2 9 2 4 2" xfId="11863"/>
    <cellStyle name="Output 2 2 9 2 5" xfId="8443"/>
    <cellStyle name="Output 2 2 9 2 6" xfId="15749"/>
    <cellStyle name="Output 2 2 9 2 7" xfId="24065"/>
    <cellStyle name="Output 2 2 9 2 8" xfId="31357"/>
    <cellStyle name="Output 2 2 9 2 9" xfId="61559"/>
    <cellStyle name="Output 2 2 9 3" xfId="1904"/>
    <cellStyle name="Output 2 2 9 3 2" xfId="5324"/>
    <cellStyle name="Output 2 2 9 3 2 2" xfId="12164"/>
    <cellStyle name="Output 2 2 9 3 2 3" xfId="57541"/>
    <cellStyle name="Output 2 2 9 3 3" xfId="8744"/>
    <cellStyle name="Output 2 2 9 3 4" xfId="16715"/>
    <cellStyle name="Output 2 2 9 3 5" xfId="25036"/>
    <cellStyle name="Output 2 2 9 3 6" xfId="32290"/>
    <cellStyle name="Output 2 2 9 4" xfId="3044"/>
    <cellStyle name="Output 2 2 9 4 2" xfId="6464"/>
    <cellStyle name="Output 2 2 9 4 2 2" xfId="13304"/>
    <cellStyle name="Output 2 2 9 4 2 3" xfId="57542"/>
    <cellStyle name="Output 2 2 9 4 3" xfId="9884"/>
    <cellStyle name="Output 2 2 9 4 4" xfId="17739"/>
    <cellStyle name="Output 2 2 9 4 5" xfId="26062"/>
    <cellStyle name="Output 2 2 9 4 6" xfId="33267"/>
    <cellStyle name="Output 2 2 9 5" xfId="4184"/>
    <cellStyle name="Output 2 2 9 5 2" xfId="11024"/>
    <cellStyle name="Output 2 2 9 5 2 2" xfId="57543"/>
    <cellStyle name="Output 2 2 9 5 2 3" xfId="57544"/>
    <cellStyle name="Output 2 2 9 5 3" xfId="18722"/>
    <cellStyle name="Output 2 2 9 5 4" xfId="27043"/>
    <cellStyle name="Output 2 2 9 5 5" xfId="34206"/>
    <cellStyle name="Output 2 2 9 6" xfId="7604"/>
    <cellStyle name="Output 2 2 9 6 2" xfId="19691"/>
    <cellStyle name="Output 2 2 9 6 2 2" xfId="57545"/>
    <cellStyle name="Output 2 2 9 6 2 3" xfId="57546"/>
    <cellStyle name="Output 2 2 9 6 3" xfId="28012"/>
    <cellStyle name="Output 2 2 9 6 4" xfId="35152"/>
    <cellStyle name="Output 2 2 9 7" xfId="20648"/>
    <cellStyle name="Output 2 2 9 7 2" xfId="28969"/>
    <cellStyle name="Output 2 2 9 7 2 2" xfId="57547"/>
    <cellStyle name="Output 2 2 9 7 2 3" xfId="57548"/>
    <cellStyle name="Output 2 2 9 7 3" xfId="36067"/>
    <cellStyle name="Output 2 2 9 7 4" xfId="57549"/>
    <cellStyle name="Output 2 2 9 8" xfId="21270"/>
    <cellStyle name="Output 2 2 9 8 2" xfId="29578"/>
    <cellStyle name="Output 2 2 9 8 2 2" xfId="57550"/>
    <cellStyle name="Output 2 2 9 8 2 3" xfId="57551"/>
    <cellStyle name="Output 2 2 9 8 3" xfId="36645"/>
    <cellStyle name="Output 2 2 9 8 4" xfId="57552"/>
    <cellStyle name="Output 2 2 9 9" xfId="22085"/>
    <cellStyle name="Output 2 2 9 9 2" xfId="30383"/>
    <cellStyle name="Output 2 2 9 9 3" xfId="37418"/>
    <cellStyle name="Output 2 20" xfId="15215"/>
    <cellStyle name="Output 2 20 10" xfId="57553"/>
    <cellStyle name="Output 2 20 2" xfId="16295"/>
    <cellStyle name="Output 2 20 2 2" xfId="24608"/>
    <cellStyle name="Output 2 20 2 2 2" xfId="57554"/>
    <cellStyle name="Output 2 20 2 2 3" xfId="57555"/>
    <cellStyle name="Output 2 20 2 3" xfId="31877"/>
    <cellStyle name="Output 2 20 2 4" xfId="57556"/>
    <cellStyle name="Output 2 20 3" xfId="17261"/>
    <cellStyle name="Output 2 20 3 2" xfId="25582"/>
    <cellStyle name="Output 2 20 3 2 2" xfId="57557"/>
    <cellStyle name="Output 2 20 3 2 3" xfId="57558"/>
    <cellStyle name="Output 2 20 3 3" xfId="32810"/>
    <cellStyle name="Output 2 20 3 4" xfId="57559"/>
    <cellStyle name="Output 2 20 4" xfId="18289"/>
    <cellStyle name="Output 2 20 4 2" xfId="26609"/>
    <cellStyle name="Output 2 20 4 2 2" xfId="57560"/>
    <cellStyle name="Output 2 20 4 2 3" xfId="57561"/>
    <cellStyle name="Output 2 20 4 3" xfId="33788"/>
    <cellStyle name="Output 2 20 4 4" xfId="57562"/>
    <cellStyle name="Output 2 20 5" xfId="19273"/>
    <cellStyle name="Output 2 20 5 2" xfId="27593"/>
    <cellStyle name="Output 2 20 5 2 2" xfId="57563"/>
    <cellStyle name="Output 2 20 5 2 3" xfId="57564"/>
    <cellStyle name="Output 2 20 5 3" xfId="34741"/>
    <cellStyle name="Output 2 20 5 4" xfId="57565"/>
    <cellStyle name="Output 2 20 6" xfId="20241"/>
    <cellStyle name="Output 2 20 6 2" xfId="28563"/>
    <cellStyle name="Output 2 20 6 2 2" xfId="57566"/>
    <cellStyle name="Output 2 20 6 2 3" xfId="57567"/>
    <cellStyle name="Output 2 20 6 3" xfId="35680"/>
    <cellStyle name="Output 2 20 6 4" xfId="57568"/>
    <cellStyle name="Output 2 20 7" xfId="21702"/>
    <cellStyle name="Output 2 20 7 2" xfId="30003"/>
    <cellStyle name="Output 2 20 7 2 2" xfId="57569"/>
    <cellStyle name="Output 2 20 7 2 3" xfId="57570"/>
    <cellStyle name="Output 2 20 7 3" xfId="37054"/>
    <cellStyle name="Output 2 20 7 4" xfId="57571"/>
    <cellStyle name="Output 2 20 8" xfId="22630"/>
    <cellStyle name="Output 2 20 8 2" xfId="30926"/>
    <cellStyle name="Output 2 20 8 3" xfId="37937"/>
    <cellStyle name="Output 2 20 9" xfId="23572"/>
    <cellStyle name="Output 2 21" xfId="15211"/>
    <cellStyle name="Output 2 21 10" xfId="57572"/>
    <cellStyle name="Output 2 21 2" xfId="16291"/>
    <cellStyle name="Output 2 21 2 2" xfId="24604"/>
    <cellStyle name="Output 2 21 2 2 2" xfId="57573"/>
    <cellStyle name="Output 2 21 2 2 3" xfId="57574"/>
    <cellStyle name="Output 2 21 2 3" xfId="31873"/>
    <cellStyle name="Output 2 21 2 4" xfId="57575"/>
    <cellStyle name="Output 2 21 3" xfId="17257"/>
    <cellStyle name="Output 2 21 3 2" xfId="25578"/>
    <cellStyle name="Output 2 21 3 2 2" xfId="57576"/>
    <cellStyle name="Output 2 21 3 2 3" xfId="57577"/>
    <cellStyle name="Output 2 21 3 3" xfId="32806"/>
    <cellStyle name="Output 2 21 3 4" xfId="57578"/>
    <cellStyle name="Output 2 21 4" xfId="18285"/>
    <cellStyle name="Output 2 21 4 2" xfId="26605"/>
    <cellStyle name="Output 2 21 4 2 2" xfId="57579"/>
    <cellStyle name="Output 2 21 4 2 3" xfId="57580"/>
    <cellStyle name="Output 2 21 4 3" xfId="33784"/>
    <cellStyle name="Output 2 21 4 4" xfId="57581"/>
    <cellStyle name="Output 2 21 5" xfId="19269"/>
    <cellStyle name="Output 2 21 5 2" xfId="27589"/>
    <cellStyle name="Output 2 21 5 2 2" xfId="57582"/>
    <cellStyle name="Output 2 21 5 2 3" xfId="57583"/>
    <cellStyle name="Output 2 21 5 3" xfId="34737"/>
    <cellStyle name="Output 2 21 5 4" xfId="57584"/>
    <cellStyle name="Output 2 21 6" xfId="20237"/>
    <cellStyle name="Output 2 21 6 2" xfId="28559"/>
    <cellStyle name="Output 2 21 6 2 2" xfId="57585"/>
    <cellStyle name="Output 2 21 6 2 3" xfId="57586"/>
    <cellStyle name="Output 2 21 6 3" xfId="35676"/>
    <cellStyle name="Output 2 21 6 4" xfId="57587"/>
    <cellStyle name="Output 2 21 7" xfId="21698"/>
    <cellStyle name="Output 2 21 7 2" xfId="29999"/>
    <cellStyle name="Output 2 21 7 2 2" xfId="57588"/>
    <cellStyle name="Output 2 21 7 2 3" xfId="57589"/>
    <cellStyle name="Output 2 21 7 3" xfId="37050"/>
    <cellStyle name="Output 2 21 7 4" xfId="57590"/>
    <cellStyle name="Output 2 21 8" xfId="22626"/>
    <cellStyle name="Output 2 21 8 2" xfId="30922"/>
    <cellStyle name="Output 2 21 8 3" xfId="37933"/>
    <cellStyle name="Output 2 21 9" xfId="23568"/>
    <cellStyle name="Output 2 22" xfId="15347"/>
    <cellStyle name="Output 2 22 10" xfId="57591"/>
    <cellStyle name="Output 2 22 2" xfId="16427"/>
    <cellStyle name="Output 2 22 2 2" xfId="24740"/>
    <cellStyle name="Output 2 22 2 2 2" xfId="57592"/>
    <cellStyle name="Output 2 22 2 2 3" xfId="57593"/>
    <cellStyle name="Output 2 22 2 3" xfId="32005"/>
    <cellStyle name="Output 2 22 2 4" xfId="57594"/>
    <cellStyle name="Output 2 22 3" xfId="17393"/>
    <cellStyle name="Output 2 22 3 2" xfId="25714"/>
    <cellStyle name="Output 2 22 3 2 2" xfId="57595"/>
    <cellStyle name="Output 2 22 3 2 3" xfId="57596"/>
    <cellStyle name="Output 2 22 3 3" xfId="32938"/>
    <cellStyle name="Output 2 22 3 4" xfId="57597"/>
    <cellStyle name="Output 2 22 4" xfId="18421"/>
    <cellStyle name="Output 2 22 4 2" xfId="26741"/>
    <cellStyle name="Output 2 22 4 2 2" xfId="57598"/>
    <cellStyle name="Output 2 22 4 2 3" xfId="57599"/>
    <cellStyle name="Output 2 22 4 3" xfId="33916"/>
    <cellStyle name="Output 2 22 4 4" xfId="57600"/>
    <cellStyle name="Output 2 22 5" xfId="19404"/>
    <cellStyle name="Output 2 22 5 2" xfId="27725"/>
    <cellStyle name="Output 2 22 5 2 2" xfId="57601"/>
    <cellStyle name="Output 2 22 5 2 3" xfId="57602"/>
    <cellStyle name="Output 2 22 5 3" xfId="34873"/>
    <cellStyle name="Output 2 22 5 4" xfId="57603"/>
    <cellStyle name="Output 2 22 6" xfId="20373"/>
    <cellStyle name="Output 2 22 6 2" xfId="28695"/>
    <cellStyle name="Output 2 22 6 2 2" xfId="57604"/>
    <cellStyle name="Output 2 22 6 2 3" xfId="57605"/>
    <cellStyle name="Output 2 22 6 3" xfId="35808"/>
    <cellStyle name="Output 2 22 6 4" xfId="57606"/>
    <cellStyle name="Output 2 22 7" xfId="21834"/>
    <cellStyle name="Output 2 22 7 2" xfId="30135"/>
    <cellStyle name="Output 2 22 7 2 2" xfId="57607"/>
    <cellStyle name="Output 2 22 7 2 3" xfId="57608"/>
    <cellStyle name="Output 2 22 7 3" xfId="37182"/>
    <cellStyle name="Output 2 22 7 4" xfId="57609"/>
    <cellStyle name="Output 2 22 8" xfId="22762"/>
    <cellStyle name="Output 2 22 8 2" xfId="31058"/>
    <cellStyle name="Output 2 22 8 3" xfId="38065"/>
    <cellStyle name="Output 2 22 9" xfId="23704"/>
    <cellStyle name="Output 2 23" xfId="15462"/>
    <cellStyle name="Output 2 23 10" xfId="57610"/>
    <cellStyle name="Output 2 23 2" xfId="16542"/>
    <cellStyle name="Output 2 23 2 2" xfId="24855"/>
    <cellStyle name="Output 2 23 2 2 2" xfId="57611"/>
    <cellStyle name="Output 2 23 2 2 3" xfId="57612"/>
    <cellStyle name="Output 2 23 2 3" xfId="32115"/>
    <cellStyle name="Output 2 23 2 4" xfId="57613"/>
    <cellStyle name="Output 2 23 3" xfId="17508"/>
    <cellStyle name="Output 2 23 3 2" xfId="25829"/>
    <cellStyle name="Output 2 23 3 2 2" xfId="57614"/>
    <cellStyle name="Output 2 23 3 2 3" xfId="57615"/>
    <cellStyle name="Output 2 23 3 3" xfId="33048"/>
    <cellStyle name="Output 2 23 3 4" xfId="57616"/>
    <cellStyle name="Output 2 23 4" xfId="18536"/>
    <cellStyle name="Output 2 23 4 2" xfId="26856"/>
    <cellStyle name="Output 2 23 4 2 2" xfId="57617"/>
    <cellStyle name="Output 2 23 4 2 3" xfId="57618"/>
    <cellStyle name="Output 2 23 4 3" xfId="34026"/>
    <cellStyle name="Output 2 23 4 4" xfId="57619"/>
    <cellStyle name="Output 2 23 5" xfId="19519"/>
    <cellStyle name="Output 2 23 5 2" xfId="27840"/>
    <cellStyle name="Output 2 23 5 2 2" xfId="57620"/>
    <cellStyle name="Output 2 23 5 2 3" xfId="57621"/>
    <cellStyle name="Output 2 23 5 3" xfId="34988"/>
    <cellStyle name="Output 2 23 5 4" xfId="57622"/>
    <cellStyle name="Output 2 23 6" xfId="20488"/>
    <cellStyle name="Output 2 23 6 2" xfId="28810"/>
    <cellStyle name="Output 2 23 6 2 2" xfId="57623"/>
    <cellStyle name="Output 2 23 6 2 3" xfId="57624"/>
    <cellStyle name="Output 2 23 6 3" xfId="35918"/>
    <cellStyle name="Output 2 23 6 4" xfId="57625"/>
    <cellStyle name="Output 2 23 7" xfId="21949"/>
    <cellStyle name="Output 2 23 7 2" xfId="30250"/>
    <cellStyle name="Output 2 23 7 2 2" xfId="57626"/>
    <cellStyle name="Output 2 23 7 2 3" xfId="57627"/>
    <cellStyle name="Output 2 23 7 3" xfId="37291"/>
    <cellStyle name="Output 2 23 7 4" xfId="57628"/>
    <cellStyle name="Output 2 23 8" xfId="22877"/>
    <cellStyle name="Output 2 23 8 2" xfId="31173"/>
    <cellStyle name="Output 2 23 8 3" xfId="38175"/>
    <cellStyle name="Output 2 23 9" xfId="23819"/>
    <cellStyle name="Output 2 24" xfId="15513"/>
    <cellStyle name="Output 2 24 2" xfId="23853"/>
    <cellStyle name="Output 2 24 2 2" xfId="57629"/>
    <cellStyle name="Output 2 24 2 3" xfId="57630"/>
    <cellStyle name="Output 2 24 3" xfId="31200"/>
    <cellStyle name="Output 2 24 4" xfId="57631"/>
    <cellStyle name="Output 2 25" xfId="17552"/>
    <cellStyle name="Output 2 25 2" xfId="25871"/>
    <cellStyle name="Output 2 25 2 2" xfId="57632"/>
    <cellStyle name="Output 2 25 2 3" xfId="57633"/>
    <cellStyle name="Output 2 25 3" xfId="33088"/>
    <cellStyle name="Output 2 25 4" xfId="57634"/>
    <cellStyle name="Output 2 26" xfId="15489"/>
    <cellStyle name="Output 2 26 2" xfId="23831"/>
    <cellStyle name="Output 2 26 2 2" xfId="57635"/>
    <cellStyle name="Output 2 26 2 3" xfId="57636"/>
    <cellStyle name="Output 2 26 3" xfId="31180"/>
    <cellStyle name="Output 2 26 4" xfId="57637"/>
    <cellStyle name="Output 2 27" xfId="21199"/>
    <cellStyle name="Output 2 27 2" xfId="29511"/>
    <cellStyle name="Output 2 27 2 2" xfId="57638"/>
    <cellStyle name="Output 2 27 2 3" xfId="57639"/>
    <cellStyle name="Output 2 27 3" xfId="36581"/>
    <cellStyle name="Output 2 27 4" xfId="57640"/>
    <cellStyle name="Output 2 28" xfId="14527"/>
    <cellStyle name="Output 2 28 2" xfId="57641"/>
    <cellStyle name="Output 2 28 3" xfId="57642"/>
    <cellStyle name="Output 2 29" xfId="57643"/>
    <cellStyle name="Output 2 3" xfId="73"/>
    <cellStyle name="Output 2 3 10" xfId="14434"/>
    <cellStyle name="Output 2 3 10 2" xfId="57644"/>
    <cellStyle name="Output 2 3 10 3" xfId="57645"/>
    <cellStyle name="Output 2 3 11" xfId="57646"/>
    <cellStyle name="Output 2 3 12" xfId="57647"/>
    <cellStyle name="Output 2 3 13" xfId="57648"/>
    <cellStyle name="Output 2 3 14" xfId="57649"/>
    <cellStyle name="Output 2 3 15" xfId="60783"/>
    <cellStyle name="Output 2 3 2" xfId="150"/>
    <cellStyle name="Output 2 3 2 2" xfId="276"/>
    <cellStyle name="Output 2 3 2 2 2" xfId="685"/>
    <cellStyle name="Output 2 3 2 2 2 2" xfId="1636"/>
    <cellStyle name="Output 2 3 2 2 2 2 2" xfId="771"/>
    <cellStyle name="Output 2 3 2 2 2 2 2 2" xfId="2745"/>
    <cellStyle name="Output 2 3 2 2 2 2 2 2 2" xfId="6165"/>
    <cellStyle name="Output 2 3 2 2 2 2 2 2 2 2" xfId="13005"/>
    <cellStyle name="Output 2 3 2 2 2 2 2 2 3" xfId="9585"/>
    <cellStyle name="Output 2 3 2 2 2 2 2 3" xfId="3885"/>
    <cellStyle name="Output 2 3 2 2 2 2 2 3 2" xfId="7305"/>
    <cellStyle name="Output 2 3 2 2 2 2 2 3 2 2" xfId="14145"/>
    <cellStyle name="Output 2 3 2 2 2 2 2 3 3" xfId="10725"/>
    <cellStyle name="Output 2 3 2 2 2 2 2 4" xfId="5025"/>
    <cellStyle name="Output 2 3 2 2 2 2 2 4 2" xfId="11865"/>
    <cellStyle name="Output 2 3 2 2 2 2 2 5" xfId="8445"/>
    <cellStyle name="Output 2 3 2 2 2 2 3" xfId="2470"/>
    <cellStyle name="Output 2 3 2 2 2 2 3 2" xfId="5890"/>
    <cellStyle name="Output 2 3 2 2 2 2 3 2 2" xfId="12730"/>
    <cellStyle name="Output 2 3 2 2 2 2 3 3" xfId="9310"/>
    <cellStyle name="Output 2 3 2 2 2 2 4" xfId="3610"/>
    <cellStyle name="Output 2 3 2 2 2 2 4 2" xfId="7030"/>
    <cellStyle name="Output 2 3 2 2 2 2 4 2 2" xfId="13870"/>
    <cellStyle name="Output 2 3 2 2 2 2 4 3" xfId="10450"/>
    <cellStyle name="Output 2 3 2 2 2 2 5" xfId="4750"/>
    <cellStyle name="Output 2 3 2 2 2 2 5 2" xfId="11590"/>
    <cellStyle name="Output 2 3 2 2 2 2 6" xfId="8170"/>
    <cellStyle name="Output 2 3 2 2 2 2 7" xfId="61556"/>
    <cellStyle name="Output 2 3 2 2 2 3" xfId="38529"/>
    <cellStyle name="Output 2 3 2 2 2 4" xfId="57650"/>
    <cellStyle name="Output 2 3 2 2 2 5" xfId="57651"/>
    <cellStyle name="Output 2 3 2 2 2 6" xfId="57652"/>
    <cellStyle name="Output 2 3 2 2 2 7" xfId="61300"/>
    <cellStyle name="Output 2 3 2 2 3" xfId="1282"/>
    <cellStyle name="Output 2 3 2 2 3 2" xfId="1754"/>
    <cellStyle name="Output 2 3 2 2 3 2 2" xfId="2894"/>
    <cellStyle name="Output 2 3 2 2 3 2 2 2" xfId="6314"/>
    <cellStyle name="Output 2 3 2 2 3 2 2 2 2" xfId="13154"/>
    <cellStyle name="Output 2 3 2 2 3 2 2 3" xfId="9734"/>
    <cellStyle name="Output 2 3 2 2 3 2 3" xfId="4034"/>
    <cellStyle name="Output 2 3 2 2 3 2 3 2" xfId="7454"/>
    <cellStyle name="Output 2 3 2 2 3 2 3 2 2" xfId="14294"/>
    <cellStyle name="Output 2 3 2 2 3 2 3 3" xfId="10874"/>
    <cellStyle name="Output 2 3 2 2 3 2 4" xfId="5174"/>
    <cellStyle name="Output 2 3 2 2 3 2 4 2" xfId="12014"/>
    <cellStyle name="Output 2 3 2 2 3 2 5" xfId="8594"/>
    <cellStyle name="Output 2 3 2 2 3 3" xfId="2102"/>
    <cellStyle name="Output 2 3 2 2 3 3 2" xfId="5522"/>
    <cellStyle name="Output 2 3 2 2 3 3 2 2" xfId="12362"/>
    <cellStyle name="Output 2 3 2 2 3 3 3" xfId="8942"/>
    <cellStyle name="Output 2 3 2 2 3 4" xfId="3242"/>
    <cellStyle name="Output 2 3 2 2 3 4 2" xfId="6662"/>
    <cellStyle name="Output 2 3 2 2 3 4 2 2" xfId="13502"/>
    <cellStyle name="Output 2 3 2 2 3 4 3" xfId="10082"/>
    <cellStyle name="Output 2 3 2 2 3 5" xfId="4382"/>
    <cellStyle name="Output 2 3 2 2 3 5 2" xfId="11222"/>
    <cellStyle name="Output 2 3 2 2 3 6" xfId="7802"/>
    <cellStyle name="Output 2 3 2 2 3 7" xfId="61557"/>
    <cellStyle name="Output 2 3 2 2 4" xfId="38292"/>
    <cellStyle name="Output 2 3 2 2 5" xfId="57653"/>
    <cellStyle name="Output 2 3 2 2 6" xfId="57654"/>
    <cellStyle name="Output 2 3 2 2 7" xfId="57655"/>
    <cellStyle name="Output 2 3 2 2 8" xfId="57656"/>
    <cellStyle name="Output 2 3 2 2 9" xfId="60958"/>
    <cellStyle name="Output 2 3 2 3" xfId="597"/>
    <cellStyle name="Output 2 3 2 3 2" xfId="1584"/>
    <cellStyle name="Output 2 3 2 3 2 2" xfId="1687"/>
    <cellStyle name="Output 2 3 2 3 2 2 2" xfId="2827"/>
    <cellStyle name="Output 2 3 2 3 2 2 2 2" xfId="6247"/>
    <cellStyle name="Output 2 3 2 3 2 2 2 2 2" xfId="13087"/>
    <cellStyle name="Output 2 3 2 3 2 2 2 3" xfId="9667"/>
    <cellStyle name="Output 2 3 2 3 2 2 3" xfId="3967"/>
    <cellStyle name="Output 2 3 2 3 2 2 3 2" xfId="7387"/>
    <cellStyle name="Output 2 3 2 3 2 2 3 2 2" xfId="14227"/>
    <cellStyle name="Output 2 3 2 3 2 2 3 3" xfId="10807"/>
    <cellStyle name="Output 2 3 2 3 2 2 4" xfId="5107"/>
    <cellStyle name="Output 2 3 2 3 2 2 4 2" xfId="11947"/>
    <cellStyle name="Output 2 3 2 3 2 2 5" xfId="8527"/>
    <cellStyle name="Output 2 3 2 3 2 3" xfId="2409"/>
    <cellStyle name="Output 2 3 2 3 2 3 2" xfId="5829"/>
    <cellStyle name="Output 2 3 2 3 2 3 2 2" xfId="12669"/>
    <cellStyle name="Output 2 3 2 3 2 3 3" xfId="9249"/>
    <cellStyle name="Output 2 3 2 3 2 4" xfId="3549"/>
    <cellStyle name="Output 2 3 2 3 2 4 2" xfId="6969"/>
    <cellStyle name="Output 2 3 2 3 2 4 2 2" xfId="13809"/>
    <cellStyle name="Output 2 3 2 3 2 4 3" xfId="10389"/>
    <cellStyle name="Output 2 3 2 3 2 5" xfId="4689"/>
    <cellStyle name="Output 2 3 2 3 2 5 2" xfId="11529"/>
    <cellStyle name="Output 2 3 2 3 2 6" xfId="8109"/>
    <cellStyle name="Output 2 3 2 3 2 7" xfId="61555"/>
    <cellStyle name="Output 2 3 2 3 3" xfId="38478"/>
    <cellStyle name="Output 2 3 2 3 4" xfId="57657"/>
    <cellStyle name="Output 2 3 2 3 5" xfId="57658"/>
    <cellStyle name="Output 2 3 2 3 6" xfId="57659"/>
    <cellStyle name="Output 2 3 2 3 7" xfId="61301"/>
    <cellStyle name="Output 2 3 2 4" xfId="1158"/>
    <cellStyle name="Output 2 3 2 4 2" xfId="1048"/>
    <cellStyle name="Output 2 3 2 4 2 2" xfId="2554"/>
    <cellStyle name="Output 2 3 2 4 2 2 2" xfId="5974"/>
    <cellStyle name="Output 2 3 2 4 2 2 2 2" xfId="12814"/>
    <cellStyle name="Output 2 3 2 4 2 2 3" xfId="9394"/>
    <cellStyle name="Output 2 3 2 4 2 3" xfId="3694"/>
    <cellStyle name="Output 2 3 2 4 2 3 2" xfId="7114"/>
    <cellStyle name="Output 2 3 2 4 2 3 2 2" xfId="13954"/>
    <cellStyle name="Output 2 3 2 4 2 3 3" xfId="10534"/>
    <cellStyle name="Output 2 3 2 4 2 4" xfId="4834"/>
    <cellStyle name="Output 2 3 2 4 2 4 2" xfId="11674"/>
    <cellStyle name="Output 2 3 2 4 2 5" xfId="8254"/>
    <cellStyle name="Output 2 3 2 4 3" xfId="1977"/>
    <cellStyle name="Output 2 3 2 4 3 2" xfId="5397"/>
    <cellStyle name="Output 2 3 2 4 3 2 2" xfId="12237"/>
    <cellStyle name="Output 2 3 2 4 3 3" xfId="8817"/>
    <cellStyle name="Output 2 3 2 4 4" xfId="3117"/>
    <cellStyle name="Output 2 3 2 4 4 2" xfId="6537"/>
    <cellStyle name="Output 2 3 2 4 4 2 2" xfId="13377"/>
    <cellStyle name="Output 2 3 2 4 4 3" xfId="9957"/>
    <cellStyle name="Output 2 3 2 4 5" xfId="4257"/>
    <cellStyle name="Output 2 3 2 4 5 2" xfId="11097"/>
    <cellStyle name="Output 2 3 2 4 6" xfId="7677"/>
    <cellStyle name="Output 2 3 2 4 7" xfId="61558"/>
    <cellStyle name="Output 2 3 2 5" xfId="15594"/>
    <cellStyle name="Output 2 3 2 6" xfId="23908"/>
    <cellStyle name="Output 2 3 2 7" xfId="38214"/>
    <cellStyle name="Output 2 3 2 8" xfId="57660"/>
    <cellStyle name="Output 2 3 2 9" xfId="60834"/>
    <cellStyle name="Output 2 3 3" xfId="316"/>
    <cellStyle name="Output 2 3 3 2" xfId="345"/>
    <cellStyle name="Output 2 3 3 2 2" xfId="1350"/>
    <cellStyle name="Output 2 3 3 2 2 2" xfId="942"/>
    <cellStyle name="Output 2 3 3 2 2 2 2" xfId="1884"/>
    <cellStyle name="Output 2 3 3 2 2 2 2 2" xfId="5304"/>
    <cellStyle name="Output 2 3 3 2 2 2 2 2 2" xfId="12144"/>
    <cellStyle name="Output 2 3 3 2 2 2 2 3" xfId="8724"/>
    <cellStyle name="Output 2 3 3 2 2 2 3" xfId="3024"/>
    <cellStyle name="Output 2 3 3 2 2 2 3 2" xfId="6444"/>
    <cellStyle name="Output 2 3 3 2 2 2 3 2 2" xfId="13284"/>
    <cellStyle name="Output 2 3 3 2 2 2 3 3" xfId="9864"/>
    <cellStyle name="Output 2 3 3 2 2 2 4" xfId="4164"/>
    <cellStyle name="Output 2 3 3 2 2 2 4 2" xfId="11004"/>
    <cellStyle name="Output 2 3 3 2 2 2 5" xfId="7584"/>
    <cellStyle name="Output 2 3 3 2 2 3" xfId="2171"/>
    <cellStyle name="Output 2 3 3 2 2 3 2" xfId="5591"/>
    <cellStyle name="Output 2 3 3 2 2 3 2 2" xfId="12431"/>
    <cellStyle name="Output 2 3 3 2 2 3 3" xfId="9011"/>
    <cellStyle name="Output 2 3 3 2 2 4" xfId="3311"/>
    <cellStyle name="Output 2 3 3 2 2 4 2" xfId="6731"/>
    <cellStyle name="Output 2 3 3 2 2 4 2 2" xfId="13571"/>
    <cellStyle name="Output 2 3 3 2 2 4 3" xfId="10151"/>
    <cellStyle name="Output 2 3 3 2 2 5" xfId="4451"/>
    <cellStyle name="Output 2 3 3 2 2 5 2" xfId="11291"/>
    <cellStyle name="Output 2 3 3 2 2 6" xfId="7871"/>
    <cellStyle name="Output 2 3 3 2 2 7" xfId="61553"/>
    <cellStyle name="Output 2 3 3 2 3" xfId="38334"/>
    <cellStyle name="Output 2 3 3 2 4" xfId="57661"/>
    <cellStyle name="Output 2 3 3 2 5" xfId="57662"/>
    <cellStyle name="Output 2 3 3 2 6" xfId="57663"/>
    <cellStyle name="Output 2 3 3 2 7" xfId="57664"/>
    <cellStyle name="Output 2 3 3 2 8" xfId="61026"/>
    <cellStyle name="Output 2 3 3 3" xfId="1321"/>
    <cellStyle name="Output 2 3 3 3 2" xfId="968"/>
    <cellStyle name="Output 2 3 3 3 2 2" xfId="2559"/>
    <cellStyle name="Output 2 3 3 3 2 2 2" xfId="5979"/>
    <cellStyle name="Output 2 3 3 3 2 2 2 2" xfId="12819"/>
    <cellStyle name="Output 2 3 3 3 2 2 3" xfId="9399"/>
    <cellStyle name="Output 2 3 3 3 2 3" xfId="3699"/>
    <cellStyle name="Output 2 3 3 3 2 3 2" xfId="7119"/>
    <cellStyle name="Output 2 3 3 3 2 3 2 2" xfId="13959"/>
    <cellStyle name="Output 2 3 3 3 2 3 3" xfId="10539"/>
    <cellStyle name="Output 2 3 3 3 2 4" xfId="4839"/>
    <cellStyle name="Output 2 3 3 3 2 4 2" xfId="11679"/>
    <cellStyle name="Output 2 3 3 3 2 5" xfId="8259"/>
    <cellStyle name="Output 2 3 3 3 3" xfId="2142"/>
    <cellStyle name="Output 2 3 3 3 3 2" xfId="5562"/>
    <cellStyle name="Output 2 3 3 3 3 2 2" xfId="12402"/>
    <cellStyle name="Output 2 3 3 3 3 3" xfId="8982"/>
    <cellStyle name="Output 2 3 3 3 4" xfId="3282"/>
    <cellStyle name="Output 2 3 3 3 4 2" xfId="6702"/>
    <cellStyle name="Output 2 3 3 3 4 2 2" xfId="13542"/>
    <cellStyle name="Output 2 3 3 3 4 3" xfId="10122"/>
    <cellStyle name="Output 2 3 3 3 5" xfId="4422"/>
    <cellStyle name="Output 2 3 3 3 5 2" xfId="11262"/>
    <cellStyle name="Output 2 3 3 3 6" xfId="7842"/>
    <cellStyle name="Output 2 3 3 3 7" xfId="61554"/>
    <cellStyle name="Output 2 3 3 4" xfId="16564"/>
    <cellStyle name="Output 2 3 3 5" xfId="24879"/>
    <cellStyle name="Output 2 3 3 6" xfId="32139"/>
    <cellStyle name="Output 2 3 3 7" xfId="57665"/>
    <cellStyle name="Output 2 3 3 8" xfId="57666"/>
    <cellStyle name="Output 2 3 3 9" xfId="60997"/>
    <cellStyle name="Output 2 3 4" xfId="215"/>
    <cellStyle name="Output 2 3 4 2" xfId="179"/>
    <cellStyle name="Output 2 3 4 2 2" xfId="1187"/>
    <cellStyle name="Output 2 3 4 2 2 2" xfId="1733"/>
    <cellStyle name="Output 2 3 4 2 2 2 2" xfId="2873"/>
    <cellStyle name="Output 2 3 4 2 2 2 2 2" xfId="6293"/>
    <cellStyle name="Output 2 3 4 2 2 2 2 2 2" xfId="13133"/>
    <cellStyle name="Output 2 3 4 2 2 2 2 3" xfId="9713"/>
    <cellStyle name="Output 2 3 4 2 2 2 3" xfId="4013"/>
    <cellStyle name="Output 2 3 4 2 2 2 3 2" xfId="7433"/>
    <cellStyle name="Output 2 3 4 2 2 2 3 2 2" xfId="14273"/>
    <cellStyle name="Output 2 3 4 2 2 2 3 3" xfId="10853"/>
    <cellStyle name="Output 2 3 4 2 2 2 4" xfId="5153"/>
    <cellStyle name="Output 2 3 4 2 2 2 4 2" xfId="11993"/>
    <cellStyle name="Output 2 3 4 2 2 2 5" xfId="8573"/>
    <cellStyle name="Output 2 3 4 2 2 3" xfId="2006"/>
    <cellStyle name="Output 2 3 4 2 2 3 2" xfId="5426"/>
    <cellStyle name="Output 2 3 4 2 2 3 2 2" xfId="12266"/>
    <cellStyle name="Output 2 3 4 2 2 3 3" xfId="8846"/>
    <cellStyle name="Output 2 3 4 2 2 4" xfId="3146"/>
    <cellStyle name="Output 2 3 4 2 2 4 2" xfId="6566"/>
    <cellStyle name="Output 2 3 4 2 2 4 2 2" xfId="13406"/>
    <cellStyle name="Output 2 3 4 2 2 4 3" xfId="9986"/>
    <cellStyle name="Output 2 3 4 2 2 5" xfId="4286"/>
    <cellStyle name="Output 2 3 4 2 2 5 2" xfId="11126"/>
    <cellStyle name="Output 2 3 4 2 2 6" xfId="7706"/>
    <cellStyle name="Output 2 3 4 2 2 7" xfId="61551"/>
    <cellStyle name="Output 2 3 4 2 3" xfId="38236"/>
    <cellStyle name="Output 2 3 4 2 4" xfId="57667"/>
    <cellStyle name="Output 2 3 4 2 5" xfId="57668"/>
    <cellStyle name="Output 2 3 4 2 6" xfId="57669"/>
    <cellStyle name="Output 2 3 4 2 7" xfId="57670"/>
    <cellStyle name="Output 2 3 4 2 8" xfId="60863"/>
    <cellStyle name="Output 2 3 4 3" xfId="1222"/>
    <cellStyle name="Output 2 3 4 3 2" xfId="1826"/>
    <cellStyle name="Output 2 3 4 3 2 2" xfId="2966"/>
    <cellStyle name="Output 2 3 4 3 2 2 2" xfId="6386"/>
    <cellStyle name="Output 2 3 4 3 2 2 2 2" xfId="13226"/>
    <cellStyle name="Output 2 3 4 3 2 2 3" xfId="9806"/>
    <cellStyle name="Output 2 3 4 3 2 3" xfId="4106"/>
    <cellStyle name="Output 2 3 4 3 2 3 2" xfId="7526"/>
    <cellStyle name="Output 2 3 4 3 2 3 2 2" xfId="14366"/>
    <cellStyle name="Output 2 3 4 3 2 3 3" xfId="10946"/>
    <cellStyle name="Output 2 3 4 3 2 4" xfId="5246"/>
    <cellStyle name="Output 2 3 4 3 2 4 2" xfId="12086"/>
    <cellStyle name="Output 2 3 4 3 2 5" xfId="8666"/>
    <cellStyle name="Output 2 3 4 3 3" xfId="2042"/>
    <cellStyle name="Output 2 3 4 3 3 2" xfId="5462"/>
    <cellStyle name="Output 2 3 4 3 3 2 2" xfId="12302"/>
    <cellStyle name="Output 2 3 4 3 3 3" xfId="8882"/>
    <cellStyle name="Output 2 3 4 3 4" xfId="3182"/>
    <cellStyle name="Output 2 3 4 3 4 2" xfId="6602"/>
    <cellStyle name="Output 2 3 4 3 4 2 2" xfId="13442"/>
    <cellStyle name="Output 2 3 4 3 4 3" xfId="10022"/>
    <cellStyle name="Output 2 3 4 3 5" xfId="4322"/>
    <cellStyle name="Output 2 3 4 3 5 2" xfId="11162"/>
    <cellStyle name="Output 2 3 4 3 6" xfId="7742"/>
    <cellStyle name="Output 2 3 4 3 7" xfId="61465"/>
    <cellStyle name="Output 2 3 4 4" xfId="17582"/>
    <cellStyle name="Output 2 3 4 5" xfId="25903"/>
    <cellStyle name="Output 2 3 4 6" xfId="33116"/>
    <cellStyle name="Output 2 3 4 7" xfId="57671"/>
    <cellStyle name="Output 2 3 4 8" xfId="57672"/>
    <cellStyle name="Output 2 3 4 9" xfId="60898"/>
    <cellStyle name="Output 2 3 5" xfId="478"/>
    <cellStyle name="Output 2 3 5 2" xfId="546"/>
    <cellStyle name="Output 2 3 5 2 2" xfId="1550"/>
    <cellStyle name="Output 2 3 5 2 2 2" xfId="835"/>
    <cellStyle name="Output 2 3 5 2 2 2 2" xfId="2776"/>
    <cellStyle name="Output 2 3 5 2 2 2 2 2" xfId="6196"/>
    <cellStyle name="Output 2 3 5 2 2 2 2 2 2" xfId="13036"/>
    <cellStyle name="Output 2 3 5 2 2 2 2 3" xfId="9616"/>
    <cellStyle name="Output 2 3 5 2 2 2 3" xfId="3916"/>
    <cellStyle name="Output 2 3 5 2 2 2 3 2" xfId="7336"/>
    <cellStyle name="Output 2 3 5 2 2 2 3 2 2" xfId="14176"/>
    <cellStyle name="Output 2 3 5 2 2 2 3 3" xfId="10756"/>
    <cellStyle name="Output 2 3 5 2 2 2 4" xfId="5056"/>
    <cellStyle name="Output 2 3 5 2 2 2 4 2" xfId="11896"/>
    <cellStyle name="Output 2 3 5 2 2 2 5" xfId="8476"/>
    <cellStyle name="Output 2 3 5 2 2 3" xfId="2371"/>
    <cellStyle name="Output 2 3 5 2 2 3 2" xfId="5791"/>
    <cellStyle name="Output 2 3 5 2 2 3 2 2" xfId="12631"/>
    <cellStyle name="Output 2 3 5 2 2 3 3" xfId="9211"/>
    <cellStyle name="Output 2 3 5 2 2 4" xfId="3511"/>
    <cellStyle name="Output 2 3 5 2 2 4 2" xfId="6931"/>
    <cellStyle name="Output 2 3 5 2 2 4 2 2" xfId="13771"/>
    <cellStyle name="Output 2 3 5 2 2 4 3" xfId="10351"/>
    <cellStyle name="Output 2 3 5 2 2 5" xfId="4651"/>
    <cellStyle name="Output 2 3 5 2 2 5 2" xfId="11491"/>
    <cellStyle name="Output 2 3 5 2 2 6" xfId="8071"/>
    <cellStyle name="Output 2 3 5 2 2 7" xfId="61549"/>
    <cellStyle name="Output 2 3 5 2 3" xfId="38461"/>
    <cellStyle name="Output 2 3 5 2 4" xfId="57673"/>
    <cellStyle name="Output 2 3 5 2 5" xfId="57674"/>
    <cellStyle name="Output 2 3 5 2 6" xfId="57675"/>
    <cellStyle name="Output 2 3 5 2 7" xfId="57676"/>
    <cellStyle name="Output 2 3 5 2 8" xfId="61226"/>
    <cellStyle name="Output 2 3 5 3" xfId="1482"/>
    <cellStyle name="Output 2 3 5 3 2" xfId="1672"/>
    <cellStyle name="Output 2 3 5 3 2 2" xfId="2812"/>
    <cellStyle name="Output 2 3 5 3 2 2 2" xfId="6232"/>
    <cellStyle name="Output 2 3 5 3 2 2 2 2" xfId="13072"/>
    <cellStyle name="Output 2 3 5 3 2 2 3" xfId="9652"/>
    <cellStyle name="Output 2 3 5 3 2 3" xfId="3952"/>
    <cellStyle name="Output 2 3 5 3 2 3 2" xfId="7372"/>
    <cellStyle name="Output 2 3 5 3 2 3 2 2" xfId="14212"/>
    <cellStyle name="Output 2 3 5 3 2 3 3" xfId="10792"/>
    <cellStyle name="Output 2 3 5 3 2 4" xfId="5092"/>
    <cellStyle name="Output 2 3 5 3 2 4 2" xfId="11932"/>
    <cellStyle name="Output 2 3 5 3 2 5" xfId="8512"/>
    <cellStyle name="Output 2 3 5 3 3" xfId="2303"/>
    <cellStyle name="Output 2 3 5 3 3 2" xfId="5723"/>
    <cellStyle name="Output 2 3 5 3 3 2 2" xfId="12563"/>
    <cellStyle name="Output 2 3 5 3 3 3" xfId="9143"/>
    <cellStyle name="Output 2 3 5 3 4" xfId="3443"/>
    <cellStyle name="Output 2 3 5 3 4 2" xfId="6863"/>
    <cellStyle name="Output 2 3 5 3 4 2 2" xfId="13703"/>
    <cellStyle name="Output 2 3 5 3 4 3" xfId="10283"/>
    <cellStyle name="Output 2 3 5 3 5" xfId="4583"/>
    <cellStyle name="Output 2 3 5 3 5 2" xfId="11423"/>
    <cellStyle name="Output 2 3 5 3 6" xfId="8003"/>
    <cellStyle name="Output 2 3 5 3 7" xfId="61550"/>
    <cellStyle name="Output 2 3 5 4" xfId="18563"/>
    <cellStyle name="Output 2 3 5 5" xfId="26881"/>
    <cellStyle name="Output 2 3 5 6" xfId="34050"/>
    <cellStyle name="Output 2 3 5 7" xfId="57677"/>
    <cellStyle name="Output 2 3 5 8" xfId="57678"/>
    <cellStyle name="Output 2 3 5 9" xfId="61158"/>
    <cellStyle name="Output 2 3 6" xfId="400"/>
    <cellStyle name="Output 2 3 6 2" xfId="475"/>
    <cellStyle name="Output 2 3 6 2 2" xfId="1479"/>
    <cellStyle name="Output 2 3 6 2 2 2" xfId="870"/>
    <cellStyle name="Output 2 3 6 2 2 2 2" xfId="2651"/>
    <cellStyle name="Output 2 3 6 2 2 2 2 2" xfId="6071"/>
    <cellStyle name="Output 2 3 6 2 2 2 2 2 2" xfId="12911"/>
    <cellStyle name="Output 2 3 6 2 2 2 2 3" xfId="9491"/>
    <cellStyle name="Output 2 3 6 2 2 2 3" xfId="3791"/>
    <cellStyle name="Output 2 3 6 2 2 2 3 2" xfId="7211"/>
    <cellStyle name="Output 2 3 6 2 2 2 3 2 2" xfId="14051"/>
    <cellStyle name="Output 2 3 6 2 2 2 3 3" xfId="10631"/>
    <cellStyle name="Output 2 3 6 2 2 2 4" xfId="4931"/>
    <cellStyle name="Output 2 3 6 2 2 2 4 2" xfId="11771"/>
    <cellStyle name="Output 2 3 6 2 2 2 5" xfId="8351"/>
    <cellStyle name="Output 2 3 6 2 2 3" xfId="2300"/>
    <cellStyle name="Output 2 3 6 2 2 3 2" xfId="5720"/>
    <cellStyle name="Output 2 3 6 2 2 3 2 2" xfId="12560"/>
    <cellStyle name="Output 2 3 6 2 2 3 3" xfId="9140"/>
    <cellStyle name="Output 2 3 6 2 2 4" xfId="3440"/>
    <cellStyle name="Output 2 3 6 2 2 4 2" xfId="6860"/>
    <cellStyle name="Output 2 3 6 2 2 4 2 2" xfId="13700"/>
    <cellStyle name="Output 2 3 6 2 2 4 3" xfId="10280"/>
    <cellStyle name="Output 2 3 6 2 2 5" xfId="4580"/>
    <cellStyle name="Output 2 3 6 2 2 5 2" xfId="11420"/>
    <cellStyle name="Output 2 3 6 2 2 6" xfId="8000"/>
    <cellStyle name="Output 2 3 6 2 2 7" xfId="61547"/>
    <cellStyle name="Output 2 3 6 2 3" xfId="38424"/>
    <cellStyle name="Output 2 3 6 2 4" xfId="57679"/>
    <cellStyle name="Output 2 3 6 2 5" xfId="57680"/>
    <cellStyle name="Output 2 3 6 2 6" xfId="57681"/>
    <cellStyle name="Output 2 3 6 2 7" xfId="57682"/>
    <cellStyle name="Output 2 3 6 2 8" xfId="61155"/>
    <cellStyle name="Output 2 3 6 3" xfId="1405"/>
    <cellStyle name="Output 2 3 6 3 2" xfId="907"/>
    <cellStyle name="Output 2 3 6 3 2 2" xfId="2727"/>
    <cellStyle name="Output 2 3 6 3 2 2 2" xfId="6147"/>
    <cellStyle name="Output 2 3 6 3 2 2 2 2" xfId="12987"/>
    <cellStyle name="Output 2 3 6 3 2 2 3" xfId="9567"/>
    <cellStyle name="Output 2 3 6 3 2 3" xfId="3867"/>
    <cellStyle name="Output 2 3 6 3 2 3 2" xfId="7287"/>
    <cellStyle name="Output 2 3 6 3 2 3 2 2" xfId="14127"/>
    <cellStyle name="Output 2 3 6 3 2 3 3" xfId="10707"/>
    <cellStyle name="Output 2 3 6 3 2 4" xfId="5007"/>
    <cellStyle name="Output 2 3 6 3 2 4 2" xfId="11847"/>
    <cellStyle name="Output 2 3 6 3 2 5" xfId="8427"/>
    <cellStyle name="Output 2 3 6 3 3" xfId="2226"/>
    <cellStyle name="Output 2 3 6 3 3 2" xfId="5646"/>
    <cellStyle name="Output 2 3 6 3 3 2 2" xfId="12486"/>
    <cellStyle name="Output 2 3 6 3 3 3" xfId="9066"/>
    <cellStyle name="Output 2 3 6 3 4" xfId="3366"/>
    <cellStyle name="Output 2 3 6 3 4 2" xfId="6786"/>
    <cellStyle name="Output 2 3 6 3 4 2 2" xfId="13626"/>
    <cellStyle name="Output 2 3 6 3 4 3" xfId="10206"/>
    <cellStyle name="Output 2 3 6 3 5" xfId="4506"/>
    <cellStyle name="Output 2 3 6 3 5 2" xfId="11346"/>
    <cellStyle name="Output 2 3 6 3 6" xfId="7926"/>
    <cellStyle name="Output 2 3 6 3 7" xfId="61548"/>
    <cellStyle name="Output 2 3 6 4" xfId="17536"/>
    <cellStyle name="Output 2 3 6 5" xfId="25856"/>
    <cellStyle name="Output 2 3 6 6" xfId="33073"/>
    <cellStyle name="Output 2 3 6 7" xfId="57683"/>
    <cellStyle name="Output 2 3 6 8" xfId="57684"/>
    <cellStyle name="Output 2 3 6 9" xfId="61081"/>
    <cellStyle name="Output 2 3 7" xfId="1107"/>
    <cellStyle name="Output 2 3 7 10" xfId="61843"/>
    <cellStyle name="Output 2 3 7 2" xfId="1673"/>
    <cellStyle name="Output 2 3 7 2 2" xfId="2813"/>
    <cellStyle name="Output 2 3 7 2 2 2" xfId="6233"/>
    <cellStyle name="Output 2 3 7 2 2 2 2" xfId="13073"/>
    <cellStyle name="Output 2 3 7 2 2 3" xfId="9653"/>
    <cellStyle name="Output 2 3 7 2 3" xfId="3953"/>
    <cellStyle name="Output 2 3 7 2 3 2" xfId="7373"/>
    <cellStyle name="Output 2 3 7 2 3 2 2" xfId="14213"/>
    <cellStyle name="Output 2 3 7 2 3 3" xfId="10793"/>
    <cellStyle name="Output 2 3 7 2 4" xfId="5093"/>
    <cellStyle name="Output 2 3 7 2 4 2" xfId="11933"/>
    <cellStyle name="Output 2 3 7 2 5" xfId="8513"/>
    <cellStyle name="Output 2 3 7 2 6" xfId="61546"/>
    <cellStyle name="Output 2 3 7 3" xfId="1916"/>
    <cellStyle name="Output 2 3 7 3 2" xfId="5336"/>
    <cellStyle name="Output 2 3 7 3 2 2" xfId="12176"/>
    <cellStyle name="Output 2 3 7 3 3" xfId="8756"/>
    <cellStyle name="Output 2 3 7 4" xfId="3056"/>
    <cellStyle name="Output 2 3 7 4 2" xfId="6476"/>
    <cellStyle name="Output 2 3 7 4 2 2" xfId="13316"/>
    <cellStyle name="Output 2 3 7 4 3" xfId="9896"/>
    <cellStyle name="Output 2 3 7 5" xfId="4196"/>
    <cellStyle name="Output 2 3 7 5 2" xfId="11036"/>
    <cellStyle name="Output 2 3 7 6" xfId="7616"/>
    <cellStyle name="Output 2 3 7 7" xfId="19188"/>
    <cellStyle name="Output 2 3 7 8" xfId="27508"/>
    <cellStyle name="Output 2 3 7 9" xfId="34656"/>
    <cellStyle name="Output 2 3 8" xfId="18889"/>
    <cellStyle name="Output 2 3 8 2" xfId="27209"/>
    <cellStyle name="Output 2 3 8 2 2" xfId="57685"/>
    <cellStyle name="Output 2 3 8 2 3" xfId="57686"/>
    <cellStyle name="Output 2 3 8 3" xfId="34364"/>
    <cellStyle name="Output 2 3 8 4" xfId="57687"/>
    <cellStyle name="Output 2 3 8 5" xfId="61502"/>
    <cellStyle name="Output 2 3 9" xfId="21161"/>
    <cellStyle name="Output 2 3 9 2" xfId="29473"/>
    <cellStyle name="Output 2 3 9 2 2" xfId="57688"/>
    <cellStyle name="Output 2 3 9 2 3" xfId="57689"/>
    <cellStyle name="Output 2 3 9 3" xfId="36545"/>
    <cellStyle name="Output 2 3 9 4" xfId="57690"/>
    <cellStyle name="Output 2 30" xfId="57691"/>
    <cellStyle name="Output 2 31" xfId="57692"/>
    <cellStyle name="Output 2 32" xfId="57693"/>
    <cellStyle name="Output 2 33" xfId="60767"/>
    <cellStyle name="Output 2 4" xfId="110"/>
    <cellStyle name="Output 2 4 10" xfId="14433"/>
    <cellStyle name="Output 2 4 10 2" xfId="57694"/>
    <cellStyle name="Output 2 4 10 3" xfId="57695"/>
    <cellStyle name="Output 2 4 11" xfId="57696"/>
    <cellStyle name="Output 2 4 12" xfId="57697"/>
    <cellStyle name="Output 2 4 13" xfId="57698"/>
    <cellStyle name="Output 2 4 14" xfId="57699"/>
    <cellStyle name="Output 2 4 15" xfId="60802"/>
    <cellStyle name="Output 2 4 2" xfId="169"/>
    <cellStyle name="Output 2 4 2 2" xfId="295"/>
    <cellStyle name="Output 2 4 2 2 2" xfId="704"/>
    <cellStyle name="Output 2 4 2 2 2 2" xfId="1655"/>
    <cellStyle name="Output 2 4 2 2 2 2 2" xfId="752"/>
    <cellStyle name="Output 2 4 2 2 2 2 2 2" xfId="2626"/>
    <cellStyle name="Output 2 4 2 2 2 2 2 2 2" xfId="6046"/>
    <cellStyle name="Output 2 4 2 2 2 2 2 2 2 2" xfId="12886"/>
    <cellStyle name="Output 2 4 2 2 2 2 2 2 3" xfId="9466"/>
    <cellStyle name="Output 2 4 2 2 2 2 2 3" xfId="3766"/>
    <cellStyle name="Output 2 4 2 2 2 2 2 3 2" xfId="7186"/>
    <cellStyle name="Output 2 4 2 2 2 2 2 3 2 2" xfId="14026"/>
    <cellStyle name="Output 2 4 2 2 2 2 2 3 3" xfId="10606"/>
    <cellStyle name="Output 2 4 2 2 2 2 2 4" xfId="4906"/>
    <cellStyle name="Output 2 4 2 2 2 2 2 4 2" xfId="11746"/>
    <cellStyle name="Output 2 4 2 2 2 2 2 5" xfId="8326"/>
    <cellStyle name="Output 2 4 2 2 2 2 3" xfId="2489"/>
    <cellStyle name="Output 2 4 2 2 2 2 3 2" xfId="5909"/>
    <cellStyle name="Output 2 4 2 2 2 2 3 2 2" xfId="12749"/>
    <cellStyle name="Output 2 4 2 2 2 2 3 3" xfId="9329"/>
    <cellStyle name="Output 2 4 2 2 2 2 4" xfId="3629"/>
    <cellStyle name="Output 2 4 2 2 2 2 4 2" xfId="7049"/>
    <cellStyle name="Output 2 4 2 2 2 2 4 2 2" xfId="13889"/>
    <cellStyle name="Output 2 4 2 2 2 2 4 3" xfId="10469"/>
    <cellStyle name="Output 2 4 2 2 2 2 5" xfId="4769"/>
    <cellStyle name="Output 2 4 2 2 2 2 5 2" xfId="11609"/>
    <cellStyle name="Output 2 4 2 2 2 2 6" xfId="8189"/>
    <cellStyle name="Output 2 4 2 2 2 2 7" xfId="61543"/>
    <cellStyle name="Output 2 4 2 2 2 3" xfId="38548"/>
    <cellStyle name="Output 2 4 2 2 2 4" xfId="57700"/>
    <cellStyle name="Output 2 4 2 2 2 5" xfId="57701"/>
    <cellStyle name="Output 2 4 2 2 2 6" xfId="57702"/>
    <cellStyle name="Output 2 4 2 2 2 7" xfId="61302"/>
    <cellStyle name="Output 2 4 2 2 3" xfId="1301"/>
    <cellStyle name="Output 2 4 2 2 3 2" xfId="977"/>
    <cellStyle name="Output 2 4 2 2 3 2 2" xfId="2585"/>
    <cellStyle name="Output 2 4 2 2 3 2 2 2" xfId="6005"/>
    <cellStyle name="Output 2 4 2 2 3 2 2 2 2" xfId="12845"/>
    <cellStyle name="Output 2 4 2 2 3 2 2 3" xfId="9425"/>
    <cellStyle name="Output 2 4 2 2 3 2 3" xfId="3725"/>
    <cellStyle name="Output 2 4 2 2 3 2 3 2" xfId="7145"/>
    <cellStyle name="Output 2 4 2 2 3 2 3 2 2" xfId="13985"/>
    <cellStyle name="Output 2 4 2 2 3 2 3 3" xfId="10565"/>
    <cellStyle name="Output 2 4 2 2 3 2 4" xfId="4865"/>
    <cellStyle name="Output 2 4 2 2 3 2 4 2" xfId="11705"/>
    <cellStyle name="Output 2 4 2 2 3 2 5" xfId="8285"/>
    <cellStyle name="Output 2 4 2 2 3 3" xfId="2121"/>
    <cellStyle name="Output 2 4 2 2 3 3 2" xfId="5541"/>
    <cellStyle name="Output 2 4 2 2 3 3 2 2" xfId="12381"/>
    <cellStyle name="Output 2 4 2 2 3 3 3" xfId="8961"/>
    <cellStyle name="Output 2 4 2 2 3 4" xfId="3261"/>
    <cellStyle name="Output 2 4 2 2 3 4 2" xfId="6681"/>
    <cellStyle name="Output 2 4 2 2 3 4 2 2" xfId="13521"/>
    <cellStyle name="Output 2 4 2 2 3 4 3" xfId="10101"/>
    <cellStyle name="Output 2 4 2 2 3 5" xfId="4401"/>
    <cellStyle name="Output 2 4 2 2 3 5 2" xfId="11241"/>
    <cellStyle name="Output 2 4 2 2 3 6" xfId="7821"/>
    <cellStyle name="Output 2 4 2 2 3 7" xfId="61544"/>
    <cellStyle name="Output 2 4 2 2 4" xfId="38311"/>
    <cellStyle name="Output 2 4 2 2 5" xfId="57703"/>
    <cellStyle name="Output 2 4 2 2 6" xfId="57704"/>
    <cellStyle name="Output 2 4 2 2 7" xfId="57705"/>
    <cellStyle name="Output 2 4 2 2 8" xfId="57706"/>
    <cellStyle name="Output 2 4 2 2 9" xfId="60977"/>
    <cellStyle name="Output 2 4 2 3" xfId="616"/>
    <cellStyle name="Output 2 4 2 3 2" xfId="1603"/>
    <cellStyle name="Output 2 4 2 3 2 2" xfId="804"/>
    <cellStyle name="Output 2 4 2 3 2 2 2" xfId="2795"/>
    <cellStyle name="Output 2 4 2 3 2 2 2 2" xfId="6215"/>
    <cellStyle name="Output 2 4 2 3 2 2 2 2 2" xfId="13055"/>
    <cellStyle name="Output 2 4 2 3 2 2 2 3" xfId="9635"/>
    <cellStyle name="Output 2 4 2 3 2 2 3" xfId="3935"/>
    <cellStyle name="Output 2 4 2 3 2 2 3 2" xfId="7355"/>
    <cellStyle name="Output 2 4 2 3 2 2 3 2 2" xfId="14195"/>
    <cellStyle name="Output 2 4 2 3 2 2 3 3" xfId="10775"/>
    <cellStyle name="Output 2 4 2 3 2 2 4" xfId="5075"/>
    <cellStyle name="Output 2 4 2 3 2 2 4 2" xfId="11915"/>
    <cellStyle name="Output 2 4 2 3 2 2 5" xfId="8495"/>
    <cellStyle name="Output 2 4 2 3 2 3" xfId="2428"/>
    <cellStyle name="Output 2 4 2 3 2 3 2" xfId="5848"/>
    <cellStyle name="Output 2 4 2 3 2 3 2 2" xfId="12688"/>
    <cellStyle name="Output 2 4 2 3 2 3 3" xfId="9268"/>
    <cellStyle name="Output 2 4 2 3 2 4" xfId="3568"/>
    <cellStyle name="Output 2 4 2 3 2 4 2" xfId="6988"/>
    <cellStyle name="Output 2 4 2 3 2 4 2 2" xfId="13828"/>
    <cellStyle name="Output 2 4 2 3 2 4 3" xfId="10408"/>
    <cellStyle name="Output 2 4 2 3 2 5" xfId="4708"/>
    <cellStyle name="Output 2 4 2 3 2 5 2" xfId="11548"/>
    <cellStyle name="Output 2 4 2 3 2 6" xfId="8128"/>
    <cellStyle name="Output 2 4 2 3 2 7" xfId="61542"/>
    <cellStyle name="Output 2 4 2 3 3" xfId="38497"/>
    <cellStyle name="Output 2 4 2 3 4" xfId="57707"/>
    <cellStyle name="Output 2 4 2 3 5" xfId="57708"/>
    <cellStyle name="Output 2 4 2 3 6" xfId="57709"/>
    <cellStyle name="Output 2 4 2 3 7" xfId="61303"/>
    <cellStyle name="Output 2 4 2 4" xfId="1177"/>
    <cellStyle name="Output 2 4 2 4 2" xfId="1852"/>
    <cellStyle name="Output 2 4 2 4 2 2" xfId="2992"/>
    <cellStyle name="Output 2 4 2 4 2 2 2" xfId="6412"/>
    <cellStyle name="Output 2 4 2 4 2 2 2 2" xfId="13252"/>
    <cellStyle name="Output 2 4 2 4 2 2 3" xfId="9832"/>
    <cellStyle name="Output 2 4 2 4 2 3" xfId="4132"/>
    <cellStyle name="Output 2 4 2 4 2 3 2" xfId="7552"/>
    <cellStyle name="Output 2 4 2 4 2 3 2 2" xfId="14392"/>
    <cellStyle name="Output 2 4 2 4 2 3 3" xfId="10972"/>
    <cellStyle name="Output 2 4 2 4 2 4" xfId="5272"/>
    <cellStyle name="Output 2 4 2 4 2 4 2" xfId="12112"/>
    <cellStyle name="Output 2 4 2 4 2 5" xfId="8692"/>
    <cellStyle name="Output 2 4 2 4 3" xfId="1996"/>
    <cellStyle name="Output 2 4 2 4 3 2" xfId="5416"/>
    <cellStyle name="Output 2 4 2 4 3 2 2" xfId="12256"/>
    <cellStyle name="Output 2 4 2 4 3 3" xfId="8836"/>
    <cellStyle name="Output 2 4 2 4 4" xfId="3136"/>
    <cellStyle name="Output 2 4 2 4 4 2" xfId="6556"/>
    <cellStyle name="Output 2 4 2 4 4 2 2" xfId="13396"/>
    <cellStyle name="Output 2 4 2 4 4 3" xfId="9976"/>
    <cellStyle name="Output 2 4 2 4 5" xfId="4276"/>
    <cellStyle name="Output 2 4 2 4 5 2" xfId="11116"/>
    <cellStyle name="Output 2 4 2 4 6" xfId="7696"/>
    <cellStyle name="Output 2 4 2 4 7" xfId="61545"/>
    <cellStyle name="Output 2 4 2 5" xfId="15595"/>
    <cellStyle name="Output 2 4 2 6" xfId="23909"/>
    <cellStyle name="Output 2 4 2 7" xfId="38230"/>
    <cellStyle name="Output 2 4 2 8" xfId="57710"/>
    <cellStyle name="Output 2 4 2 9" xfId="60853"/>
    <cellStyle name="Output 2 4 3" xfId="335"/>
    <cellStyle name="Output 2 4 3 2" xfId="454"/>
    <cellStyle name="Output 2 4 3 2 2" xfId="1458"/>
    <cellStyle name="Output 2 4 3 2 2 2" xfId="1804"/>
    <cellStyle name="Output 2 4 3 2 2 2 2" xfId="2944"/>
    <cellStyle name="Output 2 4 3 2 2 2 2 2" xfId="6364"/>
    <cellStyle name="Output 2 4 3 2 2 2 2 2 2" xfId="13204"/>
    <cellStyle name="Output 2 4 3 2 2 2 2 3" xfId="9784"/>
    <cellStyle name="Output 2 4 3 2 2 2 3" xfId="4084"/>
    <cellStyle name="Output 2 4 3 2 2 2 3 2" xfId="7504"/>
    <cellStyle name="Output 2 4 3 2 2 2 3 2 2" xfId="14344"/>
    <cellStyle name="Output 2 4 3 2 2 2 3 3" xfId="10924"/>
    <cellStyle name="Output 2 4 3 2 2 2 4" xfId="5224"/>
    <cellStyle name="Output 2 4 3 2 2 2 4 2" xfId="12064"/>
    <cellStyle name="Output 2 4 3 2 2 2 5" xfId="8644"/>
    <cellStyle name="Output 2 4 3 2 2 3" xfId="2279"/>
    <cellStyle name="Output 2 4 3 2 2 3 2" xfId="5699"/>
    <cellStyle name="Output 2 4 3 2 2 3 2 2" xfId="12539"/>
    <cellStyle name="Output 2 4 3 2 2 3 3" xfId="9119"/>
    <cellStyle name="Output 2 4 3 2 2 4" xfId="3419"/>
    <cellStyle name="Output 2 4 3 2 2 4 2" xfId="6839"/>
    <cellStyle name="Output 2 4 3 2 2 4 2 2" xfId="13679"/>
    <cellStyle name="Output 2 4 3 2 2 4 3" xfId="10259"/>
    <cellStyle name="Output 2 4 3 2 2 5" xfId="4559"/>
    <cellStyle name="Output 2 4 3 2 2 5 2" xfId="11399"/>
    <cellStyle name="Output 2 4 3 2 2 6" xfId="7979"/>
    <cellStyle name="Output 2 4 3 2 2 7" xfId="61540"/>
    <cellStyle name="Output 2 4 3 2 3" xfId="38415"/>
    <cellStyle name="Output 2 4 3 2 4" xfId="57711"/>
    <cellStyle name="Output 2 4 3 2 5" xfId="57712"/>
    <cellStyle name="Output 2 4 3 2 6" xfId="57713"/>
    <cellStyle name="Output 2 4 3 2 7" xfId="57714"/>
    <cellStyle name="Output 2 4 3 2 8" xfId="61134"/>
    <cellStyle name="Output 2 4 3 3" xfId="1340"/>
    <cellStyle name="Output 2 4 3 3 2" xfId="952"/>
    <cellStyle name="Output 2 4 3 3 2 2" xfId="2658"/>
    <cellStyle name="Output 2 4 3 3 2 2 2" xfId="6078"/>
    <cellStyle name="Output 2 4 3 3 2 2 2 2" xfId="12918"/>
    <cellStyle name="Output 2 4 3 3 2 2 3" xfId="9498"/>
    <cellStyle name="Output 2 4 3 3 2 3" xfId="3798"/>
    <cellStyle name="Output 2 4 3 3 2 3 2" xfId="7218"/>
    <cellStyle name="Output 2 4 3 3 2 3 2 2" xfId="14058"/>
    <cellStyle name="Output 2 4 3 3 2 3 3" xfId="10638"/>
    <cellStyle name="Output 2 4 3 3 2 4" xfId="4938"/>
    <cellStyle name="Output 2 4 3 3 2 4 2" xfId="11778"/>
    <cellStyle name="Output 2 4 3 3 2 5" xfId="8358"/>
    <cellStyle name="Output 2 4 3 3 3" xfId="2161"/>
    <cellStyle name="Output 2 4 3 3 3 2" xfId="5581"/>
    <cellStyle name="Output 2 4 3 3 3 2 2" xfId="12421"/>
    <cellStyle name="Output 2 4 3 3 3 3" xfId="9001"/>
    <cellStyle name="Output 2 4 3 3 4" xfId="3301"/>
    <cellStyle name="Output 2 4 3 3 4 2" xfId="6721"/>
    <cellStyle name="Output 2 4 3 3 4 2 2" xfId="13561"/>
    <cellStyle name="Output 2 4 3 3 4 3" xfId="10141"/>
    <cellStyle name="Output 2 4 3 3 5" xfId="4441"/>
    <cellStyle name="Output 2 4 3 3 5 2" xfId="11281"/>
    <cellStyle name="Output 2 4 3 3 6" xfId="7861"/>
    <cellStyle name="Output 2 4 3 3 7" xfId="61541"/>
    <cellStyle name="Output 2 4 3 4" xfId="16565"/>
    <cellStyle name="Output 2 4 3 5" xfId="24880"/>
    <cellStyle name="Output 2 4 3 6" xfId="32140"/>
    <cellStyle name="Output 2 4 3 7" xfId="57715"/>
    <cellStyle name="Output 2 4 3 8" xfId="57716"/>
    <cellStyle name="Output 2 4 3 9" xfId="61016"/>
    <cellStyle name="Output 2 4 4" xfId="242"/>
    <cellStyle name="Output 2 4 4 2" xfId="532"/>
    <cellStyle name="Output 2 4 4 2 2" xfId="1536"/>
    <cellStyle name="Output 2 4 4 2 2 2" xfId="1703"/>
    <cellStyle name="Output 2 4 4 2 2 2 2" xfId="2843"/>
    <cellStyle name="Output 2 4 4 2 2 2 2 2" xfId="6263"/>
    <cellStyle name="Output 2 4 4 2 2 2 2 2 2" xfId="13103"/>
    <cellStyle name="Output 2 4 4 2 2 2 2 3" xfId="9683"/>
    <cellStyle name="Output 2 4 4 2 2 2 3" xfId="3983"/>
    <cellStyle name="Output 2 4 4 2 2 2 3 2" xfId="7403"/>
    <cellStyle name="Output 2 4 4 2 2 2 3 2 2" xfId="14243"/>
    <cellStyle name="Output 2 4 4 2 2 2 3 3" xfId="10823"/>
    <cellStyle name="Output 2 4 4 2 2 2 4" xfId="5123"/>
    <cellStyle name="Output 2 4 4 2 2 2 4 2" xfId="11963"/>
    <cellStyle name="Output 2 4 4 2 2 2 5" xfId="8543"/>
    <cellStyle name="Output 2 4 4 2 2 3" xfId="2357"/>
    <cellStyle name="Output 2 4 4 2 2 3 2" xfId="5777"/>
    <cellStyle name="Output 2 4 4 2 2 3 2 2" xfId="12617"/>
    <cellStyle name="Output 2 4 4 2 2 3 3" xfId="9197"/>
    <cellStyle name="Output 2 4 4 2 2 4" xfId="3497"/>
    <cellStyle name="Output 2 4 4 2 2 4 2" xfId="6917"/>
    <cellStyle name="Output 2 4 4 2 2 4 2 2" xfId="13757"/>
    <cellStyle name="Output 2 4 4 2 2 4 3" xfId="10337"/>
    <cellStyle name="Output 2 4 4 2 2 5" xfId="4637"/>
    <cellStyle name="Output 2 4 4 2 2 5 2" xfId="11477"/>
    <cellStyle name="Output 2 4 4 2 2 6" xfId="8057"/>
    <cellStyle name="Output 2 4 4 2 2 7" xfId="61538"/>
    <cellStyle name="Output 2 4 4 2 3" xfId="38451"/>
    <cellStyle name="Output 2 4 4 2 4" xfId="57717"/>
    <cellStyle name="Output 2 4 4 2 5" xfId="57718"/>
    <cellStyle name="Output 2 4 4 2 6" xfId="57719"/>
    <cellStyle name="Output 2 4 4 2 7" xfId="57720"/>
    <cellStyle name="Output 2 4 4 2 8" xfId="61212"/>
    <cellStyle name="Output 2 4 4 3" xfId="1249"/>
    <cellStyle name="Output 2 4 4 3 2" xfId="1790"/>
    <cellStyle name="Output 2 4 4 3 2 2" xfId="2930"/>
    <cellStyle name="Output 2 4 4 3 2 2 2" xfId="6350"/>
    <cellStyle name="Output 2 4 4 3 2 2 2 2" xfId="13190"/>
    <cellStyle name="Output 2 4 4 3 2 2 3" xfId="9770"/>
    <cellStyle name="Output 2 4 4 3 2 3" xfId="4070"/>
    <cellStyle name="Output 2 4 4 3 2 3 2" xfId="7490"/>
    <cellStyle name="Output 2 4 4 3 2 3 2 2" xfId="14330"/>
    <cellStyle name="Output 2 4 4 3 2 3 3" xfId="10910"/>
    <cellStyle name="Output 2 4 4 3 2 4" xfId="5210"/>
    <cellStyle name="Output 2 4 4 3 2 4 2" xfId="12050"/>
    <cellStyle name="Output 2 4 4 3 2 5" xfId="8630"/>
    <cellStyle name="Output 2 4 4 3 3" xfId="2069"/>
    <cellStyle name="Output 2 4 4 3 3 2" xfId="5489"/>
    <cellStyle name="Output 2 4 4 3 3 2 2" xfId="12329"/>
    <cellStyle name="Output 2 4 4 3 3 3" xfId="8909"/>
    <cellStyle name="Output 2 4 4 3 4" xfId="3209"/>
    <cellStyle name="Output 2 4 4 3 4 2" xfId="6629"/>
    <cellStyle name="Output 2 4 4 3 4 2 2" xfId="13469"/>
    <cellStyle name="Output 2 4 4 3 4 3" xfId="10049"/>
    <cellStyle name="Output 2 4 4 3 5" xfId="4349"/>
    <cellStyle name="Output 2 4 4 3 5 2" xfId="11189"/>
    <cellStyle name="Output 2 4 4 3 6" xfId="7769"/>
    <cellStyle name="Output 2 4 4 3 7" xfId="61539"/>
    <cellStyle name="Output 2 4 4 4" xfId="17583"/>
    <cellStyle name="Output 2 4 4 5" xfId="25904"/>
    <cellStyle name="Output 2 4 4 6" xfId="33117"/>
    <cellStyle name="Output 2 4 4 7" xfId="57721"/>
    <cellStyle name="Output 2 4 4 8" xfId="57722"/>
    <cellStyle name="Output 2 4 4 9" xfId="60925"/>
    <cellStyle name="Output 2 4 5" xfId="500"/>
    <cellStyle name="Output 2 4 5 2" xfId="372"/>
    <cellStyle name="Output 2 4 5 2 2" xfId="1377"/>
    <cellStyle name="Output 2 4 5 2 2 2" xfId="1823"/>
    <cellStyle name="Output 2 4 5 2 2 2 2" xfId="2963"/>
    <cellStyle name="Output 2 4 5 2 2 2 2 2" xfId="6383"/>
    <cellStyle name="Output 2 4 5 2 2 2 2 2 2" xfId="13223"/>
    <cellStyle name="Output 2 4 5 2 2 2 2 3" xfId="9803"/>
    <cellStyle name="Output 2 4 5 2 2 2 3" xfId="4103"/>
    <cellStyle name="Output 2 4 5 2 2 2 3 2" xfId="7523"/>
    <cellStyle name="Output 2 4 5 2 2 2 3 2 2" xfId="14363"/>
    <cellStyle name="Output 2 4 5 2 2 2 3 3" xfId="10943"/>
    <cellStyle name="Output 2 4 5 2 2 2 4" xfId="5243"/>
    <cellStyle name="Output 2 4 5 2 2 2 4 2" xfId="12083"/>
    <cellStyle name="Output 2 4 5 2 2 2 5" xfId="8663"/>
    <cellStyle name="Output 2 4 5 2 2 3" xfId="2198"/>
    <cellStyle name="Output 2 4 5 2 2 3 2" xfId="5618"/>
    <cellStyle name="Output 2 4 5 2 2 3 2 2" xfId="12458"/>
    <cellStyle name="Output 2 4 5 2 2 3 3" xfId="9038"/>
    <cellStyle name="Output 2 4 5 2 2 4" xfId="3338"/>
    <cellStyle name="Output 2 4 5 2 2 4 2" xfId="6758"/>
    <cellStyle name="Output 2 4 5 2 2 4 2 2" xfId="13598"/>
    <cellStyle name="Output 2 4 5 2 2 4 3" xfId="10178"/>
    <cellStyle name="Output 2 4 5 2 2 5" xfId="4478"/>
    <cellStyle name="Output 2 4 5 2 2 5 2" xfId="11318"/>
    <cellStyle name="Output 2 4 5 2 2 6" xfId="7898"/>
    <cellStyle name="Output 2 4 5 2 2 7" xfId="61536"/>
    <cellStyle name="Output 2 4 5 2 3" xfId="38355"/>
    <cellStyle name="Output 2 4 5 2 4" xfId="57723"/>
    <cellStyle name="Output 2 4 5 2 5" xfId="57724"/>
    <cellStyle name="Output 2 4 5 2 6" xfId="57725"/>
    <cellStyle name="Output 2 4 5 2 7" xfId="57726"/>
    <cellStyle name="Output 2 4 5 2 8" xfId="61053"/>
    <cellStyle name="Output 2 4 5 3" xfId="1504"/>
    <cellStyle name="Output 2 4 5 3 2" xfId="858"/>
    <cellStyle name="Output 2 4 5 3 2 2" xfId="2537"/>
    <cellStyle name="Output 2 4 5 3 2 2 2" xfId="5957"/>
    <cellStyle name="Output 2 4 5 3 2 2 2 2" xfId="12797"/>
    <cellStyle name="Output 2 4 5 3 2 2 3" xfId="9377"/>
    <cellStyle name="Output 2 4 5 3 2 3" xfId="3677"/>
    <cellStyle name="Output 2 4 5 3 2 3 2" xfId="7097"/>
    <cellStyle name="Output 2 4 5 3 2 3 2 2" xfId="13937"/>
    <cellStyle name="Output 2 4 5 3 2 3 3" xfId="10517"/>
    <cellStyle name="Output 2 4 5 3 2 4" xfId="4817"/>
    <cellStyle name="Output 2 4 5 3 2 4 2" xfId="11657"/>
    <cellStyle name="Output 2 4 5 3 2 5" xfId="8237"/>
    <cellStyle name="Output 2 4 5 3 3" xfId="2325"/>
    <cellStyle name="Output 2 4 5 3 3 2" xfId="5745"/>
    <cellStyle name="Output 2 4 5 3 3 2 2" xfId="12585"/>
    <cellStyle name="Output 2 4 5 3 3 3" xfId="9165"/>
    <cellStyle name="Output 2 4 5 3 4" xfId="3465"/>
    <cellStyle name="Output 2 4 5 3 4 2" xfId="6885"/>
    <cellStyle name="Output 2 4 5 3 4 2 2" xfId="13725"/>
    <cellStyle name="Output 2 4 5 3 4 3" xfId="10305"/>
    <cellStyle name="Output 2 4 5 3 5" xfId="4605"/>
    <cellStyle name="Output 2 4 5 3 5 2" xfId="11445"/>
    <cellStyle name="Output 2 4 5 3 6" xfId="8025"/>
    <cellStyle name="Output 2 4 5 3 7" xfId="61537"/>
    <cellStyle name="Output 2 4 5 4" xfId="18564"/>
    <cellStyle name="Output 2 4 5 5" xfId="26882"/>
    <cellStyle name="Output 2 4 5 6" xfId="34051"/>
    <cellStyle name="Output 2 4 5 7" xfId="57727"/>
    <cellStyle name="Output 2 4 5 8" xfId="57728"/>
    <cellStyle name="Output 2 4 5 9" xfId="61180"/>
    <cellStyle name="Output 2 4 6" xfId="520"/>
    <cellStyle name="Output 2 4 6 2" xfId="386"/>
    <cellStyle name="Output 2 4 6 2 2" xfId="1391"/>
    <cellStyle name="Output 2 4 6 2 2 2" xfId="913"/>
    <cellStyle name="Output 2 4 6 2 2 2 2" xfId="2701"/>
    <cellStyle name="Output 2 4 6 2 2 2 2 2" xfId="6121"/>
    <cellStyle name="Output 2 4 6 2 2 2 2 2 2" xfId="12961"/>
    <cellStyle name="Output 2 4 6 2 2 2 2 3" xfId="9541"/>
    <cellStyle name="Output 2 4 6 2 2 2 3" xfId="3841"/>
    <cellStyle name="Output 2 4 6 2 2 2 3 2" xfId="7261"/>
    <cellStyle name="Output 2 4 6 2 2 2 3 2 2" xfId="14101"/>
    <cellStyle name="Output 2 4 6 2 2 2 3 3" xfId="10681"/>
    <cellStyle name="Output 2 4 6 2 2 2 4" xfId="4981"/>
    <cellStyle name="Output 2 4 6 2 2 2 4 2" xfId="11821"/>
    <cellStyle name="Output 2 4 6 2 2 2 5" xfId="8401"/>
    <cellStyle name="Output 2 4 6 2 2 3" xfId="2212"/>
    <cellStyle name="Output 2 4 6 2 2 3 2" xfId="5632"/>
    <cellStyle name="Output 2 4 6 2 2 3 2 2" xfId="12472"/>
    <cellStyle name="Output 2 4 6 2 2 3 3" xfId="9052"/>
    <cellStyle name="Output 2 4 6 2 2 4" xfId="3352"/>
    <cellStyle name="Output 2 4 6 2 2 4 2" xfId="6772"/>
    <cellStyle name="Output 2 4 6 2 2 4 2 2" xfId="13612"/>
    <cellStyle name="Output 2 4 6 2 2 4 3" xfId="10192"/>
    <cellStyle name="Output 2 4 6 2 2 5" xfId="4492"/>
    <cellStyle name="Output 2 4 6 2 2 5 2" xfId="11332"/>
    <cellStyle name="Output 2 4 6 2 2 6" xfId="7912"/>
    <cellStyle name="Output 2 4 6 2 2 7" xfId="61534"/>
    <cellStyle name="Output 2 4 6 2 3" xfId="38368"/>
    <cellStyle name="Output 2 4 6 2 4" xfId="57729"/>
    <cellStyle name="Output 2 4 6 2 5" xfId="57730"/>
    <cellStyle name="Output 2 4 6 2 6" xfId="57731"/>
    <cellStyle name="Output 2 4 6 2 7" xfId="57732"/>
    <cellStyle name="Output 2 4 6 2 8" xfId="61067"/>
    <cellStyle name="Output 2 4 6 3" xfId="1524"/>
    <cellStyle name="Output 2 4 6 3 2" xfId="847"/>
    <cellStyle name="Output 2 4 6 3 2 2" xfId="2748"/>
    <cellStyle name="Output 2 4 6 3 2 2 2" xfId="6168"/>
    <cellStyle name="Output 2 4 6 3 2 2 2 2" xfId="13008"/>
    <cellStyle name="Output 2 4 6 3 2 2 3" xfId="9588"/>
    <cellStyle name="Output 2 4 6 3 2 3" xfId="3888"/>
    <cellStyle name="Output 2 4 6 3 2 3 2" xfId="7308"/>
    <cellStyle name="Output 2 4 6 3 2 3 2 2" xfId="14148"/>
    <cellStyle name="Output 2 4 6 3 2 3 3" xfId="10728"/>
    <cellStyle name="Output 2 4 6 3 2 4" xfId="5028"/>
    <cellStyle name="Output 2 4 6 3 2 4 2" xfId="11868"/>
    <cellStyle name="Output 2 4 6 3 2 5" xfId="8448"/>
    <cellStyle name="Output 2 4 6 3 3" xfId="2345"/>
    <cellStyle name="Output 2 4 6 3 3 2" xfId="5765"/>
    <cellStyle name="Output 2 4 6 3 3 2 2" xfId="12605"/>
    <cellStyle name="Output 2 4 6 3 3 3" xfId="9185"/>
    <cellStyle name="Output 2 4 6 3 4" xfId="3485"/>
    <cellStyle name="Output 2 4 6 3 4 2" xfId="6905"/>
    <cellStyle name="Output 2 4 6 3 4 2 2" xfId="13745"/>
    <cellStyle name="Output 2 4 6 3 4 3" xfId="10325"/>
    <cellStyle name="Output 2 4 6 3 5" xfId="4625"/>
    <cellStyle name="Output 2 4 6 3 5 2" xfId="11465"/>
    <cellStyle name="Output 2 4 6 3 6" xfId="8045"/>
    <cellStyle name="Output 2 4 6 3 7" xfId="61535"/>
    <cellStyle name="Output 2 4 6 4" xfId="17539"/>
    <cellStyle name="Output 2 4 6 5" xfId="25857"/>
    <cellStyle name="Output 2 4 6 6" xfId="33074"/>
    <cellStyle name="Output 2 4 6 7" xfId="57733"/>
    <cellStyle name="Output 2 4 6 8" xfId="57734"/>
    <cellStyle name="Output 2 4 6 9" xfId="61200"/>
    <cellStyle name="Output 2 4 7" xfId="1126"/>
    <cellStyle name="Output 2 4 7 10" xfId="61875"/>
    <cellStyle name="Output 2 4 7 2" xfId="1064"/>
    <cellStyle name="Output 2 4 7 2 2" xfId="2552"/>
    <cellStyle name="Output 2 4 7 2 2 2" xfId="5972"/>
    <cellStyle name="Output 2 4 7 2 2 2 2" xfId="12812"/>
    <cellStyle name="Output 2 4 7 2 2 3" xfId="9392"/>
    <cellStyle name="Output 2 4 7 2 3" xfId="3692"/>
    <cellStyle name="Output 2 4 7 2 3 2" xfId="7112"/>
    <cellStyle name="Output 2 4 7 2 3 2 2" xfId="13952"/>
    <cellStyle name="Output 2 4 7 2 3 3" xfId="10532"/>
    <cellStyle name="Output 2 4 7 2 4" xfId="4832"/>
    <cellStyle name="Output 2 4 7 2 4 2" xfId="11672"/>
    <cellStyle name="Output 2 4 7 2 5" xfId="8252"/>
    <cellStyle name="Output 2 4 7 3" xfId="1940"/>
    <cellStyle name="Output 2 4 7 3 2" xfId="5360"/>
    <cellStyle name="Output 2 4 7 3 2 2" xfId="12200"/>
    <cellStyle name="Output 2 4 7 3 3" xfId="8780"/>
    <cellStyle name="Output 2 4 7 4" xfId="3080"/>
    <cellStyle name="Output 2 4 7 4 2" xfId="6500"/>
    <cellStyle name="Output 2 4 7 4 2 2" xfId="13340"/>
    <cellStyle name="Output 2 4 7 4 3" xfId="9920"/>
    <cellStyle name="Output 2 4 7 5" xfId="4220"/>
    <cellStyle name="Output 2 4 7 5 2" xfId="11060"/>
    <cellStyle name="Output 2 4 7 6" xfId="7640"/>
    <cellStyle name="Output 2 4 7 7" xfId="19251"/>
    <cellStyle name="Output 2 4 7 8" xfId="27571"/>
    <cellStyle name="Output 2 4 7 9" xfId="34719"/>
    <cellStyle name="Output 2 4 8" xfId="18639"/>
    <cellStyle name="Output 2 4 8 2" xfId="26959"/>
    <cellStyle name="Output 2 4 8 2 2" xfId="57735"/>
    <cellStyle name="Output 2 4 8 2 3" xfId="57736"/>
    <cellStyle name="Output 2 4 8 3" xfId="34127"/>
    <cellStyle name="Output 2 4 8 4" xfId="57737"/>
    <cellStyle name="Output 2 4 9" xfId="21224"/>
    <cellStyle name="Output 2 4 9 2" xfId="29535"/>
    <cellStyle name="Output 2 4 9 2 2" xfId="57738"/>
    <cellStyle name="Output 2 4 9 2 3" xfId="57739"/>
    <cellStyle name="Output 2 4 9 3" xfId="36604"/>
    <cellStyle name="Output 2 4 9 4" xfId="57740"/>
    <cellStyle name="Output 2 5" xfId="134"/>
    <cellStyle name="Output 2 5 10" xfId="57741"/>
    <cellStyle name="Output 2 5 11" xfId="57742"/>
    <cellStyle name="Output 2 5 12" xfId="57743"/>
    <cellStyle name="Output 2 5 13" xfId="60819"/>
    <cellStyle name="Output 2 5 2" xfId="260"/>
    <cellStyle name="Output 2 5 2 2" xfId="670"/>
    <cellStyle name="Output 2 5 2 2 2" xfId="1621"/>
    <cellStyle name="Output 2 5 2 2 2 2" xfId="786"/>
    <cellStyle name="Output 2 5 2 2 2 2 2" xfId="2378"/>
    <cellStyle name="Output 2 5 2 2 2 2 2 2" xfId="5798"/>
    <cellStyle name="Output 2 5 2 2 2 2 2 2 2" xfId="12638"/>
    <cellStyle name="Output 2 5 2 2 2 2 2 3" xfId="9218"/>
    <cellStyle name="Output 2 5 2 2 2 2 3" xfId="3518"/>
    <cellStyle name="Output 2 5 2 2 2 2 3 2" xfId="6938"/>
    <cellStyle name="Output 2 5 2 2 2 2 3 2 2" xfId="13778"/>
    <cellStyle name="Output 2 5 2 2 2 2 3 3" xfId="10358"/>
    <cellStyle name="Output 2 5 2 2 2 2 4" xfId="4658"/>
    <cellStyle name="Output 2 5 2 2 2 2 4 2" xfId="11498"/>
    <cellStyle name="Output 2 5 2 2 2 2 5" xfId="8078"/>
    <cellStyle name="Output 2 5 2 2 2 3" xfId="2455"/>
    <cellStyle name="Output 2 5 2 2 2 3 2" xfId="5875"/>
    <cellStyle name="Output 2 5 2 2 2 3 2 2" xfId="12715"/>
    <cellStyle name="Output 2 5 2 2 2 3 3" xfId="9295"/>
    <cellStyle name="Output 2 5 2 2 2 4" xfId="3595"/>
    <cellStyle name="Output 2 5 2 2 2 4 2" xfId="7015"/>
    <cellStyle name="Output 2 5 2 2 2 4 2 2" xfId="13855"/>
    <cellStyle name="Output 2 5 2 2 2 4 3" xfId="10435"/>
    <cellStyle name="Output 2 5 2 2 2 5" xfId="4735"/>
    <cellStyle name="Output 2 5 2 2 2 5 2" xfId="11575"/>
    <cellStyle name="Output 2 5 2 2 2 6" xfId="8155"/>
    <cellStyle name="Output 2 5 2 2 2 7" xfId="61532"/>
    <cellStyle name="Output 2 5 2 2 3" xfId="38514"/>
    <cellStyle name="Output 2 5 2 2 4" xfId="57744"/>
    <cellStyle name="Output 2 5 2 2 5" xfId="57745"/>
    <cellStyle name="Output 2 5 2 2 6" xfId="57746"/>
    <cellStyle name="Output 2 5 2 2 7" xfId="57747"/>
    <cellStyle name="Output 2 5 2 2 8" xfId="61304"/>
    <cellStyle name="Output 2 5 2 3" xfId="1267"/>
    <cellStyle name="Output 2 5 2 3 2" xfId="994"/>
    <cellStyle name="Output 2 5 2 3 2 2" xfId="2609"/>
    <cellStyle name="Output 2 5 2 3 2 2 2" xfId="6029"/>
    <cellStyle name="Output 2 5 2 3 2 2 2 2" xfId="12869"/>
    <cellStyle name="Output 2 5 2 3 2 2 3" xfId="9449"/>
    <cellStyle name="Output 2 5 2 3 2 3" xfId="3749"/>
    <cellStyle name="Output 2 5 2 3 2 3 2" xfId="7169"/>
    <cellStyle name="Output 2 5 2 3 2 3 2 2" xfId="14009"/>
    <cellStyle name="Output 2 5 2 3 2 3 3" xfId="10589"/>
    <cellStyle name="Output 2 5 2 3 2 4" xfId="4889"/>
    <cellStyle name="Output 2 5 2 3 2 4 2" xfId="11729"/>
    <cellStyle name="Output 2 5 2 3 2 5" xfId="8309"/>
    <cellStyle name="Output 2 5 2 3 3" xfId="2087"/>
    <cellStyle name="Output 2 5 2 3 3 2" xfId="5507"/>
    <cellStyle name="Output 2 5 2 3 3 2 2" xfId="12347"/>
    <cellStyle name="Output 2 5 2 3 3 3" xfId="8927"/>
    <cellStyle name="Output 2 5 2 3 4" xfId="3227"/>
    <cellStyle name="Output 2 5 2 3 4 2" xfId="6647"/>
    <cellStyle name="Output 2 5 2 3 4 2 2" xfId="13487"/>
    <cellStyle name="Output 2 5 2 3 4 3" xfId="10067"/>
    <cellStyle name="Output 2 5 2 3 5" xfId="4367"/>
    <cellStyle name="Output 2 5 2 3 5 2" xfId="11207"/>
    <cellStyle name="Output 2 5 2 3 6" xfId="7787"/>
    <cellStyle name="Output 2 5 2 3 7" xfId="61533"/>
    <cellStyle name="Output 2 5 2 4" xfId="15603"/>
    <cellStyle name="Output 2 5 2 5" xfId="23917"/>
    <cellStyle name="Output 2 5 2 6" xfId="38277"/>
    <cellStyle name="Output 2 5 2 7" xfId="57748"/>
    <cellStyle name="Output 2 5 2 8" xfId="60943"/>
    <cellStyle name="Output 2 5 3" xfId="582"/>
    <cellStyle name="Output 2 5 3 2" xfId="1569"/>
    <cellStyle name="Output 2 5 3 2 2" xfId="1706"/>
    <cellStyle name="Output 2 5 3 2 2 2" xfId="2846"/>
    <cellStyle name="Output 2 5 3 2 2 2 2" xfId="6266"/>
    <cellStyle name="Output 2 5 3 2 2 2 2 2" xfId="13106"/>
    <cellStyle name="Output 2 5 3 2 2 2 3" xfId="9686"/>
    <cellStyle name="Output 2 5 3 2 2 3" xfId="3986"/>
    <cellStyle name="Output 2 5 3 2 2 3 2" xfId="7406"/>
    <cellStyle name="Output 2 5 3 2 2 3 2 2" xfId="14246"/>
    <cellStyle name="Output 2 5 3 2 2 3 3" xfId="10826"/>
    <cellStyle name="Output 2 5 3 2 2 4" xfId="5126"/>
    <cellStyle name="Output 2 5 3 2 2 4 2" xfId="11966"/>
    <cellStyle name="Output 2 5 3 2 2 5" xfId="8546"/>
    <cellStyle name="Output 2 5 3 2 3" xfId="2394"/>
    <cellStyle name="Output 2 5 3 2 3 2" xfId="5814"/>
    <cellStyle name="Output 2 5 3 2 3 2 2" xfId="12654"/>
    <cellStyle name="Output 2 5 3 2 3 3" xfId="9234"/>
    <cellStyle name="Output 2 5 3 2 4" xfId="3534"/>
    <cellStyle name="Output 2 5 3 2 4 2" xfId="6954"/>
    <cellStyle name="Output 2 5 3 2 4 2 2" xfId="13794"/>
    <cellStyle name="Output 2 5 3 2 4 3" xfId="10374"/>
    <cellStyle name="Output 2 5 3 2 5" xfId="4674"/>
    <cellStyle name="Output 2 5 3 2 5 2" xfId="11514"/>
    <cellStyle name="Output 2 5 3 2 6" xfId="8094"/>
    <cellStyle name="Output 2 5 3 2 7" xfId="61531"/>
    <cellStyle name="Output 2 5 3 3" xfId="16572"/>
    <cellStyle name="Output 2 5 3 4" xfId="24888"/>
    <cellStyle name="Output 2 5 3 5" xfId="32148"/>
    <cellStyle name="Output 2 5 3 6" xfId="57749"/>
    <cellStyle name="Output 2 5 3 7" xfId="57750"/>
    <cellStyle name="Output 2 5 3 8" xfId="57751"/>
    <cellStyle name="Output 2 5 3 9" xfId="61305"/>
    <cellStyle name="Output 2 5 4" xfId="1143"/>
    <cellStyle name="Output 2 5 4 10" xfId="61832"/>
    <cellStyle name="Output 2 5 4 2" xfId="1780"/>
    <cellStyle name="Output 2 5 4 2 2" xfId="2920"/>
    <cellStyle name="Output 2 5 4 2 2 2" xfId="6340"/>
    <cellStyle name="Output 2 5 4 2 2 2 2" xfId="13180"/>
    <cellStyle name="Output 2 5 4 2 2 3" xfId="9760"/>
    <cellStyle name="Output 2 5 4 2 3" xfId="4060"/>
    <cellStyle name="Output 2 5 4 2 3 2" xfId="7480"/>
    <cellStyle name="Output 2 5 4 2 3 2 2" xfId="14320"/>
    <cellStyle name="Output 2 5 4 2 3 3" xfId="10900"/>
    <cellStyle name="Output 2 5 4 2 4" xfId="5200"/>
    <cellStyle name="Output 2 5 4 2 4 2" xfId="12040"/>
    <cellStyle name="Output 2 5 4 2 5" xfId="8620"/>
    <cellStyle name="Output 2 5 4 3" xfId="1962"/>
    <cellStyle name="Output 2 5 4 3 2" xfId="5382"/>
    <cellStyle name="Output 2 5 4 3 2 2" xfId="12222"/>
    <cellStyle name="Output 2 5 4 3 3" xfId="8802"/>
    <cellStyle name="Output 2 5 4 4" xfId="3102"/>
    <cellStyle name="Output 2 5 4 4 2" xfId="6522"/>
    <cellStyle name="Output 2 5 4 4 2 2" xfId="13362"/>
    <cellStyle name="Output 2 5 4 4 3" xfId="9942"/>
    <cellStyle name="Output 2 5 4 5" xfId="4242"/>
    <cellStyle name="Output 2 5 4 5 2" xfId="11082"/>
    <cellStyle name="Output 2 5 4 6" xfId="7662"/>
    <cellStyle name="Output 2 5 4 7" xfId="17590"/>
    <cellStyle name="Output 2 5 4 8" xfId="25912"/>
    <cellStyle name="Output 2 5 4 9" xfId="33125"/>
    <cellStyle name="Output 2 5 5" xfId="18571"/>
    <cellStyle name="Output 2 5 5 2" xfId="26890"/>
    <cellStyle name="Output 2 5 5 2 2" xfId="57752"/>
    <cellStyle name="Output 2 5 5 2 3" xfId="57753"/>
    <cellStyle name="Output 2 5 5 3" xfId="34059"/>
    <cellStyle name="Output 2 5 5 4" xfId="57754"/>
    <cellStyle name="Output 2 5 6" xfId="15521"/>
    <cellStyle name="Output 2 5 6 2" xfId="23857"/>
    <cellStyle name="Output 2 5 6 2 2" xfId="57755"/>
    <cellStyle name="Output 2 5 6 2 3" xfId="57756"/>
    <cellStyle name="Output 2 5 6 3" xfId="31204"/>
    <cellStyle name="Output 2 5 6 4" xfId="57757"/>
    <cellStyle name="Output 2 5 7" xfId="19365"/>
    <cellStyle name="Output 2 5 7 2" xfId="27686"/>
    <cellStyle name="Output 2 5 7 2 2" xfId="57758"/>
    <cellStyle name="Output 2 5 7 2 3" xfId="57759"/>
    <cellStyle name="Output 2 5 7 3" xfId="34834"/>
    <cellStyle name="Output 2 5 7 4" xfId="57760"/>
    <cellStyle name="Output 2 5 8" xfId="14425"/>
    <cellStyle name="Output 2 5 8 2" xfId="57761"/>
    <cellStyle name="Output 2 5 8 3" xfId="57762"/>
    <cellStyle name="Output 2 5 9" xfId="57763"/>
    <cellStyle name="Output 2 6" xfId="301"/>
    <cellStyle name="Output 2 6 10" xfId="22927"/>
    <cellStyle name="Output 2 6 11" xfId="57764"/>
    <cellStyle name="Output 2 6 12" xfId="57765"/>
    <cellStyle name="Output 2 6 13" xfId="57766"/>
    <cellStyle name="Output 2 6 14" xfId="57767"/>
    <cellStyle name="Output 2 6 15" xfId="60983"/>
    <cellStyle name="Output 2 6 2" xfId="344"/>
    <cellStyle name="Output 2 6 2 2" xfId="1349"/>
    <cellStyle name="Output 2 6 2 2 2" xfId="943"/>
    <cellStyle name="Output 2 6 2 2 2 2" xfId="2526"/>
    <cellStyle name="Output 2 6 2 2 2 2 2" xfId="5946"/>
    <cellStyle name="Output 2 6 2 2 2 2 2 2" xfId="12786"/>
    <cellStyle name="Output 2 6 2 2 2 2 3" xfId="9366"/>
    <cellStyle name="Output 2 6 2 2 2 3" xfId="3666"/>
    <cellStyle name="Output 2 6 2 2 2 3 2" xfId="7086"/>
    <cellStyle name="Output 2 6 2 2 2 3 2 2" xfId="13926"/>
    <cellStyle name="Output 2 6 2 2 2 3 3" xfId="10506"/>
    <cellStyle name="Output 2 6 2 2 2 4" xfId="4806"/>
    <cellStyle name="Output 2 6 2 2 2 4 2" xfId="11646"/>
    <cellStyle name="Output 2 6 2 2 2 5" xfId="8226"/>
    <cellStyle name="Output 2 6 2 2 3" xfId="2170"/>
    <cellStyle name="Output 2 6 2 2 3 2" xfId="5590"/>
    <cellStyle name="Output 2 6 2 2 3 2 2" xfId="12430"/>
    <cellStyle name="Output 2 6 2 2 3 3" xfId="9010"/>
    <cellStyle name="Output 2 6 2 2 4" xfId="3310"/>
    <cellStyle name="Output 2 6 2 2 4 2" xfId="6730"/>
    <cellStyle name="Output 2 6 2 2 4 2 2" xfId="13570"/>
    <cellStyle name="Output 2 6 2 2 4 3" xfId="10150"/>
    <cellStyle name="Output 2 6 2 2 5" xfId="4450"/>
    <cellStyle name="Output 2 6 2 2 5 2" xfId="11290"/>
    <cellStyle name="Output 2 6 2 2 6" xfId="7870"/>
    <cellStyle name="Output 2 6 2 2 7" xfId="61529"/>
    <cellStyle name="Output 2 6 2 3" xfId="15650"/>
    <cellStyle name="Output 2 6 2 4" xfId="23963"/>
    <cellStyle name="Output 2 6 2 5" xfId="31260"/>
    <cellStyle name="Output 2 6 2 6" xfId="57768"/>
    <cellStyle name="Output 2 6 2 7" xfId="57769"/>
    <cellStyle name="Output 2 6 2 8" xfId="57770"/>
    <cellStyle name="Output 2 6 2 9" xfId="61025"/>
    <cellStyle name="Output 2 6 3" xfId="1307"/>
    <cellStyle name="Output 2 6 3 10" xfId="61530"/>
    <cellStyle name="Output 2 6 3 2" xfId="1818"/>
    <cellStyle name="Output 2 6 3 2 2" xfId="2958"/>
    <cellStyle name="Output 2 6 3 2 2 2" xfId="6378"/>
    <cellStyle name="Output 2 6 3 2 2 2 2" xfId="13218"/>
    <cellStyle name="Output 2 6 3 2 2 3" xfId="9798"/>
    <cellStyle name="Output 2 6 3 2 3" xfId="4098"/>
    <cellStyle name="Output 2 6 3 2 3 2" xfId="7518"/>
    <cellStyle name="Output 2 6 3 2 3 2 2" xfId="14358"/>
    <cellStyle name="Output 2 6 3 2 3 3" xfId="10938"/>
    <cellStyle name="Output 2 6 3 2 4" xfId="5238"/>
    <cellStyle name="Output 2 6 3 2 4 2" xfId="12078"/>
    <cellStyle name="Output 2 6 3 2 5" xfId="8658"/>
    <cellStyle name="Output 2 6 3 3" xfId="2127"/>
    <cellStyle name="Output 2 6 3 3 2" xfId="5547"/>
    <cellStyle name="Output 2 6 3 3 2 2" xfId="12387"/>
    <cellStyle name="Output 2 6 3 3 3" xfId="8967"/>
    <cellStyle name="Output 2 6 3 4" xfId="3267"/>
    <cellStyle name="Output 2 6 3 4 2" xfId="6687"/>
    <cellStyle name="Output 2 6 3 4 2 2" xfId="13527"/>
    <cellStyle name="Output 2 6 3 4 3" xfId="10107"/>
    <cellStyle name="Output 2 6 3 5" xfId="4407"/>
    <cellStyle name="Output 2 6 3 5 2" xfId="11247"/>
    <cellStyle name="Output 2 6 3 6" xfId="7827"/>
    <cellStyle name="Output 2 6 3 7" xfId="16617"/>
    <cellStyle name="Output 2 6 3 8" xfId="24934"/>
    <cellStyle name="Output 2 6 3 9" xfId="32193"/>
    <cellStyle name="Output 2 6 4" xfId="17637"/>
    <cellStyle name="Output 2 6 4 2" xfId="25960"/>
    <cellStyle name="Output 2 6 4 2 2" xfId="57771"/>
    <cellStyle name="Output 2 6 4 2 3" xfId="57772"/>
    <cellStyle name="Output 2 6 4 3" xfId="33170"/>
    <cellStyle name="Output 2 6 4 4" xfId="57773"/>
    <cellStyle name="Output 2 6 5" xfId="18619"/>
    <cellStyle name="Output 2 6 5 2" xfId="26939"/>
    <cellStyle name="Output 2 6 5 2 2" xfId="57774"/>
    <cellStyle name="Output 2 6 5 2 3" xfId="57775"/>
    <cellStyle name="Output 2 6 5 3" xfId="34107"/>
    <cellStyle name="Output 2 6 5 4" xfId="57776"/>
    <cellStyle name="Output 2 6 6" xfId="19588"/>
    <cellStyle name="Output 2 6 6 2" xfId="27908"/>
    <cellStyle name="Output 2 6 6 2 2" xfId="57777"/>
    <cellStyle name="Output 2 6 6 2 3" xfId="57778"/>
    <cellStyle name="Output 2 6 6 3" xfId="35053"/>
    <cellStyle name="Output 2 6 6 4" xfId="57779"/>
    <cellStyle name="Output 2 6 7" xfId="20545"/>
    <cellStyle name="Output 2 6 7 2" xfId="28867"/>
    <cellStyle name="Output 2 6 7 2 2" xfId="57780"/>
    <cellStyle name="Output 2 6 7 2 3" xfId="57781"/>
    <cellStyle name="Output 2 6 7 3" xfId="35970"/>
    <cellStyle name="Output 2 6 7 4" xfId="57782"/>
    <cellStyle name="Output 2 6 8" xfId="21291"/>
    <cellStyle name="Output 2 6 8 2" xfId="29598"/>
    <cellStyle name="Output 2 6 8 2 2" xfId="57783"/>
    <cellStyle name="Output 2 6 8 2 3" xfId="57784"/>
    <cellStyle name="Output 2 6 8 3" xfId="36665"/>
    <cellStyle name="Output 2 6 8 4" xfId="57785"/>
    <cellStyle name="Output 2 6 9" xfId="21981"/>
    <cellStyle name="Output 2 6 9 2" xfId="30281"/>
    <cellStyle name="Output 2 6 9 3" xfId="37321"/>
    <cellStyle name="Output 2 7" xfId="194"/>
    <cellStyle name="Output 2 7 10" xfId="14551"/>
    <cellStyle name="Output 2 7 11" xfId="22907"/>
    <cellStyle name="Output 2 7 12" xfId="57786"/>
    <cellStyle name="Output 2 7 13" xfId="57787"/>
    <cellStyle name="Output 2 7 14" xfId="57788"/>
    <cellStyle name="Output 2 7 15" xfId="60878"/>
    <cellStyle name="Output 2 7 2" xfId="366"/>
    <cellStyle name="Output 2 7 2 2" xfId="1371"/>
    <cellStyle name="Output 2 7 2 2 2" xfId="922"/>
    <cellStyle name="Output 2 7 2 2 2 2" xfId="2607"/>
    <cellStyle name="Output 2 7 2 2 2 2 2" xfId="6027"/>
    <cellStyle name="Output 2 7 2 2 2 2 2 2" xfId="12867"/>
    <cellStyle name="Output 2 7 2 2 2 2 3" xfId="9447"/>
    <cellStyle name="Output 2 7 2 2 2 3" xfId="3747"/>
    <cellStyle name="Output 2 7 2 2 2 3 2" xfId="7167"/>
    <cellStyle name="Output 2 7 2 2 2 3 2 2" xfId="14007"/>
    <cellStyle name="Output 2 7 2 2 2 3 3" xfId="10587"/>
    <cellStyle name="Output 2 7 2 2 2 4" xfId="4887"/>
    <cellStyle name="Output 2 7 2 2 2 4 2" xfId="11727"/>
    <cellStyle name="Output 2 7 2 2 2 5" xfId="8307"/>
    <cellStyle name="Output 2 7 2 2 3" xfId="2192"/>
    <cellStyle name="Output 2 7 2 2 3 2" xfId="5612"/>
    <cellStyle name="Output 2 7 2 2 3 2 2" xfId="12452"/>
    <cellStyle name="Output 2 7 2 2 3 3" xfId="9032"/>
    <cellStyle name="Output 2 7 2 2 4" xfId="3332"/>
    <cellStyle name="Output 2 7 2 2 4 2" xfId="6752"/>
    <cellStyle name="Output 2 7 2 2 4 2 2" xfId="13592"/>
    <cellStyle name="Output 2 7 2 2 4 3" xfId="10172"/>
    <cellStyle name="Output 2 7 2 2 5" xfId="4472"/>
    <cellStyle name="Output 2 7 2 2 5 2" xfId="11312"/>
    <cellStyle name="Output 2 7 2 2 6" xfId="7892"/>
    <cellStyle name="Output 2 7 2 2 7" xfId="61527"/>
    <cellStyle name="Output 2 7 2 3" xfId="15630"/>
    <cellStyle name="Output 2 7 2 4" xfId="23943"/>
    <cellStyle name="Output 2 7 2 5" xfId="31240"/>
    <cellStyle name="Output 2 7 2 6" xfId="57789"/>
    <cellStyle name="Output 2 7 2 7" xfId="57790"/>
    <cellStyle name="Output 2 7 2 8" xfId="57791"/>
    <cellStyle name="Output 2 7 2 9" xfId="61047"/>
    <cellStyle name="Output 2 7 3" xfId="1202"/>
    <cellStyle name="Output 2 7 3 10" xfId="61528"/>
    <cellStyle name="Output 2 7 3 2" xfId="1774"/>
    <cellStyle name="Output 2 7 3 2 2" xfId="2914"/>
    <cellStyle name="Output 2 7 3 2 2 2" xfId="6334"/>
    <cellStyle name="Output 2 7 3 2 2 2 2" xfId="13174"/>
    <cellStyle name="Output 2 7 3 2 2 3" xfId="9754"/>
    <cellStyle name="Output 2 7 3 2 3" xfId="4054"/>
    <cellStyle name="Output 2 7 3 2 3 2" xfId="7474"/>
    <cellStyle name="Output 2 7 3 2 3 2 2" xfId="14314"/>
    <cellStyle name="Output 2 7 3 2 3 3" xfId="10894"/>
    <cellStyle name="Output 2 7 3 2 4" xfId="5194"/>
    <cellStyle name="Output 2 7 3 2 4 2" xfId="12034"/>
    <cellStyle name="Output 2 7 3 2 5" xfId="8614"/>
    <cellStyle name="Output 2 7 3 3" xfId="2021"/>
    <cellStyle name="Output 2 7 3 3 2" xfId="5441"/>
    <cellStyle name="Output 2 7 3 3 2 2" xfId="12281"/>
    <cellStyle name="Output 2 7 3 3 3" xfId="8861"/>
    <cellStyle name="Output 2 7 3 4" xfId="3161"/>
    <cellStyle name="Output 2 7 3 4 2" xfId="6581"/>
    <cellStyle name="Output 2 7 3 4 2 2" xfId="13421"/>
    <cellStyle name="Output 2 7 3 4 3" xfId="10001"/>
    <cellStyle name="Output 2 7 3 5" xfId="4301"/>
    <cellStyle name="Output 2 7 3 5 2" xfId="11141"/>
    <cellStyle name="Output 2 7 3 6" xfId="7721"/>
    <cellStyle name="Output 2 7 3 7" xfId="16597"/>
    <cellStyle name="Output 2 7 3 8" xfId="24914"/>
    <cellStyle name="Output 2 7 3 9" xfId="32173"/>
    <cellStyle name="Output 2 7 4" xfId="17617"/>
    <cellStyle name="Output 2 7 4 2" xfId="25940"/>
    <cellStyle name="Output 2 7 4 2 2" xfId="57792"/>
    <cellStyle name="Output 2 7 4 2 3" xfId="57793"/>
    <cellStyle name="Output 2 7 4 3" xfId="33150"/>
    <cellStyle name="Output 2 7 4 4" xfId="57794"/>
    <cellStyle name="Output 2 7 5" xfId="18599"/>
    <cellStyle name="Output 2 7 5 2" xfId="26918"/>
    <cellStyle name="Output 2 7 5 2 2" xfId="57795"/>
    <cellStyle name="Output 2 7 5 2 3" xfId="57796"/>
    <cellStyle name="Output 2 7 5 3" xfId="34086"/>
    <cellStyle name="Output 2 7 5 4" xfId="57797"/>
    <cellStyle name="Output 2 7 6" xfId="19567"/>
    <cellStyle name="Output 2 7 6 2" xfId="27888"/>
    <cellStyle name="Output 2 7 6 2 2" xfId="57798"/>
    <cellStyle name="Output 2 7 6 2 3" xfId="57799"/>
    <cellStyle name="Output 2 7 6 3" xfId="35033"/>
    <cellStyle name="Output 2 7 6 4" xfId="57800"/>
    <cellStyle name="Output 2 7 7" xfId="20525"/>
    <cellStyle name="Output 2 7 7 2" xfId="28847"/>
    <cellStyle name="Output 2 7 7 2 2" xfId="57801"/>
    <cellStyle name="Output 2 7 7 2 3" xfId="57802"/>
    <cellStyle name="Output 2 7 7 3" xfId="35950"/>
    <cellStyle name="Output 2 7 7 4" xfId="57803"/>
    <cellStyle name="Output 2 7 8" xfId="21289"/>
    <cellStyle name="Output 2 7 8 2" xfId="29596"/>
    <cellStyle name="Output 2 7 8 2 2" xfId="57804"/>
    <cellStyle name="Output 2 7 8 2 3" xfId="57805"/>
    <cellStyle name="Output 2 7 8 3" xfId="36663"/>
    <cellStyle name="Output 2 7 8 4" xfId="57806"/>
    <cellStyle name="Output 2 7 9" xfId="21335"/>
    <cellStyle name="Output 2 7 9 2" xfId="29639"/>
    <cellStyle name="Output 2 7 9 3" xfId="36705"/>
    <cellStyle name="Output 2 8" xfId="464"/>
    <cellStyle name="Output 2 8 10" xfId="14617"/>
    <cellStyle name="Output 2 8 11" xfId="22978"/>
    <cellStyle name="Output 2 8 12" xfId="57807"/>
    <cellStyle name="Output 2 8 13" xfId="57808"/>
    <cellStyle name="Output 2 8 14" xfId="57809"/>
    <cellStyle name="Output 2 8 15" xfId="61144"/>
    <cellStyle name="Output 2 8 2" xfId="176"/>
    <cellStyle name="Output 2 8 2 2" xfId="1184"/>
    <cellStyle name="Output 2 8 2 2 2" xfId="1678"/>
    <cellStyle name="Output 2 8 2 2 2 2" xfId="2818"/>
    <cellStyle name="Output 2 8 2 2 2 2 2" xfId="6238"/>
    <cellStyle name="Output 2 8 2 2 2 2 2 2" xfId="13078"/>
    <cellStyle name="Output 2 8 2 2 2 2 3" xfId="9658"/>
    <cellStyle name="Output 2 8 2 2 2 3" xfId="3958"/>
    <cellStyle name="Output 2 8 2 2 2 3 2" xfId="7378"/>
    <cellStyle name="Output 2 8 2 2 2 3 2 2" xfId="14218"/>
    <cellStyle name="Output 2 8 2 2 2 3 3" xfId="10798"/>
    <cellStyle name="Output 2 8 2 2 2 4" xfId="5098"/>
    <cellStyle name="Output 2 8 2 2 2 4 2" xfId="11938"/>
    <cellStyle name="Output 2 8 2 2 2 5" xfId="8518"/>
    <cellStyle name="Output 2 8 2 2 3" xfId="2003"/>
    <cellStyle name="Output 2 8 2 2 3 2" xfId="5423"/>
    <cellStyle name="Output 2 8 2 2 3 2 2" xfId="12263"/>
    <cellStyle name="Output 2 8 2 2 3 3" xfId="8843"/>
    <cellStyle name="Output 2 8 2 2 4" xfId="3143"/>
    <cellStyle name="Output 2 8 2 2 4 2" xfId="6563"/>
    <cellStyle name="Output 2 8 2 2 4 2 2" xfId="13403"/>
    <cellStyle name="Output 2 8 2 2 4 3" xfId="9983"/>
    <cellStyle name="Output 2 8 2 2 5" xfId="4283"/>
    <cellStyle name="Output 2 8 2 2 5 2" xfId="11123"/>
    <cellStyle name="Output 2 8 2 2 6" xfId="7703"/>
    <cellStyle name="Output 2 8 2 2 7" xfId="61525"/>
    <cellStyle name="Output 2 8 2 3" xfId="15697"/>
    <cellStyle name="Output 2 8 2 4" xfId="24013"/>
    <cellStyle name="Output 2 8 2 5" xfId="31307"/>
    <cellStyle name="Output 2 8 2 6" xfId="57810"/>
    <cellStyle name="Output 2 8 2 7" xfId="57811"/>
    <cellStyle name="Output 2 8 2 8" xfId="57812"/>
    <cellStyle name="Output 2 8 2 9" xfId="60860"/>
    <cellStyle name="Output 2 8 3" xfId="1468"/>
    <cellStyle name="Output 2 8 3 10" xfId="61526"/>
    <cellStyle name="Output 2 8 3 2" xfId="875"/>
    <cellStyle name="Output 2 8 3 2 2" xfId="2575"/>
    <cellStyle name="Output 2 8 3 2 2 2" xfId="5995"/>
    <cellStyle name="Output 2 8 3 2 2 2 2" xfId="12835"/>
    <cellStyle name="Output 2 8 3 2 2 3" xfId="9415"/>
    <cellStyle name="Output 2 8 3 2 3" xfId="3715"/>
    <cellStyle name="Output 2 8 3 2 3 2" xfId="7135"/>
    <cellStyle name="Output 2 8 3 2 3 2 2" xfId="13975"/>
    <cellStyle name="Output 2 8 3 2 3 3" xfId="10555"/>
    <cellStyle name="Output 2 8 3 2 4" xfId="4855"/>
    <cellStyle name="Output 2 8 3 2 4 2" xfId="11695"/>
    <cellStyle name="Output 2 8 3 2 5" xfId="8275"/>
    <cellStyle name="Output 2 8 3 3" xfId="2289"/>
    <cellStyle name="Output 2 8 3 3 2" xfId="5709"/>
    <cellStyle name="Output 2 8 3 3 2 2" xfId="12549"/>
    <cellStyle name="Output 2 8 3 3 3" xfId="9129"/>
    <cellStyle name="Output 2 8 3 4" xfId="3429"/>
    <cellStyle name="Output 2 8 3 4 2" xfId="6849"/>
    <cellStyle name="Output 2 8 3 4 2 2" xfId="13689"/>
    <cellStyle name="Output 2 8 3 4 3" xfId="10269"/>
    <cellStyle name="Output 2 8 3 5" xfId="4569"/>
    <cellStyle name="Output 2 8 3 5 2" xfId="11409"/>
    <cellStyle name="Output 2 8 3 6" xfId="7989"/>
    <cellStyle name="Output 2 8 3 7" xfId="16664"/>
    <cellStyle name="Output 2 8 3 8" xfId="24984"/>
    <cellStyle name="Output 2 8 3 9" xfId="32240"/>
    <cellStyle name="Output 2 8 4" xfId="17687"/>
    <cellStyle name="Output 2 8 4 2" xfId="26010"/>
    <cellStyle name="Output 2 8 4 2 2" xfId="57813"/>
    <cellStyle name="Output 2 8 4 2 3" xfId="57814"/>
    <cellStyle name="Output 2 8 4 3" xfId="33217"/>
    <cellStyle name="Output 2 8 4 4" xfId="57815"/>
    <cellStyle name="Output 2 8 5" xfId="18670"/>
    <cellStyle name="Output 2 8 5 2" xfId="26991"/>
    <cellStyle name="Output 2 8 5 2 2" xfId="57816"/>
    <cellStyle name="Output 2 8 5 2 3" xfId="57817"/>
    <cellStyle name="Output 2 8 5 3" xfId="34156"/>
    <cellStyle name="Output 2 8 5 4" xfId="57818"/>
    <cellStyle name="Output 2 8 6" xfId="19639"/>
    <cellStyle name="Output 2 8 6 2" xfId="27960"/>
    <cellStyle name="Output 2 8 6 2 2" xfId="57819"/>
    <cellStyle name="Output 2 8 6 2 3" xfId="57820"/>
    <cellStyle name="Output 2 8 6 3" xfId="35102"/>
    <cellStyle name="Output 2 8 6 4" xfId="57821"/>
    <cellStyle name="Output 2 8 7" xfId="20596"/>
    <cellStyle name="Output 2 8 7 2" xfId="28917"/>
    <cellStyle name="Output 2 8 7 2 2" xfId="57822"/>
    <cellStyle name="Output 2 8 7 2 3" xfId="57823"/>
    <cellStyle name="Output 2 8 7 3" xfId="36017"/>
    <cellStyle name="Output 2 8 7 4" xfId="57824"/>
    <cellStyle name="Output 2 8 8" xfId="21299"/>
    <cellStyle name="Output 2 8 8 2" xfId="29606"/>
    <cellStyle name="Output 2 8 8 2 2" xfId="57825"/>
    <cellStyle name="Output 2 8 8 2 3" xfId="57826"/>
    <cellStyle name="Output 2 8 8 3" xfId="36673"/>
    <cellStyle name="Output 2 8 8 4" xfId="57827"/>
    <cellStyle name="Output 2 8 9" xfId="22033"/>
    <cellStyle name="Output 2 8 9 2" xfId="30331"/>
    <cellStyle name="Output 2 8 9 3" xfId="37368"/>
    <cellStyle name="Output 2 9" xfId="480"/>
    <cellStyle name="Output 2 9 10" xfId="14682"/>
    <cellStyle name="Output 2 9 11" xfId="23044"/>
    <cellStyle name="Output 2 9 12" xfId="57828"/>
    <cellStyle name="Output 2 9 13" xfId="57829"/>
    <cellStyle name="Output 2 9 14" xfId="57830"/>
    <cellStyle name="Output 2 9 15" xfId="61160"/>
    <cellStyle name="Output 2 9 2" xfId="199"/>
    <cellStyle name="Output 2 9 2 2" xfId="1207"/>
    <cellStyle name="Output 2 9 2 2 2" xfId="1024"/>
    <cellStyle name="Output 2 9 2 2 2 2" xfId="2765"/>
    <cellStyle name="Output 2 9 2 2 2 2 2" xfId="6185"/>
    <cellStyle name="Output 2 9 2 2 2 2 2 2" xfId="13025"/>
    <cellStyle name="Output 2 9 2 2 2 2 3" xfId="9605"/>
    <cellStyle name="Output 2 9 2 2 2 3" xfId="3905"/>
    <cellStyle name="Output 2 9 2 2 2 3 2" xfId="7325"/>
    <cellStyle name="Output 2 9 2 2 2 3 2 2" xfId="14165"/>
    <cellStyle name="Output 2 9 2 2 2 3 3" xfId="10745"/>
    <cellStyle name="Output 2 9 2 2 2 4" xfId="5045"/>
    <cellStyle name="Output 2 9 2 2 2 4 2" xfId="11885"/>
    <cellStyle name="Output 2 9 2 2 2 5" xfId="8465"/>
    <cellStyle name="Output 2 9 2 2 3" xfId="2026"/>
    <cellStyle name="Output 2 9 2 2 3 2" xfId="5446"/>
    <cellStyle name="Output 2 9 2 2 3 2 2" xfId="12286"/>
    <cellStyle name="Output 2 9 2 2 3 3" xfId="8866"/>
    <cellStyle name="Output 2 9 2 2 4" xfId="3166"/>
    <cellStyle name="Output 2 9 2 2 4 2" xfId="6586"/>
    <cellStyle name="Output 2 9 2 2 4 2 2" xfId="13426"/>
    <cellStyle name="Output 2 9 2 2 4 3" xfId="10006"/>
    <cellStyle name="Output 2 9 2 2 5" xfId="4306"/>
    <cellStyle name="Output 2 9 2 2 5 2" xfId="11146"/>
    <cellStyle name="Output 2 9 2 2 6" xfId="7726"/>
    <cellStyle name="Output 2 9 2 2 7" xfId="61523"/>
    <cellStyle name="Output 2 9 2 3" xfId="15763"/>
    <cellStyle name="Output 2 9 2 4" xfId="24079"/>
    <cellStyle name="Output 2 9 2 5" xfId="31370"/>
    <cellStyle name="Output 2 9 2 6" xfId="57831"/>
    <cellStyle name="Output 2 9 2 7" xfId="57832"/>
    <cellStyle name="Output 2 9 2 8" xfId="57833"/>
    <cellStyle name="Output 2 9 2 9" xfId="60883"/>
    <cellStyle name="Output 2 9 3" xfId="1484"/>
    <cellStyle name="Output 2 9 3 10" xfId="61524"/>
    <cellStyle name="Output 2 9 3 2" xfId="1699"/>
    <cellStyle name="Output 2 9 3 2 2" xfId="2839"/>
    <cellStyle name="Output 2 9 3 2 2 2" xfId="6259"/>
    <cellStyle name="Output 2 9 3 2 2 2 2" xfId="13099"/>
    <cellStyle name="Output 2 9 3 2 2 3" xfId="9679"/>
    <cellStyle name="Output 2 9 3 2 3" xfId="3979"/>
    <cellStyle name="Output 2 9 3 2 3 2" xfId="7399"/>
    <cellStyle name="Output 2 9 3 2 3 2 2" xfId="14239"/>
    <cellStyle name="Output 2 9 3 2 3 3" xfId="10819"/>
    <cellStyle name="Output 2 9 3 2 4" xfId="5119"/>
    <cellStyle name="Output 2 9 3 2 4 2" xfId="11959"/>
    <cellStyle name="Output 2 9 3 2 5" xfId="8539"/>
    <cellStyle name="Output 2 9 3 3" xfId="2305"/>
    <cellStyle name="Output 2 9 3 3 2" xfId="5725"/>
    <cellStyle name="Output 2 9 3 3 2 2" xfId="12565"/>
    <cellStyle name="Output 2 9 3 3 3" xfId="9145"/>
    <cellStyle name="Output 2 9 3 4" xfId="3445"/>
    <cellStyle name="Output 2 9 3 4 2" xfId="6865"/>
    <cellStyle name="Output 2 9 3 4 2 2" xfId="13705"/>
    <cellStyle name="Output 2 9 3 4 3" xfId="10285"/>
    <cellStyle name="Output 2 9 3 5" xfId="4585"/>
    <cellStyle name="Output 2 9 3 5 2" xfId="11425"/>
    <cellStyle name="Output 2 9 3 6" xfId="8005"/>
    <cellStyle name="Output 2 9 3 7" xfId="16729"/>
    <cellStyle name="Output 2 9 3 8" xfId="25050"/>
    <cellStyle name="Output 2 9 3 9" xfId="32303"/>
    <cellStyle name="Output 2 9 4" xfId="17753"/>
    <cellStyle name="Output 2 9 4 2" xfId="26076"/>
    <cellStyle name="Output 2 9 4 2 2" xfId="57834"/>
    <cellStyle name="Output 2 9 4 2 3" xfId="57835"/>
    <cellStyle name="Output 2 9 4 3" xfId="33280"/>
    <cellStyle name="Output 2 9 4 4" xfId="57836"/>
    <cellStyle name="Output 2 9 5" xfId="18736"/>
    <cellStyle name="Output 2 9 5 2" xfId="27057"/>
    <cellStyle name="Output 2 9 5 2 2" xfId="57837"/>
    <cellStyle name="Output 2 9 5 2 3" xfId="57838"/>
    <cellStyle name="Output 2 9 5 3" xfId="34219"/>
    <cellStyle name="Output 2 9 5 4" xfId="57839"/>
    <cellStyle name="Output 2 9 6" xfId="19705"/>
    <cellStyle name="Output 2 9 6 2" xfId="28026"/>
    <cellStyle name="Output 2 9 6 2 2" xfId="57840"/>
    <cellStyle name="Output 2 9 6 2 3" xfId="57841"/>
    <cellStyle name="Output 2 9 6 3" xfId="35165"/>
    <cellStyle name="Output 2 9 6 4" xfId="57842"/>
    <cellStyle name="Output 2 9 7" xfId="20662"/>
    <cellStyle name="Output 2 9 7 2" xfId="28983"/>
    <cellStyle name="Output 2 9 7 2 2" xfId="57843"/>
    <cellStyle name="Output 2 9 7 2 3" xfId="57844"/>
    <cellStyle name="Output 2 9 7 3" xfId="36080"/>
    <cellStyle name="Output 2 9 7 4" xfId="57845"/>
    <cellStyle name="Output 2 9 8" xfId="21178"/>
    <cellStyle name="Output 2 9 8 2" xfId="29490"/>
    <cellStyle name="Output 2 9 8 2 2" xfId="57846"/>
    <cellStyle name="Output 2 9 8 2 3" xfId="57847"/>
    <cellStyle name="Output 2 9 8 3" xfId="36561"/>
    <cellStyle name="Output 2 9 8 4" xfId="57848"/>
    <cellStyle name="Output 2 9 9" xfId="22099"/>
    <cellStyle name="Output 2 9 9 2" xfId="30397"/>
    <cellStyle name="Output 2 9 9 3" xfId="37431"/>
    <cellStyle name="Output 3" xfId="65"/>
    <cellStyle name="Output 3 10" xfId="57849"/>
    <cellStyle name="Output 3 11" xfId="60778"/>
    <cellStyle name="Output 3 2" xfId="122"/>
    <cellStyle name="Output 3 2 2" xfId="254"/>
    <cellStyle name="Output 3 2 2 2" xfId="665"/>
    <cellStyle name="Output 3 2 2 2 2" xfId="1616"/>
    <cellStyle name="Output 3 2 2 2 2 2" xfId="791"/>
    <cellStyle name="Output 3 2 2 2 2 2 2" xfId="2531"/>
    <cellStyle name="Output 3 2 2 2 2 2 2 2" xfId="5951"/>
    <cellStyle name="Output 3 2 2 2 2 2 2 2 2" xfId="12791"/>
    <cellStyle name="Output 3 2 2 2 2 2 2 3" xfId="9371"/>
    <cellStyle name="Output 3 2 2 2 2 2 3" xfId="3671"/>
    <cellStyle name="Output 3 2 2 2 2 2 3 2" xfId="7091"/>
    <cellStyle name="Output 3 2 2 2 2 2 3 2 2" xfId="13931"/>
    <cellStyle name="Output 3 2 2 2 2 2 3 3" xfId="10511"/>
    <cellStyle name="Output 3 2 2 2 2 2 4" xfId="4811"/>
    <cellStyle name="Output 3 2 2 2 2 2 4 2" xfId="11651"/>
    <cellStyle name="Output 3 2 2 2 2 2 5" xfId="8231"/>
    <cellStyle name="Output 3 2 2 2 2 3" xfId="2450"/>
    <cellStyle name="Output 3 2 2 2 2 3 2" xfId="5870"/>
    <cellStyle name="Output 3 2 2 2 2 3 2 2" xfId="12710"/>
    <cellStyle name="Output 3 2 2 2 2 3 3" xfId="9290"/>
    <cellStyle name="Output 3 2 2 2 2 4" xfId="3590"/>
    <cellStyle name="Output 3 2 2 2 2 4 2" xfId="7010"/>
    <cellStyle name="Output 3 2 2 2 2 4 2 2" xfId="13850"/>
    <cellStyle name="Output 3 2 2 2 2 4 3" xfId="10430"/>
    <cellStyle name="Output 3 2 2 2 2 5" xfId="4730"/>
    <cellStyle name="Output 3 2 2 2 2 5 2" xfId="11570"/>
    <cellStyle name="Output 3 2 2 2 2 6" xfId="8150"/>
    <cellStyle name="Output 3 2 2 2 2 7" xfId="61398"/>
    <cellStyle name="Output 3 2 2 2 3" xfId="38509"/>
    <cellStyle name="Output 3 2 2 2 4" xfId="57850"/>
    <cellStyle name="Output 3 2 2 2 5" xfId="57851"/>
    <cellStyle name="Output 3 2 2 2 6" xfId="57852"/>
    <cellStyle name="Output 3 2 2 2 7" xfId="61306"/>
    <cellStyle name="Output 3 2 2 3" xfId="1261"/>
    <cellStyle name="Output 3 2 2 3 2" xfId="1854"/>
    <cellStyle name="Output 3 2 2 3 2 2" xfId="2994"/>
    <cellStyle name="Output 3 2 2 3 2 2 2" xfId="6414"/>
    <cellStyle name="Output 3 2 2 3 2 2 2 2" xfId="13254"/>
    <cellStyle name="Output 3 2 2 3 2 2 3" xfId="9834"/>
    <cellStyle name="Output 3 2 2 3 2 3" xfId="4134"/>
    <cellStyle name="Output 3 2 2 3 2 3 2" xfId="7554"/>
    <cellStyle name="Output 3 2 2 3 2 3 2 2" xfId="14394"/>
    <cellStyle name="Output 3 2 2 3 2 3 3" xfId="10974"/>
    <cellStyle name="Output 3 2 2 3 2 4" xfId="5274"/>
    <cellStyle name="Output 3 2 2 3 2 4 2" xfId="12114"/>
    <cellStyle name="Output 3 2 2 3 2 5" xfId="8694"/>
    <cellStyle name="Output 3 2 2 3 3" xfId="2081"/>
    <cellStyle name="Output 3 2 2 3 3 2" xfId="5501"/>
    <cellStyle name="Output 3 2 2 3 3 2 2" xfId="12341"/>
    <cellStyle name="Output 3 2 2 3 3 3" xfId="8921"/>
    <cellStyle name="Output 3 2 2 3 4" xfId="3221"/>
    <cellStyle name="Output 3 2 2 3 4 2" xfId="6641"/>
    <cellStyle name="Output 3 2 2 3 4 2 2" xfId="13481"/>
    <cellStyle name="Output 3 2 2 3 4 3" xfId="10061"/>
    <cellStyle name="Output 3 2 2 3 5" xfId="4361"/>
    <cellStyle name="Output 3 2 2 3 5 2" xfId="11201"/>
    <cellStyle name="Output 3 2 2 3 6" xfId="7781"/>
    <cellStyle name="Output 3 2 2 3 7" xfId="61467"/>
    <cellStyle name="Output 3 2 2 4" xfId="38275"/>
    <cellStyle name="Output 3 2 2 5" xfId="57853"/>
    <cellStyle name="Output 3 2 2 6" xfId="57854"/>
    <cellStyle name="Output 3 2 2 7" xfId="57855"/>
    <cellStyle name="Output 3 2 2 8" xfId="60937"/>
    <cellStyle name="Output 3 2 3" xfId="577"/>
    <cellStyle name="Output 3 2 3 2" xfId="1564"/>
    <cellStyle name="Output 3 2 3 2 2" xfId="829"/>
    <cellStyle name="Output 3 2 3 2 2 2" xfId="2700"/>
    <cellStyle name="Output 3 2 3 2 2 2 2" xfId="6120"/>
    <cellStyle name="Output 3 2 3 2 2 2 2 2" xfId="12960"/>
    <cellStyle name="Output 3 2 3 2 2 2 3" xfId="9540"/>
    <cellStyle name="Output 3 2 3 2 2 3" xfId="3840"/>
    <cellStyle name="Output 3 2 3 2 2 3 2" xfId="7260"/>
    <cellStyle name="Output 3 2 3 2 2 3 2 2" xfId="14100"/>
    <cellStyle name="Output 3 2 3 2 2 3 3" xfId="10680"/>
    <cellStyle name="Output 3 2 3 2 2 4" xfId="4980"/>
    <cellStyle name="Output 3 2 3 2 2 4 2" xfId="11820"/>
    <cellStyle name="Output 3 2 3 2 2 5" xfId="8400"/>
    <cellStyle name="Output 3 2 3 2 3" xfId="2389"/>
    <cellStyle name="Output 3 2 3 2 3 2" xfId="5809"/>
    <cellStyle name="Output 3 2 3 2 3 2 2" xfId="12649"/>
    <cellStyle name="Output 3 2 3 2 3 3" xfId="9229"/>
    <cellStyle name="Output 3 2 3 2 4" xfId="3529"/>
    <cellStyle name="Output 3 2 3 2 4 2" xfId="6949"/>
    <cellStyle name="Output 3 2 3 2 4 2 2" xfId="13789"/>
    <cellStyle name="Output 3 2 3 2 4 3" xfId="10369"/>
    <cellStyle name="Output 3 2 3 2 5" xfId="4669"/>
    <cellStyle name="Output 3 2 3 2 5 2" xfId="11509"/>
    <cellStyle name="Output 3 2 3 2 6" xfId="8089"/>
    <cellStyle name="Output 3 2 3 2 7" xfId="61358"/>
    <cellStyle name="Output 3 2 3 3" xfId="38468"/>
    <cellStyle name="Output 3 2 3 4" xfId="57856"/>
    <cellStyle name="Output 3 2 3 5" xfId="57857"/>
    <cellStyle name="Output 3 2 3 6" xfId="57858"/>
    <cellStyle name="Output 3 2 3 7" xfId="61307"/>
    <cellStyle name="Output 3 2 4" xfId="1138"/>
    <cellStyle name="Output 3 2 4 2" xfId="1822"/>
    <cellStyle name="Output 3 2 4 2 2" xfId="2962"/>
    <cellStyle name="Output 3 2 4 2 2 2" xfId="6382"/>
    <cellStyle name="Output 3 2 4 2 2 2 2" xfId="13222"/>
    <cellStyle name="Output 3 2 4 2 2 3" xfId="9802"/>
    <cellStyle name="Output 3 2 4 2 3" xfId="4102"/>
    <cellStyle name="Output 3 2 4 2 3 2" xfId="7522"/>
    <cellStyle name="Output 3 2 4 2 3 2 2" xfId="14362"/>
    <cellStyle name="Output 3 2 4 2 3 3" xfId="10942"/>
    <cellStyle name="Output 3 2 4 2 4" xfId="5242"/>
    <cellStyle name="Output 3 2 4 2 4 2" xfId="12082"/>
    <cellStyle name="Output 3 2 4 2 5" xfId="8662"/>
    <cellStyle name="Output 3 2 4 3" xfId="1952"/>
    <cellStyle name="Output 3 2 4 3 2" xfId="5372"/>
    <cellStyle name="Output 3 2 4 3 2 2" xfId="12212"/>
    <cellStyle name="Output 3 2 4 3 3" xfId="8792"/>
    <cellStyle name="Output 3 2 4 4" xfId="3092"/>
    <cellStyle name="Output 3 2 4 4 2" xfId="6512"/>
    <cellStyle name="Output 3 2 4 4 2 2" xfId="13352"/>
    <cellStyle name="Output 3 2 4 4 3" xfId="9932"/>
    <cellStyle name="Output 3 2 4 5" xfId="4232"/>
    <cellStyle name="Output 3 2 4 5 2" xfId="11072"/>
    <cellStyle name="Output 3 2 4 6" xfId="7652"/>
    <cellStyle name="Output 3 2 4 7" xfId="61858"/>
    <cellStyle name="Output 3 2 5" xfId="38204"/>
    <cellStyle name="Output 3 2 6" xfId="57859"/>
    <cellStyle name="Output 3 2 7" xfId="57860"/>
    <cellStyle name="Output 3 2 8" xfId="60814"/>
    <cellStyle name="Output 3 3" xfId="144"/>
    <cellStyle name="Output 3 3 2" xfId="270"/>
    <cellStyle name="Output 3 3 2 2" xfId="680"/>
    <cellStyle name="Output 3 3 2 2 2" xfId="1631"/>
    <cellStyle name="Output 3 3 2 2 2 2" xfId="776"/>
    <cellStyle name="Output 3 3 2 2 2 2 2" xfId="2577"/>
    <cellStyle name="Output 3 3 2 2 2 2 2 2" xfId="5997"/>
    <cellStyle name="Output 3 3 2 2 2 2 2 2 2" xfId="12837"/>
    <cellStyle name="Output 3 3 2 2 2 2 2 3" xfId="9417"/>
    <cellStyle name="Output 3 3 2 2 2 2 3" xfId="3717"/>
    <cellStyle name="Output 3 3 2 2 2 2 3 2" xfId="7137"/>
    <cellStyle name="Output 3 3 2 2 2 2 3 2 2" xfId="13977"/>
    <cellStyle name="Output 3 3 2 2 2 2 3 3" xfId="10557"/>
    <cellStyle name="Output 3 3 2 2 2 2 4" xfId="4857"/>
    <cellStyle name="Output 3 3 2 2 2 2 4 2" xfId="11697"/>
    <cellStyle name="Output 3 3 2 2 2 2 5" xfId="8277"/>
    <cellStyle name="Output 3 3 2 2 2 3" xfId="2465"/>
    <cellStyle name="Output 3 3 2 2 2 3 2" xfId="5885"/>
    <cellStyle name="Output 3 3 2 2 2 3 2 2" xfId="12725"/>
    <cellStyle name="Output 3 3 2 2 2 3 3" xfId="9305"/>
    <cellStyle name="Output 3 3 2 2 2 4" xfId="3605"/>
    <cellStyle name="Output 3 3 2 2 2 4 2" xfId="7025"/>
    <cellStyle name="Output 3 3 2 2 2 4 2 2" xfId="13865"/>
    <cellStyle name="Output 3 3 2 2 2 4 3" xfId="10445"/>
    <cellStyle name="Output 3 3 2 2 2 5" xfId="4745"/>
    <cellStyle name="Output 3 3 2 2 2 5 2" xfId="11585"/>
    <cellStyle name="Output 3 3 2 2 2 6" xfId="8165"/>
    <cellStyle name="Output 3 3 2 2 2 7" xfId="61397"/>
    <cellStyle name="Output 3 3 2 2 3" xfId="38524"/>
    <cellStyle name="Output 3 3 2 2 4" xfId="57861"/>
    <cellStyle name="Output 3 3 2 2 5" xfId="57862"/>
    <cellStyle name="Output 3 3 2 2 6" xfId="57863"/>
    <cellStyle name="Output 3 3 2 2 7" xfId="61308"/>
    <cellStyle name="Output 3 3 2 3" xfId="1277"/>
    <cellStyle name="Output 3 3 2 3 2" xfId="989"/>
    <cellStyle name="Output 3 3 2 3 2 2" xfId="2379"/>
    <cellStyle name="Output 3 3 2 3 2 2 2" xfId="5799"/>
    <cellStyle name="Output 3 3 2 3 2 2 2 2" xfId="12639"/>
    <cellStyle name="Output 3 3 2 3 2 2 3" xfId="9219"/>
    <cellStyle name="Output 3 3 2 3 2 3" xfId="3519"/>
    <cellStyle name="Output 3 3 2 3 2 3 2" xfId="6939"/>
    <cellStyle name="Output 3 3 2 3 2 3 2 2" xfId="13779"/>
    <cellStyle name="Output 3 3 2 3 2 3 3" xfId="10359"/>
    <cellStyle name="Output 3 3 2 3 2 4" xfId="4659"/>
    <cellStyle name="Output 3 3 2 3 2 4 2" xfId="11499"/>
    <cellStyle name="Output 3 3 2 3 2 5" xfId="8079"/>
    <cellStyle name="Output 3 3 2 3 3" xfId="2097"/>
    <cellStyle name="Output 3 3 2 3 3 2" xfId="5517"/>
    <cellStyle name="Output 3 3 2 3 3 2 2" xfId="12357"/>
    <cellStyle name="Output 3 3 2 3 3 3" xfId="8937"/>
    <cellStyle name="Output 3 3 2 3 4" xfId="3237"/>
    <cellStyle name="Output 3 3 2 3 4 2" xfId="6657"/>
    <cellStyle name="Output 3 3 2 3 4 2 2" xfId="13497"/>
    <cellStyle name="Output 3 3 2 3 4 3" xfId="10077"/>
    <cellStyle name="Output 3 3 2 3 5" xfId="4377"/>
    <cellStyle name="Output 3 3 2 3 5 2" xfId="11217"/>
    <cellStyle name="Output 3 3 2 3 6" xfId="7797"/>
    <cellStyle name="Output 3 3 2 3 7" xfId="61433"/>
    <cellStyle name="Output 3 3 2 4" xfId="38287"/>
    <cellStyle name="Output 3 3 2 5" xfId="57864"/>
    <cellStyle name="Output 3 3 2 6" xfId="57865"/>
    <cellStyle name="Output 3 3 2 7" xfId="57866"/>
    <cellStyle name="Output 3 3 2 8" xfId="60953"/>
    <cellStyle name="Output 3 3 3" xfId="592"/>
    <cellStyle name="Output 3 3 3 2" xfId="1579"/>
    <cellStyle name="Output 3 3 3 2 2" xfId="821"/>
    <cellStyle name="Output 3 3 3 2 2 2" xfId="2436"/>
    <cellStyle name="Output 3 3 3 2 2 2 2" xfId="5856"/>
    <cellStyle name="Output 3 3 3 2 2 2 2 2" xfId="12696"/>
    <cellStyle name="Output 3 3 3 2 2 2 3" xfId="9276"/>
    <cellStyle name="Output 3 3 3 2 2 3" xfId="3576"/>
    <cellStyle name="Output 3 3 3 2 2 3 2" xfId="6996"/>
    <cellStyle name="Output 3 3 3 2 2 3 2 2" xfId="13836"/>
    <cellStyle name="Output 3 3 3 2 2 3 3" xfId="10416"/>
    <cellStyle name="Output 3 3 3 2 2 4" xfId="4716"/>
    <cellStyle name="Output 3 3 3 2 2 4 2" xfId="11556"/>
    <cellStyle name="Output 3 3 3 2 2 5" xfId="8136"/>
    <cellStyle name="Output 3 3 3 2 3" xfId="2404"/>
    <cellStyle name="Output 3 3 3 2 3 2" xfId="5824"/>
    <cellStyle name="Output 3 3 3 2 3 2 2" xfId="12664"/>
    <cellStyle name="Output 3 3 3 2 3 3" xfId="9244"/>
    <cellStyle name="Output 3 3 3 2 4" xfId="3544"/>
    <cellStyle name="Output 3 3 3 2 4 2" xfId="6964"/>
    <cellStyle name="Output 3 3 3 2 4 2 2" xfId="13804"/>
    <cellStyle name="Output 3 3 3 2 4 3" xfId="10384"/>
    <cellStyle name="Output 3 3 3 2 5" xfId="4684"/>
    <cellStyle name="Output 3 3 3 2 5 2" xfId="11524"/>
    <cellStyle name="Output 3 3 3 2 6" xfId="8104"/>
    <cellStyle name="Output 3 3 3 2 7" xfId="61357"/>
    <cellStyle name="Output 3 3 3 3" xfId="38473"/>
    <cellStyle name="Output 3 3 3 4" xfId="57867"/>
    <cellStyle name="Output 3 3 3 5" xfId="57868"/>
    <cellStyle name="Output 3 3 3 6" xfId="57869"/>
    <cellStyle name="Output 3 3 3 7" xfId="61309"/>
    <cellStyle name="Output 3 3 4" xfId="1153"/>
    <cellStyle name="Output 3 3 4 2" xfId="1746"/>
    <cellStyle name="Output 3 3 4 2 2" xfId="2886"/>
    <cellStyle name="Output 3 3 4 2 2 2" xfId="6306"/>
    <cellStyle name="Output 3 3 4 2 2 2 2" xfId="13146"/>
    <cellStyle name="Output 3 3 4 2 2 3" xfId="9726"/>
    <cellStyle name="Output 3 3 4 2 3" xfId="4026"/>
    <cellStyle name="Output 3 3 4 2 3 2" xfId="7446"/>
    <cellStyle name="Output 3 3 4 2 3 2 2" xfId="14286"/>
    <cellStyle name="Output 3 3 4 2 3 3" xfId="10866"/>
    <cellStyle name="Output 3 3 4 2 4" xfId="5166"/>
    <cellStyle name="Output 3 3 4 2 4 2" xfId="12006"/>
    <cellStyle name="Output 3 3 4 2 5" xfId="8586"/>
    <cellStyle name="Output 3 3 4 3" xfId="1972"/>
    <cellStyle name="Output 3 3 4 3 2" xfId="5392"/>
    <cellStyle name="Output 3 3 4 3 2 2" xfId="12232"/>
    <cellStyle name="Output 3 3 4 3 3" xfId="8812"/>
    <cellStyle name="Output 3 3 4 4" xfId="3112"/>
    <cellStyle name="Output 3 3 4 4 2" xfId="6532"/>
    <cellStyle name="Output 3 3 4 4 2 2" xfId="13372"/>
    <cellStyle name="Output 3 3 4 4 3" xfId="9952"/>
    <cellStyle name="Output 3 3 4 5" xfId="4252"/>
    <cellStyle name="Output 3 3 4 5 2" xfId="11092"/>
    <cellStyle name="Output 3 3 4 6" xfId="7672"/>
    <cellStyle name="Output 3 3 4 7" xfId="61850"/>
    <cellStyle name="Output 3 3 5" xfId="38209"/>
    <cellStyle name="Output 3 3 6" xfId="57870"/>
    <cellStyle name="Output 3 3 7" xfId="57871"/>
    <cellStyle name="Output 3 3 8" xfId="60829"/>
    <cellStyle name="Output 3 4" xfId="310"/>
    <cellStyle name="Output 3 4 2" xfId="415"/>
    <cellStyle name="Output 3 4 2 2" xfId="1420"/>
    <cellStyle name="Output 3 4 2 2 2" xfId="900"/>
    <cellStyle name="Output 3 4 2 2 2 2" xfId="2649"/>
    <cellStyle name="Output 3 4 2 2 2 2 2" xfId="6069"/>
    <cellStyle name="Output 3 4 2 2 2 2 2 2" xfId="12909"/>
    <cellStyle name="Output 3 4 2 2 2 2 3" xfId="9489"/>
    <cellStyle name="Output 3 4 2 2 2 3" xfId="3789"/>
    <cellStyle name="Output 3 4 2 2 2 3 2" xfId="7209"/>
    <cellStyle name="Output 3 4 2 2 2 3 2 2" xfId="14049"/>
    <cellStyle name="Output 3 4 2 2 2 3 3" xfId="10629"/>
    <cellStyle name="Output 3 4 2 2 2 4" xfId="4929"/>
    <cellStyle name="Output 3 4 2 2 2 4 2" xfId="11769"/>
    <cellStyle name="Output 3 4 2 2 2 5" xfId="8349"/>
    <cellStyle name="Output 3 4 2 2 3" xfId="2241"/>
    <cellStyle name="Output 3 4 2 2 3 2" xfId="5661"/>
    <cellStyle name="Output 3 4 2 2 3 2 2" xfId="12501"/>
    <cellStyle name="Output 3 4 2 2 3 3" xfId="9081"/>
    <cellStyle name="Output 3 4 2 2 4" xfId="3381"/>
    <cellStyle name="Output 3 4 2 2 4 2" xfId="6801"/>
    <cellStyle name="Output 3 4 2 2 4 2 2" xfId="13641"/>
    <cellStyle name="Output 3 4 2 2 4 3" xfId="10221"/>
    <cellStyle name="Output 3 4 2 2 5" xfId="4521"/>
    <cellStyle name="Output 3 4 2 2 5 2" xfId="11361"/>
    <cellStyle name="Output 3 4 2 2 6" xfId="7941"/>
    <cellStyle name="Output 3 4 2 2 7" xfId="61356"/>
    <cellStyle name="Output 3 4 2 3" xfId="38389"/>
    <cellStyle name="Output 3 4 2 4" xfId="57872"/>
    <cellStyle name="Output 3 4 2 5" xfId="57873"/>
    <cellStyle name="Output 3 4 2 6" xfId="57874"/>
    <cellStyle name="Output 3 4 2 7" xfId="61096"/>
    <cellStyle name="Output 3 4 3" xfId="1316"/>
    <cellStyle name="Output 3 4 3 2" xfId="1773"/>
    <cellStyle name="Output 3 4 3 2 2" xfId="2913"/>
    <cellStyle name="Output 3 4 3 2 2 2" xfId="6333"/>
    <cellStyle name="Output 3 4 3 2 2 2 2" xfId="13173"/>
    <cellStyle name="Output 3 4 3 2 2 3" xfId="9753"/>
    <cellStyle name="Output 3 4 3 2 3" xfId="4053"/>
    <cellStyle name="Output 3 4 3 2 3 2" xfId="7473"/>
    <cellStyle name="Output 3 4 3 2 3 2 2" xfId="14313"/>
    <cellStyle name="Output 3 4 3 2 3 3" xfId="10893"/>
    <cellStyle name="Output 3 4 3 2 4" xfId="5193"/>
    <cellStyle name="Output 3 4 3 2 4 2" xfId="12033"/>
    <cellStyle name="Output 3 4 3 2 5" xfId="8613"/>
    <cellStyle name="Output 3 4 3 3" xfId="2136"/>
    <cellStyle name="Output 3 4 3 3 2" xfId="5556"/>
    <cellStyle name="Output 3 4 3 3 2 2" xfId="12396"/>
    <cellStyle name="Output 3 4 3 3 3" xfId="8976"/>
    <cellStyle name="Output 3 4 3 4" xfId="3276"/>
    <cellStyle name="Output 3 4 3 4 2" xfId="6696"/>
    <cellStyle name="Output 3 4 3 4 2 2" xfId="13536"/>
    <cellStyle name="Output 3 4 3 4 3" xfId="10116"/>
    <cellStyle name="Output 3 4 3 5" xfId="4416"/>
    <cellStyle name="Output 3 4 3 5 2" xfId="11256"/>
    <cellStyle name="Output 3 4 3 6" xfId="7836"/>
    <cellStyle name="Output 3 4 3 7" xfId="61842"/>
    <cellStyle name="Output 3 4 4" xfId="38318"/>
    <cellStyle name="Output 3 4 5" xfId="57875"/>
    <cellStyle name="Output 3 4 6" xfId="57876"/>
    <cellStyle name="Output 3 4 7" xfId="60992"/>
    <cellStyle name="Output 3 5" xfId="209"/>
    <cellStyle name="Output 3 5 2" xfId="365"/>
    <cellStyle name="Output 3 5 2 2" xfId="1370"/>
    <cellStyle name="Output 3 5 2 2 2" xfId="923"/>
    <cellStyle name="Output 3 5 2 2 2 2" xfId="2602"/>
    <cellStyle name="Output 3 5 2 2 2 2 2" xfId="6022"/>
    <cellStyle name="Output 3 5 2 2 2 2 2 2" xfId="12862"/>
    <cellStyle name="Output 3 5 2 2 2 2 3" xfId="9442"/>
    <cellStyle name="Output 3 5 2 2 2 3" xfId="3742"/>
    <cellStyle name="Output 3 5 2 2 2 3 2" xfId="7162"/>
    <cellStyle name="Output 3 5 2 2 2 3 2 2" xfId="14002"/>
    <cellStyle name="Output 3 5 2 2 2 3 3" xfId="10582"/>
    <cellStyle name="Output 3 5 2 2 2 4" xfId="4882"/>
    <cellStyle name="Output 3 5 2 2 2 4 2" xfId="11722"/>
    <cellStyle name="Output 3 5 2 2 2 5" xfId="8302"/>
    <cellStyle name="Output 3 5 2 2 3" xfId="2191"/>
    <cellStyle name="Output 3 5 2 2 3 2" xfId="5611"/>
    <cellStyle name="Output 3 5 2 2 3 2 2" xfId="12451"/>
    <cellStyle name="Output 3 5 2 2 3 3" xfId="9031"/>
    <cellStyle name="Output 3 5 2 2 4" xfId="3331"/>
    <cellStyle name="Output 3 5 2 2 4 2" xfId="6751"/>
    <cellStyle name="Output 3 5 2 2 4 2 2" xfId="13591"/>
    <cellStyle name="Output 3 5 2 2 4 3" xfId="10171"/>
    <cellStyle name="Output 3 5 2 2 5" xfId="4471"/>
    <cellStyle name="Output 3 5 2 2 5 2" xfId="11311"/>
    <cellStyle name="Output 3 5 2 2 6" xfId="7891"/>
    <cellStyle name="Output 3 5 2 2 7" xfId="61432"/>
    <cellStyle name="Output 3 5 2 3" xfId="38350"/>
    <cellStyle name="Output 3 5 2 4" xfId="57877"/>
    <cellStyle name="Output 3 5 2 5" xfId="57878"/>
    <cellStyle name="Output 3 5 2 6" xfId="57879"/>
    <cellStyle name="Output 3 5 2 7" xfId="61046"/>
    <cellStyle name="Output 3 5 3" xfId="1217"/>
    <cellStyle name="Output 3 5 3 2" xfId="1674"/>
    <cellStyle name="Output 3 5 3 2 2" xfId="2814"/>
    <cellStyle name="Output 3 5 3 2 2 2" xfId="6234"/>
    <cellStyle name="Output 3 5 3 2 2 2 2" xfId="13074"/>
    <cellStyle name="Output 3 5 3 2 2 3" xfId="9654"/>
    <cellStyle name="Output 3 5 3 2 3" xfId="3954"/>
    <cellStyle name="Output 3 5 3 2 3 2" xfId="7374"/>
    <cellStyle name="Output 3 5 3 2 3 2 2" xfId="14214"/>
    <cellStyle name="Output 3 5 3 2 3 3" xfId="10794"/>
    <cellStyle name="Output 3 5 3 2 4" xfId="5094"/>
    <cellStyle name="Output 3 5 3 2 4 2" xfId="11934"/>
    <cellStyle name="Output 3 5 3 2 5" xfId="8514"/>
    <cellStyle name="Output 3 5 3 3" xfId="2036"/>
    <cellStyle name="Output 3 5 3 3 2" xfId="5456"/>
    <cellStyle name="Output 3 5 3 3 2 2" xfId="12296"/>
    <cellStyle name="Output 3 5 3 3 3" xfId="8876"/>
    <cellStyle name="Output 3 5 3 4" xfId="3176"/>
    <cellStyle name="Output 3 5 3 4 2" xfId="6596"/>
    <cellStyle name="Output 3 5 3 4 2 2" xfId="13436"/>
    <cellStyle name="Output 3 5 3 4 3" xfId="10016"/>
    <cellStyle name="Output 3 5 3 5" xfId="4316"/>
    <cellStyle name="Output 3 5 3 5 2" xfId="11156"/>
    <cellStyle name="Output 3 5 3 6" xfId="7736"/>
    <cellStyle name="Output 3 5 3 7" xfId="61827"/>
    <cellStyle name="Output 3 5 4" xfId="38251"/>
    <cellStyle name="Output 3 5 5" xfId="57880"/>
    <cellStyle name="Output 3 5 6" xfId="57881"/>
    <cellStyle name="Output 3 5 7" xfId="60893"/>
    <cellStyle name="Output 3 6" xfId="443"/>
    <cellStyle name="Output 3 6 2" xfId="424"/>
    <cellStyle name="Output 3 6 2 2" xfId="1429"/>
    <cellStyle name="Output 3 6 2 2 2" xfId="1798"/>
    <cellStyle name="Output 3 6 2 2 2 2" xfId="2938"/>
    <cellStyle name="Output 3 6 2 2 2 2 2" xfId="6358"/>
    <cellStyle name="Output 3 6 2 2 2 2 2 2" xfId="13198"/>
    <cellStyle name="Output 3 6 2 2 2 2 3" xfId="9778"/>
    <cellStyle name="Output 3 6 2 2 2 3" xfId="4078"/>
    <cellStyle name="Output 3 6 2 2 2 3 2" xfId="7498"/>
    <cellStyle name="Output 3 6 2 2 2 3 2 2" xfId="14338"/>
    <cellStyle name="Output 3 6 2 2 2 3 3" xfId="10918"/>
    <cellStyle name="Output 3 6 2 2 2 4" xfId="5218"/>
    <cellStyle name="Output 3 6 2 2 2 4 2" xfId="12058"/>
    <cellStyle name="Output 3 6 2 2 2 5" xfId="8638"/>
    <cellStyle name="Output 3 6 2 2 3" xfId="2250"/>
    <cellStyle name="Output 3 6 2 2 3 2" xfId="5670"/>
    <cellStyle name="Output 3 6 2 2 3 2 2" xfId="12510"/>
    <cellStyle name="Output 3 6 2 2 3 3" xfId="9090"/>
    <cellStyle name="Output 3 6 2 2 4" xfId="3390"/>
    <cellStyle name="Output 3 6 2 2 4 2" xfId="6810"/>
    <cellStyle name="Output 3 6 2 2 4 2 2" xfId="13650"/>
    <cellStyle name="Output 3 6 2 2 4 3" xfId="10230"/>
    <cellStyle name="Output 3 6 2 2 5" xfId="4530"/>
    <cellStyle name="Output 3 6 2 2 5 2" xfId="11370"/>
    <cellStyle name="Output 3 6 2 2 6" xfId="7950"/>
    <cellStyle name="Output 3 6 2 2 7" xfId="61355"/>
    <cellStyle name="Output 3 6 2 3" xfId="38391"/>
    <cellStyle name="Output 3 6 2 4" xfId="57882"/>
    <cellStyle name="Output 3 6 2 5" xfId="57883"/>
    <cellStyle name="Output 3 6 2 6" xfId="57884"/>
    <cellStyle name="Output 3 6 2 7" xfId="61105"/>
    <cellStyle name="Output 3 6 3" xfId="1447"/>
    <cellStyle name="Output 3 6 3 2" xfId="886"/>
    <cellStyle name="Output 3 6 3 2 2" xfId="2565"/>
    <cellStyle name="Output 3 6 3 2 2 2" xfId="5985"/>
    <cellStyle name="Output 3 6 3 2 2 2 2" xfId="12825"/>
    <cellStyle name="Output 3 6 3 2 2 3" xfId="9405"/>
    <cellStyle name="Output 3 6 3 2 3" xfId="3705"/>
    <cellStyle name="Output 3 6 3 2 3 2" xfId="7125"/>
    <cellStyle name="Output 3 6 3 2 3 2 2" xfId="13965"/>
    <cellStyle name="Output 3 6 3 2 3 3" xfId="10545"/>
    <cellStyle name="Output 3 6 3 2 4" xfId="4845"/>
    <cellStyle name="Output 3 6 3 2 4 2" xfId="11685"/>
    <cellStyle name="Output 3 6 3 2 5" xfId="8265"/>
    <cellStyle name="Output 3 6 3 3" xfId="2268"/>
    <cellStyle name="Output 3 6 3 3 2" xfId="5688"/>
    <cellStyle name="Output 3 6 3 3 2 2" xfId="12528"/>
    <cellStyle name="Output 3 6 3 3 3" xfId="9108"/>
    <cellStyle name="Output 3 6 3 4" xfId="3408"/>
    <cellStyle name="Output 3 6 3 4 2" xfId="6828"/>
    <cellStyle name="Output 3 6 3 4 2 2" xfId="13668"/>
    <cellStyle name="Output 3 6 3 4 3" xfId="10248"/>
    <cellStyle name="Output 3 6 3 5" xfId="4548"/>
    <cellStyle name="Output 3 6 3 5 2" xfId="11388"/>
    <cellStyle name="Output 3 6 3 6" xfId="7968"/>
    <cellStyle name="Output 3 6 3 7" xfId="61396"/>
    <cellStyle name="Output 3 6 4" xfId="38406"/>
    <cellStyle name="Output 3 6 5" xfId="57885"/>
    <cellStyle name="Output 3 6 6" xfId="57886"/>
    <cellStyle name="Output 3 6 7" xfId="57887"/>
    <cellStyle name="Output 3 6 8" xfId="61123"/>
    <cellStyle name="Output 3 7" xfId="412"/>
    <cellStyle name="Output 3 7 2" xfId="398"/>
    <cellStyle name="Output 3 7 2 2" xfId="1403"/>
    <cellStyle name="Output 3 7 2 2 2" xfId="1821"/>
    <cellStyle name="Output 3 7 2 2 2 2" xfId="2961"/>
    <cellStyle name="Output 3 7 2 2 2 2 2" xfId="6381"/>
    <cellStyle name="Output 3 7 2 2 2 2 2 2" xfId="13221"/>
    <cellStyle name="Output 3 7 2 2 2 2 3" xfId="9801"/>
    <cellStyle name="Output 3 7 2 2 2 3" xfId="4101"/>
    <cellStyle name="Output 3 7 2 2 2 3 2" xfId="7521"/>
    <cellStyle name="Output 3 7 2 2 2 3 2 2" xfId="14361"/>
    <cellStyle name="Output 3 7 2 2 2 3 3" xfId="10941"/>
    <cellStyle name="Output 3 7 2 2 2 4" xfId="5241"/>
    <cellStyle name="Output 3 7 2 2 2 4 2" xfId="12081"/>
    <cellStyle name="Output 3 7 2 2 2 5" xfId="8661"/>
    <cellStyle name="Output 3 7 2 2 3" xfId="2224"/>
    <cellStyle name="Output 3 7 2 2 3 2" xfId="5644"/>
    <cellStyle name="Output 3 7 2 2 3 2 2" xfId="12484"/>
    <cellStyle name="Output 3 7 2 2 3 3" xfId="9064"/>
    <cellStyle name="Output 3 7 2 2 4" xfId="3364"/>
    <cellStyle name="Output 3 7 2 2 4 2" xfId="6784"/>
    <cellStyle name="Output 3 7 2 2 4 2 2" xfId="13624"/>
    <cellStyle name="Output 3 7 2 2 4 3" xfId="10204"/>
    <cellStyle name="Output 3 7 2 2 5" xfId="4504"/>
    <cellStyle name="Output 3 7 2 2 5 2" xfId="11344"/>
    <cellStyle name="Output 3 7 2 2 6" xfId="7924"/>
    <cellStyle name="Output 3 7 2 2 7" xfId="61395"/>
    <cellStyle name="Output 3 7 2 3" xfId="38377"/>
    <cellStyle name="Output 3 7 2 4" xfId="57888"/>
    <cellStyle name="Output 3 7 2 5" xfId="57889"/>
    <cellStyle name="Output 3 7 2 6" xfId="57890"/>
    <cellStyle name="Output 3 7 2 7" xfId="61079"/>
    <cellStyle name="Output 3 7 3" xfId="1417"/>
    <cellStyle name="Output 3 7 3 2" xfId="901"/>
    <cellStyle name="Output 3 7 3 2 2" xfId="2581"/>
    <cellStyle name="Output 3 7 3 2 2 2" xfId="6001"/>
    <cellStyle name="Output 3 7 3 2 2 2 2" xfId="12841"/>
    <cellStyle name="Output 3 7 3 2 2 3" xfId="9421"/>
    <cellStyle name="Output 3 7 3 2 3" xfId="3721"/>
    <cellStyle name="Output 3 7 3 2 3 2" xfId="7141"/>
    <cellStyle name="Output 3 7 3 2 3 2 2" xfId="13981"/>
    <cellStyle name="Output 3 7 3 2 3 3" xfId="10561"/>
    <cellStyle name="Output 3 7 3 2 4" xfId="4861"/>
    <cellStyle name="Output 3 7 3 2 4 2" xfId="11701"/>
    <cellStyle name="Output 3 7 3 2 5" xfId="8281"/>
    <cellStyle name="Output 3 7 3 3" xfId="2238"/>
    <cellStyle name="Output 3 7 3 3 2" xfId="5658"/>
    <cellStyle name="Output 3 7 3 3 2 2" xfId="12498"/>
    <cellStyle name="Output 3 7 3 3 3" xfId="9078"/>
    <cellStyle name="Output 3 7 3 4" xfId="3378"/>
    <cellStyle name="Output 3 7 3 4 2" xfId="6798"/>
    <cellStyle name="Output 3 7 3 4 2 2" xfId="13638"/>
    <cellStyle name="Output 3 7 3 4 3" xfId="10218"/>
    <cellStyle name="Output 3 7 3 5" xfId="4518"/>
    <cellStyle name="Output 3 7 3 5 2" xfId="11358"/>
    <cellStyle name="Output 3 7 3 6" xfId="7938"/>
    <cellStyle name="Output 3 7 3 7" xfId="61431"/>
    <cellStyle name="Output 3 7 4" xfId="38387"/>
    <cellStyle name="Output 3 7 5" xfId="57891"/>
    <cellStyle name="Output 3 7 6" xfId="57892"/>
    <cellStyle name="Output 3 7 7" xfId="57893"/>
    <cellStyle name="Output 3 7 8" xfId="61093"/>
    <cellStyle name="Output 3 8" xfId="1102"/>
    <cellStyle name="Output 3 8 2" xfId="746"/>
    <cellStyle name="Output 3 8 2 2" xfId="2617"/>
    <cellStyle name="Output 3 8 2 2 2" xfId="6037"/>
    <cellStyle name="Output 3 8 2 2 2 2" xfId="12877"/>
    <cellStyle name="Output 3 8 2 2 3" xfId="9457"/>
    <cellStyle name="Output 3 8 2 3" xfId="3757"/>
    <cellStyle name="Output 3 8 2 3 2" xfId="7177"/>
    <cellStyle name="Output 3 8 2 3 2 2" xfId="14017"/>
    <cellStyle name="Output 3 8 2 3 3" xfId="10597"/>
    <cellStyle name="Output 3 8 2 4" xfId="4897"/>
    <cellStyle name="Output 3 8 2 4 2" xfId="11737"/>
    <cellStyle name="Output 3 8 2 5" xfId="8317"/>
    <cellStyle name="Output 3 8 3" xfId="1909"/>
    <cellStyle name="Output 3 8 3 2" xfId="5329"/>
    <cellStyle name="Output 3 8 3 2 2" xfId="12169"/>
    <cellStyle name="Output 3 8 3 3" xfId="8749"/>
    <cellStyle name="Output 3 8 4" xfId="3049"/>
    <cellStyle name="Output 3 8 4 2" xfId="6469"/>
    <cellStyle name="Output 3 8 4 2 2" xfId="13309"/>
    <cellStyle name="Output 3 8 4 3" xfId="9889"/>
    <cellStyle name="Output 3 8 5" xfId="4189"/>
    <cellStyle name="Output 3 8 5 2" xfId="11029"/>
    <cellStyle name="Output 3 8 6" xfId="7609"/>
    <cellStyle name="Output 3 9" xfId="38188"/>
    <cellStyle name="Output 4" xfId="101"/>
    <cellStyle name="Output 4 10" xfId="60793"/>
    <cellStyle name="Output 4 2" xfId="160"/>
    <cellStyle name="Output 4 2 2" xfId="286"/>
    <cellStyle name="Output 4 2 2 2" xfId="695"/>
    <cellStyle name="Output 4 2 2 2 2" xfId="1646"/>
    <cellStyle name="Output 4 2 2 2 2 2" xfId="761"/>
    <cellStyle name="Output 4 2 2 2 2 2 2" xfId="2594"/>
    <cellStyle name="Output 4 2 2 2 2 2 2 2" xfId="6014"/>
    <cellStyle name="Output 4 2 2 2 2 2 2 2 2" xfId="12854"/>
    <cellStyle name="Output 4 2 2 2 2 2 2 3" xfId="9434"/>
    <cellStyle name="Output 4 2 2 2 2 2 3" xfId="3734"/>
    <cellStyle name="Output 4 2 2 2 2 2 3 2" xfId="7154"/>
    <cellStyle name="Output 4 2 2 2 2 2 3 2 2" xfId="13994"/>
    <cellStyle name="Output 4 2 2 2 2 2 3 3" xfId="10574"/>
    <cellStyle name="Output 4 2 2 2 2 2 4" xfId="4874"/>
    <cellStyle name="Output 4 2 2 2 2 2 4 2" xfId="11714"/>
    <cellStyle name="Output 4 2 2 2 2 2 5" xfId="8294"/>
    <cellStyle name="Output 4 2 2 2 2 3" xfId="2480"/>
    <cellStyle name="Output 4 2 2 2 2 3 2" xfId="5900"/>
    <cellStyle name="Output 4 2 2 2 2 3 2 2" xfId="12740"/>
    <cellStyle name="Output 4 2 2 2 2 3 3" xfId="9320"/>
    <cellStyle name="Output 4 2 2 2 2 4" xfId="3620"/>
    <cellStyle name="Output 4 2 2 2 2 4 2" xfId="7040"/>
    <cellStyle name="Output 4 2 2 2 2 4 2 2" xfId="13880"/>
    <cellStyle name="Output 4 2 2 2 2 4 3" xfId="10460"/>
    <cellStyle name="Output 4 2 2 2 2 5" xfId="4760"/>
    <cellStyle name="Output 4 2 2 2 2 5 2" xfId="11600"/>
    <cellStyle name="Output 4 2 2 2 2 6" xfId="8180"/>
    <cellStyle name="Output 4 2 2 2 2 7" xfId="61430"/>
    <cellStyle name="Output 4 2 2 2 3" xfId="38539"/>
    <cellStyle name="Output 4 2 2 2 4" xfId="57894"/>
    <cellStyle name="Output 4 2 2 2 5" xfId="57895"/>
    <cellStyle name="Output 4 2 2 2 6" xfId="57896"/>
    <cellStyle name="Output 4 2 2 2 7" xfId="61310"/>
    <cellStyle name="Output 4 2 2 3" xfId="1292"/>
    <cellStyle name="Output 4 2 2 3 2" xfId="982"/>
    <cellStyle name="Output 4 2 2 3 2 2" xfId="2629"/>
    <cellStyle name="Output 4 2 2 3 2 2 2" xfId="6049"/>
    <cellStyle name="Output 4 2 2 3 2 2 2 2" xfId="12889"/>
    <cellStyle name="Output 4 2 2 3 2 2 3" xfId="9469"/>
    <cellStyle name="Output 4 2 2 3 2 3" xfId="3769"/>
    <cellStyle name="Output 4 2 2 3 2 3 2" xfId="7189"/>
    <cellStyle name="Output 4 2 2 3 2 3 2 2" xfId="14029"/>
    <cellStyle name="Output 4 2 2 3 2 3 3" xfId="10609"/>
    <cellStyle name="Output 4 2 2 3 2 4" xfId="4909"/>
    <cellStyle name="Output 4 2 2 3 2 4 2" xfId="11749"/>
    <cellStyle name="Output 4 2 2 3 2 5" xfId="8329"/>
    <cellStyle name="Output 4 2 2 3 3" xfId="2112"/>
    <cellStyle name="Output 4 2 2 3 3 2" xfId="5532"/>
    <cellStyle name="Output 4 2 2 3 3 2 2" xfId="12372"/>
    <cellStyle name="Output 4 2 2 3 3 3" xfId="8952"/>
    <cellStyle name="Output 4 2 2 3 4" xfId="3252"/>
    <cellStyle name="Output 4 2 2 3 4 2" xfId="6672"/>
    <cellStyle name="Output 4 2 2 3 4 2 2" xfId="13512"/>
    <cellStyle name="Output 4 2 2 3 4 3" xfId="10092"/>
    <cellStyle name="Output 4 2 2 3 5" xfId="4392"/>
    <cellStyle name="Output 4 2 2 3 5 2" xfId="11232"/>
    <cellStyle name="Output 4 2 2 3 6" xfId="7812"/>
    <cellStyle name="Output 4 2 2 3 7" xfId="61354"/>
    <cellStyle name="Output 4 2 2 4" xfId="38302"/>
    <cellStyle name="Output 4 2 2 5" xfId="57897"/>
    <cellStyle name="Output 4 2 2 6" xfId="57898"/>
    <cellStyle name="Output 4 2 2 7" xfId="57899"/>
    <cellStyle name="Output 4 2 2 8" xfId="60968"/>
    <cellStyle name="Output 4 2 3" xfId="607"/>
    <cellStyle name="Output 4 2 3 2" xfId="1594"/>
    <cellStyle name="Output 4 2 3 2 2" xfId="1659"/>
    <cellStyle name="Output 4 2 3 2 2 2" xfId="2799"/>
    <cellStyle name="Output 4 2 3 2 2 2 2" xfId="6219"/>
    <cellStyle name="Output 4 2 3 2 2 2 2 2" xfId="13059"/>
    <cellStyle name="Output 4 2 3 2 2 2 3" xfId="9639"/>
    <cellStyle name="Output 4 2 3 2 2 3" xfId="3939"/>
    <cellStyle name="Output 4 2 3 2 2 3 2" xfId="7359"/>
    <cellStyle name="Output 4 2 3 2 2 3 2 2" xfId="14199"/>
    <cellStyle name="Output 4 2 3 2 2 3 3" xfId="10779"/>
    <cellStyle name="Output 4 2 3 2 2 4" xfId="5079"/>
    <cellStyle name="Output 4 2 3 2 2 4 2" xfId="11919"/>
    <cellStyle name="Output 4 2 3 2 2 5" xfId="8499"/>
    <cellStyle name="Output 4 2 3 2 3" xfId="2419"/>
    <cellStyle name="Output 4 2 3 2 3 2" xfId="5839"/>
    <cellStyle name="Output 4 2 3 2 3 2 2" xfId="12679"/>
    <cellStyle name="Output 4 2 3 2 3 3" xfId="9259"/>
    <cellStyle name="Output 4 2 3 2 4" xfId="3559"/>
    <cellStyle name="Output 4 2 3 2 4 2" xfId="6979"/>
    <cellStyle name="Output 4 2 3 2 4 2 2" xfId="13819"/>
    <cellStyle name="Output 4 2 3 2 4 3" xfId="10399"/>
    <cellStyle name="Output 4 2 3 2 5" xfId="4699"/>
    <cellStyle name="Output 4 2 3 2 5 2" xfId="11539"/>
    <cellStyle name="Output 4 2 3 2 6" xfId="8119"/>
    <cellStyle name="Output 4 2 3 2 7" xfId="61394"/>
    <cellStyle name="Output 4 2 3 3" xfId="38488"/>
    <cellStyle name="Output 4 2 3 4" xfId="57900"/>
    <cellStyle name="Output 4 2 3 5" xfId="57901"/>
    <cellStyle name="Output 4 2 3 6" xfId="57902"/>
    <cellStyle name="Output 4 2 3 7" xfId="61311"/>
    <cellStyle name="Output 4 2 4" xfId="1168"/>
    <cellStyle name="Output 4 2 4 2" xfId="1716"/>
    <cellStyle name="Output 4 2 4 2 2" xfId="2856"/>
    <cellStyle name="Output 4 2 4 2 2 2" xfId="6276"/>
    <cellStyle name="Output 4 2 4 2 2 2 2" xfId="13116"/>
    <cellStyle name="Output 4 2 4 2 2 3" xfId="9696"/>
    <cellStyle name="Output 4 2 4 2 3" xfId="3996"/>
    <cellStyle name="Output 4 2 4 2 3 2" xfId="7416"/>
    <cellStyle name="Output 4 2 4 2 3 2 2" xfId="14256"/>
    <cellStyle name="Output 4 2 4 2 3 3" xfId="10836"/>
    <cellStyle name="Output 4 2 4 2 4" xfId="5136"/>
    <cellStyle name="Output 4 2 4 2 4 2" xfId="11976"/>
    <cellStyle name="Output 4 2 4 2 5" xfId="8556"/>
    <cellStyle name="Output 4 2 4 3" xfId="1987"/>
    <cellStyle name="Output 4 2 4 3 2" xfId="5407"/>
    <cellStyle name="Output 4 2 4 3 2 2" xfId="12247"/>
    <cellStyle name="Output 4 2 4 3 3" xfId="8827"/>
    <cellStyle name="Output 4 2 4 4" xfId="3127"/>
    <cellStyle name="Output 4 2 4 4 2" xfId="6547"/>
    <cellStyle name="Output 4 2 4 4 2 2" xfId="13387"/>
    <cellStyle name="Output 4 2 4 4 3" xfId="9967"/>
    <cellStyle name="Output 4 2 4 5" xfId="4267"/>
    <cellStyle name="Output 4 2 4 5 2" xfId="11107"/>
    <cellStyle name="Output 4 2 4 6" xfId="7687"/>
    <cellStyle name="Output 4 2 4 7" xfId="61854"/>
    <cellStyle name="Output 4 2 5" xfId="38224"/>
    <cellStyle name="Output 4 2 6" xfId="57903"/>
    <cellStyle name="Output 4 2 7" xfId="57904"/>
    <cellStyle name="Output 4 2 8" xfId="60844"/>
    <cellStyle name="Output 4 3" xfId="326"/>
    <cellStyle name="Output 4 3 2" xfId="402"/>
    <cellStyle name="Output 4 3 2 2" xfId="1407"/>
    <cellStyle name="Output 4 3 2 2 2" xfId="1724"/>
    <cellStyle name="Output 4 3 2 2 2 2" xfId="2864"/>
    <cellStyle name="Output 4 3 2 2 2 2 2" xfId="6284"/>
    <cellStyle name="Output 4 3 2 2 2 2 2 2" xfId="13124"/>
    <cellStyle name="Output 4 3 2 2 2 2 3" xfId="9704"/>
    <cellStyle name="Output 4 3 2 2 2 3" xfId="4004"/>
    <cellStyle name="Output 4 3 2 2 2 3 2" xfId="7424"/>
    <cellStyle name="Output 4 3 2 2 2 3 2 2" xfId="14264"/>
    <cellStyle name="Output 4 3 2 2 2 3 3" xfId="10844"/>
    <cellStyle name="Output 4 3 2 2 2 4" xfId="5144"/>
    <cellStyle name="Output 4 3 2 2 2 4 2" xfId="11984"/>
    <cellStyle name="Output 4 3 2 2 2 5" xfId="8564"/>
    <cellStyle name="Output 4 3 2 2 3" xfId="2228"/>
    <cellStyle name="Output 4 3 2 2 3 2" xfId="5648"/>
    <cellStyle name="Output 4 3 2 2 3 2 2" xfId="12488"/>
    <cellStyle name="Output 4 3 2 2 3 3" xfId="9068"/>
    <cellStyle name="Output 4 3 2 2 4" xfId="3368"/>
    <cellStyle name="Output 4 3 2 2 4 2" xfId="6788"/>
    <cellStyle name="Output 4 3 2 2 4 2 2" xfId="13628"/>
    <cellStyle name="Output 4 3 2 2 4 3" xfId="10208"/>
    <cellStyle name="Output 4 3 2 2 5" xfId="4508"/>
    <cellStyle name="Output 4 3 2 2 5 2" xfId="11348"/>
    <cellStyle name="Output 4 3 2 2 6" xfId="7928"/>
    <cellStyle name="Output 4 3 2 2 7" xfId="61353"/>
    <cellStyle name="Output 4 3 2 3" xfId="38380"/>
    <cellStyle name="Output 4 3 2 4" xfId="57905"/>
    <cellStyle name="Output 4 3 2 5" xfId="57906"/>
    <cellStyle name="Output 4 3 2 6" xfId="57907"/>
    <cellStyle name="Output 4 3 2 7" xfId="61083"/>
    <cellStyle name="Output 4 3 3" xfId="1331"/>
    <cellStyle name="Output 4 3 3 2" xfId="961"/>
    <cellStyle name="Output 4 3 3 2 2" xfId="2688"/>
    <cellStyle name="Output 4 3 3 2 2 2" xfId="6108"/>
    <cellStyle name="Output 4 3 3 2 2 2 2" xfId="12948"/>
    <cellStyle name="Output 4 3 3 2 2 3" xfId="9528"/>
    <cellStyle name="Output 4 3 3 2 3" xfId="3828"/>
    <cellStyle name="Output 4 3 3 2 3 2" xfId="7248"/>
    <cellStyle name="Output 4 3 3 2 3 2 2" xfId="14088"/>
    <cellStyle name="Output 4 3 3 2 3 3" xfId="10668"/>
    <cellStyle name="Output 4 3 3 2 4" xfId="4968"/>
    <cellStyle name="Output 4 3 3 2 4 2" xfId="11808"/>
    <cellStyle name="Output 4 3 3 2 5" xfId="8388"/>
    <cellStyle name="Output 4 3 3 3" xfId="2152"/>
    <cellStyle name="Output 4 3 3 3 2" xfId="5572"/>
    <cellStyle name="Output 4 3 3 3 2 2" xfId="12412"/>
    <cellStyle name="Output 4 3 3 3 3" xfId="8992"/>
    <cellStyle name="Output 4 3 3 4" xfId="3292"/>
    <cellStyle name="Output 4 3 3 4 2" xfId="6712"/>
    <cellStyle name="Output 4 3 3 4 2 2" xfId="13552"/>
    <cellStyle name="Output 4 3 3 4 3" xfId="10132"/>
    <cellStyle name="Output 4 3 3 5" xfId="4432"/>
    <cellStyle name="Output 4 3 3 5 2" xfId="11272"/>
    <cellStyle name="Output 4 3 3 6" xfId="7852"/>
    <cellStyle name="Output 4 3 3 7" xfId="61845"/>
    <cellStyle name="Output 4 3 4" xfId="38323"/>
    <cellStyle name="Output 4 3 5" xfId="57908"/>
    <cellStyle name="Output 4 3 6" xfId="57909"/>
    <cellStyle name="Output 4 3 7" xfId="61007"/>
    <cellStyle name="Output 4 4" xfId="233"/>
    <cellStyle name="Output 4 4 2" xfId="341"/>
    <cellStyle name="Output 4 4 2 2" xfId="1346"/>
    <cellStyle name="Output 4 4 2 2 2" xfId="946"/>
    <cellStyle name="Output 4 4 2 2 2 2" xfId="2516"/>
    <cellStyle name="Output 4 4 2 2 2 2 2" xfId="5936"/>
    <cellStyle name="Output 4 4 2 2 2 2 2 2" xfId="12776"/>
    <cellStyle name="Output 4 4 2 2 2 2 3" xfId="9356"/>
    <cellStyle name="Output 4 4 2 2 2 3" xfId="3656"/>
    <cellStyle name="Output 4 4 2 2 2 3 2" xfId="7076"/>
    <cellStyle name="Output 4 4 2 2 2 3 2 2" xfId="13916"/>
    <cellStyle name="Output 4 4 2 2 2 3 3" xfId="10496"/>
    <cellStyle name="Output 4 4 2 2 2 4" xfId="4796"/>
    <cellStyle name="Output 4 4 2 2 2 4 2" xfId="11636"/>
    <cellStyle name="Output 4 4 2 2 2 5" xfId="8216"/>
    <cellStyle name="Output 4 4 2 2 3" xfId="2167"/>
    <cellStyle name="Output 4 4 2 2 3 2" xfId="5587"/>
    <cellStyle name="Output 4 4 2 2 3 2 2" xfId="12427"/>
    <cellStyle name="Output 4 4 2 2 3 3" xfId="9007"/>
    <cellStyle name="Output 4 4 2 2 4" xfId="3307"/>
    <cellStyle name="Output 4 4 2 2 4 2" xfId="6727"/>
    <cellStyle name="Output 4 4 2 2 4 2 2" xfId="13567"/>
    <cellStyle name="Output 4 4 2 2 4 3" xfId="10147"/>
    <cellStyle name="Output 4 4 2 2 5" xfId="4447"/>
    <cellStyle name="Output 4 4 2 2 5 2" xfId="11287"/>
    <cellStyle name="Output 4 4 2 2 6" xfId="7867"/>
    <cellStyle name="Output 4 4 2 2 7" xfId="61429"/>
    <cellStyle name="Output 4 4 2 3" xfId="38331"/>
    <cellStyle name="Output 4 4 2 4" xfId="57910"/>
    <cellStyle name="Output 4 4 2 5" xfId="57911"/>
    <cellStyle name="Output 4 4 2 6" xfId="57912"/>
    <cellStyle name="Output 4 4 2 7" xfId="61022"/>
    <cellStyle name="Output 4 4 3" xfId="1240"/>
    <cellStyle name="Output 4 4 3 2" xfId="1008"/>
    <cellStyle name="Output 4 4 3 2 2" xfId="2545"/>
    <cellStyle name="Output 4 4 3 2 2 2" xfId="5965"/>
    <cellStyle name="Output 4 4 3 2 2 2 2" xfId="12805"/>
    <cellStyle name="Output 4 4 3 2 2 3" xfId="9385"/>
    <cellStyle name="Output 4 4 3 2 3" xfId="3685"/>
    <cellStyle name="Output 4 4 3 2 3 2" xfId="7105"/>
    <cellStyle name="Output 4 4 3 2 3 2 2" xfId="13945"/>
    <cellStyle name="Output 4 4 3 2 3 3" xfId="10525"/>
    <cellStyle name="Output 4 4 3 2 4" xfId="4825"/>
    <cellStyle name="Output 4 4 3 2 4 2" xfId="11665"/>
    <cellStyle name="Output 4 4 3 2 5" xfId="8245"/>
    <cellStyle name="Output 4 4 3 3" xfId="2060"/>
    <cellStyle name="Output 4 4 3 3 2" xfId="5480"/>
    <cellStyle name="Output 4 4 3 3 2 2" xfId="12320"/>
    <cellStyle name="Output 4 4 3 3 3" xfId="8900"/>
    <cellStyle name="Output 4 4 3 4" xfId="3200"/>
    <cellStyle name="Output 4 4 3 4 2" xfId="6620"/>
    <cellStyle name="Output 4 4 3 4 2 2" xfId="13460"/>
    <cellStyle name="Output 4 4 3 4 3" xfId="10040"/>
    <cellStyle name="Output 4 4 3 5" xfId="4340"/>
    <cellStyle name="Output 4 4 3 5 2" xfId="11180"/>
    <cellStyle name="Output 4 4 3 6" xfId="7760"/>
    <cellStyle name="Output 4 4 3 7" xfId="61822"/>
    <cellStyle name="Output 4 4 4" xfId="38260"/>
    <cellStyle name="Output 4 4 5" xfId="57913"/>
    <cellStyle name="Output 4 4 6" xfId="57914"/>
    <cellStyle name="Output 4 4 7" xfId="60916"/>
    <cellStyle name="Output 4 5" xfId="491"/>
    <cellStyle name="Output 4 5 2" xfId="535"/>
    <cellStyle name="Output 4 5 2 2" xfId="1539"/>
    <cellStyle name="Output 4 5 2 2 2" xfId="1788"/>
    <cellStyle name="Output 4 5 2 2 2 2" xfId="2928"/>
    <cellStyle name="Output 4 5 2 2 2 2 2" xfId="6348"/>
    <cellStyle name="Output 4 5 2 2 2 2 2 2" xfId="13188"/>
    <cellStyle name="Output 4 5 2 2 2 2 3" xfId="9768"/>
    <cellStyle name="Output 4 5 2 2 2 3" xfId="4068"/>
    <cellStyle name="Output 4 5 2 2 2 3 2" xfId="7488"/>
    <cellStyle name="Output 4 5 2 2 2 3 2 2" xfId="14328"/>
    <cellStyle name="Output 4 5 2 2 2 3 3" xfId="10908"/>
    <cellStyle name="Output 4 5 2 2 2 4" xfId="5208"/>
    <cellStyle name="Output 4 5 2 2 2 4 2" xfId="12048"/>
    <cellStyle name="Output 4 5 2 2 2 5" xfId="8628"/>
    <cellStyle name="Output 4 5 2 2 3" xfId="2360"/>
    <cellStyle name="Output 4 5 2 2 3 2" xfId="5780"/>
    <cellStyle name="Output 4 5 2 2 3 2 2" xfId="12620"/>
    <cellStyle name="Output 4 5 2 2 3 3" xfId="9200"/>
    <cellStyle name="Output 4 5 2 2 4" xfId="3500"/>
    <cellStyle name="Output 4 5 2 2 4 2" xfId="6920"/>
    <cellStyle name="Output 4 5 2 2 4 2 2" xfId="13760"/>
    <cellStyle name="Output 4 5 2 2 4 3" xfId="10340"/>
    <cellStyle name="Output 4 5 2 2 5" xfId="4640"/>
    <cellStyle name="Output 4 5 2 2 5 2" xfId="11480"/>
    <cellStyle name="Output 4 5 2 2 6" xfId="8060"/>
    <cellStyle name="Output 4 5 2 2 7" xfId="61352"/>
    <cellStyle name="Output 4 5 2 3" xfId="38453"/>
    <cellStyle name="Output 4 5 2 4" xfId="57915"/>
    <cellStyle name="Output 4 5 2 5" xfId="57916"/>
    <cellStyle name="Output 4 5 2 6" xfId="57917"/>
    <cellStyle name="Output 4 5 2 7" xfId="61215"/>
    <cellStyle name="Output 4 5 3" xfId="1495"/>
    <cellStyle name="Output 4 5 3 2" xfId="1764"/>
    <cellStyle name="Output 4 5 3 2 2" xfId="2904"/>
    <cellStyle name="Output 4 5 3 2 2 2" xfId="6324"/>
    <cellStyle name="Output 4 5 3 2 2 2 2" xfId="13164"/>
    <cellStyle name="Output 4 5 3 2 2 3" xfId="9744"/>
    <cellStyle name="Output 4 5 3 2 3" xfId="4044"/>
    <cellStyle name="Output 4 5 3 2 3 2" xfId="7464"/>
    <cellStyle name="Output 4 5 3 2 3 2 2" xfId="14304"/>
    <cellStyle name="Output 4 5 3 2 3 3" xfId="10884"/>
    <cellStyle name="Output 4 5 3 2 4" xfId="5184"/>
    <cellStyle name="Output 4 5 3 2 4 2" xfId="12024"/>
    <cellStyle name="Output 4 5 3 2 5" xfId="8604"/>
    <cellStyle name="Output 4 5 3 3" xfId="2316"/>
    <cellStyle name="Output 4 5 3 3 2" xfId="5736"/>
    <cellStyle name="Output 4 5 3 3 2 2" xfId="12576"/>
    <cellStyle name="Output 4 5 3 3 3" xfId="9156"/>
    <cellStyle name="Output 4 5 3 4" xfId="3456"/>
    <cellStyle name="Output 4 5 3 4 2" xfId="6876"/>
    <cellStyle name="Output 4 5 3 4 2 2" xfId="13716"/>
    <cellStyle name="Output 4 5 3 4 3" xfId="10296"/>
    <cellStyle name="Output 4 5 3 5" xfId="4596"/>
    <cellStyle name="Output 4 5 3 5 2" xfId="11436"/>
    <cellStyle name="Output 4 5 3 6" xfId="8016"/>
    <cellStyle name="Output 4 5 3 7" xfId="61393"/>
    <cellStyle name="Output 4 5 4" xfId="38430"/>
    <cellStyle name="Output 4 5 5" xfId="57918"/>
    <cellStyle name="Output 4 5 6" xfId="57919"/>
    <cellStyle name="Output 4 5 7" xfId="57920"/>
    <cellStyle name="Output 4 5 8" xfId="61171"/>
    <cellStyle name="Output 4 6" xfId="511"/>
    <cellStyle name="Output 4 6 2" xfId="370"/>
    <cellStyle name="Output 4 6 2 2" xfId="1375"/>
    <cellStyle name="Output 4 6 2 2 2" xfId="921"/>
    <cellStyle name="Output 4 6 2 2 2 2" xfId="2721"/>
    <cellStyle name="Output 4 6 2 2 2 2 2" xfId="6141"/>
    <cellStyle name="Output 4 6 2 2 2 2 2 2" xfId="12981"/>
    <cellStyle name="Output 4 6 2 2 2 2 3" xfId="9561"/>
    <cellStyle name="Output 4 6 2 2 2 3" xfId="3861"/>
    <cellStyle name="Output 4 6 2 2 2 3 2" xfId="7281"/>
    <cellStyle name="Output 4 6 2 2 2 3 2 2" xfId="14121"/>
    <cellStyle name="Output 4 6 2 2 2 3 3" xfId="10701"/>
    <cellStyle name="Output 4 6 2 2 2 4" xfId="5001"/>
    <cellStyle name="Output 4 6 2 2 2 4 2" xfId="11841"/>
    <cellStyle name="Output 4 6 2 2 2 5" xfId="8421"/>
    <cellStyle name="Output 4 6 2 2 3" xfId="2196"/>
    <cellStyle name="Output 4 6 2 2 3 2" xfId="5616"/>
    <cellStyle name="Output 4 6 2 2 3 2 2" xfId="12456"/>
    <cellStyle name="Output 4 6 2 2 3 3" xfId="9036"/>
    <cellStyle name="Output 4 6 2 2 4" xfId="3336"/>
    <cellStyle name="Output 4 6 2 2 4 2" xfId="6756"/>
    <cellStyle name="Output 4 6 2 2 4 2 2" xfId="13596"/>
    <cellStyle name="Output 4 6 2 2 4 3" xfId="10176"/>
    <cellStyle name="Output 4 6 2 2 5" xfId="4476"/>
    <cellStyle name="Output 4 6 2 2 5 2" xfId="11316"/>
    <cellStyle name="Output 4 6 2 2 6" xfId="7896"/>
    <cellStyle name="Output 4 6 2 2 7" xfId="61392"/>
    <cellStyle name="Output 4 6 2 3" xfId="38353"/>
    <cellStyle name="Output 4 6 2 4" xfId="57921"/>
    <cellStyle name="Output 4 6 2 5" xfId="57922"/>
    <cellStyle name="Output 4 6 2 6" xfId="57923"/>
    <cellStyle name="Output 4 6 2 7" xfId="61051"/>
    <cellStyle name="Output 4 6 3" xfId="1515"/>
    <cellStyle name="Output 4 6 3 2" xfId="852"/>
    <cellStyle name="Output 4 6 3 2 2" xfId="2725"/>
    <cellStyle name="Output 4 6 3 2 2 2" xfId="6145"/>
    <cellStyle name="Output 4 6 3 2 2 2 2" xfId="12985"/>
    <cellStyle name="Output 4 6 3 2 2 3" xfId="9565"/>
    <cellStyle name="Output 4 6 3 2 3" xfId="3865"/>
    <cellStyle name="Output 4 6 3 2 3 2" xfId="7285"/>
    <cellStyle name="Output 4 6 3 2 3 2 2" xfId="14125"/>
    <cellStyle name="Output 4 6 3 2 3 3" xfId="10705"/>
    <cellStyle name="Output 4 6 3 2 4" xfId="5005"/>
    <cellStyle name="Output 4 6 3 2 4 2" xfId="11845"/>
    <cellStyle name="Output 4 6 3 2 5" xfId="8425"/>
    <cellStyle name="Output 4 6 3 3" xfId="2336"/>
    <cellStyle name="Output 4 6 3 3 2" xfId="5756"/>
    <cellStyle name="Output 4 6 3 3 2 2" xfId="12596"/>
    <cellStyle name="Output 4 6 3 3 3" xfId="9176"/>
    <cellStyle name="Output 4 6 3 4" xfId="3476"/>
    <cellStyle name="Output 4 6 3 4 2" xfId="6896"/>
    <cellStyle name="Output 4 6 3 4 2 2" xfId="13736"/>
    <cellStyle name="Output 4 6 3 4 3" xfId="10316"/>
    <cellStyle name="Output 4 6 3 5" xfId="4616"/>
    <cellStyle name="Output 4 6 3 5 2" xfId="11456"/>
    <cellStyle name="Output 4 6 3 6" xfId="8036"/>
    <cellStyle name="Output 4 6 3 7" xfId="61428"/>
    <cellStyle name="Output 4 6 4" xfId="38438"/>
    <cellStyle name="Output 4 6 5" xfId="57924"/>
    <cellStyle name="Output 4 6 6" xfId="57925"/>
    <cellStyle name="Output 4 6 7" xfId="57926"/>
    <cellStyle name="Output 4 6 8" xfId="61191"/>
    <cellStyle name="Output 4 7" xfId="1117"/>
    <cellStyle name="Output 4 7 2" xfId="1811"/>
    <cellStyle name="Output 4 7 2 2" xfId="2951"/>
    <cellStyle name="Output 4 7 2 2 2" xfId="6371"/>
    <cellStyle name="Output 4 7 2 2 2 2" xfId="13211"/>
    <cellStyle name="Output 4 7 2 2 3" xfId="9791"/>
    <cellStyle name="Output 4 7 2 3" xfId="4091"/>
    <cellStyle name="Output 4 7 2 3 2" xfId="7511"/>
    <cellStyle name="Output 4 7 2 3 2 2" xfId="14351"/>
    <cellStyle name="Output 4 7 2 3 3" xfId="10931"/>
    <cellStyle name="Output 4 7 2 4" xfId="5231"/>
    <cellStyle name="Output 4 7 2 4 2" xfId="12071"/>
    <cellStyle name="Output 4 7 2 5" xfId="8651"/>
    <cellStyle name="Output 4 7 3" xfId="1931"/>
    <cellStyle name="Output 4 7 3 2" xfId="5351"/>
    <cellStyle name="Output 4 7 3 2 2" xfId="12191"/>
    <cellStyle name="Output 4 7 3 3" xfId="8771"/>
    <cellStyle name="Output 4 7 4" xfId="3071"/>
    <cellStyle name="Output 4 7 4 2" xfId="6491"/>
    <cellStyle name="Output 4 7 4 2 2" xfId="13331"/>
    <cellStyle name="Output 4 7 4 3" xfId="9911"/>
    <cellStyle name="Output 4 7 5" xfId="4211"/>
    <cellStyle name="Output 4 7 5 2" xfId="11051"/>
    <cellStyle name="Output 4 7 6" xfId="7631"/>
    <cellStyle name="Output 4 8" xfId="38194"/>
    <cellStyle name="Output 4 9" xfId="57927"/>
    <cellStyle name="Output 5" xfId="109"/>
    <cellStyle name="Output 5 10" xfId="57928"/>
    <cellStyle name="Output 5 11" xfId="60801"/>
    <cellStyle name="Output 5 2" xfId="168"/>
    <cellStyle name="Output 5 2 2" xfId="294"/>
    <cellStyle name="Output 5 2 2 2" xfId="703"/>
    <cellStyle name="Output 5 2 2 2 2" xfId="1654"/>
    <cellStyle name="Output 5 2 2 2 2 2" xfId="753"/>
    <cellStyle name="Output 5 2 2 2 2 2 2" xfId="2614"/>
    <cellStyle name="Output 5 2 2 2 2 2 2 2" xfId="6034"/>
    <cellStyle name="Output 5 2 2 2 2 2 2 2 2" xfId="12874"/>
    <cellStyle name="Output 5 2 2 2 2 2 2 3" xfId="9454"/>
    <cellStyle name="Output 5 2 2 2 2 2 3" xfId="3754"/>
    <cellStyle name="Output 5 2 2 2 2 2 3 2" xfId="7174"/>
    <cellStyle name="Output 5 2 2 2 2 2 3 2 2" xfId="14014"/>
    <cellStyle name="Output 5 2 2 2 2 2 3 3" xfId="10594"/>
    <cellStyle name="Output 5 2 2 2 2 2 4" xfId="4894"/>
    <cellStyle name="Output 5 2 2 2 2 2 4 2" xfId="11734"/>
    <cellStyle name="Output 5 2 2 2 2 2 5" xfId="8314"/>
    <cellStyle name="Output 5 2 2 2 2 3" xfId="2488"/>
    <cellStyle name="Output 5 2 2 2 2 3 2" xfId="5908"/>
    <cellStyle name="Output 5 2 2 2 2 3 2 2" xfId="12748"/>
    <cellStyle name="Output 5 2 2 2 2 3 3" xfId="9328"/>
    <cellStyle name="Output 5 2 2 2 2 4" xfId="3628"/>
    <cellStyle name="Output 5 2 2 2 2 4 2" xfId="7048"/>
    <cellStyle name="Output 5 2 2 2 2 4 2 2" xfId="13888"/>
    <cellStyle name="Output 5 2 2 2 2 4 3" xfId="10468"/>
    <cellStyle name="Output 5 2 2 2 2 5" xfId="4768"/>
    <cellStyle name="Output 5 2 2 2 2 5 2" xfId="11608"/>
    <cellStyle name="Output 5 2 2 2 2 6" xfId="8188"/>
    <cellStyle name="Output 5 2 2 2 2 7" xfId="61391"/>
    <cellStyle name="Output 5 2 2 2 3" xfId="38547"/>
    <cellStyle name="Output 5 2 2 2 4" xfId="57929"/>
    <cellStyle name="Output 5 2 2 2 5" xfId="57930"/>
    <cellStyle name="Output 5 2 2 2 6" xfId="57931"/>
    <cellStyle name="Output 5 2 2 2 7" xfId="61312"/>
    <cellStyle name="Output 5 2 2 3" xfId="1300"/>
    <cellStyle name="Output 5 2 2 3 2" xfId="978"/>
    <cellStyle name="Output 5 2 2 3 2 2" xfId="2603"/>
    <cellStyle name="Output 5 2 2 3 2 2 2" xfId="6023"/>
    <cellStyle name="Output 5 2 2 3 2 2 2 2" xfId="12863"/>
    <cellStyle name="Output 5 2 2 3 2 2 3" xfId="9443"/>
    <cellStyle name="Output 5 2 2 3 2 3" xfId="3743"/>
    <cellStyle name="Output 5 2 2 3 2 3 2" xfId="7163"/>
    <cellStyle name="Output 5 2 2 3 2 3 2 2" xfId="14003"/>
    <cellStyle name="Output 5 2 2 3 2 3 3" xfId="10583"/>
    <cellStyle name="Output 5 2 2 3 2 4" xfId="4883"/>
    <cellStyle name="Output 5 2 2 3 2 4 2" xfId="11723"/>
    <cellStyle name="Output 5 2 2 3 2 5" xfId="8303"/>
    <cellStyle name="Output 5 2 2 3 3" xfId="2120"/>
    <cellStyle name="Output 5 2 2 3 3 2" xfId="5540"/>
    <cellStyle name="Output 5 2 2 3 3 2 2" xfId="12380"/>
    <cellStyle name="Output 5 2 2 3 3 3" xfId="8960"/>
    <cellStyle name="Output 5 2 2 3 4" xfId="3260"/>
    <cellStyle name="Output 5 2 2 3 4 2" xfId="6680"/>
    <cellStyle name="Output 5 2 2 3 4 2 2" xfId="13520"/>
    <cellStyle name="Output 5 2 2 3 4 3" xfId="10100"/>
    <cellStyle name="Output 5 2 2 3 5" xfId="4400"/>
    <cellStyle name="Output 5 2 2 3 5 2" xfId="11240"/>
    <cellStyle name="Output 5 2 2 3 6" xfId="7820"/>
    <cellStyle name="Output 5 2 2 3 7" xfId="61427"/>
    <cellStyle name="Output 5 2 2 4" xfId="38310"/>
    <cellStyle name="Output 5 2 2 5" xfId="57932"/>
    <cellStyle name="Output 5 2 2 6" xfId="57933"/>
    <cellStyle name="Output 5 2 2 7" xfId="57934"/>
    <cellStyle name="Output 5 2 2 8" xfId="60976"/>
    <cellStyle name="Output 5 2 3" xfId="615"/>
    <cellStyle name="Output 5 2 3 2" xfId="1602"/>
    <cellStyle name="Output 5 2 3 2 2" xfId="805"/>
    <cellStyle name="Output 5 2 3 2 2 2" xfId="2627"/>
    <cellStyle name="Output 5 2 3 2 2 2 2" xfId="6047"/>
    <cellStyle name="Output 5 2 3 2 2 2 2 2" xfId="12887"/>
    <cellStyle name="Output 5 2 3 2 2 2 3" xfId="9467"/>
    <cellStyle name="Output 5 2 3 2 2 3" xfId="3767"/>
    <cellStyle name="Output 5 2 3 2 2 3 2" xfId="7187"/>
    <cellStyle name="Output 5 2 3 2 2 3 2 2" xfId="14027"/>
    <cellStyle name="Output 5 2 3 2 2 3 3" xfId="10607"/>
    <cellStyle name="Output 5 2 3 2 2 4" xfId="4907"/>
    <cellStyle name="Output 5 2 3 2 2 4 2" xfId="11747"/>
    <cellStyle name="Output 5 2 3 2 2 5" xfId="8327"/>
    <cellStyle name="Output 5 2 3 2 3" xfId="2427"/>
    <cellStyle name="Output 5 2 3 2 3 2" xfId="5847"/>
    <cellStyle name="Output 5 2 3 2 3 2 2" xfId="12687"/>
    <cellStyle name="Output 5 2 3 2 3 3" xfId="9267"/>
    <cellStyle name="Output 5 2 3 2 4" xfId="3567"/>
    <cellStyle name="Output 5 2 3 2 4 2" xfId="6987"/>
    <cellStyle name="Output 5 2 3 2 4 2 2" xfId="13827"/>
    <cellStyle name="Output 5 2 3 2 4 3" xfId="10407"/>
    <cellStyle name="Output 5 2 3 2 5" xfId="4707"/>
    <cellStyle name="Output 5 2 3 2 5 2" xfId="11547"/>
    <cellStyle name="Output 5 2 3 2 6" xfId="8127"/>
    <cellStyle name="Output 5 2 3 2 7" xfId="61350"/>
    <cellStyle name="Output 5 2 3 3" xfId="38496"/>
    <cellStyle name="Output 5 2 3 4" xfId="57935"/>
    <cellStyle name="Output 5 2 3 5" xfId="57936"/>
    <cellStyle name="Output 5 2 3 6" xfId="57937"/>
    <cellStyle name="Output 5 2 3 7" xfId="61313"/>
    <cellStyle name="Output 5 2 4" xfId="1176"/>
    <cellStyle name="Output 5 2 4 2" xfId="1684"/>
    <cellStyle name="Output 5 2 4 2 2" xfId="2824"/>
    <cellStyle name="Output 5 2 4 2 2 2" xfId="6244"/>
    <cellStyle name="Output 5 2 4 2 2 2 2" xfId="13084"/>
    <cellStyle name="Output 5 2 4 2 2 3" xfId="9664"/>
    <cellStyle name="Output 5 2 4 2 3" xfId="3964"/>
    <cellStyle name="Output 5 2 4 2 3 2" xfId="7384"/>
    <cellStyle name="Output 5 2 4 2 3 2 2" xfId="14224"/>
    <cellStyle name="Output 5 2 4 2 3 3" xfId="10804"/>
    <cellStyle name="Output 5 2 4 2 4" xfId="5104"/>
    <cellStyle name="Output 5 2 4 2 4 2" xfId="11944"/>
    <cellStyle name="Output 5 2 4 2 5" xfId="8524"/>
    <cellStyle name="Output 5 2 4 3" xfId="1995"/>
    <cellStyle name="Output 5 2 4 3 2" xfId="5415"/>
    <cellStyle name="Output 5 2 4 3 2 2" xfId="12255"/>
    <cellStyle name="Output 5 2 4 3 3" xfId="8835"/>
    <cellStyle name="Output 5 2 4 4" xfId="3135"/>
    <cellStyle name="Output 5 2 4 4 2" xfId="6555"/>
    <cellStyle name="Output 5 2 4 4 2 2" xfId="13395"/>
    <cellStyle name="Output 5 2 4 4 3" xfId="9975"/>
    <cellStyle name="Output 5 2 4 5" xfId="4275"/>
    <cellStyle name="Output 5 2 4 5 2" xfId="11115"/>
    <cellStyle name="Output 5 2 4 6" xfId="7695"/>
    <cellStyle name="Output 5 2 4 7" xfId="61351"/>
    <cellStyle name="Output 5 2 5" xfId="38229"/>
    <cellStyle name="Output 5 2 6" xfId="57938"/>
    <cellStyle name="Output 5 2 7" xfId="57939"/>
    <cellStyle name="Output 5 2 8" xfId="57940"/>
    <cellStyle name="Output 5 2 9" xfId="60852"/>
    <cellStyle name="Output 5 3" xfId="334"/>
    <cellStyle name="Output 5 3 2" xfId="348"/>
    <cellStyle name="Output 5 3 2 2" xfId="1353"/>
    <cellStyle name="Output 5 3 2 2 2" xfId="939"/>
    <cellStyle name="Output 5 3 2 2 2 2" xfId="2699"/>
    <cellStyle name="Output 5 3 2 2 2 2 2" xfId="6119"/>
    <cellStyle name="Output 5 3 2 2 2 2 2 2" xfId="12959"/>
    <cellStyle name="Output 5 3 2 2 2 2 3" xfId="9539"/>
    <cellStyle name="Output 5 3 2 2 2 3" xfId="3839"/>
    <cellStyle name="Output 5 3 2 2 2 3 2" xfId="7259"/>
    <cellStyle name="Output 5 3 2 2 2 3 2 2" xfId="14099"/>
    <cellStyle name="Output 5 3 2 2 2 3 3" xfId="10679"/>
    <cellStyle name="Output 5 3 2 2 2 4" xfId="4979"/>
    <cellStyle name="Output 5 3 2 2 2 4 2" xfId="11819"/>
    <cellStyle name="Output 5 3 2 2 2 5" xfId="8399"/>
    <cellStyle name="Output 5 3 2 2 3" xfId="2174"/>
    <cellStyle name="Output 5 3 2 2 3 2" xfId="5594"/>
    <cellStyle name="Output 5 3 2 2 3 2 2" xfId="12434"/>
    <cellStyle name="Output 5 3 2 2 3 3" xfId="9014"/>
    <cellStyle name="Output 5 3 2 2 4" xfId="3314"/>
    <cellStyle name="Output 5 3 2 2 4 2" xfId="6734"/>
    <cellStyle name="Output 5 3 2 2 4 2 2" xfId="13574"/>
    <cellStyle name="Output 5 3 2 2 4 3" xfId="10154"/>
    <cellStyle name="Output 5 3 2 2 5" xfId="4454"/>
    <cellStyle name="Output 5 3 2 2 5 2" xfId="11294"/>
    <cellStyle name="Output 5 3 2 2 6" xfId="7874"/>
    <cellStyle name="Output 5 3 2 2 7" xfId="61390"/>
    <cellStyle name="Output 5 3 2 3" xfId="38337"/>
    <cellStyle name="Output 5 3 2 4" xfId="57941"/>
    <cellStyle name="Output 5 3 2 5" xfId="57942"/>
    <cellStyle name="Output 5 3 2 6" xfId="57943"/>
    <cellStyle name="Output 5 3 2 7" xfId="61029"/>
    <cellStyle name="Output 5 3 3" xfId="1339"/>
    <cellStyle name="Output 5 3 3 2" xfId="953"/>
    <cellStyle name="Output 5 3 3 2 2" xfId="2742"/>
    <cellStyle name="Output 5 3 3 2 2 2" xfId="6162"/>
    <cellStyle name="Output 5 3 3 2 2 2 2" xfId="13002"/>
    <cellStyle name="Output 5 3 3 2 2 3" xfId="9582"/>
    <cellStyle name="Output 5 3 3 2 3" xfId="3882"/>
    <cellStyle name="Output 5 3 3 2 3 2" xfId="7302"/>
    <cellStyle name="Output 5 3 3 2 3 2 2" xfId="14142"/>
    <cellStyle name="Output 5 3 3 2 3 3" xfId="10722"/>
    <cellStyle name="Output 5 3 3 2 4" xfId="5022"/>
    <cellStyle name="Output 5 3 3 2 4 2" xfId="11862"/>
    <cellStyle name="Output 5 3 3 2 5" xfId="8442"/>
    <cellStyle name="Output 5 3 3 3" xfId="2160"/>
    <cellStyle name="Output 5 3 3 3 2" xfId="5580"/>
    <cellStyle name="Output 5 3 3 3 2 2" xfId="12420"/>
    <cellStyle name="Output 5 3 3 3 3" xfId="9000"/>
    <cellStyle name="Output 5 3 3 4" xfId="3300"/>
    <cellStyle name="Output 5 3 3 4 2" xfId="6720"/>
    <cellStyle name="Output 5 3 3 4 2 2" xfId="13560"/>
    <cellStyle name="Output 5 3 3 4 3" xfId="10140"/>
    <cellStyle name="Output 5 3 3 5" xfId="4440"/>
    <cellStyle name="Output 5 3 3 5 2" xfId="11280"/>
    <cellStyle name="Output 5 3 3 6" xfId="7860"/>
    <cellStyle name="Output 5 3 3 7" xfId="61426"/>
    <cellStyle name="Output 5 3 4" xfId="38328"/>
    <cellStyle name="Output 5 3 5" xfId="57944"/>
    <cellStyle name="Output 5 3 6" xfId="57945"/>
    <cellStyle name="Output 5 3 7" xfId="57946"/>
    <cellStyle name="Output 5 3 8" xfId="61015"/>
    <cellStyle name="Output 5 4" xfId="241"/>
    <cellStyle name="Output 5 4 2" xfId="542"/>
    <cellStyle name="Output 5 4 2 2" xfId="1546"/>
    <cellStyle name="Output 5 4 2 2 2" xfId="837"/>
    <cellStyle name="Output 5 4 2 2 2 2" xfId="2697"/>
    <cellStyle name="Output 5 4 2 2 2 2 2" xfId="6117"/>
    <cellStyle name="Output 5 4 2 2 2 2 2 2" xfId="12957"/>
    <cellStyle name="Output 5 4 2 2 2 2 3" xfId="9537"/>
    <cellStyle name="Output 5 4 2 2 2 3" xfId="3837"/>
    <cellStyle name="Output 5 4 2 2 2 3 2" xfId="7257"/>
    <cellStyle name="Output 5 4 2 2 2 3 2 2" xfId="14097"/>
    <cellStyle name="Output 5 4 2 2 2 3 3" xfId="10677"/>
    <cellStyle name="Output 5 4 2 2 2 4" xfId="4977"/>
    <cellStyle name="Output 5 4 2 2 2 4 2" xfId="11817"/>
    <cellStyle name="Output 5 4 2 2 2 5" xfId="8397"/>
    <cellStyle name="Output 5 4 2 2 3" xfId="2367"/>
    <cellStyle name="Output 5 4 2 2 3 2" xfId="5787"/>
    <cellStyle name="Output 5 4 2 2 3 2 2" xfId="12627"/>
    <cellStyle name="Output 5 4 2 2 3 3" xfId="9207"/>
    <cellStyle name="Output 5 4 2 2 4" xfId="3507"/>
    <cellStyle name="Output 5 4 2 2 4 2" xfId="6927"/>
    <cellStyle name="Output 5 4 2 2 4 2 2" xfId="13767"/>
    <cellStyle name="Output 5 4 2 2 4 3" xfId="10347"/>
    <cellStyle name="Output 5 4 2 2 5" xfId="4647"/>
    <cellStyle name="Output 5 4 2 2 5 2" xfId="11487"/>
    <cellStyle name="Output 5 4 2 2 6" xfId="8067"/>
    <cellStyle name="Output 5 4 2 2 7" xfId="61425"/>
    <cellStyle name="Output 5 4 2 3" xfId="38457"/>
    <cellStyle name="Output 5 4 2 4" xfId="57947"/>
    <cellStyle name="Output 5 4 2 5" xfId="57948"/>
    <cellStyle name="Output 5 4 2 6" xfId="57949"/>
    <cellStyle name="Output 5 4 2 7" xfId="61222"/>
    <cellStyle name="Output 5 4 3" xfId="1248"/>
    <cellStyle name="Output 5 4 3 2" xfId="1794"/>
    <cellStyle name="Output 5 4 3 2 2" xfId="2934"/>
    <cellStyle name="Output 5 4 3 2 2 2" xfId="6354"/>
    <cellStyle name="Output 5 4 3 2 2 2 2" xfId="13194"/>
    <cellStyle name="Output 5 4 3 2 2 3" xfId="9774"/>
    <cellStyle name="Output 5 4 3 2 3" xfId="4074"/>
    <cellStyle name="Output 5 4 3 2 3 2" xfId="7494"/>
    <cellStyle name="Output 5 4 3 2 3 2 2" xfId="14334"/>
    <cellStyle name="Output 5 4 3 2 3 3" xfId="10914"/>
    <cellStyle name="Output 5 4 3 2 4" xfId="5214"/>
    <cellStyle name="Output 5 4 3 2 4 2" xfId="12054"/>
    <cellStyle name="Output 5 4 3 2 5" xfId="8634"/>
    <cellStyle name="Output 5 4 3 3" xfId="2068"/>
    <cellStyle name="Output 5 4 3 3 2" xfId="5488"/>
    <cellStyle name="Output 5 4 3 3 2 2" xfId="12328"/>
    <cellStyle name="Output 5 4 3 3 3" xfId="8908"/>
    <cellStyle name="Output 5 4 3 4" xfId="3208"/>
    <cellStyle name="Output 5 4 3 4 2" xfId="6628"/>
    <cellStyle name="Output 5 4 3 4 2 2" xfId="13468"/>
    <cellStyle name="Output 5 4 3 4 3" xfId="10048"/>
    <cellStyle name="Output 5 4 3 5" xfId="4348"/>
    <cellStyle name="Output 5 4 3 5 2" xfId="11188"/>
    <cellStyle name="Output 5 4 3 6" xfId="7768"/>
    <cellStyle name="Output 5 4 3 7" xfId="61349"/>
    <cellStyle name="Output 5 4 4" xfId="38265"/>
    <cellStyle name="Output 5 4 5" xfId="57950"/>
    <cellStyle name="Output 5 4 6" xfId="57951"/>
    <cellStyle name="Output 5 4 7" xfId="57952"/>
    <cellStyle name="Output 5 4 8" xfId="60924"/>
    <cellStyle name="Output 5 5" xfId="499"/>
    <cellStyle name="Output 5 5 2" xfId="360"/>
    <cellStyle name="Output 5 5 2 2" xfId="1365"/>
    <cellStyle name="Output 5 5 2 2 2" xfId="927"/>
    <cellStyle name="Output 5 5 2 2 2 2" xfId="2549"/>
    <cellStyle name="Output 5 5 2 2 2 2 2" xfId="5969"/>
    <cellStyle name="Output 5 5 2 2 2 2 2 2" xfId="12809"/>
    <cellStyle name="Output 5 5 2 2 2 2 3" xfId="9389"/>
    <cellStyle name="Output 5 5 2 2 2 3" xfId="3689"/>
    <cellStyle name="Output 5 5 2 2 2 3 2" xfId="7109"/>
    <cellStyle name="Output 5 5 2 2 2 3 2 2" xfId="13949"/>
    <cellStyle name="Output 5 5 2 2 2 3 3" xfId="10529"/>
    <cellStyle name="Output 5 5 2 2 2 4" xfId="4829"/>
    <cellStyle name="Output 5 5 2 2 2 4 2" xfId="11669"/>
    <cellStyle name="Output 5 5 2 2 2 5" xfId="8249"/>
    <cellStyle name="Output 5 5 2 2 3" xfId="2186"/>
    <cellStyle name="Output 5 5 2 2 3 2" xfId="5606"/>
    <cellStyle name="Output 5 5 2 2 3 2 2" xfId="12446"/>
    <cellStyle name="Output 5 5 2 2 3 3" xfId="9026"/>
    <cellStyle name="Output 5 5 2 2 4" xfId="3326"/>
    <cellStyle name="Output 5 5 2 2 4 2" xfId="6746"/>
    <cellStyle name="Output 5 5 2 2 4 2 2" xfId="13586"/>
    <cellStyle name="Output 5 5 2 2 4 3" xfId="10166"/>
    <cellStyle name="Output 5 5 2 2 5" xfId="4466"/>
    <cellStyle name="Output 5 5 2 2 5 2" xfId="11306"/>
    <cellStyle name="Output 5 5 2 2 6" xfId="7886"/>
    <cellStyle name="Output 5 5 2 2 7" xfId="61348"/>
    <cellStyle name="Output 5 5 2 3" xfId="38346"/>
    <cellStyle name="Output 5 5 2 4" xfId="57953"/>
    <cellStyle name="Output 5 5 2 5" xfId="57954"/>
    <cellStyle name="Output 5 5 2 6" xfId="57955"/>
    <cellStyle name="Output 5 5 2 7" xfId="61041"/>
    <cellStyle name="Output 5 5 3" xfId="1503"/>
    <cellStyle name="Output 5 5 3 2" xfId="1880"/>
    <cellStyle name="Output 5 5 3 2 2" xfId="3020"/>
    <cellStyle name="Output 5 5 3 2 2 2" xfId="6440"/>
    <cellStyle name="Output 5 5 3 2 2 2 2" xfId="13280"/>
    <cellStyle name="Output 5 5 3 2 2 3" xfId="9860"/>
    <cellStyle name="Output 5 5 3 2 3" xfId="4160"/>
    <cellStyle name="Output 5 5 3 2 3 2" xfId="7580"/>
    <cellStyle name="Output 5 5 3 2 3 2 2" xfId="14420"/>
    <cellStyle name="Output 5 5 3 2 3 3" xfId="11000"/>
    <cellStyle name="Output 5 5 3 2 4" xfId="5300"/>
    <cellStyle name="Output 5 5 3 2 4 2" xfId="12140"/>
    <cellStyle name="Output 5 5 3 2 5" xfId="8720"/>
    <cellStyle name="Output 5 5 3 3" xfId="2324"/>
    <cellStyle name="Output 5 5 3 3 2" xfId="5744"/>
    <cellStyle name="Output 5 5 3 3 2 2" xfId="12584"/>
    <cellStyle name="Output 5 5 3 3 3" xfId="9164"/>
    <cellStyle name="Output 5 5 3 4" xfId="3464"/>
    <cellStyle name="Output 5 5 3 4 2" xfId="6884"/>
    <cellStyle name="Output 5 5 3 4 2 2" xfId="13724"/>
    <cellStyle name="Output 5 5 3 4 3" xfId="10304"/>
    <cellStyle name="Output 5 5 3 5" xfId="4604"/>
    <cellStyle name="Output 5 5 3 5 2" xfId="11444"/>
    <cellStyle name="Output 5 5 3 6" xfId="8024"/>
    <cellStyle name="Output 5 5 3 7" xfId="61389"/>
    <cellStyle name="Output 5 5 4" xfId="38435"/>
    <cellStyle name="Output 5 5 5" xfId="57956"/>
    <cellStyle name="Output 5 5 6" xfId="57957"/>
    <cellStyle name="Output 5 5 7" xfId="57958"/>
    <cellStyle name="Output 5 5 8" xfId="61179"/>
    <cellStyle name="Output 5 6" xfId="519"/>
    <cellStyle name="Output 5 6 2" xfId="350"/>
    <cellStyle name="Output 5 6 2 2" xfId="1355"/>
    <cellStyle name="Output 5 6 2 2 2" xfId="937"/>
    <cellStyle name="Output 5 6 2 2 2 2" xfId="2778"/>
    <cellStyle name="Output 5 6 2 2 2 2 2" xfId="6198"/>
    <cellStyle name="Output 5 6 2 2 2 2 2 2" xfId="13038"/>
    <cellStyle name="Output 5 6 2 2 2 2 3" xfId="9618"/>
    <cellStyle name="Output 5 6 2 2 2 3" xfId="3918"/>
    <cellStyle name="Output 5 6 2 2 2 3 2" xfId="7338"/>
    <cellStyle name="Output 5 6 2 2 2 3 2 2" xfId="14178"/>
    <cellStyle name="Output 5 6 2 2 2 3 3" xfId="10758"/>
    <cellStyle name="Output 5 6 2 2 2 4" xfId="5058"/>
    <cellStyle name="Output 5 6 2 2 2 4 2" xfId="11898"/>
    <cellStyle name="Output 5 6 2 2 2 5" xfId="8478"/>
    <cellStyle name="Output 5 6 2 2 3" xfId="2176"/>
    <cellStyle name="Output 5 6 2 2 3 2" xfId="5596"/>
    <cellStyle name="Output 5 6 2 2 3 2 2" xfId="12436"/>
    <cellStyle name="Output 5 6 2 2 3 3" xfId="9016"/>
    <cellStyle name="Output 5 6 2 2 4" xfId="3316"/>
    <cellStyle name="Output 5 6 2 2 4 2" xfId="6736"/>
    <cellStyle name="Output 5 6 2 2 4 2 2" xfId="13576"/>
    <cellStyle name="Output 5 6 2 2 4 3" xfId="10156"/>
    <cellStyle name="Output 5 6 2 2 5" xfId="4456"/>
    <cellStyle name="Output 5 6 2 2 5 2" xfId="11296"/>
    <cellStyle name="Output 5 6 2 2 6" xfId="7876"/>
    <cellStyle name="Output 5 6 2 2 7" xfId="61388"/>
    <cellStyle name="Output 5 6 2 3" xfId="38339"/>
    <cellStyle name="Output 5 6 2 4" xfId="57959"/>
    <cellStyle name="Output 5 6 2 5" xfId="57960"/>
    <cellStyle name="Output 5 6 2 6" xfId="57961"/>
    <cellStyle name="Output 5 6 2 7" xfId="61031"/>
    <cellStyle name="Output 5 6 3" xfId="1523"/>
    <cellStyle name="Output 5 6 3 2" xfId="848"/>
    <cellStyle name="Output 5 6 3 2 2" xfId="2772"/>
    <cellStyle name="Output 5 6 3 2 2 2" xfId="6192"/>
    <cellStyle name="Output 5 6 3 2 2 2 2" xfId="13032"/>
    <cellStyle name="Output 5 6 3 2 2 3" xfId="9612"/>
    <cellStyle name="Output 5 6 3 2 3" xfId="3912"/>
    <cellStyle name="Output 5 6 3 2 3 2" xfId="7332"/>
    <cellStyle name="Output 5 6 3 2 3 2 2" xfId="14172"/>
    <cellStyle name="Output 5 6 3 2 3 3" xfId="10752"/>
    <cellStyle name="Output 5 6 3 2 4" xfId="5052"/>
    <cellStyle name="Output 5 6 3 2 4 2" xfId="11892"/>
    <cellStyle name="Output 5 6 3 2 5" xfId="8472"/>
    <cellStyle name="Output 5 6 3 3" xfId="2344"/>
    <cellStyle name="Output 5 6 3 3 2" xfId="5764"/>
    <cellStyle name="Output 5 6 3 3 2 2" xfId="12604"/>
    <cellStyle name="Output 5 6 3 3 3" xfId="9184"/>
    <cellStyle name="Output 5 6 3 4" xfId="3484"/>
    <cellStyle name="Output 5 6 3 4 2" xfId="6904"/>
    <cellStyle name="Output 5 6 3 4 2 2" xfId="13744"/>
    <cellStyle name="Output 5 6 3 4 3" xfId="10324"/>
    <cellStyle name="Output 5 6 3 5" xfId="4624"/>
    <cellStyle name="Output 5 6 3 5 2" xfId="11464"/>
    <cellStyle name="Output 5 6 3 6" xfId="8044"/>
    <cellStyle name="Output 5 6 3 7" xfId="61424"/>
    <cellStyle name="Output 5 6 4" xfId="38443"/>
    <cellStyle name="Output 5 6 5" xfId="57962"/>
    <cellStyle name="Output 5 6 6" xfId="57963"/>
    <cellStyle name="Output 5 6 7" xfId="57964"/>
    <cellStyle name="Output 5 6 8" xfId="61199"/>
    <cellStyle name="Output 5 7" xfId="1125"/>
    <cellStyle name="Output 5 7 2" xfId="1861"/>
    <cellStyle name="Output 5 7 2 2" xfId="3001"/>
    <cellStyle name="Output 5 7 2 2 2" xfId="6421"/>
    <cellStyle name="Output 5 7 2 2 2 2" xfId="13261"/>
    <cellStyle name="Output 5 7 2 2 3" xfId="9841"/>
    <cellStyle name="Output 5 7 2 3" xfId="4141"/>
    <cellStyle name="Output 5 7 2 3 2" xfId="7561"/>
    <cellStyle name="Output 5 7 2 3 2 2" xfId="14401"/>
    <cellStyle name="Output 5 7 2 3 3" xfId="10981"/>
    <cellStyle name="Output 5 7 2 4" xfId="5281"/>
    <cellStyle name="Output 5 7 2 4 2" xfId="12121"/>
    <cellStyle name="Output 5 7 2 5" xfId="8701"/>
    <cellStyle name="Output 5 7 3" xfId="1939"/>
    <cellStyle name="Output 5 7 3 2" xfId="5359"/>
    <cellStyle name="Output 5 7 3 2 2" xfId="12199"/>
    <cellStyle name="Output 5 7 3 3" xfId="8779"/>
    <cellStyle name="Output 5 7 4" xfId="3079"/>
    <cellStyle name="Output 5 7 4 2" xfId="6499"/>
    <cellStyle name="Output 5 7 4 2 2" xfId="13339"/>
    <cellStyle name="Output 5 7 4 3" xfId="9919"/>
    <cellStyle name="Output 5 7 5" xfId="4219"/>
    <cellStyle name="Output 5 7 5 2" xfId="11059"/>
    <cellStyle name="Output 5 7 6" xfId="7639"/>
    <cellStyle name="Output 5 7 7" xfId="61873"/>
    <cellStyle name="Output 5 8" xfId="38199"/>
    <cellStyle name="Output 5 9" xfId="57965"/>
    <cellStyle name="Output 6" xfId="57966"/>
    <cellStyle name="Output 6 2" xfId="57967"/>
    <cellStyle name="Output 6 2 2" xfId="61837"/>
    <cellStyle name="Output 6 3" xfId="57968"/>
    <cellStyle name="Output 6 4" xfId="61494"/>
    <cellStyle name="Output 7" xfId="57969"/>
    <cellStyle name="Output 8" xfId="57970"/>
    <cellStyle name="Output 9" xfId="57971"/>
    <cellStyle name="Output Amounts" xfId="57972"/>
    <cellStyle name="Output Column Headings" xfId="57973"/>
    <cellStyle name="Output Line Items" xfId="57974"/>
    <cellStyle name="Output Report Heading" xfId="57975"/>
    <cellStyle name="Output Report Title" xfId="57976"/>
    <cellStyle name="Percent" xfId="729" builtinId="5"/>
    <cellStyle name="Percent +/-" xfId="57977"/>
    <cellStyle name="Percent 10" xfId="57978"/>
    <cellStyle name="Percent 11" xfId="57979"/>
    <cellStyle name="Percent 12" xfId="62394"/>
    <cellStyle name="Percent 2" xfId="59"/>
    <cellStyle name="Percent 2 2" xfId="127"/>
    <cellStyle name="Percent 2 2 2" xfId="57980"/>
    <cellStyle name="Percent 2 2 2 2" xfId="61508"/>
    <cellStyle name="Percent 2 2 3" xfId="57981"/>
    <cellStyle name="Percent 2 3" xfId="633"/>
    <cellStyle name="Percent 2 3 2" xfId="57982"/>
    <cellStyle name="Percent 2 3 3" xfId="57983"/>
    <cellStyle name="Percent 2 3 4" xfId="57984"/>
    <cellStyle name="Percent 2 4" xfId="718"/>
    <cellStyle name="Percent 2 4 2" xfId="57985"/>
    <cellStyle name="Percent 2 5" xfId="732"/>
    <cellStyle name="Percent 2 5 2" xfId="57986"/>
    <cellStyle name="Percent 2 5 2 2" xfId="61878"/>
    <cellStyle name="Percent 2 5 3" xfId="57987"/>
    <cellStyle name="Percent 2 6" xfId="57988"/>
    <cellStyle name="Percent 3" xfId="61"/>
    <cellStyle name="Percent 3 2" xfId="15085"/>
    <cellStyle name="Percent 3 2 2" xfId="57989"/>
    <cellStyle name="Percent 3 2 3" xfId="57990"/>
    <cellStyle name="Percent 3 2 4" xfId="61879"/>
    <cellStyle name="Percent 3 3" xfId="57991"/>
    <cellStyle name="Percent 3 3 2" xfId="57992"/>
    <cellStyle name="Percent 3 3 3" xfId="61507"/>
    <cellStyle name="Percent 3 4" xfId="57993"/>
    <cellStyle name="Percent 3 4 2" xfId="57994"/>
    <cellStyle name="Percent 3 4 3" xfId="57995"/>
    <cellStyle name="Percent 3 5" xfId="57996"/>
    <cellStyle name="Percent 3 6" xfId="57997"/>
    <cellStyle name="Percent 3 7" xfId="57998"/>
    <cellStyle name="Percent 4" xfId="128"/>
    <cellStyle name="Percent 4 2" xfId="57999"/>
    <cellStyle name="Percent 4 2 2" xfId="58000"/>
    <cellStyle name="Percent 4 2 2 2" xfId="58001"/>
    <cellStyle name="Percent 4 2 2 2 2" xfId="58002"/>
    <cellStyle name="Percent 4 2 2 2 3" xfId="58003"/>
    <cellStyle name="Percent 4 2 2 3" xfId="58004"/>
    <cellStyle name="Percent 4 2 2 4" xfId="58005"/>
    <cellStyle name="Percent 4 2 3" xfId="58006"/>
    <cellStyle name="Percent 4 2 3 2" xfId="58007"/>
    <cellStyle name="Percent 4 2 3 3" xfId="58008"/>
    <cellStyle name="Percent 4 2 4" xfId="58009"/>
    <cellStyle name="Percent 4 2 4 2" xfId="58010"/>
    <cellStyle name="Percent 4 2 4 3" xfId="58011"/>
    <cellStyle name="Percent 4 2 5" xfId="58012"/>
    <cellStyle name="Percent 4 2 6" xfId="58013"/>
    <cellStyle name="Percent 4 2 7" xfId="58014"/>
    <cellStyle name="Percent 4 3" xfId="58015"/>
    <cellStyle name="Percent 4 3 2" xfId="58016"/>
    <cellStyle name="Percent 4 3 2 2" xfId="58017"/>
    <cellStyle name="Percent 4 3 2 2 2" xfId="58018"/>
    <cellStyle name="Percent 4 3 2 2 3" xfId="58019"/>
    <cellStyle name="Percent 4 3 2 3" xfId="58020"/>
    <cellStyle name="Percent 4 3 2 4" xfId="58021"/>
    <cellStyle name="Percent 4 3 3" xfId="58022"/>
    <cellStyle name="Percent 4 3 3 2" xfId="58023"/>
    <cellStyle name="Percent 4 3 3 3" xfId="58024"/>
    <cellStyle name="Percent 4 3 4" xfId="58025"/>
    <cellStyle name="Percent 4 3 5" xfId="58026"/>
    <cellStyle name="Percent 4 3 6" xfId="58027"/>
    <cellStyle name="Percent 4 4" xfId="58028"/>
    <cellStyle name="Percent 4 4 2" xfId="58029"/>
    <cellStyle name="Percent 4 4 2 2" xfId="58030"/>
    <cellStyle name="Percent 4 4 2 3" xfId="58031"/>
    <cellStyle name="Percent 4 4 3" xfId="58032"/>
    <cellStyle name="Percent 4 4 4" xfId="58033"/>
    <cellStyle name="Percent 4 5" xfId="58034"/>
    <cellStyle name="Percent 4 5 2" xfId="58035"/>
    <cellStyle name="Percent 4 5 3" xfId="58036"/>
    <cellStyle name="Percent 4 6" xfId="58037"/>
    <cellStyle name="Percent 4 6 2" xfId="58038"/>
    <cellStyle name="Percent 4 6 3" xfId="58039"/>
    <cellStyle name="Percent 4 7" xfId="58040"/>
    <cellStyle name="Percent 5" xfId="129"/>
    <cellStyle name="Percent 5 2" xfId="58041"/>
    <cellStyle name="Percent 5 2 2" xfId="58042"/>
    <cellStyle name="Percent 5 2 2 2" xfId="58043"/>
    <cellStyle name="Percent 5 2 2 3" xfId="58044"/>
    <cellStyle name="Percent 5 2 3" xfId="58045"/>
    <cellStyle name="Percent 5 2 4" xfId="58046"/>
    <cellStyle name="Percent 5 2 5" xfId="58047"/>
    <cellStyle name="Percent 5 3" xfId="58048"/>
    <cellStyle name="Percent 5 3 2" xfId="58049"/>
    <cellStyle name="Percent 5 3 3" xfId="58050"/>
    <cellStyle name="Percent 5 3 4" xfId="58051"/>
    <cellStyle name="Percent 5 4" xfId="58052"/>
    <cellStyle name="Percent 5 5" xfId="58053"/>
    <cellStyle name="Percent 5 6" xfId="58054"/>
    <cellStyle name="Percent 6" xfId="130"/>
    <cellStyle name="Percent 6 2" xfId="58055"/>
    <cellStyle name="Percent 6 2 2" xfId="58056"/>
    <cellStyle name="Percent 6 3" xfId="58057"/>
    <cellStyle name="Percent 6 4" xfId="58058"/>
    <cellStyle name="Percent 7" xfId="710"/>
    <cellStyle name="Percent 7 2" xfId="58059"/>
    <cellStyle name="Percent 7 3" xfId="58060"/>
    <cellStyle name="Percent 7 4" xfId="58061"/>
    <cellStyle name="Percent 8" xfId="58062"/>
    <cellStyle name="Percent 9" xfId="58063"/>
    <cellStyle name="Percent 9 2" xfId="58064"/>
    <cellStyle name="Plain" xfId="58065"/>
    <cellStyle name="Plain 2" xfId="58066"/>
    <cellStyle name="Projected future" xfId="58067"/>
    <cellStyle name="Projected future 2" xfId="58068"/>
    <cellStyle name="SAPBEXHLevel3" xfId="58069"/>
    <cellStyle name="SAPBEXHLevel3 2" xfId="58070"/>
    <cellStyle name="SAPBEXHLevel3 2 2" xfId="58071"/>
    <cellStyle name="SAPBEXHLevel3 2 3" xfId="58072"/>
    <cellStyle name="SAPBEXHLevel3 3" xfId="58073"/>
    <cellStyle name="SAPBEXHLevel3 4" xfId="58074"/>
    <cellStyle name="SAPBEXstdData" xfId="58075"/>
    <cellStyle name="Scenario flex current" xfId="58076"/>
    <cellStyle name="Scenario flex current 2" xfId="58077"/>
    <cellStyle name="SectHeader" xfId="58078"/>
    <cellStyle name="SectHeaderLev2" xfId="58079"/>
    <cellStyle name="SectLev2SubTotal" xfId="58080"/>
    <cellStyle name="SectSubHeader" xfId="58081"/>
    <cellStyle name="SectSubHeaderTotal" xfId="58082"/>
    <cellStyle name="SectSubTotal" xfId="58083"/>
    <cellStyle name="Shaded" xfId="58084"/>
    <cellStyle name="Single Cell Column Heading" xfId="58085"/>
    <cellStyle name="Small" xfId="58086"/>
    <cellStyle name="Style 1" xfId="58087"/>
    <cellStyle name="SubNoteNum" xfId="58088"/>
    <cellStyle name="SubNoteSection" xfId="58089"/>
    <cellStyle name="SYSTEM" xfId="14504"/>
    <cellStyle name="SYSTEM 10" xfId="14787"/>
    <cellStyle name="SYSTEM 10 10" xfId="23152"/>
    <cellStyle name="SYSTEM 10 10 2" xfId="58090"/>
    <cellStyle name="SYSTEM 10 10 3" xfId="58091"/>
    <cellStyle name="SYSTEM 10 11" xfId="58092"/>
    <cellStyle name="SYSTEM 10 2" xfId="15868"/>
    <cellStyle name="SYSTEM 10 2 2" xfId="24187"/>
    <cellStyle name="SYSTEM 10 2 2 2" xfId="58093"/>
    <cellStyle name="SYSTEM 10 2 2 3" xfId="58094"/>
    <cellStyle name="SYSTEM 10 2 3" xfId="58095"/>
    <cellStyle name="SYSTEM 10 3" xfId="16834"/>
    <cellStyle name="SYSTEM 10 3 2" xfId="25159"/>
    <cellStyle name="SYSTEM 10 3 2 2" xfId="58096"/>
    <cellStyle name="SYSTEM 10 3 2 3" xfId="58097"/>
    <cellStyle name="SYSTEM 10 3 3" xfId="58098"/>
    <cellStyle name="SYSTEM 10 4" xfId="17861"/>
    <cellStyle name="SYSTEM 10 4 2" xfId="26185"/>
    <cellStyle name="SYSTEM 10 4 2 2" xfId="58099"/>
    <cellStyle name="SYSTEM 10 4 2 3" xfId="58100"/>
    <cellStyle name="SYSTEM 10 4 3" xfId="58101"/>
    <cellStyle name="SYSTEM 10 5" xfId="18845"/>
    <cellStyle name="SYSTEM 10 5 2" xfId="27166"/>
    <cellStyle name="SYSTEM 10 5 2 2" xfId="58102"/>
    <cellStyle name="SYSTEM 10 5 2 3" xfId="58103"/>
    <cellStyle name="SYSTEM 10 5 3" xfId="58104"/>
    <cellStyle name="SYSTEM 10 6" xfId="19813"/>
    <cellStyle name="SYSTEM 10 6 2" xfId="28135"/>
    <cellStyle name="SYSTEM 10 6 2 2" xfId="58105"/>
    <cellStyle name="SYSTEM 10 6 2 3" xfId="58106"/>
    <cellStyle name="SYSTEM 10 6 3" xfId="58107"/>
    <cellStyle name="SYSTEM 10 7" xfId="20771"/>
    <cellStyle name="SYSTEM 10 7 2" xfId="29092"/>
    <cellStyle name="SYSTEM 10 7 2 2" xfId="58108"/>
    <cellStyle name="SYSTEM 10 7 2 3" xfId="58109"/>
    <cellStyle name="SYSTEM 10 7 3" xfId="58110"/>
    <cellStyle name="SYSTEM 10 8" xfId="21368"/>
    <cellStyle name="SYSTEM 10 8 2" xfId="29671"/>
    <cellStyle name="SYSTEM 10 8 2 2" xfId="58111"/>
    <cellStyle name="SYSTEM 10 8 2 3" xfId="58112"/>
    <cellStyle name="SYSTEM 10 8 3" xfId="58113"/>
    <cellStyle name="SYSTEM 10 9" xfId="22207"/>
    <cellStyle name="SYSTEM 10 9 2" xfId="30505"/>
    <cellStyle name="SYSTEM 10 9 2 2" xfId="58114"/>
    <cellStyle name="SYSTEM 10 9 2 3" xfId="58115"/>
    <cellStyle name="SYSTEM 10 9 3" xfId="58116"/>
    <cellStyle name="SYSTEM 11" xfId="14869"/>
    <cellStyle name="SYSTEM 11 10" xfId="23232"/>
    <cellStyle name="SYSTEM 11 10 2" xfId="58117"/>
    <cellStyle name="SYSTEM 11 10 3" xfId="58118"/>
    <cellStyle name="SYSTEM 11 11" xfId="58119"/>
    <cellStyle name="SYSTEM 11 2" xfId="15950"/>
    <cellStyle name="SYSTEM 11 2 2" xfId="24267"/>
    <cellStyle name="SYSTEM 11 2 2 2" xfId="58120"/>
    <cellStyle name="SYSTEM 11 2 2 3" xfId="58121"/>
    <cellStyle name="SYSTEM 11 2 3" xfId="58122"/>
    <cellStyle name="SYSTEM 11 3" xfId="16916"/>
    <cellStyle name="SYSTEM 11 3 2" xfId="25239"/>
    <cellStyle name="SYSTEM 11 3 2 2" xfId="58123"/>
    <cellStyle name="SYSTEM 11 3 2 3" xfId="58124"/>
    <cellStyle name="SYSTEM 11 3 3" xfId="58125"/>
    <cellStyle name="SYSTEM 11 4" xfId="17943"/>
    <cellStyle name="SYSTEM 11 4 2" xfId="26265"/>
    <cellStyle name="SYSTEM 11 4 2 2" xfId="58126"/>
    <cellStyle name="SYSTEM 11 4 2 3" xfId="58127"/>
    <cellStyle name="SYSTEM 11 4 3" xfId="58128"/>
    <cellStyle name="SYSTEM 11 5" xfId="18927"/>
    <cellStyle name="SYSTEM 11 5 2" xfId="27247"/>
    <cellStyle name="SYSTEM 11 5 2 2" xfId="58129"/>
    <cellStyle name="SYSTEM 11 5 2 3" xfId="58130"/>
    <cellStyle name="SYSTEM 11 5 3" xfId="58131"/>
    <cellStyle name="SYSTEM 11 6" xfId="19895"/>
    <cellStyle name="SYSTEM 11 6 2" xfId="28217"/>
    <cellStyle name="SYSTEM 11 6 2 2" xfId="58132"/>
    <cellStyle name="SYSTEM 11 6 2 3" xfId="58133"/>
    <cellStyle name="SYSTEM 11 6 3" xfId="58134"/>
    <cellStyle name="SYSTEM 11 7" xfId="20853"/>
    <cellStyle name="SYSTEM 11 7 2" xfId="29172"/>
    <cellStyle name="SYSTEM 11 7 2 2" xfId="58135"/>
    <cellStyle name="SYSTEM 11 7 2 3" xfId="58136"/>
    <cellStyle name="SYSTEM 11 7 3" xfId="58137"/>
    <cellStyle name="SYSTEM 11 8" xfId="15534"/>
    <cellStyle name="SYSTEM 11 8 2" xfId="23870"/>
    <cellStyle name="SYSTEM 11 8 2 2" xfId="58138"/>
    <cellStyle name="SYSTEM 11 8 2 3" xfId="58139"/>
    <cellStyle name="SYSTEM 11 8 3" xfId="58140"/>
    <cellStyle name="SYSTEM 11 9" xfId="22288"/>
    <cellStyle name="SYSTEM 11 9 2" xfId="30586"/>
    <cellStyle name="SYSTEM 11 9 2 2" xfId="58141"/>
    <cellStyle name="SYSTEM 11 9 2 3" xfId="58142"/>
    <cellStyle name="SYSTEM 11 9 3" xfId="58143"/>
    <cellStyle name="SYSTEM 12" xfId="14886"/>
    <cellStyle name="SYSTEM 12 10" xfId="23249"/>
    <cellStyle name="SYSTEM 12 10 2" xfId="58144"/>
    <cellStyle name="SYSTEM 12 10 3" xfId="58145"/>
    <cellStyle name="SYSTEM 12 11" xfId="58146"/>
    <cellStyle name="SYSTEM 12 2" xfId="15967"/>
    <cellStyle name="SYSTEM 12 2 2" xfId="24284"/>
    <cellStyle name="SYSTEM 12 2 2 2" xfId="58147"/>
    <cellStyle name="SYSTEM 12 2 2 3" xfId="58148"/>
    <cellStyle name="SYSTEM 12 2 3" xfId="58149"/>
    <cellStyle name="SYSTEM 12 3" xfId="16933"/>
    <cellStyle name="SYSTEM 12 3 2" xfId="25256"/>
    <cellStyle name="SYSTEM 12 3 2 2" xfId="58150"/>
    <cellStyle name="SYSTEM 12 3 2 3" xfId="58151"/>
    <cellStyle name="SYSTEM 12 3 3" xfId="58152"/>
    <cellStyle name="SYSTEM 12 4" xfId="17960"/>
    <cellStyle name="SYSTEM 12 4 2" xfId="26282"/>
    <cellStyle name="SYSTEM 12 4 2 2" xfId="58153"/>
    <cellStyle name="SYSTEM 12 4 2 3" xfId="58154"/>
    <cellStyle name="SYSTEM 12 4 3" xfId="58155"/>
    <cellStyle name="SYSTEM 12 5" xfId="18944"/>
    <cellStyle name="SYSTEM 12 5 2" xfId="27264"/>
    <cellStyle name="SYSTEM 12 5 2 2" xfId="58156"/>
    <cellStyle name="SYSTEM 12 5 2 3" xfId="58157"/>
    <cellStyle name="SYSTEM 12 5 3" xfId="58158"/>
    <cellStyle name="SYSTEM 12 6" xfId="19912"/>
    <cellStyle name="SYSTEM 12 6 2" xfId="28234"/>
    <cellStyle name="SYSTEM 12 6 2 2" xfId="58159"/>
    <cellStyle name="SYSTEM 12 6 2 3" xfId="58160"/>
    <cellStyle name="SYSTEM 12 6 3" xfId="58161"/>
    <cellStyle name="SYSTEM 12 7" xfId="20870"/>
    <cellStyle name="SYSTEM 12 7 2" xfId="29189"/>
    <cellStyle name="SYSTEM 12 7 2 2" xfId="58162"/>
    <cellStyle name="SYSTEM 12 7 2 3" xfId="58163"/>
    <cellStyle name="SYSTEM 12 7 3" xfId="58164"/>
    <cellStyle name="SYSTEM 12 8" xfId="21377"/>
    <cellStyle name="SYSTEM 12 8 2" xfId="29680"/>
    <cellStyle name="SYSTEM 12 8 2 2" xfId="58165"/>
    <cellStyle name="SYSTEM 12 8 2 3" xfId="58166"/>
    <cellStyle name="SYSTEM 12 8 3" xfId="58167"/>
    <cellStyle name="SYSTEM 12 9" xfId="22305"/>
    <cellStyle name="SYSTEM 12 9 2" xfId="30603"/>
    <cellStyle name="SYSTEM 12 9 2 2" xfId="58168"/>
    <cellStyle name="SYSTEM 12 9 2 3" xfId="58169"/>
    <cellStyle name="SYSTEM 12 9 3" xfId="58170"/>
    <cellStyle name="SYSTEM 13" xfId="14825"/>
    <cellStyle name="SYSTEM 13 10" xfId="23189"/>
    <cellStyle name="SYSTEM 13 10 2" xfId="58171"/>
    <cellStyle name="SYSTEM 13 10 3" xfId="58172"/>
    <cellStyle name="SYSTEM 13 11" xfId="58173"/>
    <cellStyle name="SYSTEM 13 2" xfId="15906"/>
    <cellStyle name="SYSTEM 13 2 2" xfId="24224"/>
    <cellStyle name="SYSTEM 13 2 2 2" xfId="58174"/>
    <cellStyle name="SYSTEM 13 2 2 3" xfId="58175"/>
    <cellStyle name="SYSTEM 13 2 3" xfId="58176"/>
    <cellStyle name="SYSTEM 13 3" xfId="16872"/>
    <cellStyle name="SYSTEM 13 3 2" xfId="25196"/>
    <cellStyle name="SYSTEM 13 3 2 2" xfId="58177"/>
    <cellStyle name="SYSTEM 13 3 2 3" xfId="58178"/>
    <cellStyle name="SYSTEM 13 3 3" xfId="58179"/>
    <cellStyle name="SYSTEM 13 4" xfId="17899"/>
    <cellStyle name="SYSTEM 13 4 2" xfId="26222"/>
    <cellStyle name="SYSTEM 13 4 2 2" xfId="58180"/>
    <cellStyle name="SYSTEM 13 4 2 3" xfId="58181"/>
    <cellStyle name="SYSTEM 13 4 3" xfId="58182"/>
    <cellStyle name="SYSTEM 13 5" xfId="18883"/>
    <cellStyle name="SYSTEM 13 5 2" xfId="27203"/>
    <cellStyle name="SYSTEM 13 5 2 2" xfId="58183"/>
    <cellStyle name="SYSTEM 13 5 2 3" xfId="58184"/>
    <cellStyle name="SYSTEM 13 5 3" xfId="58185"/>
    <cellStyle name="SYSTEM 13 6" xfId="19851"/>
    <cellStyle name="SYSTEM 13 6 2" xfId="28173"/>
    <cellStyle name="SYSTEM 13 6 2 2" xfId="58186"/>
    <cellStyle name="SYSTEM 13 6 2 3" xfId="58187"/>
    <cellStyle name="SYSTEM 13 6 3" xfId="58188"/>
    <cellStyle name="SYSTEM 13 7" xfId="20809"/>
    <cellStyle name="SYSTEM 13 7 2" xfId="29129"/>
    <cellStyle name="SYSTEM 13 7 2 2" xfId="58189"/>
    <cellStyle name="SYSTEM 13 7 2 3" xfId="58190"/>
    <cellStyle name="SYSTEM 13 7 3" xfId="58191"/>
    <cellStyle name="SYSTEM 13 8" xfId="21091"/>
    <cellStyle name="SYSTEM 13 8 2" xfId="29408"/>
    <cellStyle name="SYSTEM 13 8 2 2" xfId="58192"/>
    <cellStyle name="SYSTEM 13 8 2 3" xfId="58193"/>
    <cellStyle name="SYSTEM 13 8 3" xfId="58194"/>
    <cellStyle name="SYSTEM 13 9" xfId="22244"/>
    <cellStyle name="SYSTEM 13 9 2" xfId="30543"/>
    <cellStyle name="SYSTEM 13 9 2 2" xfId="58195"/>
    <cellStyle name="SYSTEM 13 9 2 3" xfId="58196"/>
    <cellStyle name="SYSTEM 13 9 3" xfId="58197"/>
    <cellStyle name="SYSTEM 14" xfId="15013"/>
    <cellStyle name="SYSTEM 14 10" xfId="23373"/>
    <cellStyle name="SYSTEM 14 10 2" xfId="58198"/>
    <cellStyle name="SYSTEM 14 10 3" xfId="58199"/>
    <cellStyle name="SYSTEM 14 11" xfId="58200"/>
    <cellStyle name="SYSTEM 14 2" xfId="16093"/>
    <cellStyle name="SYSTEM 14 2 2" xfId="24408"/>
    <cellStyle name="SYSTEM 14 2 2 2" xfId="58201"/>
    <cellStyle name="SYSTEM 14 2 2 3" xfId="58202"/>
    <cellStyle name="SYSTEM 14 2 3" xfId="58203"/>
    <cellStyle name="SYSTEM 14 3" xfId="17060"/>
    <cellStyle name="SYSTEM 14 3 2" xfId="25381"/>
    <cellStyle name="SYSTEM 14 3 2 2" xfId="58204"/>
    <cellStyle name="SYSTEM 14 3 2 3" xfId="58205"/>
    <cellStyle name="SYSTEM 14 3 3" xfId="58206"/>
    <cellStyle name="SYSTEM 14 4" xfId="18087"/>
    <cellStyle name="SYSTEM 14 4 2" xfId="26407"/>
    <cellStyle name="SYSTEM 14 4 2 2" xfId="58207"/>
    <cellStyle name="SYSTEM 14 4 2 3" xfId="58208"/>
    <cellStyle name="SYSTEM 14 4 3" xfId="58209"/>
    <cellStyle name="SYSTEM 14 5" xfId="19071"/>
    <cellStyle name="SYSTEM 14 5 2" xfId="27391"/>
    <cellStyle name="SYSTEM 14 5 2 2" xfId="58210"/>
    <cellStyle name="SYSTEM 14 5 2 3" xfId="58211"/>
    <cellStyle name="SYSTEM 14 5 3" xfId="58212"/>
    <cellStyle name="SYSTEM 14 6" xfId="20039"/>
    <cellStyle name="SYSTEM 14 6 2" xfId="28361"/>
    <cellStyle name="SYSTEM 14 6 2 2" xfId="58213"/>
    <cellStyle name="SYSTEM 14 6 2 3" xfId="58214"/>
    <cellStyle name="SYSTEM 14 6 3" xfId="58215"/>
    <cellStyle name="SYSTEM 14 7" xfId="20996"/>
    <cellStyle name="SYSTEM 14 7 2" xfId="29313"/>
    <cellStyle name="SYSTEM 14 7 2 2" xfId="58216"/>
    <cellStyle name="SYSTEM 14 7 2 3" xfId="58217"/>
    <cellStyle name="SYSTEM 14 7 3" xfId="58218"/>
    <cellStyle name="SYSTEM 14 8" xfId="21503"/>
    <cellStyle name="SYSTEM 14 8 2" xfId="29804"/>
    <cellStyle name="SYSTEM 14 8 2 2" xfId="58219"/>
    <cellStyle name="SYSTEM 14 8 2 3" xfId="58220"/>
    <cellStyle name="SYSTEM 14 8 3" xfId="58221"/>
    <cellStyle name="SYSTEM 14 9" xfId="22431"/>
    <cellStyle name="SYSTEM 14 9 2" xfId="30727"/>
    <cellStyle name="SYSTEM 14 9 2 2" xfId="58222"/>
    <cellStyle name="SYSTEM 14 9 2 3" xfId="58223"/>
    <cellStyle name="SYSTEM 14 9 3" xfId="58224"/>
    <cellStyle name="SYSTEM 15" xfId="15075"/>
    <cellStyle name="SYSTEM 15 2" xfId="16155"/>
    <cellStyle name="SYSTEM 15 2 2" xfId="58225"/>
    <cellStyle name="SYSTEM 15 2 2 2" xfId="58226"/>
    <cellStyle name="SYSTEM 15 2 2 3" xfId="58227"/>
    <cellStyle name="SYSTEM 15 2 3" xfId="58228"/>
    <cellStyle name="SYSTEM 15 2 4" xfId="58229"/>
    <cellStyle name="SYSTEM 15 3" xfId="17122"/>
    <cellStyle name="SYSTEM 15 3 2" xfId="25443"/>
    <cellStyle name="SYSTEM 15 3 2 2" xfId="58230"/>
    <cellStyle name="SYSTEM 15 3 2 3" xfId="58231"/>
    <cellStyle name="SYSTEM 15 3 3" xfId="58232"/>
    <cellStyle name="SYSTEM 15 4" xfId="18149"/>
    <cellStyle name="SYSTEM 15 4 2" xfId="26469"/>
    <cellStyle name="SYSTEM 15 4 2 2" xfId="58233"/>
    <cellStyle name="SYSTEM 15 4 2 3" xfId="58234"/>
    <cellStyle name="SYSTEM 15 4 3" xfId="58235"/>
    <cellStyle name="SYSTEM 15 5" xfId="20101"/>
    <cellStyle name="SYSTEM 15 5 2" xfId="28423"/>
    <cellStyle name="SYSTEM 15 5 3" xfId="35548"/>
    <cellStyle name="SYSTEM 15 6" xfId="21058"/>
    <cellStyle name="SYSTEM 15 6 2" xfId="29375"/>
    <cellStyle name="SYSTEM 15 6 2 2" xfId="58236"/>
    <cellStyle name="SYSTEM 15 6 2 3" xfId="58237"/>
    <cellStyle name="SYSTEM 15 6 3" xfId="58238"/>
    <cellStyle name="SYSTEM 15 7" xfId="58239"/>
    <cellStyle name="SYSTEM 15 8" xfId="58240"/>
    <cellStyle name="SYSTEM 16" xfId="15133"/>
    <cellStyle name="SYSTEM 16 2" xfId="16213"/>
    <cellStyle name="SYSTEM 16 2 2" xfId="24526"/>
    <cellStyle name="SYSTEM 16 2 2 2" xfId="58241"/>
    <cellStyle name="SYSTEM 16 2 2 3" xfId="58242"/>
    <cellStyle name="SYSTEM 16 2 3" xfId="58243"/>
    <cellStyle name="SYSTEM 16 3" xfId="17179"/>
    <cellStyle name="SYSTEM 16 3 2" xfId="25500"/>
    <cellStyle name="SYSTEM 16 3 2 2" xfId="58244"/>
    <cellStyle name="SYSTEM 16 3 2 3" xfId="58245"/>
    <cellStyle name="SYSTEM 16 3 3" xfId="58246"/>
    <cellStyle name="SYSTEM 16 4" xfId="18207"/>
    <cellStyle name="SYSTEM 16 4 2" xfId="26527"/>
    <cellStyle name="SYSTEM 16 4 2 2" xfId="58247"/>
    <cellStyle name="SYSTEM 16 4 2 3" xfId="58248"/>
    <cellStyle name="SYSTEM 16 4 3" xfId="58249"/>
    <cellStyle name="SYSTEM 16 5" xfId="20159"/>
    <cellStyle name="SYSTEM 16 5 2" xfId="28481"/>
    <cellStyle name="SYSTEM 16 5 2 2" xfId="58250"/>
    <cellStyle name="SYSTEM 16 5 2 3" xfId="58251"/>
    <cellStyle name="SYSTEM 16 5 3" xfId="58252"/>
    <cellStyle name="SYSTEM 16 6" xfId="21620"/>
    <cellStyle name="SYSTEM 16 6 2" xfId="29921"/>
    <cellStyle name="SYSTEM 16 6 2 2" xfId="58253"/>
    <cellStyle name="SYSTEM 16 6 2 3" xfId="58254"/>
    <cellStyle name="SYSTEM 16 6 3" xfId="58255"/>
    <cellStyle name="SYSTEM 16 7" xfId="22548"/>
    <cellStyle name="SYSTEM 16 7 2" xfId="30844"/>
    <cellStyle name="SYSTEM 16 7 2 2" xfId="58256"/>
    <cellStyle name="SYSTEM 16 7 2 3" xfId="58257"/>
    <cellStyle name="SYSTEM 16 7 3" xfId="58258"/>
    <cellStyle name="SYSTEM 16 8" xfId="23490"/>
    <cellStyle name="SYSTEM 16 8 2" xfId="58259"/>
    <cellStyle name="SYSTEM 16 8 3" xfId="58260"/>
    <cellStyle name="SYSTEM 16 9" xfId="58261"/>
    <cellStyle name="SYSTEM 17" xfId="15154"/>
    <cellStyle name="SYSTEM 17 2" xfId="16234"/>
    <cellStyle name="SYSTEM 17 2 2" xfId="24547"/>
    <cellStyle name="SYSTEM 17 2 2 2" xfId="58262"/>
    <cellStyle name="SYSTEM 17 2 2 3" xfId="58263"/>
    <cellStyle name="SYSTEM 17 2 3" xfId="58264"/>
    <cellStyle name="SYSTEM 17 3" xfId="17200"/>
    <cellStyle name="SYSTEM 17 3 2" xfId="25521"/>
    <cellStyle name="SYSTEM 17 3 2 2" xfId="58265"/>
    <cellStyle name="SYSTEM 17 3 2 3" xfId="58266"/>
    <cellStyle name="SYSTEM 17 3 3" xfId="58267"/>
    <cellStyle name="SYSTEM 17 4" xfId="18228"/>
    <cellStyle name="SYSTEM 17 4 2" xfId="26548"/>
    <cellStyle name="SYSTEM 17 4 2 2" xfId="58268"/>
    <cellStyle name="SYSTEM 17 4 2 3" xfId="58269"/>
    <cellStyle name="SYSTEM 17 4 3" xfId="58270"/>
    <cellStyle name="SYSTEM 17 5" xfId="20180"/>
    <cellStyle name="SYSTEM 17 5 2" xfId="28502"/>
    <cellStyle name="SYSTEM 17 5 2 2" xfId="58271"/>
    <cellStyle name="SYSTEM 17 5 2 3" xfId="58272"/>
    <cellStyle name="SYSTEM 17 5 3" xfId="58273"/>
    <cellStyle name="SYSTEM 17 6" xfId="21641"/>
    <cellStyle name="SYSTEM 17 6 2" xfId="29942"/>
    <cellStyle name="SYSTEM 17 6 2 2" xfId="58274"/>
    <cellStyle name="SYSTEM 17 6 2 3" xfId="58275"/>
    <cellStyle name="SYSTEM 17 6 3" xfId="58276"/>
    <cellStyle name="SYSTEM 17 7" xfId="22569"/>
    <cellStyle name="SYSTEM 17 7 2" xfId="30865"/>
    <cellStyle name="SYSTEM 17 7 2 2" xfId="58277"/>
    <cellStyle name="SYSTEM 17 7 2 3" xfId="58278"/>
    <cellStyle name="SYSTEM 17 7 3" xfId="58279"/>
    <cellStyle name="SYSTEM 17 8" xfId="23511"/>
    <cellStyle name="SYSTEM 17 8 2" xfId="58280"/>
    <cellStyle name="SYSTEM 17 8 3" xfId="58281"/>
    <cellStyle name="SYSTEM 17 9" xfId="58282"/>
    <cellStyle name="SYSTEM 18" xfId="15130"/>
    <cellStyle name="SYSTEM 18 2" xfId="16210"/>
    <cellStyle name="SYSTEM 18 2 2" xfId="24523"/>
    <cellStyle name="SYSTEM 18 2 2 2" xfId="58283"/>
    <cellStyle name="SYSTEM 18 2 2 3" xfId="58284"/>
    <cellStyle name="SYSTEM 18 2 3" xfId="58285"/>
    <cellStyle name="SYSTEM 18 3" xfId="17176"/>
    <cellStyle name="SYSTEM 18 3 2" xfId="25497"/>
    <cellStyle name="SYSTEM 18 3 2 2" xfId="58286"/>
    <cellStyle name="SYSTEM 18 3 2 3" xfId="58287"/>
    <cellStyle name="SYSTEM 18 3 3" xfId="58288"/>
    <cellStyle name="SYSTEM 18 4" xfId="18204"/>
    <cellStyle name="SYSTEM 18 4 2" xfId="26524"/>
    <cellStyle name="SYSTEM 18 4 2 2" xfId="58289"/>
    <cellStyle name="SYSTEM 18 4 2 3" xfId="58290"/>
    <cellStyle name="SYSTEM 18 4 3" xfId="58291"/>
    <cellStyle name="SYSTEM 18 5" xfId="20156"/>
    <cellStyle name="SYSTEM 18 5 2" xfId="28478"/>
    <cellStyle name="SYSTEM 18 5 2 2" xfId="58292"/>
    <cellStyle name="SYSTEM 18 5 2 3" xfId="58293"/>
    <cellStyle name="SYSTEM 18 5 3" xfId="58294"/>
    <cellStyle name="SYSTEM 18 6" xfId="21617"/>
    <cellStyle name="SYSTEM 18 6 2" xfId="29918"/>
    <cellStyle name="SYSTEM 18 6 2 2" xfId="58295"/>
    <cellStyle name="SYSTEM 18 6 2 3" xfId="58296"/>
    <cellStyle name="SYSTEM 18 6 3" xfId="58297"/>
    <cellStyle name="SYSTEM 18 7" xfId="22545"/>
    <cellStyle name="SYSTEM 18 7 2" xfId="30841"/>
    <cellStyle name="SYSTEM 18 7 2 2" xfId="58298"/>
    <cellStyle name="SYSTEM 18 7 2 3" xfId="58299"/>
    <cellStyle name="SYSTEM 18 7 3" xfId="58300"/>
    <cellStyle name="SYSTEM 18 8" xfId="23487"/>
    <cellStyle name="SYSTEM 18 8 2" xfId="58301"/>
    <cellStyle name="SYSTEM 18 8 3" xfId="58302"/>
    <cellStyle name="SYSTEM 18 9" xfId="58303"/>
    <cellStyle name="SYSTEM 19" xfId="15193"/>
    <cellStyle name="SYSTEM 19 2" xfId="16273"/>
    <cellStyle name="SYSTEM 19 2 2" xfId="24586"/>
    <cellStyle name="SYSTEM 19 2 2 2" xfId="58304"/>
    <cellStyle name="SYSTEM 19 2 2 3" xfId="58305"/>
    <cellStyle name="SYSTEM 19 2 3" xfId="58306"/>
    <cellStyle name="SYSTEM 19 3" xfId="17239"/>
    <cellStyle name="SYSTEM 19 3 2" xfId="25560"/>
    <cellStyle name="SYSTEM 19 3 2 2" xfId="58307"/>
    <cellStyle name="SYSTEM 19 3 2 3" xfId="58308"/>
    <cellStyle name="SYSTEM 19 3 3" xfId="58309"/>
    <cellStyle name="SYSTEM 19 4" xfId="18267"/>
    <cellStyle name="SYSTEM 19 4 2" xfId="26587"/>
    <cellStyle name="SYSTEM 19 4 2 2" xfId="58310"/>
    <cellStyle name="SYSTEM 19 4 2 3" xfId="58311"/>
    <cellStyle name="SYSTEM 19 4 3" xfId="58312"/>
    <cellStyle name="SYSTEM 19 5" xfId="20219"/>
    <cellStyle name="SYSTEM 19 5 2" xfId="28541"/>
    <cellStyle name="SYSTEM 19 5 2 2" xfId="58313"/>
    <cellStyle name="SYSTEM 19 5 2 3" xfId="58314"/>
    <cellStyle name="SYSTEM 19 5 3" xfId="58315"/>
    <cellStyle name="SYSTEM 19 6" xfId="21680"/>
    <cellStyle name="SYSTEM 19 6 2" xfId="29981"/>
    <cellStyle name="SYSTEM 19 6 2 2" xfId="58316"/>
    <cellStyle name="SYSTEM 19 6 2 3" xfId="58317"/>
    <cellStyle name="SYSTEM 19 6 3" xfId="58318"/>
    <cellStyle name="SYSTEM 19 7" xfId="22608"/>
    <cellStyle name="SYSTEM 19 7 2" xfId="30904"/>
    <cellStyle name="SYSTEM 19 7 2 2" xfId="58319"/>
    <cellStyle name="SYSTEM 19 7 2 3" xfId="58320"/>
    <cellStyle name="SYSTEM 19 7 3" xfId="58321"/>
    <cellStyle name="SYSTEM 19 8" xfId="23550"/>
    <cellStyle name="SYSTEM 19 8 2" xfId="58322"/>
    <cellStyle name="SYSTEM 19 8 3" xfId="58323"/>
    <cellStyle name="SYSTEM 19 9" xfId="58324"/>
    <cellStyle name="SYSTEM 2" xfId="14505"/>
    <cellStyle name="SYSTEM 2 10" xfId="14885"/>
    <cellStyle name="SYSTEM 2 10 10" xfId="23248"/>
    <cellStyle name="SYSTEM 2 10 10 2" xfId="58325"/>
    <cellStyle name="SYSTEM 2 10 10 3" xfId="58326"/>
    <cellStyle name="SYSTEM 2 10 11" xfId="58327"/>
    <cellStyle name="SYSTEM 2 10 2" xfId="15966"/>
    <cellStyle name="SYSTEM 2 10 2 2" xfId="24283"/>
    <cellStyle name="SYSTEM 2 10 2 2 2" xfId="58328"/>
    <cellStyle name="SYSTEM 2 10 2 2 3" xfId="58329"/>
    <cellStyle name="SYSTEM 2 10 2 3" xfId="58330"/>
    <cellStyle name="SYSTEM 2 10 3" xfId="16932"/>
    <cellStyle name="SYSTEM 2 10 3 2" xfId="25255"/>
    <cellStyle name="SYSTEM 2 10 3 2 2" xfId="58331"/>
    <cellStyle name="SYSTEM 2 10 3 2 3" xfId="58332"/>
    <cellStyle name="SYSTEM 2 10 3 3" xfId="58333"/>
    <cellStyle name="SYSTEM 2 10 4" xfId="17959"/>
    <cellStyle name="SYSTEM 2 10 4 2" xfId="26281"/>
    <cellStyle name="SYSTEM 2 10 4 2 2" xfId="58334"/>
    <cellStyle name="SYSTEM 2 10 4 2 3" xfId="58335"/>
    <cellStyle name="SYSTEM 2 10 4 3" xfId="58336"/>
    <cellStyle name="SYSTEM 2 10 5" xfId="18943"/>
    <cellStyle name="SYSTEM 2 10 5 2" xfId="27263"/>
    <cellStyle name="SYSTEM 2 10 5 2 2" xfId="58337"/>
    <cellStyle name="SYSTEM 2 10 5 2 3" xfId="58338"/>
    <cellStyle name="SYSTEM 2 10 5 3" xfId="58339"/>
    <cellStyle name="SYSTEM 2 10 6" xfId="19911"/>
    <cellStyle name="SYSTEM 2 10 6 2" xfId="28233"/>
    <cellStyle name="SYSTEM 2 10 6 2 2" xfId="58340"/>
    <cellStyle name="SYSTEM 2 10 6 2 3" xfId="58341"/>
    <cellStyle name="SYSTEM 2 10 6 3" xfId="58342"/>
    <cellStyle name="SYSTEM 2 10 7" xfId="20869"/>
    <cellStyle name="SYSTEM 2 10 7 2" xfId="29188"/>
    <cellStyle name="SYSTEM 2 10 7 2 2" xfId="58343"/>
    <cellStyle name="SYSTEM 2 10 7 2 3" xfId="58344"/>
    <cellStyle name="SYSTEM 2 10 7 3" xfId="58345"/>
    <cellStyle name="SYSTEM 2 10 8" xfId="20494"/>
    <cellStyle name="SYSTEM 2 10 8 2" xfId="28816"/>
    <cellStyle name="SYSTEM 2 10 8 2 2" xfId="58346"/>
    <cellStyle name="SYSTEM 2 10 8 2 3" xfId="58347"/>
    <cellStyle name="SYSTEM 2 10 8 3" xfId="58348"/>
    <cellStyle name="SYSTEM 2 10 9" xfId="22304"/>
    <cellStyle name="SYSTEM 2 10 9 2" xfId="30602"/>
    <cellStyle name="SYSTEM 2 10 9 2 2" xfId="58349"/>
    <cellStyle name="SYSTEM 2 10 9 2 3" xfId="58350"/>
    <cellStyle name="SYSTEM 2 10 9 3" xfId="58351"/>
    <cellStyle name="SYSTEM 2 11" xfId="14901"/>
    <cellStyle name="SYSTEM 2 11 10" xfId="23264"/>
    <cellStyle name="SYSTEM 2 11 10 2" xfId="58352"/>
    <cellStyle name="SYSTEM 2 11 10 3" xfId="58353"/>
    <cellStyle name="SYSTEM 2 11 11" xfId="58354"/>
    <cellStyle name="SYSTEM 2 11 2" xfId="15982"/>
    <cellStyle name="SYSTEM 2 11 2 2" xfId="24299"/>
    <cellStyle name="SYSTEM 2 11 2 2 2" xfId="58355"/>
    <cellStyle name="SYSTEM 2 11 2 2 3" xfId="58356"/>
    <cellStyle name="SYSTEM 2 11 2 3" xfId="58357"/>
    <cellStyle name="SYSTEM 2 11 3" xfId="16948"/>
    <cellStyle name="SYSTEM 2 11 3 2" xfId="25271"/>
    <cellStyle name="SYSTEM 2 11 3 2 2" xfId="58358"/>
    <cellStyle name="SYSTEM 2 11 3 2 3" xfId="58359"/>
    <cellStyle name="SYSTEM 2 11 3 3" xfId="58360"/>
    <cellStyle name="SYSTEM 2 11 4" xfId="17975"/>
    <cellStyle name="SYSTEM 2 11 4 2" xfId="26297"/>
    <cellStyle name="SYSTEM 2 11 4 2 2" xfId="58361"/>
    <cellStyle name="SYSTEM 2 11 4 2 3" xfId="58362"/>
    <cellStyle name="SYSTEM 2 11 4 3" xfId="58363"/>
    <cellStyle name="SYSTEM 2 11 5" xfId="18959"/>
    <cellStyle name="SYSTEM 2 11 5 2" xfId="27279"/>
    <cellStyle name="SYSTEM 2 11 5 2 2" xfId="58364"/>
    <cellStyle name="SYSTEM 2 11 5 2 3" xfId="58365"/>
    <cellStyle name="SYSTEM 2 11 5 3" xfId="58366"/>
    <cellStyle name="SYSTEM 2 11 6" xfId="19927"/>
    <cellStyle name="SYSTEM 2 11 6 2" xfId="28249"/>
    <cellStyle name="SYSTEM 2 11 6 2 2" xfId="58367"/>
    <cellStyle name="SYSTEM 2 11 6 2 3" xfId="58368"/>
    <cellStyle name="SYSTEM 2 11 6 3" xfId="58369"/>
    <cellStyle name="SYSTEM 2 11 7" xfId="20885"/>
    <cellStyle name="SYSTEM 2 11 7 2" xfId="29204"/>
    <cellStyle name="SYSTEM 2 11 7 2 2" xfId="58370"/>
    <cellStyle name="SYSTEM 2 11 7 2 3" xfId="58371"/>
    <cellStyle name="SYSTEM 2 11 7 3" xfId="58372"/>
    <cellStyle name="SYSTEM 2 11 8" xfId="21392"/>
    <cellStyle name="SYSTEM 2 11 8 2" xfId="29695"/>
    <cellStyle name="SYSTEM 2 11 8 2 2" xfId="58373"/>
    <cellStyle name="SYSTEM 2 11 8 2 3" xfId="58374"/>
    <cellStyle name="SYSTEM 2 11 8 3" xfId="58375"/>
    <cellStyle name="SYSTEM 2 11 9" xfId="22320"/>
    <cellStyle name="SYSTEM 2 11 9 2" xfId="30618"/>
    <cellStyle name="SYSTEM 2 11 9 2 2" xfId="58376"/>
    <cellStyle name="SYSTEM 2 11 9 2 3" xfId="58377"/>
    <cellStyle name="SYSTEM 2 11 9 3" xfId="58378"/>
    <cellStyle name="SYSTEM 2 12" xfId="14960"/>
    <cellStyle name="SYSTEM 2 12 10" xfId="23322"/>
    <cellStyle name="SYSTEM 2 12 10 2" xfId="58379"/>
    <cellStyle name="SYSTEM 2 12 10 3" xfId="58380"/>
    <cellStyle name="SYSTEM 2 12 11" xfId="58381"/>
    <cellStyle name="SYSTEM 2 12 2" xfId="16041"/>
    <cellStyle name="SYSTEM 2 12 2 2" xfId="24357"/>
    <cellStyle name="SYSTEM 2 12 2 2 2" xfId="58382"/>
    <cellStyle name="SYSTEM 2 12 2 2 3" xfId="58383"/>
    <cellStyle name="SYSTEM 2 12 2 3" xfId="58384"/>
    <cellStyle name="SYSTEM 2 12 3" xfId="17007"/>
    <cellStyle name="SYSTEM 2 12 3 2" xfId="25329"/>
    <cellStyle name="SYSTEM 2 12 3 2 2" xfId="58385"/>
    <cellStyle name="SYSTEM 2 12 3 2 3" xfId="58386"/>
    <cellStyle name="SYSTEM 2 12 3 3" xfId="58387"/>
    <cellStyle name="SYSTEM 2 12 4" xfId="18034"/>
    <cellStyle name="SYSTEM 2 12 4 2" xfId="26355"/>
    <cellStyle name="SYSTEM 2 12 4 2 2" xfId="58388"/>
    <cellStyle name="SYSTEM 2 12 4 2 3" xfId="58389"/>
    <cellStyle name="SYSTEM 2 12 4 3" xfId="58390"/>
    <cellStyle name="SYSTEM 2 12 5" xfId="19018"/>
    <cellStyle name="SYSTEM 2 12 5 2" xfId="27338"/>
    <cellStyle name="SYSTEM 2 12 5 2 2" xfId="58391"/>
    <cellStyle name="SYSTEM 2 12 5 2 3" xfId="58392"/>
    <cellStyle name="SYSTEM 2 12 5 3" xfId="58393"/>
    <cellStyle name="SYSTEM 2 12 6" xfId="19986"/>
    <cellStyle name="SYSTEM 2 12 6 2" xfId="28308"/>
    <cellStyle name="SYSTEM 2 12 6 2 2" xfId="58394"/>
    <cellStyle name="SYSTEM 2 12 6 2 3" xfId="58395"/>
    <cellStyle name="SYSTEM 2 12 6 3" xfId="58396"/>
    <cellStyle name="SYSTEM 2 12 7" xfId="20944"/>
    <cellStyle name="SYSTEM 2 12 7 2" xfId="29262"/>
    <cellStyle name="SYSTEM 2 12 7 2 2" xfId="58397"/>
    <cellStyle name="SYSTEM 2 12 7 2 3" xfId="58398"/>
    <cellStyle name="SYSTEM 2 12 7 3" xfId="58399"/>
    <cellStyle name="SYSTEM 2 12 8" xfId="21451"/>
    <cellStyle name="SYSTEM 2 12 8 2" xfId="29753"/>
    <cellStyle name="SYSTEM 2 12 8 2 2" xfId="58400"/>
    <cellStyle name="SYSTEM 2 12 8 2 3" xfId="58401"/>
    <cellStyle name="SYSTEM 2 12 8 3" xfId="58402"/>
    <cellStyle name="SYSTEM 2 12 9" xfId="22379"/>
    <cellStyle name="SYSTEM 2 12 9 2" xfId="30676"/>
    <cellStyle name="SYSTEM 2 12 9 2 2" xfId="58403"/>
    <cellStyle name="SYSTEM 2 12 9 2 3" xfId="58404"/>
    <cellStyle name="SYSTEM 2 12 9 3" xfId="58405"/>
    <cellStyle name="SYSTEM 2 13" xfId="15036"/>
    <cellStyle name="SYSTEM 2 13 10" xfId="23396"/>
    <cellStyle name="SYSTEM 2 13 10 2" xfId="58406"/>
    <cellStyle name="SYSTEM 2 13 10 3" xfId="58407"/>
    <cellStyle name="SYSTEM 2 13 11" xfId="58408"/>
    <cellStyle name="SYSTEM 2 13 2" xfId="16116"/>
    <cellStyle name="SYSTEM 2 13 2 2" xfId="24431"/>
    <cellStyle name="SYSTEM 2 13 2 2 2" xfId="58409"/>
    <cellStyle name="SYSTEM 2 13 2 2 3" xfId="58410"/>
    <cellStyle name="SYSTEM 2 13 2 3" xfId="58411"/>
    <cellStyle name="SYSTEM 2 13 3" xfId="17083"/>
    <cellStyle name="SYSTEM 2 13 3 2" xfId="25404"/>
    <cellStyle name="SYSTEM 2 13 3 2 2" xfId="58412"/>
    <cellStyle name="SYSTEM 2 13 3 2 3" xfId="58413"/>
    <cellStyle name="SYSTEM 2 13 3 3" xfId="58414"/>
    <cellStyle name="SYSTEM 2 13 4" xfId="18110"/>
    <cellStyle name="SYSTEM 2 13 4 2" xfId="26430"/>
    <cellStyle name="SYSTEM 2 13 4 2 2" xfId="58415"/>
    <cellStyle name="SYSTEM 2 13 4 2 3" xfId="58416"/>
    <cellStyle name="SYSTEM 2 13 4 3" xfId="58417"/>
    <cellStyle name="SYSTEM 2 13 5" xfId="19094"/>
    <cellStyle name="SYSTEM 2 13 5 2" xfId="27414"/>
    <cellStyle name="SYSTEM 2 13 5 2 2" xfId="58418"/>
    <cellStyle name="SYSTEM 2 13 5 2 3" xfId="58419"/>
    <cellStyle name="SYSTEM 2 13 5 3" xfId="58420"/>
    <cellStyle name="SYSTEM 2 13 6" xfId="20062"/>
    <cellStyle name="SYSTEM 2 13 6 2" xfId="28384"/>
    <cellStyle name="SYSTEM 2 13 6 2 2" xfId="58421"/>
    <cellStyle name="SYSTEM 2 13 6 2 3" xfId="58422"/>
    <cellStyle name="SYSTEM 2 13 6 3" xfId="58423"/>
    <cellStyle name="SYSTEM 2 13 7" xfId="21019"/>
    <cellStyle name="SYSTEM 2 13 7 2" xfId="29336"/>
    <cellStyle name="SYSTEM 2 13 7 2 2" xfId="58424"/>
    <cellStyle name="SYSTEM 2 13 7 2 3" xfId="58425"/>
    <cellStyle name="SYSTEM 2 13 7 3" xfId="58426"/>
    <cellStyle name="SYSTEM 2 13 8" xfId="21526"/>
    <cellStyle name="SYSTEM 2 13 8 2" xfId="29827"/>
    <cellStyle name="SYSTEM 2 13 8 2 2" xfId="58427"/>
    <cellStyle name="SYSTEM 2 13 8 2 3" xfId="58428"/>
    <cellStyle name="SYSTEM 2 13 8 3" xfId="58429"/>
    <cellStyle name="SYSTEM 2 13 9" xfId="22454"/>
    <cellStyle name="SYSTEM 2 13 9 2" xfId="30750"/>
    <cellStyle name="SYSTEM 2 13 9 2 2" xfId="58430"/>
    <cellStyle name="SYSTEM 2 13 9 2 3" xfId="58431"/>
    <cellStyle name="SYSTEM 2 13 9 3" xfId="58432"/>
    <cellStyle name="SYSTEM 2 14" xfId="15084"/>
    <cellStyle name="SYSTEM 2 14 2" xfId="16164"/>
    <cellStyle name="SYSTEM 2 14 2 2" xfId="58433"/>
    <cellStyle name="SYSTEM 2 14 2 2 2" xfId="58434"/>
    <cellStyle name="SYSTEM 2 14 2 2 3" xfId="58435"/>
    <cellStyle name="SYSTEM 2 14 2 3" xfId="58436"/>
    <cellStyle name="SYSTEM 2 14 2 4" xfId="58437"/>
    <cellStyle name="SYSTEM 2 14 3" xfId="17131"/>
    <cellStyle name="SYSTEM 2 14 3 2" xfId="25452"/>
    <cellStyle name="SYSTEM 2 14 3 2 2" xfId="58438"/>
    <cellStyle name="SYSTEM 2 14 3 2 3" xfId="58439"/>
    <cellStyle name="SYSTEM 2 14 3 3" xfId="58440"/>
    <cellStyle name="SYSTEM 2 14 4" xfId="18158"/>
    <cellStyle name="SYSTEM 2 14 4 2" xfId="26478"/>
    <cellStyle name="SYSTEM 2 14 4 2 2" xfId="58441"/>
    <cellStyle name="SYSTEM 2 14 4 2 3" xfId="58442"/>
    <cellStyle name="SYSTEM 2 14 4 3" xfId="58443"/>
    <cellStyle name="SYSTEM 2 14 5" xfId="20110"/>
    <cellStyle name="SYSTEM 2 14 5 2" xfId="28432"/>
    <cellStyle name="SYSTEM 2 14 5 3" xfId="35557"/>
    <cellStyle name="SYSTEM 2 14 6" xfId="21066"/>
    <cellStyle name="SYSTEM 2 14 6 2" xfId="29383"/>
    <cellStyle name="SYSTEM 2 14 6 2 2" xfId="58444"/>
    <cellStyle name="SYSTEM 2 14 6 2 3" xfId="58445"/>
    <cellStyle name="SYSTEM 2 14 6 3" xfId="58446"/>
    <cellStyle name="SYSTEM 2 14 7" xfId="58447"/>
    <cellStyle name="SYSTEM 2 14 8" xfId="58448"/>
    <cellStyle name="SYSTEM 2 15" xfId="15150"/>
    <cellStyle name="SYSTEM 2 15 2" xfId="16230"/>
    <cellStyle name="SYSTEM 2 15 2 2" xfId="24543"/>
    <cellStyle name="SYSTEM 2 15 2 2 2" xfId="58449"/>
    <cellStyle name="SYSTEM 2 15 2 2 3" xfId="58450"/>
    <cellStyle name="SYSTEM 2 15 2 3" xfId="58451"/>
    <cellStyle name="SYSTEM 2 15 3" xfId="17196"/>
    <cellStyle name="SYSTEM 2 15 3 2" xfId="25517"/>
    <cellStyle name="SYSTEM 2 15 3 2 2" xfId="58452"/>
    <cellStyle name="SYSTEM 2 15 3 2 3" xfId="58453"/>
    <cellStyle name="SYSTEM 2 15 3 3" xfId="58454"/>
    <cellStyle name="SYSTEM 2 15 4" xfId="18224"/>
    <cellStyle name="SYSTEM 2 15 4 2" xfId="26544"/>
    <cellStyle name="SYSTEM 2 15 4 2 2" xfId="58455"/>
    <cellStyle name="SYSTEM 2 15 4 2 3" xfId="58456"/>
    <cellStyle name="SYSTEM 2 15 4 3" xfId="58457"/>
    <cellStyle name="SYSTEM 2 15 5" xfId="20176"/>
    <cellStyle name="SYSTEM 2 15 5 2" xfId="28498"/>
    <cellStyle name="SYSTEM 2 15 5 2 2" xfId="58458"/>
    <cellStyle name="SYSTEM 2 15 5 2 3" xfId="58459"/>
    <cellStyle name="SYSTEM 2 15 5 3" xfId="58460"/>
    <cellStyle name="SYSTEM 2 15 6" xfId="21637"/>
    <cellStyle name="SYSTEM 2 15 6 2" xfId="29938"/>
    <cellStyle name="SYSTEM 2 15 6 2 2" xfId="58461"/>
    <cellStyle name="SYSTEM 2 15 6 2 3" xfId="58462"/>
    <cellStyle name="SYSTEM 2 15 6 3" xfId="58463"/>
    <cellStyle name="SYSTEM 2 15 7" xfId="22565"/>
    <cellStyle name="SYSTEM 2 15 7 2" xfId="30861"/>
    <cellStyle name="SYSTEM 2 15 7 2 2" xfId="58464"/>
    <cellStyle name="SYSTEM 2 15 7 2 3" xfId="58465"/>
    <cellStyle name="SYSTEM 2 15 7 3" xfId="58466"/>
    <cellStyle name="SYSTEM 2 15 8" xfId="23507"/>
    <cellStyle name="SYSTEM 2 15 8 2" xfId="58467"/>
    <cellStyle name="SYSTEM 2 15 8 3" xfId="58468"/>
    <cellStyle name="SYSTEM 2 15 9" xfId="58469"/>
    <cellStyle name="SYSTEM 2 16" xfId="15170"/>
    <cellStyle name="SYSTEM 2 16 2" xfId="16250"/>
    <cellStyle name="SYSTEM 2 16 2 2" xfId="24563"/>
    <cellStyle name="SYSTEM 2 16 2 2 2" xfId="58470"/>
    <cellStyle name="SYSTEM 2 16 2 2 3" xfId="58471"/>
    <cellStyle name="SYSTEM 2 16 2 3" xfId="58472"/>
    <cellStyle name="SYSTEM 2 16 3" xfId="17216"/>
    <cellStyle name="SYSTEM 2 16 3 2" xfId="25537"/>
    <cellStyle name="SYSTEM 2 16 3 2 2" xfId="58473"/>
    <cellStyle name="SYSTEM 2 16 3 2 3" xfId="58474"/>
    <cellStyle name="SYSTEM 2 16 3 3" xfId="58475"/>
    <cellStyle name="SYSTEM 2 16 4" xfId="18244"/>
    <cellStyle name="SYSTEM 2 16 4 2" xfId="26564"/>
    <cellStyle name="SYSTEM 2 16 4 2 2" xfId="58476"/>
    <cellStyle name="SYSTEM 2 16 4 2 3" xfId="58477"/>
    <cellStyle name="SYSTEM 2 16 4 3" xfId="58478"/>
    <cellStyle name="SYSTEM 2 16 5" xfId="20196"/>
    <cellStyle name="SYSTEM 2 16 5 2" xfId="28518"/>
    <cellStyle name="SYSTEM 2 16 5 2 2" xfId="58479"/>
    <cellStyle name="SYSTEM 2 16 5 2 3" xfId="58480"/>
    <cellStyle name="SYSTEM 2 16 5 3" xfId="58481"/>
    <cellStyle name="SYSTEM 2 16 6" xfId="21657"/>
    <cellStyle name="SYSTEM 2 16 6 2" xfId="29958"/>
    <cellStyle name="SYSTEM 2 16 6 2 2" xfId="58482"/>
    <cellStyle name="SYSTEM 2 16 6 2 3" xfId="58483"/>
    <cellStyle name="SYSTEM 2 16 6 3" xfId="58484"/>
    <cellStyle name="SYSTEM 2 16 7" xfId="22585"/>
    <cellStyle name="SYSTEM 2 16 7 2" xfId="30881"/>
    <cellStyle name="SYSTEM 2 16 7 2 2" xfId="58485"/>
    <cellStyle name="SYSTEM 2 16 7 2 3" xfId="58486"/>
    <cellStyle name="SYSTEM 2 16 7 3" xfId="58487"/>
    <cellStyle name="SYSTEM 2 16 8" xfId="23527"/>
    <cellStyle name="SYSTEM 2 16 8 2" xfId="58488"/>
    <cellStyle name="SYSTEM 2 16 8 3" xfId="58489"/>
    <cellStyle name="SYSTEM 2 16 9" xfId="58490"/>
    <cellStyle name="SYSTEM 2 17" xfId="15192"/>
    <cellStyle name="SYSTEM 2 17 2" xfId="16272"/>
    <cellStyle name="SYSTEM 2 17 2 2" xfId="24585"/>
    <cellStyle name="SYSTEM 2 17 2 2 2" xfId="58491"/>
    <cellStyle name="SYSTEM 2 17 2 2 3" xfId="58492"/>
    <cellStyle name="SYSTEM 2 17 2 3" xfId="58493"/>
    <cellStyle name="SYSTEM 2 17 3" xfId="17238"/>
    <cellStyle name="SYSTEM 2 17 3 2" xfId="25559"/>
    <cellStyle name="SYSTEM 2 17 3 2 2" xfId="58494"/>
    <cellStyle name="SYSTEM 2 17 3 2 3" xfId="58495"/>
    <cellStyle name="SYSTEM 2 17 3 3" xfId="58496"/>
    <cellStyle name="SYSTEM 2 17 4" xfId="18266"/>
    <cellStyle name="SYSTEM 2 17 4 2" xfId="26586"/>
    <cellStyle name="SYSTEM 2 17 4 2 2" xfId="58497"/>
    <cellStyle name="SYSTEM 2 17 4 2 3" xfId="58498"/>
    <cellStyle name="SYSTEM 2 17 4 3" xfId="58499"/>
    <cellStyle name="SYSTEM 2 17 5" xfId="20218"/>
    <cellStyle name="SYSTEM 2 17 5 2" xfId="28540"/>
    <cellStyle name="SYSTEM 2 17 5 2 2" xfId="58500"/>
    <cellStyle name="SYSTEM 2 17 5 2 3" xfId="58501"/>
    <cellStyle name="SYSTEM 2 17 5 3" xfId="58502"/>
    <cellStyle name="SYSTEM 2 17 6" xfId="21679"/>
    <cellStyle name="SYSTEM 2 17 6 2" xfId="29980"/>
    <cellStyle name="SYSTEM 2 17 6 2 2" xfId="58503"/>
    <cellStyle name="SYSTEM 2 17 6 2 3" xfId="58504"/>
    <cellStyle name="SYSTEM 2 17 6 3" xfId="58505"/>
    <cellStyle name="SYSTEM 2 17 7" xfId="22607"/>
    <cellStyle name="SYSTEM 2 17 7 2" xfId="30903"/>
    <cellStyle name="SYSTEM 2 17 7 2 2" xfId="58506"/>
    <cellStyle name="SYSTEM 2 17 7 2 3" xfId="58507"/>
    <cellStyle name="SYSTEM 2 17 7 3" xfId="58508"/>
    <cellStyle name="SYSTEM 2 17 8" xfId="23549"/>
    <cellStyle name="SYSTEM 2 17 8 2" xfId="58509"/>
    <cellStyle name="SYSTEM 2 17 8 3" xfId="58510"/>
    <cellStyle name="SYSTEM 2 17 9" xfId="58511"/>
    <cellStyle name="SYSTEM 2 18" xfId="15208"/>
    <cellStyle name="SYSTEM 2 18 2" xfId="16288"/>
    <cellStyle name="SYSTEM 2 18 2 2" xfId="24601"/>
    <cellStyle name="SYSTEM 2 18 2 2 2" xfId="58512"/>
    <cellStyle name="SYSTEM 2 18 2 2 3" xfId="58513"/>
    <cellStyle name="SYSTEM 2 18 2 3" xfId="58514"/>
    <cellStyle name="SYSTEM 2 18 3" xfId="17254"/>
    <cellStyle name="SYSTEM 2 18 3 2" xfId="25575"/>
    <cellStyle name="SYSTEM 2 18 3 2 2" xfId="58515"/>
    <cellStyle name="SYSTEM 2 18 3 2 3" xfId="58516"/>
    <cellStyle name="SYSTEM 2 18 3 3" xfId="58517"/>
    <cellStyle name="SYSTEM 2 18 4" xfId="18282"/>
    <cellStyle name="SYSTEM 2 18 4 2" xfId="26602"/>
    <cellStyle name="SYSTEM 2 18 4 2 2" xfId="58518"/>
    <cellStyle name="SYSTEM 2 18 4 2 3" xfId="58519"/>
    <cellStyle name="SYSTEM 2 18 4 3" xfId="58520"/>
    <cellStyle name="SYSTEM 2 18 5" xfId="20234"/>
    <cellStyle name="SYSTEM 2 18 5 2" xfId="28556"/>
    <cellStyle name="SYSTEM 2 18 5 2 2" xfId="58521"/>
    <cellStyle name="SYSTEM 2 18 5 2 3" xfId="58522"/>
    <cellStyle name="SYSTEM 2 18 5 3" xfId="58523"/>
    <cellStyle name="SYSTEM 2 18 6" xfId="21695"/>
    <cellStyle name="SYSTEM 2 18 6 2" xfId="29996"/>
    <cellStyle name="SYSTEM 2 18 6 2 2" xfId="58524"/>
    <cellStyle name="SYSTEM 2 18 6 2 3" xfId="58525"/>
    <cellStyle name="SYSTEM 2 18 6 3" xfId="58526"/>
    <cellStyle name="SYSTEM 2 18 7" xfId="22623"/>
    <cellStyle name="SYSTEM 2 18 7 2" xfId="30919"/>
    <cellStyle name="SYSTEM 2 18 7 2 2" xfId="58527"/>
    <cellStyle name="SYSTEM 2 18 7 2 3" xfId="58528"/>
    <cellStyle name="SYSTEM 2 18 7 3" xfId="58529"/>
    <cellStyle name="SYSTEM 2 18 8" xfId="23565"/>
    <cellStyle name="SYSTEM 2 18 8 2" xfId="58530"/>
    <cellStyle name="SYSTEM 2 18 8 3" xfId="58531"/>
    <cellStyle name="SYSTEM 2 18 9" xfId="58532"/>
    <cellStyle name="SYSTEM 2 19" xfId="15289"/>
    <cellStyle name="SYSTEM 2 19 2" xfId="16369"/>
    <cellStyle name="SYSTEM 2 19 2 2" xfId="24682"/>
    <cellStyle name="SYSTEM 2 19 2 2 2" xfId="58533"/>
    <cellStyle name="SYSTEM 2 19 2 2 3" xfId="58534"/>
    <cellStyle name="SYSTEM 2 19 2 3" xfId="58535"/>
    <cellStyle name="SYSTEM 2 19 3" xfId="17335"/>
    <cellStyle name="SYSTEM 2 19 3 2" xfId="25656"/>
    <cellStyle name="SYSTEM 2 19 3 2 2" xfId="58536"/>
    <cellStyle name="SYSTEM 2 19 3 2 3" xfId="58537"/>
    <cellStyle name="SYSTEM 2 19 3 3" xfId="58538"/>
    <cellStyle name="SYSTEM 2 19 4" xfId="18363"/>
    <cellStyle name="SYSTEM 2 19 4 2" xfId="26683"/>
    <cellStyle name="SYSTEM 2 19 4 2 2" xfId="58539"/>
    <cellStyle name="SYSTEM 2 19 4 2 3" xfId="58540"/>
    <cellStyle name="SYSTEM 2 19 4 3" xfId="58541"/>
    <cellStyle name="SYSTEM 2 19 5" xfId="20315"/>
    <cellStyle name="SYSTEM 2 19 5 2" xfId="28637"/>
    <cellStyle name="SYSTEM 2 19 5 2 2" xfId="58542"/>
    <cellStyle name="SYSTEM 2 19 5 2 3" xfId="58543"/>
    <cellStyle name="SYSTEM 2 19 5 3" xfId="58544"/>
    <cellStyle name="SYSTEM 2 19 6" xfId="21776"/>
    <cellStyle name="SYSTEM 2 19 6 2" xfId="30077"/>
    <cellStyle name="SYSTEM 2 19 6 2 2" xfId="58545"/>
    <cellStyle name="SYSTEM 2 19 6 2 3" xfId="58546"/>
    <cellStyle name="SYSTEM 2 19 6 3" xfId="58547"/>
    <cellStyle name="SYSTEM 2 19 7" xfId="22704"/>
    <cellStyle name="SYSTEM 2 19 7 2" xfId="31000"/>
    <cellStyle name="SYSTEM 2 19 7 2 2" xfId="58548"/>
    <cellStyle name="SYSTEM 2 19 7 2 3" xfId="58549"/>
    <cellStyle name="SYSTEM 2 19 7 3" xfId="58550"/>
    <cellStyle name="SYSTEM 2 19 8" xfId="23646"/>
    <cellStyle name="SYSTEM 2 19 8 2" xfId="58551"/>
    <cellStyle name="SYSTEM 2 19 8 3" xfId="58552"/>
    <cellStyle name="SYSTEM 2 19 9" xfId="58553"/>
    <cellStyle name="SYSTEM 2 2" xfId="14549"/>
    <cellStyle name="SYSTEM 2 2 2" xfId="15628"/>
    <cellStyle name="SYSTEM 2 2 2 2" xfId="58554"/>
    <cellStyle name="SYSTEM 2 2 2 2 2" xfId="58555"/>
    <cellStyle name="SYSTEM 2 2 2 2 3" xfId="58556"/>
    <cellStyle name="SYSTEM 2 2 2 3" xfId="58557"/>
    <cellStyle name="SYSTEM 2 2 2 4" xfId="58558"/>
    <cellStyle name="SYSTEM 2 2 3" xfId="17615"/>
    <cellStyle name="SYSTEM 2 2 3 2" xfId="25938"/>
    <cellStyle name="SYSTEM 2 2 3 2 2" xfId="58559"/>
    <cellStyle name="SYSTEM 2 2 3 2 3" xfId="58560"/>
    <cellStyle name="SYSTEM 2 2 3 3" xfId="58561"/>
    <cellStyle name="SYSTEM 2 2 4" xfId="18597"/>
    <cellStyle name="SYSTEM 2 2 4 2" xfId="26916"/>
    <cellStyle name="SYSTEM 2 2 4 2 2" xfId="58562"/>
    <cellStyle name="SYSTEM 2 2 4 2 3" xfId="58563"/>
    <cellStyle name="SYSTEM 2 2 4 3" xfId="34085"/>
    <cellStyle name="SYSTEM 2 2 4 4" xfId="58564"/>
    <cellStyle name="SYSTEM 2 2 5" xfId="19565"/>
    <cellStyle name="SYSTEM 2 2 5 2" xfId="27886"/>
    <cellStyle name="SYSTEM 2 2 5 2 2" xfId="58565"/>
    <cellStyle name="SYSTEM 2 2 5 2 3" xfId="58566"/>
    <cellStyle name="SYSTEM 2 2 5 3" xfId="58567"/>
    <cellStyle name="SYSTEM 2 2 6" xfId="20523"/>
    <cellStyle name="SYSTEM 2 2 6 2" xfId="28845"/>
    <cellStyle name="SYSTEM 2 2 6 2 2" xfId="58568"/>
    <cellStyle name="SYSTEM 2 2 6 2 3" xfId="58569"/>
    <cellStyle name="SYSTEM 2 2 6 3" xfId="58570"/>
    <cellStyle name="SYSTEM 2 2 7" xfId="21300"/>
    <cellStyle name="SYSTEM 2 2 7 2" xfId="29607"/>
    <cellStyle name="SYSTEM 2 2 7 3" xfId="36674"/>
    <cellStyle name="SYSTEM 2 2 8" xfId="58571"/>
    <cellStyle name="SYSTEM 2 2 8 2" xfId="58572"/>
    <cellStyle name="SYSTEM 2 20" xfId="15308"/>
    <cellStyle name="SYSTEM 2 20 2" xfId="16388"/>
    <cellStyle name="SYSTEM 2 20 2 2" xfId="24701"/>
    <cellStyle name="SYSTEM 2 20 2 2 2" xfId="58573"/>
    <cellStyle name="SYSTEM 2 20 2 2 3" xfId="58574"/>
    <cellStyle name="SYSTEM 2 20 2 3" xfId="58575"/>
    <cellStyle name="SYSTEM 2 20 3" xfId="17354"/>
    <cellStyle name="SYSTEM 2 20 3 2" xfId="25675"/>
    <cellStyle name="SYSTEM 2 20 3 2 2" xfId="58576"/>
    <cellStyle name="SYSTEM 2 20 3 2 3" xfId="58577"/>
    <cellStyle name="SYSTEM 2 20 3 3" xfId="58578"/>
    <cellStyle name="SYSTEM 2 20 4" xfId="18382"/>
    <cellStyle name="SYSTEM 2 20 4 2" xfId="26702"/>
    <cellStyle name="SYSTEM 2 20 4 2 2" xfId="58579"/>
    <cellStyle name="SYSTEM 2 20 4 2 3" xfId="58580"/>
    <cellStyle name="SYSTEM 2 20 4 3" xfId="58581"/>
    <cellStyle name="SYSTEM 2 20 5" xfId="20334"/>
    <cellStyle name="SYSTEM 2 20 5 2" xfId="28656"/>
    <cellStyle name="SYSTEM 2 20 5 2 2" xfId="58582"/>
    <cellStyle name="SYSTEM 2 20 5 2 3" xfId="58583"/>
    <cellStyle name="SYSTEM 2 20 5 3" xfId="58584"/>
    <cellStyle name="SYSTEM 2 20 6" xfId="21795"/>
    <cellStyle name="SYSTEM 2 20 6 2" xfId="30096"/>
    <cellStyle name="SYSTEM 2 20 6 2 2" xfId="58585"/>
    <cellStyle name="SYSTEM 2 20 6 2 3" xfId="58586"/>
    <cellStyle name="SYSTEM 2 20 6 3" xfId="58587"/>
    <cellStyle name="SYSTEM 2 20 7" xfId="22723"/>
    <cellStyle name="SYSTEM 2 20 7 2" xfId="31019"/>
    <cellStyle name="SYSTEM 2 20 7 2 2" xfId="58588"/>
    <cellStyle name="SYSTEM 2 20 7 2 3" xfId="58589"/>
    <cellStyle name="SYSTEM 2 20 7 3" xfId="58590"/>
    <cellStyle name="SYSTEM 2 20 8" xfId="23665"/>
    <cellStyle name="SYSTEM 2 20 8 2" xfId="58591"/>
    <cellStyle name="SYSTEM 2 20 8 3" xfId="58592"/>
    <cellStyle name="SYSTEM 2 20 9" xfId="58593"/>
    <cellStyle name="SYSTEM 2 21" xfId="15396"/>
    <cellStyle name="SYSTEM 2 21 2" xfId="16476"/>
    <cellStyle name="SYSTEM 2 21 2 2" xfId="24789"/>
    <cellStyle name="SYSTEM 2 21 2 2 2" xfId="58594"/>
    <cellStyle name="SYSTEM 2 21 2 2 3" xfId="58595"/>
    <cellStyle name="SYSTEM 2 21 2 3" xfId="58596"/>
    <cellStyle name="SYSTEM 2 21 3" xfId="17442"/>
    <cellStyle name="SYSTEM 2 21 3 2" xfId="25763"/>
    <cellStyle name="SYSTEM 2 21 3 2 2" xfId="58597"/>
    <cellStyle name="SYSTEM 2 21 3 2 3" xfId="58598"/>
    <cellStyle name="SYSTEM 2 21 3 3" xfId="58599"/>
    <cellStyle name="SYSTEM 2 21 4" xfId="18470"/>
    <cellStyle name="SYSTEM 2 21 4 2" xfId="26790"/>
    <cellStyle name="SYSTEM 2 21 4 2 2" xfId="58600"/>
    <cellStyle name="SYSTEM 2 21 4 2 3" xfId="58601"/>
    <cellStyle name="SYSTEM 2 21 4 3" xfId="58602"/>
    <cellStyle name="SYSTEM 2 21 5" xfId="20422"/>
    <cellStyle name="SYSTEM 2 21 5 2" xfId="28744"/>
    <cellStyle name="SYSTEM 2 21 5 2 2" xfId="58603"/>
    <cellStyle name="SYSTEM 2 21 5 2 3" xfId="58604"/>
    <cellStyle name="SYSTEM 2 21 5 3" xfId="58605"/>
    <cellStyle name="SYSTEM 2 21 6" xfId="21883"/>
    <cellStyle name="SYSTEM 2 21 6 2" xfId="30184"/>
    <cellStyle name="SYSTEM 2 21 6 2 2" xfId="58606"/>
    <cellStyle name="SYSTEM 2 21 6 2 3" xfId="58607"/>
    <cellStyle name="SYSTEM 2 21 6 3" xfId="58608"/>
    <cellStyle name="SYSTEM 2 21 7" xfId="22811"/>
    <cellStyle name="SYSTEM 2 21 7 2" xfId="31107"/>
    <cellStyle name="SYSTEM 2 21 7 2 2" xfId="58609"/>
    <cellStyle name="SYSTEM 2 21 7 2 3" xfId="58610"/>
    <cellStyle name="SYSTEM 2 21 7 3" xfId="58611"/>
    <cellStyle name="SYSTEM 2 21 8" xfId="23753"/>
    <cellStyle name="SYSTEM 2 21 8 2" xfId="58612"/>
    <cellStyle name="SYSTEM 2 21 8 3" xfId="58613"/>
    <cellStyle name="SYSTEM 2 21 9" xfId="58614"/>
    <cellStyle name="SYSTEM 2 22" xfId="15412"/>
    <cellStyle name="SYSTEM 2 22 2" xfId="16492"/>
    <cellStyle name="SYSTEM 2 22 2 2" xfId="24805"/>
    <cellStyle name="SYSTEM 2 22 2 2 2" xfId="58615"/>
    <cellStyle name="SYSTEM 2 22 2 2 3" xfId="58616"/>
    <cellStyle name="SYSTEM 2 22 2 3" xfId="58617"/>
    <cellStyle name="SYSTEM 2 22 3" xfId="17458"/>
    <cellStyle name="SYSTEM 2 22 3 2" xfId="25779"/>
    <cellStyle name="SYSTEM 2 22 3 2 2" xfId="58618"/>
    <cellStyle name="SYSTEM 2 22 3 2 3" xfId="58619"/>
    <cellStyle name="SYSTEM 2 22 3 3" xfId="58620"/>
    <cellStyle name="SYSTEM 2 22 4" xfId="18486"/>
    <cellStyle name="SYSTEM 2 22 4 2" xfId="26806"/>
    <cellStyle name="SYSTEM 2 22 4 2 2" xfId="58621"/>
    <cellStyle name="SYSTEM 2 22 4 2 3" xfId="58622"/>
    <cellStyle name="SYSTEM 2 22 4 3" xfId="58623"/>
    <cellStyle name="SYSTEM 2 22 5" xfId="20438"/>
    <cellStyle name="SYSTEM 2 22 5 2" xfId="28760"/>
    <cellStyle name="SYSTEM 2 22 5 2 2" xfId="58624"/>
    <cellStyle name="SYSTEM 2 22 5 2 3" xfId="58625"/>
    <cellStyle name="SYSTEM 2 22 5 3" xfId="58626"/>
    <cellStyle name="SYSTEM 2 22 6" xfId="21899"/>
    <cellStyle name="SYSTEM 2 22 6 2" xfId="30200"/>
    <cellStyle name="SYSTEM 2 22 6 2 2" xfId="58627"/>
    <cellStyle name="SYSTEM 2 22 6 2 3" xfId="58628"/>
    <cellStyle name="SYSTEM 2 22 6 3" xfId="58629"/>
    <cellStyle name="SYSTEM 2 22 7" xfId="22827"/>
    <cellStyle name="SYSTEM 2 22 7 2" xfId="31123"/>
    <cellStyle name="SYSTEM 2 22 7 2 2" xfId="58630"/>
    <cellStyle name="SYSTEM 2 22 7 2 3" xfId="58631"/>
    <cellStyle name="SYSTEM 2 22 7 3" xfId="58632"/>
    <cellStyle name="SYSTEM 2 22 8" xfId="23769"/>
    <cellStyle name="SYSTEM 2 22 8 2" xfId="58633"/>
    <cellStyle name="SYSTEM 2 22 8 3" xfId="58634"/>
    <cellStyle name="SYSTEM 2 22 9" xfId="58635"/>
    <cellStyle name="SYSTEM 2 23" xfId="15458"/>
    <cellStyle name="SYSTEM 2 23 2" xfId="16538"/>
    <cellStyle name="SYSTEM 2 23 2 2" xfId="24851"/>
    <cellStyle name="SYSTEM 2 23 2 2 2" xfId="58636"/>
    <cellStyle name="SYSTEM 2 23 2 2 3" xfId="58637"/>
    <cellStyle name="SYSTEM 2 23 2 3" xfId="58638"/>
    <cellStyle name="SYSTEM 2 23 3" xfId="17504"/>
    <cellStyle name="SYSTEM 2 23 3 2" xfId="25825"/>
    <cellStyle name="SYSTEM 2 23 3 2 2" xfId="58639"/>
    <cellStyle name="SYSTEM 2 23 3 2 3" xfId="58640"/>
    <cellStyle name="SYSTEM 2 23 3 3" xfId="58641"/>
    <cellStyle name="SYSTEM 2 23 4" xfId="18532"/>
    <cellStyle name="SYSTEM 2 23 4 2" xfId="26852"/>
    <cellStyle name="SYSTEM 2 23 4 2 2" xfId="58642"/>
    <cellStyle name="SYSTEM 2 23 4 2 3" xfId="58643"/>
    <cellStyle name="SYSTEM 2 23 4 3" xfId="58644"/>
    <cellStyle name="SYSTEM 2 23 5" xfId="20484"/>
    <cellStyle name="SYSTEM 2 23 5 2" xfId="28806"/>
    <cellStyle name="SYSTEM 2 23 5 2 2" xfId="58645"/>
    <cellStyle name="SYSTEM 2 23 5 2 3" xfId="58646"/>
    <cellStyle name="SYSTEM 2 23 5 3" xfId="58647"/>
    <cellStyle name="SYSTEM 2 23 6" xfId="21945"/>
    <cellStyle name="SYSTEM 2 23 6 2" xfId="30246"/>
    <cellStyle name="SYSTEM 2 23 6 2 2" xfId="58648"/>
    <cellStyle name="SYSTEM 2 23 6 2 3" xfId="58649"/>
    <cellStyle name="SYSTEM 2 23 6 3" xfId="58650"/>
    <cellStyle name="SYSTEM 2 23 7" xfId="22873"/>
    <cellStyle name="SYSTEM 2 23 7 2" xfId="31169"/>
    <cellStyle name="SYSTEM 2 23 7 2 2" xfId="58651"/>
    <cellStyle name="SYSTEM 2 23 7 2 3" xfId="58652"/>
    <cellStyle name="SYSTEM 2 23 7 3" xfId="58653"/>
    <cellStyle name="SYSTEM 2 23 8" xfId="23815"/>
    <cellStyle name="SYSTEM 2 23 8 2" xfId="58654"/>
    <cellStyle name="SYSTEM 2 23 8 3" xfId="58655"/>
    <cellStyle name="SYSTEM 2 23 9" xfId="58656"/>
    <cellStyle name="SYSTEM 2 24" xfId="15488"/>
    <cellStyle name="SYSTEM 2 24 2" xfId="17534"/>
    <cellStyle name="SYSTEM 2 24 2 2" xfId="25854"/>
    <cellStyle name="SYSTEM 2 24 2 2 2" xfId="58657"/>
    <cellStyle name="SYSTEM 2 24 2 2 3" xfId="58658"/>
    <cellStyle name="SYSTEM 2 24 2 3" xfId="58659"/>
    <cellStyle name="SYSTEM 2 24 3" xfId="18558"/>
    <cellStyle name="SYSTEM 2 24 3 2" xfId="26875"/>
    <cellStyle name="SYSTEM 2 24 3 2 2" xfId="58660"/>
    <cellStyle name="SYSTEM 2 24 3 2 3" xfId="58661"/>
    <cellStyle name="SYSTEM 2 24 3 3" xfId="34044"/>
    <cellStyle name="SYSTEM 2 24 3 4" xfId="58662"/>
    <cellStyle name="SYSTEM 2 24 4" xfId="19545"/>
    <cellStyle name="SYSTEM 2 24 4 2" xfId="27866"/>
    <cellStyle name="SYSTEM 2 24 4 3" xfId="35014"/>
    <cellStyle name="SYSTEM 2 24 5" xfId="58663"/>
    <cellStyle name="SYSTEM 2 24 6" xfId="58664"/>
    <cellStyle name="SYSTEM 2 25" xfId="15510"/>
    <cellStyle name="SYSTEM 2 25 2" xfId="23850"/>
    <cellStyle name="SYSTEM 2 25 2 2" xfId="58665"/>
    <cellStyle name="SYSTEM 2 25 2 3" xfId="58666"/>
    <cellStyle name="SYSTEM 2 25 3" xfId="58667"/>
    <cellStyle name="SYSTEM 2 26" xfId="17556"/>
    <cellStyle name="SYSTEM 2 26 2" xfId="25875"/>
    <cellStyle name="SYSTEM 2 26 2 2" xfId="58668"/>
    <cellStyle name="SYSTEM 2 26 2 3" xfId="58669"/>
    <cellStyle name="SYSTEM 2 26 3" xfId="58670"/>
    <cellStyle name="SYSTEM 2 27" xfId="15542"/>
    <cellStyle name="SYSTEM 2 27 2" xfId="23876"/>
    <cellStyle name="SYSTEM 2 27 2 2" xfId="58671"/>
    <cellStyle name="SYSTEM 2 27 2 3" xfId="58672"/>
    <cellStyle name="SYSTEM 2 27 3" xfId="58673"/>
    <cellStyle name="SYSTEM 2 28" xfId="21954"/>
    <cellStyle name="SYSTEM 2 28 2" xfId="30255"/>
    <cellStyle name="SYSTEM 2 28 2 2" xfId="58674"/>
    <cellStyle name="SYSTEM 2 28 2 3" xfId="58675"/>
    <cellStyle name="SYSTEM 2 28 3" xfId="58676"/>
    <cellStyle name="SYSTEM 2 29" xfId="14497"/>
    <cellStyle name="SYSTEM 2 3" xfId="14610"/>
    <cellStyle name="SYSTEM 2 3 10" xfId="22971"/>
    <cellStyle name="SYSTEM 2 3 10 2" xfId="58677"/>
    <cellStyle name="SYSTEM 2 3 10 3" xfId="58678"/>
    <cellStyle name="SYSTEM 2 3 11" xfId="58679"/>
    <cellStyle name="SYSTEM 2 3 2" xfId="15690"/>
    <cellStyle name="SYSTEM 2 3 2 2" xfId="24006"/>
    <cellStyle name="SYSTEM 2 3 2 2 2" xfId="58680"/>
    <cellStyle name="SYSTEM 2 3 2 2 3" xfId="58681"/>
    <cellStyle name="SYSTEM 2 3 2 3" xfId="58682"/>
    <cellStyle name="SYSTEM 2 3 3" xfId="16657"/>
    <cellStyle name="SYSTEM 2 3 3 2" xfId="24977"/>
    <cellStyle name="SYSTEM 2 3 3 2 2" xfId="58683"/>
    <cellStyle name="SYSTEM 2 3 3 2 3" xfId="58684"/>
    <cellStyle name="SYSTEM 2 3 3 3" xfId="58685"/>
    <cellStyle name="SYSTEM 2 3 4" xfId="17679"/>
    <cellStyle name="SYSTEM 2 3 4 2" xfId="26003"/>
    <cellStyle name="SYSTEM 2 3 4 2 2" xfId="58686"/>
    <cellStyle name="SYSTEM 2 3 4 2 3" xfId="58687"/>
    <cellStyle name="SYSTEM 2 3 4 3" xfId="58688"/>
    <cellStyle name="SYSTEM 2 3 5" xfId="18662"/>
    <cellStyle name="SYSTEM 2 3 5 2" xfId="26983"/>
    <cellStyle name="SYSTEM 2 3 5 2 2" xfId="58689"/>
    <cellStyle name="SYSTEM 2 3 5 2 3" xfId="58690"/>
    <cellStyle name="SYSTEM 2 3 5 3" xfId="58691"/>
    <cellStyle name="SYSTEM 2 3 6" xfId="19631"/>
    <cellStyle name="SYSTEM 2 3 6 2" xfId="27952"/>
    <cellStyle name="SYSTEM 2 3 6 2 2" xfId="58692"/>
    <cellStyle name="SYSTEM 2 3 6 2 3" xfId="58693"/>
    <cellStyle name="SYSTEM 2 3 6 3" xfId="58694"/>
    <cellStyle name="SYSTEM 2 3 7" xfId="20588"/>
    <cellStyle name="SYSTEM 2 3 7 2" xfId="28910"/>
    <cellStyle name="SYSTEM 2 3 7 2 2" xfId="58695"/>
    <cellStyle name="SYSTEM 2 3 7 2 3" xfId="58696"/>
    <cellStyle name="SYSTEM 2 3 7 3" xfId="58697"/>
    <cellStyle name="SYSTEM 2 3 8" xfId="21169"/>
    <cellStyle name="SYSTEM 2 3 8 2" xfId="29481"/>
    <cellStyle name="SYSTEM 2 3 8 2 2" xfId="58698"/>
    <cellStyle name="SYSTEM 2 3 8 2 3" xfId="58699"/>
    <cellStyle name="SYSTEM 2 3 8 3" xfId="58700"/>
    <cellStyle name="SYSTEM 2 3 9" xfId="22025"/>
    <cellStyle name="SYSTEM 2 3 9 2" xfId="30324"/>
    <cellStyle name="SYSTEM 2 3 9 2 2" xfId="58701"/>
    <cellStyle name="SYSTEM 2 3 9 2 3" xfId="58702"/>
    <cellStyle name="SYSTEM 2 3 9 3" xfId="58703"/>
    <cellStyle name="SYSTEM 2 4" xfId="14630"/>
    <cellStyle name="SYSTEM 2 4 10" xfId="22992"/>
    <cellStyle name="SYSTEM 2 4 10 2" xfId="58704"/>
    <cellStyle name="SYSTEM 2 4 10 3" xfId="58705"/>
    <cellStyle name="SYSTEM 2 4 11" xfId="58706"/>
    <cellStyle name="SYSTEM 2 4 2" xfId="15711"/>
    <cellStyle name="SYSTEM 2 4 2 2" xfId="24027"/>
    <cellStyle name="SYSTEM 2 4 2 2 2" xfId="58707"/>
    <cellStyle name="SYSTEM 2 4 2 2 3" xfId="58708"/>
    <cellStyle name="SYSTEM 2 4 2 3" xfId="58709"/>
    <cellStyle name="SYSTEM 2 4 3" xfId="16678"/>
    <cellStyle name="SYSTEM 2 4 3 2" xfId="24998"/>
    <cellStyle name="SYSTEM 2 4 3 2 2" xfId="58710"/>
    <cellStyle name="SYSTEM 2 4 3 2 3" xfId="58711"/>
    <cellStyle name="SYSTEM 2 4 3 3" xfId="58712"/>
    <cellStyle name="SYSTEM 2 4 4" xfId="17701"/>
    <cellStyle name="SYSTEM 2 4 4 2" xfId="26024"/>
    <cellStyle name="SYSTEM 2 4 4 2 2" xfId="58713"/>
    <cellStyle name="SYSTEM 2 4 4 2 3" xfId="58714"/>
    <cellStyle name="SYSTEM 2 4 4 3" xfId="58715"/>
    <cellStyle name="SYSTEM 2 4 5" xfId="18684"/>
    <cellStyle name="SYSTEM 2 4 5 2" xfId="27005"/>
    <cellStyle name="SYSTEM 2 4 5 2 2" xfId="58716"/>
    <cellStyle name="SYSTEM 2 4 5 2 3" xfId="58717"/>
    <cellStyle name="SYSTEM 2 4 5 3" xfId="58718"/>
    <cellStyle name="SYSTEM 2 4 6" xfId="19653"/>
    <cellStyle name="SYSTEM 2 4 6 2" xfId="27974"/>
    <cellStyle name="SYSTEM 2 4 6 2 2" xfId="58719"/>
    <cellStyle name="SYSTEM 2 4 6 2 3" xfId="58720"/>
    <cellStyle name="SYSTEM 2 4 6 3" xfId="58721"/>
    <cellStyle name="SYSTEM 2 4 7" xfId="20610"/>
    <cellStyle name="SYSTEM 2 4 7 2" xfId="28931"/>
    <cellStyle name="SYSTEM 2 4 7 2 2" xfId="58722"/>
    <cellStyle name="SYSTEM 2 4 7 2 3" xfId="58723"/>
    <cellStyle name="SYSTEM 2 4 7 3" xfId="58724"/>
    <cellStyle name="SYSTEM 2 4 8" xfId="21103"/>
    <cellStyle name="SYSTEM 2 4 8 2" xfId="29420"/>
    <cellStyle name="SYSTEM 2 4 8 2 2" xfId="58725"/>
    <cellStyle name="SYSTEM 2 4 8 2 3" xfId="58726"/>
    <cellStyle name="SYSTEM 2 4 8 3" xfId="58727"/>
    <cellStyle name="SYSTEM 2 4 9" xfId="22047"/>
    <cellStyle name="SYSTEM 2 4 9 2" xfId="30345"/>
    <cellStyle name="SYSTEM 2 4 9 2 2" xfId="58728"/>
    <cellStyle name="SYSTEM 2 4 9 2 3" xfId="58729"/>
    <cellStyle name="SYSTEM 2 4 9 3" xfId="58730"/>
    <cellStyle name="SYSTEM 2 5" xfId="14649"/>
    <cellStyle name="SYSTEM 2 5 10" xfId="23011"/>
    <cellStyle name="SYSTEM 2 5 10 2" xfId="58731"/>
    <cellStyle name="SYSTEM 2 5 10 3" xfId="58732"/>
    <cellStyle name="SYSTEM 2 5 11" xfId="58733"/>
    <cellStyle name="SYSTEM 2 5 2" xfId="15730"/>
    <cellStyle name="SYSTEM 2 5 2 2" xfId="24046"/>
    <cellStyle name="SYSTEM 2 5 2 2 2" xfId="58734"/>
    <cellStyle name="SYSTEM 2 5 2 2 3" xfId="58735"/>
    <cellStyle name="SYSTEM 2 5 2 3" xfId="58736"/>
    <cellStyle name="SYSTEM 2 5 3" xfId="16696"/>
    <cellStyle name="SYSTEM 2 5 3 2" xfId="25017"/>
    <cellStyle name="SYSTEM 2 5 3 2 2" xfId="58737"/>
    <cellStyle name="SYSTEM 2 5 3 2 3" xfId="58738"/>
    <cellStyle name="SYSTEM 2 5 3 3" xfId="58739"/>
    <cellStyle name="SYSTEM 2 5 4" xfId="17720"/>
    <cellStyle name="SYSTEM 2 5 4 2" xfId="26043"/>
    <cellStyle name="SYSTEM 2 5 4 2 2" xfId="58740"/>
    <cellStyle name="SYSTEM 2 5 4 2 3" xfId="58741"/>
    <cellStyle name="SYSTEM 2 5 4 3" xfId="58742"/>
    <cellStyle name="SYSTEM 2 5 5" xfId="18703"/>
    <cellStyle name="SYSTEM 2 5 5 2" xfId="27024"/>
    <cellStyle name="SYSTEM 2 5 5 2 2" xfId="58743"/>
    <cellStyle name="SYSTEM 2 5 5 2 3" xfId="58744"/>
    <cellStyle name="SYSTEM 2 5 5 3" xfId="58745"/>
    <cellStyle name="SYSTEM 2 5 6" xfId="19672"/>
    <cellStyle name="SYSTEM 2 5 6 2" xfId="27993"/>
    <cellStyle name="SYSTEM 2 5 6 2 2" xfId="58746"/>
    <cellStyle name="SYSTEM 2 5 6 2 3" xfId="58747"/>
    <cellStyle name="SYSTEM 2 5 6 3" xfId="58748"/>
    <cellStyle name="SYSTEM 2 5 7" xfId="20629"/>
    <cellStyle name="SYSTEM 2 5 7 2" xfId="28950"/>
    <cellStyle name="SYSTEM 2 5 7 2 2" xfId="58749"/>
    <cellStyle name="SYSTEM 2 5 7 2 3" xfId="58750"/>
    <cellStyle name="SYSTEM 2 5 7 3" xfId="58751"/>
    <cellStyle name="SYSTEM 2 5 8" xfId="21133"/>
    <cellStyle name="SYSTEM 2 5 8 2" xfId="29447"/>
    <cellStyle name="SYSTEM 2 5 8 2 2" xfId="58752"/>
    <cellStyle name="SYSTEM 2 5 8 2 3" xfId="58753"/>
    <cellStyle name="SYSTEM 2 5 8 3" xfId="58754"/>
    <cellStyle name="SYSTEM 2 5 9" xfId="22066"/>
    <cellStyle name="SYSTEM 2 5 9 2" xfId="30364"/>
    <cellStyle name="SYSTEM 2 5 9 2 2" xfId="58755"/>
    <cellStyle name="SYSTEM 2 5 9 2 3" xfId="58756"/>
    <cellStyle name="SYSTEM 2 5 9 3" xfId="58757"/>
    <cellStyle name="SYSTEM 2 6" xfId="14695"/>
    <cellStyle name="SYSTEM 2 6 2" xfId="15776"/>
    <cellStyle name="SYSTEM 2 6 2 2" xfId="58758"/>
    <cellStyle name="SYSTEM 2 6 2 2 2" xfId="58759"/>
    <cellStyle name="SYSTEM 2 6 2 2 3" xfId="58760"/>
    <cellStyle name="SYSTEM 2 6 2 3" xfId="58761"/>
    <cellStyle name="SYSTEM 2 6 2 4" xfId="58762"/>
    <cellStyle name="SYSTEM 2 6 3" xfId="16742"/>
    <cellStyle name="SYSTEM 2 6 3 2" xfId="25064"/>
    <cellStyle name="SYSTEM 2 6 3 2 2" xfId="58763"/>
    <cellStyle name="SYSTEM 2 6 3 2 3" xfId="58764"/>
    <cellStyle name="SYSTEM 2 6 3 3" xfId="58765"/>
    <cellStyle name="SYSTEM 2 6 4" xfId="17766"/>
    <cellStyle name="SYSTEM 2 6 4 2" xfId="26090"/>
    <cellStyle name="SYSTEM 2 6 4 2 2" xfId="58766"/>
    <cellStyle name="SYSTEM 2 6 4 2 3" xfId="58767"/>
    <cellStyle name="SYSTEM 2 6 4 3" xfId="58768"/>
    <cellStyle name="SYSTEM 2 6 5" xfId="19719"/>
    <cellStyle name="SYSTEM 2 6 5 2" xfId="28040"/>
    <cellStyle name="SYSTEM 2 6 5 3" xfId="35179"/>
    <cellStyle name="SYSTEM 2 6 6" xfId="20676"/>
    <cellStyle name="SYSTEM 2 6 6 2" xfId="28997"/>
    <cellStyle name="SYSTEM 2 6 6 2 2" xfId="58769"/>
    <cellStyle name="SYSTEM 2 6 6 2 3" xfId="58770"/>
    <cellStyle name="SYSTEM 2 6 6 3" xfId="58771"/>
    <cellStyle name="SYSTEM 2 6 7" xfId="58772"/>
    <cellStyle name="SYSTEM 2 7" xfId="14700"/>
    <cellStyle name="SYSTEM 2 7 10" xfId="23062"/>
    <cellStyle name="SYSTEM 2 7 10 2" xfId="58773"/>
    <cellStyle name="SYSTEM 2 7 10 3" xfId="58774"/>
    <cellStyle name="SYSTEM 2 7 11" xfId="58775"/>
    <cellStyle name="SYSTEM 2 7 2" xfId="15781"/>
    <cellStyle name="SYSTEM 2 7 2 2" xfId="24097"/>
    <cellStyle name="SYSTEM 2 7 2 2 2" xfId="58776"/>
    <cellStyle name="SYSTEM 2 7 2 2 3" xfId="58777"/>
    <cellStyle name="SYSTEM 2 7 2 3" xfId="58778"/>
    <cellStyle name="SYSTEM 2 7 3" xfId="16747"/>
    <cellStyle name="SYSTEM 2 7 3 2" xfId="25069"/>
    <cellStyle name="SYSTEM 2 7 3 2 2" xfId="58779"/>
    <cellStyle name="SYSTEM 2 7 3 2 3" xfId="58780"/>
    <cellStyle name="SYSTEM 2 7 3 3" xfId="58781"/>
    <cellStyle name="SYSTEM 2 7 4" xfId="17771"/>
    <cellStyle name="SYSTEM 2 7 4 2" xfId="26095"/>
    <cellStyle name="SYSTEM 2 7 4 2 2" xfId="58782"/>
    <cellStyle name="SYSTEM 2 7 4 2 3" xfId="58783"/>
    <cellStyle name="SYSTEM 2 7 4 3" xfId="58784"/>
    <cellStyle name="SYSTEM 2 7 5" xfId="18755"/>
    <cellStyle name="SYSTEM 2 7 5 2" xfId="27076"/>
    <cellStyle name="SYSTEM 2 7 5 2 2" xfId="58785"/>
    <cellStyle name="SYSTEM 2 7 5 2 3" xfId="58786"/>
    <cellStyle name="SYSTEM 2 7 5 3" xfId="58787"/>
    <cellStyle name="SYSTEM 2 7 6" xfId="19724"/>
    <cellStyle name="SYSTEM 2 7 6 2" xfId="28045"/>
    <cellStyle name="SYSTEM 2 7 6 2 2" xfId="58788"/>
    <cellStyle name="SYSTEM 2 7 6 2 3" xfId="58789"/>
    <cellStyle name="SYSTEM 2 7 6 3" xfId="58790"/>
    <cellStyle name="SYSTEM 2 7 7" xfId="20681"/>
    <cellStyle name="SYSTEM 2 7 7 2" xfId="29002"/>
    <cellStyle name="SYSTEM 2 7 7 2 2" xfId="58791"/>
    <cellStyle name="SYSTEM 2 7 7 2 3" xfId="58792"/>
    <cellStyle name="SYSTEM 2 7 7 3" xfId="58793"/>
    <cellStyle name="SYSTEM 2 7 8" xfId="20501"/>
    <cellStyle name="SYSTEM 2 7 8 2" xfId="28823"/>
    <cellStyle name="SYSTEM 2 7 8 2 2" xfId="58794"/>
    <cellStyle name="SYSTEM 2 7 8 2 3" xfId="58795"/>
    <cellStyle name="SYSTEM 2 7 8 3" xfId="58796"/>
    <cellStyle name="SYSTEM 2 7 9" xfId="22117"/>
    <cellStyle name="SYSTEM 2 7 9 2" xfId="30415"/>
    <cellStyle name="SYSTEM 2 7 9 2 2" xfId="58797"/>
    <cellStyle name="SYSTEM 2 7 9 2 3" xfId="58798"/>
    <cellStyle name="SYSTEM 2 7 9 3" xfId="58799"/>
    <cellStyle name="SYSTEM 2 8" xfId="14782"/>
    <cellStyle name="SYSTEM 2 8 10" xfId="23146"/>
    <cellStyle name="SYSTEM 2 8 10 2" xfId="58800"/>
    <cellStyle name="SYSTEM 2 8 10 3" xfId="58801"/>
    <cellStyle name="SYSTEM 2 8 11" xfId="58802"/>
    <cellStyle name="SYSTEM 2 8 2" xfId="15863"/>
    <cellStyle name="SYSTEM 2 8 2 2" xfId="24181"/>
    <cellStyle name="SYSTEM 2 8 2 2 2" xfId="58803"/>
    <cellStyle name="SYSTEM 2 8 2 2 3" xfId="58804"/>
    <cellStyle name="SYSTEM 2 8 2 3" xfId="58805"/>
    <cellStyle name="SYSTEM 2 8 3" xfId="16829"/>
    <cellStyle name="SYSTEM 2 8 3 2" xfId="25153"/>
    <cellStyle name="SYSTEM 2 8 3 2 2" xfId="58806"/>
    <cellStyle name="SYSTEM 2 8 3 2 3" xfId="58807"/>
    <cellStyle name="SYSTEM 2 8 3 3" xfId="58808"/>
    <cellStyle name="SYSTEM 2 8 4" xfId="17855"/>
    <cellStyle name="SYSTEM 2 8 4 2" xfId="26179"/>
    <cellStyle name="SYSTEM 2 8 4 2 2" xfId="58809"/>
    <cellStyle name="SYSTEM 2 8 4 2 3" xfId="58810"/>
    <cellStyle name="SYSTEM 2 8 4 3" xfId="58811"/>
    <cellStyle name="SYSTEM 2 8 5" xfId="18839"/>
    <cellStyle name="SYSTEM 2 8 5 2" xfId="27160"/>
    <cellStyle name="SYSTEM 2 8 5 2 2" xfId="58812"/>
    <cellStyle name="SYSTEM 2 8 5 2 3" xfId="58813"/>
    <cellStyle name="SYSTEM 2 8 5 3" xfId="58814"/>
    <cellStyle name="SYSTEM 2 8 6" xfId="19807"/>
    <cellStyle name="SYSTEM 2 8 6 2" xfId="28129"/>
    <cellStyle name="SYSTEM 2 8 6 2 2" xfId="58815"/>
    <cellStyle name="SYSTEM 2 8 6 2 3" xfId="58816"/>
    <cellStyle name="SYSTEM 2 8 6 3" xfId="58817"/>
    <cellStyle name="SYSTEM 2 8 7" xfId="20765"/>
    <cellStyle name="SYSTEM 2 8 7 2" xfId="29086"/>
    <cellStyle name="SYSTEM 2 8 7 2 2" xfId="58818"/>
    <cellStyle name="SYSTEM 2 8 7 2 3" xfId="58819"/>
    <cellStyle name="SYSTEM 2 8 7 3" xfId="58820"/>
    <cellStyle name="SYSTEM 2 8 8" xfId="21074"/>
    <cellStyle name="SYSTEM 2 8 8 2" xfId="29391"/>
    <cellStyle name="SYSTEM 2 8 8 2 2" xfId="58821"/>
    <cellStyle name="SYSTEM 2 8 8 2 3" xfId="58822"/>
    <cellStyle name="SYSTEM 2 8 8 3" xfId="58823"/>
    <cellStyle name="SYSTEM 2 8 9" xfId="22201"/>
    <cellStyle name="SYSTEM 2 8 9 2" xfId="30499"/>
    <cellStyle name="SYSTEM 2 8 9 2 2" xfId="58824"/>
    <cellStyle name="SYSTEM 2 8 9 2 3" xfId="58825"/>
    <cellStyle name="SYSTEM 2 8 9 3" xfId="58826"/>
    <cellStyle name="SYSTEM 2 9" xfId="14828"/>
    <cellStyle name="SYSTEM 2 9 10" xfId="23192"/>
    <cellStyle name="SYSTEM 2 9 10 2" xfId="58827"/>
    <cellStyle name="SYSTEM 2 9 10 3" xfId="58828"/>
    <cellStyle name="SYSTEM 2 9 11" xfId="58829"/>
    <cellStyle name="SYSTEM 2 9 2" xfId="15909"/>
    <cellStyle name="SYSTEM 2 9 2 2" xfId="24227"/>
    <cellStyle name="SYSTEM 2 9 2 2 2" xfId="58830"/>
    <cellStyle name="SYSTEM 2 9 2 2 3" xfId="58831"/>
    <cellStyle name="SYSTEM 2 9 2 3" xfId="58832"/>
    <cellStyle name="SYSTEM 2 9 3" xfId="16875"/>
    <cellStyle name="SYSTEM 2 9 3 2" xfId="25199"/>
    <cellStyle name="SYSTEM 2 9 3 2 2" xfId="58833"/>
    <cellStyle name="SYSTEM 2 9 3 2 3" xfId="58834"/>
    <cellStyle name="SYSTEM 2 9 3 3" xfId="58835"/>
    <cellStyle name="SYSTEM 2 9 4" xfId="17902"/>
    <cellStyle name="SYSTEM 2 9 4 2" xfId="26225"/>
    <cellStyle name="SYSTEM 2 9 4 2 2" xfId="58836"/>
    <cellStyle name="SYSTEM 2 9 4 2 3" xfId="58837"/>
    <cellStyle name="SYSTEM 2 9 4 3" xfId="58838"/>
    <cellStyle name="SYSTEM 2 9 5" xfId="18886"/>
    <cellStyle name="SYSTEM 2 9 5 2" xfId="27206"/>
    <cellStyle name="SYSTEM 2 9 5 2 2" xfId="58839"/>
    <cellStyle name="SYSTEM 2 9 5 2 3" xfId="58840"/>
    <cellStyle name="SYSTEM 2 9 5 3" xfId="58841"/>
    <cellStyle name="SYSTEM 2 9 6" xfId="19854"/>
    <cellStyle name="SYSTEM 2 9 6 2" xfId="28176"/>
    <cellStyle name="SYSTEM 2 9 6 2 2" xfId="58842"/>
    <cellStyle name="SYSTEM 2 9 6 2 3" xfId="58843"/>
    <cellStyle name="SYSTEM 2 9 6 3" xfId="58844"/>
    <cellStyle name="SYSTEM 2 9 7" xfId="20812"/>
    <cellStyle name="SYSTEM 2 9 7 2" xfId="29132"/>
    <cellStyle name="SYSTEM 2 9 7 2 2" xfId="58845"/>
    <cellStyle name="SYSTEM 2 9 7 2 3" xfId="58846"/>
    <cellStyle name="SYSTEM 2 9 7 3" xfId="58847"/>
    <cellStyle name="SYSTEM 2 9 8" xfId="21097"/>
    <cellStyle name="SYSTEM 2 9 8 2" xfId="29414"/>
    <cellStyle name="SYSTEM 2 9 8 2 2" xfId="58848"/>
    <cellStyle name="SYSTEM 2 9 8 2 3" xfId="58849"/>
    <cellStyle name="SYSTEM 2 9 8 3" xfId="58850"/>
    <cellStyle name="SYSTEM 2 9 9" xfId="22247"/>
    <cellStyle name="SYSTEM 2 9 9 2" xfId="30546"/>
    <cellStyle name="SYSTEM 2 9 9 2 2" xfId="58851"/>
    <cellStyle name="SYSTEM 2 9 9 2 3" xfId="58852"/>
    <cellStyle name="SYSTEM 2 9 9 3" xfId="58853"/>
    <cellStyle name="SYSTEM 20" xfId="15227"/>
    <cellStyle name="SYSTEM 20 2" xfId="16307"/>
    <cellStyle name="SYSTEM 20 2 2" xfId="24620"/>
    <cellStyle name="SYSTEM 20 2 2 2" xfId="58854"/>
    <cellStyle name="SYSTEM 20 2 2 3" xfId="58855"/>
    <cellStyle name="SYSTEM 20 2 3" xfId="58856"/>
    <cellStyle name="SYSTEM 20 3" xfId="17273"/>
    <cellStyle name="SYSTEM 20 3 2" xfId="25594"/>
    <cellStyle name="SYSTEM 20 3 2 2" xfId="58857"/>
    <cellStyle name="SYSTEM 20 3 2 3" xfId="58858"/>
    <cellStyle name="SYSTEM 20 3 3" xfId="58859"/>
    <cellStyle name="SYSTEM 20 4" xfId="18301"/>
    <cellStyle name="SYSTEM 20 4 2" xfId="26621"/>
    <cellStyle name="SYSTEM 20 4 2 2" xfId="58860"/>
    <cellStyle name="SYSTEM 20 4 2 3" xfId="58861"/>
    <cellStyle name="SYSTEM 20 4 3" xfId="58862"/>
    <cellStyle name="SYSTEM 20 5" xfId="20253"/>
    <cellStyle name="SYSTEM 20 5 2" xfId="28575"/>
    <cellStyle name="SYSTEM 20 5 2 2" xfId="58863"/>
    <cellStyle name="SYSTEM 20 5 2 3" xfId="58864"/>
    <cellStyle name="SYSTEM 20 5 3" xfId="58865"/>
    <cellStyle name="SYSTEM 20 6" xfId="21714"/>
    <cellStyle name="SYSTEM 20 6 2" xfId="30015"/>
    <cellStyle name="SYSTEM 20 6 2 2" xfId="58866"/>
    <cellStyle name="SYSTEM 20 6 2 3" xfId="58867"/>
    <cellStyle name="SYSTEM 20 6 3" xfId="58868"/>
    <cellStyle name="SYSTEM 20 7" xfId="22642"/>
    <cellStyle name="SYSTEM 20 7 2" xfId="30938"/>
    <cellStyle name="SYSTEM 20 7 2 2" xfId="58869"/>
    <cellStyle name="SYSTEM 20 7 2 3" xfId="58870"/>
    <cellStyle name="SYSTEM 20 7 3" xfId="58871"/>
    <cellStyle name="SYSTEM 20 8" xfId="23584"/>
    <cellStyle name="SYSTEM 20 8 2" xfId="58872"/>
    <cellStyle name="SYSTEM 20 8 3" xfId="58873"/>
    <cellStyle name="SYSTEM 20 9" xfId="58874"/>
    <cellStyle name="SYSTEM 21" xfId="15222"/>
    <cellStyle name="SYSTEM 21 2" xfId="16302"/>
    <cellStyle name="SYSTEM 21 2 2" xfId="24615"/>
    <cellStyle name="SYSTEM 21 2 2 2" xfId="58875"/>
    <cellStyle name="SYSTEM 21 2 2 3" xfId="58876"/>
    <cellStyle name="SYSTEM 21 2 3" xfId="58877"/>
    <cellStyle name="SYSTEM 21 3" xfId="17268"/>
    <cellStyle name="SYSTEM 21 3 2" xfId="25589"/>
    <cellStyle name="SYSTEM 21 3 2 2" xfId="58878"/>
    <cellStyle name="SYSTEM 21 3 2 3" xfId="58879"/>
    <cellStyle name="SYSTEM 21 3 3" xfId="58880"/>
    <cellStyle name="SYSTEM 21 4" xfId="18296"/>
    <cellStyle name="SYSTEM 21 4 2" xfId="26616"/>
    <cellStyle name="SYSTEM 21 4 2 2" xfId="58881"/>
    <cellStyle name="SYSTEM 21 4 2 3" xfId="58882"/>
    <cellStyle name="SYSTEM 21 4 3" xfId="58883"/>
    <cellStyle name="SYSTEM 21 5" xfId="20248"/>
    <cellStyle name="SYSTEM 21 5 2" xfId="28570"/>
    <cellStyle name="SYSTEM 21 5 2 2" xfId="58884"/>
    <cellStyle name="SYSTEM 21 5 2 3" xfId="58885"/>
    <cellStyle name="SYSTEM 21 5 3" xfId="58886"/>
    <cellStyle name="SYSTEM 21 6" xfId="21709"/>
    <cellStyle name="SYSTEM 21 6 2" xfId="30010"/>
    <cellStyle name="SYSTEM 21 6 2 2" xfId="58887"/>
    <cellStyle name="SYSTEM 21 6 2 3" xfId="58888"/>
    <cellStyle name="SYSTEM 21 6 3" xfId="58889"/>
    <cellStyle name="SYSTEM 21 7" xfId="22637"/>
    <cellStyle name="SYSTEM 21 7 2" xfId="30933"/>
    <cellStyle name="SYSTEM 21 7 2 2" xfId="58890"/>
    <cellStyle name="SYSTEM 21 7 2 3" xfId="58891"/>
    <cellStyle name="SYSTEM 21 7 3" xfId="58892"/>
    <cellStyle name="SYSTEM 21 8" xfId="23579"/>
    <cellStyle name="SYSTEM 21 8 2" xfId="58893"/>
    <cellStyle name="SYSTEM 21 8 3" xfId="58894"/>
    <cellStyle name="SYSTEM 21 9" xfId="58895"/>
    <cellStyle name="SYSTEM 22" xfId="15349"/>
    <cellStyle name="SYSTEM 22 2" xfId="16429"/>
    <cellStyle name="SYSTEM 22 2 2" xfId="24742"/>
    <cellStyle name="SYSTEM 22 2 2 2" xfId="58896"/>
    <cellStyle name="SYSTEM 22 2 2 3" xfId="58897"/>
    <cellStyle name="SYSTEM 22 2 3" xfId="58898"/>
    <cellStyle name="SYSTEM 22 3" xfId="17395"/>
    <cellStyle name="SYSTEM 22 3 2" xfId="25716"/>
    <cellStyle name="SYSTEM 22 3 2 2" xfId="58899"/>
    <cellStyle name="SYSTEM 22 3 2 3" xfId="58900"/>
    <cellStyle name="SYSTEM 22 3 3" xfId="58901"/>
    <cellStyle name="SYSTEM 22 4" xfId="18423"/>
    <cellStyle name="SYSTEM 22 4 2" xfId="26743"/>
    <cellStyle name="SYSTEM 22 4 2 2" xfId="58902"/>
    <cellStyle name="SYSTEM 22 4 2 3" xfId="58903"/>
    <cellStyle name="SYSTEM 22 4 3" xfId="58904"/>
    <cellStyle name="SYSTEM 22 5" xfId="20375"/>
    <cellStyle name="SYSTEM 22 5 2" xfId="28697"/>
    <cellStyle name="SYSTEM 22 5 2 2" xfId="58905"/>
    <cellStyle name="SYSTEM 22 5 2 3" xfId="58906"/>
    <cellStyle name="SYSTEM 22 5 3" xfId="58907"/>
    <cellStyle name="SYSTEM 22 6" xfId="21836"/>
    <cellStyle name="SYSTEM 22 6 2" xfId="30137"/>
    <cellStyle name="SYSTEM 22 6 2 2" xfId="58908"/>
    <cellStyle name="SYSTEM 22 6 2 3" xfId="58909"/>
    <cellStyle name="SYSTEM 22 6 3" xfId="58910"/>
    <cellStyle name="SYSTEM 22 7" xfId="22764"/>
    <cellStyle name="SYSTEM 22 7 2" xfId="31060"/>
    <cellStyle name="SYSTEM 22 7 2 2" xfId="58911"/>
    <cellStyle name="SYSTEM 22 7 2 3" xfId="58912"/>
    <cellStyle name="SYSTEM 22 7 3" xfId="58913"/>
    <cellStyle name="SYSTEM 22 8" xfId="23706"/>
    <cellStyle name="SYSTEM 22 8 2" xfId="58914"/>
    <cellStyle name="SYSTEM 22 8 3" xfId="58915"/>
    <cellStyle name="SYSTEM 22 9" xfId="58916"/>
    <cellStyle name="SYSTEM 23" xfId="15397"/>
    <cellStyle name="SYSTEM 23 2" xfId="16477"/>
    <cellStyle name="SYSTEM 23 2 2" xfId="24790"/>
    <cellStyle name="SYSTEM 23 2 2 2" xfId="58917"/>
    <cellStyle name="SYSTEM 23 2 2 3" xfId="58918"/>
    <cellStyle name="SYSTEM 23 2 3" xfId="58919"/>
    <cellStyle name="SYSTEM 23 3" xfId="17443"/>
    <cellStyle name="SYSTEM 23 3 2" xfId="25764"/>
    <cellStyle name="SYSTEM 23 3 2 2" xfId="58920"/>
    <cellStyle name="SYSTEM 23 3 2 3" xfId="58921"/>
    <cellStyle name="SYSTEM 23 3 3" xfId="58922"/>
    <cellStyle name="SYSTEM 23 4" xfId="18471"/>
    <cellStyle name="SYSTEM 23 4 2" xfId="26791"/>
    <cellStyle name="SYSTEM 23 4 2 2" xfId="58923"/>
    <cellStyle name="SYSTEM 23 4 2 3" xfId="58924"/>
    <cellStyle name="SYSTEM 23 4 3" xfId="58925"/>
    <cellStyle name="SYSTEM 23 5" xfId="20423"/>
    <cellStyle name="SYSTEM 23 5 2" xfId="28745"/>
    <cellStyle name="SYSTEM 23 5 2 2" xfId="58926"/>
    <cellStyle name="SYSTEM 23 5 2 3" xfId="58927"/>
    <cellStyle name="SYSTEM 23 5 3" xfId="58928"/>
    <cellStyle name="SYSTEM 23 6" xfId="21884"/>
    <cellStyle name="SYSTEM 23 6 2" xfId="30185"/>
    <cellStyle name="SYSTEM 23 6 2 2" xfId="58929"/>
    <cellStyle name="SYSTEM 23 6 2 3" xfId="58930"/>
    <cellStyle name="SYSTEM 23 6 3" xfId="58931"/>
    <cellStyle name="SYSTEM 23 7" xfId="22812"/>
    <cellStyle name="SYSTEM 23 7 2" xfId="31108"/>
    <cellStyle name="SYSTEM 23 7 2 2" xfId="58932"/>
    <cellStyle name="SYSTEM 23 7 2 3" xfId="58933"/>
    <cellStyle name="SYSTEM 23 7 3" xfId="58934"/>
    <cellStyle name="SYSTEM 23 8" xfId="23754"/>
    <cellStyle name="SYSTEM 23 8 2" xfId="58935"/>
    <cellStyle name="SYSTEM 23 8 3" xfId="58936"/>
    <cellStyle name="SYSTEM 23 9" xfId="58937"/>
    <cellStyle name="SYSTEM 24" xfId="15473"/>
    <cellStyle name="SYSTEM 24 2" xfId="17519"/>
    <cellStyle name="SYSTEM 24 2 2" xfId="25839"/>
    <cellStyle name="SYSTEM 24 2 2 2" xfId="58938"/>
    <cellStyle name="SYSTEM 24 2 2 3" xfId="58939"/>
    <cellStyle name="SYSTEM 24 2 3" xfId="58940"/>
    <cellStyle name="SYSTEM 24 3" xfId="18546"/>
    <cellStyle name="SYSTEM 24 3 2" xfId="26863"/>
    <cellStyle name="SYSTEM 24 3 2 2" xfId="58941"/>
    <cellStyle name="SYSTEM 24 3 2 3" xfId="58942"/>
    <cellStyle name="SYSTEM 24 3 3" xfId="34033"/>
    <cellStyle name="SYSTEM 24 3 4" xfId="58943"/>
    <cellStyle name="SYSTEM 24 4" xfId="19530"/>
    <cellStyle name="SYSTEM 24 4 2" xfId="27851"/>
    <cellStyle name="SYSTEM 24 4 3" xfId="34999"/>
    <cellStyle name="SYSTEM 24 5" xfId="58944"/>
    <cellStyle name="SYSTEM 24 6" xfId="58945"/>
    <cellStyle name="SYSTEM 25" xfId="15511"/>
    <cellStyle name="SYSTEM 25 2" xfId="23851"/>
    <cellStyle name="SYSTEM 25 2 2" xfId="58946"/>
    <cellStyle name="SYSTEM 25 2 3" xfId="58947"/>
    <cellStyle name="SYSTEM 25 3" xfId="58948"/>
    <cellStyle name="SYSTEM 26" xfId="17555"/>
    <cellStyle name="SYSTEM 26 2" xfId="25874"/>
    <cellStyle name="SYSTEM 26 2 2" xfId="58949"/>
    <cellStyle name="SYSTEM 26 2 3" xfId="58950"/>
    <cellStyle name="SYSTEM 26 3" xfId="58951"/>
    <cellStyle name="SYSTEM 27" xfId="17565"/>
    <cellStyle name="SYSTEM 27 2" xfId="25884"/>
    <cellStyle name="SYSTEM 27 2 2" xfId="58952"/>
    <cellStyle name="SYSTEM 27 2 3" xfId="58953"/>
    <cellStyle name="SYSTEM 27 3" xfId="58954"/>
    <cellStyle name="SYSTEM 28" xfId="18555"/>
    <cellStyle name="SYSTEM 28 2" xfId="26872"/>
    <cellStyle name="SYSTEM 28 2 2" xfId="58955"/>
    <cellStyle name="SYSTEM 28 2 3" xfId="58956"/>
    <cellStyle name="SYSTEM 28 3" xfId="58957"/>
    <cellStyle name="SYSTEM 29" xfId="14526"/>
    <cellStyle name="SYSTEM 3" xfId="14538"/>
    <cellStyle name="SYSTEM 3 2" xfId="15614"/>
    <cellStyle name="SYSTEM 3 2 2" xfId="58958"/>
    <cellStyle name="SYSTEM 3 2 2 2" xfId="58959"/>
    <cellStyle name="SYSTEM 3 2 2 3" xfId="58960"/>
    <cellStyle name="SYSTEM 3 2 3" xfId="58961"/>
    <cellStyle name="SYSTEM 3 2 4" xfId="58962"/>
    <cellStyle name="SYSTEM 3 3" xfId="17601"/>
    <cellStyle name="SYSTEM 3 3 2" xfId="25923"/>
    <cellStyle name="SYSTEM 3 3 2 2" xfId="58963"/>
    <cellStyle name="SYSTEM 3 3 2 3" xfId="58964"/>
    <cellStyle name="SYSTEM 3 3 3" xfId="58965"/>
    <cellStyle name="SYSTEM 3 4" xfId="18582"/>
    <cellStyle name="SYSTEM 3 4 2" xfId="26901"/>
    <cellStyle name="SYSTEM 3 4 2 2" xfId="58966"/>
    <cellStyle name="SYSTEM 3 4 2 3" xfId="58967"/>
    <cellStyle name="SYSTEM 3 4 3" xfId="34070"/>
    <cellStyle name="SYSTEM 3 4 4" xfId="58968"/>
    <cellStyle name="SYSTEM 3 5" xfId="19550"/>
    <cellStyle name="SYSTEM 3 5 2" xfId="27871"/>
    <cellStyle name="SYSTEM 3 5 2 2" xfId="58969"/>
    <cellStyle name="SYSTEM 3 5 2 3" xfId="58970"/>
    <cellStyle name="SYSTEM 3 5 3" xfId="58971"/>
    <cellStyle name="SYSTEM 3 6" xfId="20508"/>
    <cellStyle name="SYSTEM 3 6 2" xfId="28830"/>
    <cellStyle name="SYSTEM 3 6 2 2" xfId="58972"/>
    <cellStyle name="SYSTEM 3 6 2 3" xfId="58973"/>
    <cellStyle name="SYSTEM 3 6 3" xfId="58974"/>
    <cellStyle name="SYSTEM 3 7" xfId="15566"/>
    <cellStyle name="SYSTEM 3 7 2" xfId="23891"/>
    <cellStyle name="SYSTEM 3 7 3" xfId="31235"/>
    <cellStyle name="SYSTEM 3 8" xfId="58975"/>
    <cellStyle name="SYSTEM 3 8 2" xfId="58976"/>
    <cellStyle name="SYSTEM 4" xfId="14594"/>
    <cellStyle name="SYSTEM 4 10" xfId="22954"/>
    <cellStyle name="SYSTEM 4 10 2" xfId="58977"/>
    <cellStyle name="SYSTEM 4 10 3" xfId="58978"/>
    <cellStyle name="SYSTEM 4 11" xfId="58979"/>
    <cellStyle name="SYSTEM 4 2" xfId="15674"/>
    <cellStyle name="SYSTEM 4 2 2" xfId="23989"/>
    <cellStyle name="SYSTEM 4 2 2 2" xfId="58980"/>
    <cellStyle name="SYSTEM 4 2 2 3" xfId="58981"/>
    <cellStyle name="SYSTEM 4 2 3" xfId="58982"/>
    <cellStyle name="SYSTEM 4 3" xfId="16641"/>
    <cellStyle name="SYSTEM 4 3 2" xfId="24960"/>
    <cellStyle name="SYSTEM 4 3 2 2" xfId="58983"/>
    <cellStyle name="SYSTEM 4 3 2 3" xfId="58984"/>
    <cellStyle name="SYSTEM 4 3 3" xfId="58985"/>
    <cellStyle name="SYSTEM 4 4" xfId="17662"/>
    <cellStyle name="SYSTEM 4 4 2" xfId="25986"/>
    <cellStyle name="SYSTEM 4 4 2 2" xfId="58986"/>
    <cellStyle name="SYSTEM 4 4 2 3" xfId="58987"/>
    <cellStyle name="SYSTEM 4 4 3" xfId="58988"/>
    <cellStyle name="SYSTEM 4 5" xfId="18645"/>
    <cellStyle name="SYSTEM 4 5 2" xfId="26966"/>
    <cellStyle name="SYSTEM 4 5 2 2" xfId="58989"/>
    <cellStyle name="SYSTEM 4 5 2 3" xfId="58990"/>
    <cellStyle name="SYSTEM 4 5 3" xfId="58991"/>
    <cellStyle name="SYSTEM 4 6" xfId="19614"/>
    <cellStyle name="SYSTEM 4 6 2" xfId="27935"/>
    <cellStyle name="SYSTEM 4 6 2 2" xfId="58992"/>
    <cellStyle name="SYSTEM 4 6 2 3" xfId="58993"/>
    <cellStyle name="SYSTEM 4 6 3" xfId="58994"/>
    <cellStyle name="SYSTEM 4 7" xfId="20571"/>
    <cellStyle name="SYSTEM 4 7 2" xfId="28893"/>
    <cellStyle name="SYSTEM 4 7 2 2" xfId="58995"/>
    <cellStyle name="SYSTEM 4 7 2 3" xfId="58996"/>
    <cellStyle name="SYSTEM 4 7 3" xfId="58997"/>
    <cellStyle name="SYSTEM 4 8" xfId="21342"/>
    <cellStyle name="SYSTEM 4 8 2" xfId="29646"/>
    <cellStyle name="SYSTEM 4 8 2 2" xfId="58998"/>
    <cellStyle name="SYSTEM 4 8 2 3" xfId="58999"/>
    <cellStyle name="SYSTEM 4 8 3" xfId="59000"/>
    <cellStyle name="SYSTEM 4 9" xfId="22008"/>
    <cellStyle name="SYSTEM 4 9 2" xfId="30307"/>
    <cellStyle name="SYSTEM 4 9 2 2" xfId="59001"/>
    <cellStyle name="SYSTEM 4 9 2 3" xfId="59002"/>
    <cellStyle name="SYSTEM 4 9 3" xfId="59003"/>
    <cellStyle name="SYSTEM 5" xfId="14550"/>
    <cellStyle name="SYSTEM 5 10" xfId="22906"/>
    <cellStyle name="SYSTEM 5 10 2" xfId="59004"/>
    <cellStyle name="SYSTEM 5 10 3" xfId="59005"/>
    <cellStyle name="SYSTEM 5 11" xfId="59006"/>
    <cellStyle name="SYSTEM 5 2" xfId="15629"/>
    <cellStyle name="SYSTEM 5 2 2" xfId="23942"/>
    <cellStyle name="SYSTEM 5 2 2 2" xfId="59007"/>
    <cellStyle name="SYSTEM 5 2 2 3" xfId="59008"/>
    <cellStyle name="SYSTEM 5 2 3" xfId="59009"/>
    <cellStyle name="SYSTEM 5 3" xfId="16596"/>
    <cellStyle name="SYSTEM 5 3 2" xfId="24913"/>
    <cellStyle name="SYSTEM 5 3 2 2" xfId="59010"/>
    <cellStyle name="SYSTEM 5 3 2 3" xfId="59011"/>
    <cellStyle name="SYSTEM 5 3 3" xfId="59012"/>
    <cellStyle name="SYSTEM 5 4" xfId="17616"/>
    <cellStyle name="SYSTEM 5 4 2" xfId="25939"/>
    <cellStyle name="SYSTEM 5 4 2 2" xfId="59013"/>
    <cellStyle name="SYSTEM 5 4 2 3" xfId="59014"/>
    <cellStyle name="SYSTEM 5 4 3" xfId="59015"/>
    <cellStyle name="SYSTEM 5 5" xfId="18598"/>
    <cellStyle name="SYSTEM 5 5 2" xfId="26917"/>
    <cellStyle name="SYSTEM 5 5 2 2" xfId="59016"/>
    <cellStyle name="SYSTEM 5 5 2 3" xfId="59017"/>
    <cellStyle name="SYSTEM 5 5 3" xfId="59018"/>
    <cellStyle name="SYSTEM 5 6" xfId="19566"/>
    <cellStyle name="SYSTEM 5 6 2" xfId="27887"/>
    <cellStyle name="SYSTEM 5 6 2 2" xfId="59019"/>
    <cellStyle name="SYSTEM 5 6 2 3" xfId="59020"/>
    <cellStyle name="SYSTEM 5 6 3" xfId="59021"/>
    <cellStyle name="SYSTEM 5 7" xfId="20524"/>
    <cellStyle name="SYSTEM 5 7 2" xfId="28846"/>
    <cellStyle name="SYSTEM 5 7 2 2" xfId="59022"/>
    <cellStyle name="SYSTEM 5 7 2 3" xfId="59023"/>
    <cellStyle name="SYSTEM 5 7 3" xfId="59024"/>
    <cellStyle name="SYSTEM 5 8" xfId="21262"/>
    <cellStyle name="SYSTEM 5 8 2" xfId="29570"/>
    <cellStyle name="SYSTEM 5 8 2 2" xfId="59025"/>
    <cellStyle name="SYSTEM 5 8 2 3" xfId="59026"/>
    <cellStyle name="SYSTEM 5 8 3" xfId="59027"/>
    <cellStyle name="SYSTEM 5 9" xfId="21324"/>
    <cellStyle name="SYSTEM 5 9 2" xfId="29629"/>
    <cellStyle name="SYSTEM 5 9 2 2" xfId="59028"/>
    <cellStyle name="SYSTEM 5 9 2 3" xfId="59029"/>
    <cellStyle name="SYSTEM 5 9 3" xfId="59030"/>
    <cellStyle name="SYSTEM 6" xfId="14590"/>
    <cellStyle name="SYSTEM 6 10" xfId="22949"/>
    <cellStyle name="SYSTEM 6 10 2" xfId="59031"/>
    <cellStyle name="SYSTEM 6 10 3" xfId="59032"/>
    <cellStyle name="SYSTEM 6 11" xfId="59033"/>
    <cellStyle name="SYSTEM 6 2" xfId="15670"/>
    <cellStyle name="SYSTEM 6 2 2" xfId="23984"/>
    <cellStyle name="SYSTEM 6 2 2 2" xfId="59034"/>
    <cellStyle name="SYSTEM 6 2 2 3" xfId="59035"/>
    <cellStyle name="SYSTEM 6 2 3" xfId="59036"/>
    <cellStyle name="SYSTEM 6 3" xfId="16637"/>
    <cellStyle name="SYSTEM 6 3 2" xfId="24955"/>
    <cellStyle name="SYSTEM 6 3 2 2" xfId="59037"/>
    <cellStyle name="SYSTEM 6 3 2 3" xfId="59038"/>
    <cellStyle name="SYSTEM 6 3 3" xfId="59039"/>
    <cellStyle name="SYSTEM 6 4" xfId="17658"/>
    <cellStyle name="SYSTEM 6 4 2" xfId="25981"/>
    <cellStyle name="SYSTEM 6 4 2 2" xfId="59040"/>
    <cellStyle name="SYSTEM 6 4 2 3" xfId="59041"/>
    <cellStyle name="SYSTEM 6 4 3" xfId="59042"/>
    <cellStyle name="SYSTEM 6 5" xfId="18641"/>
    <cellStyle name="SYSTEM 6 5 2" xfId="26961"/>
    <cellStyle name="SYSTEM 6 5 2 2" xfId="59043"/>
    <cellStyle name="SYSTEM 6 5 2 3" xfId="59044"/>
    <cellStyle name="SYSTEM 6 5 3" xfId="59045"/>
    <cellStyle name="SYSTEM 6 6" xfId="19610"/>
    <cellStyle name="SYSTEM 6 6 2" xfId="27930"/>
    <cellStyle name="SYSTEM 6 6 2 2" xfId="59046"/>
    <cellStyle name="SYSTEM 6 6 2 3" xfId="59047"/>
    <cellStyle name="SYSTEM 6 6 3" xfId="59048"/>
    <cellStyle name="SYSTEM 6 7" xfId="20567"/>
    <cellStyle name="SYSTEM 6 7 2" xfId="28888"/>
    <cellStyle name="SYSTEM 6 7 2 2" xfId="59049"/>
    <cellStyle name="SYSTEM 6 7 2 3" xfId="59050"/>
    <cellStyle name="SYSTEM 6 7 3" xfId="59051"/>
    <cellStyle name="SYSTEM 6 8" xfId="21073"/>
    <cellStyle name="SYSTEM 6 8 2" xfId="29390"/>
    <cellStyle name="SYSTEM 6 8 2 2" xfId="59052"/>
    <cellStyle name="SYSTEM 6 8 2 3" xfId="59053"/>
    <cellStyle name="SYSTEM 6 8 3" xfId="59054"/>
    <cellStyle name="SYSTEM 6 9" xfId="22003"/>
    <cellStyle name="SYSTEM 6 9 2" xfId="30302"/>
    <cellStyle name="SYSTEM 6 9 2 2" xfId="59055"/>
    <cellStyle name="SYSTEM 6 9 2 3" xfId="59056"/>
    <cellStyle name="SYSTEM 6 9 3" xfId="59057"/>
    <cellStyle name="SYSTEM 7" xfId="14672"/>
    <cellStyle name="SYSTEM 7 10" xfId="23034"/>
    <cellStyle name="SYSTEM 7 10 2" xfId="59058"/>
    <cellStyle name="SYSTEM 7 10 3" xfId="59059"/>
    <cellStyle name="SYSTEM 7 11" xfId="59060"/>
    <cellStyle name="SYSTEM 7 2" xfId="15753"/>
    <cellStyle name="SYSTEM 7 2 2" xfId="24069"/>
    <cellStyle name="SYSTEM 7 2 2 2" xfId="59061"/>
    <cellStyle name="SYSTEM 7 2 2 3" xfId="59062"/>
    <cellStyle name="SYSTEM 7 2 3" xfId="59063"/>
    <cellStyle name="SYSTEM 7 3" xfId="16719"/>
    <cellStyle name="SYSTEM 7 3 2" xfId="25040"/>
    <cellStyle name="SYSTEM 7 3 2 2" xfId="59064"/>
    <cellStyle name="SYSTEM 7 3 2 3" xfId="59065"/>
    <cellStyle name="SYSTEM 7 3 3" xfId="59066"/>
    <cellStyle name="SYSTEM 7 4" xfId="17743"/>
    <cellStyle name="SYSTEM 7 4 2" xfId="26066"/>
    <cellStyle name="SYSTEM 7 4 2 2" xfId="59067"/>
    <cellStyle name="SYSTEM 7 4 2 3" xfId="59068"/>
    <cellStyle name="SYSTEM 7 4 3" xfId="59069"/>
    <cellStyle name="SYSTEM 7 5" xfId="18726"/>
    <cellStyle name="SYSTEM 7 5 2" xfId="27047"/>
    <cellStyle name="SYSTEM 7 5 2 2" xfId="59070"/>
    <cellStyle name="SYSTEM 7 5 2 3" xfId="59071"/>
    <cellStyle name="SYSTEM 7 5 3" xfId="59072"/>
    <cellStyle name="SYSTEM 7 6" xfId="19695"/>
    <cellStyle name="SYSTEM 7 6 2" xfId="28016"/>
    <cellStyle name="SYSTEM 7 6 2 2" xfId="59073"/>
    <cellStyle name="SYSTEM 7 6 2 3" xfId="59074"/>
    <cellStyle name="SYSTEM 7 6 3" xfId="59075"/>
    <cellStyle name="SYSTEM 7 7" xfId="20652"/>
    <cellStyle name="SYSTEM 7 7 2" xfId="28973"/>
    <cellStyle name="SYSTEM 7 7 2 2" xfId="59076"/>
    <cellStyle name="SYSTEM 7 7 2 3" xfId="59077"/>
    <cellStyle name="SYSTEM 7 7 3" xfId="59078"/>
    <cellStyle name="SYSTEM 7 8" xfId="21196"/>
    <cellStyle name="SYSTEM 7 8 2" xfId="29508"/>
    <cellStyle name="SYSTEM 7 8 2 2" xfId="59079"/>
    <cellStyle name="SYSTEM 7 8 2 3" xfId="59080"/>
    <cellStyle name="SYSTEM 7 8 3" xfId="59081"/>
    <cellStyle name="SYSTEM 7 9" xfId="22089"/>
    <cellStyle name="SYSTEM 7 9 2" xfId="30387"/>
    <cellStyle name="SYSTEM 7 9 2 2" xfId="59082"/>
    <cellStyle name="SYSTEM 7 9 2 3" xfId="59083"/>
    <cellStyle name="SYSTEM 7 9 3" xfId="59084"/>
    <cellStyle name="SYSTEM 8" xfId="14699"/>
    <cellStyle name="SYSTEM 8 10" xfId="23061"/>
    <cellStyle name="SYSTEM 8 10 2" xfId="59085"/>
    <cellStyle name="SYSTEM 8 10 3" xfId="59086"/>
    <cellStyle name="SYSTEM 8 11" xfId="59087"/>
    <cellStyle name="SYSTEM 8 2" xfId="15780"/>
    <cellStyle name="SYSTEM 8 2 2" xfId="24096"/>
    <cellStyle name="SYSTEM 8 2 2 2" xfId="59088"/>
    <cellStyle name="SYSTEM 8 2 2 3" xfId="59089"/>
    <cellStyle name="SYSTEM 8 2 3" xfId="59090"/>
    <cellStyle name="SYSTEM 8 3" xfId="16746"/>
    <cellStyle name="SYSTEM 8 3 2" xfId="25068"/>
    <cellStyle name="SYSTEM 8 3 2 2" xfId="59091"/>
    <cellStyle name="SYSTEM 8 3 2 3" xfId="59092"/>
    <cellStyle name="SYSTEM 8 3 3" xfId="59093"/>
    <cellStyle name="SYSTEM 8 4" xfId="17770"/>
    <cellStyle name="SYSTEM 8 4 2" xfId="26094"/>
    <cellStyle name="SYSTEM 8 4 2 2" xfId="59094"/>
    <cellStyle name="SYSTEM 8 4 2 3" xfId="59095"/>
    <cellStyle name="SYSTEM 8 4 3" xfId="59096"/>
    <cellStyle name="SYSTEM 8 5" xfId="18754"/>
    <cellStyle name="SYSTEM 8 5 2" xfId="27075"/>
    <cellStyle name="SYSTEM 8 5 2 2" xfId="59097"/>
    <cellStyle name="SYSTEM 8 5 2 3" xfId="59098"/>
    <cellStyle name="SYSTEM 8 5 3" xfId="59099"/>
    <cellStyle name="SYSTEM 8 6" xfId="19723"/>
    <cellStyle name="SYSTEM 8 6 2" xfId="28044"/>
    <cellStyle name="SYSTEM 8 6 2 2" xfId="59100"/>
    <cellStyle name="SYSTEM 8 6 2 3" xfId="59101"/>
    <cellStyle name="SYSTEM 8 6 3" xfId="59102"/>
    <cellStyle name="SYSTEM 8 7" xfId="20680"/>
    <cellStyle name="SYSTEM 8 7 2" xfId="29001"/>
    <cellStyle name="SYSTEM 8 7 2 2" xfId="59103"/>
    <cellStyle name="SYSTEM 8 7 2 3" xfId="59104"/>
    <cellStyle name="SYSTEM 8 7 3" xfId="59105"/>
    <cellStyle name="SYSTEM 8 8" xfId="21203"/>
    <cellStyle name="SYSTEM 8 8 2" xfId="29515"/>
    <cellStyle name="SYSTEM 8 8 2 2" xfId="59106"/>
    <cellStyle name="SYSTEM 8 8 2 3" xfId="59107"/>
    <cellStyle name="SYSTEM 8 8 3" xfId="59108"/>
    <cellStyle name="SYSTEM 8 9" xfId="22116"/>
    <cellStyle name="SYSTEM 8 9 2" xfId="30414"/>
    <cellStyle name="SYSTEM 8 9 2 2" xfId="59109"/>
    <cellStyle name="SYSTEM 8 9 2 3" xfId="59110"/>
    <cellStyle name="SYSTEM 8 9 3" xfId="59111"/>
    <cellStyle name="SYSTEM 9" xfId="14709"/>
    <cellStyle name="SYSTEM 9 10" xfId="23071"/>
    <cellStyle name="SYSTEM 9 10 2" xfId="59112"/>
    <cellStyle name="SYSTEM 9 10 3" xfId="59113"/>
    <cellStyle name="SYSTEM 9 11" xfId="59114"/>
    <cellStyle name="SYSTEM 9 2" xfId="15790"/>
    <cellStyle name="SYSTEM 9 2 2" xfId="24106"/>
    <cellStyle name="SYSTEM 9 2 2 2" xfId="59115"/>
    <cellStyle name="SYSTEM 9 2 2 3" xfId="59116"/>
    <cellStyle name="SYSTEM 9 2 3" xfId="59117"/>
    <cellStyle name="SYSTEM 9 3" xfId="16756"/>
    <cellStyle name="SYSTEM 9 3 2" xfId="25078"/>
    <cellStyle name="SYSTEM 9 3 2 2" xfId="59118"/>
    <cellStyle name="SYSTEM 9 3 2 3" xfId="59119"/>
    <cellStyle name="SYSTEM 9 3 3" xfId="59120"/>
    <cellStyle name="SYSTEM 9 4" xfId="17780"/>
    <cellStyle name="SYSTEM 9 4 2" xfId="26104"/>
    <cellStyle name="SYSTEM 9 4 2 2" xfId="59121"/>
    <cellStyle name="SYSTEM 9 4 2 3" xfId="59122"/>
    <cellStyle name="SYSTEM 9 4 3" xfId="59123"/>
    <cellStyle name="SYSTEM 9 5" xfId="18764"/>
    <cellStyle name="SYSTEM 9 5 2" xfId="27085"/>
    <cellStyle name="SYSTEM 9 5 2 2" xfId="59124"/>
    <cellStyle name="SYSTEM 9 5 2 3" xfId="59125"/>
    <cellStyle name="SYSTEM 9 5 3" xfId="59126"/>
    <cellStyle name="SYSTEM 9 6" xfId="19733"/>
    <cellStyle name="SYSTEM 9 6 2" xfId="28054"/>
    <cellStyle name="SYSTEM 9 6 2 2" xfId="59127"/>
    <cellStyle name="SYSTEM 9 6 2 3" xfId="59128"/>
    <cellStyle name="SYSTEM 9 6 3" xfId="59129"/>
    <cellStyle name="SYSTEM 9 7" xfId="20690"/>
    <cellStyle name="SYSTEM 9 7 2" xfId="29011"/>
    <cellStyle name="SYSTEM 9 7 2 2" xfId="59130"/>
    <cellStyle name="SYSTEM 9 7 2 3" xfId="59131"/>
    <cellStyle name="SYSTEM 9 7 3" xfId="59132"/>
    <cellStyle name="SYSTEM 9 8" xfId="21237"/>
    <cellStyle name="SYSTEM 9 8 2" xfId="29547"/>
    <cellStyle name="SYSTEM 9 8 2 2" xfId="59133"/>
    <cellStyle name="SYSTEM 9 8 2 3" xfId="59134"/>
    <cellStyle name="SYSTEM 9 8 3" xfId="59135"/>
    <cellStyle name="SYSTEM 9 9" xfId="22126"/>
    <cellStyle name="SYSTEM 9 9 2" xfId="30424"/>
    <cellStyle name="SYSTEM 9 9 2 2" xfId="59136"/>
    <cellStyle name="SYSTEM 9 9 2 3" xfId="59137"/>
    <cellStyle name="SYSTEM 9 9 3" xfId="59138"/>
    <cellStyle name="Table Footnote" xfId="59139"/>
    <cellStyle name="Table Header" xfId="59140"/>
    <cellStyle name="Table Header 2" xfId="59141"/>
    <cellStyle name="Table Header 2 3" xfId="59142"/>
    <cellStyle name="Table Header 2_201211070_Key data updated 11 January 2013" xfId="59143"/>
    <cellStyle name="Table Header Small" xfId="59144"/>
    <cellStyle name="Table Header_20120608_DB ready reckonerV10_V2a TN edits 31 V2" xfId="59145"/>
    <cellStyle name="Table Heading 1" xfId="59146"/>
    <cellStyle name="Table Heading 1 2 3" xfId="59147"/>
    <cellStyle name="Table Heading 1_Baseline%20Wallpaper%20from%2014-12-10%20ALIGNMENT(1)" xfId="59148"/>
    <cellStyle name="Table Heading 2" xfId="59149"/>
    <cellStyle name="Table Normal" xfId="59150"/>
    <cellStyle name="Table Normal 2" xfId="59151"/>
    <cellStyle name="Table Of Which" xfId="59152"/>
    <cellStyle name="Table Row Billions" xfId="59153"/>
    <cellStyle name="Table Row Billions Check" xfId="59154"/>
    <cellStyle name="Table Row Billions_~6692659" xfId="59155"/>
    <cellStyle name="Table Row Millions" xfId="59156"/>
    <cellStyle name="Table Row Millions 2 3" xfId="59157"/>
    <cellStyle name="Table Row Millions Check" xfId="59158"/>
    <cellStyle name="Table Row Millions Check 6" xfId="59159"/>
    <cellStyle name="Table Row Millions_~6692659" xfId="59160"/>
    <cellStyle name="Table Row Of Which" xfId="59161"/>
    <cellStyle name="Table Row Of Which Not For Publication" xfId="59162"/>
    <cellStyle name="Table Row Of Which Small" xfId="59163"/>
    <cellStyle name="Table Row Percentage" xfId="59164"/>
    <cellStyle name="Table Row Thousands" xfId="59165"/>
    <cellStyle name="Table Row Thousands Check" xfId="59166"/>
    <cellStyle name="Table Row Thousands Not For Publication" xfId="59167"/>
    <cellStyle name="Table Row Thousands Small" xfId="59168"/>
    <cellStyle name="Table Row Units" xfId="59169"/>
    <cellStyle name="Table Row Units Check" xfId="59170"/>
    <cellStyle name="Table Row Units Not For Publication" xfId="59171"/>
    <cellStyle name="Table Total Billions" xfId="59172"/>
    <cellStyle name="Table Total Millions" xfId="59173"/>
    <cellStyle name="Table Total Millions 2 3" xfId="59174"/>
    <cellStyle name="Table Total Millions_~4373238" xfId="59175"/>
    <cellStyle name="Table Units" xfId="59176"/>
    <cellStyle name="Table Units 2 3" xfId="59177"/>
    <cellStyle name="Table Units_Baseline%20Wallpaper%20from%2014-12-10%20ALIGNMENT(1)" xfId="59178"/>
    <cellStyle name="Text Level 1" xfId="59179"/>
    <cellStyle name="Text Level 2" xfId="59180"/>
    <cellStyle name="Text Level 3" xfId="59181"/>
    <cellStyle name="Text Level 4" xfId="59182"/>
    <cellStyle name="TextEntry" xfId="59183"/>
    <cellStyle name="Thousands" xfId="59184"/>
    <cellStyle name="TIME Detail" xfId="14506"/>
    <cellStyle name="TIME Period Start" xfId="14507"/>
    <cellStyle name="Title 1" xfId="59185"/>
    <cellStyle name="Title 2" xfId="43"/>
    <cellStyle name="Title 2 2" xfId="59186"/>
    <cellStyle name="Title 2 2 2" xfId="59187"/>
    <cellStyle name="Title 2 2 3" xfId="59188"/>
    <cellStyle name="Title 2 2 4" xfId="59189"/>
    <cellStyle name="Title 2 2_PCT_initial_plan_form_template_10.12.20" xfId="59190"/>
    <cellStyle name="Title 2 3" xfId="59191"/>
    <cellStyle name="Title 2 4" xfId="59192"/>
    <cellStyle name="Title 2 5" xfId="59193"/>
    <cellStyle name="Title 2 6" xfId="59194"/>
    <cellStyle name="Title 2_Capital Dispo allocations V2" xfId="59195"/>
    <cellStyle name="Title 3" xfId="642"/>
    <cellStyle name="Title 3 2" xfId="59196"/>
    <cellStyle name="Title 4" xfId="59197"/>
    <cellStyle name="Title 5" xfId="59198"/>
    <cellStyle name="Title 6" xfId="59199"/>
    <cellStyle name="Top_Centred" xfId="59200"/>
    <cellStyle name="Topline" xfId="59201"/>
    <cellStyle name="Topline 2" xfId="59202"/>
    <cellStyle name="Topline 2 2" xfId="59203"/>
    <cellStyle name="Topline 3" xfId="59204"/>
    <cellStyle name="Total 2" xfId="44"/>
    <cellStyle name="Total 2 10" xfId="1093"/>
    <cellStyle name="Total 2 10 10" xfId="14727"/>
    <cellStyle name="Total 2 10 11" xfId="23090"/>
    <cellStyle name="Total 2 10 2" xfId="1083"/>
    <cellStyle name="Total 2 10 2 2" xfId="1899"/>
    <cellStyle name="Total 2 10 2 2 2" xfId="5319"/>
    <cellStyle name="Total 2 10 2 2 2 2" xfId="12159"/>
    <cellStyle name="Total 2 10 2 2 3" xfId="8739"/>
    <cellStyle name="Total 2 10 2 3" xfId="3039"/>
    <cellStyle name="Total 2 10 2 3 2" xfId="6459"/>
    <cellStyle name="Total 2 10 2 3 2 2" xfId="13299"/>
    <cellStyle name="Total 2 10 2 3 3" xfId="9879"/>
    <cellStyle name="Total 2 10 2 4" xfId="4179"/>
    <cellStyle name="Total 2 10 2 4 2" xfId="11019"/>
    <cellStyle name="Total 2 10 2 5" xfId="7599"/>
    <cellStyle name="Total 2 10 2 6" xfId="15808"/>
    <cellStyle name="Total 2 10 2 7" xfId="24125"/>
    <cellStyle name="Total 2 10 2 8" xfId="31413"/>
    <cellStyle name="Total 2 10 3" xfId="1898"/>
    <cellStyle name="Total 2 10 3 2" xfId="5318"/>
    <cellStyle name="Total 2 10 3 2 2" xfId="12158"/>
    <cellStyle name="Total 2 10 3 2 3" xfId="59205"/>
    <cellStyle name="Total 2 10 3 3" xfId="8738"/>
    <cellStyle name="Total 2 10 3 4" xfId="16774"/>
    <cellStyle name="Total 2 10 3 5" xfId="25097"/>
    <cellStyle name="Total 2 10 3 6" xfId="32346"/>
    <cellStyle name="Total 2 10 4" xfId="3038"/>
    <cellStyle name="Total 2 10 4 2" xfId="6458"/>
    <cellStyle name="Total 2 10 4 2 2" xfId="13298"/>
    <cellStyle name="Total 2 10 4 2 3" xfId="59206"/>
    <cellStyle name="Total 2 10 4 3" xfId="9878"/>
    <cellStyle name="Total 2 10 4 4" xfId="17799"/>
    <cellStyle name="Total 2 10 4 5" xfId="26123"/>
    <cellStyle name="Total 2 10 4 6" xfId="33323"/>
    <cellStyle name="Total 2 10 5" xfId="4178"/>
    <cellStyle name="Total 2 10 5 2" xfId="11018"/>
    <cellStyle name="Total 2 10 5 2 2" xfId="59207"/>
    <cellStyle name="Total 2 10 5 2 3" xfId="59208"/>
    <cellStyle name="Total 2 10 5 3" xfId="18783"/>
    <cellStyle name="Total 2 10 5 4" xfId="27104"/>
    <cellStyle name="Total 2 10 5 5" xfId="34263"/>
    <cellStyle name="Total 2 10 6" xfId="7598"/>
    <cellStyle name="Total 2 10 6 2" xfId="19751"/>
    <cellStyle name="Total 2 10 6 2 2" xfId="59209"/>
    <cellStyle name="Total 2 10 6 2 3" xfId="59210"/>
    <cellStyle name="Total 2 10 6 3" xfId="28073"/>
    <cellStyle name="Total 2 10 6 4" xfId="35209"/>
    <cellStyle name="Total 2 10 7" xfId="20709"/>
    <cellStyle name="Total 2 10 7 2" xfId="29030"/>
    <cellStyle name="Total 2 10 7 2 2" xfId="59211"/>
    <cellStyle name="Total 2 10 7 2 3" xfId="59212"/>
    <cellStyle name="Total 2 10 7 3" xfId="36123"/>
    <cellStyle name="Total 2 10 7 4" xfId="59213"/>
    <cellStyle name="Total 2 10 8" xfId="21079"/>
    <cellStyle name="Total 2 10 8 2" xfId="29396"/>
    <cellStyle name="Total 2 10 8 2 2" xfId="59214"/>
    <cellStyle name="Total 2 10 8 2 3" xfId="59215"/>
    <cellStyle name="Total 2 10 8 3" xfId="36472"/>
    <cellStyle name="Total 2 10 8 4" xfId="59216"/>
    <cellStyle name="Total 2 10 9" xfId="22145"/>
    <cellStyle name="Total 2 10 9 2" xfId="30443"/>
    <cellStyle name="Total 2 10 9 3" xfId="37474"/>
    <cellStyle name="Total 2 11" xfId="14718"/>
    <cellStyle name="Total 2 11 10" xfId="23080"/>
    <cellStyle name="Total 2 11 11" xfId="59217"/>
    <cellStyle name="Total 2 11 2" xfId="15799"/>
    <cellStyle name="Total 2 11 2 2" xfId="24115"/>
    <cellStyle name="Total 2 11 2 2 2" xfId="59218"/>
    <cellStyle name="Total 2 11 2 2 3" xfId="59219"/>
    <cellStyle name="Total 2 11 2 3" xfId="31403"/>
    <cellStyle name="Total 2 11 2 4" xfId="59220"/>
    <cellStyle name="Total 2 11 3" xfId="16765"/>
    <cellStyle name="Total 2 11 3 2" xfId="25087"/>
    <cellStyle name="Total 2 11 3 2 2" xfId="59221"/>
    <cellStyle name="Total 2 11 3 2 3" xfId="59222"/>
    <cellStyle name="Total 2 11 3 3" xfId="32336"/>
    <cellStyle name="Total 2 11 3 4" xfId="59223"/>
    <cellStyle name="Total 2 11 4" xfId="17789"/>
    <cellStyle name="Total 2 11 4 2" xfId="26113"/>
    <cellStyle name="Total 2 11 4 2 2" xfId="59224"/>
    <cellStyle name="Total 2 11 4 2 3" xfId="59225"/>
    <cellStyle name="Total 2 11 4 3" xfId="33313"/>
    <cellStyle name="Total 2 11 4 4" xfId="59226"/>
    <cellStyle name="Total 2 11 5" xfId="18773"/>
    <cellStyle name="Total 2 11 5 2" xfId="27094"/>
    <cellStyle name="Total 2 11 5 2 2" xfId="59227"/>
    <cellStyle name="Total 2 11 5 2 3" xfId="59228"/>
    <cellStyle name="Total 2 11 5 3" xfId="34253"/>
    <cellStyle name="Total 2 11 5 4" xfId="59229"/>
    <cellStyle name="Total 2 11 6" xfId="19742"/>
    <cellStyle name="Total 2 11 6 2" xfId="28063"/>
    <cellStyle name="Total 2 11 6 2 2" xfId="59230"/>
    <cellStyle name="Total 2 11 6 2 3" xfId="59231"/>
    <cellStyle name="Total 2 11 6 3" xfId="35199"/>
    <cellStyle name="Total 2 11 6 4" xfId="59232"/>
    <cellStyle name="Total 2 11 7" xfId="20699"/>
    <cellStyle name="Total 2 11 7 2" xfId="29020"/>
    <cellStyle name="Total 2 11 7 2 2" xfId="59233"/>
    <cellStyle name="Total 2 11 7 2 3" xfId="59234"/>
    <cellStyle name="Total 2 11 7 3" xfId="36113"/>
    <cellStyle name="Total 2 11 7 4" xfId="59235"/>
    <cellStyle name="Total 2 11 8" xfId="21228"/>
    <cellStyle name="Total 2 11 8 2" xfId="29539"/>
    <cellStyle name="Total 2 11 8 2 2" xfId="59236"/>
    <cellStyle name="Total 2 11 8 2 3" xfId="59237"/>
    <cellStyle name="Total 2 11 8 3" xfId="36608"/>
    <cellStyle name="Total 2 11 8 4" xfId="59238"/>
    <cellStyle name="Total 2 11 9" xfId="22135"/>
    <cellStyle name="Total 2 11 9 2" xfId="30433"/>
    <cellStyle name="Total 2 11 9 3" xfId="37464"/>
    <cellStyle name="Total 2 12" xfId="14853"/>
    <cellStyle name="Total 2 12 10" xfId="23216"/>
    <cellStyle name="Total 2 12 11" xfId="59239"/>
    <cellStyle name="Total 2 12 2" xfId="15934"/>
    <cellStyle name="Total 2 12 2 2" xfId="24251"/>
    <cellStyle name="Total 2 12 2 2 2" xfId="59240"/>
    <cellStyle name="Total 2 12 2 2 3" xfId="59241"/>
    <cellStyle name="Total 2 12 2 3" xfId="31535"/>
    <cellStyle name="Total 2 12 2 4" xfId="59242"/>
    <cellStyle name="Total 2 12 3" xfId="16900"/>
    <cellStyle name="Total 2 12 3 2" xfId="25223"/>
    <cellStyle name="Total 2 12 3 2 2" xfId="59243"/>
    <cellStyle name="Total 2 12 3 2 3" xfId="59244"/>
    <cellStyle name="Total 2 12 3 3" xfId="32468"/>
    <cellStyle name="Total 2 12 3 4" xfId="59245"/>
    <cellStyle name="Total 2 12 4" xfId="17927"/>
    <cellStyle name="Total 2 12 4 2" xfId="26249"/>
    <cellStyle name="Total 2 12 4 2 2" xfId="59246"/>
    <cellStyle name="Total 2 12 4 2 3" xfId="59247"/>
    <cellStyle name="Total 2 12 4 3" xfId="33445"/>
    <cellStyle name="Total 2 12 4 4" xfId="59248"/>
    <cellStyle name="Total 2 12 5" xfId="18911"/>
    <cellStyle name="Total 2 12 5 2" xfId="27231"/>
    <cellStyle name="Total 2 12 5 2 2" xfId="59249"/>
    <cellStyle name="Total 2 12 5 2 3" xfId="59250"/>
    <cellStyle name="Total 2 12 5 3" xfId="34386"/>
    <cellStyle name="Total 2 12 5 4" xfId="59251"/>
    <cellStyle name="Total 2 12 6" xfId="19879"/>
    <cellStyle name="Total 2 12 6 2" xfId="28201"/>
    <cellStyle name="Total 2 12 6 2 2" xfId="59252"/>
    <cellStyle name="Total 2 12 6 2 3" xfId="59253"/>
    <cellStyle name="Total 2 12 6 3" xfId="35333"/>
    <cellStyle name="Total 2 12 6 4" xfId="59254"/>
    <cellStyle name="Total 2 12 7" xfId="20837"/>
    <cellStyle name="Total 2 12 7 2" xfId="29156"/>
    <cellStyle name="Total 2 12 7 2 2" xfId="59255"/>
    <cellStyle name="Total 2 12 7 2 3" xfId="59256"/>
    <cellStyle name="Total 2 12 7 3" xfId="36243"/>
    <cellStyle name="Total 2 12 7 4" xfId="59257"/>
    <cellStyle name="Total 2 12 8" xfId="21092"/>
    <cellStyle name="Total 2 12 8 2" xfId="29409"/>
    <cellStyle name="Total 2 12 8 2 2" xfId="59258"/>
    <cellStyle name="Total 2 12 8 2 3" xfId="59259"/>
    <cellStyle name="Total 2 12 8 3" xfId="36484"/>
    <cellStyle name="Total 2 12 8 4" xfId="59260"/>
    <cellStyle name="Total 2 12 9" xfId="22272"/>
    <cellStyle name="Total 2 12 9 2" xfId="30570"/>
    <cellStyle name="Total 2 12 9 3" xfId="37596"/>
    <cellStyle name="Total 2 13" xfId="14715"/>
    <cellStyle name="Total 2 13 10" xfId="23077"/>
    <cellStyle name="Total 2 13 11" xfId="59261"/>
    <cellStyle name="Total 2 13 2" xfId="15796"/>
    <cellStyle name="Total 2 13 2 2" xfId="24112"/>
    <cellStyle name="Total 2 13 2 2 2" xfId="59262"/>
    <cellStyle name="Total 2 13 2 2 3" xfId="59263"/>
    <cellStyle name="Total 2 13 2 3" xfId="31400"/>
    <cellStyle name="Total 2 13 2 4" xfId="59264"/>
    <cellStyle name="Total 2 13 3" xfId="16762"/>
    <cellStyle name="Total 2 13 3 2" xfId="25084"/>
    <cellStyle name="Total 2 13 3 2 2" xfId="59265"/>
    <cellStyle name="Total 2 13 3 2 3" xfId="59266"/>
    <cellStyle name="Total 2 13 3 3" xfId="32333"/>
    <cellStyle name="Total 2 13 3 4" xfId="59267"/>
    <cellStyle name="Total 2 13 4" xfId="17786"/>
    <cellStyle name="Total 2 13 4 2" xfId="26110"/>
    <cellStyle name="Total 2 13 4 2 2" xfId="59268"/>
    <cellStyle name="Total 2 13 4 2 3" xfId="59269"/>
    <cellStyle name="Total 2 13 4 3" xfId="33310"/>
    <cellStyle name="Total 2 13 4 4" xfId="59270"/>
    <cellStyle name="Total 2 13 5" xfId="18770"/>
    <cellStyle name="Total 2 13 5 2" xfId="27091"/>
    <cellStyle name="Total 2 13 5 2 2" xfId="59271"/>
    <cellStyle name="Total 2 13 5 2 3" xfId="59272"/>
    <cellStyle name="Total 2 13 5 3" xfId="34250"/>
    <cellStyle name="Total 2 13 5 4" xfId="59273"/>
    <cellStyle name="Total 2 13 6" xfId="19739"/>
    <cellStyle name="Total 2 13 6 2" xfId="28060"/>
    <cellStyle name="Total 2 13 6 2 2" xfId="59274"/>
    <cellStyle name="Total 2 13 6 2 3" xfId="59275"/>
    <cellStyle name="Total 2 13 6 3" xfId="35196"/>
    <cellStyle name="Total 2 13 6 4" xfId="59276"/>
    <cellStyle name="Total 2 13 7" xfId="20696"/>
    <cellStyle name="Total 2 13 7 2" xfId="29017"/>
    <cellStyle name="Total 2 13 7 2 2" xfId="59277"/>
    <cellStyle name="Total 2 13 7 2 3" xfId="59278"/>
    <cellStyle name="Total 2 13 7 3" xfId="36110"/>
    <cellStyle name="Total 2 13 7 4" xfId="59279"/>
    <cellStyle name="Total 2 13 8" xfId="21316"/>
    <cellStyle name="Total 2 13 8 2" xfId="29622"/>
    <cellStyle name="Total 2 13 8 2 2" xfId="59280"/>
    <cellStyle name="Total 2 13 8 2 3" xfId="59281"/>
    <cellStyle name="Total 2 13 8 3" xfId="36689"/>
    <cellStyle name="Total 2 13 8 4" xfId="59282"/>
    <cellStyle name="Total 2 13 9" xfId="22132"/>
    <cellStyle name="Total 2 13 9 2" xfId="30430"/>
    <cellStyle name="Total 2 13 9 3" xfId="37461"/>
    <cellStyle name="Total 2 14" xfId="14924"/>
    <cellStyle name="Total 2 14 10" xfId="23287"/>
    <cellStyle name="Total 2 14 11" xfId="59283"/>
    <cellStyle name="Total 2 14 2" xfId="16005"/>
    <cellStyle name="Total 2 14 2 2" xfId="24322"/>
    <cellStyle name="Total 2 14 2 2 2" xfId="59284"/>
    <cellStyle name="Total 2 14 2 2 3" xfId="59285"/>
    <cellStyle name="Total 2 14 2 3" xfId="31602"/>
    <cellStyle name="Total 2 14 2 4" xfId="59286"/>
    <cellStyle name="Total 2 14 3" xfId="16971"/>
    <cellStyle name="Total 2 14 3 2" xfId="25294"/>
    <cellStyle name="Total 2 14 3 2 2" xfId="59287"/>
    <cellStyle name="Total 2 14 3 2 3" xfId="59288"/>
    <cellStyle name="Total 2 14 3 3" xfId="32535"/>
    <cellStyle name="Total 2 14 3 4" xfId="59289"/>
    <cellStyle name="Total 2 14 4" xfId="17998"/>
    <cellStyle name="Total 2 14 4 2" xfId="26320"/>
    <cellStyle name="Total 2 14 4 2 2" xfId="59290"/>
    <cellStyle name="Total 2 14 4 2 3" xfId="59291"/>
    <cellStyle name="Total 2 14 4 3" xfId="33512"/>
    <cellStyle name="Total 2 14 4 4" xfId="59292"/>
    <cellStyle name="Total 2 14 5" xfId="18982"/>
    <cellStyle name="Total 2 14 5 2" xfId="27302"/>
    <cellStyle name="Total 2 14 5 2 2" xfId="59293"/>
    <cellStyle name="Total 2 14 5 2 3" xfId="59294"/>
    <cellStyle name="Total 2 14 5 3" xfId="34453"/>
    <cellStyle name="Total 2 14 5 4" xfId="59295"/>
    <cellStyle name="Total 2 14 6" xfId="19950"/>
    <cellStyle name="Total 2 14 6 2" xfId="28272"/>
    <cellStyle name="Total 2 14 6 2 2" xfId="59296"/>
    <cellStyle name="Total 2 14 6 2 3" xfId="59297"/>
    <cellStyle name="Total 2 14 6 3" xfId="35400"/>
    <cellStyle name="Total 2 14 6 4" xfId="59298"/>
    <cellStyle name="Total 2 14 7" xfId="20908"/>
    <cellStyle name="Total 2 14 7 2" xfId="29227"/>
    <cellStyle name="Total 2 14 7 2 2" xfId="59299"/>
    <cellStyle name="Total 2 14 7 2 3" xfId="59300"/>
    <cellStyle name="Total 2 14 7 3" xfId="36310"/>
    <cellStyle name="Total 2 14 7 4" xfId="59301"/>
    <cellStyle name="Total 2 14 8" xfId="21415"/>
    <cellStyle name="Total 2 14 8 2" xfId="29718"/>
    <cellStyle name="Total 2 14 8 2 2" xfId="59302"/>
    <cellStyle name="Total 2 14 8 2 3" xfId="59303"/>
    <cellStyle name="Total 2 14 8 3" xfId="36780"/>
    <cellStyle name="Total 2 14 8 4" xfId="59304"/>
    <cellStyle name="Total 2 14 9" xfId="22343"/>
    <cellStyle name="Total 2 14 9 2" xfId="30641"/>
    <cellStyle name="Total 2 14 9 3" xfId="37663"/>
    <cellStyle name="Total 2 15" xfId="15015"/>
    <cellStyle name="Total 2 15 10" xfId="23375"/>
    <cellStyle name="Total 2 15 11" xfId="59305"/>
    <cellStyle name="Total 2 15 2" xfId="16095"/>
    <cellStyle name="Total 2 15 2 2" xfId="24410"/>
    <cellStyle name="Total 2 15 2 2 2" xfId="59306"/>
    <cellStyle name="Total 2 15 2 2 3" xfId="59307"/>
    <cellStyle name="Total 2 15 2 3" xfId="31688"/>
    <cellStyle name="Total 2 15 2 4" xfId="59308"/>
    <cellStyle name="Total 2 15 3" xfId="17062"/>
    <cellStyle name="Total 2 15 3 2" xfId="25383"/>
    <cellStyle name="Total 2 15 3 2 2" xfId="59309"/>
    <cellStyle name="Total 2 15 3 2 3" xfId="59310"/>
    <cellStyle name="Total 2 15 3 3" xfId="32622"/>
    <cellStyle name="Total 2 15 3 4" xfId="59311"/>
    <cellStyle name="Total 2 15 4" xfId="18089"/>
    <cellStyle name="Total 2 15 4 2" xfId="26409"/>
    <cellStyle name="Total 2 15 4 2 2" xfId="59312"/>
    <cellStyle name="Total 2 15 4 2 3" xfId="59313"/>
    <cellStyle name="Total 2 15 4 3" xfId="33599"/>
    <cellStyle name="Total 2 15 4 4" xfId="59314"/>
    <cellStyle name="Total 2 15 5" xfId="19073"/>
    <cellStyle name="Total 2 15 5 2" xfId="27393"/>
    <cellStyle name="Total 2 15 5 2 2" xfId="59315"/>
    <cellStyle name="Total 2 15 5 2 3" xfId="59316"/>
    <cellStyle name="Total 2 15 5 3" xfId="34542"/>
    <cellStyle name="Total 2 15 5 4" xfId="59317"/>
    <cellStyle name="Total 2 15 6" xfId="20041"/>
    <cellStyle name="Total 2 15 6 2" xfId="28363"/>
    <cellStyle name="Total 2 15 6 2 2" xfId="59318"/>
    <cellStyle name="Total 2 15 6 2 3" xfId="59319"/>
    <cellStyle name="Total 2 15 6 3" xfId="35489"/>
    <cellStyle name="Total 2 15 6 4" xfId="59320"/>
    <cellStyle name="Total 2 15 7" xfId="20998"/>
    <cellStyle name="Total 2 15 7 2" xfId="29315"/>
    <cellStyle name="Total 2 15 7 2 2" xfId="59321"/>
    <cellStyle name="Total 2 15 7 2 3" xfId="59322"/>
    <cellStyle name="Total 2 15 7 3" xfId="36396"/>
    <cellStyle name="Total 2 15 7 4" xfId="59323"/>
    <cellStyle name="Total 2 15 8" xfId="21505"/>
    <cellStyle name="Total 2 15 8 2" xfId="29806"/>
    <cellStyle name="Total 2 15 8 2 2" xfId="59324"/>
    <cellStyle name="Total 2 15 8 2 3" xfId="59325"/>
    <cellStyle name="Total 2 15 8 3" xfId="36866"/>
    <cellStyle name="Total 2 15 8 4" xfId="59326"/>
    <cellStyle name="Total 2 15 9" xfId="22433"/>
    <cellStyle name="Total 2 15 9 2" xfId="30729"/>
    <cellStyle name="Total 2 15 9 3" xfId="37749"/>
    <cellStyle name="Total 2 16" xfId="15043"/>
    <cellStyle name="Total 2 16 10" xfId="23403"/>
    <cellStyle name="Total 2 16 11" xfId="59327"/>
    <cellStyle name="Total 2 16 2" xfId="16123"/>
    <cellStyle name="Total 2 16 2 2" xfId="24438"/>
    <cellStyle name="Total 2 16 2 2 2" xfId="59328"/>
    <cellStyle name="Total 2 16 2 2 3" xfId="59329"/>
    <cellStyle name="Total 2 16 2 3" xfId="31715"/>
    <cellStyle name="Total 2 16 2 4" xfId="59330"/>
    <cellStyle name="Total 2 16 3" xfId="17090"/>
    <cellStyle name="Total 2 16 3 2" xfId="25411"/>
    <cellStyle name="Total 2 16 3 2 2" xfId="59331"/>
    <cellStyle name="Total 2 16 3 2 3" xfId="59332"/>
    <cellStyle name="Total 2 16 3 3" xfId="32649"/>
    <cellStyle name="Total 2 16 3 4" xfId="59333"/>
    <cellStyle name="Total 2 16 4" xfId="18117"/>
    <cellStyle name="Total 2 16 4 2" xfId="26437"/>
    <cellStyle name="Total 2 16 4 2 2" xfId="59334"/>
    <cellStyle name="Total 2 16 4 2 3" xfId="59335"/>
    <cellStyle name="Total 2 16 4 3" xfId="33626"/>
    <cellStyle name="Total 2 16 4 4" xfId="59336"/>
    <cellStyle name="Total 2 16 5" xfId="19101"/>
    <cellStyle name="Total 2 16 5 2" xfId="27421"/>
    <cellStyle name="Total 2 16 5 2 2" xfId="59337"/>
    <cellStyle name="Total 2 16 5 2 3" xfId="59338"/>
    <cellStyle name="Total 2 16 5 3" xfId="34569"/>
    <cellStyle name="Total 2 16 5 4" xfId="59339"/>
    <cellStyle name="Total 2 16 6" xfId="20069"/>
    <cellStyle name="Total 2 16 6 2" xfId="28391"/>
    <cellStyle name="Total 2 16 6 2 2" xfId="59340"/>
    <cellStyle name="Total 2 16 6 2 3" xfId="59341"/>
    <cellStyle name="Total 2 16 6 3" xfId="35516"/>
    <cellStyle name="Total 2 16 6 4" xfId="59342"/>
    <cellStyle name="Total 2 16 7" xfId="21026"/>
    <cellStyle name="Total 2 16 7 2" xfId="29343"/>
    <cellStyle name="Total 2 16 7 2 2" xfId="59343"/>
    <cellStyle name="Total 2 16 7 2 3" xfId="59344"/>
    <cellStyle name="Total 2 16 7 3" xfId="36423"/>
    <cellStyle name="Total 2 16 7 4" xfId="59345"/>
    <cellStyle name="Total 2 16 8" xfId="21533"/>
    <cellStyle name="Total 2 16 8 2" xfId="29834"/>
    <cellStyle name="Total 2 16 8 2 2" xfId="59346"/>
    <cellStyle name="Total 2 16 8 2 3" xfId="59347"/>
    <cellStyle name="Total 2 16 8 3" xfId="36893"/>
    <cellStyle name="Total 2 16 8 4" xfId="59348"/>
    <cellStyle name="Total 2 16 9" xfId="22461"/>
    <cellStyle name="Total 2 16 9 2" xfId="30757"/>
    <cellStyle name="Total 2 16 9 3" xfId="37776"/>
    <cellStyle name="Total 2 17" xfId="15124"/>
    <cellStyle name="Total 2 17 10" xfId="59349"/>
    <cellStyle name="Total 2 17 2" xfId="16204"/>
    <cellStyle name="Total 2 17 2 2" xfId="24517"/>
    <cellStyle name="Total 2 17 2 2 2" xfId="59350"/>
    <cellStyle name="Total 2 17 2 2 3" xfId="59351"/>
    <cellStyle name="Total 2 17 2 3" xfId="31794"/>
    <cellStyle name="Total 2 17 2 4" xfId="59352"/>
    <cellStyle name="Total 2 17 3" xfId="17170"/>
    <cellStyle name="Total 2 17 3 2" xfId="25491"/>
    <cellStyle name="Total 2 17 3 2 2" xfId="59353"/>
    <cellStyle name="Total 2 17 3 2 3" xfId="59354"/>
    <cellStyle name="Total 2 17 3 3" xfId="32727"/>
    <cellStyle name="Total 2 17 3 4" xfId="59355"/>
    <cellStyle name="Total 2 17 4" xfId="18198"/>
    <cellStyle name="Total 2 17 4 2" xfId="26518"/>
    <cellStyle name="Total 2 17 4 2 2" xfId="59356"/>
    <cellStyle name="Total 2 17 4 2 3" xfId="59357"/>
    <cellStyle name="Total 2 17 4 3" xfId="33705"/>
    <cellStyle name="Total 2 17 4 4" xfId="59358"/>
    <cellStyle name="Total 2 17 5" xfId="19182"/>
    <cellStyle name="Total 2 17 5 2" xfId="27502"/>
    <cellStyle name="Total 2 17 5 2 2" xfId="59359"/>
    <cellStyle name="Total 2 17 5 2 3" xfId="59360"/>
    <cellStyle name="Total 2 17 5 3" xfId="34650"/>
    <cellStyle name="Total 2 17 5 4" xfId="59361"/>
    <cellStyle name="Total 2 17 6" xfId="20150"/>
    <cellStyle name="Total 2 17 6 2" xfId="28472"/>
    <cellStyle name="Total 2 17 6 2 2" xfId="59362"/>
    <cellStyle name="Total 2 17 6 2 3" xfId="59363"/>
    <cellStyle name="Total 2 17 6 3" xfId="35597"/>
    <cellStyle name="Total 2 17 6 4" xfId="59364"/>
    <cellStyle name="Total 2 17 7" xfId="21611"/>
    <cellStyle name="Total 2 17 7 2" xfId="29912"/>
    <cellStyle name="Total 2 17 7 2 2" xfId="59365"/>
    <cellStyle name="Total 2 17 7 2 3" xfId="59366"/>
    <cellStyle name="Total 2 17 7 3" xfId="36971"/>
    <cellStyle name="Total 2 17 7 4" xfId="59367"/>
    <cellStyle name="Total 2 17 8" xfId="22539"/>
    <cellStyle name="Total 2 17 8 2" xfId="30835"/>
    <cellStyle name="Total 2 17 8 3" xfId="37854"/>
    <cellStyle name="Total 2 17 9" xfId="23481"/>
    <cellStyle name="Total 2 18" xfId="15173"/>
    <cellStyle name="Total 2 18 10" xfId="59368"/>
    <cellStyle name="Total 2 18 2" xfId="16253"/>
    <cellStyle name="Total 2 18 2 2" xfId="24566"/>
    <cellStyle name="Total 2 18 2 2 2" xfId="59369"/>
    <cellStyle name="Total 2 18 2 2 3" xfId="59370"/>
    <cellStyle name="Total 2 18 2 3" xfId="31838"/>
    <cellStyle name="Total 2 18 2 4" xfId="59371"/>
    <cellStyle name="Total 2 18 3" xfId="17219"/>
    <cellStyle name="Total 2 18 3 2" xfId="25540"/>
    <cellStyle name="Total 2 18 3 2 2" xfId="59372"/>
    <cellStyle name="Total 2 18 3 2 3" xfId="59373"/>
    <cellStyle name="Total 2 18 3 3" xfId="32771"/>
    <cellStyle name="Total 2 18 3 4" xfId="59374"/>
    <cellStyle name="Total 2 18 4" xfId="18247"/>
    <cellStyle name="Total 2 18 4 2" xfId="26567"/>
    <cellStyle name="Total 2 18 4 2 2" xfId="59375"/>
    <cellStyle name="Total 2 18 4 2 3" xfId="59376"/>
    <cellStyle name="Total 2 18 4 3" xfId="33749"/>
    <cellStyle name="Total 2 18 4 4" xfId="59377"/>
    <cellStyle name="Total 2 18 5" xfId="19231"/>
    <cellStyle name="Total 2 18 5 2" xfId="27551"/>
    <cellStyle name="Total 2 18 5 2 2" xfId="59378"/>
    <cellStyle name="Total 2 18 5 2 3" xfId="59379"/>
    <cellStyle name="Total 2 18 5 3" xfId="34699"/>
    <cellStyle name="Total 2 18 5 4" xfId="59380"/>
    <cellStyle name="Total 2 18 6" xfId="20199"/>
    <cellStyle name="Total 2 18 6 2" xfId="28521"/>
    <cellStyle name="Total 2 18 6 2 2" xfId="59381"/>
    <cellStyle name="Total 2 18 6 2 3" xfId="59382"/>
    <cellStyle name="Total 2 18 6 3" xfId="35641"/>
    <cellStyle name="Total 2 18 6 4" xfId="59383"/>
    <cellStyle name="Total 2 18 7" xfId="21660"/>
    <cellStyle name="Total 2 18 7 2" xfId="29961"/>
    <cellStyle name="Total 2 18 7 2 2" xfId="59384"/>
    <cellStyle name="Total 2 18 7 2 3" xfId="59385"/>
    <cellStyle name="Total 2 18 7 3" xfId="37015"/>
    <cellStyle name="Total 2 18 7 4" xfId="59386"/>
    <cellStyle name="Total 2 18 8" xfId="22588"/>
    <cellStyle name="Total 2 18 8 2" xfId="30884"/>
    <cellStyle name="Total 2 18 8 3" xfId="37898"/>
    <cellStyle name="Total 2 18 9" xfId="23530"/>
    <cellStyle name="Total 2 19" xfId="15108"/>
    <cellStyle name="Total 2 19 10" xfId="59387"/>
    <cellStyle name="Total 2 19 2" xfId="16188"/>
    <cellStyle name="Total 2 19 2 2" xfId="24501"/>
    <cellStyle name="Total 2 19 2 2 2" xfId="59388"/>
    <cellStyle name="Total 2 19 2 2 3" xfId="59389"/>
    <cellStyle name="Total 2 19 2 3" xfId="31778"/>
    <cellStyle name="Total 2 19 2 4" xfId="59390"/>
    <cellStyle name="Total 2 19 3" xfId="17154"/>
    <cellStyle name="Total 2 19 3 2" xfId="25475"/>
    <cellStyle name="Total 2 19 3 2 2" xfId="59391"/>
    <cellStyle name="Total 2 19 3 2 3" xfId="59392"/>
    <cellStyle name="Total 2 19 3 3" xfId="32711"/>
    <cellStyle name="Total 2 19 3 4" xfId="59393"/>
    <cellStyle name="Total 2 19 4" xfId="18182"/>
    <cellStyle name="Total 2 19 4 2" xfId="26502"/>
    <cellStyle name="Total 2 19 4 2 2" xfId="59394"/>
    <cellStyle name="Total 2 19 4 2 3" xfId="59395"/>
    <cellStyle name="Total 2 19 4 3" xfId="33689"/>
    <cellStyle name="Total 2 19 4 4" xfId="59396"/>
    <cellStyle name="Total 2 19 5" xfId="19166"/>
    <cellStyle name="Total 2 19 5 2" xfId="27486"/>
    <cellStyle name="Total 2 19 5 2 2" xfId="59397"/>
    <cellStyle name="Total 2 19 5 2 3" xfId="59398"/>
    <cellStyle name="Total 2 19 5 3" xfId="34634"/>
    <cellStyle name="Total 2 19 5 4" xfId="59399"/>
    <cellStyle name="Total 2 19 6" xfId="20134"/>
    <cellStyle name="Total 2 19 6 2" xfId="28456"/>
    <cellStyle name="Total 2 19 6 2 2" xfId="59400"/>
    <cellStyle name="Total 2 19 6 2 3" xfId="59401"/>
    <cellStyle name="Total 2 19 6 3" xfId="35581"/>
    <cellStyle name="Total 2 19 6 4" xfId="59402"/>
    <cellStyle name="Total 2 19 7" xfId="21595"/>
    <cellStyle name="Total 2 19 7 2" xfId="29896"/>
    <cellStyle name="Total 2 19 7 2 2" xfId="59403"/>
    <cellStyle name="Total 2 19 7 2 3" xfId="59404"/>
    <cellStyle name="Total 2 19 7 3" xfId="36955"/>
    <cellStyle name="Total 2 19 7 4" xfId="59405"/>
    <cellStyle name="Total 2 19 8" xfId="22523"/>
    <cellStyle name="Total 2 19 8 2" xfId="30819"/>
    <cellStyle name="Total 2 19 8 3" xfId="37838"/>
    <cellStyle name="Total 2 19 9" xfId="23465"/>
    <cellStyle name="Total 2 2" xfId="57"/>
    <cellStyle name="Total 2 2 10" xfId="14667"/>
    <cellStyle name="Total 2 2 10 10" xfId="23029"/>
    <cellStyle name="Total 2 2 10 11" xfId="61867"/>
    <cellStyle name="Total 2 2 10 2" xfId="15748"/>
    <cellStyle name="Total 2 2 10 2 2" xfId="24064"/>
    <cellStyle name="Total 2 2 10 2 2 2" xfId="59406"/>
    <cellStyle name="Total 2 2 10 2 2 3" xfId="59407"/>
    <cellStyle name="Total 2 2 10 2 3" xfId="31356"/>
    <cellStyle name="Total 2 2 10 2 4" xfId="59408"/>
    <cellStyle name="Total 2 2 10 3" xfId="16714"/>
    <cellStyle name="Total 2 2 10 3 2" xfId="25035"/>
    <cellStyle name="Total 2 2 10 3 2 2" xfId="59409"/>
    <cellStyle name="Total 2 2 10 3 2 3" xfId="59410"/>
    <cellStyle name="Total 2 2 10 3 3" xfId="32289"/>
    <cellStyle name="Total 2 2 10 3 4" xfId="59411"/>
    <cellStyle name="Total 2 2 10 4" xfId="17738"/>
    <cellStyle name="Total 2 2 10 4 2" xfId="26061"/>
    <cellStyle name="Total 2 2 10 4 2 2" xfId="59412"/>
    <cellStyle name="Total 2 2 10 4 2 3" xfId="59413"/>
    <cellStyle name="Total 2 2 10 4 3" xfId="33266"/>
    <cellStyle name="Total 2 2 10 4 4" xfId="59414"/>
    <cellStyle name="Total 2 2 10 5" xfId="18721"/>
    <cellStyle name="Total 2 2 10 5 2" xfId="27042"/>
    <cellStyle name="Total 2 2 10 5 2 2" xfId="59415"/>
    <cellStyle name="Total 2 2 10 5 2 3" xfId="59416"/>
    <cellStyle name="Total 2 2 10 5 3" xfId="34205"/>
    <cellStyle name="Total 2 2 10 5 4" xfId="59417"/>
    <cellStyle name="Total 2 2 10 6" xfId="19690"/>
    <cellStyle name="Total 2 2 10 6 2" xfId="28011"/>
    <cellStyle name="Total 2 2 10 6 2 2" xfId="59418"/>
    <cellStyle name="Total 2 2 10 6 2 3" xfId="59419"/>
    <cellStyle name="Total 2 2 10 6 3" xfId="35151"/>
    <cellStyle name="Total 2 2 10 6 4" xfId="59420"/>
    <cellStyle name="Total 2 2 10 7" xfId="20647"/>
    <cellStyle name="Total 2 2 10 7 2" xfId="28968"/>
    <cellStyle name="Total 2 2 10 7 2 2" xfId="59421"/>
    <cellStyle name="Total 2 2 10 7 2 3" xfId="59422"/>
    <cellStyle name="Total 2 2 10 7 3" xfId="36066"/>
    <cellStyle name="Total 2 2 10 7 4" xfId="59423"/>
    <cellStyle name="Total 2 2 10 8" xfId="21268"/>
    <cellStyle name="Total 2 2 10 8 2" xfId="29576"/>
    <cellStyle name="Total 2 2 10 8 2 2" xfId="59424"/>
    <cellStyle name="Total 2 2 10 8 2 3" xfId="59425"/>
    <cellStyle name="Total 2 2 10 8 3" xfId="36643"/>
    <cellStyle name="Total 2 2 10 8 4" xfId="59426"/>
    <cellStyle name="Total 2 2 10 9" xfId="22084"/>
    <cellStyle name="Total 2 2 10 9 2" xfId="30382"/>
    <cellStyle name="Total 2 2 10 9 3" xfId="37417"/>
    <cellStyle name="Total 2 2 11" xfId="14754"/>
    <cellStyle name="Total 2 2 11 10" xfId="23118"/>
    <cellStyle name="Total 2 2 11 11" xfId="59427"/>
    <cellStyle name="Total 2 2 11 2" xfId="15835"/>
    <cellStyle name="Total 2 2 11 2 2" xfId="24153"/>
    <cellStyle name="Total 2 2 11 2 2 2" xfId="59428"/>
    <cellStyle name="Total 2 2 11 2 2 3" xfId="59429"/>
    <cellStyle name="Total 2 2 11 2 3" xfId="31441"/>
    <cellStyle name="Total 2 2 11 2 4" xfId="59430"/>
    <cellStyle name="Total 2 2 11 3" xfId="16801"/>
    <cellStyle name="Total 2 2 11 3 2" xfId="25125"/>
    <cellStyle name="Total 2 2 11 3 2 2" xfId="59431"/>
    <cellStyle name="Total 2 2 11 3 2 3" xfId="59432"/>
    <cellStyle name="Total 2 2 11 3 3" xfId="32374"/>
    <cellStyle name="Total 2 2 11 3 4" xfId="59433"/>
    <cellStyle name="Total 2 2 11 4" xfId="17827"/>
    <cellStyle name="Total 2 2 11 4 2" xfId="26151"/>
    <cellStyle name="Total 2 2 11 4 2 2" xfId="59434"/>
    <cellStyle name="Total 2 2 11 4 2 3" xfId="59435"/>
    <cellStyle name="Total 2 2 11 4 3" xfId="33351"/>
    <cellStyle name="Total 2 2 11 4 4" xfId="59436"/>
    <cellStyle name="Total 2 2 11 5" xfId="18811"/>
    <cellStyle name="Total 2 2 11 5 2" xfId="27132"/>
    <cellStyle name="Total 2 2 11 5 2 2" xfId="59437"/>
    <cellStyle name="Total 2 2 11 5 2 3" xfId="59438"/>
    <cellStyle name="Total 2 2 11 5 3" xfId="34291"/>
    <cellStyle name="Total 2 2 11 5 4" xfId="59439"/>
    <cellStyle name="Total 2 2 11 6" xfId="19779"/>
    <cellStyle name="Total 2 2 11 6 2" xfId="28101"/>
    <cellStyle name="Total 2 2 11 6 2 2" xfId="59440"/>
    <cellStyle name="Total 2 2 11 6 2 3" xfId="59441"/>
    <cellStyle name="Total 2 2 11 6 3" xfId="35237"/>
    <cellStyle name="Total 2 2 11 6 4" xfId="59442"/>
    <cellStyle name="Total 2 2 11 7" xfId="20737"/>
    <cellStyle name="Total 2 2 11 7 2" xfId="29058"/>
    <cellStyle name="Total 2 2 11 7 2 2" xfId="59443"/>
    <cellStyle name="Total 2 2 11 7 2 3" xfId="59444"/>
    <cellStyle name="Total 2 2 11 7 3" xfId="36150"/>
    <cellStyle name="Total 2 2 11 7 4" xfId="59445"/>
    <cellStyle name="Total 2 2 11 8" xfId="21077"/>
    <cellStyle name="Total 2 2 11 8 2" xfId="29394"/>
    <cellStyle name="Total 2 2 11 8 2 2" xfId="59446"/>
    <cellStyle name="Total 2 2 11 8 2 3" xfId="59447"/>
    <cellStyle name="Total 2 2 11 8 3" xfId="36470"/>
    <cellStyle name="Total 2 2 11 8 4" xfId="59448"/>
    <cellStyle name="Total 2 2 11 9" xfId="22173"/>
    <cellStyle name="Total 2 2 11 9 2" xfId="30471"/>
    <cellStyle name="Total 2 2 11 9 3" xfId="37502"/>
    <cellStyle name="Total 2 2 12" xfId="14797"/>
    <cellStyle name="Total 2 2 12 10" xfId="23161"/>
    <cellStyle name="Total 2 2 12 11" xfId="59449"/>
    <cellStyle name="Total 2 2 12 2" xfId="15878"/>
    <cellStyle name="Total 2 2 12 2 2" xfId="24196"/>
    <cellStyle name="Total 2 2 12 2 2 2" xfId="59450"/>
    <cellStyle name="Total 2 2 12 2 2 3" xfId="59451"/>
    <cellStyle name="Total 2 2 12 2 3" xfId="31482"/>
    <cellStyle name="Total 2 2 12 2 4" xfId="59452"/>
    <cellStyle name="Total 2 2 12 3" xfId="16844"/>
    <cellStyle name="Total 2 2 12 3 2" xfId="25168"/>
    <cellStyle name="Total 2 2 12 3 2 2" xfId="59453"/>
    <cellStyle name="Total 2 2 12 3 2 3" xfId="59454"/>
    <cellStyle name="Total 2 2 12 3 3" xfId="32415"/>
    <cellStyle name="Total 2 2 12 3 4" xfId="59455"/>
    <cellStyle name="Total 2 2 12 4" xfId="17871"/>
    <cellStyle name="Total 2 2 12 4 2" xfId="26194"/>
    <cellStyle name="Total 2 2 12 4 2 2" xfId="59456"/>
    <cellStyle name="Total 2 2 12 4 2 3" xfId="59457"/>
    <cellStyle name="Total 2 2 12 4 3" xfId="33392"/>
    <cellStyle name="Total 2 2 12 4 4" xfId="59458"/>
    <cellStyle name="Total 2 2 12 5" xfId="18855"/>
    <cellStyle name="Total 2 2 12 5 2" xfId="27175"/>
    <cellStyle name="Total 2 2 12 5 2 2" xfId="59459"/>
    <cellStyle name="Total 2 2 12 5 2 3" xfId="59460"/>
    <cellStyle name="Total 2 2 12 5 3" xfId="34332"/>
    <cellStyle name="Total 2 2 12 5 4" xfId="59461"/>
    <cellStyle name="Total 2 2 12 6" xfId="19823"/>
    <cellStyle name="Total 2 2 12 6 2" xfId="28145"/>
    <cellStyle name="Total 2 2 12 6 2 2" xfId="59462"/>
    <cellStyle name="Total 2 2 12 6 2 3" xfId="59463"/>
    <cellStyle name="Total 2 2 12 6 3" xfId="35279"/>
    <cellStyle name="Total 2 2 12 6 4" xfId="59464"/>
    <cellStyle name="Total 2 2 12 7" xfId="20781"/>
    <cellStyle name="Total 2 2 12 7 2" xfId="29101"/>
    <cellStyle name="Total 2 2 12 7 2 2" xfId="59465"/>
    <cellStyle name="Total 2 2 12 7 2 3" xfId="59466"/>
    <cellStyle name="Total 2 2 12 7 3" xfId="36191"/>
    <cellStyle name="Total 2 2 12 7 4" xfId="59467"/>
    <cellStyle name="Total 2 2 12 8" xfId="20502"/>
    <cellStyle name="Total 2 2 12 8 2" xfId="28824"/>
    <cellStyle name="Total 2 2 12 8 2 2" xfId="59468"/>
    <cellStyle name="Total 2 2 12 8 2 3" xfId="59469"/>
    <cellStyle name="Total 2 2 12 8 3" xfId="35930"/>
    <cellStyle name="Total 2 2 12 8 4" xfId="59470"/>
    <cellStyle name="Total 2 2 12 9" xfId="22217"/>
    <cellStyle name="Total 2 2 12 9 2" xfId="30515"/>
    <cellStyle name="Total 2 2 12 9 3" xfId="37543"/>
    <cellStyle name="Total 2 2 13" xfId="14813"/>
    <cellStyle name="Total 2 2 13 10" xfId="23177"/>
    <cellStyle name="Total 2 2 13 11" xfId="59471"/>
    <cellStyle name="Total 2 2 13 2" xfId="15894"/>
    <cellStyle name="Total 2 2 13 2 2" xfId="24212"/>
    <cellStyle name="Total 2 2 13 2 2 2" xfId="59472"/>
    <cellStyle name="Total 2 2 13 2 2 3" xfId="59473"/>
    <cellStyle name="Total 2 2 13 2 3" xfId="31498"/>
    <cellStyle name="Total 2 2 13 2 4" xfId="59474"/>
    <cellStyle name="Total 2 2 13 3" xfId="16860"/>
    <cellStyle name="Total 2 2 13 3 2" xfId="25184"/>
    <cellStyle name="Total 2 2 13 3 2 2" xfId="59475"/>
    <cellStyle name="Total 2 2 13 3 2 3" xfId="59476"/>
    <cellStyle name="Total 2 2 13 3 3" xfId="32431"/>
    <cellStyle name="Total 2 2 13 3 4" xfId="59477"/>
    <cellStyle name="Total 2 2 13 4" xfId="17887"/>
    <cellStyle name="Total 2 2 13 4 2" xfId="26210"/>
    <cellStyle name="Total 2 2 13 4 2 2" xfId="59478"/>
    <cellStyle name="Total 2 2 13 4 2 3" xfId="59479"/>
    <cellStyle name="Total 2 2 13 4 3" xfId="33408"/>
    <cellStyle name="Total 2 2 13 4 4" xfId="59480"/>
    <cellStyle name="Total 2 2 13 5" xfId="18871"/>
    <cellStyle name="Total 2 2 13 5 2" xfId="27191"/>
    <cellStyle name="Total 2 2 13 5 2 2" xfId="59481"/>
    <cellStyle name="Total 2 2 13 5 2 3" xfId="59482"/>
    <cellStyle name="Total 2 2 13 5 3" xfId="34348"/>
    <cellStyle name="Total 2 2 13 5 4" xfId="59483"/>
    <cellStyle name="Total 2 2 13 6" xfId="19839"/>
    <cellStyle name="Total 2 2 13 6 2" xfId="28161"/>
    <cellStyle name="Total 2 2 13 6 2 2" xfId="59484"/>
    <cellStyle name="Total 2 2 13 6 2 3" xfId="59485"/>
    <cellStyle name="Total 2 2 13 6 3" xfId="35295"/>
    <cellStyle name="Total 2 2 13 6 4" xfId="59486"/>
    <cellStyle name="Total 2 2 13 7" xfId="20797"/>
    <cellStyle name="Total 2 2 13 7 2" xfId="29117"/>
    <cellStyle name="Total 2 2 13 7 2 2" xfId="59487"/>
    <cellStyle name="Total 2 2 13 7 2 3" xfId="59488"/>
    <cellStyle name="Total 2 2 13 7 3" xfId="36206"/>
    <cellStyle name="Total 2 2 13 7 4" xfId="59489"/>
    <cellStyle name="Total 2 2 13 8" xfId="21303"/>
    <cellStyle name="Total 2 2 13 8 2" xfId="29610"/>
    <cellStyle name="Total 2 2 13 8 2 2" xfId="59490"/>
    <cellStyle name="Total 2 2 13 8 2 3" xfId="59491"/>
    <cellStyle name="Total 2 2 13 8 3" xfId="36677"/>
    <cellStyle name="Total 2 2 13 8 4" xfId="59492"/>
    <cellStyle name="Total 2 2 13 9" xfId="22232"/>
    <cellStyle name="Total 2 2 13 9 2" xfId="30531"/>
    <cellStyle name="Total 2 2 13 9 3" xfId="37559"/>
    <cellStyle name="Total 2 2 14" xfId="14838"/>
    <cellStyle name="Total 2 2 14 10" xfId="23201"/>
    <cellStyle name="Total 2 2 14 11" xfId="59493"/>
    <cellStyle name="Total 2 2 14 2" xfId="15919"/>
    <cellStyle name="Total 2 2 14 2 2" xfId="24236"/>
    <cellStyle name="Total 2 2 14 2 2 2" xfId="59494"/>
    <cellStyle name="Total 2 2 14 2 2 3" xfId="59495"/>
    <cellStyle name="Total 2 2 14 2 3" xfId="31520"/>
    <cellStyle name="Total 2 2 14 2 4" xfId="59496"/>
    <cellStyle name="Total 2 2 14 3" xfId="16885"/>
    <cellStyle name="Total 2 2 14 3 2" xfId="25208"/>
    <cellStyle name="Total 2 2 14 3 2 2" xfId="59497"/>
    <cellStyle name="Total 2 2 14 3 2 3" xfId="59498"/>
    <cellStyle name="Total 2 2 14 3 3" xfId="32453"/>
    <cellStyle name="Total 2 2 14 3 4" xfId="59499"/>
    <cellStyle name="Total 2 2 14 4" xfId="17912"/>
    <cellStyle name="Total 2 2 14 4 2" xfId="26234"/>
    <cellStyle name="Total 2 2 14 4 2 2" xfId="59500"/>
    <cellStyle name="Total 2 2 14 4 2 3" xfId="59501"/>
    <cellStyle name="Total 2 2 14 4 3" xfId="33430"/>
    <cellStyle name="Total 2 2 14 4 4" xfId="59502"/>
    <cellStyle name="Total 2 2 14 5" xfId="18896"/>
    <cellStyle name="Total 2 2 14 5 2" xfId="27216"/>
    <cellStyle name="Total 2 2 14 5 2 2" xfId="59503"/>
    <cellStyle name="Total 2 2 14 5 2 3" xfId="59504"/>
    <cellStyle name="Total 2 2 14 5 3" xfId="34371"/>
    <cellStyle name="Total 2 2 14 5 4" xfId="59505"/>
    <cellStyle name="Total 2 2 14 6" xfId="19864"/>
    <cellStyle name="Total 2 2 14 6 2" xfId="28186"/>
    <cellStyle name="Total 2 2 14 6 2 2" xfId="59506"/>
    <cellStyle name="Total 2 2 14 6 2 3" xfId="59507"/>
    <cellStyle name="Total 2 2 14 6 3" xfId="35318"/>
    <cellStyle name="Total 2 2 14 6 4" xfId="59508"/>
    <cellStyle name="Total 2 2 14 7" xfId="20822"/>
    <cellStyle name="Total 2 2 14 7 2" xfId="29141"/>
    <cellStyle name="Total 2 2 14 7 2 2" xfId="59509"/>
    <cellStyle name="Total 2 2 14 7 2 3" xfId="59510"/>
    <cellStyle name="Total 2 2 14 7 3" xfId="36228"/>
    <cellStyle name="Total 2 2 14 7 4" xfId="59511"/>
    <cellStyle name="Total 2 2 14 8" xfId="21312"/>
    <cellStyle name="Total 2 2 14 8 2" xfId="29618"/>
    <cellStyle name="Total 2 2 14 8 2 2" xfId="59512"/>
    <cellStyle name="Total 2 2 14 8 2 3" xfId="59513"/>
    <cellStyle name="Total 2 2 14 8 3" xfId="36685"/>
    <cellStyle name="Total 2 2 14 8 4" xfId="59514"/>
    <cellStyle name="Total 2 2 14 9" xfId="22257"/>
    <cellStyle name="Total 2 2 14 9 2" xfId="30555"/>
    <cellStyle name="Total 2 2 14 9 3" xfId="37581"/>
    <cellStyle name="Total 2 2 15" xfId="14875"/>
    <cellStyle name="Total 2 2 15 10" xfId="23238"/>
    <cellStyle name="Total 2 2 15 11" xfId="59515"/>
    <cellStyle name="Total 2 2 15 2" xfId="15956"/>
    <cellStyle name="Total 2 2 15 2 2" xfId="24273"/>
    <cellStyle name="Total 2 2 15 2 2 2" xfId="59516"/>
    <cellStyle name="Total 2 2 15 2 2 3" xfId="59517"/>
    <cellStyle name="Total 2 2 15 2 3" xfId="31556"/>
    <cellStyle name="Total 2 2 15 2 4" xfId="59518"/>
    <cellStyle name="Total 2 2 15 3" xfId="16922"/>
    <cellStyle name="Total 2 2 15 3 2" xfId="25245"/>
    <cellStyle name="Total 2 2 15 3 2 2" xfId="59519"/>
    <cellStyle name="Total 2 2 15 3 2 3" xfId="59520"/>
    <cellStyle name="Total 2 2 15 3 3" xfId="32489"/>
    <cellStyle name="Total 2 2 15 3 4" xfId="59521"/>
    <cellStyle name="Total 2 2 15 4" xfId="17949"/>
    <cellStyle name="Total 2 2 15 4 2" xfId="26271"/>
    <cellStyle name="Total 2 2 15 4 2 2" xfId="59522"/>
    <cellStyle name="Total 2 2 15 4 2 3" xfId="59523"/>
    <cellStyle name="Total 2 2 15 4 3" xfId="33466"/>
    <cellStyle name="Total 2 2 15 4 4" xfId="59524"/>
    <cellStyle name="Total 2 2 15 5" xfId="18933"/>
    <cellStyle name="Total 2 2 15 5 2" xfId="27253"/>
    <cellStyle name="Total 2 2 15 5 2 2" xfId="59525"/>
    <cellStyle name="Total 2 2 15 5 2 3" xfId="59526"/>
    <cellStyle name="Total 2 2 15 5 3" xfId="34407"/>
    <cellStyle name="Total 2 2 15 5 4" xfId="59527"/>
    <cellStyle name="Total 2 2 15 6" xfId="19901"/>
    <cellStyle name="Total 2 2 15 6 2" xfId="28223"/>
    <cellStyle name="Total 2 2 15 6 2 2" xfId="59528"/>
    <cellStyle name="Total 2 2 15 6 2 3" xfId="59529"/>
    <cellStyle name="Total 2 2 15 6 3" xfId="35354"/>
    <cellStyle name="Total 2 2 15 6 4" xfId="59530"/>
    <cellStyle name="Total 2 2 15 7" xfId="20859"/>
    <cellStyle name="Total 2 2 15 7 2" xfId="29178"/>
    <cellStyle name="Total 2 2 15 7 2 2" xfId="59531"/>
    <cellStyle name="Total 2 2 15 7 2 3" xfId="59532"/>
    <cellStyle name="Total 2 2 15 7 3" xfId="36264"/>
    <cellStyle name="Total 2 2 15 7 4" xfId="59533"/>
    <cellStyle name="Total 2 2 15 8" xfId="15494"/>
    <cellStyle name="Total 2 2 15 8 2" xfId="23834"/>
    <cellStyle name="Total 2 2 15 8 2 2" xfId="59534"/>
    <cellStyle name="Total 2 2 15 8 2 3" xfId="59535"/>
    <cellStyle name="Total 2 2 15 8 3" xfId="31183"/>
    <cellStyle name="Total 2 2 15 8 4" xfId="59536"/>
    <cellStyle name="Total 2 2 15 9" xfId="22294"/>
    <cellStyle name="Total 2 2 15 9 2" xfId="30592"/>
    <cellStyle name="Total 2 2 15 9 3" xfId="37617"/>
    <cellStyle name="Total 2 2 16" xfId="14891"/>
    <cellStyle name="Total 2 2 16 10" xfId="23254"/>
    <cellStyle name="Total 2 2 16 11" xfId="59537"/>
    <cellStyle name="Total 2 2 16 2" xfId="15972"/>
    <cellStyle name="Total 2 2 16 2 2" xfId="24289"/>
    <cellStyle name="Total 2 2 16 2 2 2" xfId="59538"/>
    <cellStyle name="Total 2 2 16 2 2 3" xfId="59539"/>
    <cellStyle name="Total 2 2 16 2 3" xfId="31570"/>
    <cellStyle name="Total 2 2 16 2 4" xfId="59540"/>
    <cellStyle name="Total 2 2 16 3" xfId="16938"/>
    <cellStyle name="Total 2 2 16 3 2" xfId="25261"/>
    <cellStyle name="Total 2 2 16 3 2 2" xfId="59541"/>
    <cellStyle name="Total 2 2 16 3 2 3" xfId="59542"/>
    <cellStyle name="Total 2 2 16 3 3" xfId="32503"/>
    <cellStyle name="Total 2 2 16 3 4" xfId="59543"/>
    <cellStyle name="Total 2 2 16 4" xfId="17965"/>
    <cellStyle name="Total 2 2 16 4 2" xfId="26287"/>
    <cellStyle name="Total 2 2 16 4 2 2" xfId="59544"/>
    <cellStyle name="Total 2 2 16 4 2 3" xfId="59545"/>
    <cellStyle name="Total 2 2 16 4 3" xfId="33480"/>
    <cellStyle name="Total 2 2 16 4 4" xfId="59546"/>
    <cellStyle name="Total 2 2 16 5" xfId="18949"/>
    <cellStyle name="Total 2 2 16 5 2" xfId="27269"/>
    <cellStyle name="Total 2 2 16 5 2 2" xfId="59547"/>
    <cellStyle name="Total 2 2 16 5 2 3" xfId="59548"/>
    <cellStyle name="Total 2 2 16 5 3" xfId="34421"/>
    <cellStyle name="Total 2 2 16 5 4" xfId="59549"/>
    <cellStyle name="Total 2 2 16 6" xfId="19917"/>
    <cellStyle name="Total 2 2 16 6 2" xfId="28239"/>
    <cellStyle name="Total 2 2 16 6 2 2" xfId="59550"/>
    <cellStyle name="Total 2 2 16 6 2 3" xfId="59551"/>
    <cellStyle name="Total 2 2 16 6 3" xfId="35368"/>
    <cellStyle name="Total 2 2 16 6 4" xfId="59552"/>
    <cellStyle name="Total 2 2 16 7" xfId="20875"/>
    <cellStyle name="Total 2 2 16 7 2" xfId="29194"/>
    <cellStyle name="Total 2 2 16 7 2 2" xfId="59553"/>
    <cellStyle name="Total 2 2 16 7 2 3" xfId="59554"/>
    <cellStyle name="Total 2 2 16 7 3" xfId="36278"/>
    <cellStyle name="Total 2 2 16 7 4" xfId="59555"/>
    <cellStyle name="Total 2 2 16 8" xfId="21382"/>
    <cellStyle name="Total 2 2 16 8 2" xfId="29685"/>
    <cellStyle name="Total 2 2 16 8 2 2" xfId="59556"/>
    <cellStyle name="Total 2 2 16 8 2 3" xfId="59557"/>
    <cellStyle name="Total 2 2 16 8 3" xfId="36748"/>
    <cellStyle name="Total 2 2 16 8 4" xfId="59558"/>
    <cellStyle name="Total 2 2 16 9" xfId="22310"/>
    <cellStyle name="Total 2 2 16 9 2" xfId="30608"/>
    <cellStyle name="Total 2 2 16 9 3" xfId="37631"/>
    <cellStyle name="Total 2 2 17" xfId="14936"/>
    <cellStyle name="Total 2 2 17 10" xfId="23299"/>
    <cellStyle name="Total 2 2 17 11" xfId="59559"/>
    <cellStyle name="Total 2 2 17 2" xfId="16017"/>
    <cellStyle name="Total 2 2 17 2 2" xfId="24334"/>
    <cellStyle name="Total 2 2 17 2 2 2" xfId="59560"/>
    <cellStyle name="Total 2 2 17 2 2 3" xfId="59561"/>
    <cellStyle name="Total 2 2 17 2 3" xfId="31614"/>
    <cellStyle name="Total 2 2 17 2 4" xfId="59562"/>
    <cellStyle name="Total 2 2 17 3" xfId="16983"/>
    <cellStyle name="Total 2 2 17 3 2" xfId="25306"/>
    <cellStyle name="Total 2 2 17 3 2 2" xfId="59563"/>
    <cellStyle name="Total 2 2 17 3 2 3" xfId="59564"/>
    <cellStyle name="Total 2 2 17 3 3" xfId="32547"/>
    <cellStyle name="Total 2 2 17 3 4" xfId="59565"/>
    <cellStyle name="Total 2 2 17 4" xfId="18010"/>
    <cellStyle name="Total 2 2 17 4 2" xfId="26332"/>
    <cellStyle name="Total 2 2 17 4 2 2" xfId="59566"/>
    <cellStyle name="Total 2 2 17 4 2 3" xfId="59567"/>
    <cellStyle name="Total 2 2 17 4 3" xfId="33524"/>
    <cellStyle name="Total 2 2 17 4 4" xfId="59568"/>
    <cellStyle name="Total 2 2 17 5" xfId="18994"/>
    <cellStyle name="Total 2 2 17 5 2" xfId="27314"/>
    <cellStyle name="Total 2 2 17 5 2 2" xfId="59569"/>
    <cellStyle name="Total 2 2 17 5 2 3" xfId="59570"/>
    <cellStyle name="Total 2 2 17 5 3" xfId="34465"/>
    <cellStyle name="Total 2 2 17 5 4" xfId="59571"/>
    <cellStyle name="Total 2 2 17 6" xfId="19962"/>
    <cellStyle name="Total 2 2 17 6 2" xfId="28284"/>
    <cellStyle name="Total 2 2 17 6 2 2" xfId="59572"/>
    <cellStyle name="Total 2 2 17 6 2 3" xfId="59573"/>
    <cellStyle name="Total 2 2 17 6 3" xfId="35412"/>
    <cellStyle name="Total 2 2 17 6 4" xfId="59574"/>
    <cellStyle name="Total 2 2 17 7" xfId="20920"/>
    <cellStyle name="Total 2 2 17 7 2" xfId="29239"/>
    <cellStyle name="Total 2 2 17 7 2 2" xfId="59575"/>
    <cellStyle name="Total 2 2 17 7 2 3" xfId="59576"/>
    <cellStyle name="Total 2 2 17 7 3" xfId="36322"/>
    <cellStyle name="Total 2 2 17 7 4" xfId="59577"/>
    <cellStyle name="Total 2 2 17 8" xfId="21427"/>
    <cellStyle name="Total 2 2 17 8 2" xfId="29730"/>
    <cellStyle name="Total 2 2 17 8 2 2" xfId="59578"/>
    <cellStyle name="Total 2 2 17 8 2 3" xfId="59579"/>
    <cellStyle name="Total 2 2 17 8 3" xfId="36792"/>
    <cellStyle name="Total 2 2 17 8 4" xfId="59580"/>
    <cellStyle name="Total 2 2 17 9" xfId="22355"/>
    <cellStyle name="Total 2 2 17 9 2" xfId="30653"/>
    <cellStyle name="Total 2 2 17 9 3" xfId="37675"/>
    <cellStyle name="Total 2 2 18" xfId="14907"/>
    <cellStyle name="Total 2 2 18 10" xfId="23270"/>
    <cellStyle name="Total 2 2 18 11" xfId="59581"/>
    <cellStyle name="Total 2 2 18 2" xfId="15988"/>
    <cellStyle name="Total 2 2 18 2 2" xfId="24305"/>
    <cellStyle name="Total 2 2 18 2 2 2" xfId="59582"/>
    <cellStyle name="Total 2 2 18 2 2 3" xfId="59583"/>
    <cellStyle name="Total 2 2 18 2 3" xfId="31585"/>
    <cellStyle name="Total 2 2 18 2 4" xfId="59584"/>
    <cellStyle name="Total 2 2 18 3" xfId="16954"/>
    <cellStyle name="Total 2 2 18 3 2" xfId="25277"/>
    <cellStyle name="Total 2 2 18 3 2 2" xfId="59585"/>
    <cellStyle name="Total 2 2 18 3 2 3" xfId="59586"/>
    <cellStyle name="Total 2 2 18 3 3" xfId="32518"/>
    <cellStyle name="Total 2 2 18 3 4" xfId="59587"/>
    <cellStyle name="Total 2 2 18 4" xfId="17981"/>
    <cellStyle name="Total 2 2 18 4 2" xfId="26303"/>
    <cellStyle name="Total 2 2 18 4 2 2" xfId="59588"/>
    <cellStyle name="Total 2 2 18 4 2 3" xfId="59589"/>
    <cellStyle name="Total 2 2 18 4 3" xfId="33495"/>
    <cellStyle name="Total 2 2 18 4 4" xfId="59590"/>
    <cellStyle name="Total 2 2 18 5" xfId="18965"/>
    <cellStyle name="Total 2 2 18 5 2" xfId="27285"/>
    <cellStyle name="Total 2 2 18 5 2 2" xfId="59591"/>
    <cellStyle name="Total 2 2 18 5 2 3" xfId="59592"/>
    <cellStyle name="Total 2 2 18 5 3" xfId="34436"/>
    <cellStyle name="Total 2 2 18 5 4" xfId="59593"/>
    <cellStyle name="Total 2 2 18 6" xfId="19933"/>
    <cellStyle name="Total 2 2 18 6 2" xfId="28255"/>
    <cellStyle name="Total 2 2 18 6 2 2" xfId="59594"/>
    <cellStyle name="Total 2 2 18 6 2 3" xfId="59595"/>
    <cellStyle name="Total 2 2 18 6 3" xfId="35383"/>
    <cellStyle name="Total 2 2 18 6 4" xfId="59596"/>
    <cellStyle name="Total 2 2 18 7" xfId="20891"/>
    <cellStyle name="Total 2 2 18 7 2" xfId="29210"/>
    <cellStyle name="Total 2 2 18 7 2 2" xfId="59597"/>
    <cellStyle name="Total 2 2 18 7 2 3" xfId="59598"/>
    <cellStyle name="Total 2 2 18 7 3" xfId="36293"/>
    <cellStyle name="Total 2 2 18 7 4" xfId="59599"/>
    <cellStyle name="Total 2 2 18 8" xfId="21398"/>
    <cellStyle name="Total 2 2 18 8 2" xfId="29701"/>
    <cellStyle name="Total 2 2 18 8 2 2" xfId="59600"/>
    <cellStyle name="Total 2 2 18 8 2 3" xfId="59601"/>
    <cellStyle name="Total 2 2 18 8 3" xfId="36763"/>
    <cellStyle name="Total 2 2 18 8 4" xfId="59602"/>
    <cellStyle name="Total 2 2 18 9" xfId="22326"/>
    <cellStyle name="Total 2 2 18 9 2" xfId="30624"/>
    <cellStyle name="Total 2 2 18 9 3" xfId="37646"/>
    <cellStyle name="Total 2 2 19" xfId="14966"/>
    <cellStyle name="Total 2 2 19 10" xfId="23327"/>
    <cellStyle name="Total 2 2 19 11" xfId="59603"/>
    <cellStyle name="Total 2 2 19 2" xfId="16047"/>
    <cellStyle name="Total 2 2 19 2 2" xfId="24362"/>
    <cellStyle name="Total 2 2 19 2 2 2" xfId="59604"/>
    <cellStyle name="Total 2 2 19 2 2 3" xfId="59605"/>
    <cellStyle name="Total 2 2 19 2 3" xfId="31641"/>
    <cellStyle name="Total 2 2 19 2 4" xfId="59606"/>
    <cellStyle name="Total 2 2 19 3" xfId="17013"/>
    <cellStyle name="Total 2 2 19 3 2" xfId="25334"/>
    <cellStyle name="Total 2 2 19 3 2 2" xfId="59607"/>
    <cellStyle name="Total 2 2 19 3 2 3" xfId="59608"/>
    <cellStyle name="Total 2 2 19 3 3" xfId="32574"/>
    <cellStyle name="Total 2 2 19 3 4" xfId="59609"/>
    <cellStyle name="Total 2 2 19 4" xfId="18040"/>
    <cellStyle name="Total 2 2 19 4 2" xfId="26360"/>
    <cellStyle name="Total 2 2 19 4 2 2" xfId="59610"/>
    <cellStyle name="Total 2 2 19 4 2 3" xfId="59611"/>
    <cellStyle name="Total 2 2 19 4 3" xfId="33551"/>
    <cellStyle name="Total 2 2 19 4 4" xfId="59612"/>
    <cellStyle name="Total 2 2 19 5" xfId="19024"/>
    <cellStyle name="Total 2 2 19 5 2" xfId="27344"/>
    <cellStyle name="Total 2 2 19 5 2 2" xfId="59613"/>
    <cellStyle name="Total 2 2 19 5 2 3" xfId="59614"/>
    <cellStyle name="Total 2 2 19 5 3" xfId="34494"/>
    <cellStyle name="Total 2 2 19 5 4" xfId="59615"/>
    <cellStyle name="Total 2 2 19 6" xfId="19992"/>
    <cellStyle name="Total 2 2 19 6 2" xfId="28314"/>
    <cellStyle name="Total 2 2 19 6 2 2" xfId="59616"/>
    <cellStyle name="Total 2 2 19 6 2 3" xfId="59617"/>
    <cellStyle name="Total 2 2 19 6 3" xfId="35441"/>
    <cellStyle name="Total 2 2 19 6 4" xfId="59618"/>
    <cellStyle name="Total 2 2 19 7" xfId="20950"/>
    <cellStyle name="Total 2 2 19 7 2" xfId="29267"/>
    <cellStyle name="Total 2 2 19 7 2 2" xfId="59619"/>
    <cellStyle name="Total 2 2 19 7 2 3" xfId="59620"/>
    <cellStyle name="Total 2 2 19 7 3" xfId="36349"/>
    <cellStyle name="Total 2 2 19 7 4" xfId="59621"/>
    <cellStyle name="Total 2 2 19 8" xfId="21457"/>
    <cellStyle name="Total 2 2 19 8 2" xfId="29758"/>
    <cellStyle name="Total 2 2 19 8 2 2" xfId="59622"/>
    <cellStyle name="Total 2 2 19 8 2 3" xfId="59623"/>
    <cellStyle name="Total 2 2 19 8 3" xfId="36819"/>
    <cellStyle name="Total 2 2 19 8 4" xfId="59624"/>
    <cellStyle name="Total 2 2 19 9" xfId="22385"/>
    <cellStyle name="Total 2 2 19 9 2" xfId="30681"/>
    <cellStyle name="Total 2 2 19 9 3" xfId="37702"/>
    <cellStyle name="Total 2 2 2" xfId="81"/>
    <cellStyle name="Total 2 2 2 10" xfId="14432"/>
    <cellStyle name="Total 2 2 2 10 2" xfId="59625"/>
    <cellStyle name="Total 2 2 2 10 3" xfId="59626"/>
    <cellStyle name="Total 2 2 2 11" xfId="59627"/>
    <cellStyle name="Total 2 2 2 12" xfId="59628"/>
    <cellStyle name="Total 2 2 2 13" xfId="59629"/>
    <cellStyle name="Total 2 2 2 14" xfId="59630"/>
    <cellStyle name="Total 2 2 2 15" xfId="59631"/>
    <cellStyle name="Total 2 2 2 16" xfId="60788"/>
    <cellStyle name="Total 2 2 2 2" xfId="155"/>
    <cellStyle name="Total 2 2 2 2 2" xfId="281"/>
    <cellStyle name="Total 2 2 2 2 2 2" xfId="690"/>
    <cellStyle name="Total 2 2 2 2 2 2 2" xfId="1641"/>
    <cellStyle name="Total 2 2 2 2 2 2 2 2" xfId="766"/>
    <cellStyle name="Total 2 2 2 2 2 2 2 2 2" xfId="2694"/>
    <cellStyle name="Total 2 2 2 2 2 2 2 2 2 2" xfId="6114"/>
    <cellStyle name="Total 2 2 2 2 2 2 2 2 2 2 2" xfId="12954"/>
    <cellStyle name="Total 2 2 2 2 2 2 2 2 2 3" xfId="9534"/>
    <cellStyle name="Total 2 2 2 2 2 2 2 2 3" xfId="3834"/>
    <cellStyle name="Total 2 2 2 2 2 2 2 2 3 2" xfId="7254"/>
    <cellStyle name="Total 2 2 2 2 2 2 2 2 3 2 2" xfId="14094"/>
    <cellStyle name="Total 2 2 2 2 2 2 2 2 3 3" xfId="10674"/>
    <cellStyle name="Total 2 2 2 2 2 2 2 2 4" xfId="4974"/>
    <cellStyle name="Total 2 2 2 2 2 2 2 2 4 2" xfId="11814"/>
    <cellStyle name="Total 2 2 2 2 2 2 2 2 5" xfId="8394"/>
    <cellStyle name="Total 2 2 2 2 2 2 2 3" xfId="2475"/>
    <cellStyle name="Total 2 2 2 2 2 2 2 3 2" xfId="5895"/>
    <cellStyle name="Total 2 2 2 2 2 2 2 3 2 2" xfId="12735"/>
    <cellStyle name="Total 2 2 2 2 2 2 2 3 3" xfId="9315"/>
    <cellStyle name="Total 2 2 2 2 2 2 2 4" xfId="3615"/>
    <cellStyle name="Total 2 2 2 2 2 2 2 4 2" xfId="7035"/>
    <cellStyle name="Total 2 2 2 2 2 2 2 4 2 2" xfId="13875"/>
    <cellStyle name="Total 2 2 2 2 2 2 2 4 3" xfId="10455"/>
    <cellStyle name="Total 2 2 2 2 2 2 2 5" xfId="4755"/>
    <cellStyle name="Total 2 2 2 2 2 2 2 5 2" xfId="11595"/>
    <cellStyle name="Total 2 2 2 2 2 2 2 6" xfId="8175"/>
    <cellStyle name="Total 2 2 2 2 2 2 2 7" xfId="61522"/>
    <cellStyle name="Total 2 2 2 2 2 2 2 8" xfId="62073"/>
    <cellStyle name="Total 2 2 2 2 2 2 3" xfId="38534"/>
    <cellStyle name="Total 2 2 2 2 2 2 4" xfId="59632"/>
    <cellStyle name="Total 2 2 2 2 2 2 5" xfId="59633"/>
    <cellStyle name="Total 2 2 2 2 2 2 6" xfId="59634"/>
    <cellStyle name="Total 2 2 2 2 2 2 7" xfId="61314"/>
    <cellStyle name="Total 2 2 2 2 2 3" xfId="1287"/>
    <cellStyle name="Total 2 2 2 2 2 3 2" xfId="1850"/>
    <cellStyle name="Total 2 2 2 2 2 3 2 2" xfId="2990"/>
    <cellStyle name="Total 2 2 2 2 2 3 2 2 2" xfId="6410"/>
    <cellStyle name="Total 2 2 2 2 2 3 2 2 2 2" xfId="13250"/>
    <cellStyle name="Total 2 2 2 2 2 3 2 2 3" xfId="9830"/>
    <cellStyle name="Total 2 2 2 2 2 3 2 3" xfId="4130"/>
    <cellStyle name="Total 2 2 2 2 2 3 2 3 2" xfId="7550"/>
    <cellStyle name="Total 2 2 2 2 2 3 2 3 2 2" xfId="14390"/>
    <cellStyle name="Total 2 2 2 2 2 3 2 3 3" xfId="10970"/>
    <cellStyle name="Total 2 2 2 2 2 3 2 4" xfId="5270"/>
    <cellStyle name="Total 2 2 2 2 2 3 2 4 2" xfId="12110"/>
    <cellStyle name="Total 2 2 2 2 2 3 2 5" xfId="8690"/>
    <cellStyle name="Total 2 2 2 2 2 3 3" xfId="2107"/>
    <cellStyle name="Total 2 2 2 2 2 3 3 2" xfId="5527"/>
    <cellStyle name="Total 2 2 2 2 2 3 3 2 2" xfId="12367"/>
    <cellStyle name="Total 2 2 2 2 2 3 3 3" xfId="8947"/>
    <cellStyle name="Total 2 2 2 2 2 3 4" xfId="3247"/>
    <cellStyle name="Total 2 2 2 2 2 3 4 2" xfId="6667"/>
    <cellStyle name="Total 2 2 2 2 2 3 4 2 2" xfId="13507"/>
    <cellStyle name="Total 2 2 2 2 2 3 4 3" xfId="10087"/>
    <cellStyle name="Total 2 2 2 2 2 3 5" xfId="4387"/>
    <cellStyle name="Total 2 2 2 2 2 3 5 2" xfId="11227"/>
    <cellStyle name="Total 2 2 2 2 2 3 6" xfId="7807"/>
    <cellStyle name="Total 2 2 2 2 2 3 7" xfId="61423"/>
    <cellStyle name="Total 2 2 2 2 2 3 8" xfId="62002"/>
    <cellStyle name="Total 2 2 2 2 2 4" xfId="38297"/>
    <cellStyle name="Total 2 2 2 2 2 5" xfId="59635"/>
    <cellStyle name="Total 2 2 2 2 2 6" xfId="59636"/>
    <cellStyle name="Total 2 2 2 2 2 7" xfId="59637"/>
    <cellStyle name="Total 2 2 2 2 2 8" xfId="59638"/>
    <cellStyle name="Total 2 2 2 2 2 9" xfId="60963"/>
    <cellStyle name="Total 2 2 2 2 3" xfId="602"/>
    <cellStyle name="Total 2 2 2 2 3 2" xfId="1589"/>
    <cellStyle name="Total 2 2 2 2 3 2 2" xfId="817"/>
    <cellStyle name="Total 2 2 2 2 3 2 2 2" xfId="2550"/>
    <cellStyle name="Total 2 2 2 2 3 2 2 2 2" xfId="5970"/>
    <cellStyle name="Total 2 2 2 2 3 2 2 2 2 2" xfId="12810"/>
    <cellStyle name="Total 2 2 2 2 3 2 2 2 3" xfId="9390"/>
    <cellStyle name="Total 2 2 2 2 3 2 2 3" xfId="3690"/>
    <cellStyle name="Total 2 2 2 2 3 2 2 3 2" xfId="7110"/>
    <cellStyle name="Total 2 2 2 2 3 2 2 3 2 2" xfId="13950"/>
    <cellStyle name="Total 2 2 2 2 3 2 2 3 3" xfId="10530"/>
    <cellStyle name="Total 2 2 2 2 3 2 2 4" xfId="4830"/>
    <cellStyle name="Total 2 2 2 2 3 2 2 4 2" xfId="11670"/>
    <cellStyle name="Total 2 2 2 2 3 2 2 5" xfId="8250"/>
    <cellStyle name="Total 2 2 2 2 3 2 3" xfId="2414"/>
    <cellStyle name="Total 2 2 2 2 3 2 3 2" xfId="5834"/>
    <cellStyle name="Total 2 2 2 2 3 2 3 2 2" xfId="12674"/>
    <cellStyle name="Total 2 2 2 2 3 2 3 3" xfId="9254"/>
    <cellStyle name="Total 2 2 2 2 3 2 4" xfId="3554"/>
    <cellStyle name="Total 2 2 2 2 3 2 4 2" xfId="6974"/>
    <cellStyle name="Total 2 2 2 2 3 2 4 2 2" xfId="13814"/>
    <cellStyle name="Total 2 2 2 2 3 2 4 3" xfId="10394"/>
    <cellStyle name="Total 2 2 2 2 3 2 5" xfId="4694"/>
    <cellStyle name="Total 2 2 2 2 3 2 5 2" xfId="11534"/>
    <cellStyle name="Total 2 2 2 2 3 2 6" xfId="8114"/>
    <cellStyle name="Total 2 2 2 2 3 2 7" xfId="61386"/>
    <cellStyle name="Total 2 2 2 2 3 2 8" xfId="61976"/>
    <cellStyle name="Total 2 2 2 2 3 3" xfId="38483"/>
    <cellStyle name="Total 2 2 2 2 3 4" xfId="59639"/>
    <cellStyle name="Total 2 2 2 2 3 5" xfId="59640"/>
    <cellStyle name="Total 2 2 2 2 3 6" xfId="59641"/>
    <cellStyle name="Total 2 2 2 2 3 7" xfId="61315"/>
    <cellStyle name="Total 2 2 2 2 4" xfId="1163"/>
    <cellStyle name="Total 2 2 2 2 4 2" xfId="1046"/>
    <cellStyle name="Total 2 2 2 2 4 2 2" xfId="2505"/>
    <cellStyle name="Total 2 2 2 2 4 2 2 2" xfId="5925"/>
    <cellStyle name="Total 2 2 2 2 4 2 2 2 2" xfId="12765"/>
    <cellStyle name="Total 2 2 2 2 4 2 2 3" xfId="9345"/>
    <cellStyle name="Total 2 2 2 2 4 2 3" xfId="3645"/>
    <cellStyle name="Total 2 2 2 2 4 2 3 2" xfId="7065"/>
    <cellStyle name="Total 2 2 2 2 4 2 3 2 2" xfId="13905"/>
    <cellStyle name="Total 2 2 2 2 4 2 3 3" xfId="10485"/>
    <cellStyle name="Total 2 2 2 2 4 2 4" xfId="4785"/>
    <cellStyle name="Total 2 2 2 2 4 2 4 2" xfId="11625"/>
    <cellStyle name="Total 2 2 2 2 4 2 5" xfId="8205"/>
    <cellStyle name="Total 2 2 2 2 4 3" xfId="1982"/>
    <cellStyle name="Total 2 2 2 2 4 3 2" xfId="5402"/>
    <cellStyle name="Total 2 2 2 2 4 3 2 2" xfId="12242"/>
    <cellStyle name="Total 2 2 2 2 4 3 3" xfId="8822"/>
    <cellStyle name="Total 2 2 2 2 4 4" xfId="3122"/>
    <cellStyle name="Total 2 2 2 2 4 4 2" xfId="6542"/>
    <cellStyle name="Total 2 2 2 2 4 4 2 2" xfId="13382"/>
    <cellStyle name="Total 2 2 2 2 4 4 3" xfId="9962"/>
    <cellStyle name="Total 2 2 2 2 4 5" xfId="4262"/>
    <cellStyle name="Total 2 2 2 2 4 5 2" xfId="11102"/>
    <cellStyle name="Total 2 2 2 2 4 6" xfId="7682"/>
    <cellStyle name="Total 2 2 2 2 4 7" xfId="61347"/>
    <cellStyle name="Total 2 2 2 2 4 8" xfId="61948"/>
    <cellStyle name="Total 2 2 2 2 5" xfId="15596"/>
    <cellStyle name="Total 2 2 2 2 6" xfId="23910"/>
    <cellStyle name="Total 2 2 2 2 7" xfId="38219"/>
    <cellStyle name="Total 2 2 2 2 8" xfId="59642"/>
    <cellStyle name="Total 2 2 2 2 9" xfId="60839"/>
    <cellStyle name="Total 2 2 2 3" xfId="321"/>
    <cellStyle name="Total 2 2 2 3 2" xfId="362"/>
    <cellStyle name="Total 2 2 2 3 2 2" xfId="1367"/>
    <cellStyle name="Total 2 2 2 3 2 2 2" xfId="925"/>
    <cellStyle name="Total 2 2 2 3 2 2 2 2" xfId="2677"/>
    <cellStyle name="Total 2 2 2 3 2 2 2 2 2" xfId="6097"/>
    <cellStyle name="Total 2 2 2 3 2 2 2 2 2 2" xfId="12937"/>
    <cellStyle name="Total 2 2 2 3 2 2 2 2 3" xfId="9517"/>
    <cellStyle name="Total 2 2 2 3 2 2 2 3" xfId="3817"/>
    <cellStyle name="Total 2 2 2 3 2 2 2 3 2" xfId="7237"/>
    <cellStyle name="Total 2 2 2 3 2 2 2 3 2 2" xfId="14077"/>
    <cellStyle name="Total 2 2 2 3 2 2 2 3 3" xfId="10657"/>
    <cellStyle name="Total 2 2 2 3 2 2 2 4" xfId="4957"/>
    <cellStyle name="Total 2 2 2 3 2 2 2 4 2" xfId="11797"/>
    <cellStyle name="Total 2 2 2 3 2 2 2 5" xfId="8377"/>
    <cellStyle name="Total 2 2 2 3 2 2 3" xfId="2188"/>
    <cellStyle name="Total 2 2 2 3 2 2 3 2" xfId="5608"/>
    <cellStyle name="Total 2 2 2 3 2 2 3 2 2" xfId="12448"/>
    <cellStyle name="Total 2 2 2 3 2 2 3 3" xfId="9028"/>
    <cellStyle name="Total 2 2 2 3 2 2 4" xfId="3328"/>
    <cellStyle name="Total 2 2 2 3 2 2 4 2" xfId="6748"/>
    <cellStyle name="Total 2 2 2 3 2 2 4 2 2" xfId="13588"/>
    <cellStyle name="Total 2 2 2 3 2 2 4 3" xfId="10168"/>
    <cellStyle name="Total 2 2 2 3 2 2 5" xfId="4468"/>
    <cellStyle name="Total 2 2 2 3 2 2 5 2" xfId="11308"/>
    <cellStyle name="Total 2 2 2 3 2 2 6" xfId="7888"/>
    <cellStyle name="Total 2 2 2 3 2 2 7" xfId="61422"/>
    <cellStyle name="Total 2 2 2 3 2 2 8" xfId="62001"/>
    <cellStyle name="Total 2 2 2 3 2 3" xfId="38347"/>
    <cellStyle name="Total 2 2 2 3 2 4" xfId="59643"/>
    <cellStyle name="Total 2 2 2 3 2 5" xfId="59644"/>
    <cellStyle name="Total 2 2 2 3 2 6" xfId="59645"/>
    <cellStyle name="Total 2 2 2 3 2 7" xfId="59646"/>
    <cellStyle name="Total 2 2 2 3 2 8" xfId="61043"/>
    <cellStyle name="Total 2 2 2 3 3" xfId="1326"/>
    <cellStyle name="Total 2 2 2 3 3 2" xfId="965"/>
    <cellStyle name="Total 2 2 2 3 3 2 2" xfId="2713"/>
    <cellStyle name="Total 2 2 2 3 3 2 2 2" xfId="6133"/>
    <cellStyle name="Total 2 2 2 3 3 2 2 2 2" xfId="12973"/>
    <cellStyle name="Total 2 2 2 3 3 2 2 3" xfId="9553"/>
    <cellStyle name="Total 2 2 2 3 3 2 3" xfId="3853"/>
    <cellStyle name="Total 2 2 2 3 3 2 3 2" xfId="7273"/>
    <cellStyle name="Total 2 2 2 3 3 2 3 2 2" xfId="14113"/>
    <cellStyle name="Total 2 2 2 3 3 2 3 3" xfId="10693"/>
    <cellStyle name="Total 2 2 2 3 3 2 4" xfId="4993"/>
    <cellStyle name="Total 2 2 2 3 3 2 4 2" xfId="11833"/>
    <cellStyle name="Total 2 2 2 3 3 2 5" xfId="8413"/>
    <cellStyle name="Total 2 2 2 3 3 3" xfId="2147"/>
    <cellStyle name="Total 2 2 2 3 3 3 2" xfId="5567"/>
    <cellStyle name="Total 2 2 2 3 3 3 2 2" xfId="12407"/>
    <cellStyle name="Total 2 2 2 3 3 3 3" xfId="8987"/>
    <cellStyle name="Total 2 2 2 3 3 4" xfId="3287"/>
    <cellStyle name="Total 2 2 2 3 3 4 2" xfId="6707"/>
    <cellStyle name="Total 2 2 2 3 3 4 2 2" xfId="13547"/>
    <cellStyle name="Total 2 2 2 3 3 4 3" xfId="10127"/>
    <cellStyle name="Total 2 2 2 3 3 5" xfId="4427"/>
    <cellStyle name="Total 2 2 2 3 3 5 2" xfId="11267"/>
    <cellStyle name="Total 2 2 2 3 3 6" xfId="7847"/>
    <cellStyle name="Total 2 2 2 3 3 7" xfId="61346"/>
    <cellStyle name="Total 2 2 2 3 3 8" xfId="61947"/>
    <cellStyle name="Total 2 2 2 3 4" xfId="16566"/>
    <cellStyle name="Total 2 2 2 3 5" xfId="24881"/>
    <cellStyle name="Total 2 2 2 3 6" xfId="32141"/>
    <cellStyle name="Total 2 2 2 3 7" xfId="59647"/>
    <cellStyle name="Total 2 2 2 3 8" xfId="59648"/>
    <cellStyle name="Total 2 2 2 3 9" xfId="61002"/>
    <cellStyle name="Total 2 2 2 4" xfId="222"/>
    <cellStyle name="Total 2 2 2 4 2" xfId="407"/>
    <cellStyle name="Total 2 2 2 4 2 2" xfId="1412"/>
    <cellStyle name="Total 2 2 2 4 2 2 2" xfId="1711"/>
    <cellStyle name="Total 2 2 2 4 2 2 2 2" xfId="2851"/>
    <cellStyle name="Total 2 2 2 4 2 2 2 2 2" xfId="6271"/>
    <cellStyle name="Total 2 2 2 4 2 2 2 2 2 2" xfId="13111"/>
    <cellStyle name="Total 2 2 2 4 2 2 2 2 3" xfId="9691"/>
    <cellStyle name="Total 2 2 2 4 2 2 2 3" xfId="3991"/>
    <cellStyle name="Total 2 2 2 4 2 2 2 3 2" xfId="7411"/>
    <cellStyle name="Total 2 2 2 4 2 2 2 3 2 2" xfId="14251"/>
    <cellStyle name="Total 2 2 2 4 2 2 2 3 3" xfId="10831"/>
    <cellStyle name="Total 2 2 2 4 2 2 2 4" xfId="5131"/>
    <cellStyle name="Total 2 2 2 4 2 2 2 4 2" xfId="11971"/>
    <cellStyle name="Total 2 2 2 4 2 2 2 5" xfId="8551"/>
    <cellStyle name="Total 2 2 2 4 2 2 3" xfId="2233"/>
    <cellStyle name="Total 2 2 2 4 2 2 3 2" xfId="5653"/>
    <cellStyle name="Total 2 2 2 4 2 2 3 2 2" xfId="12493"/>
    <cellStyle name="Total 2 2 2 4 2 2 3 3" xfId="9073"/>
    <cellStyle name="Total 2 2 2 4 2 2 4" xfId="3373"/>
    <cellStyle name="Total 2 2 2 4 2 2 4 2" xfId="6793"/>
    <cellStyle name="Total 2 2 2 4 2 2 4 2 2" xfId="13633"/>
    <cellStyle name="Total 2 2 2 4 2 2 4 3" xfId="10213"/>
    <cellStyle name="Total 2 2 2 4 2 2 5" xfId="4513"/>
    <cellStyle name="Total 2 2 2 4 2 2 5 2" xfId="11353"/>
    <cellStyle name="Total 2 2 2 4 2 2 6" xfId="7933"/>
    <cellStyle name="Total 2 2 2 4 2 2 7" xfId="61385"/>
    <cellStyle name="Total 2 2 2 4 2 2 8" xfId="61975"/>
    <cellStyle name="Total 2 2 2 4 2 3" xfId="38384"/>
    <cellStyle name="Total 2 2 2 4 2 4" xfId="59649"/>
    <cellStyle name="Total 2 2 2 4 2 5" xfId="59650"/>
    <cellStyle name="Total 2 2 2 4 2 6" xfId="59651"/>
    <cellStyle name="Total 2 2 2 4 2 7" xfId="59652"/>
    <cellStyle name="Total 2 2 2 4 2 8" xfId="61088"/>
    <cellStyle name="Total 2 2 2 4 3" xfId="1229"/>
    <cellStyle name="Total 2 2 2 4 3 2" xfId="1013"/>
    <cellStyle name="Total 2 2 2 4 3 2 2" xfId="2619"/>
    <cellStyle name="Total 2 2 2 4 3 2 2 2" xfId="6039"/>
    <cellStyle name="Total 2 2 2 4 3 2 2 2 2" xfId="12879"/>
    <cellStyle name="Total 2 2 2 4 3 2 2 3" xfId="9459"/>
    <cellStyle name="Total 2 2 2 4 3 2 3" xfId="3759"/>
    <cellStyle name="Total 2 2 2 4 3 2 3 2" xfId="7179"/>
    <cellStyle name="Total 2 2 2 4 3 2 3 2 2" xfId="14019"/>
    <cellStyle name="Total 2 2 2 4 3 2 3 3" xfId="10599"/>
    <cellStyle name="Total 2 2 2 4 3 2 4" xfId="4899"/>
    <cellStyle name="Total 2 2 2 4 3 2 4 2" xfId="11739"/>
    <cellStyle name="Total 2 2 2 4 3 2 5" xfId="8319"/>
    <cellStyle name="Total 2 2 2 4 3 3" xfId="2049"/>
    <cellStyle name="Total 2 2 2 4 3 3 2" xfId="5469"/>
    <cellStyle name="Total 2 2 2 4 3 3 2 2" xfId="12309"/>
    <cellStyle name="Total 2 2 2 4 3 3 3" xfId="8889"/>
    <cellStyle name="Total 2 2 2 4 3 4" xfId="3189"/>
    <cellStyle name="Total 2 2 2 4 3 4 2" xfId="6609"/>
    <cellStyle name="Total 2 2 2 4 3 4 2 2" xfId="13449"/>
    <cellStyle name="Total 2 2 2 4 3 4 3" xfId="10029"/>
    <cellStyle name="Total 2 2 2 4 3 5" xfId="4329"/>
    <cellStyle name="Total 2 2 2 4 3 5 2" xfId="11169"/>
    <cellStyle name="Total 2 2 2 4 3 6" xfId="7749"/>
    <cellStyle name="Total 2 2 2 4 3 7" xfId="61521"/>
    <cellStyle name="Total 2 2 2 4 3 8" xfId="62072"/>
    <cellStyle name="Total 2 2 2 4 4" xfId="17584"/>
    <cellStyle name="Total 2 2 2 4 5" xfId="25905"/>
    <cellStyle name="Total 2 2 2 4 6" xfId="33118"/>
    <cellStyle name="Total 2 2 2 4 7" xfId="59653"/>
    <cellStyle name="Total 2 2 2 4 8" xfId="59654"/>
    <cellStyle name="Total 2 2 2 4 9" xfId="60905"/>
    <cellStyle name="Total 2 2 2 5" xfId="484"/>
    <cellStyle name="Total 2 2 2 5 2" xfId="351"/>
    <cellStyle name="Total 2 2 2 5 2 2" xfId="1356"/>
    <cellStyle name="Total 2 2 2 5 2 2 2" xfId="936"/>
    <cellStyle name="Total 2 2 2 5 2 2 2 2" xfId="2667"/>
    <cellStyle name="Total 2 2 2 5 2 2 2 2 2" xfId="6087"/>
    <cellStyle name="Total 2 2 2 5 2 2 2 2 2 2" xfId="12927"/>
    <cellStyle name="Total 2 2 2 5 2 2 2 2 3" xfId="9507"/>
    <cellStyle name="Total 2 2 2 5 2 2 2 3" xfId="3807"/>
    <cellStyle name="Total 2 2 2 5 2 2 2 3 2" xfId="7227"/>
    <cellStyle name="Total 2 2 2 5 2 2 2 3 2 2" xfId="14067"/>
    <cellStyle name="Total 2 2 2 5 2 2 2 3 3" xfId="10647"/>
    <cellStyle name="Total 2 2 2 5 2 2 2 4" xfId="4947"/>
    <cellStyle name="Total 2 2 2 5 2 2 2 4 2" xfId="11787"/>
    <cellStyle name="Total 2 2 2 5 2 2 2 5" xfId="8367"/>
    <cellStyle name="Total 2 2 2 5 2 2 3" xfId="2177"/>
    <cellStyle name="Total 2 2 2 5 2 2 3 2" xfId="5597"/>
    <cellStyle name="Total 2 2 2 5 2 2 3 2 2" xfId="12437"/>
    <cellStyle name="Total 2 2 2 5 2 2 3 3" xfId="9017"/>
    <cellStyle name="Total 2 2 2 5 2 2 4" xfId="3317"/>
    <cellStyle name="Total 2 2 2 5 2 2 4 2" xfId="6737"/>
    <cellStyle name="Total 2 2 2 5 2 2 4 2 2" xfId="13577"/>
    <cellStyle name="Total 2 2 2 5 2 2 4 3" xfId="10157"/>
    <cellStyle name="Total 2 2 2 5 2 2 5" xfId="4457"/>
    <cellStyle name="Total 2 2 2 5 2 2 5 2" xfId="11297"/>
    <cellStyle name="Total 2 2 2 5 2 2 6" xfId="7877"/>
    <cellStyle name="Total 2 2 2 5 2 2 7" xfId="61421"/>
    <cellStyle name="Total 2 2 2 5 2 2 8" xfId="62000"/>
    <cellStyle name="Total 2 2 2 5 2 3" xfId="38340"/>
    <cellStyle name="Total 2 2 2 5 2 4" xfId="59655"/>
    <cellStyle name="Total 2 2 2 5 2 5" xfId="59656"/>
    <cellStyle name="Total 2 2 2 5 2 6" xfId="59657"/>
    <cellStyle name="Total 2 2 2 5 2 7" xfId="59658"/>
    <cellStyle name="Total 2 2 2 5 2 8" xfId="61032"/>
    <cellStyle name="Total 2 2 2 5 3" xfId="1488"/>
    <cellStyle name="Total 2 2 2 5 3 2" xfId="1784"/>
    <cellStyle name="Total 2 2 2 5 3 2 2" xfId="2924"/>
    <cellStyle name="Total 2 2 2 5 3 2 2 2" xfId="6344"/>
    <cellStyle name="Total 2 2 2 5 3 2 2 2 2" xfId="13184"/>
    <cellStyle name="Total 2 2 2 5 3 2 2 3" xfId="9764"/>
    <cellStyle name="Total 2 2 2 5 3 2 3" xfId="4064"/>
    <cellStyle name="Total 2 2 2 5 3 2 3 2" xfId="7484"/>
    <cellStyle name="Total 2 2 2 5 3 2 3 2 2" xfId="14324"/>
    <cellStyle name="Total 2 2 2 5 3 2 3 3" xfId="10904"/>
    <cellStyle name="Total 2 2 2 5 3 2 4" xfId="5204"/>
    <cellStyle name="Total 2 2 2 5 3 2 4 2" xfId="12044"/>
    <cellStyle name="Total 2 2 2 5 3 2 5" xfId="8624"/>
    <cellStyle name="Total 2 2 2 5 3 3" xfId="2309"/>
    <cellStyle name="Total 2 2 2 5 3 3 2" xfId="5729"/>
    <cellStyle name="Total 2 2 2 5 3 3 2 2" xfId="12569"/>
    <cellStyle name="Total 2 2 2 5 3 3 3" xfId="9149"/>
    <cellStyle name="Total 2 2 2 5 3 4" xfId="3449"/>
    <cellStyle name="Total 2 2 2 5 3 4 2" xfId="6869"/>
    <cellStyle name="Total 2 2 2 5 3 4 2 2" xfId="13709"/>
    <cellStyle name="Total 2 2 2 5 3 4 3" xfId="10289"/>
    <cellStyle name="Total 2 2 2 5 3 5" xfId="4589"/>
    <cellStyle name="Total 2 2 2 5 3 5 2" xfId="11429"/>
    <cellStyle name="Total 2 2 2 5 3 6" xfId="8009"/>
    <cellStyle name="Total 2 2 2 5 3 7" xfId="61345"/>
    <cellStyle name="Total 2 2 2 5 3 8" xfId="61946"/>
    <cellStyle name="Total 2 2 2 5 4" xfId="18565"/>
    <cellStyle name="Total 2 2 2 5 5" xfId="26883"/>
    <cellStyle name="Total 2 2 2 5 6" xfId="34052"/>
    <cellStyle name="Total 2 2 2 5 7" xfId="59659"/>
    <cellStyle name="Total 2 2 2 5 8" xfId="59660"/>
    <cellStyle name="Total 2 2 2 5 9" xfId="61164"/>
    <cellStyle name="Total 2 2 2 6" xfId="405"/>
    <cellStyle name="Total 2 2 2 6 2" xfId="533"/>
    <cellStyle name="Total 2 2 2 6 2 2" xfId="1537"/>
    <cellStyle name="Total 2 2 2 6 2 2 2" xfId="841"/>
    <cellStyle name="Total 2 2 2 6 2 2 2 2" xfId="2493"/>
    <cellStyle name="Total 2 2 2 6 2 2 2 2 2" xfId="5913"/>
    <cellStyle name="Total 2 2 2 6 2 2 2 2 2 2" xfId="12753"/>
    <cellStyle name="Total 2 2 2 6 2 2 2 2 3" xfId="9333"/>
    <cellStyle name="Total 2 2 2 6 2 2 2 3" xfId="3633"/>
    <cellStyle name="Total 2 2 2 6 2 2 2 3 2" xfId="7053"/>
    <cellStyle name="Total 2 2 2 6 2 2 2 3 2 2" xfId="13893"/>
    <cellStyle name="Total 2 2 2 6 2 2 2 3 3" xfId="10473"/>
    <cellStyle name="Total 2 2 2 6 2 2 2 4" xfId="4773"/>
    <cellStyle name="Total 2 2 2 6 2 2 2 4 2" xfId="11613"/>
    <cellStyle name="Total 2 2 2 6 2 2 2 5" xfId="8193"/>
    <cellStyle name="Total 2 2 2 6 2 2 3" xfId="2358"/>
    <cellStyle name="Total 2 2 2 6 2 2 3 2" xfId="5778"/>
    <cellStyle name="Total 2 2 2 6 2 2 3 2 2" xfId="12618"/>
    <cellStyle name="Total 2 2 2 6 2 2 3 3" xfId="9198"/>
    <cellStyle name="Total 2 2 2 6 2 2 4" xfId="3498"/>
    <cellStyle name="Total 2 2 2 6 2 2 4 2" xfId="6918"/>
    <cellStyle name="Total 2 2 2 6 2 2 4 2 2" xfId="13758"/>
    <cellStyle name="Total 2 2 2 6 2 2 4 3" xfId="10338"/>
    <cellStyle name="Total 2 2 2 6 2 2 5" xfId="4638"/>
    <cellStyle name="Total 2 2 2 6 2 2 5 2" xfId="11478"/>
    <cellStyle name="Total 2 2 2 6 2 2 6" xfId="8058"/>
    <cellStyle name="Total 2 2 2 6 2 2 7" xfId="61384"/>
    <cellStyle name="Total 2 2 2 6 2 2 8" xfId="61974"/>
    <cellStyle name="Total 2 2 2 6 2 3" xfId="38452"/>
    <cellStyle name="Total 2 2 2 6 2 4" xfId="59661"/>
    <cellStyle name="Total 2 2 2 6 2 5" xfId="59662"/>
    <cellStyle name="Total 2 2 2 6 2 6" xfId="59663"/>
    <cellStyle name="Total 2 2 2 6 2 7" xfId="59664"/>
    <cellStyle name="Total 2 2 2 6 2 8" xfId="61213"/>
    <cellStyle name="Total 2 2 2 6 3" xfId="1410"/>
    <cellStyle name="Total 2 2 2 6 3 2" xfId="904"/>
    <cellStyle name="Total 2 2 2 6 3 2 2" xfId="1883"/>
    <cellStyle name="Total 2 2 2 6 3 2 2 2" xfId="5303"/>
    <cellStyle name="Total 2 2 2 6 3 2 2 2 2" xfId="12143"/>
    <cellStyle name="Total 2 2 2 6 3 2 2 3" xfId="8723"/>
    <cellStyle name="Total 2 2 2 6 3 2 3" xfId="3023"/>
    <cellStyle name="Total 2 2 2 6 3 2 3 2" xfId="6443"/>
    <cellStyle name="Total 2 2 2 6 3 2 3 2 2" xfId="13283"/>
    <cellStyle name="Total 2 2 2 6 3 2 3 3" xfId="9863"/>
    <cellStyle name="Total 2 2 2 6 3 2 4" xfId="4163"/>
    <cellStyle name="Total 2 2 2 6 3 2 4 2" xfId="11003"/>
    <cellStyle name="Total 2 2 2 6 3 2 5" xfId="7583"/>
    <cellStyle name="Total 2 2 2 6 3 3" xfId="2231"/>
    <cellStyle name="Total 2 2 2 6 3 3 2" xfId="5651"/>
    <cellStyle name="Total 2 2 2 6 3 3 2 2" xfId="12491"/>
    <cellStyle name="Total 2 2 2 6 3 3 3" xfId="9071"/>
    <cellStyle name="Total 2 2 2 6 3 4" xfId="3371"/>
    <cellStyle name="Total 2 2 2 6 3 4 2" xfId="6791"/>
    <cellStyle name="Total 2 2 2 6 3 4 2 2" xfId="13631"/>
    <cellStyle name="Total 2 2 2 6 3 4 3" xfId="10211"/>
    <cellStyle name="Total 2 2 2 6 3 5" xfId="4511"/>
    <cellStyle name="Total 2 2 2 6 3 5 2" xfId="11351"/>
    <cellStyle name="Total 2 2 2 6 3 6" xfId="7931"/>
    <cellStyle name="Total 2 2 2 6 3 7" xfId="61520"/>
    <cellStyle name="Total 2 2 2 6 3 8" xfId="62071"/>
    <cellStyle name="Total 2 2 2 6 4" xfId="15522"/>
    <cellStyle name="Total 2 2 2 6 5" xfId="23858"/>
    <cellStyle name="Total 2 2 2 6 6" xfId="31205"/>
    <cellStyle name="Total 2 2 2 6 7" xfId="59665"/>
    <cellStyle name="Total 2 2 2 6 8" xfId="59666"/>
    <cellStyle name="Total 2 2 2 6 9" xfId="61086"/>
    <cellStyle name="Total 2 2 2 7" xfId="1112"/>
    <cellStyle name="Total 2 2 2 7 10" xfId="61387"/>
    <cellStyle name="Total 2 2 2 7 11" xfId="61977"/>
    <cellStyle name="Total 2 2 2 7 2" xfId="1825"/>
    <cellStyle name="Total 2 2 2 7 2 2" xfId="2965"/>
    <cellStyle name="Total 2 2 2 7 2 2 2" xfId="6385"/>
    <cellStyle name="Total 2 2 2 7 2 2 2 2" xfId="13225"/>
    <cellStyle name="Total 2 2 2 7 2 2 3" xfId="9805"/>
    <cellStyle name="Total 2 2 2 7 2 3" xfId="4105"/>
    <cellStyle name="Total 2 2 2 7 2 3 2" xfId="7525"/>
    <cellStyle name="Total 2 2 2 7 2 3 2 2" xfId="14365"/>
    <cellStyle name="Total 2 2 2 7 2 3 3" xfId="10945"/>
    <cellStyle name="Total 2 2 2 7 2 4" xfId="5245"/>
    <cellStyle name="Total 2 2 2 7 2 4 2" xfId="12085"/>
    <cellStyle name="Total 2 2 2 7 2 5" xfId="8665"/>
    <cellStyle name="Total 2 2 2 7 3" xfId="1921"/>
    <cellStyle name="Total 2 2 2 7 3 2" xfId="5341"/>
    <cellStyle name="Total 2 2 2 7 3 2 2" xfId="12181"/>
    <cellStyle name="Total 2 2 2 7 3 3" xfId="8761"/>
    <cellStyle name="Total 2 2 2 7 4" xfId="3061"/>
    <cellStyle name="Total 2 2 2 7 4 2" xfId="6481"/>
    <cellStyle name="Total 2 2 2 7 4 2 2" xfId="13321"/>
    <cellStyle name="Total 2 2 2 7 4 3" xfId="9901"/>
    <cellStyle name="Total 2 2 2 7 5" xfId="4201"/>
    <cellStyle name="Total 2 2 2 7 5 2" xfId="11041"/>
    <cellStyle name="Total 2 2 2 7 6" xfId="7621"/>
    <cellStyle name="Total 2 2 2 7 7" xfId="15501"/>
    <cellStyle name="Total 2 2 2 7 8" xfId="23841"/>
    <cellStyle name="Total 2 2 2 7 9" xfId="31190"/>
    <cellStyle name="Total 2 2 2 8" xfId="18615"/>
    <cellStyle name="Total 2 2 2 8 2" xfId="26934"/>
    <cellStyle name="Total 2 2 2 8 2 2" xfId="59667"/>
    <cellStyle name="Total 2 2 2 8 2 3" xfId="59668"/>
    <cellStyle name="Total 2 2 2 8 3" xfId="34102"/>
    <cellStyle name="Total 2 2 2 8 4" xfId="59669"/>
    <cellStyle name="Total 2 2 2 9" xfId="15563"/>
    <cellStyle name="Total 2 2 2 9 2" xfId="23889"/>
    <cellStyle name="Total 2 2 2 9 2 2" xfId="59670"/>
    <cellStyle name="Total 2 2 2 9 2 3" xfId="59671"/>
    <cellStyle name="Total 2 2 2 9 3" xfId="31233"/>
    <cellStyle name="Total 2 2 2 9 4" xfId="59672"/>
    <cellStyle name="Total 2 2 20" xfId="15010"/>
    <cellStyle name="Total 2 2 20 10" xfId="23371"/>
    <cellStyle name="Total 2 2 20 11" xfId="59673"/>
    <cellStyle name="Total 2 2 20 2" xfId="16091"/>
    <cellStyle name="Total 2 2 20 2 2" xfId="24406"/>
    <cellStyle name="Total 2 2 20 2 2 2" xfId="59674"/>
    <cellStyle name="Total 2 2 20 2 2 3" xfId="59675"/>
    <cellStyle name="Total 2 2 20 2 3" xfId="31685"/>
    <cellStyle name="Total 2 2 20 2 4" xfId="59676"/>
    <cellStyle name="Total 2 2 20 3" xfId="17057"/>
    <cellStyle name="Total 2 2 20 3 2" xfId="25378"/>
    <cellStyle name="Total 2 2 20 3 2 2" xfId="59677"/>
    <cellStyle name="Total 2 2 20 3 2 3" xfId="59678"/>
    <cellStyle name="Total 2 2 20 3 3" xfId="32618"/>
    <cellStyle name="Total 2 2 20 3 4" xfId="59679"/>
    <cellStyle name="Total 2 2 20 4" xfId="18084"/>
    <cellStyle name="Total 2 2 20 4 2" xfId="26404"/>
    <cellStyle name="Total 2 2 20 4 2 2" xfId="59680"/>
    <cellStyle name="Total 2 2 20 4 2 3" xfId="59681"/>
    <cellStyle name="Total 2 2 20 4 3" xfId="33595"/>
    <cellStyle name="Total 2 2 20 4 4" xfId="59682"/>
    <cellStyle name="Total 2 2 20 5" xfId="19068"/>
    <cellStyle name="Total 2 2 20 5 2" xfId="27388"/>
    <cellStyle name="Total 2 2 20 5 2 2" xfId="59683"/>
    <cellStyle name="Total 2 2 20 5 2 3" xfId="59684"/>
    <cellStyle name="Total 2 2 20 5 3" xfId="34538"/>
    <cellStyle name="Total 2 2 20 5 4" xfId="59685"/>
    <cellStyle name="Total 2 2 20 6" xfId="20036"/>
    <cellStyle name="Total 2 2 20 6 2" xfId="28358"/>
    <cellStyle name="Total 2 2 20 6 2 2" xfId="59686"/>
    <cellStyle name="Total 2 2 20 6 2 3" xfId="59687"/>
    <cellStyle name="Total 2 2 20 6 3" xfId="35485"/>
    <cellStyle name="Total 2 2 20 6 4" xfId="59688"/>
    <cellStyle name="Total 2 2 20 7" xfId="20994"/>
    <cellStyle name="Total 2 2 20 7 2" xfId="29311"/>
    <cellStyle name="Total 2 2 20 7 2 2" xfId="59689"/>
    <cellStyle name="Total 2 2 20 7 2 3" xfId="59690"/>
    <cellStyle name="Total 2 2 20 7 3" xfId="36393"/>
    <cellStyle name="Total 2 2 20 7 4" xfId="59691"/>
    <cellStyle name="Total 2 2 20 8" xfId="21501"/>
    <cellStyle name="Total 2 2 20 8 2" xfId="29802"/>
    <cellStyle name="Total 2 2 20 8 2 2" xfId="59692"/>
    <cellStyle name="Total 2 2 20 8 2 3" xfId="59693"/>
    <cellStyle name="Total 2 2 20 8 3" xfId="36863"/>
    <cellStyle name="Total 2 2 20 8 4" xfId="59694"/>
    <cellStyle name="Total 2 2 20 9" xfId="22429"/>
    <cellStyle name="Total 2 2 20 9 2" xfId="30725"/>
    <cellStyle name="Total 2 2 20 9 3" xfId="37746"/>
    <cellStyle name="Total 2 2 21" xfId="15080"/>
    <cellStyle name="Total 2 2 21 10" xfId="23439"/>
    <cellStyle name="Total 2 2 21 11" xfId="59695"/>
    <cellStyle name="Total 2 2 21 2" xfId="16160"/>
    <cellStyle name="Total 2 2 21 2 2" xfId="24474"/>
    <cellStyle name="Total 2 2 21 2 2 2" xfId="59696"/>
    <cellStyle name="Total 2 2 21 2 2 3" xfId="59697"/>
    <cellStyle name="Total 2 2 21 2 3" xfId="31751"/>
    <cellStyle name="Total 2 2 21 2 4" xfId="59698"/>
    <cellStyle name="Total 2 2 21 3" xfId="17127"/>
    <cellStyle name="Total 2 2 21 3 2" xfId="25448"/>
    <cellStyle name="Total 2 2 21 3 2 2" xfId="59699"/>
    <cellStyle name="Total 2 2 21 3 2 3" xfId="59700"/>
    <cellStyle name="Total 2 2 21 3 3" xfId="32685"/>
    <cellStyle name="Total 2 2 21 3 4" xfId="59701"/>
    <cellStyle name="Total 2 2 21 4" xfId="18154"/>
    <cellStyle name="Total 2 2 21 4 2" xfId="26474"/>
    <cellStyle name="Total 2 2 21 4 2 2" xfId="59702"/>
    <cellStyle name="Total 2 2 21 4 2 3" xfId="59703"/>
    <cellStyle name="Total 2 2 21 4 3" xfId="33662"/>
    <cellStyle name="Total 2 2 21 4 4" xfId="59704"/>
    <cellStyle name="Total 2 2 21 5" xfId="19138"/>
    <cellStyle name="Total 2 2 21 5 2" xfId="27458"/>
    <cellStyle name="Total 2 2 21 5 2 2" xfId="59705"/>
    <cellStyle name="Total 2 2 21 5 2 3" xfId="59706"/>
    <cellStyle name="Total 2 2 21 5 3" xfId="34606"/>
    <cellStyle name="Total 2 2 21 5 4" xfId="59707"/>
    <cellStyle name="Total 2 2 21 6" xfId="20106"/>
    <cellStyle name="Total 2 2 21 6 2" xfId="28428"/>
    <cellStyle name="Total 2 2 21 6 2 2" xfId="59708"/>
    <cellStyle name="Total 2 2 21 6 2 3" xfId="59709"/>
    <cellStyle name="Total 2 2 21 6 3" xfId="35553"/>
    <cellStyle name="Total 2 2 21 6 4" xfId="59710"/>
    <cellStyle name="Total 2 2 21 7" xfId="21062"/>
    <cellStyle name="Total 2 2 21 7 2" xfId="29379"/>
    <cellStyle name="Total 2 2 21 7 2 2" xfId="59711"/>
    <cellStyle name="Total 2 2 21 7 2 3" xfId="59712"/>
    <cellStyle name="Total 2 2 21 7 3" xfId="36458"/>
    <cellStyle name="Total 2 2 21 7 4" xfId="59713"/>
    <cellStyle name="Total 2 2 21 8" xfId="21569"/>
    <cellStyle name="Total 2 2 21 8 2" xfId="29870"/>
    <cellStyle name="Total 2 2 21 8 2 2" xfId="59714"/>
    <cellStyle name="Total 2 2 21 8 2 3" xfId="59715"/>
    <cellStyle name="Total 2 2 21 8 3" xfId="36929"/>
    <cellStyle name="Total 2 2 21 8 4" xfId="59716"/>
    <cellStyle name="Total 2 2 21 9" xfId="22497"/>
    <cellStyle name="Total 2 2 21 9 2" xfId="30793"/>
    <cellStyle name="Total 2 2 21 9 3" xfId="37812"/>
    <cellStyle name="Total 2 2 22" xfId="15140"/>
    <cellStyle name="Total 2 2 22 10" xfId="59717"/>
    <cellStyle name="Total 2 2 22 2" xfId="16220"/>
    <cellStyle name="Total 2 2 22 2 2" xfId="24533"/>
    <cellStyle name="Total 2 2 22 2 2 2" xfId="59718"/>
    <cellStyle name="Total 2 2 22 2 2 3" xfId="59719"/>
    <cellStyle name="Total 2 2 22 2 3" xfId="31808"/>
    <cellStyle name="Total 2 2 22 2 4" xfId="59720"/>
    <cellStyle name="Total 2 2 22 3" xfId="17186"/>
    <cellStyle name="Total 2 2 22 3 2" xfId="25507"/>
    <cellStyle name="Total 2 2 22 3 2 2" xfId="59721"/>
    <cellStyle name="Total 2 2 22 3 2 3" xfId="59722"/>
    <cellStyle name="Total 2 2 22 3 3" xfId="32741"/>
    <cellStyle name="Total 2 2 22 3 4" xfId="59723"/>
    <cellStyle name="Total 2 2 22 4" xfId="18214"/>
    <cellStyle name="Total 2 2 22 4 2" xfId="26534"/>
    <cellStyle name="Total 2 2 22 4 2 2" xfId="59724"/>
    <cellStyle name="Total 2 2 22 4 2 3" xfId="59725"/>
    <cellStyle name="Total 2 2 22 4 3" xfId="33719"/>
    <cellStyle name="Total 2 2 22 4 4" xfId="59726"/>
    <cellStyle name="Total 2 2 22 5" xfId="19198"/>
    <cellStyle name="Total 2 2 22 5 2" xfId="27518"/>
    <cellStyle name="Total 2 2 22 5 2 2" xfId="59727"/>
    <cellStyle name="Total 2 2 22 5 2 3" xfId="59728"/>
    <cellStyle name="Total 2 2 22 5 3" xfId="34666"/>
    <cellStyle name="Total 2 2 22 5 4" xfId="59729"/>
    <cellStyle name="Total 2 2 22 6" xfId="20166"/>
    <cellStyle name="Total 2 2 22 6 2" xfId="28488"/>
    <cellStyle name="Total 2 2 22 6 2 2" xfId="59730"/>
    <cellStyle name="Total 2 2 22 6 2 3" xfId="59731"/>
    <cellStyle name="Total 2 2 22 6 3" xfId="35611"/>
    <cellStyle name="Total 2 2 22 6 4" xfId="59732"/>
    <cellStyle name="Total 2 2 22 7" xfId="21627"/>
    <cellStyle name="Total 2 2 22 7 2" xfId="29928"/>
    <cellStyle name="Total 2 2 22 7 2 2" xfId="59733"/>
    <cellStyle name="Total 2 2 22 7 2 3" xfId="59734"/>
    <cellStyle name="Total 2 2 22 7 3" xfId="36985"/>
    <cellStyle name="Total 2 2 22 7 4" xfId="59735"/>
    <cellStyle name="Total 2 2 22 8" xfId="22555"/>
    <cellStyle name="Total 2 2 22 8 2" xfId="30851"/>
    <cellStyle name="Total 2 2 22 8 3" xfId="37868"/>
    <cellStyle name="Total 2 2 22 9" xfId="23497"/>
    <cellStyle name="Total 2 2 23" xfId="15160"/>
    <cellStyle name="Total 2 2 23 10" xfId="59736"/>
    <cellStyle name="Total 2 2 23 2" xfId="16240"/>
    <cellStyle name="Total 2 2 23 2 2" xfId="24553"/>
    <cellStyle name="Total 2 2 23 2 2 2" xfId="59737"/>
    <cellStyle name="Total 2 2 23 2 2 3" xfId="59738"/>
    <cellStyle name="Total 2 2 23 2 3" xfId="31826"/>
    <cellStyle name="Total 2 2 23 2 4" xfId="59739"/>
    <cellStyle name="Total 2 2 23 3" xfId="17206"/>
    <cellStyle name="Total 2 2 23 3 2" xfId="25527"/>
    <cellStyle name="Total 2 2 23 3 2 2" xfId="59740"/>
    <cellStyle name="Total 2 2 23 3 2 3" xfId="59741"/>
    <cellStyle name="Total 2 2 23 3 3" xfId="32759"/>
    <cellStyle name="Total 2 2 23 3 4" xfId="59742"/>
    <cellStyle name="Total 2 2 23 4" xfId="18234"/>
    <cellStyle name="Total 2 2 23 4 2" xfId="26554"/>
    <cellStyle name="Total 2 2 23 4 2 2" xfId="59743"/>
    <cellStyle name="Total 2 2 23 4 2 3" xfId="59744"/>
    <cellStyle name="Total 2 2 23 4 3" xfId="33737"/>
    <cellStyle name="Total 2 2 23 4 4" xfId="59745"/>
    <cellStyle name="Total 2 2 23 5" xfId="19218"/>
    <cellStyle name="Total 2 2 23 5 2" xfId="27538"/>
    <cellStyle name="Total 2 2 23 5 2 2" xfId="59746"/>
    <cellStyle name="Total 2 2 23 5 2 3" xfId="59747"/>
    <cellStyle name="Total 2 2 23 5 3" xfId="34686"/>
    <cellStyle name="Total 2 2 23 5 4" xfId="59748"/>
    <cellStyle name="Total 2 2 23 6" xfId="20186"/>
    <cellStyle name="Total 2 2 23 6 2" xfId="28508"/>
    <cellStyle name="Total 2 2 23 6 2 2" xfId="59749"/>
    <cellStyle name="Total 2 2 23 6 2 3" xfId="59750"/>
    <cellStyle name="Total 2 2 23 6 3" xfId="35629"/>
    <cellStyle name="Total 2 2 23 6 4" xfId="59751"/>
    <cellStyle name="Total 2 2 23 7" xfId="21647"/>
    <cellStyle name="Total 2 2 23 7 2" xfId="29948"/>
    <cellStyle name="Total 2 2 23 7 2 2" xfId="59752"/>
    <cellStyle name="Total 2 2 23 7 2 3" xfId="59753"/>
    <cellStyle name="Total 2 2 23 7 3" xfId="37003"/>
    <cellStyle name="Total 2 2 23 7 4" xfId="59754"/>
    <cellStyle name="Total 2 2 23 8" xfId="22575"/>
    <cellStyle name="Total 2 2 23 8 2" xfId="30871"/>
    <cellStyle name="Total 2 2 23 8 3" xfId="37886"/>
    <cellStyle name="Total 2 2 23 9" xfId="23517"/>
    <cellStyle name="Total 2 2 24" xfId="15182"/>
    <cellStyle name="Total 2 2 24 10" xfId="59755"/>
    <cellStyle name="Total 2 2 24 2" xfId="16262"/>
    <cellStyle name="Total 2 2 24 2 2" xfId="24575"/>
    <cellStyle name="Total 2 2 24 2 2 2" xfId="59756"/>
    <cellStyle name="Total 2 2 24 2 2 3" xfId="59757"/>
    <cellStyle name="Total 2 2 24 2 3" xfId="31847"/>
    <cellStyle name="Total 2 2 24 2 4" xfId="59758"/>
    <cellStyle name="Total 2 2 24 3" xfId="17228"/>
    <cellStyle name="Total 2 2 24 3 2" xfId="25549"/>
    <cellStyle name="Total 2 2 24 3 2 2" xfId="59759"/>
    <cellStyle name="Total 2 2 24 3 2 3" xfId="59760"/>
    <cellStyle name="Total 2 2 24 3 3" xfId="32780"/>
    <cellStyle name="Total 2 2 24 3 4" xfId="59761"/>
    <cellStyle name="Total 2 2 24 4" xfId="18256"/>
    <cellStyle name="Total 2 2 24 4 2" xfId="26576"/>
    <cellStyle name="Total 2 2 24 4 2 2" xfId="59762"/>
    <cellStyle name="Total 2 2 24 4 2 3" xfId="59763"/>
    <cellStyle name="Total 2 2 24 4 3" xfId="33758"/>
    <cellStyle name="Total 2 2 24 4 4" xfId="59764"/>
    <cellStyle name="Total 2 2 24 5" xfId="19240"/>
    <cellStyle name="Total 2 2 24 5 2" xfId="27560"/>
    <cellStyle name="Total 2 2 24 5 2 2" xfId="59765"/>
    <cellStyle name="Total 2 2 24 5 2 3" xfId="59766"/>
    <cellStyle name="Total 2 2 24 5 3" xfId="34708"/>
    <cellStyle name="Total 2 2 24 5 4" xfId="59767"/>
    <cellStyle name="Total 2 2 24 6" xfId="20208"/>
    <cellStyle name="Total 2 2 24 6 2" xfId="28530"/>
    <cellStyle name="Total 2 2 24 6 2 2" xfId="59768"/>
    <cellStyle name="Total 2 2 24 6 2 3" xfId="59769"/>
    <cellStyle name="Total 2 2 24 6 3" xfId="35650"/>
    <cellStyle name="Total 2 2 24 6 4" xfId="59770"/>
    <cellStyle name="Total 2 2 24 7" xfId="21669"/>
    <cellStyle name="Total 2 2 24 7 2" xfId="29970"/>
    <cellStyle name="Total 2 2 24 7 2 2" xfId="59771"/>
    <cellStyle name="Total 2 2 24 7 2 3" xfId="59772"/>
    <cellStyle name="Total 2 2 24 7 3" xfId="37024"/>
    <cellStyle name="Total 2 2 24 7 4" xfId="59773"/>
    <cellStyle name="Total 2 2 24 8" xfId="22597"/>
    <cellStyle name="Total 2 2 24 8 2" xfId="30893"/>
    <cellStyle name="Total 2 2 24 8 3" xfId="37907"/>
    <cellStyle name="Total 2 2 24 9" xfId="23539"/>
    <cellStyle name="Total 2 2 25" xfId="15151"/>
    <cellStyle name="Total 2 2 25 10" xfId="59774"/>
    <cellStyle name="Total 2 2 25 2" xfId="16231"/>
    <cellStyle name="Total 2 2 25 2 2" xfId="24544"/>
    <cellStyle name="Total 2 2 25 2 2 2" xfId="59775"/>
    <cellStyle name="Total 2 2 25 2 2 3" xfId="59776"/>
    <cellStyle name="Total 2 2 25 2 3" xfId="31818"/>
    <cellStyle name="Total 2 2 25 2 4" xfId="59777"/>
    <cellStyle name="Total 2 2 25 3" xfId="17197"/>
    <cellStyle name="Total 2 2 25 3 2" xfId="25518"/>
    <cellStyle name="Total 2 2 25 3 2 2" xfId="59778"/>
    <cellStyle name="Total 2 2 25 3 2 3" xfId="59779"/>
    <cellStyle name="Total 2 2 25 3 3" xfId="32751"/>
    <cellStyle name="Total 2 2 25 3 4" xfId="59780"/>
    <cellStyle name="Total 2 2 25 4" xfId="18225"/>
    <cellStyle name="Total 2 2 25 4 2" xfId="26545"/>
    <cellStyle name="Total 2 2 25 4 2 2" xfId="59781"/>
    <cellStyle name="Total 2 2 25 4 2 3" xfId="59782"/>
    <cellStyle name="Total 2 2 25 4 3" xfId="33729"/>
    <cellStyle name="Total 2 2 25 4 4" xfId="59783"/>
    <cellStyle name="Total 2 2 25 5" xfId="19209"/>
    <cellStyle name="Total 2 2 25 5 2" xfId="27529"/>
    <cellStyle name="Total 2 2 25 5 2 2" xfId="59784"/>
    <cellStyle name="Total 2 2 25 5 2 3" xfId="59785"/>
    <cellStyle name="Total 2 2 25 5 3" xfId="34677"/>
    <cellStyle name="Total 2 2 25 5 4" xfId="59786"/>
    <cellStyle name="Total 2 2 25 6" xfId="20177"/>
    <cellStyle name="Total 2 2 25 6 2" xfId="28499"/>
    <cellStyle name="Total 2 2 25 6 2 2" xfId="59787"/>
    <cellStyle name="Total 2 2 25 6 2 3" xfId="59788"/>
    <cellStyle name="Total 2 2 25 6 3" xfId="35621"/>
    <cellStyle name="Total 2 2 25 6 4" xfId="59789"/>
    <cellStyle name="Total 2 2 25 7" xfId="21638"/>
    <cellStyle name="Total 2 2 25 7 2" xfId="29939"/>
    <cellStyle name="Total 2 2 25 7 2 2" xfId="59790"/>
    <cellStyle name="Total 2 2 25 7 2 3" xfId="59791"/>
    <cellStyle name="Total 2 2 25 7 3" xfId="36995"/>
    <cellStyle name="Total 2 2 25 7 4" xfId="59792"/>
    <cellStyle name="Total 2 2 25 8" xfId="22566"/>
    <cellStyle name="Total 2 2 25 8 2" xfId="30862"/>
    <cellStyle name="Total 2 2 25 8 3" xfId="37878"/>
    <cellStyle name="Total 2 2 25 9" xfId="23508"/>
    <cellStyle name="Total 2 2 26" xfId="15198"/>
    <cellStyle name="Total 2 2 26 10" xfId="59793"/>
    <cellStyle name="Total 2 2 26 2" xfId="16278"/>
    <cellStyle name="Total 2 2 26 2 2" xfId="24591"/>
    <cellStyle name="Total 2 2 26 2 2 2" xfId="59794"/>
    <cellStyle name="Total 2 2 26 2 2 3" xfId="59795"/>
    <cellStyle name="Total 2 2 26 2 3" xfId="31861"/>
    <cellStyle name="Total 2 2 26 2 4" xfId="59796"/>
    <cellStyle name="Total 2 2 26 3" xfId="17244"/>
    <cellStyle name="Total 2 2 26 3 2" xfId="25565"/>
    <cellStyle name="Total 2 2 26 3 2 2" xfId="59797"/>
    <cellStyle name="Total 2 2 26 3 2 3" xfId="59798"/>
    <cellStyle name="Total 2 2 26 3 3" xfId="32794"/>
    <cellStyle name="Total 2 2 26 3 4" xfId="59799"/>
    <cellStyle name="Total 2 2 26 4" xfId="18272"/>
    <cellStyle name="Total 2 2 26 4 2" xfId="26592"/>
    <cellStyle name="Total 2 2 26 4 2 2" xfId="59800"/>
    <cellStyle name="Total 2 2 26 4 2 3" xfId="59801"/>
    <cellStyle name="Total 2 2 26 4 3" xfId="33772"/>
    <cellStyle name="Total 2 2 26 4 4" xfId="59802"/>
    <cellStyle name="Total 2 2 26 5" xfId="19256"/>
    <cellStyle name="Total 2 2 26 5 2" xfId="27576"/>
    <cellStyle name="Total 2 2 26 5 2 2" xfId="59803"/>
    <cellStyle name="Total 2 2 26 5 2 3" xfId="59804"/>
    <cellStyle name="Total 2 2 26 5 3" xfId="34724"/>
    <cellStyle name="Total 2 2 26 5 4" xfId="59805"/>
    <cellStyle name="Total 2 2 26 6" xfId="20224"/>
    <cellStyle name="Total 2 2 26 6 2" xfId="28546"/>
    <cellStyle name="Total 2 2 26 6 2 2" xfId="59806"/>
    <cellStyle name="Total 2 2 26 6 2 3" xfId="59807"/>
    <cellStyle name="Total 2 2 26 6 3" xfId="35664"/>
    <cellStyle name="Total 2 2 26 6 4" xfId="59808"/>
    <cellStyle name="Total 2 2 26 7" xfId="21685"/>
    <cellStyle name="Total 2 2 26 7 2" xfId="29986"/>
    <cellStyle name="Total 2 2 26 7 2 2" xfId="59809"/>
    <cellStyle name="Total 2 2 26 7 2 3" xfId="59810"/>
    <cellStyle name="Total 2 2 26 7 3" xfId="37038"/>
    <cellStyle name="Total 2 2 26 7 4" xfId="59811"/>
    <cellStyle name="Total 2 2 26 8" xfId="22613"/>
    <cellStyle name="Total 2 2 26 8 2" xfId="30909"/>
    <cellStyle name="Total 2 2 26 8 3" xfId="37921"/>
    <cellStyle name="Total 2 2 26 9" xfId="23555"/>
    <cellStyle name="Total 2 2 27" xfId="15263"/>
    <cellStyle name="Total 2 2 27 10" xfId="59812"/>
    <cellStyle name="Total 2 2 27 2" xfId="16343"/>
    <cellStyle name="Total 2 2 27 2 2" xfId="24656"/>
    <cellStyle name="Total 2 2 27 2 2 2" xfId="59813"/>
    <cellStyle name="Total 2 2 27 2 2 3" xfId="59814"/>
    <cellStyle name="Total 2 2 27 2 3" xfId="31923"/>
    <cellStyle name="Total 2 2 27 2 4" xfId="59815"/>
    <cellStyle name="Total 2 2 27 3" xfId="17309"/>
    <cellStyle name="Total 2 2 27 3 2" xfId="25630"/>
    <cellStyle name="Total 2 2 27 3 2 2" xfId="59816"/>
    <cellStyle name="Total 2 2 27 3 2 3" xfId="59817"/>
    <cellStyle name="Total 2 2 27 3 3" xfId="32856"/>
    <cellStyle name="Total 2 2 27 3 4" xfId="59818"/>
    <cellStyle name="Total 2 2 27 4" xfId="18337"/>
    <cellStyle name="Total 2 2 27 4 2" xfId="26657"/>
    <cellStyle name="Total 2 2 27 4 2 2" xfId="59819"/>
    <cellStyle name="Total 2 2 27 4 2 3" xfId="59820"/>
    <cellStyle name="Total 2 2 27 4 3" xfId="33834"/>
    <cellStyle name="Total 2 2 27 4 4" xfId="59821"/>
    <cellStyle name="Total 2 2 27 5" xfId="19321"/>
    <cellStyle name="Total 2 2 27 5 2" xfId="27641"/>
    <cellStyle name="Total 2 2 27 5 2 2" xfId="59822"/>
    <cellStyle name="Total 2 2 27 5 2 3" xfId="59823"/>
    <cellStyle name="Total 2 2 27 5 3" xfId="34789"/>
    <cellStyle name="Total 2 2 27 5 4" xfId="59824"/>
    <cellStyle name="Total 2 2 27 6" xfId="20289"/>
    <cellStyle name="Total 2 2 27 6 2" xfId="28611"/>
    <cellStyle name="Total 2 2 27 6 2 2" xfId="59825"/>
    <cellStyle name="Total 2 2 27 6 2 3" xfId="59826"/>
    <cellStyle name="Total 2 2 27 6 3" xfId="35726"/>
    <cellStyle name="Total 2 2 27 6 4" xfId="59827"/>
    <cellStyle name="Total 2 2 27 7" xfId="21750"/>
    <cellStyle name="Total 2 2 27 7 2" xfId="30051"/>
    <cellStyle name="Total 2 2 27 7 2 2" xfId="59828"/>
    <cellStyle name="Total 2 2 27 7 2 3" xfId="59829"/>
    <cellStyle name="Total 2 2 27 7 3" xfId="37100"/>
    <cellStyle name="Total 2 2 27 7 4" xfId="59830"/>
    <cellStyle name="Total 2 2 27 8" xfId="22678"/>
    <cellStyle name="Total 2 2 27 8 2" xfId="30974"/>
    <cellStyle name="Total 2 2 27 8 3" xfId="37983"/>
    <cellStyle name="Total 2 2 27 9" xfId="23620"/>
    <cellStyle name="Total 2 2 28" xfId="15258"/>
    <cellStyle name="Total 2 2 28 10" xfId="59831"/>
    <cellStyle name="Total 2 2 28 2" xfId="16338"/>
    <cellStyle name="Total 2 2 28 2 2" xfId="24651"/>
    <cellStyle name="Total 2 2 28 2 2 2" xfId="59832"/>
    <cellStyle name="Total 2 2 28 2 2 3" xfId="59833"/>
    <cellStyle name="Total 2 2 28 2 3" xfId="31918"/>
    <cellStyle name="Total 2 2 28 2 4" xfId="59834"/>
    <cellStyle name="Total 2 2 28 3" xfId="17304"/>
    <cellStyle name="Total 2 2 28 3 2" xfId="25625"/>
    <cellStyle name="Total 2 2 28 3 2 2" xfId="59835"/>
    <cellStyle name="Total 2 2 28 3 2 3" xfId="59836"/>
    <cellStyle name="Total 2 2 28 3 3" xfId="32851"/>
    <cellStyle name="Total 2 2 28 3 4" xfId="59837"/>
    <cellStyle name="Total 2 2 28 4" xfId="18332"/>
    <cellStyle name="Total 2 2 28 4 2" xfId="26652"/>
    <cellStyle name="Total 2 2 28 4 2 2" xfId="59838"/>
    <cellStyle name="Total 2 2 28 4 2 3" xfId="59839"/>
    <cellStyle name="Total 2 2 28 4 3" xfId="33829"/>
    <cellStyle name="Total 2 2 28 4 4" xfId="59840"/>
    <cellStyle name="Total 2 2 28 5" xfId="19316"/>
    <cellStyle name="Total 2 2 28 5 2" xfId="27636"/>
    <cellStyle name="Total 2 2 28 5 2 2" xfId="59841"/>
    <cellStyle name="Total 2 2 28 5 2 3" xfId="59842"/>
    <cellStyle name="Total 2 2 28 5 3" xfId="34784"/>
    <cellStyle name="Total 2 2 28 5 4" xfId="59843"/>
    <cellStyle name="Total 2 2 28 6" xfId="20284"/>
    <cellStyle name="Total 2 2 28 6 2" xfId="28606"/>
    <cellStyle name="Total 2 2 28 6 2 2" xfId="59844"/>
    <cellStyle name="Total 2 2 28 6 2 3" xfId="59845"/>
    <cellStyle name="Total 2 2 28 6 3" xfId="35721"/>
    <cellStyle name="Total 2 2 28 6 4" xfId="59846"/>
    <cellStyle name="Total 2 2 28 7" xfId="21745"/>
    <cellStyle name="Total 2 2 28 7 2" xfId="30046"/>
    <cellStyle name="Total 2 2 28 7 2 2" xfId="59847"/>
    <cellStyle name="Total 2 2 28 7 2 3" xfId="59848"/>
    <cellStyle name="Total 2 2 28 7 3" xfId="37095"/>
    <cellStyle name="Total 2 2 28 7 4" xfId="59849"/>
    <cellStyle name="Total 2 2 28 8" xfId="22673"/>
    <cellStyle name="Total 2 2 28 8 2" xfId="30969"/>
    <cellStyle name="Total 2 2 28 8 3" xfId="37978"/>
    <cellStyle name="Total 2 2 28 9" xfId="23615"/>
    <cellStyle name="Total 2 2 29" xfId="15298"/>
    <cellStyle name="Total 2 2 29 10" xfId="59850"/>
    <cellStyle name="Total 2 2 29 2" xfId="16378"/>
    <cellStyle name="Total 2 2 29 2 2" xfId="24691"/>
    <cellStyle name="Total 2 2 29 2 2 2" xfId="59851"/>
    <cellStyle name="Total 2 2 29 2 2 3" xfId="59852"/>
    <cellStyle name="Total 2 2 29 2 3" xfId="31957"/>
    <cellStyle name="Total 2 2 29 2 4" xfId="59853"/>
    <cellStyle name="Total 2 2 29 3" xfId="17344"/>
    <cellStyle name="Total 2 2 29 3 2" xfId="25665"/>
    <cellStyle name="Total 2 2 29 3 2 2" xfId="59854"/>
    <cellStyle name="Total 2 2 29 3 2 3" xfId="59855"/>
    <cellStyle name="Total 2 2 29 3 3" xfId="32890"/>
    <cellStyle name="Total 2 2 29 3 4" xfId="59856"/>
    <cellStyle name="Total 2 2 29 4" xfId="18372"/>
    <cellStyle name="Total 2 2 29 4 2" xfId="26692"/>
    <cellStyle name="Total 2 2 29 4 2 2" xfId="59857"/>
    <cellStyle name="Total 2 2 29 4 2 3" xfId="59858"/>
    <cellStyle name="Total 2 2 29 4 3" xfId="33868"/>
    <cellStyle name="Total 2 2 29 4 4" xfId="59859"/>
    <cellStyle name="Total 2 2 29 5" xfId="19355"/>
    <cellStyle name="Total 2 2 29 5 2" xfId="27676"/>
    <cellStyle name="Total 2 2 29 5 2 2" xfId="59860"/>
    <cellStyle name="Total 2 2 29 5 2 3" xfId="59861"/>
    <cellStyle name="Total 2 2 29 5 3" xfId="34824"/>
    <cellStyle name="Total 2 2 29 5 4" xfId="59862"/>
    <cellStyle name="Total 2 2 29 6" xfId="20324"/>
    <cellStyle name="Total 2 2 29 6 2" xfId="28646"/>
    <cellStyle name="Total 2 2 29 6 2 2" xfId="59863"/>
    <cellStyle name="Total 2 2 29 6 2 3" xfId="59864"/>
    <cellStyle name="Total 2 2 29 6 3" xfId="35760"/>
    <cellStyle name="Total 2 2 29 6 4" xfId="59865"/>
    <cellStyle name="Total 2 2 29 7" xfId="21785"/>
    <cellStyle name="Total 2 2 29 7 2" xfId="30086"/>
    <cellStyle name="Total 2 2 29 7 2 2" xfId="59866"/>
    <cellStyle name="Total 2 2 29 7 2 3" xfId="59867"/>
    <cellStyle name="Total 2 2 29 7 3" xfId="37134"/>
    <cellStyle name="Total 2 2 29 7 4" xfId="59868"/>
    <cellStyle name="Total 2 2 29 8" xfId="22713"/>
    <cellStyle name="Total 2 2 29 8 2" xfId="31009"/>
    <cellStyle name="Total 2 2 29 8 3" xfId="38017"/>
    <cellStyle name="Total 2 2 29 9" xfId="23655"/>
    <cellStyle name="Total 2 2 3" xfId="117"/>
    <cellStyle name="Total 2 2 3 10" xfId="14431"/>
    <cellStyle name="Total 2 2 3 10 2" xfId="59869"/>
    <cellStyle name="Total 2 2 3 10 3" xfId="59870"/>
    <cellStyle name="Total 2 2 3 11" xfId="59871"/>
    <cellStyle name="Total 2 2 3 12" xfId="59872"/>
    <cellStyle name="Total 2 2 3 13" xfId="59873"/>
    <cellStyle name="Total 2 2 3 14" xfId="59874"/>
    <cellStyle name="Total 2 2 3 15" xfId="59875"/>
    <cellStyle name="Total 2 2 3 16" xfId="60809"/>
    <cellStyle name="Total 2 2 3 2" xfId="249"/>
    <cellStyle name="Total 2 2 3 2 2" xfId="660"/>
    <cellStyle name="Total 2 2 3 2 2 2" xfId="1611"/>
    <cellStyle name="Total 2 2 3 2 2 2 2" xfId="796"/>
    <cellStyle name="Total 2 2 3 2 2 2 2 2" xfId="2715"/>
    <cellStyle name="Total 2 2 3 2 2 2 2 2 2" xfId="6135"/>
    <cellStyle name="Total 2 2 3 2 2 2 2 2 2 2" xfId="12975"/>
    <cellStyle name="Total 2 2 3 2 2 2 2 2 3" xfId="9555"/>
    <cellStyle name="Total 2 2 3 2 2 2 2 3" xfId="3855"/>
    <cellStyle name="Total 2 2 3 2 2 2 2 3 2" xfId="7275"/>
    <cellStyle name="Total 2 2 3 2 2 2 2 3 2 2" xfId="14115"/>
    <cellStyle name="Total 2 2 3 2 2 2 2 3 3" xfId="10695"/>
    <cellStyle name="Total 2 2 3 2 2 2 2 4" xfId="4995"/>
    <cellStyle name="Total 2 2 3 2 2 2 2 4 2" xfId="11835"/>
    <cellStyle name="Total 2 2 3 2 2 2 2 5" xfId="8415"/>
    <cellStyle name="Total 2 2 3 2 2 2 3" xfId="2445"/>
    <cellStyle name="Total 2 2 3 2 2 2 3 2" xfId="5865"/>
    <cellStyle name="Total 2 2 3 2 2 2 3 2 2" xfId="12705"/>
    <cellStyle name="Total 2 2 3 2 2 2 3 3" xfId="9285"/>
    <cellStyle name="Total 2 2 3 2 2 2 4" xfId="3585"/>
    <cellStyle name="Total 2 2 3 2 2 2 4 2" xfId="7005"/>
    <cellStyle name="Total 2 2 3 2 2 2 4 2 2" xfId="13845"/>
    <cellStyle name="Total 2 2 3 2 2 2 4 3" xfId="10425"/>
    <cellStyle name="Total 2 2 3 2 2 2 5" xfId="4725"/>
    <cellStyle name="Total 2 2 3 2 2 2 5 2" xfId="11565"/>
    <cellStyle name="Total 2 2 3 2 2 2 6" xfId="8145"/>
    <cellStyle name="Total 2 2 3 2 2 2 7" xfId="61519"/>
    <cellStyle name="Total 2 2 3 2 2 2 8" xfId="62070"/>
    <cellStyle name="Total 2 2 3 2 2 3" xfId="38504"/>
    <cellStyle name="Total 2 2 3 2 2 4" xfId="59876"/>
    <cellStyle name="Total 2 2 3 2 2 5" xfId="59877"/>
    <cellStyle name="Total 2 2 3 2 2 6" xfId="59878"/>
    <cellStyle name="Total 2 2 3 2 2 7" xfId="59879"/>
    <cellStyle name="Total 2 2 3 2 2 8" xfId="61316"/>
    <cellStyle name="Total 2 2 3 2 3" xfId="1256"/>
    <cellStyle name="Total 2 2 3 2 3 2" xfId="1758"/>
    <cellStyle name="Total 2 2 3 2 3 2 2" xfId="2898"/>
    <cellStyle name="Total 2 2 3 2 3 2 2 2" xfId="6318"/>
    <cellStyle name="Total 2 2 3 2 3 2 2 2 2" xfId="13158"/>
    <cellStyle name="Total 2 2 3 2 3 2 2 3" xfId="9738"/>
    <cellStyle name="Total 2 2 3 2 3 2 3" xfId="4038"/>
    <cellStyle name="Total 2 2 3 2 3 2 3 2" xfId="7458"/>
    <cellStyle name="Total 2 2 3 2 3 2 3 2 2" xfId="14298"/>
    <cellStyle name="Total 2 2 3 2 3 2 3 3" xfId="10878"/>
    <cellStyle name="Total 2 2 3 2 3 2 4" xfId="5178"/>
    <cellStyle name="Total 2 2 3 2 3 2 4 2" xfId="12018"/>
    <cellStyle name="Total 2 2 3 2 3 2 5" xfId="8598"/>
    <cellStyle name="Total 2 2 3 2 3 3" xfId="2076"/>
    <cellStyle name="Total 2 2 3 2 3 3 2" xfId="5496"/>
    <cellStyle name="Total 2 2 3 2 3 3 2 2" xfId="12336"/>
    <cellStyle name="Total 2 2 3 2 3 3 3" xfId="8916"/>
    <cellStyle name="Total 2 2 3 2 3 4" xfId="3216"/>
    <cellStyle name="Total 2 2 3 2 3 4 2" xfId="6636"/>
    <cellStyle name="Total 2 2 3 2 3 4 2 2" xfId="13476"/>
    <cellStyle name="Total 2 2 3 2 3 4 3" xfId="10056"/>
    <cellStyle name="Total 2 2 3 2 3 5" xfId="4356"/>
    <cellStyle name="Total 2 2 3 2 3 5 2" xfId="11196"/>
    <cellStyle name="Total 2 2 3 2 3 6" xfId="7776"/>
    <cellStyle name="Total 2 2 3 2 3 7" xfId="61420"/>
    <cellStyle name="Total 2 2 3 2 3 8" xfId="61999"/>
    <cellStyle name="Total 2 2 3 2 4" xfId="15597"/>
    <cellStyle name="Total 2 2 3 2 5" xfId="23911"/>
    <cellStyle name="Total 2 2 3 2 6" xfId="38270"/>
    <cellStyle name="Total 2 2 3 2 7" xfId="59880"/>
    <cellStyle name="Total 2 2 3 2 8" xfId="60932"/>
    <cellStyle name="Total 2 2 3 3" xfId="572"/>
    <cellStyle name="Total 2 2 3 3 2" xfId="1559"/>
    <cellStyle name="Total 2 2 3 3 2 2" xfId="1675"/>
    <cellStyle name="Total 2 2 3 3 2 2 2" xfId="2815"/>
    <cellStyle name="Total 2 2 3 3 2 2 2 2" xfId="6235"/>
    <cellStyle name="Total 2 2 3 3 2 2 2 2 2" xfId="13075"/>
    <cellStyle name="Total 2 2 3 3 2 2 2 3" xfId="9655"/>
    <cellStyle name="Total 2 2 3 3 2 2 3" xfId="3955"/>
    <cellStyle name="Total 2 2 3 3 2 2 3 2" xfId="7375"/>
    <cellStyle name="Total 2 2 3 3 2 2 3 2 2" xfId="14215"/>
    <cellStyle name="Total 2 2 3 3 2 2 3 3" xfId="10795"/>
    <cellStyle name="Total 2 2 3 3 2 2 4" xfId="5095"/>
    <cellStyle name="Total 2 2 3 3 2 2 4 2" xfId="11935"/>
    <cellStyle name="Total 2 2 3 3 2 2 5" xfId="8515"/>
    <cellStyle name="Total 2 2 3 3 2 3" xfId="2384"/>
    <cellStyle name="Total 2 2 3 3 2 3 2" xfId="5804"/>
    <cellStyle name="Total 2 2 3 3 2 3 2 2" xfId="12644"/>
    <cellStyle name="Total 2 2 3 3 2 3 3" xfId="9224"/>
    <cellStyle name="Total 2 2 3 3 2 4" xfId="3524"/>
    <cellStyle name="Total 2 2 3 3 2 4 2" xfId="6944"/>
    <cellStyle name="Total 2 2 3 3 2 4 2 2" xfId="13784"/>
    <cellStyle name="Total 2 2 3 3 2 4 3" xfId="10364"/>
    <cellStyle name="Total 2 2 3 3 2 5" xfId="4664"/>
    <cellStyle name="Total 2 2 3 3 2 5 2" xfId="11504"/>
    <cellStyle name="Total 2 2 3 3 2 6" xfId="8084"/>
    <cellStyle name="Total 2 2 3 3 2 7" xfId="61383"/>
    <cellStyle name="Total 2 2 3 3 2 8" xfId="61973"/>
    <cellStyle name="Total 2 2 3 3 3" xfId="16567"/>
    <cellStyle name="Total 2 2 3 3 4" xfId="24882"/>
    <cellStyle name="Total 2 2 3 3 5" xfId="32142"/>
    <cellStyle name="Total 2 2 3 3 6" xfId="59881"/>
    <cellStyle name="Total 2 2 3 3 7" xfId="59882"/>
    <cellStyle name="Total 2 2 3 3 8" xfId="59883"/>
    <cellStyle name="Total 2 2 3 3 9" xfId="61317"/>
    <cellStyle name="Total 2 2 3 4" xfId="1133"/>
    <cellStyle name="Total 2 2 3 4 10" xfId="61344"/>
    <cellStyle name="Total 2 2 3 4 11" xfId="61945"/>
    <cellStyle name="Total 2 2 3 4 2" xfId="1670"/>
    <cellStyle name="Total 2 2 3 4 2 2" xfId="2810"/>
    <cellStyle name="Total 2 2 3 4 2 2 2" xfId="6230"/>
    <cellStyle name="Total 2 2 3 4 2 2 2 2" xfId="13070"/>
    <cellStyle name="Total 2 2 3 4 2 2 3" xfId="9650"/>
    <cellStyle name="Total 2 2 3 4 2 3" xfId="3950"/>
    <cellStyle name="Total 2 2 3 4 2 3 2" xfId="7370"/>
    <cellStyle name="Total 2 2 3 4 2 3 2 2" xfId="14210"/>
    <cellStyle name="Total 2 2 3 4 2 3 3" xfId="10790"/>
    <cellStyle name="Total 2 2 3 4 2 4" xfId="5090"/>
    <cellStyle name="Total 2 2 3 4 2 4 2" xfId="11930"/>
    <cellStyle name="Total 2 2 3 4 2 5" xfId="8510"/>
    <cellStyle name="Total 2 2 3 4 3" xfId="1947"/>
    <cellStyle name="Total 2 2 3 4 3 2" xfId="5367"/>
    <cellStyle name="Total 2 2 3 4 3 2 2" xfId="12207"/>
    <cellStyle name="Total 2 2 3 4 3 3" xfId="8787"/>
    <cellStyle name="Total 2 2 3 4 4" xfId="3087"/>
    <cellStyle name="Total 2 2 3 4 4 2" xfId="6507"/>
    <cellStyle name="Total 2 2 3 4 4 2 2" xfId="13347"/>
    <cellStyle name="Total 2 2 3 4 4 3" xfId="9927"/>
    <cellStyle name="Total 2 2 3 4 5" xfId="4227"/>
    <cellStyle name="Total 2 2 3 4 5 2" xfId="11067"/>
    <cellStyle name="Total 2 2 3 4 6" xfId="7647"/>
    <cellStyle name="Total 2 2 3 4 7" xfId="17585"/>
    <cellStyle name="Total 2 2 3 4 8" xfId="25906"/>
    <cellStyle name="Total 2 2 3 4 9" xfId="33119"/>
    <cellStyle name="Total 2 2 3 5" xfId="18566"/>
    <cellStyle name="Total 2 2 3 5 2" xfId="26884"/>
    <cellStyle name="Total 2 2 3 5 2 2" xfId="59884"/>
    <cellStyle name="Total 2 2 3 5 2 3" xfId="59885"/>
    <cellStyle name="Total 2 2 3 5 3" xfId="34053"/>
    <cellStyle name="Total 2 2 3 5 4" xfId="59886"/>
    <cellStyle name="Total 2 2 3 6" xfId="15525"/>
    <cellStyle name="Total 2 2 3 6 2" xfId="23861"/>
    <cellStyle name="Total 2 2 3 6 2 2" xfId="59887"/>
    <cellStyle name="Total 2 2 3 6 2 3" xfId="59888"/>
    <cellStyle name="Total 2 2 3 6 3" xfId="31208"/>
    <cellStyle name="Total 2 2 3 6 4" xfId="59889"/>
    <cellStyle name="Total 2 2 3 7" xfId="19142"/>
    <cellStyle name="Total 2 2 3 7 2" xfId="27462"/>
    <cellStyle name="Total 2 2 3 7 2 2" xfId="59890"/>
    <cellStyle name="Total 2 2 3 7 2 3" xfId="59891"/>
    <cellStyle name="Total 2 2 3 7 3" xfId="34610"/>
    <cellStyle name="Total 2 2 3 7 4" xfId="59892"/>
    <cellStyle name="Total 2 2 3 8" xfId="19012"/>
    <cellStyle name="Total 2 2 3 8 2" xfId="27332"/>
    <cellStyle name="Total 2 2 3 8 2 2" xfId="59893"/>
    <cellStyle name="Total 2 2 3 8 2 3" xfId="59894"/>
    <cellStyle name="Total 2 2 3 8 3" xfId="34483"/>
    <cellStyle name="Total 2 2 3 8 4" xfId="59895"/>
    <cellStyle name="Total 2 2 3 9" xfId="21952"/>
    <cellStyle name="Total 2 2 3 9 2" xfId="30253"/>
    <cellStyle name="Total 2 2 3 9 2 2" xfId="59896"/>
    <cellStyle name="Total 2 2 3 9 2 3" xfId="59897"/>
    <cellStyle name="Total 2 2 3 9 3" xfId="37294"/>
    <cellStyle name="Total 2 2 3 9 4" xfId="59898"/>
    <cellStyle name="Total 2 2 30" xfId="15225"/>
    <cellStyle name="Total 2 2 30 10" xfId="59899"/>
    <cellStyle name="Total 2 2 30 2" xfId="16305"/>
    <cellStyle name="Total 2 2 30 2 2" xfId="24618"/>
    <cellStyle name="Total 2 2 30 2 2 2" xfId="59900"/>
    <cellStyle name="Total 2 2 30 2 2 3" xfId="59901"/>
    <cellStyle name="Total 2 2 30 2 3" xfId="31886"/>
    <cellStyle name="Total 2 2 30 2 4" xfId="59902"/>
    <cellStyle name="Total 2 2 30 3" xfId="17271"/>
    <cellStyle name="Total 2 2 30 3 2" xfId="25592"/>
    <cellStyle name="Total 2 2 30 3 2 2" xfId="59903"/>
    <cellStyle name="Total 2 2 30 3 2 3" xfId="59904"/>
    <cellStyle name="Total 2 2 30 3 3" xfId="32819"/>
    <cellStyle name="Total 2 2 30 3 4" xfId="59905"/>
    <cellStyle name="Total 2 2 30 4" xfId="18299"/>
    <cellStyle name="Total 2 2 30 4 2" xfId="26619"/>
    <cellStyle name="Total 2 2 30 4 2 2" xfId="59906"/>
    <cellStyle name="Total 2 2 30 4 2 3" xfId="59907"/>
    <cellStyle name="Total 2 2 30 4 3" xfId="33797"/>
    <cellStyle name="Total 2 2 30 4 4" xfId="59908"/>
    <cellStyle name="Total 2 2 30 5" xfId="19283"/>
    <cellStyle name="Total 2 2 30 5 2" xfId="27603"/>
    <cellStyle name="Total 2 2 30 5 2 2" xfId="59909"/>
    <cellStyle name="Total 2 2 30 5 2 3" xfId="59910"/>
    <cellStyle name="Total 2 2 30 5 3" xfId="34751"/>
    <cellStyle name="Total 2 2 30 5 4" xfId="59911"/>
    <cellStyle name="Total 2 2 30 6" xfId="20251"/>
    <cellStyle name="Total 2 2 30 6 2" xfId="28573"/>
    <cellStyle name="Total 2 2 30 6 2 2" xfId="59912"/>
    <cellStyle name="Total 2 2 30 6 2 3" xfId="59913"/>
    <cellStyle name="Total 2 2 30 6 3" xfId="35689"/>
    <cellStyle name="Total 2 2 30 6 4" xfId="59914"/>
    <cellStyle name="Total 2 2 30 7" xfId="21712"/>
    <cellStyle name="Total 2 2 30 7 2" xfId="30013"/>
    <cellStyle name="Total 2 2 30 7 2 2" xfId="59915"/>
    <cellStyle name="Total 2 2 30 7 2 3" xfId="59916"/>
    <cellStyle name="Total 2 2 30 7 3" xfId="37063"/>
    <cellStyle name="Total 2 2 30 7 4" xfId="59917"/>
    <cellStyle name="Total 2 2 30 8" xfId="22640"/>
    <cellStyle name="Total 2 2 30 8 2" xfId="30936"/>
    <cellStyle name="Total 2 2 30 8 3" xfId="37946"/>
    <cellStyle name="Total 2 2 30 9" xfId="23582"/>
    <cellStyle name="Total 2 2 31" xfId="15313"/>
    <cellStyle name="Total 2 2 31 10" xfId="59918"/>
    <cellStyle name="Total 2 2 31 2" xfId="16393"/>
    <cellStyle name="Total 2 2 31 2 2" xfId="24706"/>
    <cellStyle name="Total 2 2 31 2 2 2" xfId="59919"/>
    <cellStyle name="Total 2 2 31 2 2 3" xfId="59920"/>
    <cellStyle name="Total 2 2 31 2 3" xfId="31971"/>
    <cellStyle name="Total 2 2 31 2 4" xfId="59921"/>
    <cellStyle name="Total 2 2 31 3" xfId="17359"/>
    <cellStyle name="Total 2 2 31 3 2" xfId="25680"/>
    <cellStyle name="Total 2 2 31 3 2 2" xfId="59922"/>
    <cellStyle name="Total 2 2 31 3 2 3" xfId="59923"/>
    <cellStyle name="Total 2 2 31 3 3" xfId="32904"/>
    <cellStyle name="Total 2 2 31 3 4" xfId="59924"/>
    <cellStyle name="Total 2 2 31 4" xfId="18387"/>
    <cellStyle name="Total 2 2 31 4 2" xfId="26707"/>
    <cellStyle name="Total 2 2 31 4 2 2" xfId="59925"/>
    <cellStyle name="Total 2 2 31 4 2 3" xfId="59926"/>
    <cellStyle name="Total 2 2 31 4 3" xfId="33882"/>
    <cellStyle name="Total 2 2 31 4 4" xfId="59927"/>
    <cellStyle name="Total 2 2 31 5" xfId="19370"/>
    <cellStyle name="Total 2 2 31 5 2" xfId="27691"/>
    <cellStyle name="Total 2 2 31 5 2 2" xfId="59928"/>
    <cellStyle name="Total 2 2 31 5 2 3" xfId="59929"/>
    <cellStyle name="Total 2 2 31 5 3" xfId="34839"/>
    <cellStyle name="Total 2 2 31 5 4" xfId="59930"/>
    <cellStyle name="Total 2 2 31 6" xfId="20339"/>
    <cellStyle name="Total 2 2 31 6 2" xfId="28661"/>
    <cellStyle name="Total 2 2 31 6 2 2" xfId="59931"/>
    <cellStyle name="Total 2 2 31 6 2 3" xfId="59932"/>
    <cellStyle name="Total 2 2 31 6 3" xfId="35774"/>
    <cellStyle name="Total 2 2 31 6 4" xfId="59933"/>
    <cellStyle name="Total 2 2 31 7" xfId="21800"/>
    <cellStyle name="Total 2 2 31 7 2" xfId="30101"/>
    <cellStyle name="Total 2 2 31 7 2 2" xfId="59934"/>
    <cellStyle name="Total 2 2 31 7 2 3" xfId="59935"/>
    <cellStyle name="Total 2 2 31 7 3" xfId="37148"/>
    <cellStyle name="Total 2 2 31 7 4" xfId="59936"/>
    <cellStyle name="Total 2 2 31 8" xfId="22728"/>
    <cellStyle name="Total 2 2 31 8 2" xfId="31024"/>
    <cellStyle name="Total 2 2 31 8 3" xfId="38031"/>
    <cellStyle name="Total 2 2 31 9" xfId="23670"/>
    <cellStyle name="Total 2 2 32" xfId="15331"/>
    <cellStyle name="Total 2 2 32 10" xfId="59937"/>
    <cellStyle name="Total 2 2 32 2" xfId="16411"/>
    <cellStyle name="Total 2 2 32 2 2" xfId="24724"/>
    <cellStyle name="Total 2 2 32 2 2 2" xfId="59938"/>
    <cellStyle name="Total 2 2 32 2 2 3" xfId="59939"/>
    <cellStyle name="Total 2 2 32 2 3" xfId="31989"/>
    <cellStyle name="Total 2 2 32 2 4" xfId="59940"/>
    <cellStyle name="Total 2 2 32 3" xfId="17377"/>
    <cellStyle name="Total 2 2 32 3 2" xfId="25698"/>
    <cellStyle name="Total 2 2 32 3 2 2" xfId="59941"/>
    <cellStyle name="Total 2 2 32 3 2 3" xfId="59942"/>
    <cellStyle name="Total 2 2 32 3 3" xfId="32922"/>
    <cellStyle name="Total 2 2 32 3 4" xfId="59943"/>
    <cellStyle name="Total 2 2 32 4" xfId="18405"/>
    <cellStyle name="Total 2 2 32 4 2" xfId="26725"/>
    <cellStyle name="Total 2 2 32 4 2 2" xfId="59944"/>
    <cellStyle name="Total 2 2 32 4 2 3" xfId="59945"/>
    <cellStyle name="Total 2 2 32 4 3" xfId="33900"/>
    <cellStyle name="Total 2 2 32 4 4" xfId="59946"/>
    <cellStyle name="Total 2 2 32 5" xfId="19388"/>
    <cellStyle name="Total 2 2 32 5 2" xfId="27709"/>
    <cellStyle name="Total 2 2 32 5 2 2" xfId="59947"/>
    <cellStyle name="Total 2 2 32 5 2 3" xfId="59948"/>
    <cellStyle name="Total 2 2 32 5 3" xfId="34857"/>
    <cellStyle name="Total 2 2 32 5 4" xfId="59949"/>
    <cellStyle name="Total 2 2 32 6" xfId="20357"/>
    <cellStyle name="Total 2 2 32 6 2" xfId="28679"/>
    <cellStyle name="Total 2 2 32 6 2 2" xfId="59950"/>
    <cellStyle name="Total 2 2 32 6 2 3" xfId="59951"/>
    <cellStyle name="Total 2 2 32 6 3" xfId="35792"/>
    <cellStyle name="Total 2 2 32 6 4" xfId="59952"/>
    <cellStyle name="Total 2 2 32 7" xfId="21818"/>
    <cellStyle name="Total 2 2 32 7 2" xfId="30119"/>
    <cellStyle name="Total 2 2 32 7 2 2" xfId="59953"/>
    <cellStyle name="Total 2 2 32 7 2 3" xfId="59954"/>
    <cellStyle name="Total 2 2 32 7 3" xfId="37166"/>
    <cellStyle name="Total 2 2 32 7 4" xfId="59955"/>
    <cellStyle name="Total 2 2 32 8" xfId="22746"/>
    <cellStyle name="Total 2 2 32 8 2" xfId="31042"/>
    <cellStyle name="Total 2 2 32 8 3" xfId="38049"/>
    <cellStyle name="Total 2 2 32 9" xfId="23688"/>
    <cellStyle name="Total 2 2 33" xfId="15386"/>
    <cellStyle name="Total 2 2 33 10" xfId="59956"/>
    <cellStyle name="Total 2 2 33 2" xfId="16466"/>
    <cellStyle name="Total 2 2 33 2 2" xfId="24779"/>
    <cellStyle name="Total 2 2 33 2 2 2" xfId="59957"/>
    <cellStyle name="Total 2 2 33 2 2 3" xfId="59958"/>
    <cellStyle name="Total 2 2 33 2 3" xfId="32043"/>
    <cellStyle name="Total 2 2 33 2 4" xfId="59959"/>
    <cellStyle name="Total 2 2 33 3" xfId="17432"/>
    <cellStyle name="Total 2 2 33 3 2" xfId="25753"/>
    <cellStyle name="Total 2 2 33 3 2 2" xfId="59960"/>
    <cellStyle name="Total 2 2 33 3 2 3" xfId="59961"/>
    <cellStyle name="Total 2 2 33 3 3" xfId="32976"/>
    <cellStyle name="Total 2 2 33 3 4" xfId="59962"/>
    <cellStyle name="Total 2 2 33 4" xfId="18460"/>
    <cellStyle name="Total 2 2 33 4 2" xfId="26780"/>
    <cellStyle name="Total 2 2 33 4 2 2" xfId="59963"/>
    <cellStyle name="Total 2 2 33 4 2 3" xfId="59964"/>
    <cellStyle name="Total 2 2 33 4 3" xfId="33954"/>
    <cellStyle name="Total 2 2 33 4 4" xfId="59965"/>
    <cellStyle name="Total 2 2 33 5" xfId="19443"/>
    <cellStyle name="Total 2 2 33 5 2" xfId="27764"/>
    <cellStyle name="Total 2 2 33 5 2 2" xfId="59966"/>
    <cellStyle name="Total 2 2 33 5 2 3" xfId="59967"/>
    <cellStyle name="Total 2 2 33 5 3" xfId="34912"/>
    <cellStyle name="Total 2 2 33 5 4" xfId="59968"/>
    <cellStyle name="Total 2 2 33 6" xfId="20412"/>
    <cellStyle name="Total 2 2 33 6 2" xfId="28734"/>
    <cellStyle name="Total 2 2 33 6 2 2" xfId="59969"/>
    <cellStyle name="Total 2 2 33 6 2 3" xfId="59970"/>
    <cellStyle name="Total 2 2 33 6 3" xfId="35846"/>
    <cellStyle name="Total 2 2 33 6 4" xfId="59971"/>
    <cellStyle name="Total 2 2 33 7" xfId="21873"/>
    <cellStyle name="Total 2 2 33 7 2" xfId="30174"/>
    <cellStyle name="Total 2 2 33 7 2 2" xfId="59972"/>
    <cellStyle name="Total 2 2 33 7 2 3" xfId="59973"/>
    <cellStyle name="Total 2 2 33 7 3" xfId="37219"/>
    <cellStyle name="Total 2 2 33 7 4" xfId="59974"/>
    <cellStyle name="Total 2 2 33 8" xfId="22801"/>
    <cellStyle name="Total 2 2 33 8 2" xfId="31097"/>
    <cellStyle name="Total 2 2 33 8 3" xfId="38103"/>
    <cellStyle name="Total 2 2 33 9" xfId="23743"/>
    <cellStyle name="Total 2 2 34" xfId="15402"/>
    <cellStyle name="Total 2 2 34 10" xfId="59975"/>
    <cellStyle name="Total 2 2 34 2" xfId="16482"/>
    <cellStyle name="Total 2 2 34 2 2" xfId="24795"/>
    <cellStyle name="Total 2 2 34 2 2 2" xfId="59976"/>
    <cellStyle name="Total 2 2 34 2 2 3" xfId="59977"/>
    <cellStyle name="Total 2 2 34 2 3" xfId="32057"/>
    <cellStyle name="Total 2 2 34 2 4" xfId="59978"/>
    <cellStyle name="Total 2 2 34 3" xfId="17448"/>
    <cellStyle name="Total 2 2 34 3 2" xfId="25769"/>
    <cellStyle name="Total 2 2 34 3 2 2" xfId="59979"/>
    <cellStyle name="Total 2 2 34 3 2 3" xfId="59980"/>
    <cellStyle name="Total 2 2 34 3 3" xfId="32990"/>
    <cellStyle name="Total 2 2 34 3 4" xfId="59981"/>
    <cellStyle name="Total 2 2 34 4" xfId="18476"/>
    <cellStyle name="Total 2 2 34 4 2" xfId="26796"/>
    <cellStyle name="Total 2 2 34 4 2 2" xfId="59982"/>
    <cellStyle name="Total 2 2 34 4 2 3" xfId="59983"/>
    <cellStyle name="Total 2 2 34 4 3" xfId="33968"/>
    <cellStyle name="Total 2 2 34 4 4" xfId="59984"/>
    <cellStyle name="Total 2 2 34 5" xfId="19459"/>
    <cellStyle name="Total 2 2 34 5 2" xfId="27780"/>
    <cellStyle name="Total 2 2 34 5 2 2" xfId="59985"/>
    <cellStyle name="Total 2 2 34 5 2 3" xfId="59986"/>
    <cellStyle name="Total 2 2 34 5 3" xfId="34928"/>
    <cellStyle name="Total 2 2 34 5 4" xfId="59987"/>
    <cellStyle name="Total 2 2 34 6" xfId="20428"/>
    <cellStyle name="Total 2 2 34 6 2" xfId="28750"/>
    <cellStyle name="Total 2 2 34 6 2 2" xfId="59988"/>
    <cellStyle name="Total 2 2 34 6 2 3" xfId="59989"/>
    <cellStyle name="Total 2 2 34 6 3" xfId="35860"/>
    <cellStyle name="Total 2 2 34 6 4" xfId="59990"/>
    <cellStyle name="Total 2 2 34 7" xfId="21889"/>
    <cellStyle name="Total 2 2 34 7 2" xfId="30190"/>
    <cellStyle name="Total 2 2 34 7 2 2" xfId="59991"/>
    <cellStyle name="Total 2 2 34 7 2 3" xfId="59992"/>
    <cellStyle name="Total 2 2 34 7 3" xfId="37233"/>
    <cellStyle name="Total 2 2 34 7 4" xfId="59993"/>
    <cellStyle name="Total 2 2 34 8" xfId="22817"/>
    <cellStyle name="Total 2 2 34 8 2" xfId="31113"/>
    <cellStyle name="Total 2 2 34 8 3" xfId="38117"/>
    <cellStyle name="Total 2 2 34 9" xfId="23759"/>
    <cellStyle name="Total 2 2 35" xfId="15418"/>
    <cellStyle name="Total 2 2 35 10" xfId="59994"/>
    <cellStyle name="Total 2 2 35 2" xfId="16498"/>
    <cellStyle name="Total 2 2 35 2 2" xfId="24811"/>
    <cellStyle name="Total 2 2 35 2 2 2" xfId="59995"/>
    <cellStyle name="Total 2 2 35 2 2 3" xfId="59996"/>
    <cellStyle name="Total 2 2 35 2 3" xfId="32072"/>
    <cellStyle name="Total 2 2 35 2 4" xfId="59997"/>
    <cellStyle name="Total 2 2 35 3" xfId="17464"/>
    <cellStyle name="Total 2 2 35 3 2" xfId="25785"/>
    <cellStyle name="Total 2 2 35 3 2 2" xfId="59998"/>
    <cellStyle name="Total 2 2 35 3 2 3" xfId="59999"/>
    <cellStyle name="Total 2 2 35 3 3" xfId="33005"/>
    <cellStyle name="Total 2 2 35 3 4" xfId="60000"/>
    <cellStyle name="Total 2 2 35 4" xfId="18492"/>
    <cellStyle name="Total 2 2 35 4 2" xfId="26812"/>
    <cellStyle name="Total 2 2 35 4 2 2" xfId="60001"/>
    <cellStyle name="Total 2 2 35 4 2 3" xfId="60002"/>
    <cellStyle name="Total 2 2 35 4 3" xfId="33983"/>
    <cellStyle name="Total 2 2 35 4 4" xfId="60003"/>
    <cellStyle name="Total 2 2 35 5" xfId="19475"/>
    <cellStyle name="Total 2 2 35 5 2" xfId="27796"/>
    <cellStyle name="Total 2 2 35 5 2 2" xfId="60004"/>
    <cellStyle name="Total 2 2 35 5 2 3" xfId="60005"/>
    <cellStyle name="Total 2 2 35 5 3" xfId="34944"/>
    <cellStyle name="Total 2 2 35 5 4" xfId="60006"/>
    <cellStyle name="Total 2 2 35 6" xfId="20444"/>
    <cellStyle name="Total 2 2 35 6 2" xfId="28766"/>
    <cellStyle name="Total 2 2 35 6 2 2" xfId="60007"/>
    <cellStyle name="Total 2 2 35 6 2 3" xfId="60008"/>
    <cellStyle name="Total 2 2 35 6 3" xfId="35875"/>
    <cellStyle name="Total 2 2 35 6 4" xfId="60009"/>
    <cellStyle name="Total 2 2 35 7" xfId="21905"/>
    <cellStyle name="Total 2 2 35 7 2" xfId="30206"/>
    <cellStyle name="Total 2 2 35 7 2 2" xfId="60010"/>
    <cellStyle name="Total 2 2 35 7 2 3" xfId="60011"/>
    <cellStyle name="Total 2 2 35 7 3" xfId="37248"/>
    <cellStyle name="Total 2 2 35 7 4" xfId="60012"/>
    <cellStyle name="Total 2 2 35 8" xfId="22833"/>
    <cellStyle name="Total 2 2 35 8 2" xfId="31129"/>
    <cellStyle name="Total 2 2 35 8 3" xfId="38132"/>
    <cellStyle name="Total 2 2 35 9" xfId="23775"/>
    <cellStyle name="Total 2 2 36" xfId="15432"/>
    <cellStyle name="Total 2 2 36 10" xfId="60013"/>
    <cellStyle name="Total 2 2 36 2" xfId="16512"/>
    <cellStyle name="Total 2 2 36 2 2" xfId="24825"/>
    <cellStyle name="Total 2 2 36 2 2 2" xfId="60014"/>
    <cellStyle name="Total 2 2 36 2 2 3" xfId="60015"/>
    <cellStyle name="Total 2 2 36 2 3" xfId="32086"/>
    <cellStyle name="Total 2 2 36 2 4" xfId="60016"/>
    <cellStyle name="Total 2 2 36 3" xfId="17478"/>
    <cellStyle name="Total 2 2 36 3 2" xfId="25799"/>
    <cellStyle name="Total 2 2 36 3 2 2" xfId="60017"/>
    <cellStyle name="Total 2 2 36 3 2 3" xfId="60018"/>
    <cellStyle name="Total 2 2 36 3 3" xfId="33019"/>
    <cellStyle name="Total 2 2 36 3 4" xfId="60019"/>
    <cellStyle name="Total 2 2 36 4" xfId="18506"/>
    <cellStyle name="Total 2 2 36 4 2" xfId="26826"/>
    <cellStyle name="Total 2 2 36 4 2 2" xfId="60020"/>
    <cellStyle name="Total 2 2 36 4 2 3" xfId="60021"/>
    <cellStyle name="Total 2 2 36 4 3" xfId="33997"/>
    <cellStyle name="Total 2 2 36 4 4" xfId="60022"/>
    <cellStyle name="Total 2 2 36 5" xfId="19489"/>
    <cellStyle name="Total 2 2 36 5 2" xfId="27810"/>
    <cellStyle name="Total 2 2 36 5 2 2" xfId="60023"/>
    <cellStyle name="Total 2 2 36 5 2 3" xfId="60024"/>
    <cellStyle name="Total 2 2 36 5 3" xfId="34958"/>
    <cellStyle name="Total 2 2 36 5 4" xfId="60025"/>
    <cellStyle name="Total 2 2 36 6" xfId="20458"/>
    <cellStyle name="Total 2 2 36 6 2" xfId="28780"/>
    <cellStyle name="Total 2 2 36 6 2 2" xfId="60026"/>
    <cellStyle name="Total 2 2 36 6 2 3" xfId="60027"/>
    <cellStyle name="Total 2 2 36 6 3" xfId="35889"/>
    <cellStyle name="Total 2 2 36 6 4" xfId="60028"/>
    <cellStyle name="Total 2 2 36 7" xfId="21919"/>
    <cellStyle name="Total 2 2 36 7 2" xfId="30220"/>
    <cellStyle name="Total 2 2 36 7 2 2" xfId="60029"/>
    <cellStyle name="Total 2 2 36 7 2 3" xfId="60030"/>
    <cellStyle name="Total 2 2 36 7 3" xfId="37262"/>
    <cellStyle name="Total 2 2 36 7 4" xfId="60031"/>
    <cellStyle name="Total 2 2 36 8" xfId="22847"/>
    <cellStyle name="Total 2 2 36 8 2" xfId="31143"/>
    <cellStyle name="Total 2 2 36 8 3" xfId="38146"/>
    <cellStyle name="Total 2 2 36 9" xfId="23789"/>
    <cellStyle name="Total 2 2 37" xfId="15446"/>
    <cellStyle name="Total 2 2 37 10" xfId="60032"/>
    <cellStyle name="Total 2 2 37 2" xfId="16526"/>
    <cellStyle name="Total 2 2 37 2 2" xfId="24839"/>
    <cellStyle name="Total 2 2 37 2 2 2" xfId="60033"/>
    <cellStyle name="Total 2 2 37 2 2 3" xfId="60034"/>
    <cellStyle name="Total 2 2 37 2 3" xfId="32100"/>
    <cellStyle name="Total 2 2 37 2 4" xfId="60035"/>
    <cellStyle name="Total 2 2 37 3" xfId="17492"/>
    <cellStyle name="Total 2 2 37 3 2" xfId="25813"/>
    <cellStyle name="Total 2 2 37 3 2 2" xfId="60036"/>
    <cellStyle name="Total 2 2 37 3 2 3" xfId="60037"/>
    <cellStyle name="Total 2 2 37 3 3" xfId="33033"/>
    <cellStyle name="Total 2 2 37 3 4" xfId="60038"/>
    <cellStyle name="Total 2 2 37 4" xfId="18520"/>
    <cellStyle name="Total 2 2 37 4 2" xfId="26840"/>
    <cellStyle name="Total 2 2 37 4 2 2" xfId="60039"/>
    <cellStyle name="Total 2 2 37 4 2 3" xfId="60040"/>
    <cellStyle name="Total 2 2 37 4 3" xfId="34011"/>
    <cellStyle name="Total 2 2 37 4 4" xfId="60041"/>
    <cellStyle name="Total 2 2 37 5" xfId="19503"/>
    <cellStyle name="Total 2 2 37 5 2" xfId="27824"/>
    <cellStyle name="Total 2 2 37 5 2 2" xfId="60042"/>
    <cellStyle name="Total 2 2 37 5 2 3" xfId="60043"/>
    <cellStyle name="Total 2 2 37 5 3" xfId="34972"/>
    <cellStyle name="Total 2 2 37 5 4" xfId="60044"/>
    <cellStyle name="Total 2 2 37 6" xfId="20472"/>
    <cellStyle name="Total 2 2 37 6 2" xfId="28794"/>
    <cellStyle name="Total 2 2 37 6 2 2" xfId="60045"/>
    <cellStyle name="Total 2 2 37 6 2 3" xfId="60046"/>
    <cellStyle name="Total 2 2 37 6 3" xfId="35903"/>
    <cellStyle name="Total 2 2 37 6 4" xfId="60047"/>
    <cellStyle name="Total 2 2 37 7" xfId="21933"/>
    <cellStyle name="Total 2 2 37 7 2" xfId="30234"/>
    <cellStyle name="Total 2 2 37 7 2 2" xfId="60048"/>
    <cellStyle name="Total 2 2 37 7 2 3" xfId="60049"/>
    <cellStyle name="Total 2 2 37 7 3" xfId="37276"/>
    <cellStyle name="Total 2 2 37 7 4" xfId="60050"/>
    <cellStyle name="Total 2 2 37 8" xfId="22861"/>
    <cellStyle name="Total 2 2 37 8 2" xfId="31157"/>
    <cellStyle name="Total 2 2 37 8 3" xfId="38160"/>
    <cellStyle name="Total 2 2 37 9" xfId="23803"/>
    <cellStyle name="Total 2 2 38" xfId="15371"/>
    <cellStyle name="Total 2 2 38 10" xfId="60051"/>
    <cellStyle name="Total 2 2 38 2" xfId="16451"/>
    <cellStyle name="Total 2 2 38 2 2" xfId="24764"/>
    <cellStyle name="Total 2 2 38 2 2 2" xfId="60052"/>
    <cellStyle name="Total 2 2 38 2 2 3" xfId="60053"/>
    <cellStyle name="Total 2 2 38 2 3" xfId="32028"/>
    <cellStyle name="Total 2 2 38 2 4" xfId="60054"/>
    <cellStyle name="Total 2 2 38 3" xfId="17417"/>
    <cellStyle name="Total 2 2 38 3 2" xfId="25738"/>
    <cellStyle name="Total 2 2 38 3 2 2" xfId="60055"/>
    <cellStyle name="Total 2 2 38 3 2 3" xfId="60056"/>
    <cellStyle name="Total 2 2 38 3 3" xfId="32961"/>
    <cellStyle name="Total 2 2 38 3 4" xfId="60057"/>
    <cellStyle name="Total 2 2 38 4" xfId="18445"/>
    <cellStyle name="Total 2 2 38 4 2" xfId="26765"/>
    <cellStyle name="Total 2 2 38 4 2 2" xfId="60058"/>
    <cellStyle name="Total 2 2 38 4 2 3" xfId="60059"/>
    <cellStyle name="Total 2 2 38 4 3" xfId="33939"/>
    <cellStyle name="Total 2 2 38 4 4" xfId="60060"/>
    <cellStyle name="Total 2 2 38 5" xfId="19428"/>
    <cellStyle name="Total 2 2 38 5 2" xfId="27749"/>
    <cellStyle name="Total 2 2 38 5 2 2" xfId="60061"/>
    <cellStyle name="Total 2 2 38 5 2 3" xfId="60062"/>
    <cellStyle name="Total 2 2 38 5 3" xfId="34897"/>
    <cellStyle name="Total 2 2 38 5 4" xfId="60063"/>
    <cellStyle name="Total 2 2 38 6" xfId="20397"/>
    <cellStyle name="Total 2 2 38 6 2" xfId="28719"/>
    <cellStyle name="Total 2 2 38 6 2 2" xfId="60064"/>
    <cellStyle name="Total 2 2 38 6 2 3" xfId="60065"/>
    <cellStyle name="Total 2 2 38 6 3" xfId="35831"/>
    <cellStyle name="Total 2 2 38 6 4" xfId="60066"/>
    <cellStyle name="Total 2 2 38 7" xfId="21858"/>
    <cellStyle name="Total 2 2 38 7 2" xfId="30159"/>
    <cellStyle name="Total 2 2 38 7 2 2" xfId="60067"/>
    <cellStyle name="Total 2 2 38 7 2 3" xfId="60068"/>
    <cellStyle name="Total 2 2 38 7 3" xfId="37204"/>
    <cellStyle name="Total 2 2 38 7 4" xfId="60069"/>
    <cellStyle name="Total 2 2 38 8" xfId="22786"/>
    <cellStyle name="Total 2 2 38 8 2" xfId="31082"/>
    <cellStyle name="Total 2 2 38 8 3" xfId="38088"/>
    <cellStyle name="Total 2 2 38 9" xfId="23728"/>
    <cellStyle name="Total 2 2 39" xfId="15478"/>
    <cellStyle name="Total 2 2 39 10" xfId="60070"/>
    <cellStyle name="Total 2 2 39 2" xfId="16552"/>
    <cellStyle name="Total 2 2 39 2 2" xfId="24865"/>
    <cellStyle name="Total 2 2 39 2 2 2" xfId="60071"/>
    <cellStyle name="Total 2 2 39 2 2 3" xfId="60072"/>
    <cellStyle name="Total 2 2 39 2 3" xfId="32125"/>
    <cellStyle name="Total 2 2 39 2 4" xfId="60073"/>
    <cellStyle name="Total 2 2 39 3" xfId="17524"/>
    <cellStyle name="Total 2 2 39 3 2" xfId="25844"/>
    <cellStyle name="Total 2 2 39 3 2 2" xfId="60074"/>
    <cellStyle name="Total 2 2 39 3 2 3" xfId="60075"/>
    <cellStyle name="Total 2 2 39 3 3" xfId="33062"/>
    <cellStyle name="Total 2 2 39 3 4" xfId="60076"/>
    <cellStyle name="Total 2 2 39 4" xfId="18551"/>
    <cellStyle name="Total 2 2 39 4 2" xfId="26868"/>
    <cellStyle name="Total 2 2 39 4 2 2" xfId="60077"/>
    <cellStyle name="Total 2 2 39 4 2 3" xfId="60078"/>
    <cellStyle name="Total 2 2 39 4 3" xfId="34038"/>
    <cellStyle name="Total 2 2 39 4 4" xfId="60079"/>
    <cellStyle name="Total 2 2 39 5" xfId="19535"/>
    <cellStyle name="Total 2 2 39 5 2" xfId="27856"/>
    <cellStyle name="Total 2 2 39 5 2 2" xfId="60080"/>
    <cellStyle name="Total 2 2 39 5 2 3" xfId="60081"/>
    <cellStyle name="Total 2 2 39 5 3" xfId="35004"/>
    <cellStyle name="Total 2 2 39 5 4" xfId="60082"/>
    <cellStyle name="Total 2 2 39 6" xfId="20499"/>
    <cellStyle name="Total 2 2 39 6 2" xfId="28821"/>
    <cellStyle name="Total 2 2 39 6 2 2" xfId="60083"/>
    <cellStyle name="Total 2 2 39 6 2 3" xfId="60084"/>
    <cellStyle name="Total 2 2 39 6 3" xfId="35928"/>
    <cellStyle name="Total 2 2 39 6 4" xfId="60085"/>
    <cellStyle name="Total 2 2 39 7" xfId="21959"/>
    <cellStyle name="Total 2 2 39 7 2" xfId="30260"/>
    <cellStyle name="Total 2 2 39 7 2 2" xfId="60086"/>
    <cellStyle name="Total 2 2 39 7 2 3" xfId="60087"/>
    <cellStyle name="Total 2 2 39 7 3" xfId="37300"/>
    <cellStyle name="Total 2 2 39 7 4" xfId="60088"/>
    <cellStyle name="Total 2 2 39 8" xfId="22883"/>
    <cellStyle name="Total 2 2 39 8 2" xfId="31179"/>
    <cellStyle name="Total 2 2 39 8 3" xfId="38181"/>
    <cellStyle name="Total 2 2 39 9" xfId="23828"/>
    <cellStyle name="Total 2 2 4" xfId="140"/>
    <cellStyle name="Total 2 2 4 10" xfId="60089"/>
    <cellStyle name="Total 2 2 4 11" xfId="60090"/>
    <cellStyle name="Total 2 2 4 12" xfId="60825"/>
    <cellStyle name="Total 2 2 4 2" xfId="266"/>
    <cellStyle name="Total 2 2 4 2 2" xfId="676"/>
    <cellStyle name="Total 2 2 4 2 2 2" xfId="1627"/>
    <cellStyle name="Total 2 2 4 2 2 2 2" xfId="780"/>
    <cellStyle name="Total 2 2 4 2 2 2 2 2" xfId="2633"/>
    <cellStyle name="Total 2 2 4 2 2 2 2 2 2" xfId="6053"/>
    <cellStyle name="Total 2 2 4 2 2 2 2 2 2 2" xfId="12893"/>
    <cellStyle name="Total 2 2 4 2 2 2 2 2 3" xfId="9473"/>
    <cellStyle name="Total 2 2 4 2 2 2 2 3" xfId="3773"/>
    <cellStyle name="Total 2 2 4 2 2 2 2 3 2" xfId="7193"/>
    <cellStyle name="Total 2 2 4 2 2 2 2 3 2 2" xfId="14033"/>
    <cellStyle name="Total 2 2 4 2 2 2 2 3 3" xfId="10613"/>
    <cellStyle name="Total 2 2 4 2 2 2 2 4" xfId="4913"/>
    <cellStyle name="Total 2 2 4 2 2 2 2 4 2" xfId="11753"/>
    <cellStyle name="Total 2 2 4 2 2 2 2 5" xfId="8333"/>
    <cellStyle name="Total 2 2 4 2 2 2 3" xfId="2461"/>
    <cellStyle name="Total 2 2 4 2 2 2 3 2" xfId="5881"/>
    <cellStyle name="Total 2 2 4 2 2 2 3 2 2" xfId="12721"/>
    <cellStyle name="Total 2 2 4 2 2 2 3 3" xfId="9301"/>
    <cellStyle name="Total 2 2 4 2 2 2 4" xfId="3601"/>
    <cellStyle name="Total 2 2 4 2 2 2 4 2" xfId="7021"/>
    <cellStyle name="Total 2 2 4 2 2 2 4 2 2" xfId="13861"/>
    <cellStyle name="Total 2 2 4 2 2 2 4 3" xfId="10441"/>
    <cellStyle name="Total 2 2 4 2 2 2 5" xfId="4741"/>
    <cellStyle name="Total 2 2 4 2 2 2 5 2" xfId="11581"/>
    <cellStyle name="Total 2 2 4 2 2 2 6" xfId="8161"/>
    <cellStyle name="Total 2 2 4 2 2 2 7" xfId="61518"/>
    <cellStyle name="Total 2 2 4 2 2 2 8" xfId="62069"/>
    <cellStyle name="Total 2 2 4 2 2 3" xfId="38520"/>
    <cellStyle name="Total 2 2 4 2 2 4" xfId="60091"/>
    <cellStyle name="Total 2 2 4 2 2 5" xfId="60092"/>
    <cellStyle name="Total 2 2 4 2 2 6" xfId="60093"/>
    <cellStyle name="Total 2 2 4 2 2 7" xfId="60094"/>
    <cellStyle name="Total 2 2 4 2 2 8" xfId="61318"/>
    <cellStyle name="Total 2 2 4 2 3" xfId="1273"/>
    <cellStyle name="Total 2 2 4 2 3 2" xfId="991"/>
    <cellStyle name="Total 2 2 4 2 3 2 2" xfId="2605"/>
    <cellStyle name="Total 2 2 4 2 3 2 2 2" xfId="6025"/>
    <cellStyle name="Total 2 2 4 2 3 2 2 2 2" xfId="12865"/>
    <cellStyle name="Total 2 2 4 2 3 2 2 3" xfId="9445"/>
    <cellStyle name="Total 2 2 4 2 3 2 3" xfId="3745"/>
    <cellStyle name="Total 2 2 4 2 3 2 3 2" xfId="7165"/>
    <cellStyle name="Total 2 2 4 2 3 2 3 2 2" xfId="14005"/>
    <cellStyle name="Total 2 2 4 2 3 2 3 3" xfId="10585"/>
    <cellStyle name="Total 2 2 4 2 3 2 4" xfId="4885"/>
    <cellStyle name="Total 2 2 4 2 3 2 4 2" xfId="11725"/>
    <cellStyle name="Total 2 2 4 2 3 2 5" xfId="8305"/>
    <cellStyle name="Total 2 2 4 2 3 3" xfId="2093"/>
    <cellStyle name="Total 2 2 4 2 3 3 2" xfId="5513"/>
    <cellStyle name="Total 2 2 4 2 3 3 2 2" xfId="12353"/>
    <cellStyle name="Total 2 2 4 2 3 3 3" xfId="8933"/>
    <cellStyle name="Total 2 2 4 2 3 4" xfId="3233"/>
    <cellStyle name="Total 2 2 4 2 3 4 2" xfId="6653"/>
    <cellStyle name="Total 2 2 4 2 3 4 2 2" xfId="13493"/>
    <cellStyle name="Total 2 2 4 2 3 4 3" xfId="10073"/>
    <cellStyle name="Total 2 2 4 2 3 5" xfId="4373"/>
    <cellStyle name="Total 2 2 4 2 3 5 2" xfId="11213"/>
    <cellStyle name="Total 2 2 4 2 3 6" xfId="7793"/>
    <cellStyle name="Total 2 2 4 2 3 7" xfId="61419"/>
    <cellStyle name="Total 2 2 4 2 3 8" xfId="61998"/>
    <cellStyle name="Total 2 2 4 2 4" xfId="15618"/>
    <cellStyle name="Total 2 2 4 2 5" xfId="23932"/>
    <cellStyle name="Total 2 2 4 2 6" xfId="38283"/>
    <cellStyle name="Total 2 2 4 2 7" xfId="60095"/>
    <cellStyle name="Total 2 2 4 2 8" xfId="60949"/>
    <cellStyle name="Total 2 2 4 3" xfId="588"/>
    <cellStyle name="Total 2 2 4 3 2" xfId="1575"/>
    <cellStyle name="Total 2 2 4 3 2 2" xfId="823"/>
    <cellStyle name="Total 2 2 4 3 2 2 2" xfId="2690"/>
    <cellStyle name="Total 2 2 4 3 2 2 2 2" xfId="6110"/>
    <cellStyle name="Total 2 2 4 3 2 2 2 2 2" xfId="12950"/>
    <cellStyle name="Total 2 2 4 3 2 2 2 3" xfId="9530"/>
    <cellStyle name="Total 2 2 4 3 2 2 3" xfId="3830"/>
    <cellStyle name="Total 2 2 4 3 2 2 3 2" xfId="7250"/>
    <cellStyle name="Total 2 2 4 3 2 2 3 2 2" xfId="14090"/>
    <cellStyle name="Total 2 2 4 3 2 2 3 3" xfId="10670"/>
    <cellStyle name="Total 2 2 4 3 2 2 4" xfId="4970"/>
    <cellStyle name="Total 2 2 4 3 2 2 4 2" xfId="11810"/>
    <cellStyle name="Total 2 2 4 3 2 2 5" xfId="8390"/>
    <cellStyle name="Total 2 2 4 3 2 3" xfId="2400"/>
    <cellStyle name="Total 2 2 4 3 2 3 2" xfId="5820"/>
    <cellStyle name="Total 2 2 4 3 2 3 2 2" xfId="12660"/>
    <cellStyle name="Total 2 2 4 3 2 3 3" xfId="9240"/>
    <cellStyle name="Total 2 2 4 3 2 4" xfId="3540"/>
    <cellStyle name="Total 2 2 4 3 2 4 2" xfId="6960"/>
    <cellStyle name="Total 2 2 4 3 2 4 2 2" xfId="13800"/>
    <cellStyle name="Total 2 2 4 3 2 4 3" xfId="10380"/>
    <cellStyle name="Total 2 2 4 3 2 5" xfId="4680"/>
    <cellStyle name="Total 2 2 4 3 2 5 2" xfId="11520"/>
    <cellStyle name="Total 2 2 4 3 2 6" xfId="8100"/>
    <cellStyle name="Total 2 2 4 3 2 7" xfId="61382"/>
    <cellStyle name="Total 2 2 4 3 2 8" xfId="61972"/>
    <cellStyle name="Total 2 2 4 3 3" xfId="16586"/>
    <cellStyle name="Total 2 2 4 3 4" xfId="24903"/>
    <cellStyle name="Total 2 2 4 3 5" xfId="32163"/>
    <cellStyle name="Total 2 2 4 3 6" xfId="60096"/>
    <cellStyle name="Total 2 2 4 3 7" xfId="60097"/>
    <cellStyle name="Total 2 2 4 3 8" xfId="60098"/>
    <cellStyle name="Total 2 2 4 3 9" xfId="61319"/>
    <cellStyle name="Total 2 2 4 4" xfId="1149"/>
    <cellStyle name="Total 2 2 4 4 10" xfId="61343"/>
    <cellStyle name="Total 2 2 4 4 11" xfId="61944"/>
    <cellStyle name="Total 2 2 4 4 2" xfId="1053"/>
    <cellStyle name="Total 2 2 4 4 2 2" xfId="2510"/>
    <cellStyle name="Total 2 2 4 4 2 2 2" xfId="5930"/>
    <cellStyle name="Total 2 2 4 4 2 2 2 2" xfId="12770"/>
    <cellStyle name="Total 2 2 4 4 2 2 3" xfId="9350"/>
    <cellStyle name="Total 2 2 4 4 2 3" xfId="3650"/>
    <cellStyle name="Total 2 2 4 4 2 3 2" xfId="7070"/>
    <cellStyle name="Total 2 2 4 4 2 3 2 2" xfId="13910"/>
    <cellStyle name="Total 2 2 4 4 2 3 3" xfId="10490"/>
    <cellStyle name="Total 2 2 4 4 2 4" xfId="4790"/>
    <cellStyle name="Total 2 2 4 4 2 4 2" xfId="11630"/>
    <cellStyle name="Total 2 2 4 4 2 5" xfId="8210"/>
    <cellStyle name="Total 2 2 4 4 3" xfId="1968"/>
    <cellStyle name="Total 2 2 4 4 3 2" xfId="5388"/>
    <cellStyle name="Total 2 2 4 4 3 2 2" xfId="12228"/>
    <cellStyle name="Total 2 2 4 4 3 3" xfId="8808"/>
    <cellStyle name="Total 2 2 4 4 4" xfId="3108"/>
    <cellStyle name="Total 2 2 4 4 4 2" xfId="6528"/>
    <cellStyle name="Total 2 2 4 4 4 2 2" xfId="13368"/>
    <cellStyle name="Total 2 2 4 4 4 3" xfId="9948"/>
    <cellStyle name="Total 2 2 4 4 5" xfId="4248"/>
    <cellStyle name="Total 2 2 4 4 5 2" xfId="11088"/>
    <cellStyle name="Total 2 2 4 4 6" xfId="7668"/>
    <cellStyle name="Total 2 2 4 4 7" xfId="17605"/>
    <cellStyle name="Total 2 2 4 4 8" xfId="25928"/>
    <cellStyle name="Total 2 2 4 4 9" xfId="33140"/>
    <cellStyle name="Total 2 2 4 5" xfId="18587"/>
    <cellStyle name="Total 2 2 4 5 2" xfId="26906"/>
    <cellStyle name="Total 2 2 4 5 2 2" xfId="60099"/>
    <cellStyle name="Total 2 2 4 5 2 3" xfId="60100"/>
    <cellStyle name="Total 2 2 4 5 3" xfId="34075"/>
    <cellStyle name="Total 2 2 4 5 4" xfId="60101"/>
    <cellStyle name="Total 2 2 4 6" xfId="19555"/>
    <cellStyle name="Total 2 2 4 6 2" xfId="27876"/>
    <cellStyle name="Total 2 2 4 6 2 2" xfId="60102"/>
    <cellStyle name="Total 2 2 4 6 2 3" xfId="60103"/>
    <cellStyle name="Total 2 2 4 6 3" xfId="35023"/>
    <cellStyle name="Total 2 2 4 6 4" xfId="60104"/>
    <cellStyle name="Total 2 2 4 7" xfId="20513"/>
    <cellStyle name="Total 2 2 4 7 2" xfId="28835"/>
    <cellStyle name="Total 2 2 4 7 2 2" xfId="60105"/>
    <cellStyle name="Total 2 2 4 7 2 3" xfId="60106"/>
    <cellStyle name="Total 2 2 4 7 3" xfId="35940"/>
    <cellStyle name="Total 2 2 4 7 4" xfId="60107"/>
    <cellStyle name="Total 2 2 4 8" xfId="22896"/>
    <cellStyle name="Total 2 2 4 8 2" xfId="60108"/>
    <cellStyle name="Total 2 2 4 8 3" xfId="60109"/>
    <cellStyle name="Total 2 2 4 9" xfId="60110"/>
    <cellStyle name="Total 2 2 40" xfId="15508"/>
    <cellStyle name="Total 2 2 40 2" xfId="23848"/>
    <cellStyle name="Total 2 2 40 2 2" xfId="60111"/>
    <cellStyle name="Total 2 2 40 2 3" xfId="60112"/>
    <cellStyle name="Total 2 2 40 3" xfId="31197"/>
    <cellStyle name="Total 2 2 40 4" xfId="60113"/>
    <cellStyle name="Total 2 2 41" xfId="17560"/>
    <cellStyle name="Total 2 2 41 2" xfId="25879"/>
    <cellStyle name="Total 2 2 41 2 2" xfId="60114"/>
    <cellStyle name="Total 2 2 41 2 3" xfId="60115"/>
    <cellStyle name="Total 2 2 41 3" xfId="33094"/>
    <cellStyle name="Total 2 2 41 4" xfId="60116"/>
    <cellStyle name="Total 2 2 42" xfId="20500"/>
    <cellStyle name="Total 2 2 42 2" xfId="28822"/>
    <cellStyle name="Total 2 2 42 2 2" xfId="60117"/>
    <cellStyle name="Total 2 2 42 2 3" xfId="60118"/>
    <cellStyle name="Total 2 2 42 3" xfId="35929"/>
    <cellStyle name="Total 2 2 42 4" xfId="60119"/>
    <cellStyle name="Total 2 2 43" xfId="21962"/>
    <cellStyle name="Total 2 2 43 2" xfId="30263"/>
    <cellStyle name="Total 2 2 43 2 2" xfId="60120"/>
    <cellStyle name="Total 2 2 43 2 3" xfId="60121"/>
    <cellStyle name="Total 2 2 43 3" xfId="37303"/>
    <cellStyle name="Total 2 2 43 4" xfId="60122"/>
    <cellStyle name="Total 2 2 44" xfId="14493"/>
    <cellStyle name="Total 2 2 45" xfId="60123"/>
    <cellStyle name="Total 2 2 46" xfId="60124"/>
    <cellStyle name="Total 2 2 47" xfId="60125"/>
    <cellStyle name="Total 2 2 48" xfId="60774"/>
    <cellStyle name="Total 2 2 5" xfId="306"/>
    <cellStyle name="Total 2 2 5 10" xfId="14600"/>
    <cellStyle name="Total 2 2 5 11" xfId="22961"/>
    <cellStyle name="Total 2 2 5 12" xfId="60126"/>
    <cellStyle name="Total 2 2 5 13" xfId="60127"/>
    <cellStyle name="Total 2 2 5 14" xfId="60128"/>
    <cellStyle name="Total 2 2 5 15" xfId="60988"/>
    <cellStyle name="Total 2 2 5 2" xfId="218"/>
    <cellStyle name="Total 2 2 5 2 2" xfId="1225"/>
    <cellStyle name="Total 2 2 5 2 2 2" xfId="1015"/>
    <cellStyle name="Total 2 2 5 2 2 2 2" xfId="2558"/>
    <cellStyle name="Total 2 2 5 2 2 2 2 2" xfId="5978"/>
    <cellStyle name="Total 2 2 5 2 2 2 2 2 2" xfId="12818"/>
    <cellStyle name="Total 2 2 5 2 2 2 2 3" xfId="9398"/>
    <cellStyle name="Total 2 2 5 2 2 2 3" xfId="3698"/>
    <cellStyle name="Total 2 2 5 2 2 2 3 2" xfId="7118"/>
    <cellStyle name="Total 2 2 5 2 2 2 3 2 2" xfId="13958"/>
    <cellStyle name="Total 2 2 5 2 2 2 3 3" xfId="10538"/>
    <cellStyle name="Total 2 2 5 2 2 2 4" xfId="4838"/>
    <cellStyle name="Total 2 2 5 2 2 2 4 2" xfId="11678"/>
    <cellStyle name="Total 2 2 5 2 2 2 5" xfId="8258"/>
    <cellStyle name="Total 2 2 5 2 2 3" xfId="2045"/>
    <cellStyle name="Total 2 2 5 2 2 3 2" xfId="5465"/>
    <cellStyle name="Total 2 2 5 2 2 3 2 2" xfId="12305"/>
    <cellStyle name="Total 2 2 5 2 2 3 3" xfId="8885"/>
    <cellStyle name="Total 2 2 5 2 2 4" xfId="3185"/>
    <cellStyle name="Total 2 2 5 2 2 4 2" xfId="6605"/>
    <cellStyle name="Total 2 2 5 2 2 4 2 2" xfId="13445"/>
    <cellStyle name="Total 2 2 5 2 2 4 3" xfId="10025"/>
    <cellStyle name="Total 2 2 5 2 2 5" xfId="4325"/>
    <cellStyle name="Total 2 2 5 2 2 5 2" xfId="11165"/>
    <cellStyle name="Total 2 2 5 2 2 6" xfId="7745"/>
    <cellStyle name="Total 2 2 5 2 2 7" xfId="61418"/>
    <cellStyle name="Total 2 2 5 2 2 8" xfId="61997"/>
    <cellStyle name="Total 2 2 5 2 3" xfId="15680"/>
    <cellStyle name="Total 2 2 5 2 4" xfId="23996"/>
    <cellStyle name="Total 2 2 5 2 5" xfId="31291"/>
    <cellStyle name="Total 2 2 5 2 6" xfId="60129"/>
    <cellStyle name="Total 2 2 5 2 7" xfId="60130"/>
    <cellStyle name="Total 2 2 5 2 8" xfId="60131"/>
    <cellStyle name="Total 2 2 5 2 9" xfId="60901"/>
    <cellStyle name="Total 2 2 5 3" xfId="1312"/>
    <cellStyle name="Total 2 2 5 3 10" xfId="61342"/>
    <cellStyle name="Total 2 2 5 3 11" xfId="61943"/>
    <cellStyle name="Total 2 2 5 3 2" xfId="1835"/>
    <cellStyle name="Total 2 2 5 3 2 2" xfId="2975"/>
    <cellStyle name="Total 2 2 5 3 2 2 2" xfId="6395"/>
    <cellStyle name="Total 2 2 5 3 2 2 2 2" xfId="13235"/>
    <cellStyle name="Total 2 2 5 3 2 2 3" xfId="9815"/>
    <cellStyle name="Total 2 2 5 3 2 3" xfId="4115"/>
    <cellStyle name="Total 2 2 5 3 2 3 2" xfId="7535"/>
    <cellStyle name="Total 2 2 5 3 2 3 2 2" xfId="14375"/>
    <cellStyle name="Total 2 2 5 3 2 3 3" xfId="10955"/>
    <cellStyle name="Total 2 2 5 3 2 4" xfId="5255"/>
    <cellStyle name="Total 2 2 5 3 2 4 2" xfId="12095"/>
    <cellStyle name="Total 2 2 5 3 2 5" xfId="8675"/>
    <cellStyle name="Total 2 2 5 3 3" xfId="2132"/>
    <cellStyle name="Total 2 2 5 3 3 2" xfId="5552"/>
    <cellStyle name="Total 2 2 5 3 3 2 2" xfId="12392"/>
    <cellStyle name="Total 2 2 5 3 3 3" xfId="8972"/>
    <cellStyle name="Total 2 2 5 3 4" xfId="3272"/>
    <cellStyle name="Total 2 2 5 3 4 2" xfId="6692"/>
    <cellStyle name="Total 2 2 5 3 4 2 2" xfId="13532"/>
    <cellStyle name="Total 2 2 5 3 4 3" xfId="10112"/>
    <cellStyle name="Total 2 2 5 3 5" xfId="4412"/>
    <cellStyle name="Total 2 2 5 3 5 2" xfId="11252"/>
    <cellStyle name="Total 2 2 5 3 6" xfId="7832"/>
    <cellStyle name="Total 2 2 5 3 7" xfId="16647"/>
    <cellStyle name="Total 2 2 5 3 8" xfId="24967"/>
    <cellStyle name="Total 2 2 5 3 9" xfId="32224"/>
    <cellStyle name="Total 2 2 5 4" xfId="17669"/>
    <cellStyle name="Total 2 2 5 4 2" xfId="25993"/>
    <cellStyle name="Total 2 2 5 4 2 2" xfId="60132"/>
    <cellStyle name="Total 2 2 5 4 2 3" xfId="60133"/>
    <cellStyle name="Total 2 2 5 4 3" xfId="33201"/>
    <cellStyle name="Total 2 2 5 4 4" xfId="60134"/>
    <cellStyle name="Total 2 2 5 5" xfId="18652"/>
    <cellStyle name="Total 2 2 5 5 2" xfId="26973"/>
    <cellStyle name="Total 2 2 5 5 2 2" xfId="60135"/>
    <cellStyle name="Total 2 2 5 5 2 3" xfId="60136"/>
    <cellStyle name="Total 2 2 5 5 3" xfId="34139"/>
    <cellStyle name="Total 2 2 5 5 4" xfId="60137"/>
    <cellStyle name="Total 2 2 5 6" xfId="19621"/>
    <cellStyle name="Total 2 2 5 6 2" xfId="27942"/>
    <cellStyle name="Total 2 2 5 6 2 2" xfId="60138"/>
    <cellStyle name="Total 2 2 5 6 2 3" xfId="60139"/>
    <cellStyle name="Total 2 2 5 6 3" xfId="35085"/>
    <cellStyle name="Total 2 2 5 6 4" xfId="60140"/>
    <cellStyle name="Total 2 2 5 7" xfId="20578"/>
    <cellStyle name="Total 2 2 5 7 2" xfId="28900"/>
    <cellStyle name="Total 2 2 5 7 2 2" xfId="60141"/>
    <cellStyle name="Total 2 2 5 7 2 3" xfId="60142"/>
    <cellStyle name="Total 2 2 5 7 3" xfId="36001"/>
    <cellStyle name="Total 2 2 5 7 4" xfId="60143"/>
    <cellStyle name="Total 2 2 5 8" xfId="21206"/>
    <cellStyle name="Total 2 2 5 8 2" xfId="29518"/>
    <cellStyle name="Total 2 2 5 8 2 2" xfId="60144"/>
    <cellStyle name="Total 2 2 5 8 2 3" xfId="60145"/>
    <cellStyle name="Total 2 2 5 8 3" xfId="36587"/>
    <cellStyle name="Total 2 2 5 8 4" xfId="60146"/>
    <cellStyle name="Total 2 2 5 9" xfId="22015"/>
    <cellStyle name="Total 2 2 5 9 2" xfId="30314"/>
    <cellStyle name="Total 2 2 5 9 3" xfId="37352"/>
    <cellStyle name="Total 2 2 6" xfId="204"/>
    <cellStyle name="Total 2 2 6 10" xfId="22979"/>
    <cellStyle name="Total 2 2 6 11" xfId="60147"/>
    <cellStyle name="Total 2 2 6 12" xfId="60148"/>
    <cellStyle name="Total 2 2 6 13" xfId="60149"/>
    <cellStyle name="Total 2 2 6 14" xfId="60150"/>
    <cellStyle name="Total 2 2 6 15" xfId="60888"/>
    <cellStyle name="Total 2 2 6 2" xfId="226"/>
    <cellStyle name="Total 2 2 6 2 2" xfId="1233"/>
    <cellStyle name="Total 2 2 6 2 2 2" xfId="1011"/>
    <cellStyle name="Total 2 2 6 2 2 2 2" xfId="2590"/>
    <cellStyle name="Total 2 2 6 2 2 2 2 2" xfId="6010"/>
    <cellStyle name="Total 2 2 6 2 2 2 2 2 2" xfId="12850"/>
    <cellStyle name="Total 2 2 6 2 2 2 2 3" xfId="9430"/>
    <cellStyle name="Total 2 2 6 2 2 2 3" xfId="3730"/>
    <cellStyle name="Total 2 2 6 2 2 2 3 2" xfId="7150"/>
    <cellStyle name="Total 2 2 6 2 2 2 3 2 2" xfId="13990"/>
    <cellStyle name="Total 2 2 6 2 2 2 3 3" xfId="10570"/>
    <cellStyle name="Total 2 2 6 2 2 2 4" xfId="4870"/>
    <cellStyle name="Total 2 2 6 2 2 2 4 2" xfId="11710"/>
    <cellStyle name="Total 2 2 6 2 2 2 5" xfId="8290"/>
    <cellStyle name="Total 2 2 6 2 2 3" xfId="2053"/>
    <cellStyle name="Total 2 2 6 2 2 3 2" xfId="5473"/>
    <cellStyle name="Total 2 2 6 2 2 3 2 2" xfId="12313"/>
    <cellStyle name="Total 2 2 6 2 2 3 3" xfId="8893"/>
    <cellStyle name="Total 2 2 6 2 2 4" xfId="3193"/>
    <cellStyle name="Total 2 2 6 2 2 4 2" xfId="6613"/>
    <cellStyle name="Total 2 2 6 2 2 4 2 2" xfId="13453"/>
    <cellStyle name="Total 2 2 6 2 2 4 3" xfId="10033"/>
    <cellStyle name="Total 2 2 6 2 2 5" xfId="4333"/>
    <cellStyle name="Total 2 2 6 2 2 5 2" xfId="11173"/>
    <cellStyle name="Total 2 2 6 2 2 6" xfId="7753"/>
    <cellStyle name="Total 2 2 6 2 2 7" xfId="61381"/>
    <cellStyle name="Total 2 2 6 2 2 8" xfId="61971"/>
    <cellStyle name="Total 2 2 6 2 3" xfId="15698"/>
    <cellStyle name="Total 2 2 6 2 4" xfId="24014"/>
    <cellStyle name="Total 2 2 6 2 5" xfId="31308"/>
    <cellStyle name="Total 2 2 6 2 6" xfId="60151"/>
    <cellStyle name="Total 2 2 6 2 7" xfId="60152"/>
    <cellStyle name="Total 2 2 6 2 8" xfId="60153"/>
    <cellStyle name="Total 2 2 6 2 9" xfId="60909"/>
    <cellStyle name="Total 2 2 6 3" xfId="1212"/>
    <cellStyle name="Total 2 2 6 3 10" xfId="61517"/>
    <cellStyle name="Total 2 2 6 3 11" xfId="62068"/>
    <cellStyle name="Total 2 2 6 3 2" xfId="1736"/>
    <cellStyle name="Total 2 2 6 3 2 2" xfId="2876"/>
    <cellStyle name="Total 2 2 6 3 2 2 2" xfId="6296"/>
    <cellStyle name="Total 2 2 6 3 2 2 2 2" xfId="13136"/>
    <cellStyle name="Total 2 2 6 3 2 2 3" xfId="9716"/>
    <cellStyle name="Total 2 2 6 3 2 3" xfId="4016"/>
    <cellStyle name="Total 2 2 6 3 2 3 2" xfId="7436"/>
    <cellStyle name="Total 2 2 6 3 2 3 2 2" xfId="14276"/>
    <cellStyle name="Total 2 2 6 3 2 3 3" xfId="10856"/>
    <cellStyle name="Total 2 2 6 3 2 4" xfId="5156"/>
    <cellStyle name="Total 2 2 6 3 2 4 2" xfId="11996"/>
    <cellStyle name="Total 2 2 6 3 2 5" xfId="8576"/>
    <cellStyle name="Total 2 2 6 3 3" xfId="2031"/>
    <cellStyle name="Total 2 2 6 3 3 2" xfId="5451"/>
    <cellStyle name="Total 2 2 6 3 3 2 2" xfId="12291"/>
    <cellStyle name="Total 2 2 6 3 3 3" xfId="8871"/>
    <cellStyle name="Total 2 2 6 3 4" xfId="3171"/>
    <cellStyle name="Total 2 2 6 3 4 2" xfId="6591"/>
    <cellStyle name="Total 2 2 6 3 4 2 2" xfId="13431"/>
    <cellStyle name="Total 2 2 6 3 4 3" xfId="10011"/>
    <cellStyle name="Total 2 2 6 3 5" xfId="4311"/>
    <cellStyle name="Total 2 2 6 3 5 2" xfId="11151"/>
    <cellStyle name="Total 2 2 6 3 6" xfId="7731"/>
    <cellStyle name="Total 2 2 6 3 7" xfId="16665"/>
    <cellStyle name="Total 2 2 6 3 8" xfId="24985"/>
    <cellStyle name="Total 2 2 6 3 9" xfId="32241"/>
    <cellStyle name="Total 2 2 6 4" xfId="17688"/>
    <cellStyle name="Total 2 2 6 4 2" xfId="26011"/>
    <cellStyle name="Total 2 2 6 4 2 2" xfId="60154"/>
    <cellStyle name="Total 2 2 6 4 2 3" xfId="60155"/>
    <cellStyle name="Total 2 2 6 4 3" xfId="33218"/>
    <cellStyle name="Total 2 2 6 4 4" xfId="60156"/>
    <cellStyle name="Total 2 2 6 5" xfId="18671"/>
    <cellStyle name="Total 2 2 6 5 2" xfId="26992"/>
    <cellStyle name="Total 2 2 6 5 2 2" xfId="60157"/>
    <cellStyle name="Total 2 2 6 5 2 3" xfId="60158"/>
    <cellStyle name="Total 2 2 6 5 3" xfId="34157"/>
    <cellStyle name="Total 2 2 6 5 4" xfId="60159"/>
    <cellStyle name="Total 2 2 6 6" xfId="19640"/>
    <cellStyle name="Total 2 2 6 6 2" xfId="27961"/>
    <cellStyle name="Total 2 2 6 6 2 2" xfId="60160"/>
    <cellStyle name="Total 2 2 6 6 2 3" xfId="60161"/>
    <cellStyle name="Total 2 2 6 6 3" xfId="35103"/>
    <cellStyle name="Total 2 2 6 6 4" xfId="60162"/>
    <cellStyle name="Total 2 2 6 7" xfId="20597"/>
    <cellStyle name="Total 2 2 6 7 2" xfId="28918"/>
    <cellStyle name="Total 2 2 6 7 2 2" xfId="60163"/>
    <cellStyle name="Total 2 2 6 7 2 3" xfId="60164"/>
    <cellStyle name="Total 2 2 6 7 3" xfId="36018"/>
    <cellStyle name="Total 2 2 6 7 4" xfId="60165"/>
    <cellStyle name="Total 2 2 6 8" xfId="21240"/>
    <cellStyle name="Total 2 2 6 8 2" xfId="29550"/>
    <cellStyle name="Total 2 2 6 8 2 2" xfId="60166"/>
    <cellStyle name="Total 2 2 6 8 2 3" xfId="60167"/>
    <cellStyle name="Total 2 2 6 8 3" xfId="36618"/>
    <cellStyle name="Total 2 2 6 8 4" xfId="60168"/>
    <cellStyle name="Total 2 2 6 9" xfId="22034"/>
    <cellStyle name="Total 2 2 6 9 2" xfId="30332"/>
    <cellStyle name="Total 2 2 6 9 3" xfId="37369"/>
    <cellStyle name="Total 2 2 7" xfId="420"/>
    <cellStyle name="Total 2 2 7 10" xfId="14596"/>
    <cellStyle name="Total 2 2 7 11" xfId="22956"/>
    <cellStyle name="Total 2 2 7 12" xfId="60169"/>
    <cellStyle name="Total 2 2 7 13" xfId="60170"/>
    <cellStyle name="Total 2 2 7 14" xfId="60171"/>
    <cellStyle name="Total 2 2 7 15" xfId="61101"/>
    <cellStyle name="Total 2 2 7 2" xfId="524"/>
    <cellStyle name="Total 2 2 7 2 2" xfId="1528"/>
    <cellStyle name="Total 2 2 7 2 2 2" xfId="1741"/>
    <cellStyle name="Total 2 2 7 2 2 2 2" xfId="2881"/>
    <cellStyle name="Total 2 2 7 2 2 2 2 2" xfId="6301"/>
    <cellStyle name="Total 2 2 7 2 2 2 2 2 2" xfId="13141"/>
    <cellStyle name="Total 2 2 7 2 2 2 2 3" xfId="9721"/>
    <cellStyle name="Total 2 2 7 2 2 2 3" xfId="4021"/>
    <cellStyle name="Total 2 2 7 2 2 2 3 2" xfId="7441"/>
    <cellStyle name="Total 2 2 7 2 2 2 3 2 2" xfId="14281"/>
    <cellStyle name="Total 2 2 7 2 2 2 3 3" xfId="10861"/>
    <cellStyle name="Total 2 2 7 2 2 2 4" xfId="5161"/>
    <cellStyle name="Total 2 2 7 2 2 2 4 2" xfId="12001"/>
    <cellStyle name="Total 2 2 7 2 2 2 5" xfId="8581"/>
    <cellStyle name="Total 2 2 7 2 2 3" xfId="2349"/>
    <cellStyle name="Total 2 2 7 2 2 3 2" xfId="5769"/>
    <cellStyle name="Total 2 2 7 2 2 3 2 2" xfId="12609"/>
    <cellStyle name="Total 2 2 7 2 2 3 3" xfId="9189"/>
    <cellStyle name="Total 2 2 7 2 2 4" xfId="3489"/>
    <cellStyle name="Total 2 2 7 2 2 4 2" xfId="6909"/>
    <cellStyle name="Total 2 2 7 2 2 4 2 2" xfId="13749"/>
    <cellStyle name="Total 2 2 7 2 2 4 3" xfId="10329"/>
    <cellStyle name="Total 2 2 7 2 2 5" xfId="4629"/>
    <cellStyle name="Total 2 2 7 2 2 5 2" xfId="11469"/>
    <cellStyle name="Total 2 2 7 2 2 6" xfId="8049"/>
    <cellStyle name="Total 2 2 7 2 2 7" xfId="61417"/>
    <cellStyle name="Total 2 2 7 2 2 8" xfId="61996"/>
    <cellStyle name="Total 2 2 7 2 3" xfId="15676"/>
    <cellStyle name="Total 2 2 7 2 4" xfId="23991"/>
    <cellStyle name="Total 2 2 7 2 5" xfId="31286"/>
    <cellStyle name="Total 2 2 7 2 6" xfId="60172"/>
    <cellStyle name="Total 2 2 7 2 7" xfId="60173"/>
    <cellStyle name="Total 2 2 7 2 8" xfId="60174"/>
    <cellStyle name="Total 2 2 7 2 9" xfId="61204"/>
    <cellStyle name="Total 2 2 7 3" xfId="1425"/>
    <cellStyle name="Total 2 2 7 3 10" xfId="61341"/>
    <cellStyle name="Total 2 2 7 3 11" xfId="61942"/>
    <cellStyle name="Total 2 2 7 3 2" xfId="1827"/>
    <cellStyle name="Total 2 2 7 3 2 2" xfId="2967"/>
    <cellStyle name="Total 2 2 7 3 2 2 2" xfId="6387"/>
    <cellStyle name="Total 2 2 7 3 2 2 2 2" xfId="13227"/>
    <cellStyle name="Total 2 2 7 3 2 2 3" xfId="9807"/>
    <cellStyle name="Total 2 2 7 3 2 3" xfId="4107"/>
    <cellStyle name="Total 2 2 7 3 2 3 2" xfId="7527"/>
    <cellStyle name="Total 2 2 7 3 2 3 2 2" xfId="14367"/>
    <cellStyle name="Total 2 2 7 3 2 3 3" xfId="10947"/>
    <cellStyle name="Total 2 2 7 3 2 4" xfId="5247"/>
    <cellStyle name="Total 2 2 7 3 2 4 2" xfId="12087"/>
    <cellStyle name="Total 2 2 7 3 2 5" xfId="8667"/>
    <cellStyle name="Total 2 2 7 3 3" xfId="2246"/>
    <cellStyle name="Total 2 2 7 3 3 2" xfId="5666"/>
    <cellStyle name="Total 2 2 7 3 3 2 2" xfId="12506"/>
    <cellStyle name="Total 2 2 7 3 3 3" xfId="9086"/>
    <cellStyle name="Total 2 2 7 3 4" xfId="3386"/>
    <cellStyle name="Total 2 2 7 3 4 2" xfId="6806"/>
    <cellStyle name="Total 2 2 7 3 4 2 2" xfId="13646"/>
    <cellStyle name="Total 2 2 7 3 4 3" xfId="10226"/>
    <cellStyle name="Total 2 2 7 3 5" xfId="4526"/>
    <cellStyle name="Total 2 2 7 3 5 2" xfId="11366"/>
    <cellStyle name="Total 2 2 7 3 6" xfId="7946"/>
    <cellStyle name="Total 2 2 7 3 7" xfId="16643"/>
    <cellStyle name="Total 2 2 7 3 8" xfId="24962"/>
    <cellStyle name="Total 2 2 7 3 9" xfId="32219"/>
    <cellStyle name="Total 2 2 7 4" xfId="17664"/>
    <cellStyle name="Total 2 2 7 4 2" xfId="25988"/>
    <cellStyle name="Total 2 2 7 4 2 2" xfId="60175"/>
    <cellStyle name="Total 2 2 7 4 2 3" xfId="60176"/>
    <cellStyle name="Total 2 2 7 4 3" xfId="33196"/>
    <cellStyle name="Total 2 2 7 4 4" xfId="60177"/>
    <cellStyle name="Total 2 2 7 5" xfId="18647"/>
    <cellStyle name="Total 2 2 7 5 2" xfId="26968"/>
    <cellStyle name="Total 2 2 7 5 2 2" xfId="60178"/>
    <cellStyle name="Total 2 2 7 5 2 3" xfId="60179"/>
    <cellStyle name="Total 2 2 7 5 3" xfId="34134"/>
    <cellStyle name="Total 2 2 7 5 4" xfId="60180"/>
    <cellStyle name="Total 2 2 7 6" xfId="19616"/>
    <cellStyle name="Total 2 2 7 6 2" xfId="27937"/>
    <cellStyle name="Total 2 2 7 6 2 2" xfId="60181"/>
    <cellStyle name="Total 2 2 7 6 2 3" xfId="60182"/>
    <cellStyle name="Total 2 2 7 6 3" xfId="35080"/>
    <cellStyle name="Total 2 2 7 6 4" xfId="60183"/>
    <cellStyle name="Total 2 2 7 7" xfId="20573"/>
    <cellStyle name="Total 2 2 7 7 2" xfId="28895"/>
    <cellStyle name="Total 2 2 7 7 2 2" xfId="60184"/>
    <cellStyle name="Total 2 2 7 7 2 3" xfId="60185"/>
    <cellStyle name="Total 2 2 7 7 3" xfId="35996"/>
    <cellStyle name="Total 2 2 7 7 4" xfId="60186"/>
    <cellStyle name="Total 2 2 7 8" xfId="21317"/>
    <cellStyle name="Total 2 2 7 8 2" xfId="29623"/>
    <cellStyle name="Total 2 2 7 8 2 2" xfId="60187"/>
    <cellStyle name="Total 2 2 7 8 2 3" xfId="60188"/>
    <cellStyle name="Total 2 2 7 8 3" xfId="36690"/>
    <cellStyle name="Total 2 2 7 8 4" xfId="60189"/>
    <cellStyle name="Total 2 2 7 9" xfId="22010"/>
    <cellStyle name="Total 2 2 7 9 2" xfId="30309"/>
    <cellStyle name="Total 2 2 7 9 3" xfId="37347"/>
    <cellStyle name="Total 2 2 8" xfId="506"/>
    <cellStyle name="Total 2 2 8 10" xfId="14635"/>
    <cellStyle name="Total 2 2 8 11" xfId="22997"/>
    <cellStyle name="Total 2 2 8 12" xfId="60190"/>
    <cellStyle name="Total 2 2 8 13" xfId="60191"/>
    <cellStyle name="Total 2 2 8 14" xfId="60192"/>
    <cellStyle name="Total 2 2 8 15" xfId="61186"/>
    <cellStyle name="Total 2 2 8 2" xfId="455"/>
    <cellStyle name="Total 2 2 8 2 2" xfId="1459"/>
    <cellStyle name="Total 2 2 8 2 2 2" xfId="1814"/>
    <cellStyle name="Total 2 2 8 2 2 2 2" xfId="2954"/>
    <cellStyle name="Total 2 2 8 2 2 2 2 2" xfId="6374"/>
    <cellStyle name="Total 2 2 8 2 2 2 2 2 2" xfId="13214"/>
    <cellStyle name="Total 2 2 8 2 2 2 2 3" xfId="9794"/>
    <cellStyle name="Total 2 2 8 2 2 2 3" xfId="4094"/>
    <cellStyle name="Total 2 2 8 2 2 2 3 2" xfId="7514"/>
    <cellStyle name="Total 2 2 8 2 2 2 3 2 2" xfId="14354"/>
    <cellStyle name="Total 2 2 8 2 2 2 3 3" xfId="10934"/>
    <cellStyle name="Total 2 2 8 2 2 2 4" xfId="5234"/>
    <cellStyle name="Total 2 2 8 2 2 2 4 2" xfId="12074"/>
    <cellStyle name="Total 2 2 8 2 2 2 5" xfId="8654"/>
    <cellStyle name="Total 2 2 8 2 2 3" xfId="2280"/>
    <cellStyle name="Total 2 2 8 2 2 3 2" xfId="5700"/>
    <cellStyle name="Total 2 2 8 2 2 3 2 2" xfId="12540"/>
    <cellStyle name="Total 2 2 8 2 2 3 3" xfId="9120"/>
    <cellStyle name="Total 2 2 8 2 2 4" xfId="3420"/>
    <cellStyle name="Total 2 2 8 2 2 4 2" xfId="6840"/>
    <cellStyle name="Total 2 2 8 2 2 4 2 2" xfId="13680"/>
    <cellStyle name="Total 2 2 8 2 2 4 3" xfId="10260"/>
    <cellStyle name="Total 2 2 8 2 2 5" xfId="4560"/>
    <cellStyle name="Total 2 2 8 2 2 5 2" xfId="11400"/>
    <cellStyle name="Total 2 2 8 2 2 6" xfId="7980"/>
    <cellStyle name="Total 2 2 8 2 2 7" xfId="61380"/>
    <cellStyle name="Total 2 2 8 2 2 8" xfId="61970"/>
    <cellStyle name="Total 2 2 8 2 3" xfId="15716"/>
    <cellStyle name="Total 2 2 8 2 4" xfId="24032"/>
    <cellStyle name="Total 2 2 8 2 5" xfId="31325"/>
    <cellStyle name="Total 2 2 8 2 6" xfId="60193"/>
    <cellStyle name="Total 2 2 8 2 7" xfId="60194"/>
    <cellStyle name="Total 2 2 8 2 8" xfId="60195"/>
    <cellStyle name="Total 2 2 8 2 9" xfId="61135"/>
    <cellStyle name="Total 2 2 8 3" xfId="1510"/>
    <cellStyle name="Total 2 2 8 3 10" xfId="61516"/>
    <cellStyle name="Total 2 2 8 3 11" xfId="62067"/>
    <cellStyle name="Total 2 2 8 3 2" xfId="1807"/>
    <cellStyle name="Total 2 2 8 3 2 2" xfId="2947"/>
    <cellStyle name="Total 2 2 8 3 2 2 2" xfId="6367"/>
    <cellStyle name="Total 2 2 8 3 2 2 2 2" xfId="13207"/>
    <cellStyle name="Total 2 2 8 3 2 2 3" xfId="9787"/>
    <cellStyle name="Total 2 2 8 3 2 3" xfId="4087"/>
    <cellStyle name="Total 2 2 8 3 2 3 2" xfId="7507"/>
    <cellStyle name="Total 2 2 8 3 2 3 2 2" xfId="14347"/>
    <cellStyle name="Total 2 2 8 3 2 3 3" xfId="10927"/>
    <cellStyle name="Total 2 2 8 3 2 4" xfId="5227"/>
    <cellStyle name="Total 2 2 8 3 2 4 2" xfId="12067"/>
    <cellStyle name="Total 2 2 8 3 2 5" xfId="8647"/>
    <cellStyle name="Total 2 2 8 3 3" xfId="2331"/>
    <cellStyle name="Total 2 2 8 3 3 2" xfId="5751"/>
    <cellStyle name="Total 2 2 8 3 3 2 2" xfId="12591"/>
    <cellStyle name="Total 2 2 8 3 3 3" xfId="9171"/>
    <cellStyle name="Total 2 2 8 3 4" xfId="3471"/>
    <cellStyle name="Total 2 2 8 3 4 2" xfId="6891"/>
    <cellStyle name="Total 2 2 8 3 4 2 2" xfId="13731"/>
    <cellStyle name="Total 2 2 8 3 4 3" xfId="10311"/>
    <cellStyle name="Total 2 2 8 3 5" xfId="4611"/>
    <cellStyle name="Total 2 2 8 3 5 2" xfId="11451"/>
    <cellStyle name="Total 2 2 8 3 6" xfId="8031"/>
    <cellStyle name="Total 2 2 8 3 7" xfId="16682"/>
    <cellStyle name="Total 2 2 8 3 8" xfId="25003"/>
    <cellStyle name="Total 2 2 8 3 9" xfId="32258"/>
    <cellStyle name="Total 2 2 8 4" xfId="17706"/>
    <cellStyle name="Total 2 2 8 4 2" xfId="26029"/>
    <cellStyle name="Total 2 2 8 4 2 2" xfId="60196"/>
    <cellStyle name="Total 2 2 8 4 2 3" xfId="60197"/>
    <cellStyle name="Total 2 2 8 4 3" xfId="33235"/>
    <cellStyle name="Total 2 2 8 4 4" xfId="60198"/>
    <cellStyle name="Total 2 2 8 5" xfId="18689"/>
    <cellStyle name="Total 2 2 8 5 2" xfId="27010"/>
    <cellStyle name="Total 2 2 8 5 2 2" xfId="60199"/>
    <cellStyle name="Total 2 2 8 5 2 3" xfId="60200"/>
    <cellStyle name="Total 2 2 8 5 3" xfId="34174"/>
    <cellStyle name="Total 2 2 8 5 4" xfId="60201"/>
    <cellStyle name="Total 2 2 8 6" xfId="19658"/>
    <cellStyle name="Total 2 2 8 6 2" xfId="27979"/>
    <cellStyle name="Total 2 2 8 6 2 2" xfId="60202"/>
    <cellStyle name="Total 2 2 8 6 2 3" xfId="60203"/>
    <cellStyle name="Total 2 2 8 6 3" xfId="35120"/>
    <cellStyle name="Total 2 2 8 6 4" xfId="60204"/>
    <cellStyle name="Total 2 2 8 7" xfId="20615"/>
    <cellStyle name="Total 2 2 8 7 2" xfId="28936"/>
    <cellStyle name="Total 2 2 8 7 2 2" xfId="60205"/>
    <cellStyle name="Total 2 2 8 7 2 3" xfId="60206"/>
    <cellStyle name="Total 2 2 8 7 3" xfId="36035"/>
    <cellStyle name="Total 2 2 8 7 4" xfId="60207"/>
    <cellStyle name="Total 2 2 8 8" xfId="15539"/>
    <cellStyle name="Total 2 2 8 8 2" xfId="23874"/>
    <cellStyle name="Total 2 2 8 8 2 2" xfId="60208"/>
    <cellStyle name="Total 2 2 8 8 2 3" xfId="60209"/>
    <cellStyle name="Total 2 2 8 8 3" xfId="31219"/>
    <cellStyle name="Total 2 2 8 8 4" xfId="60210"/>
    <cellStyle name="Total 2 2 8 9" xfId="22052"/>
    <cellStyle name="Total 2 2 8 9 2" xfId="30350"/>
    <cellStyle name="Total 2 2 8 9 3" xfId="37386"/>
    <cellStyle name="Total 2 2 9" xfId="1098"/>
    <cellStyle name="Total 2 2 9 10" xfId="14639"/>
    <cellStyle name="Total 2 2 9 11" xfId="23001"/>
    <cellStyle name="Total 2 2 9 12" xfId="61880"/>
    <cellStyle name="Total 2 2 9 2" xfId="1079"/>
    <cellStyle name="Total 2 2 9 2 10" xfId="61941"/>
    <cellStyle name="Total 2 2 9 2 2" xfId="2631"/>
    <cellStyle name="Total 2 2 9 2 2 2" xfId="6051"/>
    <cellStyle name="Total 2 2 9 2 2 2 2" xfId="12891"/>
    <cellStyle name="Total 2 2 9 2 2 3" xfId="9471"/>
    <cellStyle name="Total 2 2 9 2 3" xfId="3771"/>
    <cellStyle name="Total 2 2 9 2 3 2" xfId="7191"/>
    <cellStyle name="Total 2 2 9 2 3 2 2" xfId="14031"/>
    <cellStyle name="Total 2 2 9 2 3 3" xfId="10611"/>
    <cellStyle name="Total 2 2 9 2 4" xfId="4911"/>
    <cellStyle name="Total 2 2 9 2 4 2" xfId="11751"/>
    <cellStyle name="Total 2 2 9 2 5" xfId="8331"/>
    <cellStyle name="Total 2 2 9 2 6" xfId="15720"/>
    <cellStyle name="Total 2 2 9 2 7" xfId="24036"/>
    <cellStyle name="Total 2 2 9 2 8" xfId="31329"/>
    <cellStyle name="Total 2 2 9 2 9" xfId="61340"/>
    <cellStyle name="Total 2 2 9 3" xfId="1905"/>
    <cellStyle name="Total 2 2 9 3 2" xfId="5325"/>
    <cellStyle name="Total 2 2 9 3 2 2" xfId="12165"/>
    <cellStyle name="Total 2 2 9 3 2 3" xfId="60211"/>
    <cellStyle name="Total 2 2 9 3 3" xfId="8745"/>
    <cellStyle name="Total 2 2 9 3 4" xfId="16686"/>
    <cellStyle name="Total 2 2 9 3 5" xfId="25007"/>
    <cellStyle name="Total 2 2 9 3 6" xfId="32262"/>
    <cellStyle name="Total 2 2 9 4" xfId="3045"/>
    <cellStyle name="Total 2 2 9 4 2" xfId="6465"/>
    <cellStyle name="Total 2 2 9 4 2 2" xfId="13305"/>
    <cellStyle name="Total 2 2 9 4 2 3" xfId="60212"/>
    <cellStyle name="Total 2 2 9 4 3" xfId="9885"/>
    <cellStyle name="Total 2 2 9 4 4" xfId="17710"/>
    <cellStyle name="Total 2 2 9 4 5" xfId="26033"/>
    <cellStyle name="Total 2 2 9 4 6" xfId="33239"/>
    <cellStyle name="Total 2 2 9 5" xfId="4185"/>
    <cellStyle name="Total 2 2 9 5 2" xfId="11025"/>
    <cellStyle name="Total 2 2 9 5 2 2" xfId="60213"/>
    <cellStyle name="Total 2 2 9 5 2 3" xfId="60214"/>
    <cellStyle name="Total 2 2 9 5 3" xfId="18693"/>
    <cellStyle name="Total 2 2 9 5 4" xfId="27014"/>
    <cellStyle name="Total 2 2 9 5 5" xfId="34178"/>
    <cellStyle name="Total 2 2 9 6" xfId="7605"/>
    <cellStyle name="Total 2 2 9 6 2" xfId="19662"/>
    <cellStyle name="Total 2 2 9 6 2 2" xfId="60215"/>
    <cellStyle name="Total 2 2 9 6 2 3" xfId="60216"/>
    <cellStyle name="Total 2 2 9 6 3" xfId="27983"/>
    <cellStyle name="Total 2 2 9 6 4" xfId="35124"/>
    <cellStyle name="Total 2 2 9 7" xfId="20619"/>
    <cellStyle name="Total 2 2 9 7 2" xfId="28940"/>
    <cellStyle name="Total 2 2 9 7 2 2" xfId="60217"/>
    <cellStyle name="Total 2 2 9 7 2 3" xfId="60218"/>
    <cellStyle name="Total 2 2 9 7 3" xfId="36039"/>
    <cellStyle name="Total 2 2 9 7 4" xfId="60219"/>
    <cellStyle name="Total 2 2 9 8" xfId="21332"/>
    <cellStyle name="Total 2 2 9 8 2" xfId="29637"/>
    <cellStyle name="Total 2 2 9 8 2 2" xfId="60220"/>
    <cellStyle name="Total 2 2 9 8 2 3" xfId="60221"/>
    <cellStyle name="Total 2 2 9 8 3" xfId="36703"/>
    <cellStyle name="Total 2 2 9 8 4" xfId="60222"/>
    <cellStyle name="Total 2 2 9 9" xfId="22056"/>
    <cellStyle name="Total 2 2 9 9 2" xfId="30354"/>
    <cellStyle name="Total 2 2 9 9 3" xfId="37390"/>
    <cellStyle name="Total 2 20" xfId="15216"/>
    <cellStyle name="Total 2 20 10" xfId="60223"/>
    <cellStyle name="Total 2 20 2" xfId="16296"/>
    <cellStyle name="Total 2 20 2 2" xfId="24609"/>
    <cellStyle name="Total 2 20 2 2 2" xfId="60224"/>
    <cellStyle name="Total 2 20 2 2 3" xfId="60225"/>
    <cellStyle name="Total 2 20 2 3" xfId="31878"/>
    <cellStyle name="Total 2 20 2 4" xfId="60226"/>
    <cellStyle name="Total 2 20 3" xfId="17262"/>
    <cellStyle name="Total 2 20 3 2" xfId="25583"/>
    <cellStyle name="Total 2 20 3 2 2" xfId="60227"/>
    <cellStyle name="Total 2 20 3 2 3" xfId="60228"/>
    <cellStyle name="Total 2 20 3 3" xfId="32811"/>
    <cellStyle name="Total 2 20 3 4" xfId="60229"/>
    <cellStyle name="Total 2 20 4" xfId="18290"/>
    <cellStyle name="Total 2 20 4 2" xfId="26610"/>
    <cellStyle name="Total 2 20 4 2 2" xfId="60230"/>
    <cellStyle name="Total 2 20 4 2 3" xfId="60231"/>
    <cellStyle name="Total 2 20 4 3" xfId="33789"/>
    <cellStyle name="Total 2 20 4 4" xfId="60232"/>
    <cellStyle name="Total 2 20 5" xfId="19274"/>
    <cellStyle name="Total 2 20 5 2" xfId="27594"/>
    <cellStyle name="Total 2 20 5 2 2" xfId="60233"/>
    <cellStyle name="Total 2 20 5 2 3" xfId="60234"/>
    <cellStyle name="Total 2 20 5 3" xfId="34742"/>
    <cellStyle name="Total 2 20 5 4" xfId="60235"/>
    <cellStyle name="Total 2 20 6" xfId="20242"/>
    <cellStyle name="Total 2 20 6 2" xfId="28564"/>
    <cellStyle name="Total 2 20 6 2 2" xfId="60236"/>
    <cellStyle name="Total 2 20 6 2 3" xfId="60237"/>
    <cellStyle name="Total 2 20 6 3" xfId="35681"/>
    <cellStyle name="Total 2 20 6 4" xfId="60238"/>
    <cellStyle name="Total 2 20 7" xfId="21703"/>
    <cellStyle name="Total 2 20 7 2" xfId="30004"/>
    <cellStyle name="Total 2 20 7 2 2" xfId="60239"/>
    <cellStyle name="Total 2 20 7 2 3" xfId="60240"/>
    <cellStyle name="Total 2 20 7 3" xfId="37055"/>
    <cellStyle name="Total 2 20 7 4" xfId="60241"/>
    <cellStyle name="Total 2 20 8" xfId="22631"/>
    <cellStyle name="Total 2 20 8 2" xfId="30927"/>
    <cellStyle name="Total 2 20 8 3" xfId="37938"/>
    <cellStyle name="Total 2 20 9" xfId="23573"/>
    <cellStyle name="Total 2 21" xfId="15210"/>
    <cellStyle name="Total 2 21 10" xfId="60242"/>
    <cellStyle name="Total 2 21 2" xfId="16290"/>
    <cellStyle name="Total 2 21 2 2" xfId="24603"/>
    <cellStyle name="Total 2 21 2 2 2" xfId="60243"/>
    <cellStyle name="Total 2 21 2 2 3" xfId="60244"/>
    <cellStyle name="Total 2 21 2 3" xfId="31872"/>
    <cellStyle name="Total 2 21 2 4" xfId="60245"/>
    <cellStyle name="Total 2 21 3" xfId="17256"/>
    <cellStyle name="Total 2 21 3 2" xfId="25577"/>
    <cellStyle name="Total 2 21 3 2 2" xfId="60246"/>
    <cellStyle name="Total 2 21 3 2 3" xfId="60247"/>
    <cellStyle name="Total 2 21 3 3" xfId="32805"/>
    <cellStyle name="Total 2 21 3 4" xfId="60248"/>
    <cellStyle name="Total 2 21 4" xfId="18284"/>
    <cellStyle name="Total 2 21 4 2" xfId="26604"/>
    <cellStyle name="Total 2 21 4 2 2" xfId="60249"/>
    <cellStyle name="Total 2 21 4 2 3" xfId="60250"/>
    <cellStyle name="Total 2 21 4 3" xfId="33783"/>
    <cellStyle name="Total 2 21 4 4" xfId="60251"/>
    <cellStyle name="Total 2 21 5" xfId="19268"/>
    <cellStyle name="Total 2 21 5 2" xfId="27588"/>
    <cellStyle name="Total 2 21 5 2 2" xfId="60252"/>
    <cellStyle name="Total 2 21 5 2 3" xfId="60253"/>
    <cellStyle name="Total 2 21 5 3" xfId="34736"/>
    <cellStyle name="Total 2 21 5 4" xfId="60254"/>
    <cellStyle name="Total 2 21 6" xfId="20236"/>
    <cellStyle name="Total 2 21 6 2" xfId="28558"/>
    <cellStyle name="Total 2 21 6 2 2" xfId="60255"/>
    <cellStyle name="Total 2 21 6 2 3" xfId="60256"/>
    <cellStyle name="Total 2 21 6 3" xfId="35675"/>
    <cellStyle name="Total 2 21 6 4" xfId="60257"/>
    <cellStyle name="Total 2 21 7" xfId="21697"/>
    <cellStyle name="Total 2 21 7 2" xfId="29998"/>
    <cellStyle name="Total 2 21 7 2 2" xfId="60258"/>
    <cellStyle name="Total 2 21 7 2 3" xfId="60259"/>
    <cellStyle name="Total 2 21 7 3" xfId="37049"/>
    <cellStyle name="Total 2 21 7 4" xfId="60260"/>
    <cellStyle name="Total 2 21 8" xfId="22625"/>
    <cellStyle name="Total 2 21 8 2" xfId="30921"/>
    <cellStyle name="Total 2 21 8 3" xfId="37932"/>
    <cellStyle name="Total 2 21 9" xfId="23567"/>
    <cellStyle name="Total 2 22" xfId="15344"/>
    <cellStyle name="Total 2 22 10" xfId="60261"/>
    <cellStyle name="Total 2 22 2" xfId="16424"/>
    <cellStyle name="Total 2 22 2 2" xfId="24737"/>
    <cellStyle name="Total 2 22 2 2 2" xfId="60262"/>
    <cellStyle name="Total 2 22 2 2 3" xfId="60263"/>
    <cellStyle name="Total 2 22 2 3" xfId="32002"/>
    <cellStyle name="Total 2 22 2 4" xfId="60264"/>
    <cellStyle name="Total 2 22 3" xfId="17390"/>
    <cellStyle name="Total 2 22 3 2" xfId="25711"/>
    <cellStyle name="Total 2 22 3 2 2" xfId="60265"/>
    <cellStyle name="Total 2 22 3 2 3" xfId="60266"/>
    <cellStyle name="Total 2 22 3 3" xfId="32935"/>
    <cellStyle name="Total 2 22 3 4" xfId="60267"/>
    <cellStyle name="Total 2 22 4" xfId="18418"/>
    <cellStyle name="Total 2 22 4 2" xfId="26738"/>
    <cellStyle name="Total 2 22 4 2 2" xfId="60268"/>
    <cellStyle name="Total 2 22 4 2 3" xfId="60269"/>
    <cellStyle name="Total 2 22 4 3" xfId="33913"/>
    <cellStyle name="Total 2 22 4 4" xfId="60270"/>
    <cellStyle name="Total 2 22 5" xfId="19401"/>
    <cellStyle name="Total 2 22 5 2" xfId="27722"/>
    <cellStyle name="Total 2 22 5 2 2" xfId="60271"/>
    <cellStyle name="Total 2 22 5 2 3" xfId="60272"/>
    <cellStyle name="Total 2 22 5 3" xfId="34870"/>
    <cellStyle name="Total 2 22 5 4" xfId="60273"/>
    <cellStyle name="Total 2 22 6" xfId="20370"/>
    <cellStyle name="Total 2 22 6 2" xfId="28692"/>
    <cellStyle name="Total 2 22 6 2 2" xfId="60274"/>
    <cellStyle name="Total 2 22 6 2 3" xfId="60275"/>
    <cellStyle name="Total 2 22 6 3" xfId="35805"/>
    <cellStyle name="Total 2 22 6 4" xfId="60276"/>
    <cellStyle name="Total 2 22 7" xfId="21831"/>
    <cellStyle name="Total 2 22 7 2" xfId="30132"/>
    <cellStyle name="Total 2 22 7 2 2" xfId="60277"/>
    <cellStyle name="Total 2 22 7 2 3" xfId="60278"/>
    <cellStyle name="Total 2 22 7 3" xfId="37179"/>
    <cellStyle name="Total 2 22 7 4" xfId="60279"/>
    <cellStyle name="Total 2 22 8" xfId="22759"/>
    <cellStyle name="Total 2 22 8 2" xfId="31055"/>
    <cellStyle name="Total 2 22 8 3" xfId="38062"/>
    <cellStyle name="Total 2 22 9" xfId="23701"/>
    <cellStyle name="Total 2 23" xfId="15463"/>
    <cellStyle name="Total 2 23 10" xfId="60280"/>
    <cellStyle name="Total 2 23 2" xfId="16543"/>
    <cellStyle name="Total 2 23 2 2" xfId="24856"/>
    <cellStyle name="Total 2 23 2 2 2" xfId="60281"/>
    <cellStyle name="Total 2 23 2 2 3" xfId="60282"/>
    <cellStyle name="Total 2 23 2 3" xfId="32116"/>
    <cellStyle name="Total 2 23 2 4" xfId="60283"/>
    <cellStyle name="Total 2 23 3" xfId="17509"/>
    <cellStyle name="Total 2 23 3 2" xfId="25830"/>
    <cellStyle name="Total 2 23 3 2 2" xfId="60284"/>
    <cellStyle name="Total 2 23 3 2 3" xfId="60285"/>
    <cellStyle name="Total 2 23 3 3" xfId="33049"/>
    <cellStyle name="Total 2 23 3 4" xfId="60286"/>
    <cellStyle name="Total 2 23 4" xfId="18537"/>
    <cellStyle name="Total 2 23 4 2" xfId="26857"/>
    <cellStyle name="Total 2 23 4 2 2" xfId="60287"/>
    <cellStyle name="Total 2 23 4 2 3" xfId="60288"/>
    <cellStyle name="Total 2 23 4 3" xfId="34027"/>
    <cellStyle name="Total 2 23 4 4" xfId="60289"/>
    <cellStyle name="Total 2 23 5" xfId="19520"/>
    <cellStyle name="Total 2 23 5 2" xfId="27841"/>
    <cellStyle name="Total 2 23 5 2 2" xfId="60290"/>
    <cellStyle name="Total 2 23 5 2 3" xfId="60291"/>
    <cellStyle name="Total 2 23 5 3" xfId="34989"/>
    <cellStyle name="Total 2 23 5 4" xfId="60292"/>
    <cellStyle name="Total 2 23 6" xfId="20489"/>
    <cellStyle name="Total 2 23 6 2" xfId="28811"/>
    <cellStyle name="Total 2 23 6 2 2" xfId="60293"/>
    <cellStyle name="Total 2 23 6 2 3" xfId="60294"/>
    <cellStyle name="Total 2 23 6 3" xfId="35919"/>
    <cellStyle name="Total 2 23 6 4" xfId="60295"/>
    <cellStyle name="Total 2 23 7" xfId="21950"/>
    <cellStyle name="Total 2 23 7 2" xfId="30251"/>
    <cellStyle name="Total 2 23 7 2 2" xfId="60296"/>
    <cellStyle name="Total 2 23 7 2 3" xfId="60297"/>
    <cellStyle name="Total 2 23 7 3" xfId="37292"/>
    <cellStyle name="Total 2 23 7 4" xfId="60298"/>
    <cellStyle name="Total 2 23 8" xfId="22878"/>
    <cellStyle name="Total 2 23 8 2" xfId="31174"/>
    <cellStyle name="Total 2 23 8 3" xfId="38176"/>
    <cellStyle name="Total 2 23 9" xfId="23820"/>
    <cellStyle name="Total 2 24" xfId="15509"/>
    <cellStyle name="Total 2 24 2" xfId="23849"/>
    <cellStyle name="Total 2 24 2 2" xfId="60299"/>
    <cellStyle name="Total 2 24 2 3" xfId="60300"/>
    <cellStyle name="Total 2 24 3" xfId="31198"/>
    <cellStyle name="Total 2 24 4" xfId="60301"/>
    <cellStyle name="Total 2 25" xfId="17559"/>
    <cellStyle name="Total 2 25 2" xfId="25878"/>
    <cellStyle name="Total 2 25 2 2" xfId="60302"/>
    <cellStyle name="Total 2 25 2 3" xfId="60303"/>
    <cellStyle name="Total 2 25 3" xfId="33093"/>
    <cellStyle name="Total 2 25 4" xfId="60304"/>
    <cellStyle name="Total 2 26" xfId="15533"/>
    <cellStyle name="Total 2 26 2" xfId="23869"/>
    <cellStyle name="Total 2 26 2 2" xfId="60305"/>
    <cellStyle name="Total 2 26 2 3" xfId="60306"/>
    <cellStyle name="Total 2 26 3" xfId="31215"/>
    <cellStyle name="Total 2 26 4" xfId="60307"/>
    <cellStyle name="Total 2 27" xfId="21230"/>
    <cellStyle name="Total 2 27 2" xfId="29541"/>
    <cellStyle name="Total 2 27 2 2" xfId="60308"/>
    <cellStyle name="Total 2 27 2 3" xfId="60309"/>
    <cellStyle name="Total 2 27 3" xfId="36610"/>
    <cellStyle name="Total 2 27 4" xfId="60310"/>
    <cellStyle name="Total 2 28" xfId="14496"/>
    <cellStyle name="Total 2 29" xfId="60311"/>
    <cellStyle name="Total 2 3" xfId="74"/>
    <cellStyle name="Total 2 3 10" xfId="14430"/>
    <cellStyle name="Total 2 3 10 2" xfId="60312"/>
    <cellStyle name="Total 2 3 10 3" xfId="60313"/>
    <cellStyle name="Total 2 3 11" xfId="60314"/>
    <cellStyle name="Total 2 3 12" xfId="60315"/>
    <cellStyle name="Total 2 3 13" xfId="60316"/>
    <cellStyle name="Total 2 3 14" xfId="60317"/>
    <cellStyle name="Total 2 3 15" xfId="60318"/>
    <cellStyle name="Total 2 3 16" xfId="60784"/>
    <cellStyle name="Total 2 3 2" xfId="151"/>
    <cellStyle name="Total 2 3 2 2" xfId="277"/>
    <cellStyle name="Total 2 3 2 2 2" xfId="686"/>
    <cellStyle name="Total 2 3 2 2 2 2" xfId="1637"/>
    <cellStyle name="Total 2 3 2 2 2 2 2" xfId="770"/>
    <cellStyle name="Total 2 3 2 2 2 2 2 2" xfId="2717"/>
    <cellStyle name="Total 2 3 2 2 2 2 2 2 2" xfId="6137"/>
    <cellStyle name="Total 2 3 2 2 2 2 2 2 2 2" xfId="12977"/>
    <cellStyle name="Total 2 3 2 2 2 2 2 2 3" xfId="9557"/>
    <cellStyle name="Total 2 3 2 2 2 2 2 3" xfId="3857"/>
    <cellStyle name="Total 2 3 2 2 2 2 2 3 2" xfId="7277"/>
    <cellStyle name="Total 2 3 2 2 2 2 2 3 2 2" xfId="14117"/>
    <cellStyle name="Total 2 3 2 2 2 2 2 3 3" xfId="10697"/>
    <cellStyle name="Total 2 3 2 2 2 2 2 4" xfId="4997"/>
    <cellStyle name="Total 2 3 2 2 2 2 2 4 2" xfId="11837"/>
    <cellStyle name="Total 2 3 2 2 2 2 2 5" xfId="8417"/>
    <cellStyle name="Total 2 3 2 2 2 2 3" xfId="2471"/>
    <cellStyle name="Total 2 3 2 2 2 2 3 2" xfId="5891"/>
    <cellStyle name="Total 2 3 2 2 2 2 3 2 2" xfId="12731"/>
    <cellStyle name="Total 2 3 2 2 2 2 3 3" xfId="9311"/>
    <cellStyle name="Total 2 3 2 2 2 2 4" xfId="3611"/>
    <cellStyle name="Total 2 3 2 2 2 2 4 2" xfId="7031"/>
    <cellStyle name="Total 2 3 2 2 2 2 4 2 2" xfId="13871"/>
    <cellStyle name="Total 2 3 2 2 2 2 4 3" xfId="10451"/>
    <cellStyle name="Total 2 3 2 2 2 2 5" xfId="4751"/>
    <cellStyle name="Total 2 3 2 2 2 2 5 2" xfId="11591"/>
    <cellStyle name="Total 2 3 2 2 2 2 6" xfId="8171"/>
    <cellStyle name="Total 2 3 2 2 2 2 7" xfId="61379"/>
    <cellStyle name="Total 2 3 2 2 2 2 8" xfId="61969"/>
    <cellStyle name="Total 2 3 2 2 2 3" xfId="38530"/>
    <cellStyle name="Total 2 3 2 2 2 4" xfId="60319"/>
    <cellStyle name="Total 2 3 2 2 2 5" xfId="60320"/>
    <cellStyle name="Total 2 3 2 2 2 6" xfId="60321"/>
    <cellStyle name="Total 2 3 2 2 2 7" xfId="61320"/>
    <cellStyle name="Total 2 3 2 2 3" xfId="1283"/>
    <cellStyle name="Total 2 3 2 2 3 2" xfId="1842"/>
    <cellStyle name="Total 2 3 2 2 3 2 2" xfId="2982"/>
    <cellStyle name="Total 2 3 2 2 3 2 2 2" xfId="6402"/>
    <cellStyle name="Total 2 3 2 2 3 2 2 2 2" xfId="13242"/>
    <cellStyle name="Total 2 3 2 2 3 2 2 3" xfId="9822"/>
    <cellStyle name="Total 2 3 2 2 3 2 3" xfId="4122"/>
    <cellStyle name="Total 2 3 2 2 3 2 3 2" xfId="7542"/>
    <cellStyle name="Total 2 3 2 2 3 2 3 2 2" xfId="14382"/>
    <cellStyle name="Total 2 3 2 2 3 2 3 3" xfId="10962"/>
    <cellStyle name="Total 2 3 2 2 3 2 4" xfId="5262"/>
    <cellStyle name="Total 2 3 2 2 3 2 4 2" xfId="12102"/>
    <cellStyle name="Total 2 3 2 2 3 2 5" xfId="8682"/>
    <cellStyle name="Total 2 3 2 2 3 3" xfId="2103"/>
    <cellStyle name="Total 2 3 2 2 3 3 2" xfId="5523"/>
    <cellStyle name="Total 2 3 2 2 3 3 2 2" xfId="12363"/>
    <cellStyle name="Total 2 3 2 2 3 3 3" xfId="8943"/>
    <cellStyle name="Total 2 3 2 2 3 4" xfId="3243"/>
    <cellStyle name="Total 2 3 2 2 3 4 2" xfId="6663"/>
    <cellStyle name="Total 2 3 2 2 3 4 2 2" xfId="13503"/>
    <cellStyle name="Total 2 3 2 2 3 4 3" xfId="10083"/>
    <cellStyle name="Total 2 3 2 2 3 5" xfId="4383"/>
    <cellStyle name="Total 2 3 2 2 3 5 2" xfId="11223"/>
    <cellStyle name="Total 2 3 2 2 3 6" xfId="7803"/>
    <cellStyle name="Total 2 3 2 2 3 7" xfId="61515"/>
    <cellStyle name="Total 2 3 2 2 3 8" xfId="62066"/>
    <cellStyle name="Total 2 3 2 2 4" xfId="38293"/>
    <cellStyle name="Total 2 3 2 2 5" xfId="60322"/>
    <cellStyle name="Total 2 3 2 2 6" xfId="60323"/>
    <cellStyle name="Total 2 3 2 2 7" xfId="60324"/>
    <cellStyle name="Total 2 3 2 2 8" xfId="60325"/>
    <cellStyle name="Total 2 3 2 2 9" xfId="60959"/>
    <cellStyle name="Total 2 3 2 3" xfId="598"/>
    <cellStyle name="Total 2 3 2 3 2" xfId="1585"/>
    <cellStyle name="Total 2 3 2 3 2 2" xfId="1855"/>
    <cellStyle name="Total 2 3 2 3 2 2 2" xfId="2995"/>
    <cellStyle name="Total 2 3 2 3 2 2 2 2" xfId="6415"/>
    <cellStyle name="Total 2 3 2 3 2 2 2 2 2" xfId="13255"/>
    <cellStyle name="Total 2 3 2 3 2 2 2 3" xfId="9835"/>
    <cellStyle name="Total 2 3 2 3 2 2 3" xfId="4135"/>
    <cellStyle name="Total 2 3 2 3 2 2 3 2" xfId="7555"/>
    <cellStyle name="Total 2 3 2 3 2 2 3 2 2" xfId="14395"/>
    <cellStyle name="Total 2 3 2 3 2 2 3 3" xfId="10975"/>
    <cellStyle name="Total 2 3 2 3 2 2 4" xfId="5275"/>
    <cellStyle name="Total 2 3 2 3 2 2 4 2" xfId="12115"/>
    <cellStyle name="Total 2 3 2 3 2 2 5" xfId="8695"/>
    <cellStyle name="Total 2 3 2 3 2 3" xfId="2410"/>
    <cellStyle name="Total 2 3 2 3 2 3 2" xfId="5830"/>
    <cellStyle name="Total 2 3 2 3 2 3 2 2" xfId="12670"/>
    <cellStyle name="Total 2 3 2 3 2 3 3" xfId="9250"/>
    <cellStyle name="Total 2 3 2 3 2 4" xfId="3550"/>
    <cellStyle name="Total 2 3 2 3 2 4 2" xfId="6970"/>
    <cellStyle name="Total 2 3 2 3 2 4 2 2" xfId="13810"/>
    <cellStyle name="Total 2 3 2 3 2 4 3" xfId="10390"/>
    <cellStyle name="Total 2 3 2 3 2 5" xfId="4690"/>
    <cellStyle name="Total 2 3 2 3 2 5 2" xfId="11530"/>
    <cellStyle name="Total 2 3 2 3 2 6" xfId="8110"/>
    <cellStyle name="Total 2 3 2 3 2 7" xfId="61339"/>
    <cellStyle name="Total 2 3 2 3 2 8" xfId="61940"/>
    <cellStyle name="Total 2 3 2 3 3" xfId="38479"/>
    <cellStyle name="Total 2 3 2 3 4" xfId="60326"/>
    <cellStyle name="Total 2 3 2 3 5" xfId="60327"/>
    <cellStyle name="Total 2 3 2 3 6" xfId="60328"/>
    <cellStyle name="Total 2 3 2 3 7" xfId="61321"/>
    <cellStyle name="Total 2 3 2 4" xfId="1159"/>
    <cellStyle name="Total 2 3 2 4 2" xfId="1664"/>
    <cellStyle name="Total 2 3 2 4 2 2" xfId="2804"/>
    <cellStyle name="Total 2 3 2 4 2 2 2" xfId="6224"/>
    <cellStyle name="Total 2 3 2 4 2 2 2 2" xfId="13064"/>
    <cellStyle name="Total 2 3 2 4 2 2 3" xfId="9644"/>
    <cellStyle name="Total 2 3 2 4 2 3" xfId="3944"/>
    <cellStyle name="Total 2 3 2 4 2 3 2" xfId="7364"/>
    <cellStyle name="Total 2 3 2 4 2 3 2 2" xfId="14204"/>
    <cellStyle name="Total 2 3 2 4 2 3 3" xfId="10784"/>
    <cellStyle name="Total 2 3 2 4 2 4" xfId="5084"/>
    <cellStyle name="Total 2 3 2 4 2 4 2" xfId="11924"/>
    <cellStyle name="Total 2 3 2 4 2 5" xfId="8504"/>
    <cellStyle name="Total 2 3 2 4 3" xfId="1978"/>
    <cellStyle name="Total 2 3 2 4 3 2" xfId="5398"/>
    <cellStyle name="Total 2 3 2 4 3 2 2" xfId="12238"/>
    <cellStyle name="Total 2 3 2 4 3 3" xfId="8818"/>
    <cellStyle name="Total 2 3 2 4 4" xfId="3118"/>
    <cellStyle name="Total 2 3 2 4 4 2" xfId="6538"/>
    <cellStyle name="Total 2 3 2 4 4 2 2" xfId="13378"/>
    <cellStyle name="Total 2 3 2 4 4 3" xfId="9958"/>
    <cellStyle name="Total 2 3 2 4 5" xfId="4258"/>
    <cellStyle name="Total 2 3 2 4 5 2" xfId="11098"/>
    <cellStyle name="Total 2 3 2 4 6" xfId="7678"/>
    <cellStyle name="Total 2 3 2 4 7" xfId="61416"/>
    <cellStyle name="Total 2 3 2 4 8" xfId="61995"/>
    <cellStyle name="Total 2 3 2 5" xfId="15598"/>
    <cellStyle name="Total 2 3 2 6" xfId="23912"/>
    <cellStyle name="Total 2 3 2 7" xfId="38215"/>
    <cellStyle name="Total 2 3 2 8" xfId="60329"/>
    <cellStyle name="Total 2 3 2 9" xfId="60835"/>
    <cellStyle name="Total 2 3 3" xfId="317"/>
    <cellStyle name="Total 2 3 3 2" xfId="373"/>
    <cellStyle name="Total 2 3 3 2 2" xfId="1378"/>
    <cellStyle name="Total 2 3 3 2 2 2" xfId="1708"/>
    <cellStyle name="Total 2 3 3 2 2 2 2" xfId="2848"/>
    <cellStyle name="Total 2 3 3 2 2 2 2 2" xfId="6268"/>
    <cellStyle name="Total 2 3 3 2 2 2 2 2 2" xfId="13108"/>
    <cellStyle name="Total 2 3 3 2 2 2 2 3" xfId="9688"/>
    <cellStyle name="Total 2 3 3 2 2 2 3" xfId="3988"/>
    <cellStyle name="Total 2 3 3 2 2 2 3 2" xfId="7408"/>
    <cellStyle name="Total 2 3 3 2 2 2 3 2 2" xfId="14248"/>
    <cellStyle name="Total 2 3 3 2 2 2 3 3" xfId="10828"/>
    <cellStyle name="Total 2 3 3 2 2 2 4" xfId="5128"/>
    <cellStyle name="Total 2 3 3 2 2 2 4 2" xfId="11968"/>
    <cellStyle name="Total 2 3 3 2 2 2 5" xfId="8548"/>
    <cellStyle name="Total 2 3 3 2 2 3" xfId="2199"/>
    <cellStyle name="Total 2 3 3 2 2 3 2" xfId="5619"/>
    <cellStyle name="Total 2 3 3 2 2 3 2 2" xfId="12459"/>
    <cellStyle name="Total 2 3 3 2 2 3 3" xfId="9039"/>
    <cellStyle name="Total 2 3 3 2 2 4" xfId="3339"/>
    <cellStyle name="Total 2 3 3 2 2 4 2" xfId="6759"/>
    <cellStyle name="Total 2 3 3 2 2 4 2 2" xfId="13599"/>
    <cellStyle name="Total 2 3 3 2 2 4 3" xfId="10179"/>
    <cellStyle name="Total 2 3 3 2 2 5" xfId="4479"/>
    <cellStyle name="Total 2 3 3 2 2 5 2" xfId="11319"/>
    <cellStyle name="Total 2 3 3 2 2 6" xfId="7899"/>
    <cellStyle name="Total 2 3 3 2 2 7" xfId="61514"/>
    <cellStyle name="Total 2 3 3 2 2 8" xfId="62065"/>
    <cellStyle name="Total 2 3 3 2 3" xfId="38356"/>
    <cellStyle name="Total 2 3 3 2 4" xfId="60330"/>
    <cellStyle name="Total 2 3 3 2 5" xfId="60331"/>
    <cellStyle name="Total 2 3 3 2 6" xfId="60332"/>
    <cellStyle name="Total 2 3 3 2 7" xfId="60333"/>
    <cellStyle name="Total 2 3 3 2 8" xfId="61054"/>
    <cellStyle name="Total 2 3 3 3" xfId="1322"/>
    <cellStyle name="Total 2 3 3 3 2" xfId="1744"/>
    <cellStyle name="Total 2 3 3 3 2 2" xfId="2884"/>
    <cellStyle name="Total 2 3 3 3 2 2 2" xfId="6304"/>
    <cellStyle name="Total 2 3 3 3 2 2 2 2" xfId="13144"/>
    <cellStyle name="Total 2 3 3 3 2 2 3" xfId="9724"/>
    <cellStyle name="Total 2 3 3 3 2 3" xfId="4024"/>
    <cellStyle name="Total 2 3 3 3 2 3 2" xfId="7444"/>
    <cellStyle name="Total 2 3 3 3 2 3 2 2" xfId="14284"/>
    <cellStyle name="Total 2 3 3 3 2 3 3" xfId="10864"/>
    <cellStyle name="Total 2 3 3 3 2 4" xfId="5164"/>
    <cellStyle name="Total 2 3 3 3 2 4 2" xfId="12004"/>
    <cellStyle name="Total 2 3 3 3 2 5" xfId="8584"/>
    <cellStyle name="Total 2 3 3 3 3" xfId="2143"/>
    <cellStyle name="Total 2 3 3 3 3 2" xfId="5563"/>
    <cellStyle name="Total 2 3 3 3 3 2 2" xfId="12403"/>
    <cellStyle name="Total 2 3 3 3 3 3" xfId="8983"/>
    <cellStyle name="Total 2 3 3 3 4" xfId="3283"/>
    <cellStyle name="Total 2 3 3 3 4 2" xfId="6703"/>
    <cellStyle name="Total 2 3 3 3 4 2 2" xfId="13543"/>
    <cellStyle name="Total 2 3 3 3 4 3" xfId="10123"/>
    <cellStyle name="Total 2 3 3 3 5" xfId="4423"/>
    <cellStyle name="Total 2 3 3 3 5 2" xfId="11263"/>
    <cellStyle name="Total 2 3 3 3 6" xfId="7843"/>
    <cellStyle name="Total 2 3 3 3 7" xfId="61415"/>
    <cellStyle name="Total 2 3 3 3 8" xfId="61994"/>
    <cellStyle name="Total 2 3 3 4" xfId="16568"/>
    <cellStyle name="Total 2 3 3 5" xfId="24883"/>
    <cellStyle name="Total 2 3 3 6" xfId="32143"/>
    <cellStyle name="Total 2 3 3 7" xfId="60334"/>
    <cellStyle name="Total 2 3 3 8" xfId="60335"/>
    <cellStyle name="Total 2 3 3 9" xfId="60998"/>
    <cellStyle name="Total 2 3 4" xfId="216"/>
    <cellStyle name="Total 2 3 4 2" xfId="382"/>
    <cellStyle name="Total 2 3 4 2 2" xfId="1387"/>
    <cellStyle name="Total 2 3 4 2 2 2" xfId="915"/>
    <cellStyle name="Total 2 3 4 2 2 2 2" xfId="2628"/>
    <cellStyle name="Total 2 3 4 2 2 2 2 2" xfId="6048"/>
    <cellStyle name="Total 2 3 4 2 2 2 2 2 2" xfId="12888"/>
    <cellStyle name="Total 2 3 4 2 2 2 2 3" xfId="9468"/>
    <cellStyle name="Total 2 3 4 2 2 2 3" xfId="3768"/>
    <cellStyle name="Total 2 3 4 2 2 2 3 2" xfId="7188"/>
    <cellStyle name="Total 2 3 4 2 2 2 3 2 2" xfId="14028"/>
    <cellStyle name="Total 2 3 4 2 2 2 3 3" xfId="10608"/>
    <cellStyle name="Total 2 3 4 2 2 2 4" xfId="4908"/>
    <cellStyle name="Total 2 3 4 2 2 2 4 2" xfId="11748"/>
    <cellStyle name="Total 2 3 4 2 2 2 5" xfId="8328"/>
    <cellStyle name="Total 2 3 4 2 2 3" xfId="2208"/>
    <cellStyle name="Total 2 3 4 2 2 3 2" xfId="5628"/>
    <cellStyle name="Total 2 3 4 2 2 3 2 2" xfId="12468"/>
    <cellStyle name="Total 2 3 4 2 2 3 3" xfId="9048"/>
    <cellStyle name="Total 2 3 4 2 2 4" xfId="3348"/>
    <cellStyle name="Total 2 3 4 2 2 4 2" xfId="6768"/>
    <cellStyle name="Total 2 3 4 2 2 4 2 2" xfId="13608"/>
    <cellStyle name="Total 2 3 4 2 2 4 3" xfId="10188"/>
    <cellStyle name="Total 2 3 4 2 2 5" xfId="4488"/>
    <cellStyle name="Total 2 3 4 2 2 5 2" xfId="11328"/>
    <cellStyle name="Total 2 3 4 2 2 6" xfId="7908"/>
    <cellStyle name="Total 2 3 4 2 2 7" xfId="61338"/>
    <cellStyle name="Total 2 3 4 2 2 8" xfId="61939"/>
    <cellStyle name="Total 2 3 4 2 3" xfId="38365"/>
    <cellStyle name="Total 2 3 4 2 4" xfId="60336"/>
    <cellStyle name="Total 2 3 4 2 5" xfId="60337"/>
    <cellStyle name="Total 2 3 4 2 6" xfId="60338"/>
    <cellStyle name="Total 2 3 4 2 7" xfId="60339"/>
    <cellStyle name="Total 2 3 4 2 8" xfId="61063"/>
    <cellStyle name="Total 2 3 4 3" xfId="1223"/>
    <cellStyle name="Total 2 3 4 3 2" xfId="1777"/>
    <cellStyle name="Total 2 3 4 3 2 2" xfId="2917"/>
    <cellStyle name="Total 2 3 4 3 2 2 2" xfId="6337"/>
    <cellStyle name="Total 2 3 4 3 2 2 2 2" xfId="13177"/>
    <cellStyle name="Total 2 3 4 3 2 2 3" xfId="9757"/>
    <cellStyle name="Total 2 3 4 3 2 3" xfId="4057"/>
    <cellStyle name="Total 2 3 4 3 2 3 2" xfId="7477"/>
    <cellStyle name="Total 2 3 4 3 2 3 2 2" xfId="14317"/>
    <cellStyle name="Total 2 3 4 3 2 3 3" xfId="10897"/>
    <cellStyle name="Total 2 3 4 3 2 4" xfId="5197"/>
    <cellStyle name="Total 2 3 4 3 2 4 2" xfId="12037"/>
    <cellStyle name="Total 2 3 4 3 2 5" xfId="8617"/>
    <cellStyle name="Total 2 3 4 3 3" xfId="2043"/>
    <cellStyle name="Total 2 3 4 3 3 2" xfId="5463"/>
    <cellStyle name="Total 2 3 4 3 3 2 2" xfId="12303"/>
    <cellStyle name="Total 2 3 4 3 3 3" xfId="8883"/>
    <cellStyle name="Total 2 3 4 3 4" xfId="3183"/>
    <cellStyle name="Total 2 3 4 3 4 2" xfId="6603"/>
    <cellStyle name="Total 2 3 4 3 4 2 2" xfId="13443"/>
    <cellStyle name="Total 2 3 4 3 4 3" xfId="10023"/>
    <cellStyle name="Total 2 3 4 3 5" xfId="4323"/>
    <cellStyle name="Total 2 3 4 3 5 2" xfId="11163"/>
    <cellStyle name="Total 2 3 4 3 6" xfId="7743"/>
    <cellStyle name="Total 2 3 4 3 7" xfId="61378"/>
    <cellStyle name="Total 2 3 4 3 8" xfId="61968"/>
    <cellStyle name="Total 2 3 4 4" xfId="17586"/>
    <cellStyle name="Total 2 3 4 5" xfId="25907"/>
    <cellStyle name="Total 2 3 4 6" xfId="33120"/>
    <cellStyle name="Total 2 3 4 7" xfId="60340"/>
    <cellStyle name="Total 2 3 4 8" xfId="60341"/>
    <cellStyle name="Total 2 3 4 9" xfId="60899"/>
    <cellStyle name="Total 2 3 5" xfId="479"/>
    <cellStyle name="Total 2 3 5 2" xfId="414"/>
    <cellStyle name="Total 2 3 5 2 2" xfId="1419"/>
    <cellStyle name="Total 2 3 5 2 2 2" xfId="1877"/>
    <cellStyle name="Total 2 3 5 2 2 2 2" xfId="3017"/>
    <cellStyle name="Total 2 3 5 2 2 2 2 2" xfId="6437"/>
    <cellStyle name="Total 2 3 5 2 2 2 2 2 2" xfId="13277"/>
    <cellStyle name="Total 2 3 5 2 2 2 2 3" xfId="9857"/>
    <cellStyle name="Total 2 3 5 2 2 2 3" xfId="4157"/>
    <cellStyle name="Total 2 3 5 2 2 2 3 2" xfId="7577"/>
    <cellStyle name="Total 2 3 5 2 2 2 3 2 2" xfId="14417"/>
    <cellStyle name="Total 2 3 5 2 2 2 3 3" xfId="10997"/>
    <cellStyle name="Total 2 3 5 2 2 2 4" xfId="5297"/>
    <cellStyle name="Total 2 3 5 2 2 2 4 2" xfId="12137"/>
    <cellStyle name="Total 2 3 5 2 2 2 5" xfId="8717"/>
    <cellStyle name="Total 2 3 5 2 2 3" xfId="2240"/>
    <cellStyle name="Total 2 3 5 2 2 3 2" xfId="5660"/>
    <cellStyle name="Total 2 3 5 2 2 3 2 2" xfId="12500"/>
    <cellStyle name="Total 2 3 5 2 2 3 3" xfId="9080"/>
    <cellStyle name="Total 2 3 5 2 2 4" xfId="3380"/>
    <cellStyle name="Total 2 3 5 2 2 4 2" xfId="6800"/>
    <cellStyle name="Total 2 3 5 2 2 4 2 2" xfId="13640"/>
    <cellStyle name="Total 2 3 5 2 2 4 3" xfId="10220"/>
    <cellStyle name="Total 2 3 5 2 2 5" xfId="4520"/>
    <cellStyle name="Total 2 3 5 2 2 5 2" xfId="11360"/>
    <cellStyle name="Total 2 3 5 2 2 6" xfId="7940"/>
    <cellStyle name="Total 2 3 5 2 2 7" xfId="61513"/>
    <cellStyle name="Total 2 3 5 2 2 8" xfId="62064"/>
    <cellStyle name="Total 2 3 5 2 3" xfId="38388"/>
    <cellStyle name="Total 2 3 5 2 4" xfId="60342"/>
    <cellStyle name="Total 2 3 5 2 5" xfId="60343"/>
    <cellStyle name="Total 2 3 5 2 6" xfId="60344"/>
    <cellStyle name="Total 2 3 5 2 7" xfId="60345"/>
    <cellStyle name="Total 2 3 5 2 8" xfId="61095"/>
    <cellStyle name="Total 2 3 5 3" xfId="1483"/>
    <cellStyle name="Total 2 3 5 3 2" xfId="1831"/>
    <cellStyle name="Total 2 3 5 3 2 2" xfId="2971"/>
    <cellStyle name="Total 2 3 5 3 2 2 2" xfId="6391"/>
    <cellStyle name="Total 2 3 5 3 2 2 2 2" xfId="13231"/>
    <cellStyle name="Total 2 3 5 3 2 2 3" xfId="9811"/>
    <cellStyle name="Total 2 3 5 3 2 3" xfId="4111"/>
    <cellStyle name="Total 2 3 5 3 2 3 2" xfId="7531"/>
    <cellStyle name="Total 2 3 5 3 2 3 2 2" xfId="14371"/>
    <cellStyle name="Total 2 3 5 3 2 3 3" xfId="10951"/>
    <cellStyle name="Total 2 3 5 3 2 4" xfId="5251"/>
    <cellStyle name="Total 2 3 5 3 2 4 2" xfId="12091"/>
    <cellStyle name="Total 2 3 5 3 2 5" xfId="8671"/>
    <cellStyle name="Total 2 3 5 3 3" xfId="2304"/>
    <cellStyle name="Total 2 3 5 3 3 2" xfId="5724"/>
    <cellStyle name="Total 2 3 5 3 3 2 2" xfId="12564"/>
    <cellStyle name="Total 2 3 5 3 3 3" xfId="9144"/>
    <cellStyle name="Total 2 3 5 3 4" xfId="3444"/>
    <cellStyle name="Total 2 3 5 3 4 2" xfId="6864"/>
    <cellStyle name="Total 2 3 5 3 4 2 2" xfId="13704"/>
    <cellStyle name="Total 2 3 5 3 4 3" xfId="10284"/>
    <cellStyle name="Total 2 3 5 3 5" xfId="4584"/>
    <cellStyle name="Total 2 3 5 3 5 2" xfId="11424"/>
    <cellStyle name="Total 2 3 5 3 6" xfId="8004"/>
    <cellStyle name="Total 2 3 5 3 7" xfId="61414"/>
    <cellStyle name="Total 2 3 5 3 8" xfId="61993"/>
    <cellStyle name="Total 2 3 5 4" xfId="18567"/>
    <cellStyle name="Total 2 3 5 5" xfId="26885"/>
    <cellStyle name="Total 2 3 5 6" xfId="34054"/>
    <cellStyle name="Total 2 3 5 7" xfId="60346"/>
    <cellStyle name="Total 2 3 5 8" xfId="60347"/>
    <cellStyle name="Total 2 3 5 9" xfId="61159"/>
    <cellStyle name="Total 2 3 6" xfId="467"/>
    <cellStyle name="Total 2 3 6 2" xfId="352"/>
    <cellStyle name="Total 2 3 6 2 2" xfId="1357"/>
    <cellStyle name="Total 2 3 6 2 2 2" xfId="935"/>
    <cellStyle name="Total 2 3 6 2 2 2 2" xfId="2501"/>
    <cellStyle name="Total 2 3 6 2 2 2 2 2" xfId="5921"/>
    <cellStyle name="Total 2 3 6 2 2 2 2 2 2" xfId="12761"/>
    <cellStyle name="Total 2 3 6 2 2 2 2 3" xfId="9341"/>
    <cellStyle name="Total 2 3 6 2 2 2 3" xfId="3641"/>
    <cellStyle name="Total 2 3 6 2 2 2 3 2" xfId="7061"/>
    <cellStyle name="Total 2 3 6 2 2 2 3 2 2" xfId="13901"/>
    <cellStyle name="Total 2 3 6 2 2 2 3 3" xfId="10481"/>
    <cellStyle name="Total 2 3 6 2 2 2 4" xfId="4781"/>
    <cellStyle name="Total 2 3 6 2 2 2 4 2" xfId="11621"/>
    <cellStyle name="Total 2 3 6 2 2 2 5" xfId="8201"/>
    <cellStyle name="Total 2 3 6 2 2 3" xfId="2178"/>
    <cellStyle name="Total 2 3 6 2 2 3 2" xfId="5598"/>
    <cellStyle name="Total 2 3 6 2 2 3 2 2" xfId="12438"/>
    <cellStyle name="Total 2 3 6 2 2 3 3" xfId="9018"/>
    <cellStyle name="Total 2 3 6 2 2 4" xfId="3318"/>
    <cellStyle name="Total 2 3 6 2 2 4 2" xfId="6738"/>
    <cellStyle name="Total 2 3 6 2 2 4 2 2" xfId="13578"/>
    <cellStyle name="Total 2 3 6 2 2 4 3" xfId="10158"/>
    <cellStyle name="Total 2 3 6 2 2 5" xfId="4458"/>
    <cellStyle name="Total 2 3 6 2 2 5 2" xfId="11298"/>
    <cellStyle name="Total 2 3 6 2 2 6" xfId="7878"/>
    <cellStyle name="Total 2 3 6 2 2 7" xfId="61337"/>
    <cellStyle name="Total 2 3 6 2 2 8" xfId="61938"/>
    <cellStyle name="Total 2 3 6 2 3" xfId="38341"/>
    <cellStyle name="Total 2 3 6 2 4" xfId="60348"/>
    <cellStyle name="Total 2 3 6 2 5" xfId="60349"/>
    <cellStyle name="Total 2 3 6 2 6" xfId="60350"/>
    <cellStyle name="Total 2 3 6 2 7" xfId="60351"/>
    <cellStyle name="Total 2 3 6 2 8" xfId="61033"/>
    <cellStyle name="Total 2 3 6 3" xfId="1471"/>
    <cellStyle name="Total 2 3 6 3 2" xfId="1696"/>
    <cellStyle name="Total 2 3 6 3 2 2" xfId="2836"/>
    <cellStyle name="Total 2 3 6 3 2 2 2" xfId="6256"/>
    <cellStyle name="Total 2 3 6 3 2 2 2 2" xfId="13096"/>
    <cellStyle name="Total 2 3 6 3 2 2 3" xfId="9676"/>
    <cellStyle name="Total 2 3 6 3 2 3" xfId="3976"/>
    <cellStyle name="Total 2 3 6 3 2 3 2" xfId="7396"/>
    <cellStyle name="Total 2 3 6 3 2 3 2 2" xfId="14236"/>
    <cellStyle name="Total 2 3 6 3 2 3 3" xfId="10816"/>
    <cellStyle name="Total 2 3 6 3 2 4" xfId="5116"/>
    <cellStyle name="Total 2 3 6 3 2 4 2" xfId="11956"/>
    <cellStyle name="Total 2 3 6 3 2 5" xfId="8536"/>
    <cellStyle name="Total 2 3 6 3 3" xfId="2292"/>
    <cellStyle name="Total 2 3 6 3 3 2" xfId="5712"/>
    <cellStyle name="Total 2 3 6 3 3 2 2" xfId="12552"/>
    <cellStyle name="Total 2 3 6 3 3 3" xfId="9132"/>
    <cellStyle name="Total 2 3 6 3 4" xfId="3432"/>
    <cellStyle name="Total 2 3 6 3 4 2" xfId="6852"/>
    <cellStyle name="Total 2 3 6 3 4 2 2" xfId="13692"/>
    <cellStyle name="Total 2 3 6 3 4 3" xfId="10272"/>
    <cellStyle name="Total 2 3 6 3 5" xfId="4572"/>
    <cellStyle name="Total 2 3 6 3 5 2" xfId="11412"/>
    <cellStyle name="Total 2 3 6 3 6" xfId="7992"/>
    <cellStyle name="Total 2 3 6 3 7" xfId="61377"/>
    <cellStyle name="Total 2 3 6 3 8" xfId="61967"/>
    <cellStyle name="Total 2 3 6 4" xfId="17542"/>
    <cellStyle name="Total 2 3 6 5" xfId="25860"/>
    <cellStyle name="Total 2 3 6 6" xfId="33077"/>
    <cellStyle name="Total 2 3 6 7" xfId="60352"/>
    <cellStyle name="Total 2 3 6 8" xfId="60353"/>
    <cellStyle name="Total 2 3 6 9" xfId="61147"/>
    <cellStyle name="Total 2 3 7" xfId="1108"/>
    <cellStyle name="Total 2 3 7 10" xfId="61881"/>
    <cellStyle name="Total 2 3 7 11" xfId="62337"/>
    <cellStyle name="Total 2 3 7 2" xfId="1832"/>
    <cellStyle name="Total 2 3 7 2 2" xfId="2972"/>
    <cellStyle name="Total 2 3 7 2 2 2" xfId="6392"/>
    <cellStyle name="Total 2 3 7 2 2 2 2" xfId="13232"/>
    <cellStyle name="Total 2 3 7 2 2 3" xfId="9812"/>
    <cellStyle name="Total 2 3 7 2 3" xfId="4112"/>
    <cellStyle name="Total 2 3 7 2 3 2" xfId="7532"/>
    <cellStyle name="Total 2 3 7 2 3 2 2" xfId="14372"/>
    <cellStyle name="Total 2 3 7 2 3 3" xfId="10952"/>
    <cellStyle name="Total 2 3 7 2 4" xfId="5252"/>
    <cellStyle name="Total 2 3 7 2 4 2" xfId="12092"/>
    <cellStyle name="Total 2 3 7 2 5" xfId="8672"/>
    <cellStyle name="Total 2 3 7 2 6" xfId="61413"/>
    <cellStyle name="Total 2 3 7 2 7" xfId="61992"/>
    <cellStyle name="Total 2 3 7 3" xfId="1917"/>
    <cellStyle name="Total 2 3 7 3 2" xfId="5337"/>
    <cellStyle name="Total 2 3 7 3 2 2" xfId="12177"/>
    <cellStyle name="Total 2 3 7 3 3" xfId="8757"/>
    <cellStyle name="Total 2 3 7 4" xfId="3057"/>
    <cellStyle name="Total 2 3 7 4 2" xfId="6477"/>
    <cellStyle name="Total 2 3 7 4 2 2" xfId="13317"/>
    <cellStyle name="Total 2 3 7 4 3" xfId="9897"/>
    <cellStyle name="Total 2 3 7 5" xfId="4197"/>
    <cellStyle name="Total 2 3 7 5 2" xfId="11037"/>
    <cellStyle name="Total 2 3 7 6" xfId="7617"/>
    <cellStyle name="Total 2 3 7 7" xfId="19208"/>
    <cellStyle name="Total 2 3 7 8" xfId="27528"/>
    <cellStyle name="Total 2 3 7 9" xfId="34676"/>
    <cellStyle name="Total 2 3 8" xfId="18667"/>
    <cellStyle name="Total 2 3 8 2" xfId="26988"/>
    <cellStyle name="Total 2 3 8 2 2" xfId="60354"/>
    <cellStyle name="Total 2 3 8 2 3" xfId="60355"/>
    <cellStyle name="Total 2 3 8 3" xfId="34153"/>
    <cellStyle name="Total 2 3 8 4" xfId="60356"/>
    <cellStyle name="Total 2 3 8 5" xfId="61478"/>
    <cellStyle name="Total 2 3 9" xfId="18541"/>
    <cellStyle name="Total 2 3 9 2" xfId="26858"/>
    <cellStyle name="Total 2 3 9 2 2" xfId="60357"/>
    <cellStyle name="Total 2 3 9 2 3" xfId="60358"/>
    <cellStyle name="Total 2 3 9 3" xfId="34028"/>
    <cellStyle name="Total 2 3 9 4" xfId="60359"/>
    <cellStyle name="Total 2 30" xfId="60360"/>
    <cellStyle name="Total 2 31" xfId="60361"/>
    <cellStyle name="Total 2 32" xfId="60768"/>
    <cellStyle name="Total 2 4" xfId="112"/>
    <cellStyle name="Total 2 4 10" xfId="14429"/>
    <cellStyle name="Total 2 4 10 2" xfId="60362"/>
    <cellStyle name="Total 2 4 10 3" xfId="60363"/>
    <cellStyle name="Total 2 4 11" xfId="60364"/>
    <cellStyle name="Total 2 4 12" xfId="60365"/>
    <cellStyle name="Total 2 4 13" xfId="60366"/>
    <cellStyle name="Total 2 4 14" xfId="60367"/>
    <cellStyle name="Total 2 4 15" xfId="60368"/>
    <cellStyle name="Total 2 4 16" xfId="60804"/>
    <cellStyle name="Total 2 4 2" xfId="171"/>
    <cellStyle name="Total 2 4 2 2" xfId="297"/>
    <cellStyle name="Total 2 4 2 2 2" xfId="706"/>
    <cellStyle name="Total 2 4 2 2 2 2" xfId="1657"/>
    <cellStyle name="Total 2 4 2 2 2 2 2" xfId="750"/>
    <cellStyle name="Total 2 4 2 2 2 2 2 2" xfId="2497"/>
    <cellStyle name="Total 2 4 2 2 2 2 2 2 2" xfId="5917"/>
    <cellStyle name="Total 2 4 2 2 2 2 2 2 2 2" xfId="12757"/>
    <cellStyle name="Total 2 4 2 2 2 2 2 2 3" xfId="9337"/>
    <cellStyle name="Total 2 4 2 2 2 2 2 3" xfId="3637"/>
    <cellStyle name="Total 2 4 2 2 2 2 2 3 2" xfId="7057"/>
    <cellStyle name="Total 2 4 2 2 2 2 2 3 2 2" xfId="13897"/>
    <cellStyle name="Total 2 4 2 2 2 2 2 3 3" xfId="10477"/>
    <cellStyle name="Total 2 4 2 2 2 2 2 4" xfId="4777"/>
    <cellStyle name="Total 2 4 2 2 2 2 2 4 2" xfId="11617"/>
    <cellStyle name="Total 2 4 2 2 2 2 2 5" xfId="8197"/>
    <cellStyle name="Total 2 4 2 2 2 2 3" xfId="2491"/>
    <cellStyle name="Total 2 4 2 2 2 2 3 2" xfId="5911"/>
    <cellStyle name="Total 2 4 2 2 2 2 3 2 2" xfId="12751"/>
    <cellStyle name="Total 2 4 2 2 2 2 3 3" xfId="9331"/>
    <cellStyle name="Total 2 4 2 2 2 2 4" xfId="3631"/>
    <cellStyle name="Total 2 4 2 2 2 2 4 2" xfId="7051"/>
    <cellStyle name="Total 2 4 2 2 2 2 4 2 2" xfId="13891"/>
    <cellStyle name="Total 2 4 2 2 2 2 4 3" xfId="10471"/>
    <cellStyle name="Total 2 4 2 2 2 2 5" xfId="4771"/>
    <cellStyle name="Total 2 4 2 2 2 2 5 2" xfId="11611"/>
    <cellStyle name="Total 2 4 2 2 2 2 6" xfId="8191"/>
    <cellStyle name="Total 2 4 2 2 2 2 7" xfId="61336"/>
    <cellStyle name="Total 2 4 2 2 2 2 8" xfId="61937"/>
    <cellStyle name="Total 2 4 2 2 2 3" xfId="38550"/>
    <cellStyle name="Total 2 4 2 2 2 4" xfId="60369"/>
    <cellStyle name="Total 2 4 2 2 2 5" xfId="60370"/>
    <cellStyle name="Total 2 4 2 2 2 6" xfId="60371"/>
    <cellStyle name="Total 2 4 2 2 2 7" xfId="61322"/>
    <cellStyle name="Total 2 4 2 2 3" xfId="1303"/>
    <cellStyle name="Total 2 4 2 2 3 2" xfId="1795"/>
    <cellStyle name="Total 2 4 2 2 3 2 2" xfId="2935"/>
    <cellStyle name="Total 2 4 2 2 3 2 2 2" xfId="6355"/>
    <cellStyle name="Total 2 4 2 2 3 2 2 2 2" xfId="13195"/>
    <cellStyle name="Total 2 4 2 2 3 2 2 3" xfId="9775"/>
    <cellStyle name="Total 2 4 2 2 3 2 3" xfId="4075"/>
    <cellStyle name="Total 2 4 2 2 3 2 3 2" xfId="7495"/>
    <cellStyle name="Total 2 4 2 2 3 2 3 2 2" xfId="14335"/>
    <cellStyle name="Total 2 4 2 2 3 2 3 3" xfId="10915"/>
    <cellStyle name="Total 2 4 2 2 3 2 4" xfId="5215"/>
    <cellStyle name="Total 2 4 2 2 3 2 4 2" xfId="12055"/>
    <cellStyle name="Total 2 4 2 2 3 2 5" xfId="8635"/>
    <cellStyle name="Total 2 4 2 2 3 3" xfId="2123"/>
    <cellStyle name="Total 2 4 2 2 3 3 2" xfId="5543"/>
    <cellStyle name="Total 2 4 2 2 3 3 2 2" xfId="12383"/>
    <cellStyle name="Total 2 4 2 2 3 3 3" xfId="8963"/>
    <cellStyle name="Total 2 4 2 2 3 4" xfId="3263"/>
    <cellStyle name="Total 2 4 2 2 3 4 2" xfId="6683"/>
    <cellStyle name="Total 2 4 2 2 3 4 2 2" xfId="13523"/>
    <cellStyle name="Total 2 4 2 2 3 4 3" xfId="10103"/>
    <cellStyle name="Total 2 4 2 2 3 5" xfId="4403"/>
    <cellStyle name="Total 2 4 2 2 3 5 2" xfId="11243"/>
    <cellStyle name="Total 2 4 2 2 3 6" xfId="7823"/>
    <cellStyle name="Total 2 4 2 2 3 7" xfId="61376"/>
    <cellStyle name="Total 2 4 2 2 3 8" xfId="61966"/>
    <cellStyle name="Total 2 4 2 2 4" xfId="38313"/>
    <cellStyle name="Total 2 4 2 2 5" xfId="60372"/>
    <cellStyle name="Total 2 4 2 2 6" xfId="60373"/>
    <cellStyle name="Total 2 4 2 2 7" xfId="60374"/>
    <cellStyle name="Total 2 4 2 2 8" xfId="60375"/>
    <cellStyle name="Total 2 4 2 2 9" xfId="60979"/>
    <cellStyle name="Total 2 4 2 3" xfId="618"/>
    <cellStyle name="Total 2 4 2 3 2" xfId="1605"/>
    <cellStyle name="Total 2 4 2 3 2 2" xfId="802"/>
    <cellStyle name="Total 2 4 2 3 2 2 2" xfId="1887"/>
    <cellStyle name="Total 2 4 2 3 2 2 2 2" xfId="5307"/>
    <cellStyle name="Total 2 4 2 3 2 2 2 2 2" xfId="12147"/>
    <cellStyle name="Total 2 4 2 3 2 2 2 3" xfId="8727"/>
    <cellStyle name="Total 2 4 2 3 2 2 3" xfId="3027"/>
    <cellStyle name="Total 2 4 2 3 2 2 3 2" xfId="6447"/>
    <cellStyle name="Total 2 4 2 3 2 2 3 2 2" xfId="13287"/>
    <cellStyle name="Total 2 4 2 3 2 2 3 3" xfId="9867"/>
    <cellStyle name="Total 2 4 2 3 2 2 4" xfId="4167"/>
    <cellStyle name="Total 2 4 2 3 2 2 4 2" xfId="11007"/>
    <cellStyle name="Total 2 4 2 3 2 2 5" xfId="7587"/>
    <cellStyle name="Total 2 4 2 3 2 3" xfId="2430"/>
    <cellStyle name="Total 2 4 2 3 2 3 2" xfId="5850"/>
    <cellStyle name="Total 2 4 2 3 2 3 2 2" xfId="12690"/>
    <cellStyle name="Total 2 4 2 3 2 3 3" xfId="9270"/>
    <cellStyle name="Total 2 4 2 3 2 4" xfId="3570"/>
    <cellStyle name="Total 2 4 2 3 2 4 2" xfId="6990"/>
    <cellStyle name="Total 2 4 2 3 2 4 2 2" xfId="13830"/>
    <cellStyle name="Total 2 4 2 3 2 4 3" xfId="10410"/>
    <cellStyle name="Total 2 4 2 3 2 5" xfId="4710"/>
    <cellStyle name="Total 2 4 2 3 2 5 2" xfId="11550"/>
    <cellStyle name="Total 2 4 2 3 2 6" xfId="8130"/>
    <cellStyle name="Total 2 4 2 3 2 7" xfId="61412"/>
    <cellStyle name="Total 2 4 2 3 2 8" xfId="61991"/>
    <cellStyle name="Total 2 4 2 3 3" xfId="38499"/>
    <cellStyle name="Total 2 4 2 3 4" xfId="60376"/>
    <cellStyle name="Total 2 4 2 3 5" xfId="60377"/>
    <cellStyle name="Total 2 4 2 3 6" xfId="60378"/>
    <cellStyle name="Total 2 4 2 3 7" xfId="61323"/>
    <cellStyle name="Total 2 4 2 4" xfId="1179"/>
    <cellStyle name="Total 2 4 2 4 2" xfId="1740"/>
    <cellStyle name="Total 2 4 2 4 2 2" xfId="2880"/>
    <cellStyle name="Total 2 4 2 4 2 2 2" xfId="6300"/>
    <cellStyle name="Total 2 4 2 4 2 2 2 2" xfId="13140"/>
    <cellStyle name="Total 2 4 2 4 2 2 3" xfId="9720"/>
    <cellStyle name="Total 2 4 2 4 2 3" xfId="4020"/>
    <cellStyle name="Total 2 4 2 4 2 3 2" xfId="7440"/>
    <cellStyle name="Total 2 4 2 4 2 3 2 2" xfId="14280"/>
    <cellStyle name="Total 2 4 2 4 2 3 3" xfId="10860"/>
    <cellStyle name="Total 2 4 2 4 2 4" xfId="5160"/>
    <cellStyle name="Total 2 4 2 4 2 4 2" xfId="12000"/>
    <cellStyle name="Total 2 4 2 4 2 5" xfId="8580"/>
    <cellStyle name="Total 2 4 2 4 3" xfId="1998"/>
    <cellStyle name="Total 2 4 2 4 3 2" xfId="5418"/>
    <cellStyle name="Total 2 4 2 4 3 2 2" xfId="12258"/>
    <cellStyle name="Total 2 4 2 4 3 3" xfId="8838"/>
    <cellStyle name="Total 2 4 2 4 4" xfId="3138"/>
    <cellStyle name="Total 2 4 2 4 4 2" xfId="6558"/>
    <cellStyle name="Total 2 4 2 4 4 2 2" xfId="13398"/>
    <cellStyle name="Total 2 4 2 4 4 3" xfId="9978"/>
    <cellStyle name="Total 2 4 2 4 5" xfId="4278"/>
    <cellStyle name="Total 2 4 2 4 5 2" xfId="11118"/>
    <cellStyle name="Total 2 4 2 4 6" xfId="7698"/>
    <cellStyle name="Total 2 4 2 4 7" xfId="61512"/>
    <cellStyle name="Total 2 4 2 4 8" xfId="62063"/>
    <cellStyle name="Total 2 4 2 5" xfId="15599"/>
    <cellStyle name="Total 2 4 2 6" xfId="23913"/>
    <cellStyle name="Total 2 4 2 7" xfId="38232"/>
    <cellStyle name="Total 2 4 2 8" xfId="60379"/>
    <cellStyle name="Total 2 4 2 9" xfId="60855"/>
    <cellStyle name="Total 2 4 3" xfId="337"/>
    <cellStyle name="Total 2 4 3 2" xfId="450"/>
    <cellStyle name="Total 2 4 3 2 2" xfId="1454"/>
    <cellStyle name="Total 2 4 3 2 2 2" xfId="883"/>
    <cellStyle name="Total 2 4 3 2 2 2 2" xfId="1911"/>
    <cellStyle name="Total 2 4 3 2 2 2 2 2" xfId="5331"/>
    <cellStyle name="Total 2 4 3 2 2 2 2 2 2" xfId="12171"/>
    <cellStyle name="Total 2 4 3 2 2 2 2 3" xfId="8751"/>
    <cellStyle name="Total 2 4 3 2 2 2 3" xfId="3051"/>
    <cellStyle name="Total 2 4 3 2 2 2 3 2" xfId="6471"/>
    <cellStyle name="Total 2 4 3 2 2 2 3 2 2" xfId="13311"/>
    <cellStyle name="Total 2 4 3 2 2 2 3 3" xfId="9891"/>
    <cellStyle name="Total 2 4 3 2 2 2 4" xfId="4191"/>
    <cellStyle name="Total 2 4 3 2 2 2 4 2" xfId="11031"/>
    <cellStyle name="Total 2 4 3 2 2 2 5" xfId="7611"/>
    <cellStyle name="Total 2 4 3 2 2 3" xfId="2275"/>
    <cellStyle name="Total 2 4 3 2 2 3 2" xfId="5695"/>
    <cellStyle name="Total 2 4 3 2 2 3 2 2" xfId="12535"/>
    <cellStyle name="Total 2 4 3 2 2 3 3" xfId="9115"/>
    <cellStyle name="Total 2 4 3 2 2 4" xfId="3415"/>
    <cellStyle name="Total 2 4 3 2 2 4 2" xfId="6835"/>
    <cellStyle name="Total 2 4 3 2 2 4 2 2" xfId="13675"/>
    <cellStyle name="Total 2 4 3 2 2 4 3" xfId="10255"/>
    <cellStyle name="Total 2 4 3 2 2 5" xfId="4555"/>
    <cellStyle name="Total 2 4 3 2 2 5 2" xfId="11395"/>
    <cellStyle name="Total 2 4 3 2 2 6" xfId="7975"/>
    <cellStyle name="Total 2 4 3 2 2 7" xfId="61375"/>
    <cellStyle name="Total 2 4 3 2 2 8" xfId="61965"/>
    <cellStyle name="Total 2 4 3 2 3" xfId="38411"/>
    <cellStyle name="Total 2 4 3 2 4" xfId="60380"/>
    <cellStyle name="Total 2 4 3 2 5" xfId="60381"/>
    <cellStyle name="Total 2 4 3 2 6" xfId="60382"/>
    <cellStyle name="Total 2 4 3 2 7" xfId="60383"/>
    <cellStyle name="Total 2 4 3 2 8" xfId="61130"/>
    <cellStyle name="Total 2 4 3 3" xfId="1342"/>
    <cellStyle name="Total 2 4 3 3 2" xfId="950"/>
    <cellStyle name="Total 2 4 3 3 2 2" xfId="2435"/>
    <cellStyle name="Total 2 4 3 3 2 2 2" xfId="5855"/>
    <cellStyle name="Total 2 4 3 3 2 2 2 2" xfId="12695"/>
    <cellStyle name="Total 2 4 3 3 2 2 3" xfId="9275"/>
    <cellStyle name="Total 2 4 3 3 2 3" xfId="3575"/>
    <cellStyle name="Total 2 4 3 3 2 3 2" xfId="6995"/>
    <cellStyle name="Total 2 4 3 3 2 3 2 2" xfId="13835"/>
    <cellStyle name="Total 2 4 3 3 2 3 3" xfId="10415"/>
    <cellStyle name="Total 2 4 3 3 2 4" xfId="4715"/>
    <cellStyle name="Total 2 4 3 3 2 4 2" xfId="11555"/>
    <cellStyle name="Total 2 4 3 3 2 5" xfId="8135"/>
    <cellStyle name="Total 2 4 3 3 3" xfId="2163"/>
    <cellStyle name="Total 2 4 3 3 3 2" xfId="5583"/>
    <cellStyle name="Total 2 4 3 3 3 2 2" xfId="12423"/>
    <cellStyle name="Total 2 4 3 3 3 3" xfId="9003"/>
    <cellStyle name="Total 2 4 3 3 4" xfId="3303"/>
    <cellStyle name="Total 2 4 3 3 4 2" xfId="6723"/>
    <cellStyle name="Total 2 4 3 3 4 2 2" xfId="13563"/>
    <cellStyle name="Total 2 4 3 3 4 3" xfId="10143"/>
    <cellStyle name="Total 2 4 3 3 5" xfId="4443"/>
    <cellStyle name="Total 2 4 3 3 5 2" xfId="11283"/>
    <cellStyle name="Total 2 4 3 3 6" xfId="7863"/>
    <cellStyle name="Total 2 4 3 3 7" xfId="61511"/>
    <cellStyle name="Total 2 4 3 3 8" xfId="62062"/>
    <cellStyle name="Total 2 4 3 4" xfId="16569"/>
    <cellStyle name="Total 2 4 3 5" xfId="24884"/>
    <cellStyle name="Total 2 4 3 6" xfId="32144"/>
    <cellStyle name="Total 2 4 3 7" xfId="60384"/>
    <cellStyle name="Total 2 4 3 8" xfId="60385"/>
    <cellStyle name="Total 2 4 3 9" xfId="61018"/>
    <cellStyle name="Total 2 4 4" xfId="244"/>
    <cellStyle name="Total 2 4 4 2" xfId="440"/>
    <cellStyle name="Total 2 4 4 2 2" xfId="1444"/>
    <cellStyle name="Total 2 4 4 2 2 2" xfId="1739"/>
    <cellStyle name="Total 2 4 4 2 2 2 2" xfId="2879"/>
    <cellStyle name="Total 2 4 4 2 2 2 2 2" xfId="6299"/>
    <cellStyle name="Total 2 4 4 2 2 2 2 2 2" xfId="13139"/>
    <cellStyle name="Total 2 4 4 2 2 2 2 3" xfId="9719"/>
    <cellStyle name="Total 2 4 4 2 2 2 3" xfId="4019"/>
    <cellStyle name="Total 2 4 4 2 2 2 3 2" xfId="7439"/>
    <cellStyle name="Total 2 4 4 2 2 2 3 2 2" xfId="14279"/>
    <cellStyle name="Total 2 4 4 2 2 2 3 3" xfId="10859"/>
    <cellStyle name="Total 2 4 4 2 2 2 4" xfId="5159"/>
    <cellStyle name="Total 2 4 4 2 2 2 4 2" xfId="11999"/>
    <cellStyle name="Total 2 4 4 2 2 2 5" xfId="8579"/>
    <cellStyle name="Total 2 4 4 2 2 3" xfId="2265"/>
    <cellStyle name="Total 2 4 4 2 2 3 2" xfId="5685"/>
    <cellStyle name="Total 2 4 4 2 2 3 2 2" xfId="12525"/>
    <cellStyle name="Total 2 4 4 2 2 3 3" xfId="9105"/>
    <cellStyle name="Total 2 4 4 2 2 4" xfId="3405"/>
    <cellStyle name="Total 2 4 4 2 2 4 2" xfId="6825"/>
    <cellStyle name="Total 2 4 4 2 2 4 2 2" xfId="13665"/>
    <cellStyle name="Total 2 4 4 2 2 4 3" xfId="10245"/>
    <cellStyle name="Total 2 4 4 2 2 5" xfId="4545"/>
    <cellStyle name="Total 2 4 4 2 2 5 2" xfId="11385"/>
    <cellStyle name="Total 2 4 4 2 2 6" xfId="7965"/>
    <cellStyle name="Total 2 4 4 2 2 7" xfId="61886"/>
    <cellStyle name="Total 2 4 4 2 2 8" xfId="62342"/>
    <cellStyle name="Total 2 4 4 2 3" xfId="38403"/>
    <cellStyle name="Total 2 4 4 2 4" xfId="60386"/>
    <cellStyle name="Total 2 4 4 2 5" xfId="60387"/>
    <cellStyle name="Total 2 4 4 2 6" xfId="60388"/>
    <cellStyle name="Total 2 4 4 2 7" xfId="60389"/>
    <cellStyle name="Total 2 4 4 2 8" xfId="61120"/>
    <cellStyle name="Total 2 4 4 3" xfId="1251"/>
    <cellStyle name="Total 2 4 4 3 2" xfId="1002"/>
    <cellStyle name="Total 2 4 4 3 2 2" xfId="2620"/>
    <cellStyle name="Total 2 4 4 3 2 2 2" xfId="6040"/>
    <cellStyle name="Total 2 4 4 3 2 2 2 2" xfId="12880"/>
    <cellStyle name="Total 2 4 4 3 2 2 3" xfId="9460"/>
    <cellStyle name="Total 2 4 4 3 2 3" xfId="3760"/>
    <cellStyle name="Total 2 4 4 3 2 3 2" xfId="7180"/>
    <cellStyle name="Total 2 4 4 3 2 3 2 2" xfId="14020"/>
    <cellStyle name="Total 2 4 4 3 2 3 3" xfId="10600"/>
    <cellStyle name="Total 2 4 4 3 2 4" xfId="4900"/>
    <cellStyle name="Total 2 4 4 3 2 4 2" xfId="11740"/>
    <cellStyle name="Total 2 4 4 3 2 5" xfId="8320"/>
    <cellStyle name="Total 2 4 4 3 3" xfId="2071"/>
    <cellStyle name="Total 2 4 4 3 3 2" xfId="5491"/>
    <cellStyle name="Total 2 4 4 3 3 2 2" xfId="12331"/>
    <cellStyle name="Total 2 4 4 3 3 3" xfId="8911"/>
    <cellStyle name="Total 2 4 4 3 4" xfId="3211"/>
    <cellStyle name="Total 2 4 4 3 4 2" xfId="6631"/>
    <cellStyle name="Total 2 4 4 3 4 2 2" xfId="13471"/>
    <cellStyle name="Total 2 4 4 3 4 3" xfId="10051"/>
    <cellStyle name="Total 2 4 4 3 5" xfId="4351"/>
    <cellStyle name="Total 2 4 4 3 5 2" xfId="11191"/>
    <cellStyle name="Total 2 4 4 3 6" xfId="7771"/>
    <cellStyle name="Total 2 4 4 3 7" xfId="61335"/>
    <cellStyle name="Total 2 4 4 3 8" xfId="61936"/>
    <cellStyle name="Total 2 4 4 4" xfId="17587"/>
    <cellStyle name="Total 2 4 4 5" xfId="25908"/>
    <cellStyle name="Total 2 4 4 6" xfId="33121"/>
    <cellStyle name="Total 2 4 4 7" xfId="60390"/>
    <cellStyle name="Total 2 4 4 8" xfId="60391"/>
    <cellStyle name="Total 2 4 4 9" xfId="60927"/>
    <cellStyle name="Total 2 4 5" xfId="502"/>
    <cellStyle name="Total 2 4 5 2" xfId="406"/>
    <cellStyle name="Total 2 4 5 2 2" xfId="1411"/>
    <cellStyle name="Total 2 4 5 2 2 2" xfId="1761"/>
    <cellStyle name="Total 2 4 5 2 2 2 2" xfId="2901"/>
    <cellStyle name="Total 2 4 5 2 2 2 2 2" xfId="6321"/>
    <cellStyle name="Total 2 4 5 2 2 2 2 2 2" xfId="13161"/>
    <cellStyle name="Total 2 4 5 2 2 2 2 3" xfId="9741"/>
    <cellStyle name="Total 2 4 5 2 2 2 3" xfId="4041"/>
    <cellStyle name="Total 2 4 5 2 2 2 3 2" xfId="7461"/>
    <cellStyle name="Total 2 4 5 2 2 2 3 2 2" xfId="14301"/>
    <cellStyle name="Total 2 4 5 2 2 2 3 3" xfId="10881"/>
    <cellStyle name="Total 2 4 5 2 2 2 4" xfId="5181"/>
    <cellStyle name="Total 2 4 5 2 2 2 4 2" xfId="12021"/>
    <cellStyle name="Total 2 4 5 2 2 2 5" xfId="8601"/>
    <cellStyle name="Total 2 4 5 2 2 3" xfId="2232"/>
    <cellStyle name="Total 2 4 5 2 2 3 2" xfId="5652"/>
    <cellStyle name="Total 2 4 5 2 2 3 2 2" xfId="12492"/>
    <cellStyle name="Total 2 4 5 2 2 3 3" xfId="9072"/>
    <cellStyle name="Total 2 4 5 2 2 4" xfId="3372"/>
    <cellStyle name="Total 2 4 5 2 2 4 2" xfId="6792"/>
    <cellStyle name="Total 2 4 5 2 2 4 2 2" xfId="13632"/>
    <cellStyle name="Total 2 4 5 2 2 4 3" xfId="10212"/>
    <cellStyle name="Total 2 4 5 2 2 5" xfId="4512"/>
    <cellStyle name="Total 2 4 5 2 2 5 2" xfId="11352"/>
    <cellStyle name="Total 2 4 5 2 2 6" xfId="7932"/>
    <cellStyle name="Total 2 4 5 2 2 7" xfId="61888"/>
    <cellStyle name="Total 2 4 5 2 2 8" xfId="62344"/>
    <cellStyle name="Total 2 4 5 2 3" xfId="38383"/>
    <cellStyle name="Total 2 4 5 2 4" xfId="60392"/>
    <cellStyle name="Total 2 4 5 2 5" xfId="60393"/>
    <cellStyle name="Total 2 4 5 2 6" xfId="60394"/>
    <cellStyle name="Total 2 4 5 2 7" xfId="60395"/>
    <cellStyle name="Total 2 4 5 2 8" xfId="61087"/>
    <cellStyle name="Total 2 4 5 3" xfId="1506"/>
    <cellStyle name="Total 2 4 5 3 2" xfId="856"/>
    <cellStyle name="Total 2 4 5 3 2 2" xfId="2719"/>
    <cellStyle name="Total 2 4 5 3 2 2 2" xfId="6139"/>
    <cellStyle name="Total 2 4 5 3 2 2 2 2" xfId="12979"/>
    <cellStyle name="Total 2 4 5 3 2 2 3" xfId="9559"/>
    <cellStyle name="Total 2 4 5 3 2 3" xfId="3859"/>
    <cellStyle name="Total 2 4 5 3 2 3 2" xfId="7279"/>
    <cellStyle name="Total 2 4 5 3 2 3 2 2" xfId="14119"/>
    <cellStyle name="Total 2 4 5 3 2 3 3" xfId="10699"/>
    <cellStyle name="Total 2 4 5 3 2 4" xfId="4999"/>
    <cellStyle name="Total 2 4 5 3 2 4 2" xfId="11839"/>
    <cellStyle name="Total 2 4 5 3 2 5" xfId="8419"/>
    <cellStyle name="Total 2 4 5 3 3" xfId="2327"/>
    <cellStyle name="Total 2 4 5 3 3 2" xfId="5747"/>
    <cellStyle name="Total 2 4 5 3 3 2 2" xfId="12587"/>
    <cellStyle name="Total 2 4 5 3 3 3" xfId="9167"/>
    <cellStyle name="Total 2 4 5 3 4" xfId="3467"/>
    <cellStyle name="Total 2 4 5 3 4 2" xfId="6887"/>
    <cellStyle name="Total 2 4 5 3 4 2 2" xfId="13727"/>
    <cellStyle name="Total 2 4 5 3 4 3" xfId="10307"/>
    <cellStyle name="Total 2 4 5 3 5" xfId="4607"/>
    <cellStyle name="Total 2 4 5 3 5 2" xfId="11447"/>
    <cellStyle name="Total 2 4 5 3 6" xfId="8027"/>
    <cellStyle name="Total 2 4 5 3 7" xfId="61887"/>
    <cellStyle name="Total 2 4 5 3 8" xfId="62343"/>
    <cellStyle name="Total 2 4 5 4" xfId="18568"/>
    <cellStyle name="Total 2 4 5 5" xfId="26886"/>
    <cellStyle name="Total 2 4 5 6" xfId="34055"/>
    <cellStyle name="Total 2 4 5 7" xfId="60396"/>
    <cellStyle name="Total 2 4 5 8" xfId="60397"/>
    <cellStyle name="Total 2 4 5 9" xfId="61182"/>
    <cellStyle name="Total 2 4 6" xfId="522"/>
    <cellStyle name="Total 2 4 6 2" xfId="470"/>
    <cellStyle name="Total 2 4 6 2 2" xfId="1474"/>
    <cellStyle name="Total 2 4 6 2 2 2" xfId="1679"/>
    <cellStyle name="Total 2 4 6 2 2 2 2" xfId="2819"/>
    <cellStyle name="Total 2 4 6 2 2 2 2 2" xfId="6239"/>
    <cellStyle name="Total 2 4 6 2 2 2 2 2 2" xfId="13079"/>
    <cellStyle name="Total 2 4 6 2 2 2 2 3" xfId="9659"/>
    <cellStyle name="Total 2 4 6 2 2 2 3" xfId="3959"/>
    <cellStyle name="Total 2 4 6 2 2 2 3 2" xfId="7379"/>
    <cellStyle name="Total 2 4 6 2 2 2 3 2 2" xfId="14219"/>
    <cellStyle name="Total 2 4 6 2 2 2 3 3" xfId="10799"/>
    <cellStyle name="Total 2 4 6 2 2 2 4" xfId="5099"/>
    <cellStyle name="Total 2 4 6 2 2 2 4 2" xfId="11939"/>
    <cellStyle name="Total 2 4 6 2 2 2 5" xfId="8519"/>
    <cellStyle name="Total 2 4 6 2 2 3" xfId="2295"/>
    <cellStyle name="Total 2 4 6 2 2 3 2" xfId="5715"/>
    <cellStyle name="Total 2 4 6 2 2 3 2 2" xfId="12555"/>
    <cellStyle name="Total 2 4 6 2 2 3 3" xfId="9135"/>
    <cellStyle name="Total 2 4 6 2 2 4" xfId="3435"/>
    <cellStyle name="Total 2 4 6 2 2 4 2" xfId="6855"/>
    <cellStyle name="Total 2 4 6 2 2 4 2 2" xfId="13695"/>
    <cellStyle name="Total 2 4 6 2 2 4 3" xfId="10275"/>
    <cellStyle name="Total 2 4 6 2 2 5" xfId="4575"/>
    <cellStyle name="Total 2 4 6 2 2 5 2" xfId="11415"/>
    <cellStyle name="Total 2 4 6 2 2 6" xfId="7995"/>
    <cellStyle name="Total 2 4 6 2 2 7" xfId="61890"/>
    <cellStyle name="Total 2 4 6 2 2 8" xfId="62346"/>
    <cellStyle name="Total 2 4 6 2 3" xfId="38421"/>
    <cellStyle name="Total 2 4 6 2 4" xfId="60398"/>
    <cellStyle name="Total 2 4 6 2 5" xfId="60399"/>
    <cellStyle name="Total 2 4 6 2 6" xfId="60400"/>
    <cellStyle name="Total 2 4 6 2 7" xfId="60401"/>
    <cellStyle name="Total 2 4 6 2 8" xfId="61150"/>
    <cellStyle name="Total 2 4 6 3" xfId="1526"/>
    <cellStyle name="Total 2 4 6 3 2" xfId="1853"/>
    <cellStyle name="Total 2 4 6 3 2 2" xfId="2993"/>
    <cellStyle name="Total 2 4 6 3 2 2 2" xfId="6413"/>
    <cellStyle name="Total 2 4 6 3 2 2 2 2" xfId="13253"/>
    <cellStyle name="Total 2 4 6 3 2 2 3" xfId="9833"/>
    <cellStyle name="Total 2 4 6 3 2 3" xfId="4133"/>
    <cellStyle name="Total 2 4 6 3 2 3 2" xfId="7553"/>
    <cellStyle name="Total 2 4 6 3 2 3 2 2" xfId="14393"/>
    <cellStyle name="Total 2 4 6 3 2 3 3" xfId="10973"/>
    <cellStyle name="Total 2 4 6 3 2 4" xfId="5273"/>
    <cellStyle name="Total 2 4 6 3 2 4 2" xfId="12113"/>
    <cellStyle name="Total 2 4 6 3 2 5" xfId="8693"/>
    <cellStyle name="Total 2 4 6 3 3" xfId="2347"/>
    <cellStyle name="Total 2 4 6 3 3 2" xfId="5767"/>
    <cellStyle name="Total 2 4 6 3 3 2 2" xfId="12607"/>
    <cellStyle name="Total 2 4 6 3 3 3" xfId="9187"/>
    <cellStyle name="Total 2 4 6 3 4" xfId="3487"/>
    <cellStyle name="Total 2 4 6 3 4 2" xfId="6907"/>
    <cellStyle name="Total 2 4 6 3 4 2 2" xfId="13747"/>
    <cellStyle name="Total 2 4 6 3 4 3" xfId="10327"/>
    <cellStyle name="Total 2 4 6 3 5" xfId="4627"/>
    <cellStyle name="Total 2 4 6 3 5 2" xfId="11467"/>
    <cellStyle name="Total 2 4 6 3 6" xfId="8047"/>
    <cellStyle name="Total 2 4 6 3 7" xfId="61889"/>
    <cellStyle name="Total 2 4 6 3 8" xfId="62345"/>
    <cellStyle name="Total 2 4 6 4" xfId="17543"/>
    <cellStyle name="Total 2 4 6 5" xfId="25861"/>
    <cellStyle name="Total 2 4 6 6" xfId="33078"/>
    <cellStyle name="Total 2 4 6 7" xfId="60402"/>
    <cellStyle name="Total 2 4 6 8" xfId="60403"/>
    <cellStyle name="Total 2 4 6 9" xfId="61202"/>
    <cellStyle name="Total 2 4 7" xfId="1128"/>
    <cellStyle name="Total 2 4 7 10" xfId="61864"/>
    <cellStyle name="Total 2 4 7 11" xfId="62329"/>
    <cellStyle name="Total 2 4 7 2" xfId="1881"/>
    <cellStyle name="Total 2 4 7 2 2" xfId="3021"/>
    <cellStyle name="Total 2 4 7 2 2 2" xfId="6441"/>
    <cellStyle name="Total 2 4 7 2 2 2 2" xfId="13281"/>
    <cellStyle name="Total 2 4 7 2 2 3" xfId="9861"/>
    <cellStyle name="Total 2 4 7 2 3" xfId="4161"/>
    <cellStyle name="Total 2 4 7 2 3 2" xfId="7581"/>
    <cellStyle name="Total 2 4 7 2 3 2 2" xfId="14421"/>
    <cellStyle name="Total 2 4 7 2 3 3" xfId="11001"/>
    <cellStyle name="Total 2 4 7 2 4" xfId="5301"/>
    <cellStyle name="Total 2 4 7 2 4 2" xfId="12141"/>
    <cellStyle name="Total 2 4 7 2 5" xfId="8721"/>
    <cellStyle name="Total 2 4 7 3" xfId="1942"/>
    <cellStyle name="Total 2 4 7 3 2" xfId="5362"/>
    <cellStyle name="Total 2 4 7 3 2 2" xfId="12202"/>
    <cellStyle name="Total 2 4 7 3 3" xfId="8782"/>
    <cellStyle name="Total 2 4 7 4" xfId="3082"/>
    <cellStyle name="Total 2 4 7 4 2" xfId="6502"/>
    <cellStyle name="Total 2 4 7 4 2 2" xfId="13342"/>
    <cellStyle name="Total 2 4 7 4 3" xfId="9922"/>
    <cellStyle name="Total 2 4 7 5" xfId="4222"/>
    <cellStyle name="Total 2 4 7 5 2" xfId="11062"/>
    <cellStyle name="Total 2 4 7 6" xfId="7642"/>
    <cellStyle name="Total 2 4 7 7" xfId="19228"/>
    <cellStyle name="Total 2 4 7 8" xfId="27548"/>
    <cellStyle name="Total 2 4 7 9" xfId="34696"/>
    <cellStyle name="Total 2 4 8" xfId="15544"/>
    <cellStyle name="Total 2 4 8 2" xfId="23877"/>
    <cellStyle name="Total 2 4 8 2 2" xfId="60404"/>
    <cellStyle name="Total 2 4 8 2 3" xfId="60405"/>
    <cellStyle name="Total 2 4 8 3" xfId="31221"/>
    <cellStyle name="Total 2 4 8 4" xfId="60406"/>
    <cellStyle name="Total 2 4 9" xfId="21334"/>
    <cellStyle name="Total 2 4 9 2" xfId="29638"/>
    <cellStyle name="Total 2 4 9 2 2" xfId="60407"/>
    <cellStyle name="Total 2 4 9 2 3" xfId="60408"/>
    <cellStyle name="Total 2 4 9 3" xfId="36704"/>
    <cellStyle name="Total 2 4 9 4" xfId="60409"/>
    <cellStyle name="Total 2 5" xfId="135"/>
    <cellStyle name="Total 2 5 10" xfId="60410"/>
    <cellStyle name="Total 2 5 11" xfId="60411"/>
    <cellStyle name="Total 2 5 12" xfId="60820"/>
    <cellStyle name="Total 2 5 2" xfId="261"/>
    <cellStyle name="Total 2 5 2 2" xfId="671"/>
    <cellStyle name="Total 2 5 2 2 2" xfId="1622"/>
    <cellStyle name="Total 2 5 2 2 2 2" xfId="785"/>
    <cellStyle name="Total 2 5 2 2 2 2 2" xfId="2726"/>
    <cellStyle name="Total 2 5 2 2 2 2 2 2" xfId="6146"/>
    <cellStyle name="Total 2 5 2 2 2 2 2 2 2" xfId="12986"/>
    <cellStyle name="Total 2 5 2 2 2 2 2 3" xfId="9566"/>
    <cellStyle name="Total 2 5 2 2 2 2 3" xfId="3866"/>
    <cellStyle name="Total 2 5 2 2 2 2 3 2" xfId="7286"/>
    <cellStyle name="Total 2 5 2 2 2 2 3 2 2" xfId="14126"/>
    <cellStyle name="Total 2 5 2 2 2 2 3 3" xfId="10706"/>
    <cellStyle name="Total 2 5 2 2 2 2 4" xfId="5006"/>
    <cellStyle name="Total 2 5 2 2 2 2 4 2" xfId="11846"/>
    <cellStyle name="Total 2 5 2 2 2 2 5" xfId="8426"/>
    <cellStyle name="Total 2 5 2 2 2 3" xfId="2456"/>
    <cellStyle name="Total 2 5 2 2 2 3 2" xfId="5876"/>
    <cellStyle name="Total 2 5 2 2 2 3 2 2" xfId="12716"/>
    <cellStyle name="Total 2 5 2 2 2 3 3" xfId="9296"/>
    <cellStyle name="Total 2 5 2 2 2 4" xfId="3596"/>
    <cellStyle name="Total 2 5 2 2 2 4 2" xfId="7016"/>
    <cellStyle name="Total 2 5 2 2 2 4 2 2" xfId="13856"/>
    <cellStyle name="Total 2 5 2 2 2 4 3" xfId="10436"/>
    <cellStyle name="Total 2 5 2 2 2 5" xfId="4736"/>
    <cellStyle name="Total 2 5 2 2 2 5 2" xfId="11576"/>
    <cellStyle name="Total 2 5 2 2 2 6" xfId="8156"/>
    <cellStyle name="Total 2 5 2 2 2 7" xfId="61892"/>
    <cellStyle name="Total 2 5 2 2 2 8" xfId="62348"/>
    <cellStyle name="Total 2 5 2 2 3" xfId="38515"/>
    <cellStyle name="Total 2 5 2 2 4" xfId="60412"/>
    <cellStyle name="Total 2 5 2 2 5" xfId="60413"/>
    <cellStyle name="Total 2 5 2 2 6" xfId="60414"/>
    <cellStyle name="Total 2 5 2 2 7" xfId="60415"/>
    <cellStyle name="Total 2 5 2 2 8" xfId="61324"/>
    <cellStyle name="Total 2 5 2 3" xfId="1268"/>
    <cellStyle name="Total 2 5 2 3 2" xfId="993"/>
    <cellStyle name="Total 2 5 2 3 2 2" xfId="2530"/>
    <cellStyle name="Total 2 5 2 3 2 2 2" xfId="5950"/>
    <cellStyle name="Total 2 5 2 3 2 2 2 2" xfId="12790"/>
    <cellStyle name="Total 2 5 2 3 2 2 3" xfId="9370"/>
    <cellStyle name="Total 2 5 2 3 2 3" xfId="3670"/>
    <cellStyle name="Total 2 5 2 3 2 3 2" xfId="7090"/>
    <cellStyle name="Total 2 5 2 3 2 3 2 2" xfId="13930"/>
    <cellStyle name="Total 2 5 2 3 2 3 3" xfId="10510"/>
    <cellStyle name="Total 2 5 2 3 2 4" xfId="4810"/>
    <cellStyle name="Total 2 5 2 3 2 4 2" xfId="11650"/>
    <cellStyle name="Total 2 5 2 3 2 5" xfId="8230"/>
    <cellStyle name="Total 2 5 2 3 3" xfId="2088"/>
    <cellStyle name="Total 2 5 2 3 3 2" xfId="5508"/>
    <cellStyle name="Total 2 5 2 3 3 2 2" xfId="12348"/>
    <cellStyle name="Total 2 5 2 3 3 3" xfId="8928"/>
    <cellStyle name="Total 2 5 2 3 4" xfId="3228"/>
    <cellStyle name="Total 2 5 2 3 4 2" xfId="6648"/>
    <cellStyle name="Total 2 5 2 3 4 2 2" xfId="13488"/>
    <cellStyle name="Total 2 5 2 3 4 3" xfId="10068"/>
    <cellStyle name="Total 2 5 2 3 5" xfId="4368"/>
    <cellStyle name="Total 2 5 2 3 5 2" xfId="11208"/>
    <cellStyle name="Total 2 5 2 3 6" xfId="7788"/>
    <cellStyle name="Total 2 5 2 3 7" xfId="61891"/>
    <cellStyle name="Total 2 5 2 3 8" xfId="62347"/>
    <cellStyle name="Total 2 5 2 4" xfId="15604"/>
    <cellStyle name="Total 2 5 2 5" xfId="23918"/>
    <cellStyle name="Total 2 5 2 6" xfId="38278"/>
    <cellStyle name="Total 2 5 2 7" xfId="60416"/>
    <cellStyle name="Total 2 5 2 8" xfId="60944"/>
    <cellStyle name="Total 2 5 3" xfId="583"/>
    <cellStyle name="Total 2 5 3 2" xfId="1570"/>
    <cellStyle name="Total 2 5 3 2 2" xfId="826"/>
    <cellStyle name="Total 2 5 3 2 2 2" xfId="2668"/>
    <cellStyle name="Total 2 5 3 2 2 2 2" xfId="6088"/>
    <cellStyle name="Total 2 5 3 2 2 2 2 2" xfId="12928"/>
    <cellStyle name="Total 2 5 3 2 2 2 3" xfId="9508"/>
    <cellStyle name="Total 2 5 3 2 2 3" xfId="3808"/>
    <cellStyle name="Total 2 5 3 2 2 3 2" xfId="7228"/>
    <cellStyle name="Total 2 5 3 2 2 3 2 2" xfId="14068"/>
    <cellStyle name="Total 2 5 3 2 2 3 3" xfId="10648"/>
    <cellStyle name="Total 2 5 3 2 2 4" xfId="4948"/>
    <cellStyle name="Total 2 5 3 2 2 4 2" xfId="11788"/>
    <cellStyle name="Total 2 5 3 2 2 5" xfId="8368"/>
    <cellStyle name="Total 2 5 3 2 3" xfId="2395"/>
    <cellStyle name="Total 2 5 3 2 3 2" xfId="5815"/>
    <cellStyle name="Total 2 5 3 2 3 2 2" xfId="12655"/>
    <cellStyle name="Total 2 5 3 2 3 3" xfId="9235"/>
    <cellStyle name="Total 2 5 3 2 4" xfId="3535"/>
    <cellStyle name="Total 2 5 3 2 4 2" xfId="6955"/>
    <cellStyle name="Total 2 5 3 2 4 2 2" xfId="13795"/>
    <cellStyle name="Total 2 5 3 2 4 3" xfId="10375"/>
    <cellStyle name="Total 2 5 3 2 5" xfId="4675"/>
    <cellStyle name="Total 2 5 3 2 5 2" xfId="11515"/>
    <cellStyle name="Total 2 5 3 2 6" xfId="8095"/>
    <cellStyle name="Total 2 5 3 2 7" xfId="61893"/>
    <cellStyle name="Total 2 5 3 2 8" xfId="62349"/>
    <cellStyle name="Total 2 5 3 3" xfId="16573"/>
    <cellStyle name="Total 2 5 3 4" xfId="24889"/>
    <cellStyle name="Total 2 5 3 5" xfId="32149"/>
    <cellStyle name="Total 2 5 3 6" xfId="60417"/>
    <cellStyle name="Total 2 5 3 7" xfId="60418"/>
    <cellStyle name="Total 2 5 3 8" xfId="60419"/>
    <cellStyle name="Total 2 5 3 9" xfId="61325"/>
    <cellStyle name="Total 2 5 4" xfId="1144"/>
    <cellStyle name="Total 2 5 4 10" xfId="61831"/>
    <cellStyle name="Total 2 5 4 11" xfId="62307"/>
    <cellStyle name="Total 2 5 4 2" xfId="1056"/>
    <cellStyle name="Total 2 5 4 2 2" xfId="2652"/>
    <cellStyle name="Total 2 5 4 2 2 2" xfId="6072"/>
    <cellStyle name="Total 2 5 4 2 2 2 2" xfId="12912"/>
    <cellStyle name="Total 2 5 4 2 2 3" xfId="9492"/>
    <cellStyle name="Total 2 5 4 2 3" xfId="3792"/>
    <cellStyle name="Total 2 5 4 2 3 2" xfId="7212"/>
    <cellStyle name="Total 2 5 4 2 3 2 2" xfId="14052"/>
    <cellStyle name="Total 2 5 4 2 3 3" xfId="10632"/>
    <cellStyle name="Total 2 5 4 2 4" xfId="4932"/>
    <cellStyle name="Total 2 5 4 2 4 2" xfId="11772"/>
    <cellStyle name="Total 2 5 4 2 5" xfId="8352"/>
    <cellStyle name="Total 2 5 4 3" xfId="1963"/>
    <cellStyle name="Total 2 5 4 3 2" xfId="5383"/>
    <cellStyle name="Total 2 5 4 3 2 2" xfId="12223"/>
    <cellStyle name="Total 2 5 4 3 3" xfId="8803"/>
    <cellStyle name="Total 2 5 4 4" xfId="3103"/>
    <cellStyle name="Total 2 5 4 4 2" xfId="6523"/>
    <cellStyle name="Total 2 5 4 4 2 2" xfId="13363"/>
    <cellStyle name="Total 2 5 4 4 3" xfId="9943"/>
    <cellStyle name="Total 2 5 4 5" xfId="4243"/>
    <cellStyle name="Total 2 5 4 5 2" xfId="11083"/>
    <cellStyle name="Total 2 5 4 6" xfId="7663"/>
    <cellStyle name="Total 2 5 4 7" xfId="17591"/>
    <cellStyle name="Total 2 5 4 8" xfId="25913"/>
    <cellStyle name="Total 2 5 4 9" xfId="33126"/>
    <cellStyle name="Total 2 5 5" xfId="18572"/>
    <cellStyle name="Total 2 5 5 2" xfId="26891"/>
    <cellStyle name="Total 2 5 5 2 2" xfId="60420"/>
    <cellStyle name="Total 2 5 5 2 3" xfId="60421"/>
    <cellStyle name="Total 2 5 5 3" xfId="34060"/>
    <cellStyle name="Total 2 5 5 4" xfId="60422"/>
    <cellStyle name="Total 2 5 6" xfId="15527"/>
    <cellStyle name="Total 2 5 6 2" xfId="23863"/>
    <cellStyle name="Total 2 5 6 2 2" xfId="60423"/>
    <cellStyle name="Total 2 5 6 2 3" xfId="60424"/>
    <cellStyle name="Total 2 5 6 3" xfId="31209"/>
    <cellStyle name="Total 2 5 6 4" xfId="60425"/>
    <cellStyle name="Total 2 5 7" xfId="19453"/>
    <cellStyle name="Total 2 5 7 2" xfId="27774"/>
    <cellStyle name="Total 2 5 7 2 2" xfId="60426"/>
    <cellStyle name="Total 2 5 7 2 3" xfId="60427"/>
    <cellStyle name="Total 2 5 7 3" xfId="34922"/>
    <cellStyle name="Total 2 5 7 4" xfId="60428"/>
    <cellStyle name="Total 2 5 8" xfId="14424"/>
    <cellStyle name="Total 2 5 8 2" xfId="60429"/>
    <cellStyle name="Total 2 5 8 3" xfId="60430"/>
    <cellStyle name="Total 2 5 9" xfId="60431"/>
    <cellStyle name="Total 2 6" xfId="302"/>
    <cellStyle name="Total 2 6 10" xfId="22928"/>
    <cellStyle name="Total 2 6 11" xfId="60432"/>
    <cellStyle name="Total 2 6 12" xfId="60433"/>
    <cellStyle name="Total 2 6 13" xfId="60434"/>
    <cellStyle name="Total 2 6 14" xfId="60435"/>
    <cellStyle name="Total 2 6 15" xfId="60984"/>
    <cellStyle name="Total 2 6 2" xfId="433"/>
    <cellStyle name="Total 2 6 2 2" xfId="1437"/>
    <cellStyle name="Total 2 6 2 2 2" xfId="1755"/>
    <cellStyle name="Total 2 6 2 2 2 2" xfId="2895"/>
    <cellStyle name="Total 2 6 2 2 2 2 2" xfId="6315"/>
    <cellStyle name="Total 2 6 2 2 2 2 2 2" xfId="13155"/>
    <cellStyle name="Total 2 6 2 2 2 2 3" xfId="9735"/>
    <cellStyle name="Total 2 6 2 2 2 3" xfId="4035"/>
    <cellStyle name="Total 2 6 2 2 2 3 2" xfId="7455"/>
    <cellStyle name="Total 2 6 2 2 2 3 2 2" xfId="14295"/>
    <cellStyle name="Total 2 6 2 2 2 3 3" xfId="10875"/>
    <cellStyle name="Total 2 6 2 2 2 4" xfId="5175"/>
    <cellStyle name="Total 2 6 2 2 2 4 2" xfId="12015"/>
    <cellStyle name="Total 2 6 2 2 2 5" xfId="8595"/>
    <cellStyle name="Total 2 6 2 2 3" xfId="2258"/>
    <cellStyle name="Total 2 6 2 2 3 2" xfId="5678"/>
    <cellStyle name="Total 2 6 2 2 3 2 2" xfId="12518"/>
    <cellStyle name="Total 2 6 2 2 3 3" xfId="9098"/>
    <cellStyle name="Total 2 6 2 2 4" xfId="3398"/>
    <cellStyle name="Total 2 6 2 2 4 2" xfId="6818"/>
    <cellStyle name="Total 2 6 2 2 4 2 2" xfId="13658"/>
    <cellStyle name="Total 2 6 2 2 4 3" xfId="10238"/>
    <cellStyle name="Total 2 6 2 2 5" xfId="4538"/>
    <cellStyle name="Total 2 6 2 2 5 2" xfId="11378"/>
    <cellStyle name="Total 2 6 2 2 6" xfId="7958"/>
    <cellStyle name="Total 2 6 2 2 7" xfId="61895"/>
    <cellStyle name="Total 2 6 2 2 8" xfId="62351"/>
    <cellStyle name="Total 2 6 2 3" xfId="15651"/>
    <cellStyle name="Total 2 6 2 4" xfId="23964"/>
    <cellStyle name="Total 2 6 2 5" xfId="31261"/>
    <cellStyle name="Total 2 6 2 6" xfId="60436"/>
    <cellStyle name="Total 2 6 2 7" xfId="60437"/>
    <cellStyle name="Total 2 6 2 8" xfId="60438"/>
    <cellStyle name="Total 2 6 2 9" xfId="61113"/>
    <cellStyle name="Total 2 6 3" xfId="1308"/>
    <cellStyle name="Total 2 6 3 10" xfId="61894"/>
    <cellStyle name="Total 2 6 3 11" xfId="62350"/>
    <cellStyle name="Total 2 6 3 2" xfId="1722"/>
    <cellStyle name="Total 2 6 3 2 2" xfId="2862"/>
    <cellStyle name="Total 2 6 3 2 2 2" xfId="6282"/>
    <cellStyle name="Total 2 6 3 2 2 2 2" xfId="13122"/>
    <cellStyle name="Total 2 6 3 2 2 3" xfId="9702"/>
    <cellStyle name="Total 2 6 3 2 3" xfId="4002"/>
    <cellStyle name="Total 2 6 3 2 3 2" xfId="7422"/>
    <cellStyle name="Total 2 6 3 2 3 2 2" xfId="14262"/>
    <cellStyle name="Total 2 6 3 2 3 3" xfId="10842"/>
    <cellStyle name="Total 2 6 3 2 4" xfId="5142"/>
    <cellStyle name="Total 2 6 3 2 4 2" xfId="11982"/>
    <cellStyle name="Total 2 6 3 2 5" xfId="8562"/>
    <cellStyle name="Total 2 6 3 3" xfId="2128"/>
    <cellStyle name="Total 2 6 3 3 2" xfId="5548"/>
    <cellStyle name="Total 2 6 3 3 2 2" xfId="12388"/>
    <cellStyle name="Total 2 6 3 3 3" xfId="8968"/>
    <cellStyle name="Total 2 6 3 4" xfId="3268"/>
    <cellStyle name="Total 2 6 3 4 2" xfId="6688"/>
    <cellStyle name="Total 2 6 3 4 2 2" xfId="13528"/>
    <cellStyle name="Total 2 6 3 4 3" xfId="10108"/>
    <cellStyle name="Total 2 6 3 5" xfId="4408"/>
    <cellStyle name="Total 2 6 3 5 2" xfId="11248"/>
    <cellStyle name="Total 2 6 3 6" xfId="7828"/>
    <cellStyle name="Total 2 6 3 7" xfId="16618"/>
    <cellStyle name="Total 2 6 3 8" xfId="24935"/>
    <cellStyle name="Total 2 6 3 9" xfId="32194"/>
    <cellStyle name="Total 2 6 4" xfId="17638"/>
    <cellStyle name="Total 2 6 4 2" xfId="25961"/>
    <cellStyle name="Total 2 6 4 2 2" xfId="60439"/>
    <cellStyle name="Total 2 6 4 2 3" xfId="60440"/>
    <cellStyle name="Total 2 6 4 3" xfId="33171"/>
    <cellStyle name="Total 2 6 4 4" xfId="60441"/>
    <cellStyle name="Total 2 6 5" xfId="18620"/>
    <cellStyle name="Total 2 6 5 2" xfId="26940"/>
    <cellStyle name="Total 2 6 5 2 2" xfId="60442"/>
    <cellStyle name="Total 2 6 5 2 3" xfId="60443"/>
    <cellStyle name="Total 2 6 5 3" xfId="34108"/>
    <cellStyle name="Total 2 6 5 4" xfId="60444"/>
    <cellStyle name="Total 2 6 6" xfId="19589"/>
    <cellStyle name="Total 2 6 6 2" xfId="27909"/>
    <cellStyle name="Total 2 6 6 2 2" xfId="60445"/>
    <cellStyle name="Total 2 6 6 2 3" xfId="60446"/>
    <cellStyle name="Total 2 6 6 3" xfId="35054"/>
    <cellStyle name="Total 2 6 6 4" xfId="60447"/>
    <cellStyle name="Total 2 6 7" xfId="20546"/>
    <cellStyle name="Total 2 6 7 2" xfId="28868"/>
    <cellStyle name="Total 2 6 7 2 2" xfId="60448"/>
    <cellStyle name="Total 2 6 7 2 3" xfId="60449"/>
    <cellStyle name="Total 2 6 7 3" xfId="35971"/>
    <cellStyle name="Total 2 6 7 4" xfId="60450"/>
    <cellStyle name="Total 2 6 8" xfId="21284"/>
    <cellStyle name="Total 2 6 8 2" xfId="29591"/>
    <cellStyle name="Total 2 6 8 2 2" xfId="60451"/>
    <cellStyle name="Total 2 6 8 2 3" xfId="60452"/>
    <cellStyle name="Total 2 6 8 3" xfId="36658"/>
    <cellStyle name="Total 2 6 8 4" xfId="60453"/>
    <cellStyle name="Total 2 6 9" xfId="21982"/>
    <cellStyle name="Total 2 6 9 2" xfId="30282"/>
    <cellStyle name="Total 2 6 9 3" xfId="37322"/>
    <cellStyle name="Total 2 7" xfId="195"/>
    <cellStyle name="Total 2 7 10" xfId="14552"/>
    <cellStyle name="Total 2 7 11" xfId="22908"/>
    <cellStyle name="Total 2 7 12" xfId="60454"/>
    <cellStyle name="Total 2 7 13" xfId="60455"/>
    <cellStyle name="Total 2 7 14" xfId="60456"/>
    <cellStyle name="Total 2 7 15" xfId="60879"/>
    <cellStyle name="Total 2 7 2" xfId="528"/>
    <cellStyle name="Total 2 7 2 2" xfId="1532"/>
    <cellStyle name="Total 2 7 2 2 2" xfId="843"/>
    <cellStyle name="Total 2 7 2 2 2 2" xfId="2764"/>
    <cellStyle name="Total 2 7 2 2 2 2 2" xfId="6184"/>
    <cellStyle name="Total 2 7 2 2 2 2 2 2" xfId="13024"/>
    <cellStyle name="Total 2 7 2 2 2 2 3" xfId="9604"/>
    <cellStyle name="Total 2 7 2 2 2 3" xfId="3904"/>
    <cellStyle name="Total 2 7 2 2 2 3 2" xfId="7324"/>
    <cellStyle name="Total 2 7 2 2 2 3 2 2" xfId="14164"/>
    <cellStyle name="Total 2 7 2 2 2 3 3" xfId="10744"/>
    <cellStyle name="Total 2 7 2 2 2 4" xfId="5044"/>
    <cellStyle name="Total 2 7 2 2 2 4 2" xfId="11884"/>
    <cellStyle name="Total 2 7 2 2 2 5" xfId="8464"/>
    <cellStyle name="Total 2 7 2 2 3" xfId="2353"/>
    <cellStyle name="Total 2 7 2 2 3 2" xfId="5773"/>
    <cellStyle name="Total 2 7 2 2 3 2 2" xfId="12613"/>
    <cellStyle name="Total 2 7 2 2 3 3" xfId="9193"/>
    <cellStyle name="Total 2 7 2 2 4" xfId="3493"/>
    <cellStyle name="Total 2 7 2 2 4 2" xfId="6913"/>
    <cellStyle name="Total 2 7 2 2 4 2 2" xfId="13753"/>
    <cellStyle name="Total 2 7 2 2 4 3" xfId="10333"/>
    <cellStyle name="Total 2 7 2 2 5" xfId="4633"/>
    <cellStyle name="Total 2 7 2 2 5 2" xfId="11473"/>
    <cellStyle name="Total 2 7 2 2 6" xfId="8053"/>
    <cellStyle name="Total 2 7 2 2 7" xfId="61897"/>
    <cellStyle name="Total 2 7 2 2 8" xfId="62353"/>
    <cellStyle name="Total 2 7 2 3" xfId="15631"/>
    <cellStyle name="Total 2 7 2 4" xfId="23944"/>
    <cellStyle name="Total 2 7 2 5" xfId="31241"/>
    <cellStyle name="Total 2 7 2 6" xfId="60457"/>
    <cellStyle name="Total 2 7 2 7" xfId="60458"/>
    <cellStyle name="Total 2 7 2 8" xfId="60459"/>
    <cellStyle name="Total 2 7 2 9" xfId="61208"/>
    <cellStyle name="Total 2 7 3" xfId="1203"/>
    <cellStyle name="Total 2 7 3 10" xfId="61896"/>
    <cellStyle name="Total 2 7 3 11" xfId="62352"/>
    <cellStyle name="Total 2 7 3 2" xfId="1026"/>
    <cellStyle name="Total 2 7 3 2 2" xfId="2566"/>
    <cellStyle name="Total 2 7 3 2 2 2" xfId="5986"/>
    <cellStyle name="Total 2 7 3 2 2 2 2" xfId="12826"/>
    <cellStyle name="Total 2 7 3 2 2 3" xfId="9406"/>
    <cellStyle name="Total 2 7 3 2 3" xfId="3706"/>
    <cellStyle name="Total 2 7 3 2 3 2" xfId="7126"/>
    <cellStyle name="Total 2 7 3 2 3 2 2" xfId="13966"/>
    <cellStyle name="Total 2 7 3 2 3 3" xfId="10546"/>
    <cellStyle name="Total 2 7 3 2 4" xfId="4846"/>
    <cellStyle name="Total 2 7 3 2 4 2" xfId="11686"/>
    <cellStyle name="Total 2 7 3 2 5" xfId="8266"/>
    <cellStyle name="Total 2 7 3 3" xfId="2022"/>
    <cellStyle name="Total 2 7 3 3 2" xfId="5442"/>
    <cellStyle name="Total 2 7 3 3 2 2" xfId="12282"/>
    <cellStyle name="Total 2 7 3 3 3" xfId="8862"/>
    <cellStyle name="Total 2 7 3 4" xfId="3162"/>
    <cellStyle name="Total 2 7 3 4 2" xfId="6582"/>
    <cellStyle name="Total 2 7 3 4 2 2" xfId="13422"/>
    <cellStyle name="Total 2 7 3 4 3" xfId="10002"/>
    <cellStyle name="Total 2 7 3 5" xfId="4302"/>
    <cellStyle name="Total 2 7 3 5 2" xfId="11142"/>
    <cellStyle name="Total 2 7 3 6" xfId="7722"/>
    <cellStyle name="Total 2 7 3 7" xfId="16598"/>
    <cellStyle name="Total 2 7 3 8" xfId="24915"/>
    <cellStyle name="Total 2 7 3 9" xfId="32174"/>
    <cellStyle name="Total 2 7 4" xfId="17618"/>
    <cellStyle name="Total 2 7 4 2" xfId="25941"/>
    <cellStyle name="Total 2 7 4 2 2" xfId="60460"/>
    <cellStyle name="Total 2 7 4 2 3" xfId="60461"/>
    <cellStyle name="Total 2 7 4 3" xfId="33151"/>
    <cellStyle name="Total 2 7 4 4" xfId="60462"/>
    <cellStyle name="Total 2 7 5" xfId="18600"/>
    <cellStyle name="Total 2 7 5 2" xfId="26919"/>
    <cellStyle name="Total 2 7 5 2 2" xfId="60463"/>
    <cellStyle name="Total 2 7 5 2 3" xfId="60464"/>
    <cellStyle name="Total 2 7 5 3" xfId="34087"/>
    <cellStyle name="Total 2 7 5 4" xfId="60465"/>
    <cellStyle name="Total 2 7 6" xfId="19568"/>
    <cellStyle name="Total 2 7 6 2" xfId="27889"/>
    <cellStyle name="Total 2 7 6 2 2" xfId="60466"/>
    <cellStyle name="Total 2 7 6 2 3" xfId="60467"/>
    <cellStyle name="Total 2 7 6 3" xfId="35034"/>
    <cellStyle name="Total 2 7 6 4" xfId="60468"/>
    <cellStyle name="Total 2 7 7" xfId="20526"/>
    <cellStyle name="Total 2 7 7 2" xfId="28848"/>
    <cellStyle name="Total 2 7 7 2 2" xfId="60469"/>
    <cellStyle name="Total 2 7 7 2 3" xfId="60470"/>
    <cellStyle name="Total 2 7 7 3" xfId="35951"/>
    <cellStyle name="Total 2 7 7 4" xfId="60471"/>
    <cellStyle name="Total 2 7 8" xfId="21242"/>
    <cellStyle name="Total 2 7 8 2" xfId="29552"/>
    <cellStyle name="Total 2 7 8 2 2" xfId="60472"/>
    <cellStyle name="Total 2 7 8 2 3" xfId="60473"/>
    <cellStyle name="Total 2 7 8 3" xfId="36620"/>
    <cellStyle name="Total 2 7 8 4" xfId="60474"/>
    <cellStyle name="Total 2 7 9" xfId="21346"/>
    <cellStyle name="Total 2 7 9 2" xfId="29649"/>
    <cellStyle name="Total 2 7 9 3" xfId="36714"/>
    <cellStyle name="Total 2 8" xfId="411"/>
    <cellStyle name="Total 2 8 10" xfId="14571"/>
    <cellStyle name="Total 2 8 11" xfId="22929"/>
    <cellStyle name="Total 2 8 12" xfId="60475"/>
    <cellStyle name="Total 2 8 13" xfId="60476"/>
    <cellStyle name="Total 2 8 14" xfId="60477"/>
    <cellStyle name="Total 2 8 15" xfId="61092"/>
    <cellStyle name="Total 2 8 2" xfId="408"/>
    <cellStyle name="Total 2 8 2 2" xfId="1413"/>
    <cellStyle name="Total 2 8 2 2 2" xfId="903"/>
    <cellStyle name="Total 2 8 2 2 2 2" xfId="2722"/>
    <cellStyle name="Total 2 8 2 2 2 2 2" xfId="6142"/>
    <cellStyle name="Total 2 8 2 2 2 2 2 2" xfId="12982"/>
    <cellStyle name="Total 2 8 2 2 2 2 3" xfId="9562"/>
    <cellStyle name="Total 2 8 2 2 2 3" xfId="3862"/>
    <cellStyle name="Total 2 8 2 2 2 3 2" xfId="7282"/>
    <cellStyle name="Total 2 8 2 2 2 3 2 2" xfId="14122"/>
    <cellStyle name="Total 2 8 2 2 2 3 3" xfId="10702"/>
    <cellStyle name="Total 2 8 2 2 2 4" xfId="5002"/>
    <cellStyle name="Total 2 8 2 2 2 4 2" xfId="11842"/>
    <cellStyle name="Total 2 8 2 2 2 5" xfId="8422"/>
    <cellStyle name="Total 2 8 2 2 3" xfId="2234"/>
    <cellStyle name="Total 2 8 2 2 3 2" xfId="5654"/>
    <cellStyle name="Total 2 8 2 2 3 2 2" xfId="12494"/>
    <cellStyle name="Total 2 8 2 2 3 3" xfId="9074"/>
    <cellStyle name="Total 2 8 2 2 4" xfId="3374"/>
    <cellStyle name="Total 2 8 2 2 4 2" xfId="6794"/>
    <cellStyle name="Total 2 8 2 2 4 2 2" xfId="13634"/>
    <cellStyle name="Total 2 8 2 2 4 3" xfId="10214"/>
    <cellStyle name="Total 2 8 2 2 5" xfId="4514"/>
    <cellStyle name="Total 2 8 2 2 5 2" xfId="11354"/>
    <cellStyle name="Total 2 8 2 2 6" xfId="7934"/>
    <cellStyle name="Total 2 8 2 2 7" xfId="61899"/>
    <cellStyle name="Total 2 8 2 2 8" xfId="62355"/>
    <cellStyle name="Total 2 8 2 3" xfId="15652"/>
    <cellStyle name="Total 2 8 2 4" xfId="23965"/>
    <cellStyle name="Total 2 8 2 5" xfId="31262"/>
    <cellStyle name="Total 2 8 2 6" xfId="60478"/>
    <cellStyle name="Total 2 8 2 7" xfId="60479"/>
    <cellStyle name="Total 2 8 2 8" xfId="60480"/>
    <cellStyle name="Total 2 8 2 9" xfId="61089"/>
    <cellStyle name="Total 2 8 3" xfId="1416"/>
    <cellStyle name="Total 2 8 3 10" xfId="61898"/>
    <cellStyle name="Total 2 8 3 11" xfId="62354"/>
    <cellStyle name="Total 2 8 3 2" xfId="1857"/>
    <cellStyle name="Total 2 8 3 2 2" xfId="2997"/>
    <cellStyle name="Total 2 8 3 2 2 2" xfId="6417"/>
    <cellStyle name="Total 2 8 3 2 2 2 2" xfId="13257"/>
    <cellStyle name="Total 2 8 3 2 2 3" xfId="9837"/>
    <cellStyle name="Total 2 8 3 2 3" xfId="4137"/>
    <cellStyle name="Total 2 8 3 2 3 2" xfId="7557"/>
    <cellStyle name="Total 2 8 3 2 3 2 2" xfId="14397"/>
    <cellStyle name="Total 2 8 3 2 3 3" xfId="10977"/>
    <cellStyle name="Total 2 8 3 2 4" xfId="5277"/>
    <cellStyle name="Total 2 8 3 2 4 2" xfId="12117"/>
    <cellStyle name="Total 2 8 3 2 5" xfId="8697"/>
    <cellStyle name="Total 2 8 3 3" xfId="2237"/>
    <cellStyle name="Total 2 8 3 3 2" xfId="5657"/>
    <cellStyle name="Total 2 8 3 3 2 2" xfId="12497"/>
    <cellStyle name="Total 2 8 3 3 3" xfId="9077"/>
    <cellStyle name="Total 2 8 3 4" xfId="3377"/>
    <cellStyle name="Total 2 8 3 4 2" xfId="6797"/>
    <cellStyle name="Total 2 8 3 4 2 2" xfId="13637"/>
    <cellStyle name="Total 2 8 3 4 3" xfId="10217"/>
    <cellStyle name="Total 2 8 3 5" xfId="4517"/>
    <cellStyle name="Total 2 8 3 5 2" xfId="11357"/>
    <cellStyle name="Total 2 8 3 6" xfId="7937"/>
    <cellStyle name="Total 2 8 3 7" xfId="16619"/>
    <cellStyle name="Total 2 8 3 8" xfId="24936"/>
    <cellStyle name="Total 2 8 3 9" xfId="32195"/>
    <cellStyle name="Total 2 8 4" xfId="17639"/>
    <cellStyle name="Total 2 8 4 2" xfId="25962"/>
    <cellStyle name="Total 2 8 4 2 2" xfId="60481"/>
    <cellStyle name="Total 2 8 4 2 3" xfId="60482"/>
    <cellStyle name="Total 2 8 4 3" xfId="33172"/>
    <cellStyle name="Total 2 8 4 4" xfId="60483"/>
    <cellStyle name="Total 2 8 5" xfId="18621"/>
    <cellStyle name="Total 2 8 5 2" xfId="26941"/>
    <cellStyle name="Total 2 8 5 2 2" xfId="60484"/>
    <cellStyle name="Total 2 8 5 2 3" xfId="60485"/>
    <cellStyle name="Total 2 8 5 3" xfId="34109"/>
    <cellStyle name="Total 2 8 5 4" xfId="60486"/>
    <cellStyle name="Total 2 8 6" xfId="19590"/>
    <cellStyle name="Total 2 8 6 2" xfId="27910"/>
    <cellStyle name="Total 2 8 6 2 2" xfId="60487"/>
    <cellStyle name="Total 2 8 6 2 3" xfId="60488"/>
    <cellStyle name="Total 2 8 6 3" xfId="35055"/>
    <cellStyle name="Total 2 8 6 4" xfId="60489"/>
    <cellStyle name="Total 2 8 7" xfId="20547"/>
    <cellStyle name="Total 2 8 7 2" xfId="28869"/>
    <cellStyle name="Total 2 8 7 2 2" xfId="60490"/>
    <cellStyle name="Total 2 8 7 2 3" xfId="60491"/>
    <cellStyle name="Total 2 8 7 3" xfId="35972"/>
    <cellStyle name="Total 2 8 7 4" xfId="60492"/>
    <cellStyle name="Total 2 8 8" xfId="21276"/>
    <cellStyle name="Total 2 8 8 2" xfId="29584"/>
    <cellStyle name="Total 2 8 8 2 2" xfId="60493"/>
    <cellStyle name="Total 2 8 8 2 3" xfId="60494"/>
    <cellStyle name="Total 2 8 8 3" xfId="36651"/>
    <cellStyle name="Total 2 8 8 4" xfId="60495"/>
    <cellStyle name="Total 2 8 9" xfId="21983"/>
    <cellStyle name="Total 2 8 9 2" xfId="30283"/>
    <cellStyle name="Total 2 8 9 3" xfId="37323"/>
    <cellStyle name="Total 2 9" xfId="457"/>
    <cellStyle name="Total 2 9 10" xfId="14681"/>
    <cellStyle name="Total 2 9 11" xfId="23043"/>
    <cellStyle name="Total 2 9 12" xfId="60496"/>
    <cellStyle name="Total 2 9 13" xfId="60497"/>
    <cellStyle name="Total 2 9 14" xfId="60498"/>
    <cellStyle name="Total 2 9 15" xfId="61137"/>
    <cellStyle name="Total 2 9 2" xfId="541"/>
    <cellStyle name="Total 2 9 2 2" xfId="1545"/>
    <cellStyle name="Total 2 9 2 2 2" xfId="838"/>
    <cellStyle name="Total 2 9 2 2 2 2" xfId="2788"/>
    <cellStyle name="Total 2 9 2 2 2 2 2" xfId="6208"/>
    <cellStyle name="Total 2 9 2 2 2 2 2 2" xfId="13048"/>
    <cellStyle name="Total 2 9 2 2 2 2 3" xfId="9628"/>
    <cellStyle name="Total 2 9 2 2 2 3" xfId="3928"/>
    <cellStyle name="Total 2 9 2 2 2 3 2" xfId="7348"/>
    <cellStyle name="Total 2 9 2 2 2 3 2 2" xfId="14188"/>
    <cellStyle name="Total 2 9 2 2 2 3 3" xfId="10768"/>
    <cellStyle name="Total 2 9 2 2 2 4" xfId="5068"/>
    <cellStyle name="Total 2 9 2 2 2 4 2" xfId="11908"/>
    <cellStyle name="Total 2 9 2 2 2 5" xfId="8488"/>
    <cellStyle name="Total 2 9 2 2 3" xfId="2366"/>
    <cellStyle name="Total 2 9 2 2 3 2" xfId="5786"/>
    <cellStyle name="Total 2 9 2 2 3 2 2" xfId="12626"/>
    <cellStyle name="Total 2 9 2 2 3 3" xfId="9206"/>
    <cellStyle name="Total 2 9 2 2 4" xfId="3506"/>
    <cellStyle name="Total 2 9 2 2 4 2" xfId="6926"/>
    <cellStyle name="Total 2 9 2 2 4 2 2" xfId="13766"/>
    <cellStyle name="Total 2 9 2 2 4 3" xfId="10346"/>
    <cellStyle name="Total 2 9 2 2 5" xfId="4646"/>
    <cellStyle name="Total 2 9 2 2 5 2" xfId="11486"/>
    <cellStyle name="Total 2 9 2 2 6" xfId="8066"/>
    <cellStyle name="Total 2 9 2 2 7" xfId="61901"/>
    <cellStyle name="Total 2 9 2 2 8" xfId="62357"/>
    <cellStyle name="Total 2 9 2 3" xfId="15762"/>
    <cellStyle name="Total 2 9 2 4" xfId="24078"/>
    <cellStyle name="Total 2 9 2 5" xfId="31369"/>
    <cellStyle name="Total 2 9 2 6" xfId="60499"/>
    <cellStyle name="Total 2 9 2 7" xfId="60500"/>
    <cellStyle name="Total 2 9 2 8" xfId="60501"/>
    <cellStyle name="Total 2 9 2 9" xfId="61221"/>
    <cellStyle name="Total 2 9 3" xfId="1461"/>
    <cellStyle name="Total 2 9 3 10" xfId="61900"/>
    <cellStyle name="Total 2 9 3 11" xfId="62356"/>
    <cellStyle name="Total 2 9 3 2" xfId="878"/>
    <cellStyle name="Total 2 9 3 2 2" xfId="2546"/>
    <cellStyle name="Total 2 9 3 2 2 2" xfId="5966"/>
    <cellStyle name="Total 2 9 3 2 2 2 2" xfId="12806"/>
    <cellStyle name="Total 2 9 3 2 2 3" xfId="9386"/>
    <cellStyle name="Total 2 9 3 2 3" xfId="3686"/>
    <cellStyle name="Total 2 9 3 2 3 2" xfId="7106"/>
    <cellStyle name="Total 2 9 3 2 3 2 2" xfId="13946"/>
    <cellStyle name="Total 2 9 3 2 3 3" xfId="10526"/>
    <cellStyle name="Total 2 9 3 2 4" xfId="4826"/>
    <cellStyle name="Total 2 9 3 2 4 2" xfId="11666"/>
    <cellStyle name="Total 2 9 3 2 5" xfId="8246"/>
    <cellStyle name="Total 2 9 3 3" xfId="2282"/>
    <cellStyle name="Total 2 9 3 3 2" xfId="5702"/>
    <cellStyle name="Total 2 9 3 3 2 2" xfId="12542"/>
    <cellStyle name="Total 2 9 3 3 3" xfId="9122"/>
    <cellStyle name="Total 2 9 3 4" xfId="3422"/>
    <cellStyle name="Total 2 9 3 4 2" xfId="6842"/>
    <cellStyle name="Total 2 9 3 4 2 2" xfId="13682"/>
    <cellStyle name="Total 2 9 3 4 3" xfId="10262"/>
    <cellStyle name="Total 2 9 3 5" xfId="4562"/>
    <cellStyle name="Total 2 9 3 5 2" xfId="11402"/>
    <cellStyle name="Total 2 9 3 6" xfId="7982"/>
    <cellStyle name="Total 2 9 3 7" xfId="16728"/>
    <cellStyle name="Total 2 9 3 8" xfId="25049"/>
    <cellStyle name="Total 2 9 3 9" xfId="32302"/>
    <cellStyle name="Total 2 9 4" xfId="17752"/>
    <cellStyle name="Total 2 9 4 2" xfId="26075"/>
    <cellStyle name="Total 2 9 4 2 2" xfId="60502"/>
    <cellStyle name="Total 2 9 4 2 3" xfId="60503"/>
    <cellStyle name="Total 2 9 4 3" xfId="33279"/>
    <cellStyle name="Total 2 9 4 4" xfId="60504"/>
    <cellStyle name="Total 2 9 5" xfId="18735"/>
    <cellStyle name="Total 2 9 5 2" xfId="27056"/>
    <cellStyle name="Total 2 9 5 2 2" xfId="60505"/>
    <cellStyle name="Total 2 9 5 2 3" xfId="60506"/>
    <cellStyle name="Total 2 9 5 3" xfId="34218"/>
    <cellStyle name="Total 2 9 5 4" xfId="60507"/>
    <cellStyle name="Total 2 9 6" xfId="19704"/>
    <cellStyle name="Total 2 9 6 2" xfId="28025"/>
    <cellStyle name="Total 2 9 6 2 2" xfId="60508"/>
    <cellStyle name="Total 2 9 6 2 3" xfId="60509"/>
    <cellStyle name="Total 2 9 6 3" xfId="35164"/>
    <cellStyle name="Total 2 9 6 4" xfId="60510"/>
    <cellStyle name="Total 2 9 7" xfId="20661"/>
    <cellStyle name="Total 2 9 7 2" xfId="28982"/>
    <cellStyle name="Total 2 9 7 2 2" xfId="60511"/>
    <cellStyle name="Total 2 9 7 2 3" xfId="60512"/>
    <cellStyle name="Total 2 9 7 3" xfId="36079"/>
    <cellStyle name="Total 2 9 7 4" xfId="60513"/>
    <cellStyle name="Total 2 9 8" xfId="21211"/>
    <cellStyle name="Total 2 9 8 2" xfId="29522"/>
    <cellStyle name="Total 2 9 8 2 2" xfId="60514"/>
    <cellStyle name="Total 2 9 8 2 3" xfId="60515"/>
    <cellStyle name="Total 2 9 8 3" xfId="36591"/>
    <cellStyle name="Total 2 9 8 4" xfId="60516"/>
    <cellStyle name="Total 2 9 9" xfId="22098"/>
    <cellStyle name="Total 2 9 9 2" xfId="30396"/>
    <cellStyle name="Total 2 9 9 3" xfId="37430"/>
    <cellStyle name="Total 3" xfId="66"/>
    <cellStyle name="Total 3 10" xfId="60517"/>
    <cellStyle name="Total 3 11" xfId="60779"/>
    <cellStyle name="Total 3 2" xfId="123"/>
    <cellStyle name="Total 3 2 2" xfId="255"/>
    <cellStyle name="Total 3 2 2 2" xfId="666"/>
    <cellStyle name="Total 3 2 2 2 2" xfId="1617"/>
    <cellStyle name="Total 3 2 2 2 2 2" xfId="790"/>
    <cellStyle name="Total 3 2 2 2 2 2 2" xfId="2648"/>
    <cellStyle name="Total 3 2 2 2 2 2 2 2" xfId="6068"/>
    <cellStyle name="Total 3 2 2 2 2 2 2 2 2" xfId="12908"/>
    <cellStyle name="Total 3 2 2 2 2 2 2 3" xfId="9488"/>
    <cellStyle name="Total 3 2 2 2 2 2 3" xfId="3788"/>
    <cellStyle name="Total 3 2 2 2 2 2 3 2" xfId="7208"/>
    <cellStyle name="Total 3 2 2 2 2 2 3 2 2" xfId="14048"/>
    <cellStyle name="Total 3 2 2 2 2 2 3 3" xfId="10628"/>
    <cellStyle name="Total 3 2 2 2 2 2 4" xfId="4928"/>
    <cellStyle name="Total 3 2 2 2 2 2 4 2" xfId="11768"/>
    <cellStyle name="Total 3 2 2 2 2 2 5" xfId="8348"/>
    <cellStyle name="Total 3 2 2 2 2 3" xfId="2451"/>
    <cellStyle name="Total 3 2 2 2 2 3 2" xfId="5871"/>
    <cellStyle name="Total 3 2 2 2 2 3 2 2" xfId="12711"/>
    <cellStyle name="Total 3 2 2 2 2 3 3" xfId="9291"/>
    <cellStyle name="Total 3 2 2 2 2 4" xfId="3591"/>
    <cellStyle name="Total 3 2 2 2 2 4 2" xfId="7011"/>
    <cellStyle name="Total 3 2 2 2 2 4 2 2" xfId="13851"/>
    <cellStyle name="Total 3 2 2 2 2 4 3" xfId="10431"/>
    <cellStyle name="Total 3 2 2 2 2 5" xfId="4731"/>
    <cellStyle name="Total 3 2 2 2 2 5 2" xfId="11571"/>
    <cellStyle name="Total 3 2 2 2 2 6" xfId="8151"/>
    <cellStyle name="Total 3 2 2 2 2 7" xfId="61903"/>
    <cellStyle name="Total 3 2 2 2 2 8" xfId="62359"/>
    <cellStyle name="Total 3 2 2 2 3" xfId="38510"/>
    <cellStyle name="Total 3 2 2 2 4" xfId="60518"/>
    <cellStyle name="Total 3 2 2 2 5" xfId="60519"/>
    <cellStyle name="Total 3 2 2 2 6" xfId="60520"/>
    <cellStyle name="Total 3 2 2 2 7" xfId="61326"/>
    <cellStyle name="Total 3 2 2 3" xfId="1262"/>
    <cellStyle name="Total 3 2 2 3 2" xfId="997"/>
    <cellStyle name="Total 3 2 2 3 2 2" xfId="2509"/>
    <cellStyle name="Total 3 2 2 3 2 2 2" xfId="5929"/>
    <cellStyle name="Total 3 2 2 3 2 2 2 2" xfId="12769"/>
    <cellStyle name="Total 3 2 2 3 2 2 3" xfId="9349"/>
    <cellStyle name="Total 3 2 2 3 2 3" xfId="3649"/>
    <cellStyle name="Total 3 2 2 3 2 3 2" xfId="7069"/>
    <cellStyle name="Total 3 2 2 3 2 3 2 2" xfId="13909"/>
    <cellStyle name="Total 3 2 2 3 2 3 3" xfId="10489"/>
    <cellStyle name="Total 3 2 2 3 2 4" xfId="4789"/>
    <cellStyle name="Total 3 2 2 3 2 4 2" xfId="11629"/>
    <cellStyle name="Total 3 2 2 3 2 5" xfId="8209"/>
    <cellStyle name="Total 3 2 2 3 3" xfId="2082"/>
    <cellStyle name="Total 3 2 2 3 3 2" xfId="5502"/>
    <cellStyle name="Total 3 2 2 3 3 2 2" xfId="12342"/>
    <cellStyle name="Total 3 2 2 3 3 3" xfId="8922"/>
    <cellStyle name="Total 3 2 2 3 4" xfId="3222"/>
    <cellStyle name="Total 3 2 2 3 4 2" xfId="6642"/>
    <cellStyle name="Total 3 2 2 3 4 2 2" xfId="13482"/>
    <cellStyle name="Total 3 2 2 3 4 3" xfId="10062"/>
    <cellStyle name="Total 3 2 2 3 5" xfId="4362"/>
    <cellStyle name="Total 3 2 2 3 5 2" xfId="11202"/>
    <cellStyle name="Total 3 2 2 3 6" xfId="7782"/>
    <cellStyle name="Total 3 2 2 3 7" xfId="61902"/>
    <cellStyle name="Total 3 2 2 3 8" xfId="62358"/>
    <cellStyle name="Total 3 2 2 4" xfId="38276"/>
    <cellStyle name="Total 3 2 2 5" xfId="60521"/>
    <cellStyle name="Total 3 2 2 6" xfId="60522"/>
    <cellStyle name="Total 3 2 2 7" xfId="60523"/>
    <cellStyle name="Total 3 2 2 8" xfId="60938"/>
    <cellStyle name="Total 3 2 3" xfId="578"/>
    <cellStyle name="Total 3 2 3 2" xfId="1565"/>
    <cellStyle name="Total 3 2 3 2 2" xfId="828"/>
    <cellStyle name="Total 3 2 3 2 2 2" xfId="2641"/>
    <cellStyle name="Total 3 2 3 2 2 2 2" xfId="6061"/>
    <cellStyle name="Total 3 2 3 2 2 2 2 2" xfId="12901"/>
    <cellStyle name="Total 3 2 3 2 2 2 3" xfId="9481"/>
    <cellStyle name="Total 3 2 3 2 2 3" xfId="3781"/>
    <cellStyle name="Total 3 2 3 2 2 3 2" xfId="7201"/>
    <cellStyle name="Total 3 2 3 2 2 3 2 2" xfId="14041"/>
    <cellStyle name="Total 3 2 3 2 2 3 3" xfId="10621"/>
    <cellStyle name="Total 3 2 3 2 2 4" xfId="4921"/>
    <cellStyle name="Total 3 2 3 2 2 4 2" xfId="11761"/>
    <cellStyle name="Total 3 2 3 2 2 5" xfId="8341"/>
    <cellStyle name="Total 3 2 3 2 3" xfId="2390"/>
    <cellStyle name="Total 3 2 3 2 3 2" xfId="5810"/>
    <cellStyle name="Total 3 2 3 2 3 2 2" xfId="12650"/>
    <cellStyle name="Total 3 2 3 2 3 3" xfId="9230"/>
    <cellStyle name="Total 3 2 3 2 4" xfId="3530"/>
    <cellStyle name="Total 3 2 3 2 4 2" xfId="6950"/>
    <cellStyle name="Total 3 2 3 2 4 2 2" xfId="13790"/>
    <cellStyle name="Total 3 2 3 2 4 3" xfId="10370"/>
    <cellStyle name="Total 3 2 3 2 5" xfId="4670"/>
    <cellStyle name="Total 3 2 3 2 5 2" xfId="11510"/>
    <cellStyle name="Total 3 2 3 2 6" xfId="8090"/>
    <cellStyle name="Total 3 2 3 2 7" xfId="61904"/>
    <cellStyle name="Total 3 2 3 2 8" xfId="62360"/>
    <cellStyle name="Total 3 2 3 3" xfId="38469"/>
    <cellStyle name="Total 3 2 3 4" xfId="60524"/>
    <cellStyle name="Total 3 2 3 5" xfId="60525"/>
    <cellStyle name="Total 3 2 3 6" xfId="60526"/>
    <cellStyle name="Total 3 2 3 7" xfId="61327"/>
    <cellStyle name="Total 3 2 4" xfId="1139"/>
    <cellStyle name="Total 3 2 4 2" xfId="1779"/>
    <cellStyle name="Total 3 2 4 2 2" xfId="2919"/>
    <cellStyle name="Total 3 2 4 2 2 2" xfId="6339"/>
    <cellStyle name="Total 3 2 4 2 2 2 2" xfId="13179"/>
    <cellStyle name="Total 3 2 4 2 2 3" xfId="9759"/>
    <cellStyle name="Total 3 2 4 2 3" xfId="4059"/>
    <cellStyle name="Total 3 2 4 2 3 2" xfId="7479"/>
    <cellStyle name="Total 3 2 4 2 3 2 2" xfId="14319"/>
    <cellStyle name="Total 3 2 4 2 3 3" xfId="10899"/>
    <cellStyle name="Total 3 2 4 2 4" xfId="5199"/>
    <cellStyle name="Total 3 2 4 2 4 2" xfId="12039"/>
    <cellStyle name="Total 3 2 4 2 5" xfId="8619"/>
    <cellStyle name="Total 3 2 4 3" xfId="1953"/>
    <cellStyle name="Total 3 2 4 3 2" xfId="5373"/>
    <cellStyle name="Total 3 2 4 3 2 2" xfId="12213"/>
    <cellStyle name="Total 3 2 4 3 3" xfId="8793"/>
    <cellStyle name="Total 3 2 4 4" xfId="3093"/>
    <cellStyle name="Total 3 2 4 4 2" xfId="6513"/>
    <cellStyle name="Total 3 2 4 4 2 2" xfId="13353"/>
    <cellStyle name="Total 3 2 4 4 3" xfId="9933"/>
    <cellStyle name="Total 3 2 4 5" xfId="4233"/>
    <cellStyle name="Total 3 2 4 5 2" xfId="11073"/>
    <cellStyle name="Total 3 2 4 6" xfId="7653"/>
    <cellStyle name="Total 3 2 4 7" xfId="61857"/>
    <cellStyle name="Total 3 2 4 8" xfId="62323"/>
    <cellStyle name="Total 3 2 5" xfId="38205"/>
    <cellStyle name="Total 3 2 6" xfId="60527"/>
    <cellStyle name="Total 3 2 7" xfId="60528"/>
    <cellStyle name="Total 3 2 8" xfId="60815"/>
    <cellStyle name="Total 3 3" xfId="145"/>
    <cellStyle name="Total 3 3 2" xfId="271"/>
    <cellStyle name="Total 3 3 2 2" xfId="681"/>
    <cellStyle name="Total 3 3 2 2 2" xfId="1632"/>
    <cellStyle name="Total 3 3 2 2 2 2" xfId="775"/>
    <cellStyle name="Total 3 3 2 2 2 2 2" xfId="2785"/>
    <cellStyle name="Total 3 3 2 2 2 2 2 2" xfId="6205"/>
    <cellStyle name="Total 3 3 2 2 2 2 2 2 2" xfId="13045"/>
    <cellStyle name="Total 3 3 2 2 2 2 2 3" xfId="9625"/>
    <cellStyle name="Total 3 3 2 2 2 2 3" xfId="3925"/>
    <cellStyle name="Total 3 3 2 2 2 2 3 2" xfId="7345"/>
    <cellStyle name="Total 3 3 2 2 2 2 3 2 2" xfId="14185"/>
    <cellStyle name="Total 3 3 2 2 2 2 3 3" xfId="10765"/>
    <cellStyle name="Total 3 3 2 2 2 2 4" xfId="5065"/>
    <cellStyle name="Total 3 3 2 2 2 2 4 2" xfId="11905"/>
    <cellStyle name="Total 3 3 2 2 2 2 5" xfId="8485"/>
    <cellStyle name="Total 3 3 2 2 2 3" xfId="2466"/>
    <cellStyle name="Total 3 3 2 2 2 3 2" xfId="5886"/>
    <cellStyle name="Total 3 3 2 2 2 3 2 2" xfId="12726"/>
    <cellStyle name="Total 3 3 2 2 2 3 3" xfId="9306"/>
    <cellStyle name="Total 3 3 2 2 2 4" xfId="3606"/>
    <cellStyle name="Total 3 3 2 2 2 4 2" xfId="7026"/>
    <cellStyle name="Total 3 3 2 2 2 4 2 2" xfId="13866"/>
    <cellStyle name="Total 3 3 2 2 2 4 3" xfId="10446"/>
    <cellStyle name="Total 3 3 2 2 2 5" xfId="4746"/>
    <cellStyle name="Total 3 3 2 2 2 5 2" xfId="11586"/>
    <cellStyle name="Total 3 3 2 2 2 6" xfId="8166"/>
    <cellStyle name="Total 3 3 2 2 2 7" xfId="61906"/>
    <cellStyle name="Total 3 3 2 2 2 8" xfId="62362"/>
    <cellStyle name="Total 3 3 2 2 3" xfId="38525"/>
    <cellStyle name="Total 3 3 2 2 4" xfId="60529"/>
    <cellStyle name="Total 3 3 2 2 5" xfId="60530"/>
    <cellStyle name="Total 3 3 2 2 6" xfId="60531"/>
    <cellStyle name="Total 3 3 2 2 7" xfId="61328"/>
    <cellStyle name="Total 3 3 2 3" xfId="1278"/>
    <cellStyle name="Total 3 3 2 3 2" xfId="1714"/>
    <cellStyle name="Total 3 3 2 3 2 2" xfId="2854"/>
    <cellStyle name="Total 3 3 2 3 2 2 2" xfId="6274"/>
    <cellStyle name="Total 3 3 2 3 2 2 2 2" xfId="13114"/>
    <cellStyle name="Total 3 3 2 3 2 2 3" xfId="9694"/>
    <cellStyle name="Total 3 3 2 3 2 3" xfId="3994"/>
    <cellStyle name="Total 3 3 2 3 2 3 2" xfId="7414"/>
    <cellStyle name="Total 3 3 2 3 2 3 2 2" xfId="14254"/>
    <cellStyle name="Total 3 3 2 3 2 3 3" xfId="10834"/>
    <cellStyle name="Total 3 3 2 3 2 4" xfId="5134"/>
    <cellStyle name="Total 3 3 2 3 2 4 2" xfId="11974"/>
    <cellStyle name="Total 3 3 2 3 2 5" xfId="8554"/>
    <cellStyle name="Total 3 3 2 3 3" xfId="2098"/>
    <cellStyle name="Total 3 3 2 3 3 2" xfId="5518"/>
    <cellStyle name="Total 3 3 2 3 3 2 2" xfId="12358"/>
    <cellStyle name="Total 3 3 2 3 3 3" xfId="8938"/>
    <cellStyle name="Total 3 3 2 3 4" xfId="3238"/>
    <cellStyle name="Total 3 3 2 3 4 2" xfId="6658"/>
    <cellStyle name="Total 3 3 2 3 4 2 2" xfId="13498"/>
    <cellStyle name="Total 3 3 2 3 4 3" xfId="10078"/>
    <cellStyle name="Total 3 3 2 3 5" xfId="4378"/>
    <cellStyle name="Total 3 3 2 3 5 2" xfId="11218"/>
    <cellStyle name="Total 3 3 2 3 6" xfId="7798"/>
    <cellStyle name="Total 3 3 2 3 7" xfId="61905"/>
    <cellStyle name="Total 3 3 2 3 8" xfId="62361"/>
    <cellStyle name="Total 3 3 2 4" xfId="38288"/>
    <cellStyle name="Total 3 3 2 5" xfId="60532"/>
    <cellStyle name="Total 3 3 2 6" xfId="60533"/>
    <cellStyle name="Total 3 3 2 7" xfId="60534"/>
    <cellStyle name="Total 3 3 2 8" xfId="60954"/>
    <cellStyle name="Total 3 3 3" xfId="593"/>
    <cellStyle name="Total 3 3 3 2" xfId="1580"/>
    <cellStyle name="Total 3 3 3 2 2" xfId="1759"/>
    <cellStyle name="Total 3 3 3 2 2 2" xfId="2899"/>
    <cellStyle name="Total 3 3 3 2 2 2 2" xfId="6319"/>
    <cellStyle name="Total 3 3 3 2 2 2 2 2" xfId="13159"/>
    <cellStyle name="Total 3 3 3 2 2 2 3" xfId="9739"/>
    <cellStyle name="Total 3 3 3 2 2 3" xfId="4039"/>
    <cellStyle name="Total 3 3 3 2 2 3 2" xfId="7459"/>
    <cellStyle name="Total 3 3 3 2 2 3 2 2" xfId="14299"/>
    <cellStyle name="Total 3 3 3 2 2 3 3" xfId="10879"/>
    <cellStyle name="Total 3 3 3 2 2 4" xfId="5179"/>
    <cellStyle name="Total 3 3 3 2 2 4 2" xfId="12019"/>
    <cellStyle name="Total 3 3 3 2 2 5" xfId="8599"/>
    <cellStyle name="Total 3 3 3 2 3" xfId="2405"/>
    <cellStyle name="Total 3 3 3 2 3 2" xfId="5825"/>
    <cellStyle name="Total 3 3 3 2 3 2 2" xfId="12665"/>
    <cellStyle name="Total 3 3 3 2 3 3" xfId="9245"/>
    <cellStyle name="Total 3 3 3 2 4" xfId="3545"/>
    <cellStyle name="Total 3 3 3 2 4 2" xfId="6965"/>
    <cellStyle name="Total 3 3 3 2 4 2 2" xfId="13805"/>
    <cellStyle name="Total 3 3 3 2 4 3" xfId="10385"/>
    <cellStyle name="Total 3 3 3 2 5" xfId="4685"/>
    <cellStyle name="Total 3 3 3 2 5 2" xfId="11525"/>
    <cellStyle name="Total 3 3 3 2 6" xfId="8105"/>
    <cellStyle name="Total 3 3 3 2 7" xfId="61907"/>
    <cellStyle name="Total 3 3 3 2 8" xfId="62363"/>
    <cellStyle name="Total 3 3 3 3" xfId="38474"/>
    <cellStyle name="Total 3 3 3 4" xfId="60535"/>
    <cellStyle name="Total 3 3 3 5" xfId="60536"/>
    <cellStyle name="Total 3 3 3 6" xfId="60537"/>
    <cellStyle name="Total 3 3 3 7" xfId="61329"/>
    <cellStyle name="Total 3 3 4" xfId="1154"/>
    <cellStyle name="Total 3 3 4 2" xfId="1878"/>
    <cellStyle name="Total 3 3 4 2 2" xfId="3018"/>
    <cellStyle name="Total 3 3 4 2 2 2" xfId="6438"/>
    <cellStyle name="Total 3 3 4 2 2 2 2" xfId="13278"/>
    <cellStyle name="Total 3 3 4 2 2 3" xfId="9858"/>
    <cellStyle name="Total 3 3 4 2 3" xfId="4158"/>
    <cellStyle name="Total 3 3 4 2 3 2" xfId="7578"/>
    <cellStyle name="Total 3 3 4 2 3 2 2" xfId="14418"/>
    <cellStyle name="Total 3 3 4 2 3 3" xfId="10998"/>
    <cellStyle name="Total 3 3 4 2 4" xfId="5298"/>
    <cellStyle name="Total 3 3 4 2 4 2" xfId="12138"/>
    <cellStyle name="Total 3 3 4 2 5" xfId="8718"/>
    <cellStyle name="Total 3 3 4 3" xfId="1973"/>
    <cellStyle name="Total 3 3 4 3 2" xfId="5393"/>
    <cellStyle name="Total 3 3 4 3 2 2" xfId="12233"/>
    <cellStyle name="Total 3 3 4 3 3" xfId="8813"/>
    <cellStyle name="Total 3 3 4 4" xfId="3113"/>
    <cellStyle name="Total 3 3 4 4 2" xfId="6533"/>
    <cellStyle name="Total 3 3 4 4 2 2" xfId="13373"/>
    <cellStyle name="Total 3 3 4 4 3" xfId="9953"/>
    <cellStyle name="Total 3 3 4 5" xfId="4253"/>
    <cellStyle name="Total 3 3 4 5 2" xfId="11093"/>
    <cellStyle name="Total 3 3 4 6" xfId="7673"/>
    <cellStyle name="Total 3 3 4 7" xfId="61849"/>
    <cellStyle name="Total 3 3 4 8" xfId="62317"/>
    <cellStyle name="Total 3 3 5" xfId="38210"/>
    <cellStyle name="Total 3 3 6" xfId="60538"/>
    <cellStyle name="Total 3 3 7" xfId="60539"/>
    <cellStyle name="Total 3 3 8" xfId="60830"/>
    <cellStyle name="Total 3 4" xfId="311"/>
    <cellStyle name="Total 3 4 2" xfId="438"/>
    <cellStyle name="Total 3 4 2 2" xfId="1442"/>
    <cellStyle name="Total 3 4 2 2 2" xfId="1851"/>
    <cellStyle name="Total 3 4 2 2 2 2" xfId="2991"/>
    <cellStyle name="Total 3 4 2 2 2 2 2" xfId="6411"/>
    <cellStyle name="Total 3 4 2 2 2 2 2 2" xfId="13251"/>
    <cellStyle name="Total 3 4 2 2 2 2 3" xfId="9831"/>
    <cellStyle name="Total 3 4 2 2 2 3" xfId="4131"/>
    <cellStyle name="Total 3 4 2 2 2 3 2" xfId="7551"/>
    <cellStyle name="Total 3 4 2 2 2 3 2 2" xfId="14391"/>
    <cellStyle name="Total 3 4 2 2 2 3 3" xfId="10971"/>
    <cellStyle name="Total 3 4 2 2 2 4" xfId="5271"/>
    <cellStyle name="Total 3 4 2 2 2 4 2" xfId="12111"/>
    <cellStyle name="Total 3 4 2 2 2 5" xfId="8691"/>
    <cellStyle name="Total 3 4 2 2 3" xfId="2263"/>
    <cellStyle name="Total 3 4 2 2 3 2" xfId="5683"/>
    <cellStyle name="Total 3 4 2 2 3 2 2" xfId="12523"/>
    <cellStyle name="Total 3 4 2 2 3 3" xfId="9103"/>
    <cellStyle name="Total 3 4 2 2 4" xfId="3403"/>
    <cellStyle name="Total 3 4 2 2 4 2" xfId="6823"/>
    <cellStyle name="Total 3 4 2 2 4 2 2" xfId="13663"/>
    <cellStyle name="Total 3 4 2 2 4 3" xfId="10243"/>
    <cellStyle name="Total 3 4 2 2 5" xfId="4543"/>
    <cellStyle name="Total 3 4 2 2 5 2" xfId="11383"/>
    <cellStyle name="Total 3 4 2 2 6" xfId="7963"/>
    <cellStyle name="Total 3 4 2 2 7" xfId="61908"/>
    <cellStyle name="Total 3 4 2 2 8" xfId="62364"/>
    <cellStyle name="Total 3 4 2 3" xfId="38401"/>
    <cellStyle name="Total 3 4 2 4" xfId="60540"/>
    <cellStyle name="Total 3 4 2 5" xfId="60541"/>
    <cellStyle name="Total 3 4 2 6" xfId="60542"/>
    <cellStyle name="Total 3 4 2 7" xfId="61118"/>
    <cellStyle name="Total 3 4 3" xfId="1317"/>
    <cellStyle name="Total 3 4 3 2" xfId="970"/>
    <cellStyle name="Total 3 4 3 2 2" xfId="2781"/>
    <cellStyle name="Total 3 4 3 2 2 2" xfId="6201"/>
    <cellStyle name="Total 3 4 3 2 2 2 2" xfId="13041"/>
    <cellStyle name="Total 3 4 3 2 2 3" xfId="9621"/>
    <cellStyle name="Total 3 4 3 2 3" xfId="3921"/>
    <cellStyle name="Total 3 4 3 2 3 2" xfId="7341"/>
    <cellStyle name="Total 3 4 3 2 3 2 2" xfId="14181"/>
    <cellStyle name="Total 3 4 3 2 3 3" xfId="10761"/>
    <cellStyle name="Total 3 4 3 2 4" xfId="5061"/>
    <cellStyle name="Total 3 4 3 2 4 2" xfId="11901"/>
    <cellStyle name="Total 3 4 3 2 5" xfId="8481"/>
    <cellStyle name="Total 3 4 3 3" xfId="2137"/>
    <cellStyle name="Total 3 4 3 3 2" xfId="5557"/>
    <cellStyle name="Total 3 4 3 3 2 2" xfId="12397"/>
    <cellStyle name="Total 3 4 3 3 3" xfId="8977"/>
    <cellStyle name="Total 3 4 3 4" xfId="3277"/>
    <cellStyle name="Total 3 4 3 4 2" xfId="6697"/>
    <cellStyle name="Total 3 4 3 4 2 2" xfId="13537"/>
    <cellStyle name="Total 3 4 3 4 3" xfId="10117"/>
    <cellStyle name="Total 3 4 3 5" xfId="4417"/>
    <cellStyle name="Total 3 4 3 5 2" xfId="11257"/>
    <cellStyle name="Total 3 4 3 6" xfId="7837"/>
    <cellStyle name="Total 3 4 3 7" xfId="61841"/>
    <cellStyle name="Total 3 4 3 8" xfId="62312"/>
    <cellStyle name="Total 3 4 4" xfId="38319"/>
    <cellStyle name="Total 3 4 5" xfId="60543"/>
    <cellStyle name="Total 3 4 6" xfId="60544"/>
    <cellStyle name="Total 3 4 7" xfId="60993"/>
    <cellStyle name="Total 3 5" xfId="210"/>
    <cellStyle name="Total 3 5 2" xfId="189"/>
    <cellStyle name="Total 3 5 2 2" xfId="1197"/>
    <cellStyle name="Total 3 5 2 2 2" xfId="1808"/>
    <cellStyle name="Total 3 5 2 2 2 2" xfId="2948"/>
    <cellStyle name="Total 3 5 2 2 2 2 2" xfId="6368"/>
    <cellStyle name="Total 3 5 2 2 2 2 2 2" xfId="13208"/>
    <cellStyle name="Total 3 5 2 2 2 2 3" xfId="9788"/>
    <cellStyle name="Total 3 5 2 2 2 3" xfId="4088"/>
    <cellStyle name="Total 3 5 2 2 2 3 2" xfId="7508"/>
    <cellStyle name="Total 3 5 2 2 2 3 2 2" xfId="14348"/>
    <cellStyle name="Total 3 5 2 2 2 3 3" xfId="10928"/>
    <cellStyle name="Total 3 5 2 2 2 4" xfId="5228"/>
    <cellStyle name="Total 3 5 2 2 2 4 2" xfId="12068"/>
    <cellStyle name="Total 3 5 2 2 2 5" xfId="8648"/>
    <cellStyle name="Total 3 5 2 2 3" xfId="2016"/>
    <cellStyle name="Total 3 5 2 2 3 2" xfId="5436"/>
    <cellStyle name="Total 3 5 2 2 3 2 2" xfId="12276"/>
    <cellStyle name="Total 3 5 2 2 3 3" xfId="8856"/>
    <cellStyle name="Total 3 5 2 2 4" xfId="3156"/>
    <cellStyle name="Total 3 5 2 2 4 2" xfId="6576"/>
    <cellStyle name="Total 3 5 2 2 4 2 2" xfId="13416"/>
    <cellStyle name="Total 3 5 2 2 4 3" xfId="9996"/>
    <cellStyle name="Total 3 5 2 2 5" xfId="4296"/>
    <cellStyle name="Total 3 5 2 2 5 2" xfId="11136"/>
    <cellStyle name="Total 3 5 2 2 6" xfId="7716"/>
    <cellStyle name="Total 3 5 2 2 7" xfId="61909"/>
    <cellStyle name="Total 3 5 2 2 8" xfId="62365"/>
    <cellStyle name="Total 3 5 2 3" xfId="38243"/>
    <cellStyle name="Total 3 5 2 4" xfId="60545"/>
    <cellStyle name="Total 3 5 2 5" xfId="60546"/>
    <cellStyle name="Total 3 5 2 6" xfId="60547"/>
    <cellStyle name="Total 3 5 2 7" xfId="60873"/>
    <cellStyle name="Total 3 5 3" xfId="1218"/>
    <cellStyle name="Total 3 5 3 2" xfId="1833"/>
    <cellStyle name="Total 3 5 3 2 2" xfId="2973"/>
    <cellStyle name="Total 3 5 3 2 2 2" xfId="6393"/>
    <cellStyle name="Total 3 5 3 2 2 2 2" xfId="13233"/>
    <cellStyle name="Total 3 5 3 2 2 3" xfId="9813"/>
    <cellStyle name="Total 3 5 3 2 3" xfId="4113"/>
    <cellStyle name="Total 3 5 3 2 3 2" xfId="7533"/>
    <cellStyle name="Total 3 5 3 2 3 2 2" xfId="14373"/>
    <cellStyle name="Total 3 5 3 2 3 3" xfId="10953"/>
    <cellStyle name="Total 3 5 3 2 4" xfId="5253"/>
    <cellStyle name="Total 3 5 3 2 4 2" xfId="12093"/>
    <cellStyle name="Total 3 5 3 2 5" xfId="8673"/>
    <cellStyle name="Total 3 5 3 3" xfId="2037"/>
    <cellStyle name="Total 3 5 3 3 2" xfId="5457"/>
    <cellStyle name="Total 3 5 3 3 2 2" xfId="12297"/>
    <cellStyle name="Total 3 5 3 3 3" xfId="8877"/>
    <cellStyle name="Total 3 5 3 4" xfId="3177"/>
    <cellStyle name="Total 3 5 3 4 2" xfId="6597"/>
    <cellStyle name="Total 3 5 3 4 2 2" xfId="13437"/>
    <cellStyle name="Total 3 5 3 4 3" xfId="10017"/>
    <cellStyle name="Total 3 5 3 5" xfId="4317"/>
    <cellStyle name="Total 3 5 3 5 2" xfId="11157"/>
    <cellStyle name="Total 3 5 3 6" xfId="7737"/>
    <cellStyle name="Total 3 5 3 7" xfId="61826"/>
    <cellStyle name="Total 3 5 3 8" xfId="62304"/>
    <cellStyle name="Total 3 5 4" xfId="38252"/>
    <cellStyle name="Total 3 5 5" xfId="60548"/>
    <cellStyle name="Total 3 5 6" xfId="60549"/>
    <cellStyle name="Total 3 5 7" xfId="60894"/>
    <cellStyle name="Total 3 6" xfId="436"/>
    <cellStyle name="Total 3 6 2" xfId="526"/>
    <cellStyle name="Total 3 6 2 2" xfId="1530"/>
    <cellStyle name="Total 3 6 2 2 2" xfId="845"/>
    <cellStyle name="Total 3 6 2 2 2 2" xfId="2536"/>
    <cellStyle name="Total 3 6 2 2 2 2 2" xfId="5956"/>
    <cellStyle name="Total 3 6 2 2 2 2 2 2" xfId="12796"/>
    <cellStyle name="Total 3 6 2 2 2 2 3" xfId="9376"/>
    <cellStyle name="Total 3 6 2 2 2 3" xfId="3676"/>
    <cellStyle name="Total 3 6 2 2 2 3 2" xfId="7096"/>
    <cellStyle name="Total 3 6 2 2 2 3 2 2" xfId="13936"/>
    <cellStyle name="Total 3 6 2 2 2 3 3" xfId="10516"/>
    <cellStyle name="Total 3 6 2 2 2 4" xfId="4816"/>
    <cellStyle name="Total 3 6 2 2 2 4 2" xfId="11656"/>
    <cellStyle name="Total 3 6 2 2 2 5" xfId="8236"/>
    <cellStyle name="Total 3 6 2 2 3" xfId="2351"/>
    <cellStyle name="Total 3 6 2 2 3 2" xfId="5771"/>
    <cellStyle name="Total 3 6 2 2 3 2 2" xfId="12611"/>
    <cellStyle name="Total 3 6 2 2 3 3" xfId="9191"/>
    <cellStyle name="Total 3 6 2 2 4" xfId="3491"/>
    <cellStyle name="Total 3 6 2 2 4 2" xfId="6911"/>
    <cellStyle name="Total 3 6 2 2 4 2 2" xfId="13751"/>
    <cellStyle name="Total 3 6 2 2 4 3" xfId="10331"/>
    <cellStyle name="Total 3 6 2 2 5" xfId="4631"/>
    <cellStyle name="Total 3 6 2 2 5 2" xfId="11471"/>
    <cellStyle name="Total 3 6 2 2 6" xfId="8051"/>
    <cellStyle name="Total 3 6 2 2 7" xfId="61911"/>
    <cellStyle name="Total 3 6 2 2 8" xfId="62367"/>
    <cellStyle name="Total 3 6 2 3" xfId="38446"/>
    <cellStyle name="Total 3 6 2 4" xfId="60550"/>
    <cellStyle name="Total 3 6 2 5" xfId="60551"/>
    <cellStyle name="Total 3 6 2 6" xfId="60552"/>
    <cellStyle name="Total 3 6 2 7" xfId="61206"/>
    <cellStyle name="Total 3 6 3" xfId="1440"/>
    <cellStyle name="Total 3 6 3 2" xfId="889"/>
    <cellStyle name="Total 3 6 3 2 2" xfId="2138"/>
    <cellStyle name="Total 3 6 3 2 2 2" xfId="5558"/>
    <cellStyle name="Total 3 6 3 2 2 2 2" xfId="12398"/>
    <cellStyle name="Total 3 6 3 2 2 3" xfId="8978"/>
    <cellStyle name="Total 3 6 3 2 3" xfId="3278"/>
    <cellStyle name="Total 3 6 3 2 3 2" xfId="6698"/>
    <cellStyle name="Total 3 6 3 2 3 2 2" xfId="13538"/>
    <cellStyle name="Total 3 6 3 2 3 3" xfId="10118"/>
    <cellStyle name="Total 3 6 3 2 4" xfId="4418"/>
    <cellStyle name="Total 3 6 3 2 4 2" xfId="11258"/>
    <cellStyle name="Total 3 6 3 2 5" xfId="7838"/>
    <cellStyle name="Total 3 6 3 3" xfId="2261"/>
    <cellStyle name="Total 3 6 3 3 2" xfId="5681"/>
    <cellStyle name="Total 3 6 3 3 2 2" xfId="12521"/>
    <cellStyle name="Total 3 6 3 3 3" xfId="9101"/>
    <cellStyle name="Total 3 6 3 4" xfId="3401"/>
    <cellStyle name="Total 3 6 3 4 2" xfId="6821"/>
    <cellStyle name="Total 3 6 3 4 2 2" xfId="13661"/>
    <cellStyle name="Total 3 6 3 4 3" xfId="10241"/>
    <cellStyle name="Total 3 6 3 5" xfId="4541"/>
    <cellStyle name="Total 3 6 3 5 2" xfId="11381"/>
    <cellStyle name="Total 3 6 3 6" xfId="7961"/>
    <cellStyle name="Total 3 6 3 7" xfId="61910"/>
    <cellStyle name="Total 3 6 3 8" xfId="62366"/>
    <cellStyle name="Total 3 6 4" xfId="38399"/>
    <cellStyle name="Total 3 6 5" xfId="60553"/>
    <cellStyle name="Total 3 6 6" xfId="60554"/>
    <cellStyle name="Total 3 6 7" xfId="60555"/>
    <cellStyle name="Total 3 6 8" xfId="61116"/>
    <cellStyle name="Total 3 7" xfId="409"/>
    <cellStyle name="Total 3 7 2" xfId="530"/>
    <cellStyle name="Total 3 7 2 2" xfId="1534"/>
    <cellStyle name="Total 3 7 2 2 2" xfId="1661"/>
    <cellStyle name="Total 3 7 2 2 2 2" xfId="2801"/>
    <cellStyle name="Total 3 7 2 2 2 2 2" xfId="6221"/>
    <cellStyle name="Total 3 7 2 2 2 2 2 2" xfId="13061"/>
    <cellStyle name="Total 3 7 2 2 2 2 3" xfId="9641"/>
    <cellStyle name="Total 3 7 2 2 2 3" xfId="3941"/>
    <cellStyle name="Total 3 7 2 2 2 3 2" xfId="7361"/>
    <cellStyle name="Total 3 7 2 2 2 3 2 2" xfId="14201"/>
    <cellStyle name="Total 3 7 2 2 2 3 3" xfId="10781"/>
    <cellStyle name="Total 3 7 2 2 2 4" xfId="5081"/>
    <cellStyle name="Total 3 7 2 2 2 4 2" xfId="11921"/>
    <cellStyle name="Total 3 7 2 2 2 5" xfId="8501"/>
    <cellStyle name="Total 3 7 2 2 3" xfId="2355"/>
    <cellStyle name="Total 3 7 2 2 3 2" xfId="5775"/>
    <cellStyle name="Total 3 7 2 2 3 2 2" xfId="12615"/>
    <cellStyle name="Total 3 7 2 2 3 3" xfId="9195"/>
    <cellStyle name="Total 3 7 2 2 4" xfId="3495"/>
    <cellStyle name="Total 3 7 2 2 4 2" xfId="6915"/>
    <cellStyle name="Total 3 7 2 2 4 2 2" xfId="13755"/>
    <cellStyle name="Total 3 7 2 2 4 3" xfId="10335"/>
    <cellStyle name="Total 3 7 2 2 5" xfId="4635"/>
    <cellStyle name="Total 3 7 2 2 5 2" xfId="11475"/>
    <cellStyle name="Total 3 7 2 2 6" xfId="8055"/>
    <cellStyle name="Total 3 7 2 2 7" xfId="61913"/>
    <cellStyle name="Total 3 7 2 2 8" xfId="62369"/>
    <cellStyle name="Total 3 7 2 3" xfId="38449"/>
    <cellStyle name="Total 3 7 2 4" xfId="60556"/>
    <cellStyle name="Total 3 7 2 5" xfId="60557"/>
    <cellStyle name="Total 3 7 2 6" xfId="60558"/>
    <cellStyle name="Total 3 7 2 7" xfId="61210"/>
    <cellStyle name="Total 3 7 3" xfId="1414"/>
    <cellStyle name="Total 3 7 3 2" xfId="902"/>
    <cellStyle name="Total 3 7 3 2 2" xfId="2687"/>
    <cellStyle name="Total 3 7 3 2 2 2" xfId="6107"/>
    <cellStyle name="Total 3 7 3 2 2 2 2" xfId="12947"/>
    <cellStyle name="Total 3 7 3 2 2 3" xfId="9527"/>
    <cellStyle name="Total 3 7 3 2 3" xfId="3827"/>
    <cellStyle name="Total 3 7 3 2 3 2" xfId="7247"/>
    <cellStyle name="Total 3 7 3 2 3 2 2" xfId="14087"/>
    <cellStyle name="Total 3 7 3 2 3 3" xfId="10667"/>
    <cellStyle name="Total 3 7 3 2 4" xfId="4967"/>
    <cellStyle name="Total 3 7 3 2 4 2" xfId="11807"/>
    <cellStyle name="Total 3 7 3 2 5" xfId="8387"/>
    <cellStyle name="Total 3 7 3 3" xfId="2235"/>
    <cellStyle name="Total 3 7 3 3 2" xfId="5655"/>
    <cellStyle name="Total 3 7 3 3 2 2" xfId="12495"/>
    <cellStyle name="Total 3 7 3 3 3" xfId="9075"/>
    <cellStyle name="Total 3 7 3 4" xfId="3375"/>
    <cellStyle name="Total 3 7 3 4 2" xfId="6795"/>
    <cellStyle name="Total 3 7 3 4 2 2" xfId="13635"/>
    <cellStyle name="Total 3 7 3 4 3" xfId="10215"/>
    <cellStyle name="Total 3 7 3 5" xfId="4515"/>
    <cellStyle name="Total 3 7 3 5 2" xfId="11355"/>
    <cellStyle name="Total 3 7 3 6" xfId="7935"/>
    <cellStyle name="Total 3 7 3 7" xfId="61912"/>
    <cellStyle name="Total 3 7 3 8" xfId="62368"/>
    <cellStyle name="Total 3 7 4" xfId="38385"/>
    <cellStyle name="Total 3 7 5" xfId="60559"/>
    <cellStyle name="Total 3 7 6" xfId="60560"/>
    <cellStyle name="Total 3 7 7" xfId="60561"/>
    <cellStyle name="Total 3 7 8" xfId="61090"/>
    <cellStyle name="Total 3 8" xfId="1103"/>
    <cellStyle name="Total 3 8 2" xfId="1075"/>
    <cellStyle name="Total 3 8 2 2" xfId="2655"/>
    <cellStyle name="Total 3 8 2 2 2" xfId="6075"/>
    <cellStyle name="Total 3 8 2 2 2 2" xfId="12915"/>
    <cellStyle name="Total 3 8 2 2 3" xfId="9495"/>
    <cellStyle name="Total 3 8 2 3" xfId="3795"/>
    <cellStyle name="Total 3 8 2 3 2" xfId="7215"/>
    <cellStyle name="Total 3 8 2 3 2 2" xfId="14055"/>
    <cellStyle name="Total 3 8 2 3 3" xfId="10635"/>
    <cellStyle name="Total 3 8 2 4" xfId="4935"/>
    <cellStyle name="Total 3 8 2 4 2" xfId="11775"/>
    <cellStyle name="Total 3 8 2 5" xfId="8355"/>
    <cellStyle name="Total 3 8 3" xfId="1910"/>
    <cellStyle name="Total 3 8 3 2" xfId="5330"/>
    <cellStyle name="Total 3 8 3 2 2" xfId="12170"/>
    <cellStyle name="Total 3 8 3 3" xfId="8750"/>
    <cellStyle name="Total 3 8 4" xfId="3050"/>
    <cellStyle name="Total 3 8 4 2" xfId="6470"/>
    <cellStyle name="Total 3 8 4 2 2" xfId="13310"/>
    <cellStyle name="Total 3 8 4 3" xfId="9890"/>
    <cellStyle name="Total 3 8 5" xfId="4190"/>
    <cellStyle name="Total 3 8 5 2" xfId="11030"/>
    <cellStyle name="Total 3 8 6" xfId="7610"/>
    <cellStyle name="Total 3 9" xfId="38189"/>
    <cellStyle name="Total 4" xfId="102"/>
    <cellStyle name="Total 4 10" xfId="60794"/>
    <cellStyle name="Total 4 2" xfId="161"/>
    <cellStyle name="Total 4 2 2" xfId="287"/>
    <cellStyle name="Total 4 2 2 2" xfId="696"/>
    <cellStyle name="Total 4 2 2 2 2" xfId="1647"/>
    <cellStyle name="Total 4 2 2 2 2 2" xfId="760"/>
    <cellStyle name="Total 4 2 2 2 2 2 2" xfId="2645"/>
    <cellStyle name="Total 4 2 2 2 2 2 2 2" xfId="6065"/>
    <cellStyle name="Total 4 2 2 2 2 2 2 2 2" xfId="12905"/>
    <cellStyle name="Total 4 2 2 2 2 2 2 3" xfId="9485"/>
    <cellStyle name="Total 4 2 2 2 2 2 3" xfId="3785"/>
    <cellStyle name="Total 4 2 2 2 2 2 3 2" xfId="7205"/>
    <cellStyle name="Total 4 2 2 2 2 2 3 2 2" xfId="14045"/>
    <cellStyle name="Total 4 2 2 2 2 2 3 3" xfId="10625"/>
    <cellStyle name="Total 4 2 2 2 2 2 4" xfId="4925"/>
    <cellStyle name="Total 4 2 2 2 2 2 4 2" xfId="11765"/>
    <cellStyle name="Total 4 2 2 2 2 2 5" xfId="8345"/>
    <cellStyle name="Total 4 2 2 2 2 3" xfId="2481"/>
    <cellStyle name="Total 4 2 2 2 2 3 2" xfId="5901"/>
    <cellStyle name="Total 4 2 2 2 2 3 2 2" xfId="12741"/>
    <cellStyle name="Total 4 2 2 2 2 3 3" xfId="9321"/>
    <cellStyle name="Total 4 2 2 2 2 4" xfId="3621"/>
    <cellStyle name="Total 4 2 2 2 2 4 2" xfId="7041"/>
    <cellStyle name="Total 4 2 2 2 2 4 2 2" xfId="13881"/>
    <cellStyle name="Total 4 2 2 2 2 4 3" xfId="10461"/>
    <cellStyle name="Total 4 2 2 2 2 5" xfId="4761"/>
    <cellStyle name="Total 4 2 2 2 2 5 2" xfId="11601"/>
    <cellStyle name="Total 4 2 2 2 2 6" xfId="8181"/>
    <cellStyle name="Total 4 2 2 2 2 7" xfId="61915"/>
    <cellStyle name="Total 4 2 2 2 2 8" xfId="62371"/>
    <cellStyle name="Total 4 2 2 2 3" xfId="38540"/>
    <cellStyle name="Total 4 2 2 2 4" xfId="60562"/>
    <cellStyle name="Total 4 2 2 2 5" xfId="60563"/>
    <cellStyle name="Total 4 2 2 2 6" xfId="60564"/>
    <cellStyle name="Total 4 2 2 2 7" xfId="61330"/>
    <cellStyle name="Total 4 2 2 3" xfId="1293"/>
    <cellStyle name="Total 4 2 2 3 2" xfId="981"/>
    <cellStyle name="Total 4 2 2 3 2 2" xfId="1957"/>
    <cellStyle name="Total 4 2 2 3 2 2 2" xfId="5377"/>
    <cellStyle name="Total 4 2 2 3 2 2 2 2" xfId="12217"/>
    <cellStyle name="Total 4 2 2 3 2 2 3" xfId="8797"/>
    <cellStyle name="Total 4 2 2 3 2 3" xfId="3097"/>
    <cellStyle name="Total 4 2 2 3 2 3 2" xfId="6517"/>
    <cellStyle name="Total 4 2 2 3 2 3 2 2" xfId="13357"/>
    <cellStyle name="Total 4 2 2 3 2 3 3" xfId="9937"/>
    <cellStyle name="Total 4 2 2 3 2 4" xfId="4237"/>
    <cellStyle name="Total 4 2 2 3 2 4 2" xfId="11077"/>
    <cellStyle name="Total 4 2 2 3 2 5" xfId="7657"/>
    <cellStyle name="Total 4 2 2 3 3" xfId="2113"/>
    <cellStyle name="Total 4 2 2 3 3 2" xfId="5533"/>
    <cellStyle name="Total 4 2 2 3 3 2 2" xfId="12373"/>
    <cellStyle name="Total 4 2 2 3 3 3" xfId="8953"/>
    <cellStyle name="Total 4 2 2 3 4" xfId="3253"/>
    <cellStyle name="Total 4 2 2 3 4 2" xfId="6673"/>
    <cellStyle name="Total 4 2 2 3 4 2 2" xfId="13513"/>
    <cellStyle name="Total 4 2 2 3 4 3" xfId="10093"/>
    <cellStyle name="Total 4 2 2 3 5" xfId="4393"/>
    <cellStyle name="Total 4 2 2 3 5 2" xfId="11233"/>
    <cellStyle name="Total 4 2 2 3 6" xfId="7813"/>
    <cellStyle name="Total 4 2 2 3 7" xfId="61914"/>
    <cellStyle name="Total 4 2 2 3 8" xfId="62370"/>
    <cellStyle name="Total 4 2 2 4" xfId="38303"/>
    <cellStyle name="Total 4 2 2 5" xfId="60565"/>
    <cellStyle name="Total 4 2 2 6" xfId="60566"/>
    <cellStyle name="Total 4 2 2 7" xfId="60567"/>
    <cellStyle name="Total 4 2 2 8" xfId="60969"/>
    <cellStyle name="Total 4 2 3" xfId="608"/>
    <cellStyle name="Total 4 2 3 2" xfId="1595"/>
    <cellStyle name="Total 4 2 3 2 2" xfId="812"/>
    <cellStyle name="Total 4 2 3 2 2 2" xfId="2496"/>
    <cellStyle name="Total 4 2 3 2 2 2 2" xfId="5916"/>
    <cellStyle name="Total 4 2 3 2 2 2 2 2" xfId="12756"/>
    <cellStyle name="Total 4 2 3 2 2 2 3" xfId="9336"/>
    <cellStyle name="Total 4 2 3 2 2 3" xfId="3636"/>
    <cellStyle name="Total 4 2 3 2 2 3 2" xfId="7056"/>
    <cellStyle name="Total 4 2 3 2 2 3 2 2" xfId="13896"/>
    <cellStyle name="Total 4 2 3 2 2 3 3" xfId="10476"/>
    <cellStyle name="Total 4 2 3 2 2 4" xfId="4776"/>
    <cellStyle name="Total 4 2 3 2 2 4 2" xfId="11616"/>
    <cellStyle name="Total 4 2 3 2 2 5" xfId="8196"/>
    <cellStyle name="Total 4 2 3 2 3" xfId="2420"/>
    <cellStyle name="Total 4 2 3 2 3 2" xfId="5840"/>
    <cellStyle name="Total 4 2 3 2 3 2 2" xfId="12680"/>
    <cellStyle name="Total 4 2 3 2 3 3" xfId="9260"/>
    <cellStyle name="Total 4 2 3 2 4" xfId="3560"/>
    <cellStyle name="Total 4 2 3 2 4 2" xfId="6980"/>
    <cellStyle name="Total 4 2 3 2 4 2 2" xfId="13820"/>
    <cellStyle name="Total 4 2 3 2 4 3" xfId="10400"/>
    <cellStyle name="Total 4 2 3 2 5" xfId="4700"/>
    <cellStyle name="Total 4 2 3 2 5 2" xfId="11540"/>
    <cellStyle name="Total 4 2 3 2 6" xfId="8120"/>
    <cellStyle name="Total 4 2 3 2 7" xfId="61916"/>
    <cellStyle name="Total 4 2 3 2 8" xfId="62372"/>
    <cellStyle name="Total 4 2 3 3" xfId="38489"/>
    <cellStyle name="Total 4 2 3 4" xfId="60568"/>
    <cellStyle name="Total 4 2 3 5" xfId="60569"/>
    <cellStyle name="Total 4 2 3 6" xfId="60570"/>
    <cellStyle name="Total 4 2 3 7" xfId="61331"/>
    <cellStyle name="Total 4 2 4" xfId="1169"/>
    <cellStyle name="Total 4 2 4 2" xfId="1841"/>
    <cellStyle name="Total 4 2 4 2 2" xfId="2981"/>
    <cellStyle name="Total 4 2 4 2 2 2" xfId="6401"/>
    <cellStyle name="Total 4 2 4 2 2 2 2" xfId="13241"/>
    <cellStyle name="Total 4 2 4 2 2 3" xfId="9821"/>
    <cellStyle name="Total 4 2 4 2 3" xfId="4121"/>
    <cellStyle name="Total 4 2 4 2 3 2" xfId="7541"/>
    <cellStyle name="Total 4 2 4 2 3 2 2" xfId="14381"/>
    <cellStyle name="Total 4 2 4 2 3 3" xfId="10961"/>
    <cellStyle name="Total 4 2 4 2 4" xfId="5261"/>
    <cellStyle name="Total 4 2 4 2 4 2" xfId="12101"/>
    <cellStyle name="Total 4 2 4 2 5" xfId="8681"/>
    <cellStyle name="Total 4 2 4 3" xfId="1988"/>
    <cellStyle name="Total 4 2 4 3 2" xfId="5408"/>
    <cellStyle name="Total 4 2 4 3 2 2" xfId="12248"/>
    <cellStyle name="Total 4 2 4 3 3" xfId="8828"/>
    <cellStyle name="Total 4 2 4 4" xfId="3128"/>
    <cellStyle name="Total 4 2 4 4 2" xfId="6548"/>
    <cellStyle name="Total 4 2 4 4 2 2" xfId="13388"/>
    <cellStyle name="Total 4 2 4 4 3" xfId="9968"/>
    <cellStyle name="Total 4 2 4 5" xfId="4268"/>
    <cellStyle name="Total 4 2 4 5 2" xfId="11108"/>
    <cellStyle name="Total 4 2 4 6" xfId="7688"/>
    <cellStyle name="Total 4 2 4 7" xfId="61853"/>
    <cellStyle name="Total 4 2 4 8" xfId="62320"/>
    <cellStyle name="Total 4 2 5" xfId="38225"/>
    <cellStyle name="Total 4 2 6" xfId="60571"/>
    <cellStyle name="Total 4 2 7" xfId="60572"/>
    <cellStyle name="Total 4 2 8" xfId="60845"/>
    <cellStyle name="Total 4 3" xfId="327"/>
    <cellStyle name="Total 4 3 2" xfId="390"/>
    <cellStyle name="Total 4 3 2 2" xfId="1395"/>
    <cellStyle name="Total 4 3 2 2 2" xfId="911"/>
    <cellStyle name="Total 4 3 2 2 2 2" xfId="2780"/>
    <cellStyle name="Total 4 3 2 2 2 2 2" xfId="6200"/>
    <cellStyle name="Total 4 3 2 2 2 2 2 2" xfId="13040"/>
    <cellStyle name="Total 4 3 2 2 2 2 3" xfId="9620"/>
    <cellStyle name="Total 4 3 2 2 2 3" xfId="3920"/>
    <cellStyle name="Total 4 3 2 2 2 3 2" xfId="7340"/>
    <cellStyle name="Total 4 3 2 2 2 3 2 2" xfId="14180"/>
    <cellStyle name="Total 4 3 2 2 2 3 3" xfId="10760"/>
    <cellStyle name="Total 4 3 2 2 2 4" xfId="5060"/>
    <cellStyle name="Total 4 3 2 2 2 4 2" xfId="11900"/>
    <cellStyle name="Total 4 3 2 2 2 5" xfId="8480"/>
    <cellStyle name="Total 4 3 2 2 3" xfId="2216"/>
    <cellStyle name="Total 4 3 2 2 3 2" xfId="5636"/>
    <cellStyle name="Total 4 3 2 2 3 2 2" xfId="12476"/>
    <cellStyle name="Total 4 3 2 2 3 3" xfId="9056"/>
    <cellStyle name="Total 4 3 2 2 4" xfId="3356"/>
    <cellStyle name="Total 4 3 2 2 4 2" xfId="6776"/>
    <cellStyle name="Total 4 3 2 2 4 2 2" xfId="13616"/>
    <cellStyle name="Total 4 3 2 2 4 3" xfId="10196"/>
    <cellStyle name="Total 4 3 2 2 5" xfId="4496"/>
    <cellStyle name="Total 4 3 2 2 5 2" xfId="11336"/>
    <cellStyle name="Total 4 3 2 2 6" xfId="7916"/>
    <cellStyle name="Total 4 3 2 2 7" xfId="61917"/>
    <cellStyle name="Total 4 3 2 2 8" xfId="62373"/>
    <cellStyle name="Total 4 3 2 3" xfId="38372"/>
    <cellStyle name="Total 4 3 2 4" xfId="60573"/>
    <cellStyle name="Total 4 3 2 5" xfId="60574"/>
    <cellStyle name="Total 4 3 2 6" xfId="60575"/>
    <cellStyle name="Total 4 3 2 7" xfId="61071"/>
    <cellStyle name="Total 4 3 3" xfId="1332"/>
    <cellStyle name="Total 4 3 3 2" xfId="960"/>
    <cellStyle name="Total 4 3 3 2 2" xfId="2557"/>
    <cellStyle name="Total 4 3 3 2 2 2" xfId="5977"/>
    <cellStyle name="Total 4 3 3 2 2 2 2" xfId="12817"/>
    <cellStyle name="Total 4 3 3 2 2 3" xfId="9397"/>
    <cellStyle name="Total 4 3 3 2 3" xfId="3697"/>
    <cellStyle name="Total 4 3 3 2 3 2" xfId="7117"/>
    <cellStyle name="Total 4 3 3 2 3 2 2" xfId="13957"/>
    <cellStyle name="Total 4 3 3 2 3 3" xfId="10537"/>
    <cellStyle name="Total 4 3 3 2 4" xfId="4837"/>
    <cellStyle name="Total 4 3 3 2 4 2" xfId="11677"/>
    <cellStyle name="Total 4 3 3 2 5" xfId="8257"/>
    <cellStyle name="Total 4 3 3 3" xfId="2153"/>
    <cellStyle name="Total 4 3 3 3 2" xfId="5573"/>
    <cellStyle name="Total 4 3 3 3 2 2" xfId="12413"/>
    <cellStyle name="Total 4 3 3 3 3" xfId="8993"/>
    <cellStyle name="Total 4 3 3 4" xfId="3293"/>
    <cellStyle name="Total 4 3 3 4 2" xfId="6713"/>
    <cellStyle name="Total 4 3 3 4 2 2" xfId="13553"/>
    <cellStyle name="Total 4 3 3 4 3" xfId="10133"/>
    <cellStyle name="Total 4 3 3 5" xfId="4433"/>
    <cellStyle name="Total 4 3 3 5 2" xfId="11273"/>
    <cellStyle name="Total 4 3 3 6" xfId="7853"/>
    <cellStyle name="Total 4 3 3 7" xfId="61844"/>
    <cellStyle name="Total 4 3 3 8" xfId="62313"/>
    <cellStyle name="Total 4 3 4" xfId="38324"/>
    <cellStyle name="Total 4 3 5" xfId="60576"/>
    <cellStyle name="Total 4 3 6" xfId="60577"/>
    <cellStyle name="Total 4 3 7" xfId="61008"/>
    <cellStyle name="Total 4 4" xfId="234"/>
    <cellStyle name="Total 4 4 2" xfId="397"/>
    <cellStyle name="Total 4 4 2 2" xfId="1402"/>
    <cellStyle name="Total 4 4 2 2 2" xfId="908"/>
    <cellStyle name="Total 4 4 2 2 2 2" xfId="2495"/>
    <cellStyle name="Total 4 4 2 2 2 2 2" xfId="5915"/>
    <cellStyle name="Total 4 4 2 2 2 2 2 2" xfId="12755"/>
    <cellStyle name="Total 4 4 2 2 2 2 3" xfId="9335"/>
    <cellStyle name="Total 4 4 2 2 2 3" xfId="3635"/>
    <cellStyle name="Total 4 4 2 2 2 3 2" xfId="7055"/>
    <cellStyle name="Total 4 4 2 2 2 3 2 2" xfId="13895"/>
    <cellStyle name="Total 4 4 2 2 2 3 3" xfId="10475"/>
    <cellStyle name="Total 4 4 2 2 2 4" xfId="4775"/>
    <cellStyle name="Total 4 4 2 2 2 4 2" xfId="11615"/>
    <cellStyle name="Total 4 4 2 2 2 5" xfId="8195"/>
    <cellStyle name="Total 4 4 2 2 3" xfId="2223"/>
    <cellStyle name="Total 4 4 2 2 3 2" xfId="5643"/>
    <cellStyle name="Total 4 4 2 2 3 2 2" xfId="12483"/>
    <cellStyle name="Total 4 4 2 2 3 3" xfId="9063"/>
    <cellStyle name="Total 4 4 2 2 4" xfId="3363"/>
    <cellStyle name="Total 4 4 2 2 4 2" xfId="6783"/>
    <cellStyle name="Total 4 4 2 2 4 2 2" xfId="13623"/>
    <cellStyle name="Total 4 4 2 2 4 3" xfId="10203"/>
    <cellStyle name="Total 4 4 2 2 5" xfId="4503"/>
    <cellStyle name="Total 4 4 2 2 5 2" xfId="11343"/>
    <cellStyle name="Total 4 4 2 2 6" xfId="7923"/>
    <cellStyle name="Total 4 4 2 2 7" xfId="61918"/>
    <cellStyle name="Total 4 4 2 2 8" xfId="62374"/>
    <cellStyle name="Total 4 4 2 3" xfId="38376"/>
    <cellStyle name="Total 4 4 2 4" xfId="60578"/>
    <cellStyle name="Total 4 4 2 5" xfId="60579"/>
    <cellStyle name="Total 4 4 2 6" xfId="60580"/>
    <cellStyle name="Total 4 4 2 7" xfId="61078"/>
    <cellStyle name="Total 4 4 3" xfId="1241"/>
    <cellStyle name="Total 4 4 3 2" xfId="1007"/>
    <cellStyle name="Total 4 4 3 2 2" xfId="2512"/>
    <cellStyle name="Total 4 4 3 2 2 2" xfId="5932"/>
    <cellStyle name="Total 4 4 3 2 2 2 2" xfId="12772"/>
    <cellStyle name="Total 4 4 3 2 2 3" xfId="9352"/>
    <cellStyle name="Total 4 4 3 2 3" xfId="3652"/>
    <cellStyle name="Total 4 4 3 2 3 2" xfId="7072"/>
    <cellStyle name="Total 4 4 3 2 3 2 2" xfId="13912"/>
    <cellStyle name="Total 4 4 3 2 3 3" xfId="10492"/>
    <cellStyle name="Total 4 4 3 2 4" xfId="4792"/>
    <cellStyle name="Total 4 4 3 2 4 2" xfId="11632"/>
    <cellStyle name="Total 4 4 3 2 5" xfId="8212"/>
    <cellStyle name="Total 4 4 3 3" xfId="2061"/>
    <cellStyle name="Total 4 4 3 3 2" xfId="5481"/>
    <cellStyle name="Total 4 4 3 3 2 2" xfId="12321"/>
    <cellStyle name="Total 4 4 3 3 3" xfId="8901"/>
    <cellStyle name="Total 4 4 3 4" xfId="3201"/>
    <cellStyle name="Total 4 4 3 4 2" xfId="6621"/>
    <cellStyle name="Total 4 4 3 4 2 2" xfId="13461"/>
    <cellStyle name="Total 4 4 3 4 3" xfId="10041"/>
    <cellStyle name="Total 4 4 3 5" xfId="4341"/>
    <cellStyle name="Total 4 4 3 5 2" xfId="11181"/>
    <cellStyle name="Total 4 4 3 6" xfId="7761"/>
    <cellStyle name="Total 4 4 3 7" xfId="61821"/>
    <cellStyle name="Total 4 4 3 8" xfId="62300"/>
    <cellStyle name="Total 4 4 4" xfId="38261"/>
    <cellStyle name="Total 4 4 5" xfId="60581"/>
    <cellStyle name="Total 4 4 6" xfId="60582"/>
    <cellStyle name="Total 4 4 7" xfId="60917"/>
    <cellStyle name="Total 4 5" xfId="492"/>
    <cellStyle name="Total 4 5 2" xfId="525"/>
    <cellStyle name="Total 4 5 2 2" xfId="1529"/>
    <cellStyle name="Total 4 5 2 2 2" xfId="1873"/>
    <cellStyle name="Total 4 5 2 2 2 2" xfId="3013"/>
    <cellStyle name="Total 4 5 2 2 2 2 2" xfId="6433"/>
    <cellStyle name="Total 4 5 2 2 2 2 2 2" xfId="13273"/>
    <cellStyle name="Total 4 5 2 2 2 2 3" xfId="9853"/>
    <cellStyle name="Total 4 5 2 2 2 3" xfId="4153"/>
    <cellStyle name="Total 4 5 2 2 2 3 2" xfId="7573"/>
    <cellStyle name="Total 4 5 2 2 2 3 2 2" xfId="14413"/>
    <cellStyle name="Total 4 5 2 2 2 3 3" xfId="10993"/>
    <cellStyle name="Total 4 5 2 2 2 4" xfId="5293"/>
    <cellStyle name="Total 4 5 2 2 2 4 2" xfId="12133"/>
    <cellStyle name="Total 4 5 2 2 2 5" xfId="8713"/>
    <cellStyle name="Total 4 5 2 2 3" xfId="2350"/>
    <cellStyle name="Total 4 5 2 2 3 2" xfId="5770"/>
    <cellStyle name="Total 4 5 2 2 3 2 2" xfId="12610"/>
    <cellStyle name="Total 4 5 2 2 3 3" xfId="9190"/>
    <cellStyle name="Total 4 5 2 2 4" xfId="3490"/>
    <cellStyle name="Total 4 5 2 2 4 2" xfId="6910"/>
    <cellStyle name="Total 4 5 2 2 4 2 2" xfId="13750"/>
    <cellStyle name="Total 4 5 2 2 4 3" xfId="10330"/>
    <cellStyle name="Total 4 5 2 2 5" xfId="4630"/>
    <cellStyle name="Total 4 5 2 2 5 2" xfId="11470"/>
    <cellStyle name="Total 4 5 2 2 6" xfId="8050"/>
    <cellStyle name="Total 4 5 2 2 7" xfId="61920"/>
    <cellStyle name="Total 4 5 2 2 8" xfId="62376"/>
    <cellStyle name="Total 4 5 2 3" xfId="38445"/>
    <cellStyle name="Total 4 5 2 4" xfId="60583"/>
    <cellStyle name="Total 4 5 2 5" xfId="60584"/>
    <cellStyle name="Total 4 5 2 6" xfId="60585"/>
    <cellStyle name="Total 4 5 2 7" xfId="61205"/>
    <cellStyle name="Total 4 5 3" xfId="1496"/>
    <cellStyle name="Total 4 5 3 2" xfId="1781"/>
    <cellStyle name="Total 4 5 3 2 2" xfId="2921"/>
    <cellStyle name="Total 4 5 3 2 2 2" xfId="6341"/>
    <cellStyle name="Total 4 5 3 2 2 2 2" xfId="13181"/>
    <cellStyle name="Total 4 5 3 2 2 3" xfId="9761"/>
    <cellStyle name="Total 4 5 3 2 3" xfId="4061"/>
    <cellStyle name="Total 4 5 3 2 3 2" xfId="7481"/>
    <cellStyle name="Total 4 5 3 2 3 2 2" xfId="14321"/>
    <cellStyle name="Total 4 5 3 2 3 3" xfId="10901"/>
    <cellStyle name="Total 4 5 3 2 4" xfId="5201"/>
    <cellStyle name="Total 4 5 3 2 4 2" xfId="12041"/>
    <cellStyle name="Total 4 5 3 2 5" xfId="8621"/>
    <cellStyle name="Total 4 5 3 3" xfId="2317"/>
    <cellStyle name="Total 4 5 3 3 2" xfId="5737"/>
    <cellStyle name="Total 4 5 3 3 2 2" xfId="12577"/>
    <cellStyle name="Total 4 5 3 3 3" xfId="9157"/>
    <cellStyle name="Total 4 5 3 4" xfId="3457"/>
    <cellStyle name="Total 4 5 3 4 2" xfId="6877"/>
    <cellStyle name="Total 4 5 3 4 2 2" xfId="13717"/>
    <cellStyle name="Total 4 5 3 4 3" xfId="10297"/>
    <cellStyle name="Total 4 5 3 5" xfId="4597"/>
    <cellStyle name="Total 4 5 3 5 2" xfId="11437"/>
    <cellStyle name="Total 4 5 3 6" xfId="8017"/>
    <cellStyle name="Total 4 5 3 7" xfId="61919"/>
    <cellStyle name="Total 4 5 3 8" xfId="62375"/>
    <cellStyle name="Total 4 5 4" xfId="38431"/>
    <cellStyle name="Total 4 5 5" xfId="60586"/>
    <cellStyle name="Total 4 5 6" xfId="60587"/>
    <cellStyle name="Total 4 5 7" xfId="60588"/>
    <cellStyle name="Total 4 5 8" xfId="61172"/>
    <cellStyle name="Total 4 6" xfId="512"/>
    <cellStyle name="Total 4 6 2" xfId="418"/>
    <cellStyle name="Total 4 6 2 2" xfId="1423"/>
    <cellStyle name="Total 4 6 2 2 2" xfId="897"/>
    <cellStyle name="Total 4 6 2 2 2 2" xfId="2632"/>
    <cellStyle name="Total 4 6 2 2 2 2 2" xfId="6052"/>
    <cellStyle name="Total 4 6 2 2 2 2 2 2" xfId="12892"/>
    <cellStyle name="Total 4 6 2 2 2 2 3" xfId="9472"/>
    <cellStyle name="Total 4 6 2 2 2 3" xfId="3772"/>
    <cellStyle name="Total 4 6 2 2 2 3 2" xfId="7192"/>
    <cellStyle name="Total 4 6 2 2 2 3 2 2" xfId="14032"/>
    <cellStyle name="Total 4 6 2 2 2 3 3" xfId="10612"/>
    <cellStyle name="Total 4 6 2 2 2 4" xfId="4912"/>
    <cellStyle name="Total 4 6 2 2 2 4 2" xfId="11752"/>
    <cellStyle name="Total 4 6 2 2 2 5" xfId="8332"/>
    <cellStyle name="Total 4 6 2 2 3" xfId="2244"/>
    <cellStyle name="Total 4 6 2 2 3 2" xfId="5664"/>
    <cellStyle name="Total 4 6 2 2 3 2 2" xfId="12504"/>
    <cellStyle name="Total 4 6 2 2 3 3" xfId="9084"/>
    <cellStyle name="Total 4 6 2 2 4" xfId="3384"/>
    <cellStyle name="Total 4 6 2 2 4 2" xfId="6804"/>
    <cellStyle name="Total 4 6 2 2 4 2 2" xfId="13644"/>
    <cellStyle name="Total 4 6 2 2 4 3" xfId="10224"/>
    <cellStyle name="Total 4 6 2 2 5" xfId="4524"/>
    <cellStyle name="Total 4 6 2 2 5 2" xfId="11364"/>
    <cellStyle name="Total 4 6 2 2 6" xfId="7944"/>
    <cellStyle name="Total 4 6 2 2 7" xfId="61922"/>
    <cellStyle name="Total 4 6 2 2 8" xfId="62378"/>
    <cellStyle name="Total 4 6 2 3" xfId="38390"/>
    <cellStyle name="Total 4 6 2 4" xfId="60589"/>
    <cellStyle name="Total 4 6 2 5" xfId="60590"/>
    <cellStyle name="Total 4 6 2 6" xfId="60591"/>
    <cellStyle name="Total 4 6 2 7" xfId="61099"/>
    <cellStyle name="Total 4 6 3" xfId="1516"/>
    <cellStyle name="Total 4 6 3 2" xfId="851"/>
    <cellStyle name="Total 4 6 3 2 2" xfId="2681"/>
    <cellStyle name="Total 4 6 3 2 2 2" xfId="6101"/>
    <cellStyle name="Total 4 6 3 2 2 2 2" xfId="12941"/>
    <cellStyle name="Total 4 6 3 2 2 3" xfId="9521"/>
    <cellStyle name="Total 4 6 3 2 3" xfId="3821"/>
    <cellStyle name="Total 4 6 3 2 3 2" xfId="7241"/>
    <cellStyle name="Total 4 6 3 2 3 2 2" xfId="14081"/>
    <cellStyle name="Total 4 6 3 2 3 3" xfId="10661"/>
    <cellStyle name="Total 4 6 3 2 4" xfId="4961"/>
    <cellStyle name="Total 4 6 3 2 4 2" xfId="11801"/>
    <cellStyle name="Total 4 6 3 2 5" xfId="8381"/>
    <cellStyle name="Total 4 6 3 3" xfId="2337"/>
    <cellStyle name="Total 4 6 3 3 2" xfId="5757"/>
    <cellStyle name="Total 4 6 3 3 2 2" xfId="12597"/>
    <cellStyle name="Total 4 6 3 3 3" xfId="9177"/>
    <cellStyle name="Total 4 6 3 4" xfId="3477"/>
    <cellStyle name="Total 4 6 3 4 2" xfId="6897"/>
    <cellStyle name="Total 4 6 3 4 2 2" xfId="13737"/>
    <cellStyle name="Total 4 6 3 4 3" xfId="10317"/>
    <cellStyle name="Total 4 6 3 5" xfId="4617"/>
    <cellStyle name="Total 4 6 3 5 2" xfId="11457"/>
    <cellStyle name="Total 4 6 3 6" xfId="8037"/>
    <cellStyle name="Total 4 6 3 7" xfId="61921"/>
    <cellStyle name="Total 4 6 3 8" xfId="62377"/>
    <cellStyle name="Total 4 6 4" xfId="38439"/>
    <cellStyle name="Total 4 6 5" xfId="60592"/>
    <cellStyle name="Total 4 6 6" xfId="60593"/>
    <cellStyle name="Total 4 6 7" xfId="60594"/>
    <cellStyle name="Total 4 6 8" xfId="61192"/>
    <cellStyle name="Total 4 7" xfId="1118"/>
    <cellStyle name="Total 4 7 2" xfId="1067"/>
    <cellStyle name="Total 4 7 2 2" xfId="2782"/>
    <cellStyle name="Total 4 7 2 2 2" xfId="6202"/>
    <cellStyle name="Total 4 7 2 2 2 2" xfId="13042"/>
    <cellStyle name="Total 4 7 2 2 3" xfId="9622"/>
    <cellStyle name="Total 4 7 2 3" xfId="3922"/>
    <cellStyle name="Total 4 7 2 3 2" xfId="7342"/>
    <cellStyle name="Total 4 7 2 3 2 2" xfId="14182"/>
    <cellStyle name="Total 4 7 2 3 3" xfId="10762"/>
    <cellStyle name="Total 4 7 2 4" xfId="5062"/>
    <cellStyle name="Total 4 7 2 4 2" xfId="11902"/>
    <cellStyle name="Total 4 7 2 5" xfId="8482"/>
    <cellStyle name="Total 4 7 3" xfId="1932"/>
    <cellStyle name="Total 4 7 3 2" xfId="5352"/>
    <cellStyle name="Total 4 7 3 2 2" xfId="12192"/>
    <cellStyle name="Total 4 7 3 3" xfId="8772"/>
    <cellStyle name="Total 4 7 4" xfId="3072"/>
    <cellStyle name="Total 4 7 4 2" xfId="6492"/>
    <cellStyle name="Total 4 7 4 2 2" xfId="13332"/>
    <cellStyle name="Total 4 7 4 3" xfId="9912"/>
    <cellStyle name="Total 4 7 5" xfId="4212"/>
    <cellStyle name="Total 4 7 5 2" xfId="11052"/>
    <cellStyle name="Total 4 7 6" xfId="7632"/>
    <cellStyle name="Total 4 8" xfId="38195"/>
    <cellStyle name="Total 4 9" xfId="60595"/>
    <cellStyle name="Total 5" xfId="111"/>
    <cellStyle name="Total 5 10" xfId="60596"/>
    <cellStyle name="Total 5 11" xfId="60803"/>
    <cellStyle name="Total 5 2" xfId="170"/>
    <cellStyle name="Total 5 2 2" xfId="296"/>
    <cellStyle name="Total 5 2 2 2" xfId="705"/>
    <cellStyle name="Total 5 2 2 2 2" xfId="1656"/>
    <cellStyle name="Total 5 2 2 2 2 2" xfId="751"/>
    <cellStyle name="Total 5 2 2 2 2 2 2" xfId="2038"/>
    <cellStyle name="Total 5 2 2 2 2 2 2 2" xfId="5458"/>
    <cellStyle name="Total 5 2 2 2 2 2 2 2 2" xfId="12298"/>
    <cellStyle name="Total 5 2 2 2 2 2 2 3" xfId="8878"/>
    <cellStyle name="Total 5 2 2 2 2 2 3" xfId="3178"/>
    <cellStyle name="Total 5 2 2 2 2 2 3 2" xfId="6598"/>
    <cellStyle name="Total 5 2 2 2 2 2 3 2 2" xfId="13438"/>
    <cellStyle name="Total 5 2 2 2 2 2 3 3" xfId="10018"/>
    <cellStyle name="Total 5 2 2 2 2 2 4" xfId="4318"/>
    <cellStyle name="Total 5 2 2 2 2 2 4 2" xfId="11158"/>
    <cellStyle name="Total 5 2 2 2 2 2 5" xfId="7738"/>
    <cellStyle name="Total 5 2 2 2 2 3" xfId="2490"/>
    <cellStyle name="Total 5 2 2 2 2 3 2" xfId="5910"/>
    <cellStyle name="Total 5 2 2 2 2 3 2 2" xfId="12750"/>
    <cellStyle name="Total 5 2 2 2 2 3 3" xfId="9330"/>
    <cellStyle name="Total 5 2 2 2 2 4" xfId="3630"/>
    <cellStyle name="Total 5 2 2 2 2 4 2" xfId="7050"/>
    <cellStyle name="Total 5 2 2 2 2 4 2 2" xfId="13890"/>
    <cellStyle name="Total 5 2 2 2 2 4 3" xfId="10470"/>
    <cellStyle name="Total 5 2 2 2 2 5" xfId="4770"/>
    <cellStyle name="Total 5 2 2 2 2 5 2" xfId="11610"/>
    <cellStyle name="Total 5 2 2 2 2 6" xfId="8190"/>
    <cellStyle name="Total 5 2 2 2 2 7" xfId="61925"/>
    <cellStyle name="Total 5 2 2 2 2 8" xfId="62381"/>
    <cellStyle name="Total 5 2 2 2 3" xfId="38549"/>
    <cellStyle name="Total 5 2 2 2 4" xfId="60597"/>
    <cellStyle name="Total 5 2 2 2 5" xfId="60598"/>
    <cellStyle name="Total 5 2 2 2 6" xfId="60599"/>
    <cellStyle name="Total 5 2 2 2 7" xfId="61332"/>
    <cellStyle name="Total 5 2 2 3" xfId="1302"/>
    <cellStyle name="Total 5 2 2 3 2" xfId="1668"/>
    <cellStyle name="Total 5 2 2 3 2 2" xfId="2808"/>
    <cellStyle name="Total 5 2 2 3 2 2 2" xfId="6228"/>
    <cellStyle name="Total 5 2 2 3 2 2 2 2" xfId="13068"/>
    <cellStyle name="Total 5 2 2 3 2 2 3" xfId="9648"/>
    <cellStyle name="Total 5 2 2 3 2 3" xfId="3948"/>
    <cellStyle name="Total 5 2 2 3 2 3 2" xfId="7368"/>
    <cellStyle name="Total 5 2 2 3 2 3 2 2" xfId="14208"/>
    <cellStyle name="Total 5 2 2 3 2 3 3" xfId="10788"/>
    <cellStyle name="Total 5 2 2 3 2 4" xfId="5088"/>
    <cellStyle name="Total 5 2 2 3 2 4 2" xfId="11928"/>
    <cellStyle name="Total 5 2 2 3 2 5" xfId="8508"/>
    <cellStyle name="Total 5 2 2 3 3" xfId="2122"/>
    <cellStyle name="Total 5 2 2 3 3 2" xfId="5542"/>
    <cellStyle name="Total 5 2 2 3 3 2 2" xfId="12382"/>
    <cellStyle name="Total 5 2 2 3 3 3" xfId="8962"/>
    <cellStyle name="Total 5 2 2 3 4" xfId="3262"/>
    <cellStyle name="Total 5 2 2 3 4 2" xfId="6682"/>
    <cellStyle name="Total 5 2 2 3 4 2 2" xfId="13522"/>
    <cellStyle name="Total 5 2 2 3 4 3" xfId="10102"/>
    <cellStyle name="Total 5 2 2 3 5" xfId="4402"/>
    <cellStyle name="Total 5 2 2 3 5 2" xfId="11242"/>
    <cellStyle name="Total 5 2 2 3 6" xfId="7822"/>
    <cellStyle name="Total 5 2 2 3 7" xfId="61924"/>
    <cellStyle name="Total 5 2 2 3 8" xfId="62380"/>
    <cellStyle name="Total 5 2 2 4" xfId="38312"/>
    <cellStyle name="Total 5 2 2 5" xfId="60600"/>
    <cellStyle name="Total 5 2 2 6" xfId="60601"/>
    <cellStyle name="Total 5 2 2 7" xfId="60602"/>
    <cellStyle name="Total 5 2 2 8" xfId="60978"/>
    <cellStyle name="Total 5 2 3" xfId="617"/>
    <cellStyle name="Total 5 2 3 2" xfId="1604"/>
    <cellStyle name="Total 5 2 3 2 2" xfId="803"/>
    <cellStyle name="Total 5 2 3 2 2 2" xfId="2704"/>
    <cellStyle name="Total 5 2 3 2 2 2 2" xfId="6124"/>
    <cellStyle name="Total 5 2 3 2 2 2 2 2" xfId="12964"/>
    <cellStyle name="Total 5 2 3 2 2 2 3" xfId="9544"/>
    <cellStyle name="Total 5 2 3 2 2 3" xfId="3844"/>
    <cellStyle name="Total 5 2 3 2 2 3 2" xfId="7264"/>
    <cellStyle name="Total 5 2 3 2 2 3 2 2" xfId="14104"/>
    <cellStyle name="Total 5 2 3 2 2 3 3" xfId="10684"/>
    <cellStyle name="Total 5 2 3 2 2 4" xfId="4984"/>
    <cellStyle name="Total 5 2 3 2 2 4 2" xfId="11824"/>
    <cellStyle name="Total 5 2 3 2 2 5" xfId="8404"/>
    <cellStyle name="Total 5 2 3 2 3" xfId="2429"/>
    <cellStyle name="Total 5 2 3 2 3 2" xfId="5849"/>
    <cellStyle name="Total 5 2 3 2 3 2 2" xfId="12689"/>
    <cellStyle name="Total 5 2 3 2 3 3" xfId="9269"/>
    <cellStyle name="Total 5 2 3 2 4" xfId="3569"/>
    <cellStyle name="Total 5 2 3 2 4 2" xfId="6989"/>
    <cellStyle name="Total 5 2 3 2 4 2 2" xfId="13829"/>
    <cellStyle name="Total 5 2 3 2 4 3" xfId="10409"/>
    <cellStyle name="Total 5 2 3 2 5" xfId="4709"/>
    <cellStyle name="Total 5 2 3 2 5 2" xfId="11549"/>
    <cellStyle name="Total 5 2 3 2 6" xfId="8129"/>
    <cellStyle name="Total 5 2 3 2 7" xfId="61926"/>
    <cellStyle name="Total 5 2 3 2 8" xfId="62382"/>
    <cellStyle name="Total 5 2 3 3" xfId="38498"/>
    <cellStyle name="Total 5 2 3 4" xfId="60603"/>
    <cellStyle name="Total 5 2 3 5" xfId="60604"/>
    <cellStyle name="Total 5 2 3 6" xfId="60605"/>
    <cellStyle name="Total 5 2 3 7" xfId="61333"/>
    <cellStyle name="Total 5 2 4" xfId="1178"/>
    <cellStyle name="Total 5 2 4 2" xfId="1039"/>
    <cellStyle name="Total 5 2 4 2 2" xfId="2640"/>
    <cellStyle name="Total 5 2 4 2 2 2" xfId="6060"/>
    <cellStyle name="Total 5 2 4 2 2 2 2" xfId="12900"/>
    <cellStyle name="Total 5 2 4 2 2 3" xfId="9480"/>
    <cellStyle name="Total 5 2 4 2 3" xfId="3780"/>
    <cellStyle name="Total 5 2 4 2 3 2" xfId="7200"/>
    <cellStyle name="Total 5 2 4 2 3 2 2" xfId="14040"/>
    <cellStyle name="Total 5 2 4 2 3 3" xfId="10620"/>
    <cellStyle name="Total 5 2 4 2 4" xfId="4920"/>
    <cellStyle name="Total 5 2 4 2 4 2" xfId="11760"/>
    <cellStyle name="Total 5 2 4 2 5" xfId="8340"/>
    <cellStyle name="Total 5 2 4 3" xfId="1997"/>
    <cellStyle name="Total 5 2 4 3 2" xfId="5417"/>
    <cellStyle name="Total 5 2 4 3 2 2" xfId="12257"/>
    <cellStyle name="Total 5 2 4 3 3" xfId="8837"/>
    <cellStyle name="Total 5 2 4 4" xfId="3137"/>
    <cellStyle name="Total 5 2 4 4 2" xfId="6557"/>
    <cellStyle name="Total 5 2 4 4 2 2" xfId="13397"/>
    <cellStyle name="Total 5 2 4 4 3" xfId="9977"/>
    <cellStyle name="Total 5 2 4 5" xfId="4277"/>
    <cellStyle name="Total 5 2 4 5 2" xfId="11117"/>
    <cellStyle name="Total 5 2 4 6" xfId="7697"/>
    <cellStyle name="Total 5 2 4 7" xfId="61923"/>
    <cellStyle name="Total 5 2 4 8" xfId="62379"/>
    <cellStyle name="Total 5 2 5" xfId="38231"/>
    <cellStyle name="Total 5 2 6" xfId="60606"/>
    <cellStyle name="Total 5 2 7" xfId="60607"/>
    <cellStyle name="Total 5 2 8" xfId="60608"/>
    <cellStyle name="Total 5 2 9" xfId="60854"/>
    <cellStyle name="Total 5 3" xfId="336"/>
    <cellStyle name="Total 5 3 2" xfId="391"/>
    <cellStyle name="Total 5 3 2 2" xfId="1396"/>
    <cellStyle name="Total 5 3 2 2 2" xfId="910"/>
    <cellStyle name="Total 5 3 2 2 2 2" xfId="2669"/>
    <cellStyle name="Total 5 3 2 2 2 2 2" xfId="6089"/>
    <cellStyle name="Total 5 3 2 2 2 2 2 2" xfId="12929"/>
    <cellStyle name="Total 5 3 2 2 2 2 3" xfId="9509"/>
    <cellStyle name="Total 5 3 2 2 2 3" xfId="3809"/>
    <cellStyle name="Total 5 3 2 2 2 3 2" xfId="7229"/>
    <cellStyle name="Total 5 3 2 2 2 3 2 2" xfId="14069"/>
    <cellStyle name="Total 5 3 2 2 2 3 3" xfId="10649"/>
    <cellStyle name="Total 5 3 2 2 2 4" xfId="4949"/>
    <cellStyle name="Total 5 3 2 2 2 4 2" xfId="11789"/>
    <cellStyle name="Total 5 3 2 2 2 5" xfId="8369"/>
    <cellStyle name="Total 5 3 2 2 3" xfId="2217"/>
    <cellStyle name="Total 5 3 2 2 3 2" xfId="5637"/>
    <cellStyle name="Total 5 3 2 2 3 2 2" xfId="12477"/>
    <cellStyle name="Total 5 3 2 2 3 3" xfId="9057"/>
    <cellStyle name="Total 5 3 2 2 4" xfId="3357"/>
    <cellStyle name="Total 5 3 2 2 4 2" xfId="6777"/>
    <cellStyle name="Total 5 3 2 2 4 2 2" xfId="13617"/>
    <cellStyle name="Total 5 3 2 2 4 3" xfId="10197"/>
    <cellStyle name="Total 5 3 2 2 5" xfId="4497"/>
    <cellStyle name="Total 5 3 2 2 5 2" xfId="11337"/>
    <cellStyle name="Total 5 3 2 2 6" xfId="7917"/>
    <cellStyle name="Total 5 3 2 2 7" xfId="61928"/>
    <cellStyle name="Total 5 3 2 2 8" xfId="62384"/>
    <cellStyle name="Total 5 3 2 3" xfId="38373"/>
    <cellStyle name="Total 5 3 2 4" xfId="60609"/>
    <cellStyle name="Total 5 3 2 5" xfId="60610"/>
    <cellStyle name="Total 5 3 2 6" xfId="60611"/>
    <cellStyle name="Total 5 3 2 7" xfId="61072"/>
    <cellStyle name="Total 5 3 3" xfId="1341"/>
    <cellStyle name="Total 5 3 3 2" xfId="951"/>
    <cellStyle name="Total 5 3 3 2 2" xfId="1888"/>
    <cellStyle name="Total 5 3 3 2 2 2" xfId="5308"/>
    <cellStyle name="Total 5 3 3 2 2 2 2" xfId="12148"/>
    <cellStyle name="Total 5 3 3 2 2 3" xfId="8728"/>
    <cellStyle name="Total 5 3 3 2 3" xfId="3028"/>
    <cellStyle name="Total 5 3 3 2 3 2" xfId="6448"/>
    <cellStyle name="Total 5 3 3 2 3 2 2" xfId="13288"/>
    <cellStyle name="Total 5 3 3 2 3 3" xfId="9868"/>
    <cellStyle name="Total 5 3 3 2 4" xfId="4168"/>
    <cellStyle name="Total 5 3 3 2 4 2" xfId="11008"/>
    <cellStyle name="Total 5 3 3 2 5" xfId="7588"/>
    <cellStyle name="Total 5 3 3 3" xfId="2162"/>
    <cellStyle name="Total 5 3 3 3 2" xfId="5582"/>
    <cellStyle name="Total 5 3 3 3 2 2" xfId="12422"/>
    <cellStyle name="Total 5 3 3 3 3" xfId="9002"/>
    <cellStyle name="Total 5 3 3 4" xfId="3302"/>
    <cellStyle name="Total 5 3 3 4 2" xfId="6722"/>
    <cellStyle name="Total 5 3 3 4 2 2" xfId="13562"/>
    <cellStyle name="Total 5 3 3 4 3" xfId="10142"/>
    <cellStyle name="Total 5 3 3 5" xfId="4442"/>
    <cellStyle name="Total 5 3 3 5 2" xfId="11282"/>
    <cellStyle name="Total 5 3 3 6" xfId="7862"/>
    <cellStyle name="Total 5 3 3 7" xfId="61927"/>
    <cellStyle name="Total 5 3 3 8" xfId="62383"/>
    <cellStyle name="Total 5 3 4" xfId="38329"/>
    <cellStyle name="Total 5 3 5" xfId="60612"/>
    <cellStyle name="Total 5 3 6" xfId="60613"/>
    <cellStyle name="Total 5 3 7" xfId="60614"/>
    <cellStyle name="Total 5 3 8" xfId="61017"/>
    <cellStyle name="Total 5 4" xfId="243"/>
    <cellStyle name="Total 5 4 2" xfId="217"/>
    <cellStyle name="Total 5 4 2 2" xfId="1224"/>
    <cellStyle name="Total 5 4 2 2 2" xfId="1016"/>
    <cellStyle name="Total 5 4 2 2 2 2" xfId="2570"/>
    <cellStyle name="Total 5 4 2 2 2 2 2" xfId="5990"/>
    <cellStyle name="Total 5 4 2 2 2 2 2 2" xfId="12830"/>
    <cellStyle name="Total 5 4 2 2 2 2 3" xfId="9410"/>
    <cellStyle name="Total 5 4 2 2 2 3" xfId="3710"/>
    <cellStyle name="Total 5 4 2 2 2 3 2" xfId="7130"/>
    <cellStyle name="Total 5 4 2 2 2 3 2 2" xfId="13970"/>
    <cellStyle name="Total 5 4 2 2 2 3 3" xfId="10550"/>
    <cellStyle name="Total 5 4 2 2 2 4" xfId="4850"/>
    <cellStyle name="Total 5 4 2 2 2 4 2" xfId="11690"/>
    <cellStyle name="Total 5 4 2 2 2 5" xfId="8270"/>
    <cellStyle name="Total 5 4 2 2 3" xfId="2044"/>
    <cellStyle name="Total 5 4 2 2 3 2" xfId="5464"/>
    <cellStyle name="Total 5 4 2 2 3 2 2" xfId="12304"/>
    <cellStyle name="Total 5 4 2 2 3 3" xfId="8884"/>
    <cellStyle name="Total 5 4 2 2 4" xfId="3184"/>
    <cellStyle name="Total 5 4 2 2 4 2" xfId="6604"/>
    <cellStyle name="Total 5 4 2 2 4 2 2" xfId="13444"/>
    <cellStyle name="Total 5 4 2 2 4 3" xfId="10024"/>
    <cellStyle name="Total 5 4 2 2 5" xfId="4324"/>
    <cellStyle name="Total 5 4 2 2 5 2" xfId="11164"/>
    <cellStyle name="Total 5 4 2 2 6" xfId="7744"/>
    <cellStyle name="Total 5 4 2 2 7" xfId="61930"/>
    <cellStyle name="Total 5 4 2 2 8" xfId="62386"/>
    <cellStyle name="Total 5 4 2 3" xfId="38253"/>
    <cellStyle name="Total 5 4 2 4" xfId="60615"/>
    <cellStyle name="Total 5 4 2 5" xfId="60616"/>
    <cellStyle name="Total 5 4 2 6" xfId="60617"/>
    <cellStyle name="Total 5 4 2 7" xfId="60900"/>
    <cellStyle name="Total 5 4 3" xfId="1250"/>
    <cellStyle name="Total 5 4 3 2" xfId="1003"/>
    <cellStyle name="Total 5 4 3 2 2" xfId="2506"/>
    <cellStyle name="Total 5 4 3 2 2 2" xfId="5926"/>
    <cellStyle name="Total 5 4 3 2 2 2 2" xfId="12766"/>
    <cellStyle name="Total 5 4 3 2 2 3" xfId="9346"/>
    <cellStyle name="Total 5 4 3 2 3" xfId="3646"/>
    <cellStyle name="Total 5 4 3 2 3 2" xfId="7066"/>
    <cellStyle name="Total 5 4 3 2 3 2 2" xfId="13906"/>
    <cellStyle name="Total 5 4 3 2 3 3" xfId="10486"/>
    <cellStyle name="Total 5 4 3 2 4" xfId="4786"/>
    <cellStyle name="Total 5 4 3 2 4 2" xfId="11626"/>
    <cellStyle name="Total 5 4 3 2 5" xfId="8206"/>
    <cellStyle name="Total 5 4 3 3" xfId="2070"/>
    <cellStyle name="Total 5 4 3 3 2" xfId="5490"/>
    <cellStyle name="Total 5 4 3 3 2 2" xfId="12330"/>
    <cellStyle name="Total 5 4 3 3 3" xfId="8910"/>
    <cellStyle name="Total 5 4 3 4" xfId="3210"/>
    <cellStyle name="Total 5 4 3 4 2" xfId="6630"/>
    <cellStyle name="Total 5 4 3 4 2 2" xfId="13470"/>
    <cellStyle name="Total 5 4 3 4 3" xfId="10050"/>
    <cellStyle name="Total 5 4 3 5" xfId="4350"/>
    <cellStyle name="Total 5 4 3 5 2" xfId="11190"/>
    <cellStyle name="Total 5 4 3 6" xfId="7770"/>
    <cellStyle name="Total 5 4 3 7" xfId="61929"/>
    <cellStyle name="Total 5 4 3 8" xfId="62385"/>
    <cellStyle name="Total 5 4 4" xfId="38266"/>
    <cellStyle name="Total 5 4 5" xfId="60618"/>
    <cellStyle name="Total 5 4 6" xfId="60619"/>
    <cellStyle name="Total 5 4 7" xfId="60620"/>
    <cellStyle name="Total 5 4 8" xfId="60926"/>
    <cellStyle name="Total 5 5" xfId="501"/>
    <cellStyle name="Total 5 5 2" xfId="425"/>
    <cellStyle name="Total 5 5 2 2" xfId="1430"/>
    <cellStyle name="Total 5 5 2 2 2" xfId="1768"/>
    <cellStyle name="Total 5 5 2 2 2 2" xfId="2908"/>
    <cellStyle name="Total 5 5 2 2 2 2 2" xfId="6328"/>
    <cellStyle name="Total 5 5 2 2 2 2 2 2" xfId="13168"/>
    <cellStyle name="Total 5 5 2 2 2 2 3" xfId="9748"/>
    <cellStyle name="Total 5 5 2 2 2 3" xfId="4048"/>
    <cellStyle name="Total 5 5 2 2 2 3 2" xfId="7468"/>
    <cellStyle name="Total 5 5 2 2 2 3 2 2" xfId="14308"/>
    <cellStyle name="Total 5 5 2 2 2 3 3" xfId="10888"/>
    <cellStyle name="Total 5 5 2 2 2 4" xfId="5188"/>
    <cellStyle name="Total 5 5 2 2 2 4 2" xfId="12028"/>
    <cellStyle name="Total 5 5 2 2 2 5" xfId="8608"/>
    <cellStyle name="Total 5 5 2 2 3" xfId="2251"/>
    <cellStyle name="Total 5 5 2 2 3 2" xfId="5671"/>
    <cellStyle name="Total 5 5 2 2 3 2 2" xfId="12511"/>
    <cellStyle name="Total 5 5 2 2 3 3" xfId="9091"/>
    <cellStyle name="Total 5 5 2 2 4" xfId="3391"/>
    <cellStyle name="Total 5 5 2 2 4 2" xfId="6811"/>
    <cellStyle name="Total 5 5 2 2 4 2 2" xfId="13651"/>
    <cellStyle name="Total 5 5 2 2 4 3" xfId="10231"/>
    <cellStyle name="Total 5 5 2 2 5" xfId="4531"/>
    <cellStyle name="Total 5 5 2 2 5 2" xfId="11371"/>
    <cellStyle name="Total 5 5 2 2 6" xfId="7951"/>
    <cellStyle name="Total 5 5 2 2 7" xfId="61932"/>
    <cellStyle name="Total 5 5 2 2 8" xfId="62388"/>
    <cellStyle name="Total 5 5 2 3" xfId="38392"/>
    <cellStyle name="Total 5 5 2 4" xfId="60621"/>
    <cellStyle name="Total 5 5 2 5" xfId="60622"/>
    <cellStyle name="Total 5 5 2 6" xfId="60623"/>
    <cellStyle name="Total 5 5 2 7" xfId="61106"/>
    <cellStyle name="Total 5 5 3" xfId="1505"/>
    <cellStyle name="Total 5 5 3 2" xfId="857"/>
    <cellStyle name="Total 5 5 3 2 2" xfId="2522"/>
    <cellStyle name="Total 5 5 3 2 2 2" xfId="5942"/>
    <cellStyle name="Total 5 5 3 2 2 2 2" xfId="12782"/>
    <cellStyle name="Total 5 5 3 2 2 3" xfId="9362"/>
    <cellStyle name="Total 5 5 3 2 3" xfId="3662"/>
    <cellStyle name="Total 5 5 3 2 3 2" xfId="7082"/>
    <cellStyle name="Total 5 5 3 2 3 2 2" xfId="13922"/>
    <cellStyle name="Total 5 5 3 2 3 3" xfId="10502"/>
    <cellStyle name="Total 5 5 3 2 4" xfId="4802"/>
    <cellStyle name="Total 5 5 3 2 4 2" xfId="11642"/>
    <cellStyle name="Total 5 5 3 2 5" xfId="8222"/>
    <cellStyle name="Total 5 5 3 3" xfId="2326"/>
    <cellStyle name="Total 5 5 3 3 2" xfId="5746"/>
    <cellStyle name="Total 5 5 3 3 2 2" xfId="12586"/>
    <cellStyle name="Total 5 5 3 3 3" xfId="9166"/>
    <cellStyle name="Total 5 5 3 4" xfId="3466"/>
    <cellStyle name="Total 5 5 3 4 2" xfId="6886"/>
    <cellStyle name="Total 5 5 3 4 2 2" xfId="13726"/>
    <cellStyle name="Total 5 5 3 4 3" xfId="10306"/>
    <cellStyle name="Total 5 5 3 5" xfId="4606"/>
    <cellStyle name="Total 5 5 3 5 2" xfId="11446"/>
    <cellStyle name="Total 5 5 3 6" xfId="8026"/>
    <cellStyle name="Total 5 5 3 7" xfId="61931"/>
    <cellStyle name="Total 5 5 3 8" xfId="62387"/>
    <cellStyle name="Total 5 5 4" xfId="38436"/>
    <cellStyle name="Total 5 5 5" xfId="60624"/>
    <cellStyle name="Total 5 5 6" xfId="60625"/>
    <cellStyle name="Total 5 5 7" xfId="60626"/>
    <cellStyle name="Total 5 5 8" xfId="61181"/>
    <cellStyle name="Total 5 6" xfId="521"/>
    <cellStyle name="Total 5 6 2" xfId="451"/>
    <cellStyle name="Total 5 6 2 2" xfId="1455"/>
    <cellStyle name="Total 5 6 2 2 2" xfId="882"/>
    <cellStyle name="Total 5 6 2 2 2 2" xfId="2582"/>
    <cellStyle name="Total 5 6 2 2 2 2 2" xfId="6002"/>
    <cellStyle name="Total 5 6 2 2 2 2 2 2" xfId="12842"/>
    <cellStyle name="Total 5 6 2 2 2 2 3" xfId="9422"/>
    <cellStyle name="Total 5 6 2 2 2 3" xfId="3722"/>
    <cellStyle name="Total 5 6 2 2 2 3 2" xfId="7142"/>
    <cellStyle name="Total 5 6 2 2 2 3 2 2" xfId="13982"/>
    <cellStyle name="Total 5 6 2 2 2 3 3" xfId="10562"/>
    <cellStyle name="Total 5 6 2 2 2 4" xfId="4862"/>
    <cellStyle name="Total 5 6 2 2 2 4 2" xfId="11702"/>
    <cellStyle name="Total 5 6 2 2 2 5" xfId="8282"/>
    <cellStyle name="Total 5 6 2 2 3" xfId="2276"/>
    <cellStyle name="Total 5 6 2 2 3 2" xfId="5696"/>
    <cellStyle name="Total 5 6 2 2 3 2 2" xfId="12536"/>
    <cellStyle name="Total 5 6 2 2 3 3" xfId="9116"/>
    <cellStyle name="Total 5 6 2 2 4" xfId="3416"/>
    <cellStyle name="Total 5 6 2 2 4 2" xfId="6836"/>
    <cellStyle name="Total 5 6 2 2 4 2 2" xfId="13676"/>
    <cellStyle name="Total 5 6 2 2 4 3" xfId="10256"/>
    <cellStyle name="Total 5 6 2 2 5" xfId="4556"/>
    <cellStyle name="Total 5 6 2 2 5 2" xfId="11396"/>
    <cellStyle name="Total 5 6 2 2 6" xfId="7976"/>
    <cellStyle name="Total 5 6 2 2 7" xfId="61934"/>
    <cellStyle name="Total 5 6 2 2 8" xfId="62390"/>
    <cellStyle name="Total 5 6 2 3" xfId="38412"/>
    <cellStyle name="Total 5 6 2 4" xfId="60627"/>
    <cellStyle name="Total 5 6 2 5" xfId="60628"/>
    <cellStyle name="Total 5 6 2 6" xfId="60629"/>
    <cellStyle name="Total 5 6 2 7" xfId="61131"/>
    <cellStyle name="Total 5 6 3" xfId="1525"/>
    <cellStyle name="Total 5 6 3 2" xfId="1685"/>
    <cellStyle name="Total 5 6 3 2 2" xfId="2825"/>
    <cellStyle name="Total 5 6 3 2 2 2" xfId="6245"/>
    <cellStyle name="Total 5 6 3 2 2 2 2" xfId="13085"/>
    <cellStyle name="Total 5 6 3 2 2 3" xfId="9665"/>
    <cellStyle name="Total 5 6 3 2 3" xfId="3965"/>
    <cellStyle name="Total 5 6 3 2 3 2" xfId="7385"/>
    <cellStyle name="Total 5 6 3 2 3 2 2" xfId="14225"/>
    <cellStyle name="Total 5 6 3 2 3 3" xfId="10805"/>
    <cellStyle name="Total 5 6 3 2 4" xfId="5105"/>
    <cellStyle name="Total 5 6 3 2 4 2" xfId="11945"/>
    <cellStyle name="Total 5 6 3 2 5" xfId="8525"/>
    <cellStyle name="Total 5 6 3 3" xfId="2346"/>
    <cellStyle name="Total 5 6 3 3 2" xfId="5766"/>
    <cellStyle name="Total 5 6 3 3 2 2" xfId="12606"/>
    <cellStyle name="Total 5 6 3 3 3" xfId="9186"/>
    <cellStyle name="Total 5 6 3 4" xfId="3486"/>
    <cellStyle name="Total 5 6 3 4 2" xfId="6906"/>
    <cellStyle name="Total 5 6 3 4 2 2" xfId="13746"/>
    <cellStyle name="Total 5 6 3 4 3" xfId="10326"/>
    <cellStyle name="Total 5 6 3 5" xfId="4626"/>
    <cellStyle name="Total 5 6 3 5 2" xfId="11466"/>
    <cellStyle name="Total 5 6 3 6" xfId="8046"/>
    <cellStyle name="Total 5 6 3 7" xfId="61933"/>
    <cellStyle name="Total 5 6 3 8" xfId="62389"/>
    <cellStyle name="Total 5 6 4" xfId="38444"/>
    <cellStyle name="Total 5 6 5" xfId="60630"/>
    <cellStyle name="Total 5 6 6" xfId="60631"/>
    <cellStyle name="Total 5 6 7" xfId="60632"/>
    <cellStyle name="Total 5 6 8" xfId="61201"/>
    <cellStyle name="Total 5 7" xfId="1127"/>
    <cellStyle name="Total 5 7 2" xfId="1749"/>
    <cellStyle name="Total 5 7 2 2" xfId="2889"/>
    <cellStyle name="Total 5 7 2 2 2" xfId="6309"/>
    <cellStyle name="Total 5 7 2 2 2 2" xfId="13149"/>
    <cellStyle name="Total 5 7 2 2 3" xfId="9729"/>
    <cellStyle name="Total 5 7 2 3" xfId="4029"/>
    <cellStyle name="Total 5 7 2 3 2" xfId="7449"/>
    <cellStyle name="Total 5 7 2 3 2 2" xfId="14289"/>
    <cellStyle name="Total 5 7 2 3 3" xfId="10869"/>
    <cellStyle name="Total 5 7 2 4" xfId="5169"/>
    <cellStyle name="Total 5 7 2 4 2" xfId="12009"/>
    <cellStyle name="Total 5 7 2 5" xfId="8589"/>
    <cellStyle name="Total 5 7 3" xfId="1941"/>
    <cellStyle name="Total 5 7 3 2" xfId="5361"/>
    <cellStyle name="Total 5 7 3 2 2" xfId="12201"/>
    <cellStyle name="Total 5 7 3 3" xfId="8781"/>
    <cellStyle name="Total 5 7 4" xfId="3081"/>
    <cellStyle name="Total 5 7 4 2" xfId="6501"/>
    <cellStyle name="Total 5 7 4 2 2" xfId="13341"/>
    <cellStyle name="Total 5 7 4 3" xfId="9921"/>
    <cellStyle name="Total 5 7 5" xfId="4221"/>
    <cellStyle name="Total 5 7 5 2" xfId="11061"/>
    <cellStyle name="Total 5 7 6" xfId="7641"/>
    <cellStyle name="Total 5 7 7" xfId="61872"/>
    <cellStyle name="Total 5 7 8" xfId="62333"/>
    <cellStyle name="Total 5 8" xfId="38200"/>
    <cellStyle name="Total 5 9" xfId="60633"/>
    <cellStyle name="Total 6" xfId="60634"/>
    <cellStyle name="Total 6 2" xfId="60635"/>
    <cellStyle name="Total 6 2 2" xfId="61836"/>
    <cellStyle name="Total 6 3" xfId="60636"/>
    <cellStyle name="Total 6 4" xfId="61495"/>
    <cellStyle name="Total 7" xfId="60637"/>
    <cellStyle name="Total 8" xfId="60638"/>
    <cellStyle name="Total 9" xfId="60639"/>
    <cellStyle name="Valn" xfId="60640"/>
    <cellStyle name="Valn 2" xfId="60641"/>
    <cellStyle name="Valn 2 2" xfId="60642"/>
    <cellStyle name="Valn 3" xfId="60643"/>
    <cellStyle name="ValNum" xfId="60644"/>
    <cellStyle name="Warning Text 2" xfId="45"/>
    <cellStyle name="Warning Text 3" xfId="650"/>
    <cellStyle name="_x0007_ଘƦ" xfId="60645"/>
    <cellStyle name="_x0007_ଘƦ 2" xfId="60646"/>
  </cellStyles>
  <dxfs count="17">
    <dxf>
      <fill>
        <patternFill>
          <bgColor theme="5"/>
        </patternFill>
      </fill>
    </dxf>
    <dxf>
      <fill>
        <patternFill>
          <bgColor theme="5"/>
        </patternFill>
      </fill>
    </dxf>
    <dxf>
      <fill>
        <patternFill>
          <bgColor theme="9" tint="0.39994506668294322"/>
        </patternFill>
      </fill>
    </dxf>
    <dxf>
      <fill>
        <patternFill>
          <bgColor theme="6"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CCFFCC"/>
      <color rgb="FFFFFF99"/>
      <color rgb="FFFFCC99"/>
      <color rgb="FFFF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66" Type="http://schemas.openxmlformats.org/officeDocument/2006/relationships/externalLink" Target="externalLinks/externalLink41.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87" Type="http://schemas.openxmlformats.org/officeDocument/2006/relationships/externalLink" Target="externalLinks/externalLink62.xml"/><Relationship Id="rId102" Type="http://schemas.openxmlformats.org/officeDocument/2006/relationships/externalLink" Target="externalLinks/externalLink77.xml"/><Relationship Id="rId110" Type="http://schemas.openxmlformats.org/officeDocument/2006/relationships/styles" Target="styles.xml"/><Relationship Id="rId115"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13"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theme" Target="theme/theme1.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19049</xdr:colOff>
      <xdr:row>11</xdr:row>
      <xdr:rowOff>142876</xdr:rowOff>
    </xdr:from>
    <xdr:to>
      <xdr:col>12</xdr:col>
      <xdr:colOff>47624</xdr:colOff>
      <xdr:row>18</xdr:row>
      <xdr:rowOff>85726</xdr:rowOff>
    </xdr:to>
    <xdr:sp macro="" textlink="">
      <xdr:nvSpPr>
        <xdr:cNvPr id="2" name="TextBox 1"/>
        <xdr:cNvSpPr txBox="1"/>
      </xdr:nvSpPr>
      <xdr:spPr>
        <a:xfrm>
          <a:off x="333374" y="1476376"/>
          <a:ext cx="6734175" cy="1276350"/>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model is published by Monitor for the purposes of the engagement on the proposals for the National Tariff for 2016/17, to provide stakeholders with information about the proposed method for calculating national prices for that year and to enable stakeholders to respond to those proposals.  The model, and the draft prices derived from this model, are illustrative only; in particular, there may be changes to the model and to the prices which appear in the final proposals to be published in Autumn for the purposes of the statutory consultation.  Monitor shall not accept any responsibility or liability in respect of the contents or use of the model or the draft prices.”</a:t>
          </a:r>
        </a:p>
        <a:p>
          <a:endParaRPr lang="en-GB">
            <a:effectLst/>
          </a:endParaRPr>
        </a:p>
      </xdr:txBody>
    </xdr:sp>
    <xdr:clientData/>
  </xdr:twoCellAnchor>
  <xdr:oneCellAnchor>
    <xdr:from>
      <xdr:col>0</xdr:col>
      <xdr:colOff>0</xdr:colOff>
      <xdr:row>0</xdr:row>
      <xdr:rowOff>0</xdr:rowOff>
    </xdr:from>
    <xdr:ext cx="1895762" cy="1217635"/>
    <xdr:pic>
      <xdr:nvPicPr>
        <xdr:cNvPr id="3" name="Picture 2" descr="http://www.nhs.uk/NHSEngland/thenhs/healthregulators/PublishingImages/2013/monitor_328x21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5762" cy="1217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PA\PES1\DATA\SAR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connect2.monitor-nhsft.gov.uk/sites/PricingDelivery/MonitorDocumentLibrary/Model%2015_16/Draft%20prices%20for%20Experts/Maternity%20-%20Draft%20prices%20for%20Experts%2015-16%20-%20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nts%20and%20Settings\simon.mackinnon\Local%20Settings\Temp\simon\NHS%20LSP%20services\Rate\Documents%20and%20Settings\trevor_bethune_ellin\Desktop\ISC%20FY03%20Base%20Plan%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fo.doh.gov.uk/doh/finman.nsf/43688bfc283452240025672800548958/1955847f268c019900256a2200561025/$FILE/Accounts%202006-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ata\notes99D109\DOCUME~1\Ksahota\LOCALS~1\Temp\notes0CCE18\SmartView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AY\PayModelMarch07\PAY%20BILL%20MODEL%202005-06%20-%20CSR%20version%20070302%20(WI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ata\Helen%20Skinner\Cts\Deals\Nhs\OBS%202\Overall%20Pricing\27th%20Sept\OBS2%20CTA%20V1.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WINDOWS\TEMP\p.notes.data\GAD%20population%20projection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International%20Division\Overseas%20Health%20Care\X-System\Dump2%2024-07-07\SystemSpecTemplate%2024-07-07%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ata\notes99D109\DATA\DHFMR%20cod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OCUME~1\pweare\LOCALS~1\Temp\notes99D109\Draft%20intel%20sheet%20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notes99D109\Data\notes0CCE18\Department%20of%20Health%20function%20map%202011-12%20to%202012-13%20v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GROUPS\Fianci'l.acc\CAPITAL\CAPITAL%20TEAM\2005_06\PDC\PDC%20-%20906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OCUME~1\pweare\LOCALS~1\Temp\notes99D109\727_2007-2008P07_Y29_Q29_A18_ALB%20P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OCUME~1\pweare\LOCALS~1\Temp\p.notes.data\DH%20new%20Event%2012%20correc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Non%20Clinical%20-%20CS%20COO%20CD\Corporate%20Services\Business%20Plans\0405BusPlans\Perf%20Dir\IT\IT%20Detailed%20Bus%20Plan%20V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LocalData\IAT\Macro\FID_IAT_Process_Returns_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Helen%20Skinner\Cts\Deals\Nhs\OBS%202\Overall%20Pricing\27th%20Sept\Briefing%20pack%20V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OCUME~1\pweare\LOCALS~1\Temp\notes99D109\Data\&#163;50m%20pro%20rata%20to%20PCT%202002_03%20allocations.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Current%20PCTs%20and%20New%20Configuration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FM\FCR\2010-11\Reporting%202010-11\Reporting\Bubble%20charts\Bubble%20chart%20Month%20draft%20accounts%20v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08.09%20DHFC%20Cascade%20&amp;%20Other%20Budget%20Adjs%20Maste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FM\VOTE\2007-08\Cascade%20Master\DHFC%20Cascade%2014%20August%20(Cascade%2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FID%20FM\2007-08\EYF%20and%20Resource%20account\2007-08%20Resource%20Account\Philippa's%20Recs\2007-08%20stage%203%20Schedule%20(received%2024%20July%2020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FID-RAMA\Accounting%20Processes\Accounts\SUMACCS\2010-11\PCT\Q4%20-%20Audited%20Accounts\2010-11%20Q4%20PCT%20SummAcc%20v2%20(Audited%20Data%20ResAcc).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1\slam\LOCALS~1\Temp\p.notes.data\2006-07%20Finance%20Report%20Month1%20worki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1\jhaworth\LOCALS~1\Temp\notes99D109\~336405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FM\VOTE\2008-09\Performance%20Committee\Month%2011\2008-09%20P11%20First%20Cut%20Repo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FID-RAMA\BRANCH\HFM\HFM%20RESACCPROD%202010-11\Smartview\P09\PCT_SV%20Q3%2025-01-11%20RESACCPROD.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Lookup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FPAEIG\RPA%202\Monitoring%20controls\Finance%20-%20Final%20accounts\PCT%20Summarised%20Account%2020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Central%20Budgets\DISPO%202008-09%20(FM%20&amp;%20RPA)%20joint\Copy%20of%202008CCEsv2_ProvisionalFor%2008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FM\Resource%20Accounts\2009-10\OVERALL%20RA%20CHECK%20V1.7%20S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RAFT2\Rev03\Unified%20Allocations\Components\2003HCH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Data\notes99D109\FM\Resource%20Accounts\2009-10\OVERALL%20RA%20CHECK%20V1.7%20S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FID%20FM\2007-08\EYF%20and%20Resource%20account\2007-08%20Resource%20Account\2007-08%20DOH%20Schedule%20(received%2018%20July%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DHFC\SMA\2010-11%20Reporting\M05%20AUG-10\Working%20Sheet-Expand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LB%20Change%20Programme\02%20Finance\Budgets%202009-10\2009-10%20Budget%20Letters\2009-10%20Indicative%20Budget%20Letters%20-%20Oct%2008\2009-10%20Indicative%20Annex%20As%20V9%2017.02.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HFC\SMA\2007-08%20Reporting\FISC%20-%20CMB%20Dec%2007\40-70%20month%208%20detail%20wip-test%20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OCUME~1\pweare\LOCALS~1\Temp\p.notes.data\2007-08%20M04%20First%20Cut%20Repor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New%20DAT\Workforce\Pay%20and%20Earnings\Pay%20bill%20modelling\200607%20Paybill%20Model\PAY%20BILL%20MODEL%202006-07%20070914%20(WI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Fpa\Pes4\SR%202002\commissioning%20tables\Templates%2012072001\Sheila%20Adamv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FCIA4A\FR\FULLDATA\TFRs%209899\Unprotected%20TFR.XLW"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dh.gov.uk/FID-RAMA/09-10%20Resource%20Account%20Planning/Year%20End/Issues%20Log/10.06.17_Schedule%20of%20errors%20and%20disclosure%20changes.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CARP\ART%20(Analysis%20and%20Reporting%20Team)\Monthly%20Report\MR%202006-07\MR%20July%2006\Draft\MR_Jul06_Draft060908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FM\VOTE\2006-07\FISC\20%20June%202007%20FISC\May%20Waterfall%20templat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FM\VOTE\2007-08\Cascade%20Master\DHFC%20Cascade%2010%20July%20(Cascade%2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FID-RAMA\RAMA3\Monitoring%20JOINT%20NHS%20Monitoring%20&amp;%20Analysis\2006-07\Month%207\Analysis\NHS\PCT%20mappe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FM\VOTE\2009-10\Cascades\09.10%20Cascade%20Master%20-%20draft%20v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FPAEIG\RPA%202\Public%20Expenditure%20Inquiry%20-%20PEI\PEI%202005\Written%20responses\Master%20document%20-%20committee%20version\HSC%20PEI2005%20Q%203.8.5(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ata\notes99D109\FPAEIG\RPA%204\All%20Key%20Docs\Dispo\Waterfall0708\Data\&#163;50m%20pro%20rata%20to%20PCT%202002_03%20allocation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DOCUME~1\jguest\LOCALS~1\Temp\P.NOTES.DATA\post%20submission\12febsubmission\CNWL_v1.3.2.1_master%20cop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Macros%20Masters%20Safe\IAT%20Statement%20Report%20Data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T3-PCAccess-Gener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Redirected\Marek.Zyskowski\Desktop\dh_13114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1\Arayasat\LOCALS~1\Temp\p.notes.data\September%20Report%20-%20Efficiency.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sites\PricingDelivery\MonitorDocumentLibrary\Model%2013_14\Model%20re-run\13_14_Validation_5_11_Models\Non_Mandatory\Non-Mandatory%20Validation%20201314.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chona.labor\AppData\Local\Microsoft\Windows\Temporary%20Internet%20Files\Content.Outlook\WFBA96HE\Testing\Validation%20template.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FM\CFISSA%20-%20CFS%20-%20PSS\2007-08%20Central%20Programmes\DHFC%20Central%20Budgets\Vista%20Cascade\07.08%20DHFC%20Confirmed%20Available%20Resources%20Master.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sites\PricingDelivery\MonitorDocumentLibrary\Model%2015_16\Draft%2015-16%20prices\5-11%20prices\Non-Mandatory\Non-Mandatory%2020151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connect2.monitor-nhsft.gov.uk/sites/PricingDelivery/MonitorDocumentLibrary/Model%2015_16/Draft%2015-16%20prices/5-11%20prices/Unbundled%202015-16/Model%20Structure/2015-16%20Unbundled%20Draft%20Final_June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New%20DAT\Workforce\Pay%20and%20Earnings\Pay%20bill%20modelling\Paybill%20queries\CSR\PAY%20BILL%20MODEL%202004-05%20(variable%20WF%20for%20CSR)%200612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sites\PricingDelivery\MonitorDocumentLibrary\Model%2013_14\Model%20re-run\13_14_Validation_5_11_Models\Best%20Practice\01_BPT%20Calculations%20(road%20test)_Validation_3.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connect2.monitor-nhsft.gov.uk/sites/PricingDelivery/MonitorDocumentLibrary/Model%2015_16/Live%20models/15-16%20BPT%20model.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FPAEIG\RPA%204\All%20Key%20Docs\Key%20Data\FLuPandemic\PICCS%20Financial%20Model%20Report%20v1.1%20-%20COP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DOCUME~1\began\LOCALS~1\Temp\notes99D109\~750916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DOCUME~1\pweare\LOCALS~1\Temp\p.notes.data\MR_June_0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F1A\BASELINE\99V2\Tally%2099%20for%20R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F1B\Nigel\99\sitrep%2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FM\PROVIDER\2001-02\FMS2001\In%20year%20form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LocalData\All%20England\Macro\Central%20Budgets%20All%20Englan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asisdata3\homedirs\Knoxr\CSR07%20models\Sauce%20archive\Barnett%20June%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nts%20and%20Settings\trevor_bethune_ellin\Desktop\ISC%20FY03%20Base%20Plan%2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NHS%20Finances\NHS%20Allocations\RLA%20CLA%20Templates\BMS%20Templates\BMS%20-%2008.09%20RLA%20CLA%20Template%20-%20V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RAFT2\REV99\SPECIAL\SPECI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FM\VOTE\2006-07\Winter%202006-07\Baseline%20November%202006%20v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connect2.monitor-nhsft.gov.uk/Documents%20and%20Settings/philippa.galloway/Desktop/BoB%202010-11/Completed%20Forms/Communications/BOB%20data%20collection%20-%20Comm%202010%20v5%20261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coins.gsi.gov.uk/Report_Templates/SDS_Prd/TRANSAC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WP"/>
      <sheetName val="#REF"/>
      <sheetName val="Dnurse"/>
      <sheetName val="ComPsy"/>
      <sheetName val="Exclusions"/>
    </sheetNames>
    <sheetDataSet>
      <sheetData sheetId="0" refreshError="1">
        <row r="1">
          <cell r="C1" t="str">
            <v>NET Figures - Based on the 20 May 1998 Wallpaper</v>
          </cell>
        </row>
      </sheetData>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gt;&gt;"/>
      <sheetName val="14_15_Adjustments"/>
      <sheetName val="Activity_Input_Sheet"/>
      <sheetName val="Prices_Input_Sheet"/>
      <sheetName val="Output_for_IA_Affordability"/>
      <sheetName val="Overall Uplift_14_15"/>
      <sheetName val="RC_TO_LP_Mapping"/>
      <sheetName val="Calculation&gt;&gt;"/>
      <sheetName val="Delivery_Mapping_Price_YOY"/>
      <sheetName val="NonDelivery_AVG_Price"/>
      <sheetName val="Post_Processing"/>
      <sheetName val="Outputs&gt;&gt;"/>
      <sheetName val="01. APC &amp; OPROC"/>
      <sheetName val="Price Adjustments"/>
      <sheetName val="05. Maternity_Prices"/>
      <sheetName val="Linked Sheet"/>
      <sheetName val="Delivery HRGs"/>
      <sheetName val="Prior year tariffs&gt;&gt;&gt;"/>
      <sheetName val="05. Maternity Pathway_1314"/>
      <sheetName val="05. Maternity Pathway_1415"/>
      <sheetName val="Non-mandatory prices_14_15"/>
      <sheetName val="Currency change sheet"/>
      <sheetName val="05. Maternity_Prices (old)"/>
    </sheetNames>
    <sheetDataSet>
      <sheetData sheetId="0"/>
      <sheetData sheetId="1">
        <row r="44">
          <cell r="C44">
            <v>-0.04</v>
          </cell>
        </row>
        <row r="45">
          <cell r="C45">
            <v>2.0799999999999999E-2</v>
          </cell>
        </row>
        <row r="91">
          <cell r="C91">
            <v>2.8267565859709833E-2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anges FY '03 Plan"/>
      <sheetName val="Scenarios"/>
      <sheetName val="INPUT"/>
      <sheetName val="Rate Card"/>
      <sheetName val="Summary"/>
      <sheetName val="Detail Plan"/>
      <sheetName val="Calendar year Summary Plan  (3)"/>
      <sheetName val="Inflators"/>
      <sheetName val="BP Assumptions"/>
      <sheetName val="Assumption Inputs"/>
      <sheetName val="Calendar year Sum Plan (by ind)"/>
      <sheetName val="Calendar year Summary Plan"/>
      <sheetName val="Calendar year Summary Plan (2)"/>
      <sheetName val="Calendar year Sum Plan (BY Hour"/>
      <sheetName val="Sheet1"/>
      <sheetName val="Business Practises Personnel"/>
      <sheetName val="Graph Data"/>
      <sheetName val="Headcount &amp; Payroll"/>
      <sheetName val="Recruiting &amp; Training"/>
      <sheetName val="Business Practises Recruitment"/>
      <sheetName val="People Costs"/>
      <sheetName val="GSS Costs"/>
      <sheetName val="Facility Costs"/>
      <sheetName val="Control"/>
      <sheetName val="SENSITIVITY"/>
      <sheetName val="GSS"/>
      <sheetName val="ice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J7">
            <v>47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age 1 - I &amp; E"/>
      <sheetName val="Page 2 - Note to I&amp;E"/>
      <sheetName val="Page 3 - Bal Sht"/>
      <sheetName val="Page4 - STRGL"/>
      <sheetName val="Page 5 - Cashflow"/>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NHSLA02 - Commentary"/>
      <sheetName val="NHSLA04 - I&amp;E Budget Profile"/>
      <sheetName val="Vista SHA-PCT Ini"/>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PCT01"/>
      <sheetName val="Notes"/>
      <sheetName val="Sheet3"/>
      <sheetName val="Cover Sheet"/>
      <sheetName val="Ref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bill Status"/>
      <sheetName val="CSR pay table"/>
      <sheetName val="Interactive WF input"/>
      <sheetName val="Interactive inputs &amp; results"/>
      <sheetName val="Annex results (pay metrics)"/>
      <sheetName val="Drift outputs (a)"/>
      <sheetName val="Drift outputs (b)"/>
      <sheetName val="Calculations"/>
      <sheetName val="Baseline WF scenarios"/>
      <sheetName val="Baseline &amp; default assumptions"/>
      <sheetName val="drift calc"/>
      <sheetName val="Developer notes"/>
      <sheetName val="By CC"/>
    </sheetNames>
    <sheetDataSet>
      <sheetData sheetId="0"/>
      <sheetData sheetId="1"/>
      <sheetData sheetId="2" refreshError="1"/>
      <sheetData sheetId="3"/>
      <sheetData sheetId="4" refreshError="1"/>
      <sheetData sheetId="5"/>
      <sheetData sheetId="6"/>
      <sheetData sheetId="7"/>
      <sheetData sheetId="8"/>
      <sheetData sheetId="9" refreshError="1"/>
      <sheetData sheetId="10"/>
      <sheetData sheetId="1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pprovals Package &gt;&gt;"/>
      <sheetName val="1 Bus Case Summ"/>
      <sheetName val="2 Fin Analysis"/>
      <sheetName val="3 TCB Summ"/>
      <sheetName val="4 ACN Corp View"/>
      <sheetName val="5 ACN Mgt View"/>
      <sheetName val="6 ACN Mgt Fcst"/>
      <sheetName val="Workings &gt;&gt;"/>
      <sheetName val="WK1 Key Assumpt"/>
      <sheetName val="WK2 Bill-Exp Inputs"/>
      <sheetName val="WK3 Rev Rec Inputs"/>
      <sheetName val="WK4 Cap Ex Inputs"/>
      <sheetName val="WK5 Tax Cash Pay Inputs"/>
      <sheetName val="WK6 Risk Adj Inputs"/>
      <sheetName val="WK7 TCB Inputs"/>
      <sheetName val="WK8 Term Provisions"/>
      <sheetName val="WK9 Affil Share Inputs"/>
      <sheetName val="WK10 Cap Bal Det"/>
      <sheetName val="WK11 GAAP IS Detail"/>
      <sheetName val="WK12 GAAP BS Detail"/>
      <sheetName val="WK13 EVA Detail"/>
      <sheetName val="WK14 Yr 1-3 Metrics Source Info"/>
      <sheetName val="WK15 DSO Calc"/>
      <sheetName val="WK16 Seat Capital Costs"/>
      <sheetName val="WK17 Error Checker"/>
      <sheetName val="By CC"/>
    </sheetNames>
    <sheetDataSet>
      <sheetData sheetId="0" refreshError="1"/>
      <sheetData sheetId="1" refreshError="1"/>
      <sheetData sheetId="2" refreshError="1"/>
      <sheetData sheetId="3" refreshError="1">
        <row r="11">
          <cell r="W11">
            <v>37500</v>
          </cell>
          <cell r="X11">
            <v>37530</v>
          </cell>
          <cell r="Y11">
            <v>37561</v>
          </cell>
          <cell r="Z11">
            <v>37591</v>
          </cell>
          <cell r="AA11">
            <v>37622</v>
          </cell>
          <cell r="AB11">
            <v>37653</v>
          </cell>
          <cell r="AC11">
            <v>37681</v>
          </cell>
          <cell r="AD11">
            <v>37712</v>
          </cell>
          <cell r="AE11">
            <v>37742</v>
          </cell>
          <cell r="AF11">
            <v>37773</v>
          </cell>
          <cell r="AG11">
            <v>37803</v>
          </cell>
          <cell r="AH11">
            <v>37834</v>
          </cell>
          <cell r="AI11">
            <v>37865</v>
          </cell>
          <cell r="AJ11">
            <v>37895</v>
          </cell>
          <cell r="AK11">
            <v>37926</v>
          </cell>
          <cell r="AL11">
            <v>37956</v>
          </cell>
          <cell r="AM11">
            <v>37987</v>
          </cell>
          <cell r="AN11">
            <v>38018</v>
          </cell>
          <cell r="AO11">
            <v>38047</v>
          </cell>
          <cell r="AP11">
            <v>38078</v>
          </cell>
          <cell r="AQ11">
            <v>38108</v>
          </cell>
          <cell r="AR11">
            <v>38139</v>
          </cell>
          <cell r="AS11">
            <v>38169</v>
          </cell>
          <cell r="AT11">
            <v>38200</v>
          </cell>
          <cell r="AU11">
            <v>38231</v>
          </cell>
          <cell r="AV11">
            <v>38261</v>
          </cell>
          <cell r="AW11">
            <v>38292</v>
          </cell>
          <cell r="AX11">
            <v>38322</v>
          </cell>
          <cell r="AY11">
            <v>38353</v>
          </cell>
          <cell r="AZ11">
            <v>38384</v>
          </cell>
          <cell r="BA11">
            <v>38412</v>
          </cell>
          <cell r="BB11">
            <v>38443</v>
          </cell>
          <cell r="BC11">
            <v>38473</v>
          </cell>
          <cell r="BD11">
            <v>38504</v>
          </cell>
          <cell r="BE11">
            <v>38534</v>
          </cell>
          <cell r="BF11">
            <v>38565</v>
          </cell>
          <cell r="BG11">
            <v>38596</v>
          </cell>
          <cell r="BH11">
            <v>38626</v>
          </cell>
          <cell r="BI11">
            <v>38657</v>
          </cell>
          <cell r="BJ11">
            <v>38687</v>
          </cell>
          <cell r="BK11">
            <v>38718</v>
          </cell>
          <cell r="BL11">
            <v>38749</v>
          </cell>
          <cell r="BM11">
            <v>38777</v>
          </cell>
          <cell r="BN11">
            <v>38808</v>
          </cell>
          <cell r="BO11">
            <v>38838</v>
          </cell>
          <cell r="BP11">
            <v>38869</v>
          </cell>
          <cell r="BQ11">
            <v>38899</v>
          </cell>
          <cell r="BR11">
            <v>38930</v>
          </cell>
          <cell r="BS11">
            <v>38961</v>
          </cell>
          <cell r="BT11">
            <v>38991</v>
          </cell>
          <cell r="BU11">
            <v>39022</v>
          </cell>
          <cell r="BV11">
            <v>39052</v>
          </cell>
          <cell r="BW11">
            <v>39083</v>
          </cell>
          <cell r="BX11">
            <v>39114</v>
          </cell>
          <cell r="BY11">
            <v>39142</v>
          </cell>
          <cell r="BZ11">
            <v>39173</v>
          </cell>
          <cell r="CA11">
            <v>39203</v>
          </cell>
          <cell r="CB11">
            <v>39234</v>
          </cell>
          <cell r="CC11">
            <v>39264</v>
          </cell>
          <cell r="CD11">
            <v>39295</v>
          </cell>
          <cell r="CE11">
            <v>39326</v>
          </cell>
          <cell r="CF11">
            <v>39356</v>
          </cell>
          <cell r="CG11">
            <v>39387</v>
          </cell>
          <cell r="CH11">
            <v>39417</v>
          </cell>
          <cell r="CI11">
            <v>39448</v>
          </cell>
          <cell r="CJ11">
            <v>39479</v>
          </cell>
          <cell r="CK11">
            <v>39508</v>
          </cell>
          <cell r="CL11">
            <v>39539</v>
          </cell>
          <cell r="CM11">
            <v>39569</v>
          </cell>
          <cell r="CN11">
            <v>39600</v>
          </cell>
          <cell r="CO11">
            <v>39630</v>
          </cell>
          <cell r="CP11">
            <v>39661</v>
          </cell>
          <cell r="CQ11">
            <v>39692</v>
          </cell>
          <cell r="CR11">
            <v>39722</v>
          </cell>
          <cell r="CS11">
            <v>39753</v>
          </cell>
          <cell r="CT11">
            <v>39783</v>
          </cell>
          <cell r="CU11">
            <v>39814</v>
          </cell>
          <cell r="CV11">
            <v>39845</v>
          </cell>
          <cell r="CW11">
            <v>39873</v>
          </cell>
          <cell r="CX11">
            <v>39904</v>
          </cell>
          <cell r="CY11">
            <v>39934</v>
          </cell>
          <cell r="CZ11">
            <v>39965</v>
          </cell>
          <cell r="DA11">
            <v>39995</v>
          </cell>
          <cell r="DB11">
            <v>40026</v>
          </cell>
          <cell r="DC11">
            <v>40057</v>
          </cell>
          <cell r="DD11">
            <v>40087</v>
          </cell>
          <cell r="DE11">
            <v>40118</v>
          </cell>
          <cell r="DF11">
            <v>40148</v>
          </cell>
          <cell r="DG11">
            <v>40179</v>
          </cell>
          <cell r="DH11">
            <v>40210</v>
          </cell>
          <cell r="DI11">
            <v>40238</v>
          </cell>
          <cell r="DJ11">
            <v>40269</v>
          </cell>
          <cell r="DK11">
            <v>40299</v>
          </cell>
          <cell r="DL11">
            <v>40330</v>
          </cell>
          <cell r="DM11">
            <v>40360</v>
          </cell>
          <cell r="DN11">
            <v>40391</v>
          </cell>
          <cell r="DO11">
            <v>40422</v>
          </cell>
          <cell r="DP11">
            <v>40452</v>
          </cell>
          <cell r="DQ11">
            <v>40483</v>
          </cell>
          <cell r="DR11">
            <v>40513</v>
          </cell>
          <cell r="DS11">
            <v>40544</v>
          </cell>
          <cell r="DT11">
            <v>40575</v>
          </cell>
          <cell r="DU11">
            <v>40603</v>
          </cell>
          <cell r="DV11">
            <v>40634</v>
          </cell>
          <cell r="DW11">
            <v>40664</v>
          </cell>
          <cell r="DX11">
            <v>40695</v>
          </cell>
          <cell r="DY11">
            <v>40725</v>
          </cell>
          <cell r="DZ11">
            <v>40756</v>
          </cell>
          <cell r="EA11">
            <v>40787</v>
          </cell>
          <cell r="EB11">
            <v>40817</v>
          </cell>
          <cell r="EC11">
            <v>40848</v>
          </cell>
          <cell r="ED11">
            <v>40878</v>
          </cell>
          <cell r="EE11">
            <v>40909</v>
          </cell>
          <cell r="EF11">
            <v>40940</v>
          </cell>
          <cell r="EG11">
            <v>40969</v>
          </cell>
          <cell r="EH11">
            <v>41000</v>
          </cell>
          <cell r="EI11">
            <v>41030</v>
          </cell>
          <cell r="EJ11">
            <v>41061</v>
          </cell>
          <cell r="EK11">
            <v>41091</v>
          </cell>
          <cell r="EL11">
            <v>41122</v>
          </cell>
          <cell r="EM11">
            <v>41153</v>
          </cell>
          <cell r="EN11">
            <v>41183</v>
          </cell>
          <cell r="EO11">
            <v>41214</v>
          </cell>
          <cell r="EP11">
            <v>41244</v>
          </cell>
          <cell r="EQ11">
            <v>41275</v>
          </cell>
          <cell r="ER11">
            <v>41306</v>
          </cell>
          <cell r="ES11">
            <v>41334</v>
          </cell>
          <cell r="ET11">
            <v>41365</v>
          </cell>
          <cell r="EU11">
            <v>41395</v>
          </cell>
          <cell r="EV11">
            <v>41426</v>
          </cell>
          <cell r="EW11">
            <v>41456</v>
          </cell>
          <cell r="EX11">
            <v>41487</v>
          </cell>
        </row>
        <row r="32">
          <cell r="H32">
            <v>37865</v>
          </cell>
          <cell r="I32">
            <v>38232</v>
          </cell>
          <cell r="J32">
            <v>38598</v>
          </cell>
          <cell r="K32">
            <v>38964</v>
          </cell>
          <cell r="L32">
            <v>39330</v>
          </cell>
          <cell r="M32">
            <v>39697</v>
          </cell>
          <cell r="N32">
            <v>40063</v>
          </cell>
          <cell r="O32">
            <v>40429</v>
          </cell>
          <cell r="P32">
            <v>40795</v>
          </cell>
          <cell r="Q32">
            <v>41162</v>
          </cell>
          <cell r="R32">
            <v>41528</v>
          </cell>
        </row>
        <row r="46">
          <cell r="G46">
            <v>0.20744628028934051</v>
          </cell>
        </row>
        <row r="48">
          <cell r="G48">
            <v>32.919319974290708</v>
          </cell>
        </row>
      </sheetData>
      <sheetData sheetId="4" refreshError="1">
        <row r="7">
          <cell r="H7" t="str">
            <v>Qtr 1</v>
          </cell>
          <cell r="I7" t="str">
            <v>Qtr 2</v>
          </cell>
          <cell r="J7" t="str">
            <v>Qtr 3</v>
          </cell>
          <cell r="K7" t="str">
            <v>Qtr 4</v>
          </cell>
          <cell r="L7">
            <v>37865</v>
          </cell>
          <cell r="N7" t="str">
            <v>Qtr 1</v>
          </cell>
          <cell r="O7" t="str">
            <v>Qtr 2</v>
          </cell>
          <cell r="P7" t="str">
            <v>Qtr 3</v>
          </cell>
          <cell r="Q7" t="str">
            <v>Qtr 4</v>
          </cell>
          <cell r="R7">
            <v>38231</v>
          </cell>
          <cell r="T7">
            <v>38596</v>
          </cell>
          <cell r="U7">
            <v>38961</v>
          </cell>
          <cell r="V7">
            <v>39326</v>
          </cell>
          <cell r="AD7" t="str">
            <v>Checker</v>
          </cell>
        </row>
        <row r="9">
          <cell r="AD9">
            <v>0</v>
          </cell>
        </row>
        <row r="10">
          <cell r="AD10">
            <v>0</v>
          </cell>
        </row>
        <row r="11">
          <cell r="AD11">
            <v>0</v>
          </cell>
        </row>
        <row r="12">
          <cell r="AD12">
            <v>0</v>
          </cell>
        </row>
        <row r="13">
          <cell r="AD13">
            <v>0</v>
          </cell>
        </row>
        <row r="14">
          <cell r="AD14">
            <v>0</v>
          </cell>
        </row>
        <row r="17">
          <cell r="AD17">
            <v>0</v>
          </cell>
        </row>
        <row r="19">
          <cell r="AD19">
            <v>0</v>
          </cell>
        </row>
        <row r="21">
          <cell r="AD21">
            <v>0</v>
          </cell>
        </row>
        <row r="23">
          <cell r="AD23">
            <v>0</v>
          </cell>
        </row>
        <row r="24">
          <cell r="L24">
            <v>0</v>
          </cell>
          <cell r="Z24">
            <v>0</v>
          </cell>
        </row>
        <row r="27">
          <cell r="AD27">
            <v>0</v>
          </cell>
        </row>
        <row r="30">
          <cell r="AD30">
            <v>0</v>
          </cell>
        </row>
        <row r="31">
          <cell r="AD31">
            <v>0</v>
          </cell>
        </row>
        <row r="32">
          <cell r="AD32">
            <v>0</v>
          </cell>
        </row>
        <row r="33">
          <cell r="AD33">
            <v>0</v>
          </cell>
        </row>
        <row r="34">
          <cell r="AD34">
            <v>0</v>
          </cell>
        </row>
        <row r="35">
          <cell r="AD35">
            <v>0</v>
          </cell>
        </row>
        <row r="36">
          <cell r="AD36">
            <v>0</v>
          </cell>
        </row>
        <row r="37">
          <cell r="AD37">
            <v>0</v>
          </cell>
        </row>
        <row r="38">
          <cell r="AD38">
            <v>0</v>
          </cell>
        </row>
        <row r="41">
          <cell r="AD41">
            <v>0</v>
          </cell>
        </row>
        <row r="44">
          <cell r="AD44">
            <v>0</v>
          </cell>
        </row>
        <row r="48">
          <cell r="AD48">
            <v>0</v>
          </cell>
        </row>
      </sheetData>
      <sheetData sheetId="5" refreshError="1"/>
      <sheetData sheetId="6" refreshError="1">
        <row r="11">
          <cell r="G11" t="str">
            <v>Qtr 1</v>
          </cell>
          <cell r="H11" t="str">
            <v>Qtr 2</v>
          </cell>
          <cell r="I11" t="str">
            <v>Qtr 3</v>
          </cell>
          <cell r="J11" t="str">
            <v>Qtr 4</v>
          </cell>
          <cell r="K11">
            <v>37865</v>
          </cell>
          <cell r="M11" t="str">
            <v>Qtr 1</v>
          </cell>
          <cell r="N11" t="str">
            <v>Qtr 2</v>
          </cell>
          <cell r="O11" t="str">
            <v>Qtr 3</v>
          </cell>
          <cell r="P11" t="str">
            <v>Qtr 4</v>
          </cell>
          <cell r="Q11">
            <v>38231</v>
          </cell>
          <cell r="S11" t="str">
            <v>Qtr 1</v>
          </cell>
          <cell r="T11" t="str">
            <v>Qtr 2</v>
          </cell>
          <cell r="U11" t="str">
            <v>Qtr 3</v>
          </cell>
          <cell r="V11" t="str">
            <v>Qtr 4</v>
          </cell>
          <cell r="W11">
            <v>38596</v>
          </cell>
          <cell r="Y11" t="str">
            <v>Qtr 1</v>
          </cell>
          <cell r="Z11" t="str">
            <v>Qtr 2</v>
          </cell>
          <cell r="AA11" t="str">
            <v>Qtr 3</v>
          </cell>
          <cell r="AB11" t="str">
            <v>Qtr 4</v>
          </cell>
          <cell r="AC11">
            <v>38961</v>
          </cell>
          <cell r="AE11" t="str">
            <v>Qtr 1</v>
          </cell>
          <cell r="AF11" t="str">
            <v>Qtr 2</v>
          </cell>
          <cell r="AG11" t="str">
            <v>Qtr 3</v>
          </cell>
          <cell r="AH11" t="str">
            <v>Qtr 4</v>
          </cell>
          <cell r="AI11">
            <v>39326</v>
          </cell>
          <cell r="AQ11" t="str">
            <v>Checker</v>
          </cell>
        </row>
        <row r="14">
          <cell r="AM14">
            <v>2515466.0002044542</v>
          </cell>
          <cell r="AQ14">
            <v>0</v>
          </cell>
        </row>
        <row r="15">
          <cell r="AQ15">
            <v>0</v>
          </cell>
        </row>
        <row r="16">
          <cell r="AQ16">
            <v>0</v>
          </cell>
        </row>
        <row r="19">
          <cell r="K19">
            <v>0</v>
          </cell>
          <cell r="AM19">
            <v>0.22706244102087556</v>
          </cell>
        </row>
        <row r="21">
          <cell r="AQ21">
            <v>0</v>
          </cell>
        </row>
        <row r="26">
          <cell r="AQ26">
            <v>0</v>
          </cell>
        </row>
        <row r="28">
          <cell r="K28">
            <v>-4012.3680215706522</v>
          </cell>
          <cell r="AM28">
            <v>304578.77631775499</v>
          </cell>
          <cell r="AQ28">
            <v>0</v>
          </cell>
        </row>
        <row r="29">
          <cell r="K29">
            <v>0</v>
          </cell>
          <cell r="AM29">
            <v>0.12108244607281481</v>
          </cell>
        </row>
        <row r="31">
          <cell r="AQ31">
            <v>0</v>
          </cell>
        </row>
        <row r="32">
          <cell r="AQ32">
            <v>0</v>
          </cell>
        </row>
        <row r="33">
          <cell r="AQ33">
            <v>0</v>
          </cell>
        </row>
        <row r="35">
          <cell r="AQ35">
            <v>0</v>
          </cell>
        </row>
        <row r="37">
          <cell r="AQ37">
            <v>0</v>
          </cell>
        </row>
        <row r="40">
          <cell r="AQ40">
            <v>0</v>
          </cell>
        </row>
        <row r="42">
          <cell r="AQ42">
            <v>0</v>
          </cell>
        </row>
        <row r="51">
          <cell r="AQ51">
            <v>0</v>
          </cell>
        </row>
        <row r="54">
          <cell r="AQ54">
            <v>0</v>
          </cell>
        </row>
        <row r="55">
          <cell r="AQ55">
            <v>0</v>
          </cell>
        </row>
        <row r="59">
          <cell r="AQ59">
            <v>0</v>
          </cell>
        </row>
        <row r="60">
          <cell r="AQ60">
            <v>0</v>
          </cell>
        </row>
        <row r="68">
          <cell r="AQ68">
            <v>-2.6193447411060333E-10</v>
          </cell>
        </row>
        <row r="71">
          <cell r="AQ71">
            <v>0</v>
          </cell>
        </row>
        <row r="72">
          <cell r="AQ72">
            <v>0</v>
          </cell>
        </row>
        <row r="73">
          <cell r="AQ73">
            <v>0</v>
          </cell>
        </row>
        <row r="74">
          <cell r="AQ74">
            <v>0</v>
          </cell>
        </row>
        <row r="75">
          <cell r="AQ75">
            <v>0</v>
          </cell>
        </row>
        <row r="76">
          <cell r="AQ76">
            <v>0</v>
          </cell>
        </row>
        <row r="77">
          <cell r="AQ77">
            <v>0</v>
          </cell>
        </row>
        <row r="78">
          <cell r="AQ78">
            <v>0</v>
          </cell>
        </row>
        <row r="80">
          <cell r="AQ80">
            <v>-2.6193447411060333E-10</v>
          </cell>
        </row>
        <row r="95">
          <cell r="AQ95">
            <v>-2.9695002012886107E-10</v>
          </cell>
        </row>
        <row r="96">
          <cell r="AQ96">
            <v>0</v>
          </cell>
        </row>
      </sheetData>
      <sheetData sheetId="7" refreshError="1">
        <row r="10">
          <cell r="G10">
            <v>37865</v>
          </cell>
          <cell r="H10">
            <v>38231</v>
          </cell>
          <cell r="I10">
            <v>38596</v>
          </cell>
          <cell r="J10">
            <v>38961</v>
          </cell>
          <cell r="K10">
            <v>39326</v>
          </cell>
          <cell r="T10">
            <v>37865</v>
          </cell>
          <cell r="U10">
            <v>38231</v>
          </cell>
          <cell r="V10">
            <v>38596</v>
          </cell>
          <cell r="W10">
            <v>38961</v>
          </cell>
          <cell r="X10">
            <v>39326</v>
          </cell>
          <cell r="AE10" t="str">
            <v>Checker</v>
          </cell>
        </row>
        <row r="12">
          <cell r="AE12">
            <v>0</v>
          </cell>
        </row>
        <row r="13">
          <cell r="AE13">
            <v>0</v>
          </cell>
        </row>
        <row r="14">
          <cell r="AE14">
            <v>0</v>
          </cell>
        </row>
        <row r="15">
          <cell r="AE15">
            <v>0</v>
          </cell>
        </row>
        <row r="17">
          <cell r="AE17">
            <v>0</v>
          </cell>
        </row>
        <row r="18">
          <cell r="AE18">
            <v>0</v>
          </cell>
        </row>
        <row r="20">
          <cell r="AE20">
            <v>0</v>
          </cell>
        </row>
        <row r="21">
          <cell r="AE21">
            <v>0</v>
          </cell>
        </row>
        <row r="23">
          <cell r="AE23">
            <v>0</v>
          </cell>
        </row>
        <row r="24">
          <cell r="AE24">
            <v>0</v>
          </cell>
        </row>
        <row r="31">
          <cell r="G31">
            <v>37865</v>
          </cell>
          <cell r="H31">
            <v>38231</v>
          </cell>
          <cell r="I31">
            <v>38596</v>
          </cell>
          <cell r="J31">
            <v>38961</v>
          </cell>
          <cell r="K31">
            <v>39326</v>
          </cell>
          <cell r="T31">
            <v>37865</v>
          </cell>
          <cell r="U31">
            <v>38231</v>
          </cell>
          <cell r="V31">
            <v>38596</v>
          </cell>
          <cell r="W31">
            <v>38961</v>
          </cell>
          <cell r="X31">
            <v>39326</v>
          </cell>
        </row>
      </sheetData>
      <sheetData sheetId="8" refreshError="1"/>
      <sheetData sheetId="9" refreshError="1">
        <row r="9">
          <cell r="E9" t="str">
            <v>NHS</v>
          </cell>
          <cell r="G9" t="str">
            <v>Helen Skinner</v>
          </cell>
        </row>
        <row r="10">
          <cell r="E10" t="str">
            <v>LSP ICRS Implementation - OBS 2</v>
          </cell>
          <cell r="G10" t="str">
            <v xml:space="preserve"> </v>
          </cell>
        </row>
        <row r="11">
          <cell r="E11" t="str">
            <v>Government</v>
          </cell>
          <cell r="G11" t="str">
            <v>Rob Thornton</v>
          </cell>
        </row>
        <row r="12">
          <cell r="E12" t="str">
            <v>U.S. DOLLAR</v>
          </cell>
          <cell r="G12" t="str">
            <v>Authority to Submit (ATS)</v>
          </cell>
        </row>
        <row r="13">
          <cell r="E13">
            <v>37834</v>
          </cell>
        </row>
        <row r="14">
          <cell r="E14">
            <v>40543</v>
          </cell>
        </row>
        <row r="22">
          <cell r="G22" t="str">
            <v>UK Sovereign Debt</v>
          </cell>
        </row>
        <row r="23">
          <cell r="E23">
            <v>8.5000000000000006E-2</v>
          </cell>
        </row>
        <row r="24">
          <cell r="E24">
            <v>0.28999999999999998</v>
          </cell>
        </row>
        <row r="25">
          <cell r="E25">
            <v>8.5000000000000006E-2</v>
          </cell>
        </row>
        <row r="26">
          <cell r="E26">
            <v>8.5000000000000006E-2</v>
          </cell>
        </row>
        <row r="27">
          <cell r="E27">
            <v>8.5000000000000006E-2</v>
          </cell>
        </row>
        <row r="28">
          <cell r="E28">
            <v>8.5000000000000006E-2</v>
          </cell>
        </row>
        <row r="29">
          <cell r="E29">
            <v>8.5000000000000006E-2</v>
          </cell>
        </row>
        <row r="30">
          <cell r="E30">
            <v>0.18010824163842709</v>
          </cell>
        </row>
        <row r="33">
          <cell r="E33">
            <v>0.14000000000000001</v>
          </cell>
        </row>
        <row r="34">
          <cell r="E34">
            <v>30</v>
          </cell>
        </row>
        <row r="35">
          <cell r="E35">
            <v>0.18</v>
          </cell>
        </row>
        <row r="36">
          <cell r="E36">
            <v>30</v>
          </cell>
        </row>
        <row r="37">
          <cell r="E37">
            <v>7</v>
          </cell>
        </row>
        <row r="38">
          <cell r="E38">
            <v>0.31</v>
          </cell>
        </row>
        <row r="49">
          <cell r="P49" t="str">
            <v>ARAB EMIRATES DIRHAM</v>
          </cell>
        </row>
        <row r="50">
          <cell r="P50" t="str">
            <v>ARGENTINIAN PESO</v>
          </cell>
        </row>
        <row r="51">
          <cell r="P51" t="str">
            <v>AUSTRALIAN DOLLAR</v>
          </cell>
        </row>
        <row r="52">
          <cell r="P52" t="str">
            <v>BAHRAIN DINAR</v>
          </cell>
        </row>
        <row r="53">
          <cell r="P53" t="str">
            <v>BERMUDAN DOLLAR</v>
          </cell>
        </row>
        <row r="54">
          <cell r="P54" t="str">
            <v>BOLIVIAN PESO</v>
          </cell>
        </row>
        <row r="55">
          <cell r="P55" t="str">
            <v>BRAZILIAN REAL</v>
          </cell>
        </row>
        <row r="56">
          <cell r="P56" t="str">
            <v>BRIT. POUND STERLING</v>
          </cell>
        </row>
        <row r="57">
          <cell r="P57" t="str">
            <v>BRUNEIN DOLLAR</v>
          </cell>
        </row>
        <row r="58">
          <cell r="P58" t="str">
            <v>BULGARIAN LEV</v>
          </cell>
        </row>
        <row r="59">
          <cell r="P59" t="str">
            <v>CANADIAN DOLLAR</v>
          </cell>
        </row>
        <row r="60">
          <cell r="P60" t="str">
            <v>CFA FRANC</v>
          </cell>
        </row>
        <row r="61">
          <cell r="E61" t="str">
            <v>No separate billing stream</v>
          </cell>
          <cell r="P61" t="str">
            <v>CHILEAN PESO</v>
          </cell>
        </row>
        <row r="62">
          <cell r="P62" t="str">
            <v>CHIN. RENMINBI YUAN</v>
          </cell>
        </row>
        <row r="63">
          <cell r="E63" t="str">
            <v>System build so POC applied</v>
          </cell>
          <cell r="P63" t="str">
            <v>COLOMBIAN PESO</v>
          </cell>
        </row>
        <row r="64">
          <cell r="P64" t="str">
            <v>CROATIAN KUNA</v>
          </cell>
        </row>
        <row r="65">
          <cell r="P65" t="str">
            <v>CZECH KORUNA</v>
          </cell>
        </row>
        <row r="66">
          <cell r="P66" t="str">
            <v>DANISH KRONE</v>
          </cell>
        </row>
        <row r="67">
          <cell r="P67" t="str">
            <v>ECUADORIAN SUCRE</v>
          </cell>
        </row>
        <row r="68">
          <cell r="P68" t="str">
            <v>EGYPTIAN POUND</v>
          </cell>
        </row>
        <row r="69">
          <cell r="P69" t="str">
            <v>ESTONIAN KROON</v>
          </cell>
        </row>
        <row r="70">
          <cell r="E70" t="str">
            <v/>
          </cell>
          <cell r="P70" t="str">
            <v>EURO</v>
          </cell>
        </row>
        <row r="71">
          <cell r="P71" t="str">
            <v>GUATEMALAN QUETZAL</v>
          </cell>
        </row>
        <row r="72">
          <cell r="P72" t="str">
            <v>HONG KONG DOLLAR</v>
          </cell>
        </row>
        <row r="73">
          <cell r="P73" t="str">
            <v>HUNGARIAN FORINT</v>
          </cell>
        </row>
        <row r="74">
          <cell r="P74" t="str">
            <v>INDIAN RUPEE</v>
          </cell>
        </row>
        <row r="75">
          <cell r="P75" t="str">
            <v>INDONESIAN RUPIAH</v>
          </cell>
        </row>
        <row r="76">
          <cell r="P76" t="str">
            <v>ISRAELI SHEKEL</v>
          </cell>
        </row>
        <row r="77">
          <cell r="P77" t="str">
            <v>JAPANESE YEN</v>
          </cell>
        </row>
        <row r="78">
          <cell r="E78" t="str">
            <v/>
          </cell>
          <cell r="P78" t="str">
            <v>JORDANIAN DINAR</v>
          </cell>
        </row>
        <row r="79">
          <cell r="E79" t="str">
            <v/>
          </cell>
          <cell r="P79" t="str">
            <v>KUWAITI DINAR</v>
          </cell>
        </row>
        <row r="80">
          <cell r="E80" t="str">
            <v/>
          </cell>
          <cell r="P80" t="str">
            <v>LATVIAN LAT</v>
          </cell>
        </row>
        <row r="81">
          <cell r="E81" t="str">
            <v/>
          </cell>
          <cell r="P81" t="str">
            <v>LEBANESE POUND</v>
          </cell>
        </row>
        <row r="82">
          <cell r="E82" t="str">
            <v/>
          </cell>
          <cell r="P82" t="str">
            <v>LITHUANIAN  LITAS</v>
          </cell>
        </row>
        <row r="83">
          <cell r="P83" t="str">
            <v>MALAYSIAN RINGGIT</v>
          </cell>
        </row>
        <row r="84">
          <cell r="P84" t="str">
            <v>MAURITIUS RUPEE</v>
          </cell>
        </row>
        <row r="85">
          <cell r="P85" t="str">
            <v>MEXICAN PESO</v>
          </cell>
        </row>
        <row r="86">
          <cell r="P86" t="str">
            <v>MONGOLIAN TUGRIK</v>
          </cell>
        </row>
        <row r="87">
          <cell r="P87" t="str">
            <v>MOROCCAN DIRHAM</v>
          </cell>
        </row>
        <row r="88">
          <cell r="P88" t="str">
            <v>NET ANTILLES GUILDER</v>
          </cell>
        </row>
        <row r="89">
          <cell r="P89" t="str">
            <v>NEW POLISH ZLOTY</v>
          </cell>
        </row>
        <row r="90">
          <cell r="P90" t="str">
            <v>NEW TAIWAN DOLLAR</v>
          </cell>
        </row>
        <row r="91">
          <cell r="P91" t="str">
            <v>NEW ZEALAND DOLLAR</v>
          </cell>
        </row>
        <row r="92">
          <cell r="P92" t="str">
            <v>NIGERIAN NAIRA</v>
          </cell>
        </row>
        <row r="93">
          <cell r="P93" t="str">
            <v>NORWEGIAN KRONE</v>
          </cell>
        </row>
        <row r="94">
          <cell r="P94" t="str">
            <v>OMANI RIYAL</v>
          </cell>
        </row>
        <row r="95">
          <cell r="P95" t="str">
            <v>PANAMANIAN BALBOA</v>
          </cell>
        </row>
        <row r="96">
          <cell r="P96" t="str">
            <v>PERUVIAN NEW SOL</v>
          </cell>
        </row>
        <row r="97">
          <cell r="P97" t="str">
            <v>PHILIPPINE PESO</v>
          </cell>
        </row>
        <row r="98">
          <cell r="P98" t="str">
            <v>QATAR RIYAL</v>
          </cell>
        </row>
        <row r="99">
          <cell r="P99" t="str">
            <v>ROMANIAN LEU</v>
          </cell>
        </row>
        <row r="100">
          <cell r="P100" t="str">
            <v>SAUDI ARABIAN RIYAL</v>
          </cell>
        </row>
        <row r="101">
          <cell r="P101" t="str">
            <v>SINGAPORE DOLLAR</v>
          </cell>
        </row>
        <row r="102">
          <cell r="P102" t="str">
            <v>SLOVAK KORUNA</v>
          </cell>
        </row>
        <row r="103">
          <cell r="P103" t="str">
            <v>SOUTH AFRICAN RAND</v>
          </cell>
        </row>
        <row r="104">
          <cell r="P104" t="str">
            <v>SOUTH KOREAN WON</v>
          </cell>
        </row>
        <row r="105">
          <cell r="P105" t="str">
            <v>SWEDISH KRONA</v>
          </cell>
        </row>
        <row r="106">
          <cell r="P106" t="str">
            <v>SWISS FRANC</v>
          </cell>
        </row>
        <row r="107">
          <cell r="P107" t="str">
            <v>THAI BAHT</v>
          </cell>
        </row>
        <row r="108">
          <cell r="P108" t="str">
            <v>TURKISH LIRA</v>
          </cell>
        </row>
        <row r="109">
          <cell r="P109" t="str">
            <v>U.S. DOLLAR</v>
          </cell>
        </row>
        <row r="110">
          <cell r="P110" t="str">
            <v>VENEZUELAN BOLIVAR</v>
          </cell>
        </row>
        <row r="111">
          <cell r="P111" t="str">
            <v>VIETNAMESE DONG</v>
          </cell>
        </row>
      </sheetData>
      <sheetData sheetId="10"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95">
          <cell r="H95">
            <v>0</v>
          </cell>
          <cell r="I95">
            <v>0</v>
          </cell>
          <cell r="J95">
            <v>0</v>
          </cell>
          <cell r="K95">
            <v>0</v>
          </cell>
          <cell r="L95">
            <v>0</v>
          </cell>
          <cell r="M95">
            <v>0</v>
          </cell>
          <cell r="N95">
            <v>0</v>
          </cell>
          <cell r="O95">
            <v>0</v>
          </cell>
          <cell r="P95">
            <v>0</v>
          </cell>
          <cell r="Q95">
            <v>0</v>
          </cell>
          <cell r="R95">
            <v>0</v>
          </cell>
          <cell r="S95">
            <v>-4012.3680215706522</v>
          </cell>
          <cell r="T95">
            <v>-1239.1136537203483</v>
          </cell>
          <cell r="U95">
            <v>-1239.1136537203483</v>
          </cell>
          <cell r="V95">
            <v>-8860.0809531943723</v>
          </cell>
          <cell r="W95">
            <v>-8498.8951432620888</v>
          </cell>
          <cell r="X95">
            <v>-6240.2790510416908</v>
          </cell>
          <cell r="Y95">
            <v>-8717.8363404669471</v>
          </cell>
          <cell r="Z95">
            <v>-571.57898229531406</v>
          </cell>
          <cell r="AA95">
            <v>-473.26395611789212</v>
          </cell>
          <cell r="AB95">
            <v>-151.43325781055273</v>
          </cell>
          <cell r="AC95">
            <v>-4822.0289577713411</v>
          </cell>
          <cell r="AD95">
            <v>-13656.349720604119</v>
          </cell>
          <cell r="AE95">
            <v>-19363.994170095037</v>
          </cell>
          <cell r="AF95">
            <v>-6134.3818345180589</v>
          </cell>
          <cell r="AG95">
            <v>-2549.4817063056908</v>
          </cell>
          <cell r="AH95">
            <v>6485.9443973028101</v>
          </cell>
          <cell r="AI95">
            <v>3620.1129792121142</v>
          </cell>
          <cell r="AJ95">
            <v>11212.633505711119</v>
          </cell>
          <cell r="AK95">
            <v>6395.9736634688088</v>
          </cell>
          <cell r="AL95">
            <v>-7607.0095788782073</v>
          </cell>
          <cell r="AM95">
            <v>-9448.4037513848361</v>
          </cell>
          <cell r="AN95">
            <v>54670.314287405447</v>
          </cell>
          <cell r="AO95">
            <v>5464.5248310179522</v>
          </cell>
          <cell r="AP95">
            <v>12403.385747084072</v>
          </cell>
          <cell r="AQ95">
            <v>1005.6756784566824</v>
          </cell>
          <cell r="AR95">
            <v>1104.2507063170342</v>
          </cell>
          <cell r="AS95">
            <v>2014.7587719641324</v>
          </cell>
          <cell r="AT95">
            <v>6450.9035287973911</v>
          </cell>
          <cell r="AU95">
            <v>882.4319336880435</v>
          </cell>
          <cell r="AV95">
            <v>2171.8327781827356</v>
          </cell>
          <cell r="AW95">
            <v>-3539.0970471872424</v>
          </cell>
          <cell r="AX95">
            <v>-4401.0114205569025</v>
          </cell>
          <cell r="AY95">
            <v>-4103.3071750628587</v>
          </cell>
          <cell r="AZ95">
            <v>31666.899777507751</v>
          </cell>
          <cell r="BA95">
            <v>-385.55545789971438</v>
          </cell>
          <cell r="BB95">
            <v>5405.3841005055692</v>
          </cell>
          <cell r="BC95">
            <v>4969.2081352998539</v>
          </cell>
          <cell r="BD95">
            <v>3491.9819872343396</v>
          </cell>
          <cell r="BE95">
            <v>5584.5942938585285</v>
          </cell>
          <cell r="BF95">
            <v>8187.8451987762601</v>
          </cell>
          <cell r="BG95">
            <v>427.44780792603979</v>
          </cell>
          <cell r="BH95">
            <v>9427.6683666829867</v>
          </cell>
          <cell r="BI95">
            <v>13129.414442176863</v>
          </cell>
          <cell r="BJ95">
            <v>3319.7037147056362</v>
          </cell>
          <cell r="BK95">
            <v>6412.3730451201318</v>
          </cell>
          <cell r="BL95">
            <v>36519.50448548374</v>
          </cell>
          <cell r="BM95">
            <v>-1310.2117718224272</v>
          </cell>
          <cell r="BN95">
            <v>6252.3550205191132</v>
          </cell>
          <cell r="BO95">
            <v>5524.7788438812822</v>
          </cell>
          <cell r="BP95">
            <v>1966.2027699816608</v>
          </cell>
          <cell r="BQ95">
            <v>4793.0363743416183</v>
          </cell>
          <cell r="BR95">
            <v>5876.8362419155073</v>
          </cell>
          <cell r="BS95">
            <v>-600.95712074605581</v>
          </cell>
          <cell r="BT95">
            <v>7612.8609333343702</v>
          </cell>
          <cell r="BU95">
            <v>7543.2644395763564</v>
          </cell>
          <cell r="BV95">
            <v>-1470.000896523964</v>
          </cell>
          <cell r="BW95">
            <v>-2242.8119421739066</v>
          </cell>
          <cell r="BX95">
            <v>17486.967158253345</v>
          </cell>
          <cell r="BY95">
            <v>-666.92795188983109</v>
          </cell>
          <cell r="BZ95">
            <v>5599.1575185004094</v>
          </cell>
          <cell r="CA95">
            <v>3822.1085657472377</v>
          </cell>
          <cell r="CB95">
            <v>687.79282690039463</v>
          </cell>
          <cell r="CC95">
            <v>3961.8384101449847</v>
          </cell>
          <cell r="CD95">
            <v>3960.1343831704453</v>
          </cell>
          <cell r="CE95">
            <v>143.81097947611397</v>
          </cell>
          <cell r="CF95">
            <v>4164.9075334018016</v>
          </cell>
          <cell r="CG95">
            <v>4116.9616377228813</v>
          </cell>
          <cell r="CH95">
            <v>-411.46459701424737</v>
          </cell>
          <cell r="CI95">
            <v>-2218.6509909811939</v>
          </cell>
          <cell r="CJ95">
            <v>6038.2220625611481</v>
          </cell>
          <cell r="CK95">
            <v>147.84933704264949</v>
          </cell>
          <cell r="CL95">
            <v>3837.8446382838647</v>
          </cell>
          <cell r="CM95">
            <v>3600.3739116195484</v>
          </cell>
          <cell r="CN95">
            <v>1520.9140930022074</v>
          </cell>
          <cell r="CO95">
            <v>-1810.7959092102828</v>
          </cell>
          <cell r="CP95">
            <v>3841.4144493912845</v>
          </cell>
          <cell r="CQ95">
            <v>289.49703204349544</v>
          </cell>
          <cell r="CR95">
            <v>3843.1178837833613</v>
          </cell>
          <cell r="CS95">
            <v>3795.3297680668511</v>
          </cell>
          <cell r="CT95">
            <v>1733.0962786910816</v>
          </cell>
          <cell r="CU95">
            <v>-212.92161494997163</v>
          </cell>
          <cell r="CV95">
            <v>4960.4184327556632</v>
          </cell>
          <cell r="CW95">
            <v>185.38932833678882</v>
          </cell>
          <cell r="CX95">
            <v>3754.6090529651774</v>
          </cell>
          <cell r="CY95">
            <v>3514.3569548725372</v>
          </cell>
          <cell r="CZ95">
            <v>1413.6617839860737</v>
          </cell>
          <cell r="DA95">
            <v>3771.6571753694589</v>
          </cell>
          <cell r="DB95">
            <v>3769.9531483949213</v>
          </cell>
          <cell r="DC95">
            <v>4.0642779845202313</v>
          </cell>
          <cell r="DD95">
            <v>9980.8837854009271</v>
          </cell>
          <cell r="DE95">
            <v>0</v>
          </cell>
          <cell r="DF95">
            <v>-3563.1058047021274</v>
          </cell>
          <cell r="DG95">
            <v>0</v>
          </cell>
          <cell r="DH95">
            <v>0</v>
          </cell>
          <cell r="DI95">
            <v>-1255.7593598179003</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row>
        <row r="105">
          <cell r="FA105">
            <v>0</v>
          </cell>
        </row>
        <row r="106">
          <cell r="FA106">
            <v>0</v>
          </cell>
        </row>
        <row r="107">
          <cell r="FA107">
            <v>0</v>
          </cell>
        </row>
        <row r="108">
          <cell r="FA108">
            <v>0</v>
          </cell>
        </row>
        <row r="109">
          <cell r="FA109">
            <v>0</v>
          </cell>
        </row>
        <row r="110">
          <cell r="FA110">
            <v>0</v>
          </cell>
        </row>
        <row r="111">
          <cell r="FA111">
            <v>0</v>
          </cell>
        </row>
        <row r="112">
          <cell r="FA112">
            <v>0</v>
          </cell>
        </row>
        <row r="114">
          <cell r="H114">
            <v>0</v>
          </cell>
          <cell r="I114">
            <v>0</v>
          </cell>
          <cell r="J114">
            <v>0</v>
          </cell>
          <cell r="K114">
            <v>0</v>
          </cell>
          <cell r="L114">
            <v>0</v>
          </cell>
          <cell r="M114">
            <v>0</v>
          </cell>
          <cell r="N114">
            <v>0</v>
          </cell>
          <cell r="O114">
            <v>0</v>
          </cell>
          <cell r="P114">
            <v>0</v>
          </cell>
          <cell r="Q114">
            <v>0</v>
          </cell>
          <cell r="R114">
            <v>0</v>
          </cell>
          <cell r="S114">
            <v>-4012.3680215706522</v>
          </cell>
          <cell r="T114">
            <v>-1239.1136537203483</v>
          </cell>
          <cell r="U114">
            <v>-1239.1136537203483</v>
          </cell>
          <cell r="V114">
            <v>-8860.0809531943723</v>
          </cell>
          <cell r="W114">
            <v>-8498.8951432620888</v>
          </cell>
          <cell r="X114">
            <v>-6240.2790510416908</v>
          </cell>
          <cell r="Y114">
            <v>-8717.8363404669471</v>
          </cell>
          <cell r="Z114">
            <v>-571.57898229531406</v>
          </cell>
          <cell r="AA114">
            <v>-473.26395611789212</v>
          </cell>
          <cell r="AB114">
            <v>-151.43325781055273</v>
          </cell>
          <cell r="AC114">
            <v>-4822.0289577713411</v>
          </cell>
          <cell r="AD114">
            <v>-13656.349720604119</v>
          </cell>
          <cell r="AE114">
            <v>-19363.994170095037</v>
          </cell>
          <cell r="AF114">
            <v>-6134.3818345180589</v>
          </cell>
          <cell r="AG114">
            <v>-2549.4817063056908</v>
          </cell>
          <cell r="AH114">
            <v>6485.9443973028101</v>
          </cell>
          <cell r="AI114">
            <v>3620.1129792121142</v>
          </cell>
          <cell r="AJ114">
            <v>11212.633505711119</v>
          </cell>
          <cell r="AK114">
            <v>6395.9736634688088</v>
          </cell>
          <cell r="AL114">
            <v>-7607.0095788782073</v>
          </cell>
          <cell r="AM114">
            <v>-9448.4037513848361</v>
          </cell>
          <cell r="AN114">
            <v>54670.314287405447</v>
          </cell>
          <cell r="AO114">
            <v>5464.5248310179522</v>
          </cell>
          <cell r="AP114">
            <v>12403.385747084072</v>
          </cell>
          <cell r="AQ114">
            <v>1005.6756784566824</v>
          </cell>
          <cell r="AR114">
            <v>1104.2507063170342</v>
          </cell>
          <cell r="AS114">
            <v>2014.7587719641324</v>
          </cell>
          <cell r="AT114">
            <v>6450.9035287973911</v>
          </cell>
          <cell r="AU114">
            <v>882.4319336880435</v>
          </cell>
          <cell r="AV114">
            <v>2171.8327781827356</v>
          </cell>
          <cell r="AW114">
            <v>-3539.0970471872424</v>
          </cell>
          <cell r="AX114">
            <v>-4401.0114205569025</v>
          </cell>
          <cell r="AY114">
            <v>-4103.3071750628587</v>
          </cell>
          <cell r="AZ114">
            <v>31666.899777507751</v>
          </cell>
          <cell r="BA114">
            <v>-385.55545789971438</v>
          </cell>
          <cell r="BB114">
            <v>5405.3841005055692</v>
          </cell>
          <cell r="BC114">
            <v>4969.2081352998539</v>
          </cell>
          <cell r="BD114">
            <v>3491.9819872343396</v>
          </cell>
          <cell r="BE114">
            <v>5584.5942938585285</v>
          </cell>
          <cell r="BF114">
            <v>8187.8451987762601</v>
          </cell>
          <cell r="BG114">
            <v>427.44780792603979</v>
          </cell>
          <cell r="BH114">
            <v>9427.6683666829867</v>
          </cell>
          <cell r="BI114">
            <v>13129.414442176863</v>
          </cell>
          <cell r="BJ114">
            <v>3319.7037147056362</v>
          </cell>
          <cell r="BK114">
            <v>6412.3730451201318</v>
          </cell>
          <cell r="BL114">
            <v>36519.50448548374</v>
          </cell>
          <cell r="BM114">
            <v>-1310.2117718224272</v>
          </cell>
          <cell r="BN114">
            <v>6252.3550205191132</v>
          </cell>
          <cell r="BO114">
            <v>5524.7788438812822</v>
          </cell>
          <cell r="BP114">
            <v>1966.2027699816608</v>
          </cell>
          <cell r="BQ114">
            <v>4793.0363743416183</v>
          </cell>
          <cell r="BR114">
            <v>5876.8362419155073</v>
          </cell>
          <cell r="BS114">
            <v>-600.95712074605581</v>
          </cell>
          <cell r="BT114">
            <v>7612.8609333343702</v>
          </cell>
          <cell r="BU114">
            <v>7543.2644395763564</v>
          </cell>
          <cell r="BV114">
            <v>-1470.000896523964</v>
          </cell>
          <cell r="BW114">
            <v>-2242.8119421739066</v>
          </cell>
          <cell r="BX114">
            <v>17486.967158253345</v>
          </cell>
          <cell r="BY114">
            <v>-666.92795188983109</v>
          </cell>
          <cell r="BZ114">
            <v>5599.1575185004094</v>
          </cell>
          <cell r="CA114">
            <v>3822.1085657472377</v>
          </cell>
          <cell r="CB114">
            <v>687.79282690039463</v>
          </cell>
          <cell r="CC114">
            <v>3961.8384101449847</v>
          </cell>
          <cell r="CD114">
            <v>3960.1343831704453</v>
          </cell>
          <cell r="CE114">
            <v>143.81097947611397</v>
          </cell>
          <cell r="CF114">
            <v>4164.9075334018016</v>
          </cell>
          <cell r="CG114">
            <v>4116.9616377228813</v>
          </cell>
          <cell r="CH114">
            <v>-411.46459701424737</v>
          </cell>
          <cell r="CI114">
            <v>-2218.6509909811939</v>
          </cell>
          <cell r="CJ114">
            <v>6038.2220625611481</v>
          </cell>
          <cell r="CK114">
            <v>147.84933704264949</v>
          </cell>
          <cell r="CL114">
            <v>3837.8446382838647</v>
          </cell>
          <cell r="CM114">
            <v>3600.3739116195484</v>
          </cell>
          <cell r="CN114">
            <v>1520.9140930022074</v>
          </cell>
          <cell r="CO114">
            <v>-1810.7959092102828</v>
          </cell>
          <cell r="CP114">
            <v>3841.4144493912845</v>
          </cell>
          <cell r="CQ114">
            <v>289.49703204349544</v>
          </cell>
          <cell r="CR114">
            <v>3843.1178837833613</v>
          </cell>
          <cell r="CS114">
            <v>3795.3297680668511</v>
          </cell>
          <cell r="CT114">
            <v>1733.0962786910816</v>
          </cell>
          <cell r="CU114">
            <v>-212.92161494997163</v>
          </cell>
          <cell r="CV114">
            <v>4960.4184327556632</v>
          </cell>
          <cell r="CW114">
            <v>185.38932833678882</v>
          </cell>
          <cell r="CX114">
            <v>3754.6090529651774</v>
          </cell>
          <cell r="CY114">
            <v>3514.3569548725372</v>
          </cell>
          <cell r="CZ114">
            <v>1413.6617839860737</v>
          </cell>
          <cell r="DA114">
            <v>3771.6571753694589</v>
          </cell>
          <cell r="DB114">
            <v>3769.9531483949213</v>
          </cell>
          <cell r="DC114">
            <v>4.0642779845202313</v>
          </cell>
          <cell r="DD114">
            <v>9980.8837854009271</v>
          </cell>
          <cell r="DE114">
            <v>0</v>
          </cell>
          <cell r="DF114">
            <v>-3563.1058047021274</v>
          </cell>
          <cell r="DG114">
            <v>0</v>
          </cell>
          <cell r="DH114">
            <v>0</v>
          </cell>
          <cell r="DI114">
            <v>-1255.7593598179003</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row>
        <row r="122">
          <cell r="B122" t="str">
            <v>1st Month of Positive Cumulative Pre-Risk Adj CF</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v>
          </cell>
          <cell r="AT122">
            <v>0</v>
          </cell>
          <cell r="AU122">
            <v>0</v>
          </cell>
          <cell r="AV122">
            <v>0</v>
          </cell>
          <cell r="AW122">
            <v>0</v>
          </cell>
          <cell r="AX122">
            <v>0</v>
          </cell>
          <cell r="AY122">
            <v>0</v>
          </cell>
          <cell r="AZ122">
            <v>1</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row>
        <row r="123">
          <cell r="B123" t="str">
            <v>Months</v>
          </cell>
          <cell r="H123">
            <v>37500</v>
          </cell>
          <cell r="I123">
            <v>37530</v>
          </cell>
          <cell r="J123">
            <v>37561</v>
          </cell>
          <cell r="K123">
            <v>37591</v>
          </cell>
          <cell r="L123">
            <v>37622</v>
          </cell>
          <cell r="M123">
            <v>37653</v>
          </cell>
          <cell r="N123">
            <v>37681</v>
          </cell>
          <cell r="O123">
            <v>37712</v>
          </cell>
          <cell r="P123">
            <v>37742</v>
          </cell>
          <cell r="Q123">
            <v>37773</v>
          </cell>
          <cell r="R123">
            <v>37803</v>
          </cell>
          <cell r="S123">
            <v>37834</v>
          </cell>
          <cell r="T123">
            <v>37865</v>
          </cell>
          <cell r="U123">
            <v>37895</v>
          </cell>
          <cell r="V123">
            <v>37926</v>
          </cell>
          <cell r="W123">
            <v>37956</v>
          </cell>
          <cell r="X123">
            <v>37987</v>
          </cell>
          <cell r="Y123">
            <v>38018</v>
          </cell>
          <cell r="Z123">
            <v>38047</v>
          </cell>
          <cell r="AA123">
            <v>38078</v>
          </cell>
          <cell r="AB123">
            <v>38108</v>
          </cell>
          <cell r="AC123">
            <v>38139</v>
          </cell>
          <cell r="AD123">
            <v>38169</v>
          </cell>
          <cell r="AE123">
            <v>38200</v>
          </cell>
          <cell r="AF123">
            <v>38231</v>
          </cell>
          <cell r="AG123">
            <v>38261</v>
          </cell>
          <cell r="AH123">
            <v>38292</v>
          </cell>
          <cell r="AI123">
            <v>38322</v>
          </cell>
          <cell r="AJ123">
            <v>38353</v>
          </cell>
          <cell r="AK123">
            <v>38384</v>
          </cell>
          <cell r="AL123">
            <v>38412</v>
          </cell>
          <cell r="AM123">
            <v>38443</v>
          </cell>
          <cell r="AN123">
            <v>38473</v>
          </cell>
          <cell r="AO123">
            <v>38504</v>
          </cell>
          <cell r="AP123">
            <v>38534</v>
          </cell>
          <cell r="AQ123">
            <v>38565</v>
          </cell>
          <cell r="AR123">
            <v>38596</v>
          </cell>
          <cell r="AS123">
            <v>38626</v>
          </cell>
          <cell r="AT123">
            <v>38657</v>
          </cell>
          <cell r="AU123">
            <v>38687</v>
          </cell>
          <cell r="AV123">
            <v>38718</v>
          </cell>
          <cell r="AW123">
            <v>38749</v>
          </cell>
          <cell r="AX123">
            <v>38777</v>
          </cell>
          <cell r="AY123">
            <v>38808</v>
          </cell>
          <cell r="AZ123">
            <v>38838</v>
          </cell>
          <cell r="BA123">
            <v>38869</v>
          </cell>
          <cell r="BB123">
            <v>38899</v>
          </cell>
          <cell r="BC123">
            <v>38930</v>
          </cell>
          <cell r="BD123">
            <v>38961</v>
          </cell>
          <cell r="BE123">
            <v>38991</v>
          </cell>
          <cell r="BF123">
            <v>39022</v>
          </cell>
          <cell r="BG123">
            <v>39052</v>
          </cell>
          <cell r="BH123">
            <v>39083</v>
          </cell>
          <cell r="BI123">
            <v>39114</v>
          </cell>
          <cell r="BJ123">
            <v>39142</v>
          </cell>
          <cell r="BK123">
            <v>39173</v>
          </cell>
          <cell r="BL123">
            <v>39203</v>
          </cell>
          <cell r="BM123">
            <v>39234</v>
          </cell>
          <cell r="BN123">
            <v>39264</v>
          </cell>
          <cell r="BO123">
            <v>39295</v>
          </cell>
          <cell r="BP123">
            <v>39326</v>
          </cell>
          <cell r="BQ123">
            <v>39356</v>
          </cell>
          <cell r="BR123">
            <v>39387</v>
          </cell>
          <cell r="BS123">
            <v>39417</v>
          </cell>
          <cell r="BT123">
            <v>39448</v>
          </cell>
          <cell r="BU123">
            <v>39479</v>
          </cell>
          <cell r="BV123">
            <v>39508</v>
          </cell>
          <cell r="BW123">
            <v>39539</v>
          </cell>
          <cell r="BX123">
            <v>39569</v>
          </cell>
          <cell r="BY123">
            <v>39600</v>
          </cell>
          <cell r="BZ123">
            <v>39630</v>
          </cell>
          <cell r="CA123">
            <v>39661</v>
          </cell>
          <cell r="CB123">
            <v>39692</v>
          </cell>
          <cell r="CC123">
            <v>39722</v>
          </cell>
          <cell r="CD123">
            <v>39753</v>
          </cell>
          <cell r="CE123">
            <v>39783</v>
          </cell>
          <cell r="CF123">
            <v>39814</v>
          </cell>
          <cell r="CG123">
            <v>39845</v>
          </cell>
          <cell r="CH123">
            <v>39873</v>
          </cell>
          <cell r="CI123">
            <v>39904</v>
          </cell>
          <cell r="CJ123">
            <v>39934</v>
          </cell>
          <cell r="CK123">
            <v>39965</v>
          </cell>
          <cell r="CL123">
            <v>39995</v>
          </cell>
          <cell r="CM123">
            <v>40026</v>
          </cell>
          <cell r="CN123">
            <v>40057</v>
          </cell>
          <cell r="CO123">
            <v>40087</v>
          </cell>
          <cell r="CP123">
            <v>40118</v>
          </cell>
          <cell r="CQ123">
            <v>40148</v>
          </cell>
          <cell r="CR123">
            <v>40179</v>
          </cell>
          <cell r="CS123">
            <v>40210</v>
          </cell>
          <cell r="CT123">
            <v>40238</v>
          </cell>
          <cell r="CU123">
            <v>40269</v>
          </cell>
          <cell r="CV123">
            <v>40299</v>
          </cell>
          <cell r="CW123">
            <v>40330</v>
          </cell>
          <cell r="CX123">
            <v>40360</v>
          </cell>
          <cell r="CY123">
            <v>40391</v>
          </cell>
          <cell r="CZ123">
            <v>40422</v>
          </cell>
          <cell r="DA123">
            <v>40452</v>
          </cell>
          <cell r="DB123">
            <v>40483</v>
          </cell>
          <cell r="DC123">
            <v>40513</v>
          </cell>
          <cell r="DD123">
            <v>40544</v>
          </cell>
          <cell r="DE123">
            <v>40575</v>
          </cell>
          <cell r="DF123">
            <v>40603</v>
          </cell>
          <cell r="DG123">
            <v>40634</v>
          </cell>
          <cell r="DH123">
            <v>40664</v>
          </cell>
          <cell r="DI123">
            <v>40695</v>
          </cell>
          <cell r="DJ123">
            <v>40725</v>
          </cell>
          <cell r="DK123">
            <v>40756</v>
          </cell>
          <cell r="DL123">
            <v>40787</v>
          </cell>
          <cell r="DM123">
            <v>40817</v>
          </cell>
          <cell r="DN123">
            <v>40848</v>
          </cell>
          <cell r="DO123">
            <v>40878</v>
          </cell>
          <cell r="DP123">
            <v>40909</v>
          </cell>
          <cell r="DQ123">
            <v>40940</v>
          </cell>
          <cell r="DR123">
            <v>40969</v>
          </cell>
          <cell r="DS123">
            <v>41000</v>
          </cell>
          <cell r="DT123">
            <v>41030</v>
          </cell>
          <cell r="DU123">
            <v>41061</v>
          </cell>
          <cell r="DV123">
            <v>41091</v>
          </cell>
          <cell r="DW123">
            <v>41122</v>
          </cell>
          <cell r="DX123">
            <v>41153</v>
          </cell>
          <cell r="DY123">
            <v>41183</v>
          </cell>
          <cell r="DZ123">
            <v>41214</v>
          </cell>
          <cell r="EA123">
            <v>41244</v>
          </cell>
          <cell r="EB123">
            <v>41275</v>
          </cell>
          <cell r="EC123">
            <v>41306</v>
          </cell>
          <cell r="ED123">
            <v>41334</v>
          </cell>
          <cell r="EE123">
            <v>41365</v>
          </cell>
          <cell r="EF123">
            <v>41395</v>
          </cell>
          <cell r="EG123">
            <v>41426</v>
          </cell>
          <cell r="EH123">
            <v>41456</v>
          </cell>
          <cell r="EI123">
            <v>41487</v>
          </cell>
        </row>
        <row r="124">
          <cell r="B124" t="str">
            <v>Pre-Risk Cumulative Free Cash Flow</v>
          </cell>
          <cell r="H124">
            <v>0</v>
          </cell>
          <cell r="I124">
            <v>0</v>
          </cell>
          <cell r="J124">
            <v>0</v>
          </cell>
          <cell r="K124">
            <v>0</v>
          </cell>
          <cell r="L124">
            <v>0</v>
          </cell>
          <cell r="M124">
            <v>0</v>
          </cell>
          <cell r="N124">
            <v>0</v>
          </cell>
          <cell r="O124">
            <v>0</v>
          </cell>
          <cell r="P124">
            <v>0</v>
          </cell>
          <cell r="Q124">
            <v>0</v>
          </cell>
          <cell r="R124">
            <v>0</v>
          </cell>
          <cell r="S124">
            <v>-4012.3680215706522</v>
          </cell>
          <cell r="T124">
            <v>-5251.481675291001</v>
          </cell>
          <cell r="U124">
            <v>-6490.5953290113493</v>
          </cell>
          <cell r="V124">
            <v>-15350.676282205721</v>
          </cell>
          <cell r="W124">
            <v>-23849.57142546781</v>
          </cell>
          <cell r="X124">
            <v>-30089.850476509499</v>
          </cell>
          <cell r="Y124">
            <v>-38807.686816976449</v>
          </cell>
          <cell r="Z124">
            <v>-39379.265799271765</v>
          </cell>
          <cell r="AA124">
            <v>-39852.52975538966</v>
          </cell>
          <cell r="AB124">
            <v>-40003.963013200213</v>
          </cell>
          <cell r="AC124">
            <v>-44825.991970971554</v>
          </cell>
          <cell r="AD124">
            <v>-58482.341691575675</v>
          </cell>
          <cell r="AE124">
            <v>-77846.335861670712</v>
          </cell>
          <cell r="AF124">
            <v>-83980.717696188774</v>
          </cell>
          <cell r="AG124">
            <v>-86530.199402494472</v>
          </cell>
          <cell r="AH124">
            <v>-80044.255005191662</v>
          </cell>
          <cell r="AI124">
            <v>-76424.142025979541</v>
          </cell>
          <cell r="AJ124">
            <v>-65211.50852026842</v>
          </cell>
          <cell r="AK124">
            <v>-58815.534856799612</v>
          </cell>
          <cell r="AL124">
            <v>-66422.544435677817</v>
          </cell>
          <cell r="AM124">
            <v>-75870.948187062648</v>
          </cell>
          <cell r="AN124">
            <v>-21200.633899657201</v>
          </cell>
          <cell r="AO124">
            <v>-15736.109068639249</v>
          </cell>
          <cell r="AP124">
            <v>-3332.7233215551769</v>
          </cell>
          <cell r="AQ124">
            <v>-2327.0476430984945</v>
          </cell>
          <cell r="AR124">
            <v>-1222.7969367814603</v>
          </cell>
          <cell r="AS124">
            <v>791.96183518267208</v>
          </cell>
          <cell r="AT124">
            <v>7242.8653639800632</v>
          </cell>
          <cell r="AU124">
            <v>8125.2972976681067</v>
          </cell>
          <cell r="AV124">
            <v>10297.130075850842</v>
          </cell>
          <cell r="AW124">
            <v>6758.0330286635999</v>
          </cell>
          <cell r="AX124">
            <v>2357.0216081066974</v>
          </cell>
          <cell r="AY124">
            <v>-1746.2855669561613</v>
          </cell>
          <cell r="AZ124">
            <v>29920.61421055159</v>
          </cell>
          <cell r="BA124">
            <v>29535.058752651876</v>
          </cell>
          <cell r="BB124">
            <v>34940.442853157445</v>
          </cell>
          <cell r="BC124">
            <v>39909.650988457302</v>
          </cell>
          <cell r="BD124">
            <v>43401.632975691638</v>
          </cell>
          <cell r="BE124">
            <v>48986.227269550167</v>
          </cell>
          <cell r="BF124">
            <v>57174.072468326427</v>
          </cell>
          <cell r="BG124">
            <v>57601.520276252464</v>
          </cell>
          <cell r="BH124">
            <v>67029.188642935449</v>
          </cell>
          <cell r="BI124">
            <v>80158.603085112307</v>
          </cell>
          <cell r="BJ124">
            <v>83478.306799817947</v>
          </cell>
          <cell r="BK124">
            <v>89890.679844938073</v>
          </cell>
          <cell r="BL124">
            <v>126410.18433042182</v>
          </cell>
          <cell r="BM124">
            <v>125099.97255859939</v>
          </cell>
          <cell r="BN124">
            <v>131352.32757911849</v>
          </cell>
          <cell r="BO124">
            <v>136877.10642299976</v>
          </cell>
          <cell r="BP124">
            <v>138843.30919298143</v>
          </cell>
          <cell r="BQ124">
            <v>143636.34556732303</v>
          </cell>
          <cell r="BR124">
            <v>149513.18180923854</v>
          </cell>
          <cell r="BS124">
            <v>148912.22468849248</v>
          </cell>
          <cell r="BT124">
            <v>156525.08562182685</v>
          </cell>
          <cell r="BU124">
            <v>164068.35006140321</v>
          </cell>
          <cell r="BV124">
            <v>162598.34916487924</v>
          </cell>
          <cell r="BW124">
            <v>160355.53722270534</v>
          </cell>
          <cell r="BX124">
            <v>177842.50438095868</v>
          </cell>
          <cell r="BY124">
            <v>177175.57642906884</v>
          </cell>
          <cell r="BZ124">
            <v>182774.73394756924</v>
          </cell>
          <cell r="CA124">
            <v>186596.84251331649</v>
          </cell>
          <cell r="CB124">
            <v>187284.63534021689</v>
          </cell>
          <cell r="CC124">
            <v>191246.47375036188</v>
          </cell>
          <cell r="CD124">
            <v>195206.60813353234</v>
          </cell>
          <cell r="CE124">
            <v>195350.41911300845</v>
          </cell>
          <cell r="CF124">
            <v>199515.32664641025</v>
          </cell>
          <cell r="CG124">
            <v>203632.28828413313</v>
          </cell>
          <cell r="CH124">
            <v>203220.82368711889</v>
          </cell>
          <cell r="CI124">
            <v>201002.17269613768</v>
          </cell>
          <cell r="CJ124">
            <v>207040.39475869882</v>
          </cell>
          <cell r="CK124">
            <v>207188.24409574148</v>
          </cell>
          <cell r="CL124">
            <v>211026.08873402534</v>
          </cell>
          <cell r="CM124">
            <v>214626.46264564488</v>
          </cell>
          <cell r="CN124">
            <v>216147.37673864709</v>
          </cell>
          <cell r="CO124">
            <v>214336.5808294368</v>
          </cell>
          <cell r="CP124">
            <v>218177.99527882808</v>
          </cell>
          <cell r="CQ124">
            <v>218467.49231087157</v>
          </cell>
          <cell r="CR124">
            <v>222310.61019465493</v>
          </cell>
          <cell r="CS124">
            <v>226105.93996272178</v>
          </cell>
          <cell r="CT124">
            <v>227839.03624141286</v>
          </cell>
          <cell r="CU124">
            <v>227626.11462646289</v>
          </cell>
          <cell r="CV124">
            <v>232586.53305921855</v>
          </cell>
          <cell r="CW124">
            <v>232771.92238755533</v>
          </cell>
          <cell r="CX124">
            <v>236526.53144052051</v>
          </cell>
          <cell r="CY124">
            <v>240040.88839539306</v>
          </cell>
          <cell r="CZ124">
            <v>241454.55017937915</v>
          </cell>
          <cell r="DA124">
            <v>245226.20735474862</v>
          </cell>
          <cell r="DB124">
            <v>248996.16050314353</v>
          </cell>
          <cell r="DC124">
            <v>249000.22478112805</v>
          </cell>
          <cell r="DD124">
            <v>258981.10856652897</v>
          </cell>
          <cell r="DE124">
            <v>258981.10856652897</v>
          </cell>
          <cell r="DF124">
            <v>255418.00276182685</v>
          </cell>
          <cell r="DG124">
            <v>255418.00276182685</v>
          </cell>
          <cell r="DH124">
            <v>255418.00276182685</v>
          </cell>
          <cell r="DI124">
            <v>254162.24340200896</v>
          </cell>
          <cell r="DJ124">
            <v>254162.24340200896</v>
          </cell>
          <cell r="DK124">
            <v>254162.24340200896</v>
          </cell>
          <cell r="DL124">
            <v>254162.24340200896</v>
          </cell>
          <cell r="DM124">
            <v>254162.24340200896</v>
          </cell>
          <cell r="DN124">
            <v>254162.24340200896</v>
          </cell>
          <cell r="DO124">
            <v>254162.24340200896</v>
          </cell>
          <cell r="DP124">
            <v>254162.24340200896</v>
          </cell>
          <cell r="DQ124">
            <v>254162.24340200896</v>
          </cell>
          <cell r="DR124">
            <v>254162.24340200896</v>
          </cell>
          <cell r="DS124">
            <v>254162.24340200896</v>
          </cell>
          <cell r="DT124">
            <v>254162.24340200896</v>
          </cell>
          <cell r="DU124">
            <v>254162.24340200896</v>
          </cell>
          <cell r="DV124">
            <v>254162.24340200896</v>
          </cell>
          <cell r="DW124">
            <v>254162.24340200896</v>
          </cell>
          <cell r="DX124">
            <v>254162.24340200896</v>
          </cell>
          <cell r="DY124">
            <v>254162.24340200896</v>
          </cell>
          <cell r="DZ124">
            <v>254162.24340200896</v>
          </cell>
          <cell r="EA124">
            <v>254162.24340200896</v>
          </cell>
          <cell r="EB124">
            <v>254162.24340200896</v>
          </cell>
          <cell r="EC124">
            <v>254162.24340200896</v>
          </cell>
          <cell r="ED124">
            <v>254162.24340200896</v>
          </cell>
          <cell r="EE124">
            <v>254162.24340200896</v>
          </cell>
          <cell r="EF124">
            <v>254162.24340200896</v>
          </cell>
          <cell r="EG124">
            <v>254162.24340200896</v>
          </cell>
          <cell r="EH124">
            <v>254162.24340200896</v>
          </cell>
          <cell r="EI124">
            <v>254162.24340200896</v>
          </cell>
        </row>
        <row r="126">
          <cell r="E126">
            <v>38626</v>
          </cell>
        </row>
        <row r="128">
          <cell r="B128" t="str">
            <v>1st Month of Positive Pre-Risk Adj CF</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1</v>
          </cell>
          <cell r="AI128">
            <v>0</v>
          </cell>
          <cell r="AJ128">
            <v>0</v>
          </cell>
          <cell r="AK128">
            <v>0</v>
          </cell>
          <cell r="AL128">
            <v>0</v>
          </cell>
          <cell r="AM128">
            <v>0</v>
          </cell>
          <cell r="AN128">
            <v>1</v>
          </cell>
          <cell r="AO128">
            <v>0</v>
          </cell>
          <cell r="AP128">
            <v>0</v>
          </cell>
          <cell r="AQ128">
            <v>0</v>
          </cell>
          <cell r="AR128">
            <v>0</v>
          </cell>
          <cell r="AS128">
            <v>0</v>
          </cell>
          <cell r="AT128">
            <v>0</v>
          </cell>
          <cell r="AU128">
            <v>0</v>
          </cell>
          <cell r="AV128">
            <v>0</v>
          </cell>
          <cell r="AW128">
            <v>0</v>
          </cell>
          <cell r="AX128">
            <v>0</v>
          </cell>
          <cell r="AY128">
            <v>0</v>
          </cell>
          <cell r="AZ128">
            <v>1</v>
          </cell>
          <cell r="BA128">
            <v>0</v>
          </cell>
          <cell r="BB128">
            <v>1</v>
          </cell>
          <cell r="BC128">
            <v>0</v>
          </cell>
          <cell r="BD128">
            <v>0</v>
          </cell>
          <cell r="BE128">
            <v>0</v>
          </cell>
          <cell r="BF128">
            <v>0</v>
          </cell>
          <cell r="BG128">
            <v>0</v>
          </cell>
          <cell r="BH128">
            <v>0</v>
          </cell>
          <cell r="BI128">
            <v>0</v>
          </cell>
          <cell r="BJ128">
            <v>0</v>
          </cell>
          <cell r="BK128">
            <v>0</v>
          </cell>
          <cell r="BL128">
            <v>0</v>
          </cell>
          <cell r="BM128">
            <v>0</v>
          </cell>
          <cell r="BN128">
            <v>1</v>
          </cell>
          <cell r="BO128">
            <v>0</v>
          </cell>
          <cell r="BP128">
            <v>0</v>
          </cell>
          <cell r="BQ128">
            <v>0</v>
          </cell>
          <cell r="BR128">
            <v>0</v>
          </cell>
          <cell r="BS128">
            <v>0</v>
          </cell>
          <cell r="BT128">
            <v>1</v>
          </cell>
          <cell r="BU128">
            <v>0</v>
          </cell>
          <cell r="BV128">
            <v>0</v>
          </cell>
          <cell r="BW128">
            <v>0</v>
          </cell>
          <cell r="BX128">
            <v>1</v>
          </cell>
          <cell r="BY128">
            <v>0</v>
          </cell>
          <cell r="BZ128">
            <v>1</v>
          </cell>
          <cell r="CA128">
            <v>0</v>
          </cell>
          <cell r="CB128">
            <v>0</v>
          </cell>
          <cell r="CC128">
            <v>0</v>
          </cell>
          <cell r="CD128">
            <v>0</v>
          </cell>
          <cell r="CE128">
            <v>0</v>
          </cell>
          <cell r="CF128">
            <v>0</v>
          </cell>
          <cell r="CG128">
            <v>0</v>
          </cell>
          <cell r="CH128">
            <v>0</v>
          </cell>
          <cell r="CI128">
            <v>0</v>
          </cell>
          <cell r="CJ128">
            <v>1</v>
          </cell>
          <cell r="CK128">
            <v>0</v>
          </cell>
          <cell r="CL128">
            <v>0</v>
          </cell>
          <cell r="CM128">
            <v>0</v>
          </cell>
          <cell r="CN128">
            <v>0</v>
          </cell>
          <cell r="CO128">
            <v>0</v>
          </cell>
          <cell r="CP128">
            <v>1</v>
          </cell>
          <cell r="CQ128">
            <v>0</v>
          </cell>
          <cell r="CR128">
            <v>0</v>
          </cell>
          <cell r="CS128">
            <v>0</v>
          </cell>
          <cell r="CT128">
            <v>0</v>
          </cell>
          <cell r="CU128">
            <v>0</v>
          </cell>
          <cell r="CV128">
            <v>1</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row>
        <row r="129">
          <cell r="B129" t="str">
            <v>Months</v>
          </cell>
          <cell r="H129">
            <v>37500</v>
          </cell>
          <cell r="I129">
            <v>37530</v>
          </cell>
          <cell r="J129">
            <v>37561</v>
          </cell>
          <cell r="K129">
            <v>37591</v>
          </cell>
          <cell r="L129">
            <v>37622</v>
          </cell>
          <cell r="M129">
            <v>37653</v>
          </cell>
          <cell r="N129">
            <v>37681</v>
          </cell>
          <cell r="O129">
            <v>37712</v>
          </cell>
          <cell r="P129">
            <v>37742</v>
          </cell>
          <cell r="Q129">
            <v>37773</v>
          </cell>
          <cell r="R129">
            <v>37803</v>
          </cell>
          <cell r="S129">
            <v>37834</v>
          </cell>
          <cell r="T129">
            <v>37865</v>
          </cell>
          <cell r="U129">
            <v>37895</v>
          </cell>
          <cell r="V129">
            <v>37926</v>
          </cell>
          <cell r="W129">
            <v>37956</v>
          </cell>
          <cell r="X129">
            <v>37987</v>
          </cell>
          <cell r="Y129">
            <v>38018</v>
          </cell>
          <cell r="Z129">
            <v>38047</v>
          </cell>
          <cell r="AA129">
            <v>38078</v>
          </cell>
          <cell r="AB129">
            <v>38108</v>
          </cell>
          <cell r="AC129">
            <v>38139</v>
          </cell>
          <cell r="AD129">
            <v>38169</v>
          </cell>
          <cell r="AE129">
            <v>38200</v>
          </cell>
          <cell r="AF129">
            <v>38231</v>
          </cell>
          <cell r="AG129">
            <v>38261</v>
          </cell>
          <cell r="AH129">
            <v>38292</v>
          </cell>
          <cell r="AI129">
            <v>38322</v>
          </cell>
          <cell r="AJ129">
            <v>38353</v>
          </cell>
          <cell r="AK129">
            <v>38384</v>
          </cell>
          <cell r="AL129">
            <v>38412</v>
          </cell>
          <cell r="AM129">
            <v>38443</v>
          </cell>
          <cell r="AN129">
            <v>38473</v>
          </cell>
          <cell r="AO129">
            <v>38504</v>
          </cell>
          <cell r="AP129">
            <v>38534</v>
          </cell>
          <cell r="AQ129">
            <v>38565</v>
          </cell>
          <cell r="AR129">
            <v>38596</v>
          </cell>
          <cell r="AS129">
            <v>38626</v>
          </cell>
          <cell r="AT129">
            <v>38657</v>
          </cell>
          <cell r="AU129">
            <v>38687</v>
          </cell>
          <cell r="AV129">
            <v>38718</v>
          </cell>
          <cell r="AW129">
            <v>38749</v>
          </cell>
          <cell r="AX129">
            <v>38777</v>
          </cell>
          <cell r="AY129">
            <v>38808</v>
          </cell>
          <cell r="AZ129">
            <v>38838</v>
          </cell>
          <cell r="BA129">
            <v>38869</v>
          </cell>
          <cell r="BB129">
            <v>38899</v>
          </cell>
          <cell r="BC129">
            <v>38930</v>
          </cell>
          <cell r="BD129">
            <v>38961</v>
          </cell>
          <cell r="BE129">
            <v>38991</v>
          </cell>
          <cell r="BF129">
            <v>39022</v>
          </cell>
          <cell r="BG129">
            <v>39052</v>
          </cell>
          <cell r="BH129">
            <v>39083</v>
          </cell>
          <cell r="BI129">
            <v>39114</v>
          </cell>
          <cell r="BJ129">
            <v>39142</v>
          </cell>
          <cell r="BK129">
            <v>39173</v>
          </cell>
          <cell r="BL129">
            <v>39203</v>
          </cell>
          <cell r="BM129">
            <v>39234</v>
          </cell>
          <cell r="BN129">
            <v>39264</v>
          </cell>
          <cell r="BO129">
            <v>39295</v>
          </cell>
          <cell r="BP129">
            <v>39326</v>
          </cell>
          <cell r="BQ129">
            <v>39356</v>
          </cell>
          <cell r="BR129">
            <v>39387</v>
          </cell>
          <cell r="BS129">
            <v>39417</v>
          </cell>
          <cell r="BT129">
            <v>39448</v>
          </cell>
          <cell r="BU129">
            <v>39479</v>
          </cell>
          <cell r="BV129">
            <v>39508</v>
          </cell>
          <cell r="BW129">
            <v>39539</v>
          </cell>
          <cell r="BX129">
            <v>39569</v>
          </cell>
          <cell r="BY129">
            <v>39600</v>
          </cell>
          <cell r="BZ129">
            <v>39630</v>
          </cell>
          <cell r="CA129">
            <v>39661</v>
          </cell>
          <cell r="CB129">
            <v>39692</v>
          </cell>
          <cell r="CC129">
            <v>39722</v>
          </cell>
          <cell r="CD129">
            <v>39753</v>
          </cell>
          <cell r="CE129">
            <v>39783</v>
          </cell>
          <cell r="CF129">
            <v>39814</v>
          </cell>
          <cell r="CG129">
            <v>39845</v>
          </cell>
          <cell r="CH129">
            <v>39873</v>
          </cell>
          <cell r="CI129">
            <v>39904</v>
          </cell>
          <cell r="CJ129">
            <v>39934</v>
          </cell>
          <cell r="CK129">
            <v>39965</v>
          </cell>
          <cell r="CL129">
            <v>39995</v>
          </cell>
          <cell r="CM129">
            <v>40026</v>
          </cell>
          <cell r="CN129">
            <v>40057</v>
          </cell>
          <cell r="CO129">
            <v>40087</v>
          </cell>
          <cell r="CP129">
            <v>40118</v>
          </cell>
          <cell r="CQ129">
            <v>40148</v>
          </cell>
          <cell r="CR129">
            <v>40179</v>
          </cell>
          <cell r="CS129">
            <v>40210</v>
          </cell>
          <cell r="CT129">
            <v>40238</v>
          </cell>
          <cell r="CU129">
            <v>40269</v>
          </cell>
          <cell r="CV129">
            <v>40299</v>
          </cell>
          <cell r="CW129">
            <v>40330</v>
          </cell>
          <cell r="CX129">
            <v>40360</v>
          </cell>
          <cell r="CY129">
            <v>40391</v>
          </cell>
          <cell r="CZ129">
            <v>40422</v>
          </cell>
          <cell r="DA129">
            <v>40452</v>
          </cell>
          <cell r="DB129">
            <v>40483</v>
          </cell>
          <cell r="DC129">
            <v>40513</v>
          </cell>
          <cell r="DD129">
            <v>40544</v>
          </cell>
          <cell r="DE129">
            <v>40575</v>
          </cell>
          <cell r="DF129">
            <v>40603</v>
          </cell>
          <cell r="DG129">
            <v>40634</v>
          </cell>
          <cell r="DH129">
            <v>40664</v>
          </cell>
          <cell r="DI129">
            <v>40695</v>
          </cell>
          <cell r="DJ129">
            <v>40725</v>
          </cell>
          <cell r="DK129">
            <v>40756</v>
          </cell>
          <cell r="DL129">
            <v>40787</v>
          </cell>
          <cell r="DM129">
            <v>40817</v>
          </cell>
          <cell r="DN129">
            <v>40848</v>
          </cell>
          <cell r="DO129">
            <v>40878</v>
          </cell>
          <cell r="DP129">
            <v>40909</v>
          </cell>
          <cell r="DQ129">
            <v>40940</v>
          </cell>
          <cell r="DR129">
            <v>40969</v>
          </cell>
          <cell r="DS129">
            <v>41000</v>
          </cell>
          <cell r="DT129">
            <v>41030</v>
          </cell>
          <cell r="DU129">
            <v>41061</v>
          </cell>
          <cell r="DV129">
            <v>41091</v>
          </cell>
          <cell r="DW129">
            <v>41122</v>
          </cell>
          <cell r="DX129">
            <v>41153</v>
          </cell>
          <cell r="DY129">
            <v>41183</v>
          </cell>
          <cell r="DZ129">
            <v>41214</v>
          </cell>
          <cell r="EA129">
            <v>41244</v>
          </cell>
          <cell r="EB129">
            <v>41275</v>
          </cell>
          <cell r="EC129">
            <v>41306</v>
          </cell>
          <cell r="ED129">
            <v>41334</v>
          </cell>
          <cell r="EE129">
            <v>41365</v>
          </cell>
          <cell r="EF129">
            <v>41395</v>
          </cell>
          <cell r="EG129">
            <v>41426</v>
          </cell>
          <cell r="EH129">
            <v>41456</v>
          </cell>
          <cell r="EI129">
            <v>41487</v>
          </cell>
        </row>
        <row r="130">
          <cell r="B130" t="str">
            <v>Pre-Risk Free Cash Flow</v>
          </cell>
          <cell r="H130">
            <v>0</v>
          </cell>
          <cell r="I130">
            <v>0</v>
          </cell>
          <cell r="J130">
            <v>0</v>
          </cell>
          <cell r="K130">
            <v>0</v>
          </cell>
          <cell r="L130">
            <v>0</v>
          </cell>
          <cell r="M130">
            <v>0</v>
          </cell>
          <cell r="N130">
            <v>0</v>
          </cell>
          <cell r="O130">
            <v>0</v>
          </cell>
          <cell r="P130">
            <v>0</v>
          </cell>
          <cell r="Q130">
            <v>0</v>
          </cell>
          <cell r="R130">
            <v>0</v>
          </cell>
          <cell r="S130">
            <v>-4012.3680215706522</v>
          </cell>
          <cell r="T130">
            <v>-1239.1136537203483</v>
          </cell>
          <cell r="U130">
            <v>-1239.1136537203483</v>
          </cell>
          <cell r="V130">
            <v>-8860.0809531943723</v>
          </cell>
          <cell r="W130">
            <v>-8498.8951432620888</v>
          </cell>
          <cell r="X130">
            <v>-6240.2790510416908</v>
          </cell>
          <cell r="Y130">
            <v>-8717.8363404669471</v>
          </cell>
          <cell r="Z130">
            <v>-571.57898229531406</v>
          </cell>
          <cell r="AA130">
            <v>-473.26395611789212</v>
          </cell>
          <cell r="AB130">
            <v>-151.43325781055273</v>
          </cell>
          <cell r="AC130">
            <v>-4822.0289577713411</v>
          </cell>
          <cell r="AD130">
            <v>-13656.349720604119</v>
          </cell>
          <cell r="AE130">
            <v>-19363.994170095037</v>
          </cell>
          <cell r="AF130">
            <v>-6134.3818345180589</v>
          </cell>
          <cell r="AG130">
            <v>-2549.4817063056908</v>
          </cell>
          <cell r="AH130">
            <v>6485.9443973028101</v>
          </cell>
          <cell r="AI130">
            <v>3620.1129792121142</v>
          </cell>
          <cell r="AJ130">
            <v>11212.633505711119</v>
          </cell>
          <cell r="AK130">
            <v>6395.9736634688088</v>
          </cell>
          <cell r="AL130">
            <v>-7607.0095788782073</v>
          </cell>
          <cell r="AM130">
            <v>-9448.4037513848361</v>
          </cell>
          <cell r="AN130">
            <v>54670.314287405447</v>
          </cell>
          <cell r="AO130">
            <v>5464.5248310179522</v>
          </cell>
          <cell r="AP130">
            <v>12403.385747084072</v>
          </cell>
          <cell r="AQ130">
            <v>1005.6756784566824</v>
          </cell>
          <cell r="AR130">
            <v>1104.2507063170342</v>
          </cell>
          <cell r="AS130">
            <v>2014.7587719641324</v>
          </cell>
          <cell r="AT130">
            <v>6450.9035287973911</v>
          </cell>
          <cell r="AU130">
            <v>882.4319336880435</v>
          </cell>
          <cell r="AV130">
            <v>2171.8327781827356</v>
          </cell>
          <cell r="AW130">
            <v>-3539.0970471872424</v>
          </cell>
          <cell r="AX130">
            <v>-4401.0114205569025</v>
          </cell>
          <cell r="AY130">
            <v>-4103.3071750628587</v>
          </cell>
          <cell r="AZ130">
            <v>31666.899777507751</v>
          </cell>
          <cell r="BA130">
            <v>-385.55545789971438</v>
          </cell>
          <cell r="BB130">
            <v>5405.3841005055692</v>
          </cell>
          <cell r="BC130">
            <v>4969.2081352998539</v>
          </cell>
          <cell r="BD130">
            <v>3491.9819872343396</v>
          </cell>
          <cell r="BE130">
            <v>5584.5942938585285</v>
          </cell>
          <cell r="BF130">
            <v>8187.8451987762601</v>
          </cell>
          <cell r="BG130">
            <v>427.44780792603979</v>
          </cell>
          <cell r="BH130">
            <v>9427.6683666829867</v>
          </cell>
          <cell r="BI130">
            <v>13129.414442176863</v>
          </cell>
          <cell r="BJ130">
            <v>3319.7037147056362</v>
          </cell>
          <cell r="BK130">
            <v>6412.3730451201318</v>
          </cell>
          <cell r="BL130">
            <v>36519.50448548374</v>
          </cell>
          <cell r="BM130">
            <v>-1310.2117718224272</v>
          </cell>
          <cell r="BN130">
            <v>6252.3550205191132</v>
          </cell>
          <cell r="BO130">
            <v>5524.7788438812822</v>
          </cell>
          <cell r="BP130">
            <v>1966.2027699816608</v>
          </cell>
          <cell r="BQ130">
            <v>4793.0363743416183</v>
          </cell>
          <cell r="BR130">
            <v>5876.8362419155073</v>
          </cell>
          <cell r="BS130">
            <v>-600.95712074605581</v>
          </cell>
          <cell r="BT130">
            <v>7612.8609333343702</v>
          </cell>
          <cell r="BU130">
            <v>7543.2644395763564</v>
          </cell>
          <cell r="BV130">
            <v>-1470.000896523964</v>
          </cell>
          <cell r="BW130">
            <v>-2242.8119421739066</v>
          </cell>
          <cell r="BX130">
            <v>17486.967158253345</v>
          </cell>
          <cell r="BY130">
            <v>-666.92795188983109</v>
          </cell>
          <cell r="BZ130">
            <v>5599.1575185004094</v>
          </cell>
          <cell r="CA130">
            <v>3822.1085657472377</v>
          </cell>
          <cell r="CB130">
            <v>687.79282690039463</v>
          </cell>
          <cell r="CC130">
            <v>3961.8384101449847</v>
          </cell>
          <cell r="CD130">
            <v>3960.1343831704453</v>
          </cell>
          <cell r="CE130">
            <v>143.81097947611397</v>
          </cell>
          <cell r="CF130">
            <v>4164.9075334018016</v>
          </cell>
          <cell r="CG130">
            <v>4116.9616377228813</v>
          </cell>
          <cell r="CH130">
            <v>-411.46459701424737</v>
          </cell>
          <cell r="CI130">
            <v>-2218.6509909811939</v>
          </cell>
          <cell r="CJ130">
            <v>6038.2220625611481</v>
          </cell>
          <cell r="CK130">
            <v>147.84933704264949</v>
          </cell>
          <cell r="CL130">
            <v>3837.8446382838647</v>
          </cell>
          <cell r="CM130">
            <v>3600.3739116195484</v>
          </cell>
          <cell r="CN130">
            <v>1520.9140930022074</v>
          </cell>
          <cell r="CO130">
            <v>-1810.7959092102828</v>
          </cell>
          <cell r="CP130">
            <v>3841.4144493912845</v>
          </cell>
          <cell r="CQ130">
            <v>289.49703204349544</v>
          </cell>
          <cell r="CR130">
            <v>3843.1178837833613</v>
          </cell>
          <cell r="CS130">
            <v>3795.3297680668511</v>
          </cell>
          <cell r="CT130">
            <v>1733.0962786910816</v>
          </cell>
          <cell r="CU130">
            <v>-212.92161494997163</v>
          </cell>
          <cell r="CV130">
            <v>4960.4184327556632</v>
          </cell>
          <cell r="CW130">
            <v>185.38932833678882</v>
          </cell>
          <cell r="CX130">
            <v>3754.6090529651774</v>
          </cell>
          <cell r="CY130">
            <v>3514.3569548725372</v>
          </cell>
          <cell r="CZ130">
            <v>1413.6617839860737</v>
          </cell>
          <cell r="DA130">
            <v>3771.6571753694589</v>
          </cell>
          <cell r="DB130">
            <v>3769.9531483949213</v>
          </cell>
          <cell r="DC130">
            <v>4.0642779845202313</v>
          </cell>
          <cell r="DD130">
            <v>9980.8837854009271</v>
          </cell>
          <cell r="DE130">
            <v>0</v>
          </cell>
          <cell r="DF130">
            <v>-3563.1058047021274</v>
          </cell>
          <cell r="DG130">
            <v>0</v>
          </cell>
          <cell r="DH130">
            <v>0</v>
          </cell>
          <cell r="DI130">
            <v>-1255.7593598179003</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row>
        <row r="132">
          <cell r="E132">
            <v>38292</v>
          </cell>
        </row>
        <row r="134">
          <cell r="E134">
            <v>37834</v>
          </cell>
        </row>
        <row r="135">
          <cell r="E135">
            <v>40513</v>
          </cell>
        </row>
      </sheetData>
      <sheetData sheetId="11"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17">
          <cell r="FA17">
            <v>0</v>
          </cell>
        </row>
        <row r="33">
          <cell r="FA33">
            <v>0</v>
          </cell>
        </row>
        <row r="49">
          <cell r="FA49">
            <v>0</v>
          </cell>
        </row>
        <row r="65">
          <cell r="FA65">
            <v>0</v>
          </cell>
        </row>
        <row r="81">
          <cell r="FA81">
            <v>0</v>
          </cell>
        </row>
        <row r="97">
          <cell r="FA97">
            <v>0</v>
          </cell>
        </row>
        <row r="113">
          <cell r="FA113">
            <v>0</v>
          </cell>
        </row>
        <row r="129">
          <cell r="FA129">
            <v>0</v>
          </cell>
        </row>
      </sheetData>
      <sheetData sheetId="12"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row>
      </sheetData>
      <sheetData sheetId="13"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8">
          <cell r="FA8">
            <v>0</v>
          </cell>
        </row>
      </sheetData>
      <sheetData sheetId="14"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row>
      </sheetData>
      <sheetData sheetId="15"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24">
          <cell r="FA24">
            <v>0</v>
          </cell>
        </row>
        <row r="27">
          <cell r="FA27">
            <v>0</v>
          </cell>
        </row>
        <row r="28">
          <cell r="FA28">
            <v>0</v>
          </cell>
        </row>
        <row r="29">
          <cell r="FA29">
            <v>0</v>
          </cell>
        </row>
        <row r="30">
          <cell r="FA30">
            <v>0</v>
          </cell>
        </row>
        <row r="31">
          <cell r="FA31">
            <v>0</v>
          </cell>
        </row>
        <row r="32">
          <cell r="FA32">
            <v>0</v>
          </cell>
        </row>
        <row r="33">
          <cell r="FA33">
            <v>0</v>
          </cell>
        </row>
        <row r="34">
          <cell r="FA34">
            <v>0</v>
          </cell>
        </row>
        <row r="38">
          <cell r="FA38">
            <v>0</v>
          </cell>
        </row>
        <row r="41">
          <cell r="FA41">
            <v>0</v>
          </cell>
        </row>
        <row r="44">
          <cell r="FA44">
            <v>0</v>
          </cell>
        </row>
        <row r="47">
          <cell r="C47" t="str">
            <v>Checker</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L47">
            <v>0</v>
          </cell>
          <cell r="EM47">
            <v>0</v>
          </cell>
          <cell r="EN47">
            <v>0</v>
          </cell>
          <cell r="EO47">
            <v>0</v>
          </cell>
          <cell r="EP47">
            <v>0</v>
          </cell>
          <cell r="EQ47">
            <v>0</v>
          </cell>
          <cell r="ER47">
            <v>0</v>
          </cell>
          <cell r="ES47">
            <v>0</v>
          </cell>
          <cell r="ET47">
            <v>0</v>
          </cell>
          <cell r="EU47">
            <v>0</v>
          </cell>
          <cell r="EV47">
            <v>0</v>
          </cell>
          <cell r="EW47">
            <v>0</v>
          </cell>
        </row>
      </sheetData>
      <sheetData sheetId="16" refreshError="1">
        <row r="4">
          <cell r="G4">
            <v>37865</v>
          </cell>
          <cell r="H4">
            <v>38231</v>
          </cell>
          <cell r="I4">
            <v>38596</v>
          </cell>
          <cell r="J4">
            <v>38961</v>
          </cell>
          <cell r="K4">
            <v>39326</v>
          </cell>
          <cell r="L4">
            <v>39692</v>
          </cell>
          <cell r="M4">
            <v>40057</v>
          </cell>
          <cell r="N4">
            <v>40422</v>
          </cell>
          <cell r="O4">
            <v>40787</v>
          </cell>
          <cell r="P4">
            <v>41153</v>
          </cell>
          <cell r="Q4">
            <v>41518</v>
          </cell>
        </row>
      </sheetData>
      <sheetData sheetId="17"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8">
          <cell r="FA8">
            <v>0</v>
          </cell>
        </row>
      </sheetData>
      <sheetData sheetId="18"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23">
          <cell r="H23">
            <v>0</v>
          </cell>
          <cell r="I23">
            <v>0</v>
          </cell>
          <cell r="J23">
            <v>0</v>
          </cell>
          <cell r="K23">
            <v>0</v>
          </cell>
          <cell r="L23">
            <v>0</v>
          </cell>
          <cell r="M23">
            <v>0</v>
          </cell>
          <cell r="N23">
            <v>0</v>
          </cell>
          <cell r="O23">
            <v>0</v>
          </cell>
          <cell r="P23">
            <v>0</v>
          </cell>
          <cell r="Q23">
            <v>0</v>
          </cell>
          <cell r="R23">
            <v>0</v>
          </cell>
          <cell r="S23">
            <v>0</v>
          </cell>
          <cell r="T23">
            <v>0</v>
          </cell>
          <cell r="U23">
            <v>0</v>
          </cell>
          <cell r="V23">
            <v>5719.5946515952091</v>
          </cell>
          <cell r="W23">
            <v>6510.6757017740365</v>
          </cell>
          <cell r="X23">
            <v>12202.006250848401</v>
          </cell>
          <cell r="Y23">
            <v>14066.788477278344</v>
          </cell>
          <cell r="Z23">
            <v>16136.87832568609</v>
          </cell>
          <cell r="AA23">
            <v>15602.353310463668</v>
          </cell>
          <cell r="AB23">
            <v>17236.957194180944</v>
          </cell>
          <cell r="AC23">
            <v>17981.688989418803</v>
          </cell>
          <cell r="AD23">
            <v>38488.732625533899</v>
          </cell>
          <cell r="AE23">
            <v>48552.146835190193</v>
          </cell>
          <cell r="AF23">
            <v>57774.51594474935</v>
          </cell>
          <cell r="AG23">
            <v>58842.164310700209</v>
          </cell>
          <cell r="AH23">
            <v>61007.931598713454</v>
          </cell>
          <cell r="AI23">
            <v>63285.842194042809</v>
          </cell>
          <cell r="AJ23">
            <v>64102.981595463963</v>
          </cell>
          <cell r="AK23">
            <v>70449.375986817555</v>
          </cell>
          <cell r="AL23">
            <v>76413.060846001055</v>
          </cell>
          <cell r="AM23">
            <v>41475.520009044318</v>
          </cell>
          <cell r="AN23">
            <v>36820.360542391471</v>
          </cell>
          <cell r="AO23">
            <v>30541.084520929391</v>
          </cell>
          <cell r="AP23">
            <v>32781.192513713555</v>
          </cell>
          <cell r="AQ23">
            <v>30647.42247012382</v>
          </cell>
          <cell r="AR23">
            <v>33672.910301462223</v>
          </cell>
          <cell r="AS23">
            <v>32950.360998643046</v>
          </cell>
          <cell r="AT23">
            <v>32841.510077670639</v>
          </cell>
          <cell r="AU23">
            <v>32844.802464014349</v>
          </cell>
          <cell r="AV23">
            <v>41017.092792946787</v>
          </cell>
          <cell r="AW23">
            <v>46998.645862975587</v>
          </cell>
          <cell r="AX23">
            <v>52727.610641772131</v>
          </cell>
          <cell r="AY23">
            <v>36568.941401792923</v>
          </cell>
          <cell r="AZ23">
            <v>39023.880485059468</v>
          </cell>
          <cell r="BA23">
            <v>40406.902642151916</v>
          </cell>
          <cell r="BB23">
            <v>42096.484718711021</v>
          </cell>
          <cell r="BC23">
            <v>40303.482255455463</v>
          </cell>
          <cell r="BD23">
            <v>42490.045364700891</v>
          </cell>
          <cell r="BE23">
            <v>42494.497648019598</v>
          </cell>
          <cell r="BF23">
            <v>42903.990863357176</v>
          </cell>
          <cell r="BG23">
            <v>43387.498661523394</v>
          </cell>
          <cell r="BH23">
            <v>38166.930934860531</v>
          </cell>
          <cell r="BI23">
            <v>34700.485897219434</v>
          </cell>
          <cell r="BJ23">
            <v>31336.694670567242</v>
          </cell>
          <cell r="BK23">
            <v>11202.072869063868</v>
          </cell>
          <cell r="BL23">
            <v>11771.542081124058</v>
          </cell>
          <cell r="BM23">
            <v>11896.07524894454</v>
          </cell>
          <cell r="BN23">
            <v>12520.675093219341</v>
          </cell>
          <cell r="BO23">
            <v>9898.0379801710496</v>
          </cell>
          <cell r="BP23">
            <v>11228.085182688936</v>
          </cell>
          <cell r="BQ23">
            <v>11283.869157318079</v>
          </cell>
          <cell r="BR23">
            <v>11909.454134278552</v>
          </cell>
          <cell r="BS23">
            <v>12591.110764897083</v>
          </cell>
          <cell r="BT23">
            <v>10395.334933059463</v>
          </cell>
          <cell r="BU23">
            <v>10525.094648236072</v>
          </cell>
          <cell r="BV23">
            <v>10654.854363412682</v>
          </cell>
          <cell r="BW23">
            <v>1954.236050734813</v>
          </cell>
          <cell r="BX23">
            <v>2083.995765911422</v>
          </cell>
          <cell r="BY23">
            <v>1297.5971517661042</v>
          </cell>
          <cell r="BZ23">
            <v>1330.5208013571498</v>
          </cell>
          <cell r="CA23">
            <v>1440.9133034166464</v>
          </cell>
          <cell r="CB23">
            <v>1551.305805476143</v>
          </cell>
          <cell r="CC23">
            <v>1661.6983075356395</v>
          </cell>
          <cell r="CD23">
            <v>1772.0908095951361</v>
          </cell>
          <cell r="CE23">
            <v>1882.4833116546326</v>
          </cell>
          <cell r="CF23">
            <v>1770.9402463166921</v>
          </cell>
          <cell r="CG23">
            <v>1836.945634896701</v>
          </cell>
          <cell r="CH23">
            <v>1902.9510234767099</v>
          </cell>
          <cell r="CI23">
            <v>528.04310864008517</v>
          </cell>
          <cell r="CJ23">
            <v>594.04849722009419</v>
          </cell>
          <cell r="CK23">
            <v>660.05388580010322</v>
          </cell>
          <cell r="CL23">
            <v>714.07060443045179</v>
          </cell>
          <cell r="CM23">
            <v>777.6782590205288</v>
          </cell>
          <cell r="CN23">
            <v>841.2859136106058</v>
          </cell>
          <cell r="CO23">
            <v>904.89356820068281</v>
          </cell>
          <cell r="CP23">
            <v>968.50122279075981</v>
          </cell>
          <cell r="CQ23">
            <v>1032.1088773808367</v>
          </cell>
          <cell r="CR23">
            <v>1083.7278620212533</v>
          </cell>
          <cell r="CS23">
            <v>1144.9377826213981</v>
          </cell>
          <cell r="CT23">
            <v>1206.147703221543</v>
          </cell>
          <cell r="CU23">
            <v>489.67936480117169</v>
          </cell>
          <cell r="CV23">
            <v>550.88928540131656</v>
          </cell>
          <cell r="CW23">
            <v>612.09920600146143</v>
          </cell>
          <cell r="CX23">
            <v>673.30912660160629</v>
          </cell>
          <cell r="CY23">
            <v>734.51904720175116</v>
          </cell>
          <cell r="CZ23">
            <v>795.72896780189603</v>
          </cell>
          <cell r="DA23">
            <v>856.9388884020409</v>
          </cell>
          <cell r="DB23">
            <v>918.14880900218577</v>
          </cell>
          <cell r="DC23">
            <v>1.2278178473934531E-11</v>
          </cell>
          <cell r="DD23">
            <v>1.2278178473934531E-11</v>
          </cell>
          <cell r="DE23">
            <v>1.2278178473934531E-11</v>
          </cell>
          <cell r="DF23">
            <v>1.2278178473934531E-11</v>
          </cell>
          <cell r="DG23">
            <v>1.2278178473934531E-11</v>
          </cell>
          <cell r="DH23">
            <v>1.2278178473934531E-11</v>
          </cell>
          <cell r="DI23">
            <v>1.2278178473934531E-11</v>
          </cell>
          <cell r="DJ23">
            <v>1.2278178473934531E-11</v>
          </cell>
          <cell r="DK23">
            <v>1.2278178473934531E-11</v>
          </cell>
          <cell r="DL23">
            <v>1.2278178473934531E-11</v>
          </cell>
          <cell r="DM23">
            <v>1.2278178473934531E-11</v>
          </cell>
          <cell r="DN23">
            <v>1.2278178473934531E-11</v>
          </cell>
          <cell r="DO23">
            <v>1.2278178473934531E-11</v>
          </cell>
          <cell r="DP23">
            <v>1.2278178473934531E-11</v>
          </cell>
          <cell r="DQ23">
            <v>1.2278178473934531E-11</v>
          </cell>
          <cell r="DR23">
            <v>1.2278178473934531E-11</v>
          </cell>
          <cell r="DS23">
            <v>1.2278178473934531E-11</v>
          </cell>
          <cell r="DT23">
            <v>1.2278178473934531E-11</v>
          </cell>
          <cell r="DU23">
            <v>1.2278178473934531E-11</v>
          </cell>
          <cell r="DV23">
            <v>1.2278178473934531E-11</v>
          </cell>
          <cell r="DW23">
            <v>1.2278178473934531E-11</v>
          </cell>
          <cell r="DX23">
            <v>1.2278178473934531E-11</v>
          </cell>
          <cell r="DY23">
            <v>1.2278178473934531E-11</v>
          </cell>
          <cell r="DZ23">
            <v>1.2278178473934531E-11</v>
          </cell>
          <cell r="EA23">
            <v>1.2278178473934531E-11</v>
          </cell>
          <cell r="EB23">
            <v>1.2278178473934531E-11</v>
          </cell>
          <cell r="EC23">
            <v>1.2278178473934531E-11</v>
          </cell>
          <cell r="ED23">
            <v>1.2278178473934531E-11</v>
          </cell>
          <cell r="EE23">
            <v>1.2278178473934531E-11</v>
          </cell>
          <cell r="EF23">
            <v>1.2278178473934531E-11</v>
          </cell>
          <cell r="EG23">
            <v>1.2278178473934531E-11</v>
          </cell>
          <cell r="EH23">
            <v>1.2278178473934531E-11</v>
          </cell>
          <cell r="EI23">
            <v>1.2278178473934531E-11</v>
          </cell>
        </row>
        <row r="26">
          <cell r="E26">
            <v>38412</v>
          </cell>
        </row>
        <row r="27">
          <cell r="E27">
            <v>76413.060846001055</v>
          </cell>
        </row>
        <row r="33">
          <cell r="H33">
            <v>0</v>
          </cell>
          <cell r="I33">
            <v>0</v>
          </cell>
          <cell r="J33">
            <v>0</v>
          </cell>
          <cell r="K33">
            <v>0</v>
          </cell>
          <cell r="L33">
            <v>0</v>
          </cell>
          <cell r="M33">
            <v>0</v>
          </cell>
          <cell r="N33">
            <v>0</v>
          </cell>
          <cell r="O33">
            <v>0</v>
          </cell>
          <cell r="P33">
            <v>0</v>
          </cell>
          <cell r="Q33">
            <v>0</v>
          </cell>
          <cell r="R33">
            <v>0</v>
          </cell>
          <cell r="S33">
            <v>1243.8340866869021</v>
          </cell>
          <cell r="T33">
            <v>1627.9593193402102</v>
          </cell>
          <cell r="U33">
            <v>2012.0845519935183</v>
          </cell>
          <cell r="V33">
            <v>8705.229957084468</v>
          </cell>
          <cell r="W33">
            <v>15945.919315970548</v>
          </cell>
          <cell r="X33">
            <v>21616.300210917259</v>
          </cell>
          <cell r="Y33">
            <v>29312.358654638956</v>
          </cell>
          <cell r="Z33">
            <v>29496.987161615565</v>
          </cell>
          <cell r="AA33">
            <v>29360.844925311689</v>
          </cell>
          <cell r="AB33">
            <v>28623.626811972037</v>
          </cell>
          <cell r="AC33">
            <v>29961.250205530589</v>
          </cell>
          <cell r="AD33">
            <v>45556.401240549792</v>
          </cell>
          <cell r="AE33">
            <v>68462.111365667588</v>
          </cell>
          <cell r="AF33">
            <v>78399.271631862808</v>
          </cell>
          <cell r="AG33">
            <v>85776.123304005974</v>
          </cell>
          <cell r="AH33">
            <v>84038.024512973148</v>
          </cell>
          <cell r="AI33">
            <v>85015.794523697274</v>
          </cell>
          <cell r="AJ33">
            <v>77590.241933803365</v>
          </cell>
          <cell r="AK33">
            <v>74157.593738390569</v>
          </cell>
          <cell r="AL33">
            <v>84601.384091802232</v>
          </cell>
          <cell r="AM33">
            <v>102297.44948024172</v>
          </cell>
          <cell r="AN33">
            <v>51238.104880114399</v>
          </cell>
          <cell r="AO33">
            <v>49327.887917470565</v>
          </cell>
          <cell r="AP33">
            <v>39696.120241943529</v>
          </cell>
          <cell r="AQ33">
            <v>42210.612927801623</v>
          </cell>
          <cell r="AR33">
            <v>43759.186724661929</v>
          </cell>
          <cell r="AS33">
            <v>45525.233685723368</v>
          </cell>
          <cell r="AT33">
            <v>42755.32578935186</v>
          </cell>
          <cell r="AU33">
            <v>45405.531254740708</v>
          </cell>
          <cell r="AV33">
            <v>46763.423571356019</v>
          </cell>
          <cell r="AW33">
            <v>54344.603332756371</v>
          </cell>
          <cell r="AX33">
            <v>62627.969076648595</v>
          </cell>
          <cell r="AY33">
            <v>74221.98023162139</v>
          </cell>
          <cell r="AZ33">
            <v>47061.682169655222</v>
          </cell>
          <cell r="BA33">
            <v>52076.484799011785</v>
          </cell>
          <cell r="BB33">
            <v>51725.142277191779</v>
          </cell>
          <cell r="BC33">
            <v>52536.569431627184</v>
          </cell>
          <cell r="BD33">
            <v>54127.167935530422</v>
          </cell>
          <cell r="BE33">
            <v>54143.623863647583</v>
          </cell>
          <cell r="BF33">
            <v>51343.534859232605</v>
          </cell>
          <cell r="BG33">
            <v>56354.031412501477</v>
          </cell>
          <cell r="BH33">
            <v>51945.440093878526</v>
          </cell>
          <cell r="BI33">
            <v>43777.26357353288</v>
          </cell>
          <cell r="BJ33">
            <v>45259.00605097544</v>
          </cell>
          <cell r="BK33">
            <v>46169.184231110645</v>
          </cell>
          <cell r="BL33">
            <v>13747.12588561009</v>
          </cell>
          <cell r="BM33">
            <v>19177.574819818416</v>
          </cell>
          <cell r="BN33">
            <v>16772.264568417799</v>
          </cell>
          <cell r="BO33">
            <v>15616.727859433304</v>
          </cell>
          <cell r="BP33">
            <v>17500.842629158404</v>
          </cell>
          <cell r="BQ33">
            <v>16660.411092694616</v>
          </cell>
          <cell r="BR33">
            <v>14640.740748602984</v>
          </cell>
          <cell r="BS33">
            <v>19093.641282161523</v>
          </cell>
          <cell r="BT33">
            <v>14700.797978120856</v>
          </cell>
          <cell r="BU33">
            <v>10068.554652955994</v>
          </cell>
          <cell r="BV33">
            <v>11626.532215438056</v>
          </cell>
          <cell r="BW33">
            <v>18165.05832937386</v>
          </cell>
          <cell r="BX33">
            <v>3585.5849496947485</v>
          </cell>
          <cell r="BY33">
            <v>7302.7378184162662</v>
          </cell>
          <cell r="BZ33">
            <v>4332.852582512598</v>
          </cell>
          <cell r="CA33">
            <v>3321.8512364874477</v>
          </cell>
          <cell r="CB33">
            <v>5443.9898506966711</v>
          </cell>
          <cell r="CC33">
            <v>4290.9071030488703</v>
          </cell>
          <cell r="CD33">
            <v>3138.3526037631673</v>
          </cell>
          <cell r="CE33">
            <v>5800.9457295593747</v>
          </cell>
          <cell r="CF33">
            <v>4363.8120349536766</v>
          </cell>
          <cell r="CG33">
            <v>2952.3204999361187</v>
          </cell>
          <cell r="CH33">
            <v>1835.276416281733</v>
          </cell>
          <cell r="CI33">
            <v>6983.3795288677211</v>
          </cell>
          <cell r="CJ33">
            <v>3647.1002331745694</v>
          </cell>
          <cell r="CK33">
            <v>6200.0178843875183</v>
          </cell>
          <cell r="CL33">
            <v>4866.5852060828183</v>
          </cell>
          <cell r="CM33">
            <v>3963.1202151238103</v>
          </cell>
          <cell r="CN33">
            <v>905.13625940814381</v>
          </cell>
          <cell r="CO33">
            <v>5410.4895320540818</v>
          </cell>
          <cell r="CP33">
            <v>4262.4566674860835</v>
          </cell>
          <cell r="CQ33">
            <v>6665.1654416533711</v>
          </cell>
          <cell r="CR33">
            <v>5474.3503415364539</v>
          </cell>
          <cell r="CS33">
            <v>4332.0214316642378</v>
          </cell>
          <cell r="CT33">
            <v>2428.8815627142903</v>
          </cell>
          <cell r="CU33">
            <v>5414.6074348141556</v>
          </cell>
          <cell r="CV33">
            <v>3103.6625244157913</v>
          </cell>
          <cell r="CW33">
            <v>5566.5709398238687</v>
          </cell>
          <cell r="CX33">
            <v>4263.904602327093</v>
          </cell>
          <cell r="CY33">
            <v>3395.4938339745277</v>
          </cell>
          <cell r="CZ33">
            <v>4626.6024578960496</v>
          </cell>
          <cell r="DA33">
            <v>3498.5399118216592</v>
          </cell>
          <cell r="DB33">
            <v>2371.0056141094828</v>
          </cell>
          <cell r="DC33">
            <v>5162.0186208808736</v>
          </cell>
          <cell r="DD33">
            <v>1.2278178473934531E-11</v>
          </cell>
          <cell r="DE33">
            <v>1.2278178473934531E-11</v>
          </cell>
          <cell r="DF33">
            <v>1.2278178473934531E-11</v>
          </cell>
          <cell r="DG33">
            <v>1.2278178473934531E-11</v>
          </cell>
          <cell r="DH33">
            <v>1.2278178473934531E-11</v>
          </cell>
          <cell r="DI33">
            <v>1.2278178473934531E-11</v>
          </cell>
          <cell r="DJ33">
            <v>1.2278178473934531E-11</v>
          </cell>
          <cell r="DK33">
            <v>1.2278178473934531E-11</v>
          </cell>
          <cell r="DL33">
            <v>1.2278178473934531E-11</v>
          </cell>
          <cell r="DM33">
            <v>1.2278178473934531E-11</v>
          </cell>
          <cell r="DN33">
            <v>1.2278178473934531E-11</v>
          </cell>
          <cell r="DO33">
            <v>1.2278178473934531E-11</v>
          </cell>
          <cell r="DP33">
            <v>1.2278178473934531E-11</v>
          </cell>
          <cell r="DQ33">
            <v>1.2278178473934531E-11</v>
          </cell>
          <cell r="DR33">
            <v>1.2278178473934531E-11</v>
          </cell>
          <cell r="DS33">
            <v>1.2278178473934531E-11</v>
          </cell>
          <cell r="DT33">
            <v>1.2278178473934531E-11</v>
          </cell>
          <cell r="DU33">
            <v>1.2278178473934531E-11</v>
          </cell>
          <cell r="DV33">
            <v>1.2278178473934531E-11</v>
          </cell>
          <cell r="DW33">
            <v>1.2278178473934531E-11</v>
          </cell>
          <cell r="DX33">
            <v>1.2278178473934531E-11</v>
          </cell>
          <cell r="DY33">
            <v>1.2278178473934531E-11</v>
          </cell>
          <cell r="DZ33">
            <v>1.2278178473934531E-11</v>
          </cell>
          <cell r="EA33">
            <v>1.2278178473934531E-11</v>
          </cell>
          <cell r="EB33">
            <v>1.2278178473934531E-11</v>
          </cell>
          <cell r="EC33">
            <v>1.2278178473934531E-11</v>
          </cell>
          <cell r="ED33">
            <v>1.2278178473934531E-11</v>
          </cell>
          <cell r="EE33">
            <v>1.2278178473934531E-11</v>
          </cell>
          <cell r="EF33">
            <v>1.2278178473934531E-11</v>
          </cell>
          <cell r="EG33">
            <v>1.2278178473934531E-11</v>
          </cell>
          <cell r="EH33">
            <v>1.2278178473934531E-11</v>
          </cell>
          <cell r="EI33">
            <v>1.2278178473934531E-11</v>
          </cell>
        </row>
        <row r="38">
          <cell r="FA38">
            <v>0</v>
          </cell>
        </row>
        <row r="66">
          <cell r="H66">
            <v>0</v>
          </cell>
          <cell r="I66">
            <v>0</v>
          </cell>
          <cell r="J66">
            <v>0</v>
          </cell>
          <cell r="K66">
            <v>0</v>
          </cell>
          <cell r="L66">
            <v>0</v>
          </cell>
          <cell r="M66">
            <v>0</v>
          </cell>
          <cell r="N66">
            <v>0</v>
          </cell>
          <cell r="O66">
            <v>0</v>
          </cell>
          <cell r="P66">
            <v>0</v>
          </cell>
          <cell r="Q66">
            <v>0</v>
          </cell>
          <cell r="R66">
            <v>0</v>
          </cell>
          <cell r="S66">
            <v>0</v>
          </cell>
          <cell r="T66">
            <v>0</v>
          </cell>
          <cell r="U66">
            <v>0</v>
          </cell>
          <cell r="V66">
            <v>5719.5946515952091</v>
          </cell>
          <cell r="W66">
            <v>6510.6757017740365</v>
          </cell>
          <cell r="X66">
            <v>12202.006250848401</v>
          </cell>
          <cell r="Y66">
            <v>14066.788477278344</v>
          </cell>
          <cell r="Z66">
            <v>16136.87832568609</v>
          </cell>
          <cell r="AA66">
            <v>15602.353310463668</v>
          </cell>
          <cell r="AB66">
            <v>17236.957194180944</v>
          </cell>
          <cell r="AC66">
            <v>17981.688989418803</v>
          </cell>
          <cell r="AD66">
            <v>38488.732625533899</v>
          </cell>
          <cell r="AE66">
            <v>48552.146835190193</v>
          </cell>
          <cell r="AF66">
            <v>57774.51594474935</v>
          </cell>
          <cell r="AG66">
            <v>58842.164310700209</v>
          </cell>
          <cell r="AH66">
            <v>61007.931598713454</v>
          </cell>
          <cell r="AI66">
            <v>63285.842194042809</v>
          </cell>
          <cell r="AJ66">
            <v>64102.981595463963</v>
          </cell>
          <cell r="AK66">
            <v>70449.375986817555</v>
          </cell>
          <cell r="AL66">
            <v>76413.060846001055</v>
          </cell>
          <cell r="AM66">
            <v>41475.520009044318</v>
          </cell>
          <cell r="AN66">
            <v>36820.360542391471</v>
          </cell>
          <cell r="AO66">
            <v>30541.084520929391</v>
          </cell>
          <cell r="AP66">
            <v>32781.192513713555</v>
          </cell>
          <cell r="AQ66">
            <v>30647.42247012382</v>
          </cell>
          <cell r="AR66">
            <v>33672.910301462223</v>
          </cell>
          <cell r="AS66">
            <v>32950.360998643046</v>
          </cell>
          <cell r="AT66">
            <v>32841.510077670639</v>
          </cell>
          <cell r="AU66">
            <v>32844.802464014349</v>
          </cell>
          <cell r="AV66">
            <v>41017.092792946787</v>
          </cell>
          <cell r="AW66">
            <v>46998.645862975587</v>
          </cell>
          <cell r="AX66">
            <v>52727.610641772131</v>
          </cell>
          <cell r="AY66">
            <v>36568.941401792923</v>
          </cell>
          <cell r="AZ66">
            <v>39023.880485059468</v>
          </cell>
          <cell r="BA66">
            <v>40406.902642151916</v>
          </cell>
          <cell r="BB66">
            <v>42096.484718711021</v>
          </cell>
          <cell r="BC66">
            <v>40303.482255455463</v>
          </cell>
          <cell r="BD66">
            <v>42490.045364700891</v>
          </cell>
          <cell r="BE66">
            <v>42494.497648019598</v>
          </cell>
          <cell r="BF66">
            <v>42903.990863357176</v>
          </cell>
          <cell r="BG66">
            <v>43387.498661523394</v>
          </cell>
          <cell r="BH66">
            <v>38166.930934860531</v>
          </cell>
          <cell r="BI66">
            <v>34700.485897219434</v>
          </cell>
          <cell r="BJ66">
            <v>31336.694670567242</v>
          </cell>
          <cell r="BK66">
            <v>11202.072869063868</v>
          </cell>
          <cell r="BL66">
            <v>11771.542081124058</v>
          </cell>
          <cell r="BM66">
            <v>11896.07524894454</v>
          </cell>
          <cell r="BN66">
            <v>12520.675093219341</v>
          </cell>
          <cell r="BO66">
            <v>9898.0379801710496</v>
          </cell>
          <cell r="BP66">
            <v>11228.085182688936</v>
          </cell>
          <cell r="BQ66">
            <v>11283.869157318079</v>
          </cell>
          <cell r="BR66">
            <v>11909.454134278552</v>
          </cell>
          <cell r="BS66">
            <v>12591.110764897083</v>
          </cell>
          <cell r="BT66">
            <v>10395.334933059463</v>
          </cell>
          <cell r="BU66">
            <v>10525.094648236072</v>
          </cell>
          <cell r="BV66">
            <v>10654.854363412682</v>
          </cell>
          <cell r="BW66">
            <v>1954.236050734813</v>
          </cell>
          <cell r="BX66">
            <v>2083.995765911422</v>
          </cell>
          <cell r="BY66">
            <v>1297.5971517661042</v>
          </cell>
          <cell r="BZ66">
            <v>1330.5208013571498</v>
          </cell>
          <cell r="CA66">
            <v>1440.9133034166464</v>
          </cell>
          <cell r="CB66">
            <v>1551.305805476143</v>
          </cell>
          <cell r="CC66">
            <v>1661.6983075356395</v>
          </cell>
          <cell r="CD66">
            <v>1772.0908095951361</v>
          </cell>
          <cell r="CE66">
            <v>1882.4833116546326</v>
          </cell>
          <cell r="CF66">
            <v>1770.9402463166921</v>
          </cell>
          <cell r="CG66">
            <v>1836.945634896701</v>
          </cell>
          <cell r="CH66">
            <v>1902.9510234767099</v>
          </cell>
          <cell r="CI66">
            <v>528.04310864008517</v>
          </cell>
          <cell r="CJ66">
            <v>594.04849722009419</v>
          </cell>
          <cell r="CK66">
            <v>660.05388580010322</v>
          </cell>
          <cell r="CL66">
            <v>714.07060443045179</v>
          </cell>
          <cell r="CM66">
            <v>777.6782590205288</v>
          </cell>
          <cell r="CN66">
            <v>841.2859136106058</v>
          </cell>
          <cell r="CO66">
            <v>904.89356820068281</v>
          </cell>
          <cell r="CP66">
            <v>968.50122279075981</v>
          </cell>
          <cell r="CQ66">
            <v>1032.1088773808367</v>
          </cell>
          <cell r="CR66">
            <v>1083.7278620212533</v>
          </cell>
          <cell r="CS66">
            <v>1144.9377826213981</v>
          </cell>
          <cell r="CT66">
            <v>1206.147703221543</v>
          </cell>
          <cell r="CU66">
            <v>489.67936480117169</v>
          </cell>
          <cell r="CV66">
            <v>550.88928540131656</v>
          </cell>
          <cell r="CW66">
            <v>612.09920600146143</v>
          </cell>
          <cell r="CX66">
            <v>673.30912660160629</v>
          </cell>
          <cell r="CY66">
            <v>734.51904720175116</v>
          </cell>
          <cell r="CZ66">
            <v>795.72896780189603</v>
          </cell>
          <cell r="DA66">
            <v>856.9388884020409</v>
          </cell>
          <cell r="DB66">
            <v>918.14880900218577</v>
          </cell>
          <cell r="DC66">
            <v>1.2278178473934531E-11</v>
          </cell>
          <cell r="DD66">
            <v>1.2278178473934531E-11</v>
          </cell>
          <cell r="DE66">
            <v>1.2278178473934531E-11</v>
          </cell>
          <cell r="DF66">
            <v>1.2278178473934531E-11</v>
          </cell>
          <cell r="DG66">
            <v>1.2278178473934531E-11</v>
          </cell>
          <cell r="DH66">
            <v>1.2278178473934531E-11</v>
          </cell>
          <cell r="DI66">
            <v>1.2278178473934531E-11</v>
          </cell>
          <cell r="DJ66">
            <v>1.2278178473934531E-11</v>
          </cell>
          <cell r="DK66">
            <v>1.2278178473934531E-11</v>
          </cell>
          <cell r="DL66">
            <v>1.2278178473934531E-11</v>
          </cell>
          <cell r="DM66">
            <v>1.2278178473934531E-11</v>
          </cell>
          <cell r="DN66">
            <v>1.2278178473934531E-11</v>
          </cell>
          <cell r="DO66">
            <v>1.2278178473934531E-11</v>
          </cell>
          <cell r="DP66">
            <v>1.2278178473934531E-11</v>
          </cell>
          <cell r="DQ66">
            <v>1.2278178473934531E-11</v>
          </cell>
          <cell r="DR66">
            <v>1.2278178473934531E-11</v>
          </cell>
          <cell r="DS66">
            <v>1.2278178473934531E-11</v>
          </cell>
          <cell r="DT66">
            <v>1.2278178473934531E-11</v>
          </cell>
          <cell r="DU66">
            <v>1.2278178473934531E-11</v>
          </cell>
          <cell r="DV66">
            <v>1.2278178473934531E-11</v>
          </cell>
          <cell r="DW66">
            <v>1.2278178473934531E-11</v>
          </cell>
          <cell r="DX66">
            <v>1.2278178473934531E-11</v>
          </cell>
          <cell r="DY66">
            <v>1.2278178473934531E-11</v>
          </cell>
          <cell r="DZ66">
            <v>1.2278178473934531E-11</v>
          </cell>
          <cell r="EA66">
            <v>1.2278178473934531E-11</v>
          </cell>
          <cell r="EB66">
            <v>1.2278178473934531E-11</v>
          </cell>
          <cell r="EC66">
            <v>1.2278178473934531E-11</v>
          </cell>
          <cell r="ED66">
            <v>1.2278178473934531E-11</v>
          </cell>
          <cell r="EE66">
            <v>1.2278178473934531E-11</v>
          </cell>
          <cell r="EF66">
            <v>1.2278178473934531E-11</v>
          </cell>
          <cell r="EG66">
            <v>1.2278178473934531E-11</v>
          </cell>
          <cell r="EH66">
            <v>1.2278178473934531E-11</v>
          </cell>
          <cell r="EI66">
            <v>1.2278178473934531E-11</v>
          </cell>
        </row>
        <row r="67">
          <cell r="H67">
            <v>37500</v>
          </cell>
          <cell r="I67">
            <v>37530</v>
          </cell>
          <cell r="J67">
            <v>37561</v>
          </cell>
          <cell r="K67">
            <v>37591</v>
          </cell>
          <cell r="L67">
            <v>37622</v>
          </cell>
          <cell r="M67">
            <v>37653</v>
          </cell>
          <cell r="N67">
            <v>37681</v>
          </cell>
          <cell r="O67">
            <v>37712</v>
          </cell>
          <cell r="P67">
            <v>37742</v>
          </cell>
          <cell r="Q67">
            <v>37773</v>
          </cell>
          <cell r="R67">
            <v>37803</v>
          </cell>
          <cell r="S67">
            <v>37834</v>
          </cell>
          <cell r="T67">
            <v>37865</v>
          </cell>
          <cell r="U67">
            <v>37895</v>
          </cell>
          <cell r="V67">
            <v>37926</v>
          </cell>
          <cell r="W67">
            <v>37956</v>
          </cell>
          <cell r="X67">
            <v>37987</v>
          </cell>
          <cell r="Y67">
            <v>38018</v>
          </cell>
          <cell r="Z67">
            <v>38047</v>
          </cell>
          <cell r="AA67">
            <v>38078</v>
          </cell>
          <cell r="AB67">
            <v>38108</v>
          </cell>
          <cell r="AC67">
            <v>38139</v>
          </cell>
          <cell r="AD67">
            <v>38169</v>
          </cell>
          <cell r="AE67">
            <v>38200</v>
          </cell>
          <cell r="AF67">
            <v>38231</v>
          </cell>
          <cell r="AG67">
            <v>38261</v>
          </cell>
          <cell r="AH67">
            <v>38292</v>
          </cell>
          <cell r="AI67">
            <v>38322</v>
          </cell>
          <cell r="AJ67">
            <v>38353</v>
          </cell>
          <cell r="AK67">
            <v>38384</v>
          </cell>
          <cell r="AL67">
            <v>38412</v>
          </cell>
          <cell r="AM67">
            <v>38443</v>
          </cell>
          <cell r="AN67">
            <v>38473</v>
          </cell>
          <cell r="AO67">
            <v>38504</v>
          </cell>
          <cell r="AP67">
            <v>38534</v>
          </cell>
          <cell r="AQ67">
            <v>38565</v>
          </cell>
          <cell r="AR67">
            <v>38596</v>
          </cell>
          <cell r="AS67">
            <v>38626</v>
          </cell>
          <cell r="AT67">
            <v>38657</v>
          </cell>
          <cell r="AU67">
            <v>38687</v>
          </cell>
          <cell r="AV67">
            <v>38718</v>
          </cell>
          <cell r="AW67">
            <v>38749</v>
          </cell>
          <cell r="AX67">
            <v>38777</v>
          </cell>
          <cell r="AY67">
            <v>38808</v>
          </cell>
          <cell r="AZ67">
            <v>38838</v>
          </cell>
          <cell r="BA67">
            <v>38869</v>
          </cell>
          <cell r="BB67">
            <v>38899</v>
          </cell>
          <cell r="BC67">
            <v>38930</v>
          </cell>
          <cell r="BD67">
            <v>38961</v>
          </cell>
          <cell r="BE67">
            <v>38991</v>
          </cell>
          <cell r="BF67">
            <v>39022</v>
          </cell>
          <cell r="BG67">
            <v>39052</v>
          </cell>
          <cell r="BH67">
            <v>39083</v>
          </cell>
          <cell r="BI67">
            <v>39114</v>
          </cell>
          <cell r="BJ67">
            <v>39142</v>
          </cell>
          <cell r="BK67">
            <v>39173</v>
          </cell>
          <cell r="BL67">
            <v>39203</v>
          </cell>
          <cell r="BM67">
            <v>39234</v>
          </cell>
          <cell r="BN67">
            <v>39264</v>
          </cell>
          <cell r="BO67">
            <v>39295</v>
          </cell>
          <cell r="BP67">
            <v>39326</v>
          </cell>
          <cell r="BQ67">
            <v>39356</v>
          </cell>
          <cell r="BR67">
            <v>39387</v>
          </cell>
          <cell r="BS67">
            <v>39417</v>
          </cell>
          <cell r="BT67">
            <v>39448</v>
          </cell>
          <cell r="BU67">
            <v>39479</v>
          </cell>
          <cell r="BV67">
            <v>39508</v>
          </cell>
          <cell r="BW67">
            <v>39539</v>
          </cell>
          <cell r="BX67">
            <v>39569</v>
          </cell>
          <cell r="BY67">
            <v>39600</v>
          </cell>
          <cell r="BZ67">
            <v>39630</v>
          </cell>
          <cell r="CA67">
            <v>39661</v>
          </cell>
          <cell r="CB67">
            <v>39692</v>
          </cell>
          <cell r="CC67">
            <v>39722</v>
          </cell>
          <cell r="CD67">
            <v>39753</v>
          </cell>
          <cell r="CE67">
            <v>39783</v>
          </cell>
          <cell r="CF67">
            <v>39814</v>
          </cell>
          <cell r="CG67">
            <v>39845</v>
          </cell>
          <cell r="CH67">
            <v>39873</v>
          </cell>
          <cell r="CI67">
            <v>39904</v>
          </cell>
          <cell r="CJ67">
            <v>39934</v>
          </cell>
          <cell r="CK67">
            <v>39965</v>
          </cell>
          <cell r="CL67">
            <v>39995</v>
          </cell>
          <cell r="CM67">
            <v>40026</v>
          </cell>
          <cell r="CN67">
            <v>40057</v>
          </cell>
          <cell r="CO67">
            <v>40087</v>
          </cell>
          <cell r="CP67">
            <v>40118</v>
          </cell>
          <cell r="CQ67">
            <v>40148</v>
          </cell>
          <cell r="CR67">
            <v>40179</v>
          </cell>
          <cell r="CS67">
            <v>40210</v>
          </cell>
          <cell r="CT67">
            <v>40238</v>
          </cell>
          <cell r="CU67">
            <v>40269</v>
          </cell>
          <cell r="CV67">
            <v>40299</v>
          </cell>
          <cell r="CW67">
            <v>40330</v>
          </cell>
          <cell r="CX67">
            <v>40360</v>
          </cell>
          <cell r="CY67">
            <v>40391</v>
          </cell>
          <cell r="CZ67">
            <v>40422</v>
          </cell>
          <cell r="DA67">
            <v>40452</v>
          </cell>
          <cell r="DB67">
            <v>40483</v>
          </cell>
          <cell r="DC67">
            <v>40513</v>
          </cell>
          <cell r="DD67">
            <v>40544</v>
          </cell>
          <cell r="DE67">
            <v>40575</v>
          </cell>
          <cell r="DF67">
            <v>40603</v>
          </cell>
          <cell r="DG67">
            <v>40634</v>
          </cell>
          <cell r="DH67">
            <v>40664</v>
          </cell>
          <cell r="DI67">
            <v>40695</v>
          </cell>
          <cell r="DJ67">
            <v>40725</v>
          </cell>
          <cell r="DK67">
            <v>40756</v>
          </cell>
          <cell r="DL67">
            <v>40787</v>
          </cell>
          <cell r="DM67">
            <v>40817</v>
          </cell>
          <cell r="DN67">
            <v>40848</v>
          </cell>
          <cell r="DO67">
            <v>40878</v>
          </cell>
          <cell r="DP67">
            <v>40909</v>
          </cell>
          <cell r="DQ67">
            <v>40940</v>
          </cell>
          <cell r="DR67">
            <v>40969</v>
          </cell>
          <cell r="DS67">
            <v>41000</v>
          </cell>
          <cell r="DT67">
            <v>41030</v>
          </cell>
          <cell r="DU67">
            <v>41061</v>
          </cell>
          <cell r="DV67">
            <v>41091</v>
          </cell>
          <cell r="DW67">
            <v>41122</v>
          </cell>
          <cell r="DX67">
            <v>41153</v>
          </cell>
          <cell r="DY67">
            <v>41183</v>
          </cell>
          <cell r="DZ67">
            <v>41214</v>
          </cell>
          <cell r="EA67">
            <v>41244</v>
          </cell>
          <cell r="EB67">
            <v>41275</v>
          </cell>
          <cell r="EC67">
            <v>41306</v>
          </cell>
          <cell r="ED67">
            <v>41334</v>
          </cell>
          <cell r="EE67">
            <v>41365</v>
          </cell>
          <cell r="EF67">
            <v>41395</v>
          </cell>
          <cell r="EG67">
            <v>41426</v>
          </cell>
          <cell r="EH67">
            <v>41456</v>
          </cell>
          <cell r="EI67">
            <v>41487</v>
          </cell>
        </row>
      </sheetData>
      <sheetData sheetId="19"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cell r="FA4" t="str">
            <v>Checker</v>
          </cell>
        </row>
        <row r="14">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7128.1615357469636</v>
          </cell>
          <cell r="X14">
            <v>9684.8430522766103</v>
          </cell>
          <cell r="Y14">
            <v>15256.834548363646</v>
          </cell>
          <cell r="Z14">
            <v>15056.779983826325</v>
          </cell>
          <cell r="AA14">
            <v>15345.756648930545</v>
          </cell>
          <cell r="AB14">
            <v>12598.63936661618</v>
          </cell>
          <cell r="AC14">
            <v>13061.76595628118</v>
          </cell>
          <cell r="AD14">
            <v>18204.31145933452</v>
          </cell>
          <cell r="AE14">
            <v>32502.932225852506</v>
          </cell>
          <cell r="AF14">
            <v>35831.586750800336</v>
          </cell>
          <cell r="AG14">
            <v>43324.500207523699</v>
          </cell>
          <cell r="AH14">
            <v>41565.946519803714</v>
          </cell>
          <cell r="AI14">
            <v>41487.749294702211</v>
          </cell>
          <cell r="AJ14">
            <v>42468.091278194428</v>
          </cell>
          <cell r="AK14">
            <v>33841.275394017772</v>
          </cell>
          <cell r="AL14">
            <v>33641.220829480451</v>
          </cell>
          <cell r="AM14">
            <v>82932.489354993013</v>
          </cell>
          <cell r="AN14">
            <v>38130.422971152642</v>
          </cell>
          <cell r="AO14">
            <v>39112.938512580331</v>
          </cell>
          <cell r="AP14">
            <v>29292.602846611964</v>
          </cell>
          <cell r="AQ14">
            <v>35361.548408079296</v>
          </cell>
          <cell r="AR14">
            <v>28601.79563102821</v>
          </cell>
          <cell r="AS14">
            <v>31119.683110083031</v>
          </cell>
          <cell r="AT14">
            <v>30096.308830454982</v>
          </cell>
          <cell r="AU14">
            <v>30018.111605353479</v>
          </cell>
          <cell r="AV14">
            <v>31554.034664140625</v>
          </cell>
          <cell r="AW14">
            <v>34723.464136365408</v>
          </cell>
          <cell r="AX14">
            <v>34591.428123770776</v>
          </cell>
          <cell r="AY14">
            <v>65914.843251668353</v>
          </cell>
          <cell r="AZ14">
            <v>38428.849746203952</v>
          </cell>
          <cell r="BA14">
            <v>39077.310003546227</v>
          </cell>
          <cell r="BB14">
            <v>39935.066879792779</v>
          </cell>
          <cell r="BC14">
            <v>44844.823063528485</v>
          </cell>
          <cell r="BD14">
            <v>39511.565720307175</v>
          </cell>
          <cell r="BE14">
            <v>40821.359433080026</v>
          </cell>
          <cell r="BF14">
            <v>40145.932408525507</v>
          </cell>
          <cell r="BG14">
            <v>40094.322239958521</v>
          </cell>
          <cell r="BH14">
            <v>40029.142588897972</v>
          </cell>
          <cell r="BI14">
            <v>37249.32429347829</v>
          </cell>
          <cell r="BJ14">
            <v>37149.297011209623</v>
          </cell>
          <cell r="BK14">
            <v>60941.06877526149</v>
          </cell>
          <cell r="BL14">
            <v>29791.993348597382</v>
          </cell>
          <cell r="BM14">
            <v>30023.556643429882</v>
          </cell>
          <cell r="BN14">
            <v>29281.166643517176</v>
          </cell>
          <cell r="BO14">
            <v>32452.122148123239</v>
          </cell>
          <cell r="BP14">
            <v>27449.71812321906</v>
          </cell>
          <cell r="BQ14">
            <v>28449.361377165704</v>
          </cell>
          <cell r="BR14">
            <v>27538.606194156091</v>
          </cell>
          <cell r="BS14">
            <v>27499.507581605343</v>
          </cell>
          <cell r="BT14">
            <v>27766.301223498049</v>
          </cell>
          <cell r="BU14">
            <v>24236.959040382339</v>
          </cell>
          <cell r="BV14">
            <v>24236.959040382339</v>
          </cell>
          <cell r="BW14">
            <v>37638.356282655601</v>
          </cell>
          <cell r="BX14">
            <v>24236.959040382339</v>
          </cell>
          <cell r="BY14">
            <v>25627.364034294438</v>
          </cell>
          <cell r="BZ14">
            <v>23457.338855951501</v>
          </cell>
          <cell r="CA14">
            <v>23339.768479852322</v>
          </cell>
          <cell r="CB14">
            <v>23339.768479852322</v>
          </cell>
          <cell r="CC14">
            <v>23339.768479852322</v>
          </cell>
          <cell r="CD14">
            <v>23339.768479852322</v>
          </cell>
          <cell r="CE14">
            <v>23339.768479852322</v>
          </cell>
          <cell r="CF14">
            <v>23339.768479852322</v>
          </cell>
          <cell r="CG14">
            <v>23070.312590965081</v>
          </cell>
          <cell r="CH14">
            <v>23070.312590965081</v>
          </cell>
          <cell r="CI14">
            <v>25257.110427915031</v>
          </cell>
          <cell r="CJ14">
            <v>23070.312590965081</v>
          </cell>
          <cell r="CK14">
            <v>23070.312590965081</v>
          </cell>
          <cell r="CL14">
            <v>23070.312590965081</v>
          </cell>
          <cell r="CM14">
            <v>23055.756935214435</v>
          </cell>
          <cell r="CN14">
            <v>23055.756935214435</v>
          </cell>
          <cell r="CO14">
            <v>23055.756935214435</v>
          </cell>
          <cell r="CP14">
            <v>23055.756935214435</v>
          </cell>
          <cell r="CQ14">
            <v>23055.756935214435</v>
          </cell>
          <cell r="CR14">
            <v>23055.756935214435</v>
          </cell>
          <cell r="CS14">
            <v>23041.201279463789</v>
          </cell>
          <cell r="CT14">
            <v>23041.201279463789</v>
          </cell>
          <cell r="CU14">
            <v>24221.442401977278</v>
          </cell>
          <cell r="CV14">
            <v>23041.201279463789</v>
          </cell>
          <cell r="CW14">
            <v>23041.201279463789</v>
          </cell>
          <cell r="CX14">
            <v>23041.201279463789</v>
          </cell>
          <cell r="CY14">
            <v>23041.201279463789</v>
          </cell>
          <cell r="CZ14">
            <v>23041.201279463789</v>
          </cell>
          <cell r="DA14">
            <v>23041.201279463789</v>
          </cell>
          <cell r="DB14">
            <v>23041.201279463789</v>
          </cell>
          <cell r="DC14">
            <v>24527.522174977894</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L14">
            <v>0</v>
          </cell>
          <cell r="EW14">
            <v>2515466.0002044537</v>
          </cell>
        </row>
        <row r="50">
          <cell r="H50">
            <v>0</v>
          </cell>
          <cell r="I50">
            <v>0</v>
          </cell>
          <cell r="J50">
            <v>0</v>
          </cell>
          <cell r="K50">
            <v>0</v>
          </cell>
          <cell r="L50">
            <v>0</v>
          </cell>
          <cell r="M50">
            <v>0</v>
          </cell>
          <cell r="N50">
            <v>0</v>
          </cell>
          <cell r="O50">
            <v>0</v>
          </cell>
          <cell r="P50">
            <v>0</v>
          </cell>
          <cell r="Q50">
            <v>0</v>
          </cell>
          <cell r="R50">
            <v>0</v>
          </cell>
          <cell r="S50">
            <v>4012.3680215706522</v>
          </cell>
          <cell r="T50">
            <v>1239.1136537203483</v>
          </cell>
          <cell r="U50">
            <v>1239.1136537203483</v>
          </cell>
          <cell r="V50">
            <v>3140.4863015991632</v>
          </cell>
          <cell r="W50">
            <v>8951.6481797701636</v>
          </cell>
          <cell r="X50">
            <v>10510.782408936004</v>
          </cell>
          <cell r="Y50">
            <v>16737.672079878499</v>
          </cell>
          <cell r="Z50">
            <v>15617.577774143283</v>
          </cell>
          <cell r="AA50">
            <v>16228.954029251954</v>
          </cell>
          <cell r="AB50">
            <v>13886.539904515026</v>
          </cell>
          <cell r="AC50">
            <v>18111.629092821458</v>
          </cell>
          <cell r="AD50">
            <v>15394.454481921344</v>
          </cell>
          <cell r="AE50">
            <v>27370.010551906482</v>
          </cell>
          <cell r="AF50">
            <v>30320.313661413144</v>
          </cell>
          <cell r="AG50">
            <v>36328.311851237486</v>
          </cell>
          <cell r="AH50">
            <v>34685.010858542904</v>
          </cell>
          <cell r="AI50">
            <v>34824.150758562711</v>
          </cell>
          <cell r="AJ50">
            <v>36979.568211792677</v>
          </cell>
          <cell r="AK50">
            <v>29546.600802632249</v>
          </cell>
          <cell r="AL50">
            <v>29529.94434464935</v>
          </cell>
          <cell r="AM50">
            <v>70979.356547667456</v>
          </cell>
          <cell r="AN50">
            <v>32897.133569300284</v>
          </cell>
          <cell r="AO50">
            <v>33961.767688849723</v>
          </cell>
          <cell r="AP50">
            <v>25275.765061746701</v>
          </cell>
          <cell r="AQ50">
            <v>30259.855126463681</v>
          </cell>
          <cell r="AR50">
            <v>24757.122438017577</v>
          </cell>
          <cell r="AS50">
            <v>25640.254511495245</v>
          </cell>
          <cell r="AT50">
            <v>24761.532551576889</v>
          </cell>
          <cell r="AU50">
            <v>24898.347258865215</v>
          </cell>
          <cell r="AV50">
            <v>26438.491048491294</v>
          </cell>
          <cell r="AW50">
            <v>28865.373246201474</v>
          </cell>
          <cell r="AX50">
            <v>28964.82765516888</v>
          </cell>
          <cell r="AY50">
            <v>55058.750527161217</v>
          </cell>
          <cell r="AZ50">
            <v>31897.542912085697</v>
          </cell>
          <cell r="BA50">
            <v>32368.256131869606</v>
          </cell>
          <cell r="BB50">
            <v>32610.368939668773</v>
          </cell>
          <cell r="BC50">
            <v>36467.090759564351</v>
          </cell>
          <cell r="BD50">
            <v>32145.507037499076</v>
          </cell>
          <cell r="BE50">
            <v>32703.895343260163</v>
          </cell>
          <cell r="BF50">
            <v>32337.590097857013</v>
          </cell>
          <cell r="BG50">
            <v>32213.243455618045</v>
          </cell>
          <cell r="BH50">
            <v>32755.117881564591</v>
          </cell>
          <cell r="BI50">
            <v>30059.124406766361</v>
          </cell>
          <cell r="BJ50">
            <v>30190.679341429648</v>
          </cell>
          <cell r="BK50">
            <v>50328.675695181286</v>
          </cell>
          <cell r="BL50">
            <v>23853.665609491334</v>
          </cell>
          <cell r="BM50">
            <v>24052.198437073504</v>
          </cell>
          <cell r="BN50">
            <v>23705.739441896163</v>
          </cell>
          <cell r="BO50">
            <v>26119.887170011942</v>
          </cell>
          <cell r="BP50">
            <v>21869.54777581793</v>
          </cell>
          <cell r="BQ50">
            <v>22720.948568647123</v>
          </cell>
          <cell r="BR50">
            <v>21948.510690063493</v>
          </cell>
          <cell r="BS50">
            <v>21916.980896369892</v>
          </cell>
          <cell r="BT50">
            <v>23099.60900713033</v>
          </cell>
          <cell r="BU50">
            <v>20018.08786007579</v>
          </cell>
          <cell r="BV50">
            <v>24109.456625950381</v>
          </cell>
          <cell r="BW50">
            <v>31412.683569957153</v>
          </cell>
          <cell r="BX50">
            <v>20023.199940999417</v>
          </cell>
          <cell r="BY50">
            <v>21206.748212799241</v>
          </cell>
          <cell r="BZ50">
            <v>19646.79931595621</v>
          </cell>
          <cell r="CA50">
            <v>19265.700045472531</v>
          </cell>
          <cell r="CB50">
            <v>19267.404072447069</v>
          </cell>
          <cell r="CC50">
            <v>19269.10809942161</v>
          </cell>
          <cell r="CD50">
            <v>19270.812126396151</v>
          </cell>
          <cell r="CE50">
            <v>19272.516153370696</v>
          </cell>
          <cell r="CF50">
            <v>19386.473061307246</v>
          </cell>
          <cell r="CG50">
            <v>19149.341427624018</v>
          </cell>
          <cell r="CH50">
            <v>25285.542562948634</v>
          </cell>
          <cell r="CI50">
            <v>21011.52764298056</v>
          </cell>
          <cell r="CJ50">
            <v>19154.453508547645</v>
          </cell>
          <cell r="CK50">
            <v>19156.157535522187</v>
          </cell>
          <cell r="CL50">
            <v>19440.730040270646</v>
          </cell>
          <cell r="CM50">
            <v>19147.193282083223</v>
          </cell>
          <cell r="CN50">
            <v>25283.394417407839</v>
          </cell>
          <cell r="CO50">
            <v>19150.601336032301</v>
          </cell>
          <cell r="CP50">
            <v>19152.305363006843</v>
          </cell>
          <cell r="CQ50">
            <v>19154.009389981387</v>
          </cell>
          <cell r="CR50">
            <v>19211.839857436935</v>
          </cell>
          <cell r="CS50">
            <v>19196.272499471619</v>
          </cell>
          <cell r="CT50">
            <v>23287.64126534621</v>
          </cell>
          <cell r="CU50">
            <v>20202.88550755717</v>
          </cell>
          <cell r="CV50">
            <v>19201.384580395243</v>
          </cell>
          <cell r="CW50">
            <v>19203.088607369784</v>
          </cell>
          <cell r="CX50">
            <v>19487.661112118247</v>
          </cell>
          <cell r="CY50">
            <v>19206.496661318866</v>
          </cell>
          <cell r="CZ50">
            <v>19208.200688293411</v>
          </cell>
          <cell r="DA50">
            <v>19209.904715267952</v>
          </cell>
          <cell r="DB50">
            <v>19211.608742242493</v>
          </cell>
          <cell r="DC50">
            <v>20476.685530404022</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row>
        <row r="52">
          <cell r="H52">
            <v>0</v>
          </cell>
          <cell r="I52">
            <v>0</v>
          </cell>
          <cell r="J52">
            <v>0</v>
          </cell>
          <cell r="K52">
            <v>0</v>
          </cell>
          <cell r="L52">
            <v>0</v>
          </cell>
          <cell r="M52">
            <v>0</v>
          </cell>
          <cell r="N52">
            <v>0</v>
          </cell>
          <cell r="O52">
            <v>0</v>
          </cell>
          <cell r="P52">
            <v>0</v>
          </cell>
          <cell r="Q52">
            <v>0</v>
          </cell>
          <cell r="R52">
            <v>0</v>
          </cell>
          <cell r="S52">
            <v>-4012.3680215706522</v>
          </cell>
          <cell r="T52">
            <v>-1239.1136537203483</v>
          </cell>
          <cell r="U52">
            <v>-1239.1136537203483</v>
          </cell>
          <cell r="V52">
            <v>-3140.4863015991632</v>
          </cell>
          <cell r="W52">
            <v>-1823.4866440231999</v>
          </cell>
          <cell r="X52">
            <v>-825.93935665939352</v>
          </cell>
          <cell r="Y52">
            <v>-1480.8375315148533</v>
          </cell>
          <cell r="Z52">
            <v>-560.79779031695762</v>
          </cell>
          <cell r="AA52">
            <v>-883.19738032140958</v>
          </cell>
          <cell r="AB52">
            <v>-1287.9005378988459</v>
          </cell>
          <cell r="AC52">
            <v>-5049.863136540278</v>
          </cell>
          <cell r="AD52">
            <v>2809.8569774131756</v>
          </cell>
          <cell r="AE52">
            <v>5132.9216739460244</v>
          </cell>
          <cell r="AF52">
            <v>5511.2730893871922</v>
          </cell>
          <cell r="AG52">
            <v>6996.1883562862131</v>
          </cell>
          <cell r="AH52">
            <v>6880.9356612608099</v>
          </cell>
          <cell r="AI52">
            <v>6663.5985361394996</v>
          </cell>
          <cell r="AJ52">
            <v>5488.5230664017508</v>
          </cell>
          <cell r="AK52">
            <v>4294.6745913855229</v>
          </cell>
          <cell r="AL52">
            <v>4111.2764848311017</v>
          </cell>
          <cell r="AM52">
            <v>11953.132807325557</v>
          </cell>
          <cell r="AN52">
            <v>5233.2894018523584</v>
          </cell>
          <cell r="AO52">
            <v>5151.1708237306084</v>
          </cell>
          <cell r="AP52">
            <v>4016.8377848652635</v>
          </cell>
          <cell r="AQ52">
            <v>5101.693281615615</v>
          </cell>
          <cell r="AR52">
            <v>3844.6731930106325</v>
          </cell>
          <cell r="AS52">
            <v>5479.4285985877868</v>
          </cell>
          <cell r="AT52">
            <v>5334.7762788780929</v>
          </cell>
          <cell r="AU52">
            <v>5119.764346488264</v>
          </cell>
          <cell r="AV52">
            <v>5115.5436156493306</v>
          </cell>
          <cell r="AW52">
            <v>5858.0908901639341</v>
          </cell>
          <cell r="AX52">
            <v>5626.6004686018969</v>
          </cell>
          <cell r="AY52">
            <v>10856.092724507136</v>
          </cell>
          <cell r="AZ52">
            <v>6531.3068341182552</v>
          </cell>
          <cell r="BA52">
            <v>6709.0538716766205</v>
          </cell>
          <cell r="BB52">
            <v>7324.697940124006</v>
          </cell>
          <cell r="BC52">
            <v>8377.7323039641342</v>
          </cell>
          <cell r="BD52">
            <v>7366.0586828080995</v>
          </cell>
          <cell r="BE52">
            <v>8117.4640898198631</v>
          </cell>
          <cell r="BF52">
            <v>7808.3423106684932</v>
          </cell>
          <cell r="BG52">
            <v>7881.078784340476</v>
          </cell>
          <cell r="BH52">
            <v>7274.0247073333812</v>
          </cell>
          <cell r="BI52">
            <v>7190.1998867119291</v>
          </cell>
          <cell r="BJ52">
            <v>6958.6176697799747</v>
          </cell>
          <cell r="BK52">
            <v>10612.393080080205</v>
          </cell>
          <cell r="BL52">
            <v>5938.3277391060474</v>
          </cell>
          <cell r="BM52">
            <v>5971.3582063563772</v>
          </cell>
          <cell r="BN52">
            <v>5575.4272016210125</v>
          </cell>
          <cell r="BO52">
            <v>6332.2349781112971</v>
          </cell>
          <cell r="BP52">
            <v>5580.1703474011301</v>
          </cell>
          <cell r="BQ52">
            <v>5728.4128085185803</v>
          </cell>
          <cell r="BR52">
            <v>5590.0955040925983</v>
          </cell>
          <cell r="BS52">
            <v>5582.5266852354507</v>
          </cell>
          <cell r="BT52">
            <v>4666.6922163677191</v>
          </cell>
          <cell r="BU52">
            <v>4218.8711803065489</v>
          </cell>
          <cell r="BV52">
            <v>127.50241443195773</v>
          </cell>
          <cell r="BW52">
            <v>6225.6727126984479</v>
          </cell>
          <cell r="BX52">
            <v>4213.7590993829217</v>
          </cell>
          <cell r="BY52">
            <v>4420.6158214951975</v>
          </cell>
          <cell r="BZ52">
            <v>3810.5395399952904</v>
          </cell>
          <cell r="CA52">
            <v>4074.0684343797911</v>
          </cell>
          <cell r="CB52">
            <v>4072.3644074052536</v>
          </cell>
          <cell r="CC52">
            <v>4070.6603804307124</v>
          </cell>
          <cell r="CD52">
            <v>4068.9563534561712</v>
          </cell>
          <cell r="CE52">
            <v>4067.2523264816264</v>
          </cell>
          <cell r="CF52">
            <v>3953.2954185450762</v>
          </cell>
          <cell r="CG52">
            <v>3920.9711633410625</v>
          </cell>
          <cell r="CH52">
            <v>-2215.2299719835537</v>
          </cell>
          <cell r="CI52">
            <v>4245.5827849344714</v>
          </cell>
          <cell r="CJ52">
            <v>3915.8590824174353</v>
          </cell>
          <cell r="CK52">
            <v>3914.1550554428941</v>
          </cell>
          <cell r="CL52">
            <v>3629.5825506944348</v>
          </cell>
          <cell r="CM52">
            <v>3908.563653131212</v>
          </cell>
          <cell r="CN52">
            <v>-2227.6374821934041</v>
          </cell>
          <cell r="CO52">
            <v>3905.1555991821333</v>
          </cell>
          <cell r="CP52">
            <v>3903.4515722075921</v>
          </cell>
          <cell r="CQ52">
            <v>3901.7475452330473</v>
          </cell>
          <cell r="CR52">
            <v>3843.9170777774998</v>
          </cell>
          <cell r="CS52">
            <v>3844.9287799921694</v>
          </cell>
          <cell r="CT52">
            <v>-246.43998588242175</v>
          </cell>
          <cell r="CU52">
            <v>4018.5568944201077</v>
          </cell>
          <cell r="CV52">
            <v>3839.8166990685459</v>
          </cell>
          <cell r="CW52">
            <v>3838.1126720940047</v>
          </cell>
          <cell r="CX52">
            <v>3553.5401673455417</v>
          </cell>
          <cell r="CY52">
            <v>3834.7046181449223</v>
          </cell>
          <cell r="CZ52">
            <v>3833.0005911703774</v>
          </cell>
          <cell r="DA52">
            <v>3831.2965641958363</v>
          </cell>
          <cell r="DB52">
            <v>3829.5925372212951</v>
          </cell>
          <cell r="DC52">
            <v>4050.836644573872</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row>
        <row r="53">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-0.25581443895156003</v>
          </cell>
          <cell r="X53">
            <v>-8.5281645990663776E-2</v>
          </cell>
          <cell r="Y53">
            <v>-9.7060601058538629E-2</v>
          </cell>
          <cell r="Z53">
            <v>-3.7245532638409726E-2</v>
          </cell>
          <cell r="AA53">
            <v>-5.7553198615524777E-2</v>
          </cell>
          <cell r="AB53">
            <v>-0.1022253673925709</v>
          </cell>
          <cell r="AC53">
            <v>-0.38661411890571235</v>
          </cell>
          <cell r="AD53">
            <v>0.15435118124022107</v>
          </cell>
          <cell r="AE53">
            <v>0.15792180343234849</v>
          </cell>
          <cell r="AF53">
            <v>0.15381046694126912</v>
          </cell>
          <cell r="AG53">
            <v>0.1614834175299098</v>
          </cell>
          <cell r="AH53">
            <v>0.16554261931657085</v>
          </cell>
          <cell r="AI53">
            <v>0.1606160529173466</v>
          </cell>
          <cell r="AJ53">
            <v>0.12923875081760211</v>
          </cell>
          <cell r="AK53">
            <v>0.12690640471974368</v>
          </cell>
          <cell r="AL53">
            <v>0.12220949131632912</v>
          </cell>
          <cell r="AM53">
            <v>0.14413088163988544</v>
          </cell>
          <cell r="AN53">
            <v>0.13724708498018956</v>
          </cell>
          <cell r="AO53">
            <v>0.13169991873849571</v>
          </cell>
          <cell r="AP53">
            <v>0.13712805945921117</v>
          </cell>
          <cell r="AQ53">
            <v>0.14427233849437418</v>
          </cell>
          <cell r="AR53">
            <v>0.13442069311340016</v>
          </cell>
          <cell r="AS53">
            <v>0.1760759767123852</v>
          </cell>
          <cell r="AT53">
            <v>0.17725682936505952</v>
          </cell>
          <cell r="AU53">
            <v>0.17055584354530806</v>
          </cell>
          <cell r="AV53">
            <v>0.1621201114247002</v>
          </cell>
          <cell r="AW53">
            <v>0.16870698347256302</v>
          </cell>
          <cell r="AX53">
            <v>0.16265880808590757</v>
          </cell>
          <cell r="AY53">
            <v>0.16469875659201177</v>
          </cell>
          <cell r="AZ53">
            <v>0.16995842647524015</v>
          </cell>
          <cell r="BA53">
            <v>0.17168668649576393</v>
          </cell>
          <cell r="BB53">
            <v>0.18341519152007021</v>
          </cell>
          <cell r="BC53">
            <v>0.1868160409975527</v>
          </cell>
          <cell r="BD53">
            <v>0.1864279116385984</v>
          </cell>
          <cell r="BE53">
            <v>0.19885335036740079</v>
          </cell>
          <cell r="BF53">
            <v>0.19449896520550836</v>
          </cell>
          <cell r="BG53">
            <v>0.19656346195786523</v>
          </cell>
          <cell r="BH53">
            <v>0.18171822419575936</v>
          </cell>
          <cell r="BI53">
            <v>0.19302900181657276</v>
          </cell>
          <cell r="BJ53">
            <v>0.187314921939983</v>
          </cell>
          <cell r="BK53">
            <v>0.17414189303467245</v>
          </cell>
          <cell r="BL53">
            <v>0.1993262978284609</v>
          </cell>
          <cell r="BM53">
            <v>0.19888910155696368</v>
          </cell>
          <cell r="BN53">
            <v>0.1904100089145665</v>
          </cell>
          <cell r="BO53">
            <v>0.19512545124810893</v>
          </cell>
          <cell r="BP53">
            <v>0.20328698175887633</v>
          </cell>
          <cell r="BQ53">
            <v>0.20135470644048881</v>
          </cell>
          <cell r="BR53">
            <v>0.20299122855676191</v>
          </cell>
          <cell r="BS53">
            <v>0.20300460539772178</v>
          </cell>
          <cell r="BT53">
            <v>0.16807035905878576</v>
          </cell>
          <cell r="BU53">
            <v>0.1740676779325859</v>
          </cell>
          <cell r="BV53">
            <v>5.260660556446869E-3</v>
          </cell>
          <cell r="BW53">
            <v>0.16540766727284911</v>
          </cell>
          <cell r="BX53">
            <v>0.17385675704456896</v>
          </cell>
          <cell r="BY53">
            <v>0.17249592332553385</v>
          </cell>
          <cell r="BZ53">
            <v>0.16244551708935628</v>
          </cell>
          <cell r="CA53">
            <v>0.1745547920878763</v>
          </cell>
          <cell r="CB53">
            <v>0.17448178249585708</v>
          </cell>
          <cell r="CC53">
            <v>0.17440877290383769</v>
          </cell>
          <cell r="CD53">
            <v>0.17433576331181827</v>
          </cell>
          <cell r="CE53">
            <v>0.17426275371979874</v>
          </cell>
          <cell r="CF53">
            <v>0.16938023279698317</v>
          </cell>
          <cell r="CG53">
            <v>0.16995743546520536</v>
          </cell>
          <cell r="CH53">
            <v>-9.6020804367041565E-2</v>
          </cell>
          <cell r="CI53">
            <v>0.16809455685960445</v>
          </cell>
          <cell r="CJ53">
            <v>0.16973584848395096</v>
          </cell>
          <cell r="CK53">
            <v>0.16966198615686623</v>
          </cell>
          <cell r="CL53">
            <v>0.15732697753371019</v>
          </cell>
          <cell r="CM53">
            <v>0.16952658132691489</v>
          </cell>
          <cell r="CN53">
            <v>-9.6619576986908651E-2</v>
          </cell>
          <cell r="CO53">
            <v>0.1693787634106064</v>
          </cell>
          <cell r="CP53">
            <v>0.16930485445245205</v>
          </cell>
          <cell r="CQ53">
            <v>0.16923094549429757</v>
          </cell>
          <cell r="CR53">
            <v>0.16672265797122696</v>
          </cell>
          <cell r="CS53">
            <v>0.16687188889839202</v>
          </cell>
          <cell r="CT53">
            <v>-1.0695622285200438E-2</v>
          </cell>
          <cell r="CU53">
            <v>0.16590906634412736</v>
          </cell>
          <cell r="CV53">
            <v>0.16665002195397277</v>
          </cell>
          <cell r="CW53">
            <v>0.16657606630583302</v>
          </cell>
          <cell r="CX53">
            <v>0.15422547306649106</v>
          </cell>
          <cell r="CY53">
            <v>0.16642815500955352</v>
          </cell>
          <cell r="CZ53">
            <v>0.1663541993614136</v>
          </cell>
          <cell r="DA53">
            <v>0.16628024371327385</v>
          </cell>
          <cell r="DB53">
            <v>0.1662062880651341</v>
          </cell>
          <cell r="DC53">
            <v>0.16515474395152691</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L53">
            <v>0</v>
          </cell>
          <cell r="EW53">
            <v>0.14643452837934473</v>
          </cell>
        </row>
        <row r="78">
          <cell r="H78">
            <v>0</v>
          </cell>
          <cell r="I78">
            <v>0</v>
          </cell>
          <cell r="J78">
            <v>0</v>
          </cell>
          <cell r="K78">
            <v>0</v>
          </cell>
          <cell r="L78">
            <v>0</v>
          </cell>
          <cell r="M78">
            <v>0</v>
          </cell>
          <cell r="N78">
            <v>0</v>
          </cell>
          <cell r="O78">
            <v>0</v>
          </cell>
          <cell r="P78">
            <v>0</v>
          </cell>
          <cell r="Q78">
            <v>0</v>
          </cell>
          <cell r="R78">
            <v>0</v>
          </cell>
          <cell r="S78">
            <v>-1243.8340866869021</v>
          </cell>
          <cell r="T78">
            <v>-384.12523265330799</v>
          </cell>
          <cell r="U78">
            <v>-384.12523265330799</v>
          </cell>
          <cell r="V78">
            <v>-973.55075349574054</v>
          </cell>
          <cell r="W78">
            <v>-565.28085964719196</v>
          </cell>
          <cell r="X78">
            <v>-256.04120056441201</v>
          </cell>
          <cell r="Y78">
            <v>-459.05963476960449</v>
          </cell>
          <cell r="Z78">
            <v>-173.84731499825685</v>
          </cell>
          <cell r="AA78">
            <v>-273.79118789963695</v>
          </cell>
          <cell r="AB78">
            <v>-399.24916674864221</v>
          </cell>
          <cell r="AC78">
            <v>-1565.4575723274861</v>
          </cell>
          <cell r="AD78">
            <v>871.05566299808447</v>
          </cell>
          <cell r="AE78">
            <v>1591.2057189232676</v>
          </cell>
          <cell r="AF78">
            <v>1708.4946577100295</v>
          </cell>
          <cell r="AG78">
            <v>2168.8183904487259</v>
          </cell>
          <cell r="AH78">
            <v>2133.0900549908511</v>
          </cell>
          <cell r="AI78">
            <v>2065.7155462032447</v>
          </cell>
          <cell r="AJ78">
            <v>1701.4421505845428</v>
          </cell>
          <cell r="AK78">
            <v>1331.3491233295122</v>
          </cell>
          <cell r="AL78">
            <v>1274.4957102976416</v>
          </cell>
          <cell r="AM78">
            <v>3705.4711702709228</v>
          </cell>
          <cell r="AN78">
            <v>1622.3197145742311</v>
          </cell>
          <cell r="AO78">
            <v>1596.8629553564886</v>
          </cell>
          <cell r="AP78">
            <v>1245.2197133082316</v>
          </cell>
          <cell r="AQ78">
            <v>1581.5249173008406</v>
          </cell>
          <cell r="AR78">
            <v>1191.848689833296</v>
          </cell>
          <cell r="AS78">
            <v>1698.622865562214</v>
          </cell>
          <cell r="AT78">
            <v>1653.7806464522089</v>
          </cell>
          <cell r="AU78">
            <v>1587.1269474113619</v>
          </cell>
          <cell r="AV78">
            <v>1585.8185208512925</v>
          </cell>
          <cell r="AW78">
            <v>1816.0081759508196</v>
          </cell>
          <cell r="AX78">
            <v>1744.246145266588</v>
          </cell>
          <cell r="AY78">
            <v>3365.3887445972123</v>
          </cell>
          <cell r="AZ78">
            <v>2024.7051185766591</v>
          </cell>
          <cell r="BA78">
            <v>2079.8067002197522</v>
          </cell>
          <cell r="BB78">
            <v>2270.6563614384418</v>
          </cell>
          <cell r="BC78">
            <v>2597.0970142288816</v>
          </cell>
          <cell r="BD78">
            <v>2283.478191670511</v>
          </cell>
          <cell r="BE78">
            <v>2516.4138678441577</v>
          </cell>
          <cell r="BF78">
            <v>2420.5861163072327</v>
          </cell>
          <cell r="BG78">
            <v>2443.1344231455473</v>
          </cell>
          <cell r="BH78">
            <v>2254.9476592733481</v>
          </cell>
          <cell r="BI78">
            <v>2228.9619648806979</v>
          </cell>
          <cell r="BJ78">
            <v>2157.1714776317922</v>
          </cell>
          <cell r="BK78">
            <v>3289.8418548248633</v>
          </cell>
          <cell r="BL78">
            <v>1840.8815991228746</v>
          </cell>
          <cell r="BM78">
            <v>1851.1210439704769</v>
          </cell>
          <cell r="BN78">
            <v>1728.3824325025139</v>
          </cell>
          <cell r="BO78">
            <v>1962.992843214502</v>
          </cell>
          <cell r="BP78">
            <v>1729.8528076943503</v>
          </cell>
          <cell r="BQ78">
            <v>1775.8079706407598</v>
          </cell>
          <cell r="BR78">
            <v>1732.9296062687054</v>
          </cell>
          <cell r="BS78">
            <v>1730.5832724229897</v>
          </cell>
          <cell r="BT78">
            <v>1446.6745870739928</v>
          </cell>
          <cell r="BU78">
            <v>1307.8500658950302</v>
          </cell>
          <cell r="BV78">
            <v>39.525748473906894</v>
          </cell>
          <cell r="BW78">
            <v>1929.9585409365188</v>
          </cell>
          <cell r="BX78">
            <v>1306.2653208087056</v>
          </cell>
          <cell r="BY78">
            <v>1370.3909046635113</v>
          </cell>
          <cell r="BZ78">
            <v>1181.2672573985401</v>
          </cell>
          <cell r="CA78">
            <v>1262.9612146577354</v>
          </cell>
          <cell r="CB78">
            <v>1262.4329662956286</v>
          </cell>
          <cell r="CC78">
            <v>1261.9047179335209</v>
          </cell>
          <cell r="CD78">
            <v>1261.3764695714131</v>
          </cell>
          <cell r="CE78">
            <v>1260.8482212093043</v>
          </cell>
          <cell r="CF78">
            <v>1225.5215797489736</v>
          </cell>
          <cell r="CG78">
            <v>1215.5010606357293</v>
          </cell>
          <cell r="CH78">
            <v>-686.72129131490169</v>
          </cell>
          <cell r="CI78">
            <v>1316.1306633296861</v>
          </cell>
          <cell r="CJ78">
            <v>1213.916315549405</v>
          </cell>
          <cell r="CK78">
            <v>1213.3880671872971</v>
          </cell>
          <cell r="CL78">
            <v>1125.1705907152748</v>
          </cell>
          <cell r="CM78">
            <v>1211.6547324706758</v>
          </cell>
          <cell r="CN78">
            <v>-690.56761947995528</v>
          </cell>
          <cell r="CO78">
            <v>1210.5982357464613</v>
          </cell>
          <cell r="CP78">
            <v>1210.0699873843535</v>
          </cell>
          <cell r="CQ78">
            <v>1209.5417390222447</v>
          </cell>
          <cell r="CR78">
            <v>1191.6142941110249</v>
          </cell>
          <cell r="CS78">
            <v>1191.9279217975725</v>
          </cell>
          <cell r="CT78">
            <v>-76.396395623550745</v>
          </cell>
          <cell r="CU78">
            <v>1245.7526372702334</v>
          </cell>
          <cell r="CV78">
            <v>1190.3431767112493</v>
          </cell>
          <cell r="CW78">
            <v>1189.8149283491414</v>
          </cell>
          <cell r="CX78">
            <v>1101.5974518771179</v>
          </cell>
          <cell r="CY78">
            <v>1188.7584316249258</v>
          </cell>
          <cell r="CZ78">
            <v>1188.230183262817</v>
          </cell>
          <cell r="DA78">
            <v>1187.7019349007091</v>
          </cell>
          <cell r="DB78">
            <v>1187.1736865386015</v>
          </cell>
          <cell r="DC78">
            <v>1255.7593598179003</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row>
        <row r="87">
          <cell r="H87">
            <v>0</v>
          </cell>
          <cell r="I87">
            <v>0</v>
          </cell>
          <cell r="J87">
            <v>0</v>
          </cell>
          <cell r="K87">
            <v>0</v>
          </cell>
          <cell r="L87">
            <v>0</v>
          </cell>
          <cell r="M87">
            <v>0</v>
          </cell>
          <cell r="N87">
            <v>0</v>
          </cell>
          <cell r="O87">
            <v>0</v>
          </cell>
          <cell r="P87">
            <v>0</v>
          </cell>
          <cell r="Q87">
            <v>0</v>
          </cell>
          <cell r="R87">
            <v>0</v>
          </cell>
          <cell r="S87">
            <v>-2768.5339348837501</v>
          </cell>
          <cell r="T87">
            <v>-854.98842106704035</v>
          </cell>
          <cell r="U87">
            <v>-854.98842106704035</v>
          </cell>
          <cell r="V87">
            <v>-2166.9355481034227</v>
          </cell>
          <cell r="W87">
            <v>-1258.2057843760081</v>
          </cell>
          <cell r="X87">
            <v>-569.89815609498146</v>
          </cell>
          <cell r="Y87">
            <v>-1021.7778967452488</v>
          </cell>
          <cell r="Z87">
            <v>-386.9504753187008</v>
          </cell>
          <cell r="AA87">
            <v>-609.40619242177263</v>
          </cell>
          <cell r="AB87">
            <v>-888.65137115020366</v>
          </cell>
          <cell r="AC87">
            <v>-3484.4055642127919</v>
          </cell>
          <cell r="AD87">
            <v>1938.8013144150912</v>
          </cell>
          <cell r="AE87">
            <v>3541.715955022757</v>
          </cell>
          <cell r="AF87">
            <v>3802.7784316771626</v>
          </cell>
          <cell r="AG87">
            <v>4827.3699658374871</v>
          </cell>
          <cell r="AH87">
            <v>4747.8456062699588</v>
          </cell>
          <cell r="AI87">
            <v>4597.8829899362554</v>
          </cell>
          <cell r="AJ87">
            <v>3787.0809158172078</v>
          </cell>
          <cell r="AK87">
            <v>2963.3254680560108</v>
          </cell>
          <cell r="AL87">
            <v>2836.7807745334603</v>
          </cell>
          <cell r="AM87">
            <v>8247.6616370546344</v>
          </cell>
          <cell r="AN87">
            <v>3610.9696872781274</v>
          </cell>
          <cell r="AO87">
            <v>3554.3078683741196</v>
          </cell>
          <cell r="AP87">
            <v>2771.6180715570317</v>
          </cell>
          <cell r="AQ87">
            <v>3520.1683643147744</v>
          </cell>
          <cell r="AR87">
            <v>2652.8245031773367</v>
          </cell>
          <cell r="AS87">
            <v>3780.8057330255729</v>
          </cell>
          <cell r="AT87">
            <v>3680.9956324258837</v>
          </cell>
          <cell r="AU87">
            <v>3532.6373990769021</v>
          </cell>
          <cell r="AV87">
            <v>3529.7250947980383</v>
          </cell>
          <cell r="AW87">
            <v>4042.0827142131147</v>
          </cell>
          <cell r="AX87">
            <v>3882.3543233353089</v>
          </cell>
          <cell r="AY87">
            <v>7490.7039799099239</v>
          </cell>
          <cell r="AZ87">
            <v>4506.6017155415957</v>
          </cell>
          <cell r="BA87">
            <v>4629.2471714568683</v>
          </cell>
          <cell r="BB87">
            <v>5054.0415786855647</v>
          </cell>
          <cell r="BC87">
            <v>5780.6352897352526</v>
          </cell>
          <cell r="BD87">
            <v>5082.580491137589</v>
          </cell>
          <cell r="BE87">
            <v>5601.0502219757054</v>
          </cell>
          <cell r="BF87">
            <v>5387.75619436126</v>
          </cell>
          <cell r="BG87">
            <v>5437.9443611949282</v>
          </cell>
          <cell r="BH87">
            <v>5019.0770480600331</v>
          </cell>
          <cell r="BI87">
            <v>4961.2379218312308</v>
          </cell>
          <cell r="BJ87">
            <v>4801.4461921481825</v>
          </cell>
          <cell r="BK87">
            <v>7322.5512252553417</v>
          </cell>
          <cell r="BL87">
            <v>4097.4461399831725</v>
          </cell>
          <cell r="BM87">
            <v>4120.2371623858999</v>
          </cell>
          <cell r="BN87">
            <v>3847.0447691184986</v>
          </cell>
          <cell r="BO87">
            <v>4369.2421348967946</v>
          </cell>
          <cell r="BP87">
            <v>3850.3175397067798</v>
          </cell>
          <cell r="BQ87">
            <v>3952.6048378778205</v>
          </cell>
          <cell r="BR87">
            <v>3857.1658978238929</v>
          </cell>
          <cell r="BS87">
            <v>3851.9434128124612</v>
          </cell>
          <cell r="BT87">
            <v>3220.0176292937263</v>
          </cell>
          <cell r="BU87">
            <v>2911.0211144115187</v>
          </cell>
          <cell r="BV87">
            <v>87.97666595805083</v>
          </cell>
          <cell r="BW87">
            <v>4295.7141717619288</v>
          </cell>
          <cell r="BX87">
            <v>2907.4937785742159</v>
          </cell>
          <cell r="BY87">
            <v>3050.2249168316862</v>
          </cell>
          <cell r="BZ87">
            <v>2629.2722825967503</v>
          </cell>
          <cell r="CA87">
            <v>2811.1072197220556</v>
          </cell>
          <cell r="CB87">
            <v>2809.9314411096248</v>
          </cell>
          <cell r="CC87">
            <v>2808.7556624971912</v>
          </cell>
          <cell r="CD87">
            <v>2807.5798838847581</v>
          </cell>
          <cell r="CE87">
            <v>2806.4041052723223</v>
          </cell>
          <cell r="CF87">
            <v>2727.7738387961026</v>
          </cell>
          <cell r="CG87">
            <v>2705.4701027053334</v>
          </cell>
          <cell r="CH87">
            <v>-1528.508680668652</v>
          </cell>
          <cell r="CI87">
            <v>2929.4521216047851</v>
          </cell>
          <cell r="CJ87">
            <v>2701.94276686803</v>
          </cell>
          <cell r="CK87">
            <v>2700.766988255597</v>
          </cell>
          <cell r="CL87">
            <v>2504.4119599791602</v>
          </cell>
          <cell r="CM87">
            <v>2696.9089206605363</v>
          </cell>
          <cell r="CN87">
            <v>-1537.0698627134489</v>
          </cell>
          <cell r="CO87">
            <v>2694.557363435672</v>
          </cell>
          <cell r="CP87">
            <v>2693.3815848232389</v>
          </cell>
          <cell r="CQ87">
            <v>2692.2058062108026</v>
          </cell>
          <cell r="CR87">
            <v>2652.3027836664751</v>
          </cell>
          <cell r="CS87">
            <v>2653.0008581945967</v>
          </cell>
          <cell r="CT87">
            <v>-170.04359025887101</v>
          </cell>
          <cell r="CU87">
            <v>2772.8042571498745</v>
          </cell>
          <cell r="CV87">
            <v>2649.4735223572966</v>
          </cell>
          <cell r="CW87">
            <v>2648.2977437448635</v>
          </cell>
          <cell r="CX87">
            <v>2451.9427154684236</v>
          </cell>
          <cell r="CY87">
            <v>2645.9461865199964</v>
          </cell>
          <cell r="CZ87">
            <v>2644.7704079075602</v>
          </cell>
          <cell r="DA87">
            <v>2643.5946292951271</v>
          </cell>
          <cell r="DB87">
            <v>2642.4188506826936</v>
          </cell>
          <cell r="DC87">
            <v>2795.077284755972</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row>
        <row r="88">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-0.17651196287657642</v>
          </cell>
          <cell r="X88">
            <v>-5.8844335733557997E-2</v>
          </cell>
          <cell r="Y88">
            <v>-6.6971814730391654E-2</v>
          </cell>
          <cell r="Z88">
            <v>-2.5699417520502713E-2</v>
          </cell>
          <cell r="AA88">
            <v>-3.9711707044712101E-2</v>
          </cell>
          <cell r="AB88">
            <v>-7.0535503500873925E-2</v>
          </cell>
          <cell r="AC88">
            <v>-0.26676374204494152</v>
          </cell>
          <cell r="AD88">
            <v>0.10650231505575253</v>
          </cell>
          <cell r="AE88">
            <v>0.10896604436832046</v>
          </cell>
          <cell r="AF88">
            <v>0.10612922218947571</v>
          </cell>
          <cell r="AG88">
            <v>0.11142355809563777</v>
          </cell>
          <cell r="AH88">
            <v>0.11422440732843389</v>
          </cell>
          <cell r="AI88">
            <v>0.11082507651296918</v>
          </cell>
          <cell r="AJ88">
            <v>8.9174738064145442E-2</v>
          </cell>
          <cell r="AK88">
            <v>8.7565419256623145E-2</v>
          </cell>
          <cell r="AL88">
            <v>8.4324549008267094E-2</v>
          </cell>
          <cell r="AM88">
            <v>9.9450308331520951E-2</v>
          </cell>
          <cell r="AN88">
            <v>9.4700488636330793E-2</v>
          </cell>
          <cell r="AO88">
            <v>9.0872943929562022E-2</v>
          </cell>
          <cell r="AP88">
            <v>9.4618361026855696E-2</v>
          </cell>
          <cell r="AQ88">
            <v>9.9547913561118195E-2</v>
          </cell>
          <cell r="AR88">
            <v>9.2750278248246124E-2</v>
          </cell>
          <cell r="AS88">
            <v>0.12149242393154579</v>
          </cell>
          <cell r="AT88">
            <v>0.12230721226189106</v>
          </cell>
          <cell r="AU88">
            <v>0.11768353204626256</v>
          </cell>
          <cell r="AV88">
            <v>0.11186287688304314</v>
          </cell>
          <cell r="AW88">
            <v>0.1164078185960685</v>
          </cell>
          <cell r="AX88">
            <v>0.11223457757927623</v>
          </cell>
          <cell r="AY88">
            <v>0.11364214204848812</v>
          </cell>
          <cell r="AZ88">
            <v>0.11727131426791569</v>
          </cell>
          <cell r="BA88">
            <v>0.11846381368207712</v>
          </cell>
          <cell r="BB88">
            <v>0.12655648214884846</v>
          </cell>
          <cell r="BC88">
            <v>0.12890306828831136</v>
          </cell>
          <cell r="BD88">
            <v>0.12863525903063291</v>
          </cell>
          <cell r="BE88">
            <v>0.13720881175350652</v>
          </cell>
          <cell r="BF88">
            <v>0.13420428599180076</v>
          </cell>
          <cell r="BG88">
            <v>0.13562878875092699</v>
          </cell>
          <cell r="BH88">
            <v>0.12538557469507397</v>
          </cell>
          <cell r="BI88">
            <v>0.13319001125343521</v>
          </cell>
          <cell r="BJ88">
            <v>0.12924729613858826</v>
          </cell>
          <cell r="BK88">
            <v>0.12015790619392401</v>
          </cell>
          <cell r="BL88">
            <v>0.13753514550163801</v>
          </cell>
          <cell r="BM88">
            <v>0.13723348007430491</v>
          </cell>
          <cell r="BN88">
            <v>0.13138290615105089</v>
          </cell>
          <cell r="BO88">
            <v>0.13463656136119515</v>
          </cell>
          <cell r="BP88">
            <v>0.14026801741362468</v>
          </cell>
          <cell r="BQ88">
            <v>0.13893474744393727</v>
          </cell>
          <cell r="BR88">
            <v>0.14006394770416572</v>
          </cell>
          <cell r="BS88">
            <v>0.14007317772442804</v>
          </cell>
          <cell r="BT88">
            <v>0.11596854775056217</v>
          </cell>
          <cell r="BU88">
            <v>0.12010669777348426</v>
          </cell>
          <cell r="BV88">
            <v>3.6298557839483398E-3</v>
          </cell>
          <cell r="BW88">
            <v>0.11413129041826589</v>
          </cell>
          <cell r="BX88">
            <v>0.11996116236075259</v>
          </cell>
          <cell r="BY88">
            <v>0.11902218709461836</v>
          </cell>
          <cell r="BZ88">
            <v>0.11208740679165582</v>
          </cell>
          <cell r="CA88">
            <v>0.12044280654063465</v>
          </cell>
          <cell r="CB88">
            <v>0.12039242992214137</v>
          </cell>
          <cell r="CC88">
            <v>0.12034205330364799</v>
          </cell>
          <cell r="CD88">
            <v>0.12029167668515461</v>
          </cell>
          <cell r="CE88">
            <v>0.12024130006666113</v>
          </cell>
          <cell r="CF88">
            <v>0.11687236062991839</v>
          </cell>
          <cell r="CG88">
            <v>0.11727063047099172</v>
          </cell>
          <cell r="CH88">
            <v>-6.6254355013258673E-2</v>
          </cell>
          <cell r="CI88">
            <v>0.11598524423312706</v>
          </cell>
          <cell r="CJ88">
            <v>0.11711773545392616</v>
          </cell>
          <cell r="CK88">
            <v>0.1170667704482377</v>
          </cell>
          <cell r="CL88">
            <v>0.10855561449826004</v>
          </cell>
          <cell r="CM88">
            <v>0.11697334111557128</v>
          </cell>
          <cell r="CN88">
            <v>-6.6667508120966973E-2</v>
          </cell>
          <cell r="CO88">
            <v>0.11687134675331841</v>
          </cell>
          <cell r="CP88">
            <v>0.11682034957219194</v>
          </cell>
          <cell r="CQ88">
            <v>0.11676935239106533</v>
          </cell>
          <cell r="CR88">
            <v>0.11503863400014661</v>
          </cell>
          <cell r="CS88">
            <v>0.11514160333989049</v>
          </cell>
          <cell r="CT88">
            <v>-7.379979376788302E-3</v>
          </cell>
          <cell r="CU88">
            <v>0.11447725577744788</v>
          </cell>
          <cell r="CV88">
            <v>0.11498851514824121</v>
          </cell>
          <cell r="CW88">
            <v>0.11493748575102479</v>
          </cell>
          <cell r="CX88">
            <v>0.10641557641587882</v>
          </cell>
          <cell r="CY88">
            <v>0.11483542695659193</v>
          </cell>
          <cell r="CZ88">
            <v>0.11478439755937538</v>
          </cell>
          <cell r="DA88">
            <v>0.11473336816215897</v>
          </cell>
          <cell r="DB88">
            <v>0.11468233876494253</v>
          </cell>
          <cell r="DC88">
            <v>0.11395677332655356</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L88">
            <v>0</v>
          </cell>
          <cell r="EW88">
            <v>0.10103982458174803</v>
          </cell>
        </row>
        <row r="106">
          <cell r="F106" t="str">
            <v>1st Month of Meeting 15% EBIT Target</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1</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row>
        <row r="107">
          <cell r="F107" t="str">
            <v>Months</v>
          </cell>
          <cell r="H107">
            <v>37500</v>
          </cell>
          <cell r="I107">
            <v>37530</v>
          </cell>
          <cell r="J107">
            <v>37561</v>
          </cell>
          <cell r="K107">
            <v>37591</v>
          </cell>
          <cell r="L107">
            <v>37622</v>
          </cell>
          <cell r="M107">
            <v>37653</v>
          </cell>
          <cell r="N107">
            <v>37681</v>
          </cell>
          <cell r="O107">
            <v>37712</v>
          </cell>
          <cell r="P107">
            <v>37742</v>
          </cell>
          <cell r="Q107">
            <v>37773</v>
          </cell>
          <cell r="R107">
            <v>37803</v>
          </cell>
          <cell r="S107">
            <v>37834</v>
          </cell>
          <cell r="T107">
            <v>37865</v>
          </cell>
          <cell r="U107">
            <v>37895</v>
          </cell>
          <cell r="V107">
            <v>37926</v>
          </cell>
          <cell r="W107">
            <v>37956</v>
          </cell>
          <cell r="X107">
            <v>37987</v>
          </cell>
          <cell r="Y107">
            <v>38018</v>
          </cell>
          <cell r="Z107">
            <v>38047</v>
          </cell>
          <cell r="AA107">
            <v>38078</v>
          </cell>
          <cell r="AB107">
            <v>38108</v>
          </cell>
          <cell r="AC107">
            <v>38139</v>
          </cell>
          <cell r="AD107">
            <v>38169</v>
          </cell>
          <cell r="AE107">
            <v>38200</v>
          </cell>
          <cell r="AF107">
            <v>38231</v>
          </cell>
          <cell r="AG107">
            <v>38261</v>
          </cell>
          <cell r="AH107">
            <v>38292</v>
          </cell>
          <cell r="AI107">
            <v>38322</v>
          </cell>
          <cell r="AJ107">
            <v>38353</v>
          </cell>
          <cell r="AK107">
            <v>38384</v>
          </cell>
          <cell r="AL107">
            <v>38412</v>
          </cell>
          <cell r="AM107">
            <v>38443</v>
          </cell>
          <cell r="AN107">
            <v>38473</v>
          </cell>
          <cell r="AO107">
            <v>38504</v>
          </cell>
          <cell r="AP107">
            <v>38534</v>
          </cell>
          <cell r="AQ107">
            <v>38565</v>
          </cell>
          <cell r="AR107">
            <v>38596</v>
          </cell>
          <cell r="AS107">
            <v>38626</v>
          </cell>
          <cell r="AT107">
            <v>38657</v>
          </cell>
          <cell r="AU107">
            <v>38687</v>
          </cell>
          <cell r="AV107">
            <v>38718</v>
          </cell>
          <cell r="AW107">
            <v>38749</v>
          </cell>
          <cell r="AX107">
            <v>38777</v>
          </cell>
          <cell r="AY107">
            <v>38808</v>
          </cell>
          <cell r="AZ107">
            <v>38838</v>
          </cell>
          <cell r="BA107">
            <v>38869</v>
          </cell>
          <cell r="BB107">
            <v>38899</v>
          </cell>
          <cell r="BC107">
            <v>38930</v>
          </cell>
          <cell r="BD107">
            <v>38961</v>
          </cell>
          <cell r="BE107">
            <v>38991</v>
          </cell>
          <cell r="BF107">
            <v>39022</v>
          </cell>
          <cell r="BG107">
            <v>39052</v>
          </cell>
          <cell r="BH107">
            <v>39083</v>
          </cell>
          <cell r="BI107">
            <v>39114</v>
          </cell>
          <cell r="BJ107">
            <v>39142</v>
          </cell>
          <cell r="BK107">
            <v>39173</v>
          </cell>
          <cell r="BL107">
            <v>39203</v>
          </cell>
          <cell r="BM107">
            <v>39234</v>
          </cell>
          <cell r="BN107">
            <v>39264</v>
          </cell>
          <cell r="BO107">
            <v>39295</v>
          </cell>
          <cell r="BP107">
            <v>39326</v>
          </cell>
          <cell r="BQ107">
            <v>39356</v>
          </cell>
          <cell r="BR107">
            <v>39387</v>
          </cell>
          <cell r="BS107">
            <v>39417</v>
          </cell>
          <cell r="BT107">
            <v>39448</v>
          </cell>
          <cell r="BU107">
            <v>39479</v>
          </cell>
          <cell r="BV107">
            <v>39508</v>
          </cell>
          <cell r="BW107">
            <v>39539</v>
          </cell>
          <cell r="BX107">
            <v>39569</v>
          </cell>
          <cell r="BY107">
            <v>39600</v>
          </cell>
          <cell r="BZ107">
            <v>39630</v>
          </cell>
          <cell r="CA107">
            <v>39661</v>
          </cell>
          <cell r="CB107">
            <v>39692</v>
          </cell>
          <cell r="CC107">
            <v>39722</v>
          </cell>
          <cell r="CD107">
            <v>39753</v>
          </cell>
          <cell r="CE107">
            <v>39783</v>
          </cell>
          <cell r="CF107">
            <v>39814</v>
          </cell>
          <cell r="CG107">
            <v>39845</v>
          </cell>
          <cell r="CH107">
            <v>39873</v>
          </cell>
          <cell r="CI107">
            <v>39904</v>
          </cell>
          <cell r="CJ107">
            <v>39934</v>
          </cell>
          <cell r="CK107">
            <v>39965</v>
          </cell>
          <cell r="CL107">
            <v>39995</v>
          </cell>
          <cell r="CM107">
            <v>40026</v>
          </cell>
          <cell r="CN107">
            <v>40057</v>
          </cell>
          <cell r="CO107">
            <v>40087</v>
          </cell>
          <cell r="CP107">
            <v>40118</v>
          </cell>
          <cell r="CQ107">
            <v>40148</v>
          </cell>
          <cell r="CR107">
            <v>40179</v>
          </cell>
          <cell r="CS107">
            <v>40210</v>
          </cell>
          <cell r="CT107">
            <v>40238</v>
          </cell>
          <cell r="CU107">
            <v>40269</v>
          </cell>
          <cell r="CV107">
            <v>40299</v>
          </cell>
          <cell r="CW107">
            <v>40330</v>
          </cell>
          <cell r="CX107">
            <v>40360</v>
          </cell>
          <cell r="CY107">
            <v>40391</v>
          </cell>
          <cell r="CZ107">
            <v>40422</v>
          </cell>
          <cell r="DA107">
            <v>40452</v>
          </cell>
          <cell r="DB107">
            <v>40483</v>
          </cell>
          <cell r="DC107">
            <v>40513</v>
          </cell>
          <cell r="DD107">
            <v>40544</v>
          </cell>
          <cell r="DE107">
            <v>40575</v>
          </cell>
          <cell r="DF107">
            <v>40603</v>
          </cell>
          <cell r="DG107">
            <v>40634</v>
          </cell>
          <cell r="DH107">
            <v>40664</v>
          </cell>
          <cell r="DI107">
            <v>40695</v>
          </cell>
          <cell r="DJ107">
            <v>40725</v>
          </cell>
          <cell r="DK107">
            <v>40756</v>
          </cell>
          <cell r="DL107">
            <v>40787</v>
          </cell>
          <cell r="DM107">
            <v>40817</v>
          </cell>
          <cell r="DN107">
            <v>40848</v>
          </cell>
          <cell r="DO107">
            <v>40878</v>
          </cell>
          <cell r="DP107">
            <v>40909</v>
          </cell>
          <cell r="DQ107">
            <v>40940</v>
          </cell>
          <cell r="DR107">
            <v>40969</v>
          </cell>
          <cell r="DS107">
            <v>41000</v>
          </cell>
          <cell r="DT107">
            <v>41030</v>
          </cell>
          <cell r="DU107">
            <v>41061</v>
          </cell>
          <cell r="DV107">
            <v>41091</v>
          </cell>
          <cell r="DW107">
            <v>41122</v>
          </cell>
          <cell r="DX107">
            <v>41153</v>
          </cell>
          <cell r="DY107">
            <v>41183</v>
          </cell>
          <cell r="DZ107">
            <v>41214</v>
          </cell>
          <cell r="EA107">
            <v>41244</v>
          </cell>
          <cell r="EB107">
            <v>41275</v>
          </cell>
          <cell r="EC107">
            <v>41306</v>
          </cell>
          <cell r="ED107">
            <v>41334</v>
          </cell>
          <cell r="EE107">
            <v>41365</v>
          </cell>
          <cell r="EF107">
            <v>41395</v>
          </cell>
          <cell r="EG107">
            <v>41426</v>
          </cell>
          <cell r="EH107">
            <v>41456</v>
          </cell>
          <cell r="EI107">
            <v>41487</v>
          </cell>
        </row>
        <row r="108">
          <cell r="F108" t="str">
            <v>EBIT</v>
          </cell>
          <cell r="H108">
            <v>0</v>
          </cell>
          <cell r="I108">
            <v>0</v>
          </cell>
          <cell r="J108">
            <v>0</v>
          </cell>
          <cell r="K108">
            <v>0</v>
          </cell>
          <cell r="L108">
            <v>0</v>
          </cell>
          <cell r="M108">
            <v>0</v>
          </cell>
          <cell r="N108">
            <v>0</v>
          </cell>
          <cell r="O108">
            <v>0</v>
          </cell>
          <cell r="P108">
            <v>0</v>
          </cell>
          <cell r="Q108">
            <v>0</v>
          </cell>
          <cell r="R108">
            <v>0</v>
          </cell>
          <cell r="S108">
            <v>-4012.3680215706522</v>
          </cell>
          <cell r="T108">
            <v>-1239.1136537203483</v>
          </cell>
          <cell r="U108">
            <v>-1239.1136537203483</v>
          </cell>
          <cell r="V108">
            <v>-3140.4863015991632</v>
          </cell>
          <cell r="W108">
            <v>-1823.4866440231999</v>
          </cell>
          <cell r="X108">
            <v>-825.93935665939352</v>
          </cell>
          <cell r="Y108">
            <v>-1480.8375315148533</v>
          </cell>
          <cell r="Z108">
            <v>-560.79779031695762</v>
          </cell>
          <cell r="AA108">
            <v>-883.19738032140958</v>
          </cell>
          <cell r="AB108">
            <v>-1287.9005378988459</v>
          </cell>
          <cell r="AC108">
            <v>-5049.863136540278</v>
          </cell>
          <cell r="AD108">
            <v>2809.8569774131756</v>
          </cell>
          <cell r="AE108">
            <v>5132.9216739460244</v>
          </cell>
          <cell r="AF108">
            <v>5511.2730893871922</v>
          </cell>
          <cell r="AG108">
            <v>6996.1883562862131</v>
          </cell>
          <cell r="AH108">
            <v>6880.9356612608099</v>
          </cell>
          <cell r="AI108">
            <v>6663.5985361394996</v>
          </cell>
          <cell r="AJ108">
            <v>5488.5230664017508</v>
          </cell>
          <cell r="AK108">
            <v>4294.6745913855229</v>
          </cell>
          <cell r="AL108">
            <v>4111.2764848311017</v>
          </cell>
          <cell r="AM108">
            <v>11953.132807325557</v>
          </cell>
          <cell r="AN108">
            <v>5233.2894018523584</v>
          </cell>
          <cell r="AO108">
            <v>5151.1708237306084</v>
          </cell>
          <cell r="AP108">
            <v>4016.8377848652635</v>
          </cell>
          <cell r="AQ108">
            <v>5101.693281615615</v>
          </cell>
          <cell r="AR108">
            <v>3844.6731930106325</v>
          </cell>
          <cell r="AS108">
            <v>5479.4285985877868</v>
          </cell>
          <cell r="AT108">
            <v>5334.7762788780929</v>
          </cell>
          <cell r="AU108">
            <v>5119.764346488264</v>
          </cell>
          <cell r="AV108">
            <v>5115.5436156493306</v>
          </cell>
          <cell r="AW108">
            <v>5858.0908901639341</v>
          </cell>
          <cell r="AX108">
            <v>5626.6004686018969</v>
          </cell>
          <cell r="AY108">
            <v>10856.092724507136</v>
          </cell>
          <cell r="AZ108">
            <v>6531.3068341182552</v>
          </cell>
          <cell r="BA108">
            <v>6709.0538716766205</v>
          </cell>
          <cell r="BB108">
            <v>7324.697940124006</v>
          </cell>
          <cell r="BC108">
            <v>8377.7323039641342</v>
          </cell>
          <cell r="BD108">
            <v>7366.0586828080995</v>
          </cell>
          <cell r="BE108">
            <v>8117.4640898198631</v>
          </cell>
          <cell r="BF108">
            <v>7808.3423106684932</v>
          </cell>
          <cell r="BG108">
            <v>7881.078784340476</v>
          </cell>
          <cell r="BH108">
            <v>7274.0247073333812</v>
          </cell>
          <cell r="BI108">
            <v>7190.1998867119291</v>
          </cell>
          <cell r="BJ108">
            <v>6958.6176697799747</v>
          </cell>
          <cell r="BK108">
            <v>10612.393080080205</v>
          </cell>
          <cell r="BL108">
            <v>5938.3277391060474</v>
          </cell>
          <cell r="BM108">
            <v>5971.3582063563772</v>
          </cell>
          <cell r="BN108">
            <v>5575.4272016210125</v>
          </cell>
          <cell r="BO108">
            <v>6332.2349781112971</v>
          </cell>
          <cell r="BP108">
            <v>5580.1703474011301</v>
          </cell>
          <cell r="BQ108">
            <v>5728.4128085185803</v>
          </cell>
          <cell r="BR108">
            <v>5590.0955040925983</v>
          </cell>
          <cell r="BS108">
            <v>5582.5266852354507</v>
          </cell>
          <cell r="BT108">
            <v>4666.6922163677191</v>
          </cell>
          <cell r="BU108">
            <v>4218.8711803065489</v>
          </cell>
          <cell r="BV108">
            <v>127.50241443195773</v>
          </cell>
          <cell r="BW108">
            <v>6225.6727126984479</v>
          </cell>
          <cell r="BX108">
            <v>4213.7590993829217</v>
          </cell>
          <cell r="BY108">
            <v>4420.6158214951975</v>
          </cell>
          <cell r="BZ108">
            <v>3810.5395399952904</v>
          </cell>
          <cell r="CA108">
            <v>4074.0684343797911</v>
          </cell>
          <cell r="CB108">
            <v>4072.3644074052536</v>
          </cell>
          <cell r="CC108">
            <v>4070.6603804307124</v>
          </cell>
          <cell r="CD108">
            <v>4068.9563534561712</v>
          </cell>
          <cell r="CE108">
            <v>4067.2523264816264</v>
          </cell>
          <cell r="CF108">
            <v>3953.2954185450762</v>
          </cell>
          <cell r="CG108">
            <v>3920.9711633410625</v>
          </cell>
          <cell r="CH108">
            <v>-2215.2299719835537</v>
          </cell>
          <cell r="CI108">
            <v>4245.5827849344714</v>
          </cell>
          <cell r="CJ108">
            <v>3915.8590824174353</v>
          </cell>
          <cell r="CK108">
            <v>3914.1550554428941</v>
          </cell>
          <cell r="CL108">
            <v>3629.5825506944348</v>
          </cell>
          <cell r="CM108">
            <v>3908.563653131212</v>
          </cell>
          <cell r="CN108">
            <v>-2227.6374821934041</v>
          </cell>
          <cell r="CO108">
            <v>3905.1555991821333</v>
          </cell>
          <cell r="CP108">
            <v>3903.4515722075921</v>
          </cell>
          <cell r="CQ108">
            <v>3901.7475452330473</v>
          </cell>
          <cell r="CR108">
            <v>3843.9170777774998</v>
          </cell>
          <cell r="CS108">
            <v>3844.9287799921694</v>
          </cell>
          <cell r="CT108">
            <v>-246.43998588242175</v>
          </cell>
          <cell r="CU108">
            <v>4018.5568944201077</v>
          </cell>
          <cell r="CV108">
            <v>3839.8166990685459</v>
          </cell>
          <cell r="CW108">
            <v>3838.1126720940047</v>
          </cell>
          <cell r="CX108">
            <v>3553.5401673455417</v>
          </cell>
          <cell r="CY108">
            <v>3834.7046181449223</v>
          </cell>
          <cell r="CZ108">
            <v>3833.0005911703774</v>
          </cell>
          <cell r="DA108">
            <v>3831.2965641958363</v>
          </cell>
          <cell r="DB108">
            <v>3829.5925372212951</v>
          </cell>
          <cell r="DC108">
            <v>4050.836644573872</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FA108">
            <v>0</v>
          </cell>
        </row>
        <row r="109">
          <cell r="F109" t="str">
            <v>EBIT %</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-0.25581443895156003</v>
          </cell>
          <cell r="X109">
            <v>-8.5281645990663776E-2</v>
          </cell>
          <cell r="Y109">
            <v>-9.7060601058538629E-2</v>
          </cell>
          <cell r="Z109">
            <v>-3.7245532638409726E-2</v>
          </cell>
          <cell r="AA109">
            <v>-5.7553198615524777E-2</v>
          </cell>
          <cell r="AB109">
            <v>-0.1022253673925709</v>
          </cell>
          <cell r="AC109">
            <v>-0.38661411890571235</v>
          </cell>
          <cell r="AD109">
            <v>0.15435118124022107</v>
          </cell>
          <cell r="AE109">
            <v>0.15792180343234849</v>
          </cell>
          <cell r="AF109">
            <v>0.15381046694126912</v>
          </cell>
          <cell r="AG109">
            <v>0.1614834175299098</v>
          </cell>
          <cell r="AH109">
            <v>0.16554261931657085</v>
          </cell>
          <cell r="AI109">
            <v>0.1606160529173466</v>
          </cell>
          <cell r="AJ109">
            <v>0.12923875081760211</v>
          </cell>
          <cell r="AK109">
            <v>0.12690640471974368</v>
          </cell>
          <cell r="AL109">
            <v>0.12220949131632912</v>
          </cell>
          <cell r="AM109">
            <v>0.14413088163988544</v>
          </cell>
          <cell r="AN109">
            <v>0.13724708498018956</v>
          </cell>
          <cell r="AO109">
            <v>0.13169991873849571</v>
          </cell>
          <cell r="AP109">
            <v>0.13712805945921117</v>
          </cell>
          <cell r="AQ109">
            <v>0.14427233849437418</v>
          </cell>
          <cell r="AR109">
            <v>0.13442069311340016</v>
          </cell>
          <cell r="AS109">
            <v>0.1760759767123852</v>
          </cell>
          <cell r="AT109">
            <v>0.17725682936505952</v>
          </cell>
          <cell r="AU109">
            <v>0.17055584354530806</v>
          </cell>
          <cell r="AV109">
            <v>0.1621201114247002</v>
          </cell>
          <cell r="AW109">
            <v>0.16870698347256302</v>
          </cell>
          <cell r="AX109">
            <v>0.16265880808590757</v>
          </cell>
          <cell r="AY109">
            <v>0.16469875659201177</v>
          </cell>
          <cell r="AZ109">
            <v>0.16995842647524015</v>
          </cell>
          <cell r="BA109">
            <v>0.17168668649576393</v>
          </cell>
          <cell r="BB109">
            <v>0.18341519152007021</v>
          </cell>
          <cell r="BC109">
            <v>0.1868160409975527</v>
          </cell>
          <cell r="BD109">
            <v>0.1864279116385984</v>
          </cell>
          <cell r="BE109">
            <v>0.19885335036740079</v>
          </cell>
          <cell r="BF109">
            <v>0.19449896520550836</v>
          </cell>
          <cell r="BG109">
            <v>0.19656346195786523</v>
          </cell>
          <cell r="BH109">
            <v>0.18171822419575936</v>
          </cell>
          <cell r="BI109">
            <v>0.19302900181657276</v>
          </cell>
          <cell r="BJ109">
            <v>0.187314921939983</v>
          </cell>
          <cell r="BK109">
            <v>0.17414189303467245</v>
          </cell>
          <cell r="BL109">
            <v>0.1993262978284609</v>
          </cell>
          <cell r="BM109">
            <v>0.19888910155696368</v>
          </cell>
          <cell r="BN109">
            <v>0.1904100089145665</v>
          </cell>
          <cell r="BO109">
            <v>0.19512545124810893</v>
          </cell>
          <cell r="BP109">
            <v>0.20328698175887633</v>
          </cell>
          <cell r="BQ109">
            <v>0.20135470644048881</v>
          </cell>
          <cell r="BR109">
            <v>0.20299122855676191</v>
          </cell>
          <cell r="BS109">
            <v>0.20300460539772178</v>
          </cell>
          <cell r="BT109">
            <v>0.16807035905878576</v>
          </cell>
          <cell r="BU109">
            <v>0.1740676779325859</v>
          </cell>
          <cell r="BV109">
            <v>5.260660556446869E-3</v>
          </cell>
          <cell r="BW109">
            <v>0.16540766727284911</v>
          </cell>
          <cell r="BX109">
            <v>0.17385675704456896</v>
          </cell>
          <cell r="BY109">
            <v>0.17249592332553385</v>
          </cell>
          <cell r="BZ109">
            <v>0.16244551708935628</v>
          </cell>
          <cell r="CA109">
            <v>0.1745547920878763</v>
          </cell>
          <cell r="CB109">
            <v>0.17448178249585708</v>
          </cell>
          <cell r="CC109">
            <v>0.17440877290383769</v>
          </cell>
          <cell r="CD109">
            <v>0.17433576331181827</v>
          </cell>
          <cell r="CE109">
            <v>0.17426275371979874</v>
          </cell>
          <cell r="CF109">
            <v>0.16938023279698317</v>
          </cell>
          <cell r="CG109">
            <v>0.16995743546520536</v>
          </cell>
          <cell r="CH109">
            <v>-9.6020804367041565E-2</v>
          </cell>
          <cell r="CI109">
            <v>0.16809455685960445</v>
          </cell>
          <cell r="CJ109">
            <v>0.16973584848395096</v>
          </cell>
          <cell r="CK109">
            <v>0.16966198615686623</v>
          </cell>
          <cell r="CL109">
            <v>0.15732697753371019</v>
          </cell>
          <cell r="CM109">
            <v>0.16952658132691489</v>
          </cell>
          <cell r="CN109">
            <v>-9.6619576986908651E-2</v>
          </cell>
          <cell r="CO109">
            <v>0.1693787634106064</v>
          </cell>
          <cell r="CP109">
            <v>0.16930485445245205</v>
          </cell>
          <cell r="CQ109">
            <v>0.16923094549429757</v>
          </cell>
          <cell r="CR109">
            <v>0.16672265797122696</v>
          </cell>
          <cell r="CS109">
            <v>0.16687188889839202</v>
          </cell>
          <cell r="CT109">
            <v>-1.0695622285200438E-2</v>
          </cell>
          <cell r="CU109">
            <v>0.16590906634412736</v>
          </cell>
          <cell r="CV109">
            <v>0.16665002195397277</v>
          </cell>
          <cell r="CW109">
            <v>0.16657606630583302</v>
          </cell>
          <cell r="CX109">
            <v>0.15422547306649106</v>
          </cell>
          <cell r="CY109">
            <v>0.16642815500955352</v>
          </cell>
          <cell r="CZ109">
            <v>0.1663541993614136</v>
          </cell>
          <cell r="DA109">
            <v>0.16628024371327385</v>
          </cell>
          <cell r="DB109">
            <v>0.1662062880651341</v>
          </cell>
          <cell r="DC109">
            <v>0.16515474395152691</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row>
        <row r="111">
          <cell r="B111">
            <v>38169</v>
          </cell>
        </row>
        <row r="113">
          <cell r="FA113">
            <v>-4.3149839257239364E-10</v>
          </cell>
        </row>
      </sheetData>
      <sheetData sheetId="20"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Z4" t="str">
            <v>Checker</v>
          </cell>
        </row>
        <row r="7">
          <cell r="H7">
            <v>0</v>
          </cell>
          <cell r="I7">
            <v>0</v>
          </cell>
          <cell r="J7">
            <v>0</v>
          </cell>
          <cell r="K7">
            <v>0</v>
          </cell>
          <cell r="L7">
            <v>0</v>
          </cell>
          <cell r="M7">
            <v>0</v>
          </cell>
          <cell r="N7">
            <v>0</v>
          </cell>
          <cell r="O7">
            <v>0</v>
          </cell>
          <cell r="P7">
            <v>0</v>
          </cell>
          <cell r="Q7">
            <v>0</v>
          </cell>
          <cell r="R7">
            <v>0</v>
          </cell>
          <cell r="S7">
            <v>-4012.3680215706522</v>
          </cell>
          <cell r="T7">
            <v>-5251.481675291001</v>
          </cell>
          <cell r="U7">
            <v>-6490.5953290113493</v>
          </cell>
          <cell r="V7">
            <v>-15350.676282205721</v>
          </cell>
          <cell r="W7">
            <v>-23849.57142546781</v>
          </cell>
          <cell r="X7">
            <v>-30089.850476509499</v>
          </cell>
          <cell r="Y7">
            <v>-38807.686816976449</v>
          </cell>
          <cell r="Z7">
            <v>-39379.265799271765</v>
          </cell>
          <cell r="AA7">
            <v>-39852.52975538966</v>
          </cell>
          <cell r="AB7">
            <v>-40003.963013200213</v>
          </cell>
          <cell r="AC7">
            <v>-44825.991970971554</v>
          </cell>
          <cell r="AD7">
            <v>-58482.341691575675</v>
          </cell>
          <cell r="AE7">
            <v>-77846.335861670712</v>
          </cell>
          <cell r="AF7">
            <v>-83980.717696188774</v>
          </cell>
          <cell r="AG7">
            <v>-86530.199402494472</v>
          </cell>
          <cell r="AH7">
            <v>-80044.255005191662</v>
          </cell>
          <cell r="AI7">
            <v>-76424.142025979541</v>
          </cell>
          <cell r="AJ7">
            <v>-65211.50852026842</v>
          </cell>
          <cell r="AK7">
            <v>-58815.534856799612</v>
          </cell>
          <cell r="AL7">
            <v>-66422.544435677817</v>
          </cell>
          <cell r="AM7">
            <v>-75870.948187062648</v>
          </cell>
          <cell r="AN7">
            <v>-21200.633899657201</v>
          </cell>
          <cell r="AO7">
            <v>-15736.109068639249</v>
          </cell>
          <cell r="AP7">
            <v>-3332.7233215551769</v>
          </cell>
          <cell r="AQ7">
            <v>-2327.0476430984945</v>
          </cell>
          <cell r="AR7">
            <v>-1222.7969367814603</v>
          </cell>
          <cell r="AS7">
            <v>791.96183518267208</v>
          </cell>
          <cell r="AT7">
            <v>7242.8653639800632</v>
          </cell>
          <cell r="AU7">
            <v>8125.2972976681067</v>
          </cell>
          <cell r="AV7">
            <v>10297.130075850842</v>
          </cell>
          <cell r="AW7">
            <v>6758.0330286635999</v>
          </cell>
          <cell r="AX7">
            <v>2357.0216081066974</v>
          </cell>
          <cell r="AY7">
            <v>-1746.2855669561613</v>
          </cell>
          <cell r="AZ7">
            <v>29920.61421055159</v>
          </cell>
          <cell r="BA7">
            <v>29535.058752651876</v>
          </cell>
          <cell r="BB7">
            <v>34940.442853157445</v>
          </cell>
          <cell r="BC7">
            <v>39909.650988457302</v>
          </cell>
          <cell r="BD7">
            <v>43401.632975691638</v>
          </cell>
          <cell r="BE7">
            <v>48986.227269550167</v>
          </cell>
          <cell r="BF7">
            <v>57174.072468326427</v>
          </cell>
          <cell r="BG7">
            <v>57601.520276252464</v>
          </cell>
          <cell r="BH7">
            <v>67029.188642935449</v>
          </cell>
          <cell r="BI7">
            <v>80158.603085112307</v>
          </cell>
          <cell r="BJ7">
            <v>83478.306799817947</v>
          </cell>
          <cell r="BK7">
            <v>89890.679844938073</v>
          </cell>
          <cell r="BL7">
            <v>126410.18433042182</v>
          </cell>
          <cell r="BM7">
            <v>125099.97255859939</v>
          </cell>
          <cell r="BN7">
            <v>131352.32757911849</v>
          </cell>
          <cell r="BO7">
            <v>136877.10642299976</v>
          </cell>
          <cell r="BP7">
            <v>138843.30919298143</v>
          </cell>
          <cell r="BQ7">
            <v>143636.34556732303</v>
          </cell>
          <cell r="BR7">
            <v>149513.18180923854</v>
          </cell>
          <cell r="BS7">
            <v>148912.22468849248</v>
          </cell>
          <cell r="BT7">
            <v>156525.08562182685</v>
          </cell>
          <cell r="BU7">
            <v>164068.35006140321</v>
          </cell>
          <cell r="BV7">
            <v>162598.34916487924</v>
          </cell>
          <cell r="BW7">
            <v>160355.53722270534</v>
          </cell>
          <cell r="BX7">
            <v>177842.50438095868</v>
          </cell>
          <cell r="BY7">
            <v>177175.57642906884</v>
          </cell>
          <cell r="BZ7">
            <v>182774.73394756924</v>
          </cell>
          <cell r="CA7">
            <v>186596.84251331649</v>
          </cell>
          <cell r="CB7">
            <v>187284.63534021689</v>
          </cell>
          <cell r="CC7">
            <v>191246.47375036188</v>
          </cell>
          <cell r="CD7">
            <v>195206.60813353234</v>
          </cell>
          <cell r="CE7">
            <v>195350.41911300845</v>
          </cell>
          <cell r="CF7">
            <v>199515.32664641025</v>
          </cell>
          <cell r="CG7">
            <v>203632.28828413313</v>
          </cell>
          <cell r="CH7">
            <v>203220.82368711889</v>
          </cell>
          <cell r="CI7">
            <v>201002.17269613768</v>
          </cell>
          <cell r="CJ7">
            <v>207040.39475869882</v>
          </cell>
          <cell r="CK7">
            <v>207188.24409574148</v>
          </cell>
          <cell r="CL7">
            <v>211026.08873402534</v>
          </cell>
          <cell r="CM7">
            <v>214626.46264564488</v>
          </cell>
          <cell r="CN7">
            <v>216147.37673864709</v>
          </cell>
          <cell r="CO7">
            <v>214336.5808294368</v>
          </cell>
          <cell r="CP7">
            <v>218177.99527882808</v>
          </cell>
          <cell r="CQ7">
            <v>218467.49231087157</v>
          </cell>
          <cell r="CR7">
            <v>222310.61019465493</v>
          </cell>
          <cell r="CS7">
            <v>226105.93996272178</v>
          </cell>
          <cell r="CT7">
            <v>227839.03624141286</v>
          </cell>
          <cell r="CU7">
            <v>227626.11462646289</v>
          </cell>
          <cell r="CV7">
            <v>232586.53305921855</v>
          </cell>
          <cell r="CW7">
            <v>232771.92238755533</v>
          </cell>
          <cell r="CX7">
            <v>236526.53144052051</v>
          </cell>
          <cell r="CY7">
            <v>240040.88839539306</v>
          </cell>
          <cell r="CZ7">
            <v>241454.55017937915</v>
          </cell>
          <cell r="DA7">
            <v>245226.20735474862</v>
          </cell>
          <cell r="DB7">
            <v>248996.16050314353</v>
          </cell>
          <cell r="DC7">
            <v>249000.22478112805</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row>
        <row r="12">
          <cell r="H12">
            <v>0</v>
          </cell>
          <cell r="I12">
            <v>0</v>
          </cell>
          <cell r="J12">
            <v>0</v>
          </cell>
          <cell r="K12">
            <v>0</v>
          </cell>
          <cell r="L12">
            <v>0</v>
          </cell>
          <cell r="M12">
            <v>0</v>
          </cell>
          <cell r="N12">
            <v>0</v>
          </cell>
          <cell r="O12">
            <v>0</v>
          </cell>
          <cell r="P12">
            <v>0</v>
          </cell>
          <cell r="Q12">
            <v>0</v>
          </cell>
          <cell r="R12">
            <v>0</v>
          </cell>
          <cell r="S12">
            <v>-4012.3680215706522</v>
          </cell>
          <cell r="T12">
            <v>-5251.481675291001</v>
          </cell>
          <cell r="U12">
            <v>-6490.5953290113493</v>
          </cell>
          <cell r="V12">
            <v>-9631.0816306105116</v>
          </cell>
          <cell r="W12">
            <v>-10210.734187946809</v>
          </cell>
          <cell r="X12">
            <v>-8203.0011733844876</v>
          </cell>
          <cell r="Y12">
            <v>-9484.0637913344617</v>
          </cell>
          <cell r="Z12">
            <v>-8185.6074897593517</v>
          </cell>
          <cell r="AA12">
            <v>-8904.4197959954454</v>
          </cell>
          <cell r="AB12">
            <v>-10168.366452403086</v>
          </cell>
          <cell r="AC12">
            <v>-13782.537025271569</v>
          </cell>
          <cell r="AD12">
            <v>-1789.2976067072595</v>
          </cell>
          <cell r="AE12">
            <v>3208.7431993719874</v>
          </cell>
          <cell r="AF12">
            <v>9625.384999360911</v>
          </cell>
          <cell r="AG12">
            <v>15636.465115729436</v>
          </cell>
          <cell r="AH12">
            <v>22529.623113325506</v>
          </cell>
          <cell r="AI12">
            <v>28349.449462765479</v>
          </cell>
          <cell r="AJ12">
            <v>41359.564353389971</v>
          </cell>
          <cell r="AK12">
            <v>45475.116524035715</v>
          </cell>
          <cell r="AL12">
            <v>43631.73723980369</v>
          </cell>
          <cell r="AM12">
            <v>48537.061176974683</v>
          </cell>
          <cell r="AN12">
            <v>53750.149613886912</v>
          </cell>
          <cell r="AO12">
            <v>53917.913964870473</v>
          </cell>
          <cell r="AP12">
            <v>58741.07203877034</v>
          </cell>
          <cell r="AQ12">
            <v>63681.923235104623</v>
          </cell>
          <cell r="AR12">
            <v>61051.908995708975</v>
          </cell>
          <cell r="AS12">
            <v>64862.005943908749</v>
          </cell>
          <cell r="AT12">
            <v>70180.684272105689</v>
          </cell>
          <cell r="AU12">
            <v>70988.211367035925</v>
          </cell>
          <cell r="AV12">
            <v>82868.257532938253</v>
          </cell>
          <cell r="AW12">
            <v>88480.14302800459</v>
          </cell>
          <cell r="AX12">
            <v>89676.060373649612</v>
          </cell>
          <cell r="AY12">
            <v>100737.49908650512</v>
          </cell>
          <cell r="AZ12">
            <v>107373.34444181502</v>
          </cell>
          <cell r="BA12">
            <v>109019.27139835001</v>
          </cell>
          <cell r="BB12">
            <v>116971.99445166124</v>
          </cell>
          <cell r="BC12">
            <v>125057.95630744126</v>
          </cell>
          <cell r="BD12">
            <v>125403.24406069971</v>
          </cell>
          <cell r="BE12">
            <v>132302.08435064979</v>
          </cell>
          <cell r="BF12">
            <v>140223.99574020912</v>
          </cell>
          <cell r="BG12">
            <v>141083.34117773437</v>
          </cell>
          <cell r="BH12">
            <v>145225.26216669395</v>
          </cell>
          <cell r="BI12">
            <v>152108.41327581002</v>
          </cell>
          <cell r="BJ12">
            <v>151964.2984815948</v>
          </cell>
          <cell r="BK12">
            <v>162033.82148926344</v>
          </cell>
          <cell r="BL12">
            <v>167973.71976014326</v>
          </cell>
          <cell r="BM12">
            <v>167019.60445097383</v>
          </cell>
          <cell r="BN12">
            <v>173154.16931585502</v>
          </cell>
          <cell r="BO12">
            <v>179227.26655129404</v>
          </cell>
          <cell r="BP12">
            <v>177521.11249888942</v>
          </cell>
          <cell r="BQ12">
            <v>183369.57610180683</v>
          </cell>
          <cell r="BR12">
            <v>188961.24213767317</v>
          </cell>
          <cell r="BS12">
            <v>189002.8430349949</v>
          </cell>
          <cell r="BT12">
            <v>194686.72177838435</v>
          </cell>
          <cell r="BU12">
            <v>198830.40375002159</v>
          </cell>
          <cell r="BV12">
            <v>197490.16256867428</v>
          </cell>
          <cell r="BW12">
            <v>199948.12955609575</v>
          </cell>
          <cell r="BX12">
            <v>204163.45918725245</v>
          </cell>
          <cell r="BY12">
            <v>204100.53761512937</v>
          </cell>
          <cell r="BZ12">
            <v>207562.59360487788</v>
          </cell>
          <cell r="CA12">
            <v>211377.52429658547</v>
          </cell>
          <cell r="CB12">
            <v>212175.70962554537</v>
          </cell>
          <cell r="CC12">
            <v>216247.94053774985</v>
          </cell>
          <cell r="CD12">
            <v>220318.4674229798</v>
          </cell>
          <cell r="CE12">
            <v>220572.6709045154</v>
          </cell>
          <cell r="CF12">
            <v>224626.03537257927</v>
          </cell>
          <cell r="CG12">
            <v>228539.54650999489</v>
          </cell>
          <cell r="CH12">
            <v>228194.08730156068</v>
          </cell>
          <cell r="CI12">
            <v>226787.32623269281</v>
          </cell>
          <cell r="CJ12">
            <v>230704.75584688399</v>
          </cell>
          <cell r="CK12">
            <v>230918.61057250664</v>
          </cell>
          <cell r="CL12">
            <v>234810.47192942086</v>
          </cell>
          <cell r="CM12">
            <v>238459.89783987982</v>
          </cell>
          <cell r="CN12">
            <v>240044.4195874721</v>
          </cell>
          <cell r="CO12">
            <v>238297.23133285189</v>
          </cell>
          <cell r="CP12">
            <v>242202.2534368333</v>
          </cell>
          <cell r="CQ12">
            <v>242555.35812346684</v>
          </cell>
          <cell r="CR12">
            <v>246450.0949918906</v>
          </cell>
          <cell r="CS12">
            <v>250292.07902480697</v>
          </cell>
          <cell r="CT12">
            <v>252086.38522409819</v>
          </cell>
          <cell r="CU12">
            <v>252337.23639324136</v>
          </cell>
          <cell r="CV12">
            <v>256178.62362408367</v>
          </cell>
          <cell r="CW12">
            <v>256425.2228730206</v>
          </cell>
          <cell r="CX12">
            <v>260241.04184658593</v>
          </cell>
          <cell r="CY12">
            <v>263816.60872205859</v>
          </cell>
          <cell r="CZ12">
            <v>265291.48042664485</v>
          </cell>
          <cell r="DA12">
            <v>269124.34752261441</v>
          </cell>
          <cell r="DB12">
            <v>272955.51059160952</v>
          </cell>
          <cell r="DC12">
            <v>273527.74695610593</v>
          </cell>
          <cell r="DD12">
            <v>1.2278178473934531E-11</v>
          </cell>
          <cell r="DE12">
            <v>1.2278178473934531E-11</v>
          </cell>
          <cell r="DF12">
            <v>1.2278178473934531E-11</v>
          </cell>
          <cell r="DG12">
            <v>1.2278178473934531E-11</v>
          </cell>
          <cell r="DH12">
            <v>1.2278178473934531E-11</v>
          </cell>
          <cell r="DI12">
            <v>1.2278178473934531E-11</v>
          </cell>
          <cell r="DJ12">
            <v>1.2278178473934531E-11</v>
          </cell>
          <cell r="DK12">
            <v>1.2278178473934531E-11</v>
          </cell>
          <cell r="DL12">
            <v>1.2278178473934531E-11</v>
          </cell>
          <cell r="DM12">
            <v>1.2278178473934531E-11</v>
          </cell>
          <cell r="DN12">
            <v>1.2278178473934531E-11</v>
          </cell>
          <cell r="DO12">
            <v>1.2278178473934531E-11</v>
          </cell>
          <cell r="DP12">
            <v>1.2278178473934531E-11</v>
          </cell>
          <cell r="DQ12">
            <v>1.2278178473934531E-11</v>
          </cell>
          <cell r="DR12">
            <v>1.2278178473934531E-11</v>
          </cell>
          <cell r="DS12">
            <v>1.2278178473934531E-11</v>
          </cell>
          <cell r="DT12">
            <v>1.2278178473934531E-11</v>
          </cell>
          <cell r="DU12">
            <v>1.2278178473934531E-11</v>
          </cell>
          <cell r="DV12">
            <v>1.2278178473934531E-11</v>
          </cell>
          <cell r="DW12">
            <v>1.2278178473934531E-11</v>
          </cell>
          <cell r="DX12">
            <v>1.2278178473934531E-11</v>
          </cell>
          <cell r="DY12">
            <v>1.2278178473934531E-11</v>
          </cell>
          <cell r="DZ12">
            <v>1.2278178473934531E-11</v>
          </cell>
          <cell r="EA12">
            <v>1.2278178473934531E-11</v>
          </cell>
          <cell r="EB12">
            <v>1.2278178473934531E-11</v>
          </cell>
          <cell r="EC12">
            <v>1.2278178473934531E-11</v>
          </cell>
          <cell r="ED12">
            <v>1.2278178473934531E-11</v>
          </cell>
          <cell r="EE12">
            <v>1.2278178473934531E-11</v>
          </cell>
          <cell r="EF12">
            <v>1.2278178473934531E-11</v>
          </cell>
          <cell r="EG12">
            <v>1.2278178473934531E-11</v>
          </cell>
          <cell r="EH12">
            <v>1.2278178473934531E-11</v>
          </cell>
          <cell r="EI12">
            <v>1.2278178473934531E-11</v>
          </cell>
        </row>
        <row r="21">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row>
        <row r="33">
          <cell r="H33">
            <v>0</v>
          </cell>
          <cell r="I33">
            <v>0</v>
          </cell>
          <cell r="J33">
            <v>0</v>
          </cell>
          <cell r="K33">
            <v>0</v>
          </cell>
          <cell r="L33">
            <v>0</v>
          </cell>
          <cell r="M33">
            <v>0</v>
          </cell>
          <cell r="N33">
            <v>0</v>
          </cell>
          <cell r="O33">
            <v>0</v>
          </cell>
          <cell r="P33">
            <v>0</v>
          </cell>
          <cell r="Q33">
            <v>0</v>
          </cell>
          <cell r="R33">
            <v>0</v>
          </cell>
          <cell r="S33">
            <v>-1243.8340866869021</v>
          </cell>
          <cell r="T33">
            <v>-1627.9593193402102</v>
          </cell>
          <cell r="U33">
            <v>-2012.0845519935183</v>
          </cell>
          <cell r="V33">
            <v>-2985.6353054892588</v>
          </cell>
          <cell r="W33">
            <v>-2307.0820784495486</v>
          </cell>
          <cell r="X33">
            <v>270.54909220775244</v>
          </cell>
          <cell r="Y33">
            <v>11.264371003032011</v>
          </cell>
          <cell r="Z33">
            <v>1696.6711478968462</v>
          </cell>
          <cell r="AA33">
            <v>1587.265034082526</v>
          </cell>
          <cell r="AB33">
            <v>1211.969748825089</v>
          </cell>
          <cell r="AC33">
            <v>1082.2047401693981</v>
          </cell>
          <cell r="AD33">
            <v>11136.642844318621</v>
          </cell>
          <cell r="AE33">
            <v>12592.967695375108</v>
          </cell>
          <cell r="AF33">
            <v>15206.831063686881</v>
          </cell>
          <cell r="AG33">
            <v>16390.541214217927</v>
          </cell>
          <cell r="AH33">
            <v>18535.853605544027</v>
          </cell>
          <cell r="AI33">
            <v>19757.796965047746</v>
          </cell>
          <cell r="AJ33">
            <v>28980.83093985503</v>
          </cell>
          <cell r="AK33">
            <v>30133.05764244475</v>
          </cell>
          <cell r="AL33">
            <v>25452.897583679267</v>
          </cell>
          <cell r="AM33">
            <v>22110.559883795613</v>
          </cell>
          <cell r="AN33">
            <v>23712.678633429714</v>
          </cell>
          <cell r="AO33">
            <v>20326.135116039157</v>
          </cell>
          <cell r="AP33">
            <v>22377.675118381987</v>
          </cell>
          <cell r="AQ33">
            <v>23798.357950401492</v>
          </cell>
          <cell r="AR33">
            <v>18515.519207828507</v>
          </cell>
          <cell r="AS33">
            <v>18544.810423002709</v>
          </cell>
          <cell r="AT33">
            <v>20182.493118773767</v>
          </cell>
          <cell r="AU33">
            <v>17457.382814627112</v>
          </cell>
          <cell r="AV33">
            <v>25807.703885731393</v>
          </cell>
          <cell r="AW33">
            <v>27377.506666584617</v>
          </cell>
          <cell r="AX33">
            <v>24691.069688894317</v>
          </cell>
          <cell r="AY33">
            <v>28261.804421839901</v>
          </cell>
          <cell r="AZ33">
            <v>30391.048061608206</v>
          </cell>
          <cell r="BA33">
            <v>27407.72784668635</v>
          </cell>
          <cell r="BB33">
            <v>30306.409321312021</v>
          </cell>
          <cell r="BC33">
            <v>32611.735887356779</v>
          </cell>
          <cell r="BD33">
            <v>27874.443149477655</v>
          </cell>
          <cell r="BE33">
            <v>29172.233217452042</v>
          </cell>
          <cell r="BF33">
            <v>31706.3884126501</v>
          </cell>
          <cell r="BG33">
            <v>27127.789488980437</v>
          </cell>
          <cell r="BH33">
            <v>26250.633429879977</v>
          </cell>
          <cell r="BI33">
            <v>28172.546617164833</v>
          </cell>
          <cell r="BJ33">
            <v>23226.98563080142</v>
          </cell>
          <cell r="BK33">
            <v>25973.95741321471</v>
          </cell>
          <cell r="BL33">
            <v>27816.409544111357</v>
          </cell>
          <cell r="BM33">
            <v>22742.05707255601</v>
          </cell>
          <cell r="BN33">
            <v>25029.577168318723</v>
          </cell>
          <cell r="BO33">
            <v>26733.432268860986</v>
          </cell>
          <cell r="BP33">
            <v>21176.960676749579</v>
          </cell>
          <cell r="BQ33">
            <v>23072.819441789165</v>
          </cell>
          <cell r="BR33">
            <v>24807.319579831637</v>
          </cell>
          <cell r="BS33">
            <v>20996.977064340907</v>
          </cell>
          <cell r="BT33">
            <v>23460.838178436643</v>
          </cell>
          <cell r="BU33">
            <v>24693.499035662382</v>
          </cell>
          <cell r="BV33">
            <v>23265.281188356978</v>
          </cell>
          <cell r="BW33">
            <v>21427.534004016536</v>
          </cell>
          <cell r="BX33">
            <v>22735.369856599013</v>
          </cell>
          <cell r="BY33">
            <v>19622.223367644277</v>
          </cell>
          <cell r="BZ33">
            <v>20455.007074796045</v>
          </cell>
          <cell r="CA33">
            <v>21458.830546781544</v>
          </cell>
          <cell r="CB33">
            <v>19447.084434631812</v>
          </cell>
          <cell r="CC33">
            <v>20710.559684339103</v>
          </cell>
          <cell r="CD33">
            <v>21973.50668568429</v>
          </cell>
          <cell r="CE33">
            <v>19421.306061947576</v>
          </cell>
          <cell r="CF33">
            <v>20746.896691215334</v>
          </cell>
          <cell r="CG33">
            <v>21954.937725925651</v>
          </cell>
          <cell r="CH33">
            <v>23137.987198160066</v>
          </cell>
          <cell r="CI33">
            <v>18801.774007687418</v>
          </cell>
          <cell r="CJ33">
            <v>20017.260855010591</v>
          </cell>
          <cell r="CK33">
            <v>17530.348592377653</v>
          </cell>
          <cell r="CL33">
            <v>18917.797989312709</v>
          </cell>
          <cell r="CM33">
            <v>19870.314979111146</v>
          </cell>
          <cell r="CN33">
            <v>22991.906589416878</v>
          </cell>
          <cell r="CO33">
            <v>18550.160971361005</v>
          </cell>
          <cell r="CP33">
            <v>19761.80149051913</v>
          </cell>
          <cell r="CQ33">
            <v>17422.700370941897</v>
          </cell>
          <cell r="CR33">
            <v>18665.134455699201</v>
          </cell>
          <cell r="CS33">
            <v>19854.117630420951</v>
          </cell>
          <cell r="CT33">
            <v>21818.46741997105</v>
          </cell>
          <cell r="CU33">
            <v>19296.514331964318</v>
          </cell>
          <cell r="CV33">
            <v>20488.42804044934</v>
          </cell>
          <cell r="CW33">
            <v>18086.72954564141</v>
          </cell>
          <cell r="CX33">
            <v>19450.605803738308</v>
          </cell>
          <cell r="CY33">
            <v>20380.226492690996</v>
          </cell>
          <cell r="CZ33">
            <v>19210.327789369654</v>
          </cell>
          <cell r="DA33">
            <v>20399.600256044134</v>
          </cell>
          <cell r="DB33">
            <v>21588.344474356505</v>
          </cell>
          <cell r="DC33">
            <v>19365.503554096991</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row>
        <row r="46">
          <cell r="EZ46">
            <v>0</v>
          </cell>
        </row>
      </sheetData>
      <sheetData sheetId="21"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v>
          </cell>
        </row>
        <row r="10">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7128.1615357469636</v>
          </cell>
          <cell r="X10">
            <v>9684.8430522766103</v>
          </cell>
          <cell r="Y10">
            <v>15256.834548363646</v>
          </cell>
          <cell r="Z10">
            <v>15056.779983826325</v>
          </cell>
          <cell r="AA10">
            <v>15345.756648930545</v>
          </cell>
          <cell r="AB10">
            <v>12598.63936661618</v>
          </cell>
          <cell r="AC10">
            <v>13061.76595628118</v>
          </cell>
          <cell r="AD10">
            <v>18204.31145933452</v>
          </cell>
          <cell r="AE10">
            <v>32502.932225852506</v>
          </cell>
          <cell r="AF10">
            <v>35831.586750800336</v>
          </cell>
          <cell r="AG10">
            <v>43324.500207523699</v>
          </cell>
          <cell r="AH10">
            <v>41565.946519803714</v>
          </cell>
          <cell r="AI10">
            <v>41487.749294702211</v>
          </cell>
          <cell r="AJ10">
            <v>42468.091278194428</v>
          </cell>
          <cell r="AK10">
            <v>33841.275394017772</v>
          </cell>
          <cell r="AL10">
            <v>33641.220829480451</v>
          </cell>
          <cell r="AM10">
            <v>82932.489354993013</v>
          </cell>
          <cell r="AN10">
            <v>38130.422971152642</v>
          </cell>
          <cell r="AO10">
            <v>39112.938512580331</v>
          </cell>
          <cell r="AP10">
            <v>29292.602846611964</v>
          </cell>
          <cell r="AQ10">
            <v>35361.548408079296</v>
          </cell>
          <cell r="AR10">
            <v>28601.79563102821</v>
          </cell>
          <cell r="AS10">
            <v>31119.683110083031</v>
          </cell>
          <cell r="AT10">
            <v>30096.308830454982</v>
          </cell>
          <cell r="AU10">
            <v>30018.111605353479</v>
          </cell>
          <cell r="AV10">
            <v>31554.034664140625</v>
          </cell>
          <cell r="AW10">
            <v>34723.464136365408</v>
          </cell>
          <cell r="AX10">
            <v>34591.428123770776</v>
          </cell>
          <cell r="AY10">
            <v>65914.843251668353</v>
          </cell>
          <cell r="AZ10">
            <v>38428.849746203952</v>
          </cell>
          <cell r="BA10">
            <v>39077.310003546227</v>
          </cell>
          <cell r="BB10">
            <v>39935.066879792779</v>
          </cell>
          <cell r="BC10">
            <v>44844.823063528485</v>
          </cell>
          <cell r="BD10">
            <v>39511.565720307175</v>
          </cell>
          <cell r="BE10">
            <v>40821.359433080026</v>
          </cell>
          <cell r="BF10">
            <v>40145.932408525507</v>
          </cell>
          <cell r="BG10">
            <v>40094.322239958521</v>
          </cell>
          <cell r="BH10">
            <v>40029.142588897972</v>
          </cell>
          <cell r="BI10">
            <v>37249.32429347829</v>
          </cell>
          <cell r="BJ10">
            <v>37149.297011209623</v>
          </cell>
          <cell r="BK10">
            <v>60941.06877526149</v>
          </cell>
          <cell r="BL10">
            <v>29791.993348597382</v>
          </cell>
          <cell r="BM10">
            <v>30023.556643429882</v>
          </cell>
          <cell r="BN10">
            <v>29281.166643517176</v>
          </cell>
          <cell r="BO10">
            <v>32452.122148123239</v>
          </cell>
          <cell r="BP10">
            <v>27449.71812321906</v>
          </cell>
          <cell r="BQ10">
            <v>28449.361377165704</v>
          </cell>
          <cell r="BR10">
            <v>27538.606194156091</v>
          </cell>
          <cell r="BS10">
            <v>27499.507581605343</v>
          </cell>
          <cell r="BT10">
            <v>27766.301223498049</v>
          </cell>
          <cell r="BU10">
            <v>24236.959040382339</v>
          </cell>
          <cell r="BV10">
            <v>24236.959040382339</v>
          </cell>
          <cell r="BW10">
            <v>37638.356282655601</v>
          </cell>
          <cell r="BX10">
            <v>24236.959040382339</v>
          </cell>
          <cell r="BY10">
            <v>25627.364034294438</v>
          </cell>
          <cell r="BZ10">
            <v>23457.338855951501</v>
          </cell>
          <cell r="CA10">
            <v>23339.768479852322</v>
          </cell>
          <cell r="CB10">
            <v>23339.768479852322</v>
          </cell>
          <cell r="CC10">
            <v>23339.768479852322</v>
          </cell>
          <cell r="CD10">
            <v>23339.768479852322</v>
          </cell>
          <cell r="CE10">
            <v>23339.768479852322</v>
          </cell>
          <cell r="CF10">
            <v>23339.768479852322</v>
          </cell>
          <cell r="CG10">
            <v>23070.312590965081</v>
          </cell>
          <cell r="CH10">
            <v>23070.312590965081</v>
          </cell>
          <cell r="CI10">
            <v>25257.110427915031</v>
          </cell>
          <cell r="CJ10">
            <v>23070.312590965081</v>
          </cell>
          <cell r="CK10">
            <v>23070.312590965081</v>
          </cell>
          <cell r="CL10">
            <v>23070.312590965081</v>
          </cell>
          <cell r="CM10">
            <v>23055.756935214435</v>
          </cell>
          <cell r="CN10">
            <v>23055.756935214435</v>
          </cell>
          <cell r="CO10">
            <v>23055.756935214435</v>
          </cell>
          <cell r="CP10">
            <v>23055.756935214435</v>
          </cell>
          <cell r="CQ10">
            <v>23055.756935214435</v>
          </cell>
          <cell r="CR10">
            <v>23055.756935214435</v>
          </cell>
          <cell r="CS10">
            <v>23041.201279463789</v>
          </cell>
          <cell r="CT10">
            <v>23041.201279463789</v>
          </cell>
          <cell r="CU10">
            <v>24221.442401977278</v>
          </cell>
          <cell r="CV10">
            <v>23041.201279463789</v>
          </cell>
          <cell r="CW10">
            <v>23041.201279463789</v>
          </cell>
          <cell r="CX10">
            <v>23041.201279463789</v>
          </cell>
          <cell r="CY10">
            <v>23041.201279463789</v>
          </cell>
          <cell r="CZ10">
            <v>23041.201279463789</v>
          </cell>
          <cell r="DA10">
            <v>23041.201279463789</v>
          </cell>
          <cell r="DB10">
            <v>23041.201279463789</v>
          </cell>
          <cell r="DC10">
            <v>24527.522174977894</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row>
        <row r="12">
          <cell r="H12">
            <v>0</v>
          </cell>
          <cell r="I12">
            <v>0</v>
          </cell>
          <cell r="J12">
            <v>0</v>
          </cell>
          <cell r="K12">
            <v>0</v>
          </cell>
          <cell r="L12">
            <v>0</v>
          </cell>
          <cell r="M12">
            <v>0</v>
          </cell>
          <cell r="N12">
            <v>0</v>
          </cell>
          <cell r="O12">
            <v>0</v>
          </cell>
          <cell r="P12">
            <v>0</v>
          </cell>
          <cell r="Q12">
            <v>0</v>
          </cell>
          <cell r="R12">
            <v>0</v>
          </cell>
          <cell r="S12">
            <v>0</v>
          </cell>
          <cell r="T12">
            <v>0</v>
          </cell>
          <cell r="U12">
            <v>0</v>
          </cell>
          <cell r="V12">
            <v>1752.4171869850827</v>
          </cell>
          <cell r="W12">
            <v>6220.9033622693914</v>
          </cell>
          <cell r="X12">
            <v>8834.8909219516481</v>
          </cell>
          <cell r="Y12">
            <v>13880.272379689406</v>
          </cell>
          <cell r="Z12">
            <v>12872.833272392723</v>
          </cell>
          <cell r="AA12">
            <v>13424.511470687294</v>
          </cell>
          <cell r="AB12">
            <v>11607.607934469412</v>
          </cell>
          <cell r="AC12">
            <v>15444.042217801796</v>
          </cell>
          <cell r="AD12">
            <v>13033.637893617692</v>
          </cell>
          <cell r="AE12">
            <v>22290.904111397187</v>
          </cell>
          <cell r="AF12">
            <v>24595.67527582503</v>
          </cell>
          <cell r="AG12">
            <v>30494.373704720751</v>
          </cell>
          <cell r="AH12">
            <v>29198.742439410991</v>
          </cell>
          <cell r="AI12">
            <v>29336.717174165744</v>
          </cell>
          <cell r="AJ12">
            <v>31313.541843327832</v>
          </cell>
          <cell r="AK12">
            <v>25536.879613485249</v>
          </cell>
          <cell r="AL12">
            <v>25546.43391425522</v>
          </cell>
          <cell r="AM12">
            <v>58409.889045941978</v>
          </cell>
          <cell r="AN12">
            <v>28888.717628295093</v>
          </cell>
          <cell r="AO12">
            <v>29747.628556830801</v>
          </cell>
          <cell r="AP12">
            <v>21898.956929916072</v>
          </cell>
          <cell r="AQ12">
            <v>25737.032462655843</v>
          </cell>
          <cell r="AR12">
            <v>21506.9476223784</v>
          </cell>
          <cell r="AS12">
            <v>22207.646636207668</v>
          </cell>
          <cell r="AT12">
            <v>21525.170045581806</v>
          </cell>
          <cell r="AU12">
            <v>21661.001745561</v>
          </cell>
          <cell r="AV12">
            <v>23070.753913705681</v>
          </cell>
          <cell r="AW12">
            <v>24912.932279376357</v>
          </cell>
          <cell r="AX12">
            <v>25021.033206581422</v>
          </cell>
          <cell r="AY12">
            <v>45889.340919965995</v>
          </cell>
          <cell r="AZ12">
            <v>27964.485809673955</v>
          </cell>
          <cell r="BA12">
            <v>28317.59255327368</v>
          </cell>
          <cell r="BB12">
            <v>28644.266092124853</v>
          </cell>
          <cell r="BC12">
            <v>31587.606307642553</v>
          </cell>
          <cell r="BD12">
            <v>28268.545892961818</v>
          </cell>
          <cell r="BE12">
            <v>28708.446078278837</v>
          </cell>
          <cell r="BF12">
            <v>28454.92512122426</v>
          </cell>
          <cell r="BG12">
            <v>28346.745150077564</v>
          </cell>
          <cell r="BH12">
            <v>28839.743355056125</v>
          </cell>
          <cell r="BI12">
            <v>26701.031359548084</v>
          </cell>
          <cell r="BJ12">
            <v>26834.733084730062</v>
          </cell>
          <cell r="BK12">
            <v>41716.612658247774</v>
          </cell>
          <cell r="BL12">
            <v>21193.598606560692</v>
          </cell>
          <cell r="BM12">
            <v>21347.749603921773</v>
          </cell>
          <cell r="BN12">
            <v>21075.384594154806</v>
          </cell>
          <cell r="BO12">
            <v>22905.636137463309</v>
          </cell>
          <cell r="BP12">
            <v>19611.048978408744</v>
          </cell>
          <cell r="BQ12">
            <v>20290.12743242499</v>
          </cell>
          <cell r="BR12">
            <v>19691.587959890097</v>
          </cell>
          <cell r="BS12">
            <v>19667.395839983139</v>
          </cell>
          <cell r="BT12">
            <v>20752.508067785799</v>
          </cell>
          <cell r="BU12">
            <v>18351.783312102278</v>
          </cell>
          <cell r="BV12">
            <v>22122.630100926785</v>
          </cell>
          <cell r="BW12">
            <v>27185.302403504298</v>
          </cell>
          <cell r="BX12">
            <v>18356.494907423592</v>
          </cell>
          <cell r="BY12">
            <v>19274.223768519289</v>
          </cell>
          <cell r="BZ12">
            <v>18009.58188895059</v>
          </cell>
          <cell r="CA12">
            <v>17672.975293809901</v>
          </cell>
          <cell r="CB12">
            <v>17674.545825583671</v>
          </cell>
          <cell r="CC12">
            <v>17676.116357357441</v>
          </cell>
          <cell r="CD12">
            <v>17677.686889131212</v>
          </cell>
          <cell r="CE12">
            <v>17679.257420904985</v>
          </cell>
          <cell r="CF12">
            <v>17784.286829141438</v>
          </cell>
          <cell r="CG12">
            <v>17599.278349298074</v>
          </cell>
          <cell r="CH12">
            <v>23254.763266647951</v>
          </cell>
          <cell r="CI12">
            <v>19043.332716262252</v>
          </cell>
          <cell r="CJ12">
            <v>17603.989944619389</v>
          </cell>
          <cell r="CK12">
            <v>17605.560476393162</v>
          </cell>
          <cell r="CL12">
            <v>17867.839282612938</v>
          </cell>
          <cell r="CM12">
            <v>17599.110603980975</v>
          </cell>
          <cell r="CN12">
            <v>23254.595521330852</v>
          </cell>
          <cell r="CO12">
            <v>17602.251667528515</v>
          </cell>
          <cell r="CP12">
            <v>17603.822199302285</v>
          </cell>
          <cell r="CQ12">
            <v>17605.392731076059</v>
          </cell>
          <cell r="CR12">
            <v>17658.692701081171</v>
          </cell>
          <cell r="CS12">
            <v>17646.157018045622</v>
          </cell>
          <cell r="CT12">
            <v>21417.003806870132</v>
          </cell>
          <cell r="CU12">
            <v>18426.976340613684</v>
          </cell>
          <cell r="CV12">
            <v>17650.868613366933</v>
          </cell>
          <cell r="CW12">
            <v>17652.439145140706</v>
          </cell>
          <cell r="CX12">
            <v>17914.717951360486</v>
          </cell>
          <cell r="CY12">
            <v>17655.580208688247</v>
          </cell>
          <cell r="CZ12">
            <v>17657.150740462021</v>
          </cell>
          <cell r="DA12">
            <v>17658.721272235791</v>
          </cell>
          <cell r="DB12">
            <v>17660.291804009561</v>
          </cell>
          <cell r="DC12">
            <v>18641.221065385645</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row>
        <row r="19">
          <cell r="H19">
            <v>0</v>
          </cell>
          <cell r="I19">
            <v>0</v>
          </cell>
          <cell r="J19">
            <v>0</v>
          </cell>
          <cell r="K19">
            <v>0</v>
          </cell>
          <cell r="L19">
            <v>0</v>
          </cell>
          <cell r="M19">
            <v>0</v>
          </cell>
          <cell r="N19">
            <v>0</v>
          </cell>
          <cell r="O19">
            <v>0</v>
          </cell>
          <cell r="P19">
            <v>0</v>
          </cell>
          <cell r="Q19">
            <v>0</v>
          </cell>
          <cell r="R19">
            <v>0</v>
          </cell>
          <cell r="S19">
            <v>0</v>
          </cell>
          <cell r="T19">
            <v>0</v>
          </cell>
          <cell r="U19">
            <v>0</v>
          </cell>
          <cell r="V19">
            <v>85.793919773928138</v>
          </cell>
          <cell r="W19">
            <v>204.582558562815</v>
          </cell>
          <cell r="X19">
            <v>328.30273954687516</v>
          </cell>
          <cell r="Y19">
            <v>439.85434538462982</v>
          </cell>
          <cell r="Z19">
            <v>467.9048746426862</v>
          </cell>
          <cell r="AA19">
            <v>464.22164939091317</v>
          </cell>
          <cell r="AB19">
            <v>447.53394841195689</v>
          </cell>
          <cell r="AC19">
            <v>465.65182418549972</v>
          </cell>
          <cell r="AD19">
            <v>850.39566127302623</v>
          </cell>
          <cell r="AE19">
            <v>1215.8261859156405</v>
          </cell>
          <cell r="AF19">
            <v>1404.0915404332454</v>
          </cell>
          <cell r="AG19">
            <v>1532.4999677733585</v>
          </cell>
          <cell r="AH19">
            <v>1538.6081717777574</v>
          </cell>
          <cell r="AI19">
            <v>1571.6038723311754</v>
          </cell>
          <cell r="AJ19">
            <v>1598.5660931048758</v>
          </cell>
          <cell r="AK19">
            <v>1564.35977071253</v>
          </cell>
          <cell r="AL19">
            <v>1650.8142251322224</v>
          </cell>
          <cell r="AM19">
            <v>1866.1201404605599</v>
          </cell>
          <cell r="AN19">
            <v>1124.2617527031616</v>
          </cell>
          <cell r="AO19">
            <v>1044.8103455026458</v>
          </cell>
          <cell r="AP19">
            <v>931.10693040488286</v>
          </cell>
          <cell r="AQ19">
            <v>990.13456317304667</v>
          </cell>
          <cell r="AR19">
            <v>934.12058898735654</v>
          </cell>
          <cell r="AS19">
            <v>961.05066163089111</v>
          </cell>
          <cell r="AT19">
            <v>944.06728362188426</v>
          </cell>
          <cell r="AU19">
            <v>942.94371104051743</v>
          </cell>
          <cell r="AV19">
            <v>1088.5669118563112</v>
          </cell>
          <cell r="AW19">
            <v>1225.8316499901148</v>
          </cell>
          <cell r="AX19">
            <v>1309.7855814831437</v>
          </cell>
          <cell r="AY19">
            <v>1537.2567698019191</v>
          </cell>
          <cell r="AZ19">
            <v>1161.7909534689513</v>
          </cell>
          <cell r="BA19">
            <v>1192.2631896854721</v>
          </cell>
          <cell r="BB19">
            <v>1230.4732739775568</v>
          </cell>
          <cell r="BC19">
            <v>1277.224579784759</v>
          </cell>
          <cell r="BD19">
            <v>1230.0241662751209</v>
          </cell>
          <cell r="BE19">
            <v>1249.7378562164945</v>
          </cell>
          <cell r="BF19">
            <v>1245.7488490782403</v>
          </cell>
          <cell r="BG19">
            <v>1252.2273135222285</v>
          </cell>
          <cell r="BH19">
            <v>1172.9411028563775</v>
          </cell>
          <cell r="BI19">
            <v>1079.2471528604658</v>
          </cell>
          <cell r="BJ19">
            <v>1027.2898752266528</v>
          </cell>
          <cell r="BK19">
            <v>1082.1471246648803</v>
          </cell>
          <cell r="BL19">
            <v>623.45303144582158</v>
          </cell>
          <cell r="BM19">
            <v>628.79447838561623</v>
          </cell>
          <cell r="BN19">
            <v>627.02762605104772</v>
          </cell>
          <cell r="BO19">
            <v>635.25240192441424</v>
          </cell>
          <cell r="BP19">
            <v>580.16704958861988</v>
          </cell>
          <cell r="BQ19">
            <v>595.99845801725667</v>
          </cell>
          <cell r="BR19">
            <v>591.72090492651967</v>
          </cell>
          <cell r="BS19">
            <v>601.35927519753636</v>
          </cell>
          <cell r="BT19">
            <v>572.42454234836259</v>
          </cell>
          <cell r="BU19">
            <v>521.43080532927615</v>
          </cell>
          <cell r="BV19">
            <v>523.37720105692529</v>
          </cell>
          <cell r="BW19">
            <v>593.88888500085613</v>
          </cell>
          <cell r="BX19">
            <v>394.81432209440641</v>
          </cell>
          <cell r="BY19">
            <v>403.87441779090813</v>
          </cell>
          <cell r="BZ19">
            <v>371.81789485962975</v>
          </cell>
          <cell r="CA19">
            <v>371.71022674903452</v>
          </cell>
          <cell r="CB19">
            <v>373.36611427992699</v>
          </cell>
          <cell r="CC19">
            <v>375.0220018108194</v>
          </cell>
          <cell r="CD19">
            <v>376.67788934171188</v>
          </cell>
          <cell r="CE19">
            <v>378.33377687260435</v>
          </cell>
          <cell r="CF19">
            <v>376.66063089253521</v>
          </cell>
          <cell r="CG19">
            <v>373.60887338792668</v>
          </cell>
          <cell r="CH19">
            <v>374.59895421662685</v>
          </cell>
          <cell r="CI19">
            <v>386.7773030483267</v>
          </cell>
          <cell r="CJ19">
            <v>354.96541632277763</v>
          </cell>
          <cell r="CK19">
            <v>355.95549715147774</v>
          </cell>
          <cell r="CL19">
            <v>356.76574793093295</v>
          </cell>
          <cell r="CM19">
            <v>357.50152791352446</v>
          </cell>
          <cell r="CN19">
            <v>358.45564273237562</v>
          </cell>
          <cell r="CO19">
            <v>359.40975755122679</v>
          </cell>
          <cell r="CP19">
            <v>360.36387237007796</v>
          </cell>
          <cell r="CQ19">
            <v>361.31798718892907</v>
          </cell>
          <cell r="CR19">
            <v>362.09227195853532</v>
          </cell>
          <cell r="CS19">
            <v>362.79208593127777</v>
          </cell>
          <cell r="CT19">
            <v>363.71023474027999</v>
          </cell>
          <cell r="CU19">
            <v>370.66682650167672</v>
          </cell>
          <cell r="CV19">
            <v>353.88135847297656</v>
          </cell>
          <cell r="CW19">
            <v>354.79950728197872</v>
          </cell>
          <cell r="CX19">
            <v>355.71765609098094</v>
          </cell>
          <cell r="CY19">
            <v>356.6358048999831</v>
          </cell>
          <cell r="CZ19">
            <v>357.55395370898526</v>
          </cell>
          <cell r="DA19">
            <v>358.47210251798742</v>
          </cell>
          <cell r="DB19">
            <v>359.39025132698958</v>
          </cell>
          <cell r="DC19">
            <v>367.91283262466857</v>
          </cell>
          <cell r="DD19">
            <v>1.8417267710901796E-13</v>
          </cell>
          <cell r="DE19">
            <v>1.8417267710901796E-13</v>
          </cell>
          <cell r="DF19">
            <v>1.8417267710901796E-13</v>
          </cell>
          <cell r="DG19">
            <v>1.8417267710901796E-13</v>
          </cell>
          <cell r="DH19">
            <v>1.8417267710901796E-13</v>
          </cell>
          <cell r="DI19">
            <v>1.8417267710901796E-13</v>
          </cell>
          <cell r="DJ19">
            <v>1.8417267710901796E-13</v>
          </cell>
          <cell r="DK19">
            <v>1.8417267710901796E-13</v>
          </cell>
          <cell r="DL19">
            <v>1.8417267710901796E-13</v>
          </cell>
          <cell r="DM19">
            <v>1.8417267710901796E-13</v>
          </cell>
          <cell r="DN19">
            <v>1.8417267710901796E-13</v>
          </cell>
          <cell r="DO19">
            <v>1.8417267710901796E-13</v>
          </cell>
          <cell r="DP19">
            <v>1.8417267710901796E-13</v>
          </cell>
          <cell r="DQ19">
            <v>1.8417267710901796E-13</v>
          </cell>
          <cell r="DR19">
            <v>1.8417267710901796E-13</v>
          </cell>
          <cell r="DS19">
            <v>1.8417267710901796E-13</v>
          </cell>
          <cell r="DT19">
            <v>1.8417267710901796E-13</v>
          </cell>
          <cell r="DU19">
            <v>1.8417267710901796E-13</v>
          </cell>
          <cell r="DV19">
            <v>1.8417267710901796E-13</v>
          </cell>
          <cell r="DW19">
            <v>1.8417267710901796E-13</v>
          </cell>
          <cell r="DX19">
            <v>1.8417267710901796E-13</v>
          </cell>
          <cell r="DY19">
            <v>1.8417267710901796E-13</v>
          </cell>
          <cell r="DZ19">
            <v>1.8417267710901796E-13</v>
          </cell>
          <cell r="EA19">
            <v>1.8417267710901796E-13</v>
          </cell>
          <cell r="EB19">
            <v>1.8417267710901796E-13</v>
          </cell>
          <cell r="EC19">
            <v>1.8417267710901796E-13</v>
          </cell>
          <cell r="ED19">
            <v>1.8417267710901796E-13</v>
          </cell>
          <cell r="EE19">
            <v>1.8417267710901796E-13</v>
          </cell>
          <cell r="EF19">
            <v>1.8417267710901796E-13</v>
          </cell>
          <cell r="EG19">
            <v>1.8417267710901796E-13</v>
          </cell>
          <cell r="EH19">
            <v>1.8417267710901796E-13</v>
          </cell>
          <cell r="EI19">
            <v>1.8417267710901796E-13</v>
          </cell>
        </row>
        <row r="21">
          <cell r="H21">
            <v>0</v>
          </cell>
          <cell r="I21">
            <v>0</v>
          </cell>
          <cell r="J21">
            <v>0</v>
          </cell>
          <cell r="K21">
            <v>0</v>
          </cell>
          <cell r="L21">
            <v>0</v>
          </cell>
          <cell r="M21">
            <v>0</v>
          </cell>
          <cell r="N21">
            <v>0</v>
          </cell>
          <cell r="O21">
            <v>0</v>
          </cell>
          <cell r="P21">
            <v>0</v>
          </cell>
          <cell r="Q21">
            <v>0</v>
          </cell>
          <cell r="R21">
            <v>0</v>
          </cell>
          <cell r="S21">
            <v>0</v>
          </cell>
          <cell r="T21">
            <v>0</v>
          </cell>
          <cell r="U21">
            <v>0</v>
          </cell>
          <cell r="V21">
            <v>-1838.2111067590108</v>
          </cell>
          <cell r="W21">
            <v>702.67561491475726</v>
          </cell>
          <cell r="X21">
            <v>521.64939077808697</v>
          </cell>
          <cell r="Y21">
            <v>936.70782328960991</v>
          </cell>
          <cell r="Z21">
            <v>1716.041836790916</v>
          </cell>
          <cell r="AA21">
            <v>1457.0235288523377</v>
          </cell>
          <cell r="AB21">
            <v>543.49748373481168</v>
          </cell>
          <cell r="AC21">
            <v>-2847.9280857061153</v>
          </cell>
          <cell r="AD21">
            <v>4320.2779044438021</v>
          </cell>
          <cell r="AE21">
            <v>8996.2019285396782</v>
          </cell>
          <cell r="AF21">
            <v>9831.8199345420617</v>
          </cell>
          <cell r="AG21">
            <v>11297.626535029591</v>
          </cell>
          <cell r="AH21">
            <v>10828.595908614965</v>
          </cell>
          <cell r="AI21">
            <v>10579.428248205291</v>
          </cell>
          <cell r="AJ21">
            <v>9555.983341761721</v>
          </cell>
          <cell r="AK21">
            <v>6740.0360098199926</v>
          </cell>
          <cell r="AL21">
            <v>6443.9726900930091</v>
          </cell>
          <cell r="AM21">
            <v>22656.480168590475</v>
          </cell>
          <cell r="AN21">
            <v>8117.4435901543875</v>
          </cell>
          <cell r="AO21">
            <v>8320.4996102468831</v>
          </cell>
          <cell r="AP21">
            <v>6462.5389862910088</v>
          </cell>
          <cell r="AQ21">
            <v>8634.3813822504053</v>
          </cell>
          <cell r="AR21">
            <v>6160.727419662453</v>
          </cell>
          <cell r="AS21">
            <v>7950.9858122444721</v>
          </cell>
          <cell r="AT21">
            <v>7627.071501251291</v>
          </cell>
          <cell r="AU21">
            <v>7414.1661487519614</v>
          </cell>
          <cell r="AV21">
            <v>7394.7138385786329</v>
          </cell>
          <cell r="AW21">
            <v>8584.7002069989358</v>
          </cell>
          <cell r="AX21">
            <v>8260.6093357062109</v>
          </cell>
          <cell r="AY21">
            <v>18488.245561900439</v>
          </cell>
          <cell r="AZ21">
            <v>9302.5729830610453</v>
          </cell>
          <cell r="BA21">
            <v>9567.4542605870738</v>
          </cell>
          <cell r="BB21">
            <v>10060.327513690369</v>
          </cell>
          <cell r="BC21">
            <v>11979.992176101174</v>
          </cell>
          <cell r="BD21">
            <v>10012.995661070236</v>
          </cell>
          <cell r="BE21">
            <v>10863.175498584695</v>
          </cell>
          <cell r="BF21">
            <v>10445.258438223007</v>
          </cell>
          <cell r="BG21">
            <v>10495.349776358729</v>
          </cell>
          <cell r="BH21">
            <v>10016.458130985469</v>
          </cell>
          <cell r="BI21">
            <v>9469.0457810697408</v>
          </cell>
          <cell r="BJ21">
            <v>9287.274051252909</v>
          </cell>
          <cell r="BK21">
            <v>18142.308992348837</v>
          </cell>
          <cell r="BL21">
            <v>7974.9417105908678</v>
          </cell>
          <cell r="BM21">
            <v>8047.0125611224921</v>
          </cell>
          <cell r="BN21">
            <v>7578.7544233113222</v>
          </cell>
          <cell r="BO21">
            <v>8911.2336087355161</v>
          </cell>
          <cell r="BP21">
            <v>7258.5020952216955</v>
          </cell>
          <cell r="BQ21">
            <v>7563.2354867234571</v>
          </cell>
          <cell r="BR21">
            <v>7255.2973293394743</v>
          </cell>
          <cell r="BS21">
            <v>7230.7524664246675</v>
          </cell>
          <cell r="BT21">
            <v>6441.3686133638876</v>
          </cell>
          <cell r="BU21">
            <v>5363.7449229507847</v>
          </cell>
          <cell r="BV21">
            <v>1590.9517383986288</v>
          </cell>
          <cell r="BW21">
            <v>9859.1649941504475</v>
          </cell>
          <cell r="BX21">
            <v>5485.64981086434</v>
          </cell>
          <cell r="BY21">
            <v>5949.2658479842412</v>
          </cell>
          <cell r="BZ21">
            <v>5075.939072141281</v>
          </cell>
          <cell r="CA21">
            <v>5295.0829592933869</v>
          </cell>
          <cell r="CB21">
            <v>5291.8565399887239</v>
          </cell>
          <cell r="CC21">
            <v>5288.6301206840617</v>
          </cell>
          <cell r="CD21">
            <v>5285.4037013793986</v>
          </cell>
          <cell r="CE21">
            <v>5282.1772820747328</v>
          </cell>
          <cell r="CF21">
            <v>5178.8210198183497</v>
          </cell>
          <cell r="CG21">
            <v>5097.4253682790795</v>
          </cell>
          <cell r="CH21">
            <v>-559.0496298994974</v>
          </cell>
          <cell r="CI21">
            <v>5827.0004086044528</v>
          </cell>
          <cell r="CJ21">
            <v>5111.3572300229143</v>
          </cell>
          <cell r="CK21">
            <v>5108.7966174204403</v>
          </cell>
          <cell r="CL21">
            <v>4845.7075604212096</v>
          </cell>
          <cell r="CM21">
            <v>5099.1448033199358</v>
          </cell>
          <cell r="CN21">
            <v>-557.29422884879261</v>
          </cell>
          <cell r="CO21">
            <v>5094.0955101346926</v>
          </cell>
          <cell r="CP21">
            <v>5091.5708635420715</v>
          </cell>
          <cell r="CQ21">
            <v>5089.0462169494467</v>
          </cell>
          <cell r="CR21">
            <v>5034.971962174729</v>
          </cell>
          <cell r="CS21">
            <v>5032.2521754868885</v>
          </cell>
          <cell r="CT21">
            <v>1260.4872378533762</v>
          </cell>
          <cell r="CU21">
            <v>5423.7992348619164</v>
          </cell>
          <cell r="CV21">
            <v>5036.4513076238791</v>
          </cell>
          <cell r="CW21">
            <v>5033.9626270411036</v>
          </cell>
          <cell r="CX21">
            <v>4770.7656720123214</v>
          </cell>
          <cell r="CY21">
            <v>5028.985265875559</v>
          </cell>
          <cell r="CZ21">
            <v>5026.4965852927826</v>
          </cell>
          <cell r="DA21">
            <v>5024.0079047100098</v>
          </cell>
          <cell r="DB21">
            <v>5021.519224127238</v>
          </cell>
          <cell r="DC21">
            <v>5518.3882769675802</v>
          </cell>
          <cell r="DD21">
            <v>-1.8417267710901796E-13</v>
          </cell>
          <cell r="DE21">
            <v>-1.8417267710901796E-13</v>
          </cell>
          <cell r="DF21">
            <v>-1.8417267710901796E-13</v>
          </cell>
          <cell r="DG21">
            <v>-1.8417267710901796E-13</v>
          </cell>
          <cell r="DH21">
            <v>-1.8417267710901796E-13</v>
          </cell>
          <cell r="DI21">
            <v>-1.8417267710901796E-13</v>
          </cell>
          <cell r="DJ21">
            <v>-1.8417267710901796E-13</v>
          </cell>
          <cell r="DK21">
            <v>-1.8417267710901796E-13</v>
          </cell>
          <cell r="DL21">
            <v>-1.8417267710901796E-13</v>
          </cell>
          <cell r="DM21">
            <v>-1.8417267710901796E-13</v>
          </cell>
          <cell r="DN21">
            <v>-1.8417267710901796E-13</v>
          </cell>
          <cell r="DO21">
            <v>-1.8417267710901796E-13</v>
          </cell>
          <cell r="DP21">
            <v>-1.8417267710901796E-13</v>
          </cell>
          <cell r="DQ21">
            <v>-1.8417267710901796E-13</v>
          </cell>
          <cell r="DR21">
            <v>-1.8417267710901796E-13</v>
          </cell>
          <cell r="DS21">
            <v>-1.8417267710901796E-13</v>
          </cell>
          <cell r="DT21">
            <v>-1.8417267710901796E-13</v>
          </cell>
          <cell r="DU21">
            <v>-1.8417267710901796E-13</v>
          </cell>
          <cell r="DV21">
            <v>-1.8417267710901796E-13</v>
          </cell>
          <cell r="DW21">
            <v>-1.8417267710901796E-13</v>
          </cell>
          <cell r="DX21">
            <v>-1.8417267710901796E-13</v>
          </cell>
          <cell r="DY21">
            <v>-1.8417267710901796E-13</v>
          </cell>
          <cell r="DZ21">
            <v>-1.8417267710901796E-13</v>
          </cell>
          <cell r="EA21">
            <v>-1.8417267710901796E-13</v>
          </cell>
          <cell r="EB21">
            <v>-1.8417267710901796E-13</v>
          </cell>
          <cell r="EC21">
            <v>-1.8417267710901796E-13</v>
          </cell>
          <cell r="ED21">
            <v>-1.8417267710901796E-13</v>
          </cell>
          <cell r="EE21">
            <v>-1.8417267710901796E-13</v>
          </cell>
          <cell r="EF21">
            <v>-1.8417267710901796E-13</v>
          </cell>
          <cell r="EG21">
            <v>-1.8417267710901796E-13</v>
          </cell>
          <cell r="EH21">
            <v>-1.8417267710901796E-13</v>
          </cell>
          <cell r="EI21">
            <v>-1.8417267710901796E-13</v>
          </cell>
        </row>
        <row r="23">
          <cell r="H23">
            <v>0</v>
          </cell>
          <cell r="I23">
            <v>0</v>
          </cell>
          <cell r="J23">
            <v>0</v>
          </cell>
          <cell r="K23">
            <v>0</v>
          </cell>
          <cell r="L23">
            <v>0</v>
          </cell>
          <cell r="M23">
            <v>0</v>
          </cell>
          <cell r="N23">
            <v>0</v>
          </cell>
          <cell r="O23">
            <v>0</v>
          </cell>
          <cell r="P23">
            <v>0</v>
          </cell>
          <cell r="Q23">
            <v>0</v>
          </cell>
          <cell r="R23">
            <v>0</v>
          </cell>
          <cell r="S23">
            <v>3400</v>
          </cell>
          <cell r="T23">
            <v>1050</v>
          </cell>
          <cell r="U23">
            <v>1050</v>
          </cell>
          <cell r="V23">
            <v>1050</v>
          </cell>
          <cell r="W23">
            <v>1050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row>
        <row r="25">
          <cell r="H25">
            <v>0</v>
          </cell>
          <cell r="I25">
            <v>0</v>
          </cell>
          <cell r="J25">
            <v>0</v>
          </cell>
          <cell r="K25">
            <v>0</v>
          </cell>
          <cell r="L25">
            <v>0</v>
          </cell>
          <cell r="M25">
            <v>0</v>
          </cell>
          <cell r="N25">
            <v>0</v>
          </cell>
          <cell r="O25">
            <v>0</v>
          </cell>
          <cell r="P25">
            <v>0</v>
          </cell>
          <cell r="Q25">
            <v>0</v>
          </cell>
          <cell r="R25">
            <v>0</v>
          </cell>
          <cell r="S25">
            <v>-3400</v>
          </cell>
          <cell r="T25">
            <v>-1050</v>
          </cell>
          <cell r="U25">
            <v>-1050</v>
          </cell>
          <cell r="V25">
            <v>-2888.2111067590108</v>
          </cell>
          <cell r="W25">
            <v>-347.32438508524274</v>
          </cell>
          <cell r="X25">
            <v>521.64939077808697</v>
          </cell>
          <cell r="Y25">
            <v>936.70782328960991</v>
          </cell>
          <cell r="Z25">
            <v>1716.041836790916</v>
          </cell>
          <cell r="AA25">
            <v>1457.0235288523377</v>
          </cell>
          <cell r="AB25">
            <v>543.49748373481168</v>
          </cell>
          <cell r="AC25">
            <v>-2847.9280857061153</v>
          </cell>
          <cell r="AD25">
            <v>4320.2779044438021</v>
          </cell>
          <cell r="AE25">
            <v>8996.2019285396782</v>
          </cell>
          <cell r="AF25">
            <v>9831.8199345420617</v>
          </cell>
          <cell r="AG25">
            <v>11297.626535029591</v>
          </cell>
          <cell r="AH25">
            <v>10828.595908614965</v>
          </cell>
          <cell r="AI25">
            <v>10579.428248205291</v>
          </cell>
          <cell r="AJ25">
            <v>9555.983341761721</v>
          </cell>
          <cell r="AK25">
            <v>6740.0360098199926</v>
          </cell>
          <cell r="AL25">
            <v>6443.9726900930091</v>
          </cell>
          <cell r="AM25">
            <v>22656.480168590475</v>
          </cell>
          <cell r="AN25">
            <v>8117.4435901543875</v>
          </cell>
          <cell r="AO25">
            <v>8320.4996102468831</v>
          </cell>
          <cell r="AP25">
            <v>6462.5389862910088</v>
          </cell>
          <cell r="AQ25">
            <v>8634.3813822504053</v>
          </cell>
          <cell r="AR25">
            <v>6160.727419662453</v>
          </cell>
          <cell r="AS25">
            <v>7950.9858122444721</v>
          </cell>
          <cell r="AT25">
            <v>7627.071501251291</v>
          </cell>
          <cell r="AU25">
            <v>7414.1661487519614</v>
          </cell>
          <cell r="AV25">
            <v>7394.7138385786329</v>
          </cell>
          <cell r="AW25">
            <v>8584.7002069989358</v>
          </cell>
          <cell r="AX25">
            <v>8260.6093357062109</v>
          </cell>
          <cell r="AY25">
            <v>18488.245561900439</v>
          </cell>
          <cell r="AZ25">
            <v>9302.5729830610453</v>
          </cell>
          <cell r="BA25">
            <v>9567.4542605870738</v>
          </cell>
          <cell r="BB25">
            <v>10060.327513690369</v>
          </cell>
          <cell r="BC25">
            <v>11979.992176101174</v>
          </cell>
          <cell r="BD25">
            <v>10012.995661070236</v>
          </cell>
          <cell r="BE25">
            <v>10863.175498584695</v>
          </cell>
          <cell r="BF25">
            <v>10445.258438223007</v>
          </cell>
          <cell r="BG25">
            <v>10495.349776358729</v>
          </cell>
          <cell r="BH25">
            <v>10016.458130985469</v>
          </cell>
          <cell r="BI25">
            <v>9469.0457810697408</v>
          </cell>
          <cell r="BJ25">
            <v>9287.274051252909</v>
          </cell>
          <cell r="BK25">
            <v>18142.308992348837</v>
          </cell>
          <cell r="BL25">
            <v>7974.9417105908678</v>
          </cell>
          <cell r="BM25">
            <v>8047.0125611224921</v>
          </cell>
          <cell r="BN25">
            <v>7578.7544233113222</v>
          </cell>
          <cell r="BO25">
            <v>8911.2336087355161</v>
          </cell>
          <cell r="BP25">
            <v>7258.5020952216955</v>
          </cell>
          <cell r="BQ25">
            <v>7563.2354867234571</v>
          </cell>
          <cell r="BR25">
            <v>7255.2973293394743</v>
          </cell>
          <cell r="BS25">
            <v>7230.7524664246675</v>
          </cell>
          <cell r="BT25">
            <v>6441.3686133638876</v>
          </cell>
          <cell r="BU25">
            <v>5363.7449229507847</v>
          </cell>
          <cell r="BV25">
            <v>1590.9517383986288</v>
          </cell>
          <cell r="BW25">
            <v>9859.1649941504475</v>
          </cell>
          <cell r="BX25">
            <v>5485.64981086434</v>
          </cell>
          <cell r="BY25">
            <v>5949.2658479842412</v>
          </cell>
          <cell r="BZ25">
            <v>5075.939072141281</v>
          </cell>
          <cell r="CA25">
            <v>5295.0829592933869</v>
          </cell>
          <cell r="CB25">
            <v>5291.8565399887239</v>
          </cell>
          <cell r="CC25">
            <v>5288.6301206840617</v>
          </cell>
          <cell r="CD25">
            <v>5285.4037013793986</v>
          </cell>
          <cell r="CE25">
            <v>5282.1772820747328</v>
          </cell>
          <cell r="CF25">
            <v>5178.8210198183497</v>
          </cell>
          <cell r="CG25">
            <v>5097.4253682790795</v>
          </cell>
          <cell r="CH25">
            <v>-559.0496298994974</v>
          </cell>
          <cell r="CI25">
            <v>5827.0004086044528</v>
          </cell>
          <cell r="CJ25">
            <v>5111.3572300229143</v>
          </cell>
          <cell r="CK25">
            <v>5108.7966174204403</v>
          </cell>
          <cell r="CL25">
            <v>4845.7075604212096</v>
          </cell>
          <cell r="CM25">
            <v>5099.1448033199358</v>
          </cell>
          <cell r="CN25">
            <v>-557.29422884879261</v>
          </cell>
          <cell r="CO25">
            <v>5094.0955101346926</v>
          </cell>
          <cell r="CP25">
            <v>5091.5708635420715</v>
          </cell>
          <cell r="CQ25">
            <v>5089.0462169494467</v>
          </cell>
          <cell r="CR25">
            <v>5034.971962174729</v>
          </cell>
          <cell r="CS25">
            <v>5032.2521754868885</v>
          </cell>
          <cell r="CT25">
            <v>1260.4872378533762</v>
          </cell>
          <cell r="CU25">
            <v>5423.7992348619164</v>
          </cell>
          <cell r="CV25">
            <v>5036.4513076238791</v>
          </cell>
          <cell r="CW25">
            <v>5033.9626270411036</v>
          </cell>
          <cell r="CX25">
            <v>4770.7656720123214</v>
          </cell>
          <cell r="CY25">
            <v>5028.985265875559</v>
          </cell>
          <cell r="CZ25">
            <v>5026.4965852927826</v>
          </cell>
          <cell r="DA25">
            <v>5024.0079047100098</v>
          </cell>
          <cell r="DB25">
            <v>5021.519224127238</v>
          </cell>
          <cell r="DC25">
            <v>5518.3882769675802</v>
          </cell>
          <cell r="DD25">
            <v>-1.8417267710901796E-13</v>
          </cell>
          <cell r="DE25">
            <v>-1.8417267710901796E-13</v>
          </cell>
          <cell r="DF25">
            <v>-1.8417267710901796E-13</v>
          </cell>
          <cell r="DG25">
            <v>-1.8417267710901796E-13</v>
          </cell>
          <cell r="DH25">
            <v>-1.8417267710901796E-13</v>
          </cell>
          <cell r="DI25">
            <v>-1.8417267710901796E-13</v>
          </cell>
          <cell r="DJ25">
            <v>-1.8417267710901796E-13</v>
          </cell>
          <cell r="DK25">
            <v>-1.8417267710901796E-13</v>
          </cell>
          <cell r="DL25">
            <v>-1.8417267710901796E-13</v>
          </cell>
          <cell r="DM25">
            <v>-1.8417267710901796E-13</v>
          </cell>
          <cell r="DN25">
            <v>-1.8417267710901796E-13</v>
          </cell>
          <cell r="DO25">
            <v>-1.8417267710901796E-13</v>
          </cell>
          <cell r="DP25">
            <v>-1.8417267710901796E-13</v>
          </cell>
          <cell r="DQ25">
            <v>-1.8417267710901796E-13</v>
          </cell>
          <cell r="DR25">
            <v>-1.8417267710901796E-13</v>
          </cell>
          <cell r="DS25">
            <v>-1.8417267710901796E-13</v>
          </cell>
          <cell r="DT25">
            <v>-1.8417267710901796E-13</v>
          </cell>
          <cell r="DU25">
            <v>-1.8417267710901796E-13</v>
          </cell>
          <cell r="DV25">
            <v>-1.8417267710901796E-13</v>
          </cell>
          <cell r="DW25">
            <v>-1.8417267710901796E-13</v>
          </cell>
          <cell r="DX25">
            <v>-1.8417267710901796E-13</v>
          </cell>
          <cell r="DY25">
            <v>-1.8417267710901796E-13</v>
          </cell>
          <cell r="DZ25">
            <v>-1.8417267710901796E-13</v>
          </cell>
          <cell r="EA25">
            <v>-1.8417267710901796E-13</v>
          </cell>
          <cell r="EB25">
            <v>-1.8417267710901796E-13</v>
          </cell>
          <cell r="EC25">
            <v>-1.8417267710901796E-13</v>
          </cell>
          <cell r="ED25">
            <v>-1.8417267710901796E-13</v>
          </cell>
          <cell r="EE25">
            <v>-1.8417267710901796E-13</v>
          </cell>
          <cell r="EF25">
            <v>-1.8417267710901796E-13</v>
          </cell>
          <cell r="EG25">
            <v>-1.8417267710901796E-13</v>
          </cell>
          <cell r="EH25">
            <v>-1.8417267710901796E-13</v>
          </cell>
          <cell r="EI25">
            <v>-1.8417267710901796E-13</v>
          </cell>
        </row>
        <row r="27">
          <cell r="H27">
            <v>0</v>
          </cell>
          <cell r="I27">
            <v>0</v>
          </cell>
          <cell r="J27">
            <v>0</v>
          </cell>
          <cell r="K27">
            <v>0</v>
          </cell>
          <cell r="L27">
            <v>0</v>
          </cell>
          <cell r="M27">
            <v>0</v>
          </cell>
          <cell r="N27">
            <v>0</v>
          </cell>
          <cell r="O27">
            <v>0</v>
          </cell>
          <cell r="P27">
            <v>0</v>
          </cell>
          <cell r="Q27">
            <v>0</v>
          </cell>
          <cell r="R27">
            <v>0</v>
          </cell>
          <cell r="S27">
            <v>612.3680215706521</v>
          </cell>
          <cell r="T27">
            <v>189.11365372034845</v>
          </cell>
          <cell r="U27">
            <v>189.11365372034845</v>
          </cell>
          <cell r="V27">
            <v>338.06911461408049</v>
          </cell>
          <cell r="W27">
            <v>1680.7448175007726</v>
          </cell>
          <cell r="X27">
            <v>1675.8914869843557</v>
          </cell>
          <cell r="Y27">
            <v>2857.399700189093</v>
          </cell>
          <cell r="Z27">
            <v>2744.7445017505588</v>
          </cell>
          <cell r="AA27">
            <v>2804.44255856466</v>
          </cell>
          <cell r="AB27">
            <v>2278.9319700456144</v>
          </cell>
          <cell r="AC27">
            <v>2667.5868750196628</v>
          </cell>
          <cell r="AD27">
            <v>2360.8165883036518</v>
          </cell>
          <cell r="AE27">
            <v>5079.1064405092957</v>
          </cell>
          <cell r="AF27">
            <v>5724.6383855881122</v>
          </cell>
          <cell r="AG27">
            <v>5833.9381465167362</v>
          </cell>
          <cell r="AH27">
            <v>5486.2684191319131</v>
          </cell>
          <cell r="AI27">
            <v>5487.4335843969693</v>
          </cell>
          <cell r="AJ27">
            <v>5666.0263684648453</v>
          </cell>
          <cell r="AK27">
            <v>4009.7211891469988</v>
          </cell>
          <cell r="AL27">
            <v>3983.5104303941303</v>
          </cell>
          <cell r="AM27">
            <v>12569.467501725474</v>
          </cell>
          <cell r="AN27">
            <v>4008.4159410051893</v>
          </cell>
          <cell r="AO27">
            <v>4214.1391320189232</v>
          </cell>
          <cell r="AP27">
            <v>3376.8081318306295</v>
          </cell>
          <cell r="AQ27">
            <v>4522.8226638078377</v>
          </cell>
          <cell r="AR27">
            <v>3250.1748156391759</v>
          </cell>
          <cell r="AS27">
            <v>3432.6078752875746</v>
          </cell>
          <cell r="AT27">
            <v>3236.3625059950837</v>
          </cell>
          <cell r="AU27">
            <v>3237.3455133042171</v>
          </cell>
          <cell r="AV27">
            <v>3367.7371347856124</v>
          </cell>
          <cell r="AW27">
            <v>3952.4409668251155</v>
          </cell>
          <cell r="AX27">
            <v>3943.7944485874568</v>
          </cell>
          <cell r="AY27">
            <v>9169.4096071952245</v>
          </cell>
          <cell r="AZ27">
            <v>3933.0571024117407</v>
          </cell>
          <cell r="BA27">
            <v>4050.6635785959274</v>
          </cell>
          <cell r="BB27">
            <v>3966.1028475439198</v>
          </cell>
          <cell r="BC27">
            <v>4879.4844519217986</v>
          </cell>
          <cell r="BD27">
            <v>3876.9611445372589</v>
          </cell>
          <cell r="BE27">
            <v>3995.4492649813265</v>
          </cell>
          <cell r="BF27">
            <v>3882.6649766327546</v>
          </cell>
          <cell r="BG27">
            <v>3866.4983055404791</v>
          </cell>
          <cell r="BH27">
            <v>3915.3745265084635</v>
          </cell>
          <cell r="BI27">
            <v>3358.0930472182781</v>
          </cell>
          <cell r="BJ27">
            <v>3355.946256699588</v>
          </cell>
          <cell r="BK27">
            <v>8612.0630369335158</v>
          </cell>
          <cell r="BL27">
            <v>2660.0670029306411</v>
          </cell>
          <cell r="BM27">
            <v>2704.4488331517305</v>
          </cell>
          <cell r="BN27">
            <v>2630.3548477413574</v>
          </cell>
          <cell r="BO27">
            <v>3214.2510325486319</v>
          </cell>
          <cell r="BP27">
            <v>2258.4987974091855</v>
          </cell>
          <cell r="BQ27">
            <v>2430.8211362221355</v>
          </cell>
          <cell r="BR27">
            <v>2256.9227301733949</v>
          </cell>
          <cell r="BS27">
            <v>2249.5850563867543</v>
          </cell>
          <cell r="BT27">
            <v>2347.1009393445297</v>
          </cell>
          <cell r="BU27">
            <v>1666.3045479735129</v>
          </cell>
          <cell r="BV27">
            <v>1986.8265250235963</v>
          </cell>
          <cell r="BW27">
            <v>4227.381166452853</v>
          </cell>
          <cell r="BX27">
            <v>1666.7050335758249</v>
          </cell>
          <cell r="BY27">
            <v>1932.524444279954</v>
          </cell>
          <cell r="BZ27">
            <v>1637.2174270056198</v>
          </cell>
          <cell r="CA27">
            <v>1592.7247516626287</v>
          </cell>
          <cell r="CB27">
            <v>1592.8582468633992</v>
          </cell>
          <cell r="CC27">
            <v>1592.9917420641698</v>
          </cell>
          <cell r="CD27">
            <v>1593.1252372649403</v>
          </cell>
          <cell r="CE27">
            <v>1593.2587324657109</v>
          </cell>
          <cell r="CF27">
            <v>1602.1862321658095</v>
          </cell>
          <cell r="CG27">
            <v>1550.0630783259439</v>
          </cell>
          <cell r="CH27">
            <v>2030.7792963006837</v>
          </cell>
          <cell r="CI27">
            <v>1968.194926718309</v>
          </cell>
          <cell r="CJ27">
            <v>1550.4635639282556</v>
          </cell>
          <cell r="CK27">
            <v>1550.5970591290261</v>
          </cell>
          <cell r="CL27">
            <v>1572.8907576577076</v>
          </cell>
          <cell r="CM27">
            <v>1548.0826781022461</v>
          </cell>
          <cell r="CN27">
            <v>2028.7988960769858</v>
          </cell>
          <cell r="CO27">
            <v>1548.3496685037871</v>
          </cell>
          <cell r="CP27">
            <v>1548.4831637045577</v>
          </cell>
          <cell r="CQ27">
            <v>1548.6166589053282</v>
          </cell>
          <cell r="CR27">
            <v>1553.1471563557627</v>
          </cell>
          <cell r="CS27">
            <v>1550.1154814259967</v>
          </cell>
          <cell r="CT27">
            <v>1870.6374584760797</v>
          </cell>
          <cell r="CU27">
            <v>1775.9091669434874</v>
          </cell>
          <cell r="CV27">
            <v>1550.5159670283083</v>
          </cell>
          <cell r="CW27">
            <v>1550.6494622290788</v>
          </cell>
          <cell r="CX27">
            <v>1572.9431607577603</v>
          </cell>
          <cell r="CY27">
            <v>1550.9164526306199</v>
          </cell>
          <cell r="CZ27">
            <v>1551.0499478313905</v>
          </cell>
          <cell r="DA27">
            <v>1551.183443032161</v>
          </cell>
          <cell r="DB27">
            <v>1551.3169382329315</v>
          </cell>
          <cell r="DC27">
            <v>1835.4644650183745</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row>
        <row r="29">
          <cell r="H29">
            <v>0</v>
          </cell>
          <cell r="I29">
            <v>0</v>
          </cell>
          <cell r="J29">
            <v>0</v>
          </cell>
          <cell r="K29">
            <v>0</v>
          </cell>
          <cell r="L29">
            <v>0</v>
          </cell>
          <cell r="M29">
            <v>0</v>
          </cell>
          <cell r="N29">
            <v>0</v>
          </cell>
          <cell r="O29">
            <v>0</v>
          </cell>
          <cell r="P29">
            <v>0</v>
          </cell>
          <cell r="Q29">
            <v>0</v>
          </cell>
          <cell r="R29">
            <v>0</v>
          </cell>
          <cell r="S29">
            <v>-4012.3680215706522</v>
          </cell>
          <cell r="T29">
            <v>-1239.1136537203483</v>
          </cell>
          <cell r="U29">
            <v>-1239.1136537203483</v>
          </cell>
          <cell r="V29">
            <v>-3226.2802213730911</v>
          </cell>
          <cell r="W29">
            <v>-2028.0692025860153</v>
          </cell>
          <cell r="X29">
            <v>-1154.2420962062688</v>
          </cell>
          <cell r="Y29">
            <v>-1920.6918768994831</v>
          </cell>
          <cell r="Z29">
            <v>-1028.7026649596428</v>
          </cell>
          <cell r="AA29">
            <v>-1347.4190297123223</v>
          </cell>
          <cell r="AB29">
            <v>-1735.4344863108026</v>
          </cell>
          <cell r="AC29">
            <v>-5515.5149607257781</v>
          </cell>
          <cell r="AD29">
            <v>1959.4613161401503</v>
          </cell>
          <cell r="AE29">
            <v>3917.0954880303825</v>
          </cell>
          <cell r="AF29">
            <v>4107.1815489539495</v>
          </cell>
          <cell r="AG29">
            <v>5463.6883885128545</v>
          </cell>
          <cell r="AH29">
            <v>5342.327489483052</v>
          </cell>
          <cell r="AI29">
            <v>5091.994663808322</v>
          </cell>
          <cell r="AJ29">
            <v>3889.9569732968757</v>
          </cell>
          <cell r="AK29">
            <v>2730.3148206729938</v>
          </cell>
          <cell r="AL29">
            <v>2460.4622596988788</v>
          </cell>
          <cell r="AM29">
            <v>10087.012666865001</v>
          </cell>
          <cell r="AN29">
            <v>4109.0276491491986</v>
          </cell>
          <cell r="AO29">
            <v>4106.3604782279599</v>
          </cell>
          <cell r="AP29">
            <v>3085.7308544603793</v>
          </cell>
          <cell r="AQ29">
            <v>4111.5587184425676</v>
          </cell>
          <cell r="AR29">
            <v>2910.5526040232771</v>
          </cell>
          <cell r="AS29">
            <v>4518.3779369568974</v>
          </cell>
          <cell r="AT29">
            <v>4390.7089952562073</v>
          </cell>
          <cell r="AU29">
            <v>4176.8206354477443</v>
          </cell>
          <cell r="AV29">
            <v>4026.9767037930205</v>
          </cell>
          <cell r="AW29">
            <v>4632.2592401738202</v>
          </cell>
          <cell r="AX29">
            <v>4316.8148871187541</v>
          </cell>
          <cell r="AY29">
            <v>9318.835954705215</v>
          </cell>
          <cell r="AZ29">
            <v>5369.5158806493046</v>
          </cell>
          <cell r="BA29">
            <v>5516.7906819911459</v>
          </cell>
          <cell r="BB29">
            <v>6094.2246661464487</v>
          </cell>
          <cell r="BC29">
            <v>7100.5077241793751</v>
          </cell>
          <cell r="BD29">
            <v>6136.0345165329763</v>
          </cell>
          <cell r="BE29">
            <v>6867.7262336033682</v>
          </cell>
          <cell r="BF29">
            <v>6562.5934615902524</v>
          </cell>
          <cell r="BG29">
            <v>6628.8514708182502</v>
          </cell>
          <cell r="BH29">
            <v>6101.0836044770058</v>
          </cell>
          <cell r="BI29">
            <v>6110.9527338514627</v>
          </cell>
          <cell r="BJ29">
            <v>5931.3277945533209</v>
          </cell>
          <cell r="BK29">
            <v>9530.2459554153211</v>
          </cell>
          <cell r="BL29">
            <v>5314.8747076602267</v>
          </cell>
          <cell r="BM29">
            <v>5342.5637279707616</v>
          </cell>
          <cell r="BN29">
            <v>4948.3995755699652</v>
          </cell>
          <cell r="BO29">
            <v>5696.9825761868842</v>
          </cell>
          <cell r="BP29">
            <v>5000.00329781251</v>
          </cell>
          <cell r="BQ29">
            <v>5132.4143505013217</v>
          </cell>
          <cell r="BR29">
            <v>4998.3745991660799</v>
          </cell>
          <cell r="BS29">
            <v>4981.1674100379132</v>
          </cell>
          <cell r="BT29">
            <v>4094.2676740193579</v>
          </cell>
          <cell r="BU29">
            <v>3697.4403749772719</v>
          </cell>
          <cell r="BV29">
            <v>-395.87478662496756</v>
          </cell>
          <cell r="BW29">
            <v>5631.7838276975945</v>
          </cell>
          <cell r="BX29">
            <v>3818.9447772885151</v>
          </cell>
          <cell r="BY29">
            <v>4016.7414037042872</v>
          </cell>
          <cell r="BZ29">
            <v>3438.7216451356612</v>
          </cell>
          <cell r="CA29">
            <v>3702.3582076307584</v>
          </cell>
          <cell r="CB29">
            <v>3698.9982931253244</v>
          </cell>
          <cell r="CC29">
            <v>3695.6383786198921</v>
          </cell>
          <cell r="CD29">
            <v>3692.2784641144581</v>
          </cell>
          <cell r="CE29">
            <v>3688.9185496090222</v>
          </cell>
          <cell r="CF29">
            <v>3576.6347876525401</v>
          </cell>
          <cell r="CG29">
            <v>3547.3622899531356</v>
          </cell>
          <cell r="CH29">
            <v>-2589.8289262001808</v>
          </cell>
          <cell r="CI29">
            <v>3858.8054818861438</v>
          </cell>
          <cell r="CJ29">
            <v>3560.8936660946588</v>
          </cell>
          <cell r="CK29">
            <v>3558.1995582914142</v>
          </cell>
          <cell r="CL29">
            <v>3272.816802763502</v>
          </cell>
          <cell r="CM29">
            <v>3551.0621252176898</v>
          </cell>
          <cell r="CN29">
            <v>-2586.0931249257783</v>
          </cell>
          <cell r="CO29">
            <v>3545.7458416309055</v>
          </cell>
          <cell r="CP29">
            <v>3543.0876998375138</v>
          </cell>
          <cell r="CQ29">
            <v>3540.4295580441185</v>
          </cell>
          <cell r="CR29">
            <v>3481.8248058189665</v>
          </cell>
          <cell r="CS29">
            <v>3482.1366940608918</v>
          </cell>
          <cell r="CT29">
            <v>-610.1502206227035</v>
          </cell>
          <cell r="CU29">
            <v>3647.8900679184289</v>
          </cell>
          <cell r="CV29">
            <v>3485.9353405955708</v>
          </cell>
          <cell r="CW29">
            <v>3483.3131648120248</v>
          </cell>
          <cell r="CX29">
            <v>3197.8225112545611</v>
          </cell>
          <cell r="CY29">
            <v>3478.0688132449391</v>
          </cell>
          <cell r="CZ29">
            <v>3475.4466374613921</v>
          </cell>
          <cell r="DA29">
            <v>3472.8244616778488</v>
          </cell>
          <cell r="DB29">
            <v>3470.2022858943064</v>
          </cell>
          <cell r="DC29">
            <v>3682.9238119492056</v>
          </cell>
          <cell r="DD29">
            <v>-1.8417267710901796E-13</v>
          </cell>
          <cell r="DE29">
            <v>-1.8417267710901796E-13</v>
          </cell>
          <cell r="DF29">
            <v>-1.8417267710901796E-13</v>
          </cell>
          <cell r="DG29">
            <v>-1.8417267710901796E-13</v>
          </cell>
          <cell r="DH29">
            <v>-1.8417267710901796E-13</v>
          </cell>
          <cell r="DI29">
            <v>-1.8417267710901796E-13</v>
          </cell>
          <cell r="DJ29">
            <v>-1.8417267710901796E-13</v>
          </cell>
          <cell r="DK29">
            <v>-1.8417267710901796E-13</v>
          </cell>
          <cell r="DL29">
            <v>-1.8417267710901796E-13</v>
          </cell>
          <cell r="DM29">
            <v>-1.8417267710901796E-13</v>
          </cell>
          <cell r="DN29">
            <v>-1.8417267710901796E-13</v>
          </cell>
          <cell r="DO29">
            <v>-1.8417267710901796E-13</v>
          </cell>
          <cell r="DP29">
            <v>-1.8417267710901796E-13</v>
          </cell>
          <cell r="DQ29">
            <v>-1.8417267710901796E-13</v>
          </cell>
          <cell r="DR29">
            <v>-1.8417267710901796E-13</v>
          </cell>
          <cell r="DS29">
            <v>-1.8417267710901796E-13</v>
          </cell>
          <cell r="DT29">
            <v>-1.8417267710901796E-13</v>
          </cell>
          <cell r="DU29">
            <v>-1.8417267710901796E-13</v>
          </cell>
          <cell r="DV29">
            <v>-1.8417267710901796E-13</v>
          </cell>
          <cell r="DW29">
            <v>-1.8417267710901796E-13</v>
          </cell>
          <cell r="DX29">
            <v>-1.8417267710901796E-13</v>
          </cell>
          <cell r="DY29">
            <v>-1.8417267710901796E-13</v>
          </cell>
          <cell r="DZ29">
            <v>-1.8417267710901796E-13</v>
          </cell>
          <cell r="EA29">
            <v>-1.8417267710901796E-13</v>
          </cell>
          <cell r="EB29">
            <v>-1.8417267710901796E-13</v>
          </cell>
          <cell r="EC29">
            <v>-1.8417267710901796E-13</v>
          </cell>
          <cell r="ED29">
            <v>-1.8417267710901796E-13</v>
          </cell>
          <cell r="EE29">
            <v>-1.8417267710901796E-13</v>
          </cell>
          <cell r="EF29">
            <v>-1.8417267710901796E-13</v>
          </cell>
          <cell r="EG29">
            <v>-1.8417267710901796E-13</v>
          </cell>
          <cell r="EH29">
            <v>-1.8417267710901796E-13</v>
          </cell>
          <cell r="EI29">
            <v>-1.8417267710901796E-13</v>
          </cell>
        </row>
      </sheetData>
      <sheetData sheetId="22" refreshError="1">
        <row r="3">
          <cell r="H3">
            <v>37865</v>
          </cell>
          <cell r="T3">
            <v>38231</v>
          </cell>
          <cell r="AF3">
            <v>38596</v>
          </cell>
          <cell r="AR3">
            <v>38961</v>
          </cell>
          <cell r="BD3">
            <v>39326</v>
          </cell>
          <cell r="BP3">
            <v>39692</v>
          </cell>
          <cell r="CB3">
            <v>40057</v>
          </cell>
          <cell r="CN3">
            <v>40422</v>
          </cell>
          <cell r="CZ3">
            <v>40787</v>
          </cell>
          <cell r="DL3">
            <v>41153</v>
          </cell>
          <cell r="DX3">
            <v>41518</v>
          </cell>
          <cell r="EL3" t="str">
            <v>Summary</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cell r="EL4">
            <v>37865</v>
          </cell>
          <cell r="EM4">
            <v>38231</v>
          </cell>
          <cell r="EN4">
            <v>38596</v>
          </cell>
          <cell r="EO4">
            <v>38961</v>
          </cell>
          <cell r="EP4">
            <v>39326</v>
          </cell>
          <cell r="EQ4">
            <v>39692</v>
          </cell>
          <cell r="ER4">
            <v>40057</v>
          </cell>
          <cell r="ES4">
            <v>40422</v>
          </cell>
          <cell r="ET4">
            <v>40787</v>
          </cell>
          <cell r="EU4">
            <v>41153</v>
          </cell>
          <cell r="EV4">
            <v>41518</v>
          </cell>
          <cell r="EW4" t="str">
            <v>Total First 3 Years</v>
          </cell>
        </row>
      </sheetData>
      <sheetData sheetId="23" refreshError="1">
        <row r="3">
          <cell r="H3">
            <v>37865</v>
          </cell>
          <cell r="T3">
            <v>38231</v>
          </cell>
          <cell r="AF3">
            <v>38596</v>
          </cell>
          <cell r="AR3">
            <v>38961</v>
          </cell>
          <cell r="BD3">
            <v>39326</v>
          </cell>
          <cell r="BP3">
            <v>39692</v>
          </cell>
          <cell r="CB3">
            <v>40057</v>
          </cell>
          <cell r="CN3">
            <v>40422</v>
          </cell>
          <cell r="CZ3">
            <v>40787</v>
          </cell>
          <cell r="DL3">
            <v>41153</v>
          </cell>
          <cell r="DX3">
            <v>41518</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row>
        <row r="42">
          <cell r="H42" t="str">
            <v>ANNUAL AVG DSO</v>
          </cell>
        </row>
        <row r="43">
          <cell r="H43" t="str">
            <v>FY</v>
          </cell>
          <cell r="I43" t="str">
            <v>DAYS</v>
          </cell>
        </row>
        <row r="44">
          <cell r="H44">
            <v>37865</v>
          </cell>
          <cell r="I44">
            <v>0</v>
          </cell>
        </row>
        <row r="45">
          <cell r="H45">
            <v>38231</v>
          </cell>
          <cell r="I45">
            <v>55.933111717494285</v>
          </cell>
        </row>
        <row r="46">
          <cell r="H46">
            <v>38596</v>
          </cell>
          <cell r="I46">
            <v>39.537797554611444</v>
          </cell>
        </row>
        <row r="47">
          <cell r="H47">
            <v>38961</v>
          </cell>
          <cell r="I47">
            <v>43.070924710653223</v>
          </cell>
        </row>
        <row r="48">
          <cell r="H48">
            <v>39326</v>
          </cell>
          <cell r="I48">
            <v>41.529953305764209</v>
          </cell>
        </row>
        <row r="49">
          <cell r="H49">
            <v>39692</v>
          </cell>
          <cell r="I49">
            <v>34.449177239351883</v>
          </cell>
        </row>
        <row r="50">
          <cell r="H50">
            <v>40057</v>
          </cell>
          <cell r="I50">
            <v>30.489087525714424</v>
          </cell>
        </row>
        <row r="51">
          <cell r="H51">
            <v>40422</v>
          </cell>
          <cell r="I51">
            <v>30.818199076304378</v>
          </cell>
        </row>
        <row r="52">
          <cell r="H52">
            <v>40787</v>
          </cell>
          <cell r="I52">
            <v>27.010594294767973</v>
          </cell>
        </row>
        <row r="53">
          <cell r="H53">
            <v>41153</v>
          </cell>
          <cell r="I53">
            <v>0</v>
          </cell>
        </row>
        <row r="54">
          <cell r="H54">
            <v>41518</v>
          </cell>
          <cell r="I54">
            <v>0</v>
          </cell>
        </row>
      </sheetData>
      <sheetData sheetId="24" refreshError="1">
        <row r="3">
          <cell r="H3">
            <v>37865</v>
          </cell>
          <cell r="T3">
            <v>38231</v>
          </cell>
          <cell r="AF3">
            <v>38596</v>
          </cell>
          <cell r="AR3">
            <v>38961</v>
          </cell>
          <cell r="BD3">
            <v>39326</v>
          </cell>
          <cell r="BP3">
            <v>39692</v>
          </cell>
          <cell r="CB3">
            <v>40057</v>
          </cell>
          <cell r="CN3">
            <v>40422</v>
          </cell>
          <cell r="CZ3">
            <v>40787</v>
          </cell>
          <cell r="DL3">
            <v>41153</v>
          </cell>
          <cell r="DX3">
            <v>41518</v>
          </cell>
        </row>
        <row r="4">
          <cell r="H4">
            <v>37500</v>
          </cell>
          <cell r="I4">
            <v>37530</v>
          </cell>
          <cell r="J4">
            <v>37561</v>
          </cell>
          <cell r="K4">
            <v>37591</v>
          </cell>
          <cell r="L4">
            <v>37622</v>
          </cell>
          <cell r="M4">
            <v>37653</v>
          </cell>
          <cell r="N4">
            <v>37681</v>
          </cell>
          <cell r="O4">
            <v>37712</v>
          </cell>
          <cell r="P4">
            <v>37742</v>
          </cell>
          <cell r="Q4">
            <v>37773</v>
          </cell>
          <cell r="R4">
            <v>37803</v>
          </cell>
          <cell r="S4">
            <v>37834</v>
          </cell>
          <cell r="T4">
            <v>37865</v>
          </cell>
          <cell r="U4">
            <v>37895</v>
          </cell>
          <cell r="V4">
            <v>37926</v>
          </cell>
          <cell r="W4">
            <v>37956</v>
          </cell>
          <cell r="X4">
            <v>37987</v>
          </cell>
          <cell r="Y4">
            <v>38018</v>
          </cell>
          <cell r="Z4">
            <v>38047</v>
          </cell>
          <cell r="AA4">
            <v>38078</v>
          </cell>
          <cell r="AB4">
            <v>38108</v>
          </cell>
          <cell r="AC4">
            <v>38139</v>
          </cell>
          <cell r="AD4">
            <v>38169</v>
          </cell>
          <cell r="AE4">
            <v>38200</v>
          </cell>
          <cell r="AF4">
            <v>38231</v>
          </cell>
          <cell r="AG4">
            <v>38261</v>
          </cell>
          <cell r="AH4">
            <v>38292</v>
          </cell>
          <cell r="AI4">
            <v>38322</v>
          </cell>
          <cell r="AJ4">
            <v>38353</v>
          </cell>
          <cell r="AK4">
            <v>38384</v>
          </cell>
          <cell r="AL4">
            <v>38412</v>
          </cell>
          <cell r="AM4">
            <v>38443</v>
          </cell>
          <cell r="AN4">
            <v>38473</v>
          </cell>
          <cell r="AO4">
            <v>38504</v>
          </cell>
          <cell r="AP4">
            <v>38534</v>
          </cell>
          <cell r="AQ4">
            <v>38565</v>
          </cell>
          <cell r="AR4">
            <v>38596</v>
          </cell>
          <cell r="AS4">
            <v>38626</v>
          </cell>
          <cell r="AT4">
            <v>38657</v>
          </cell>
          <cell r="AU4">
            <v>38687</v>
          </cell>
          <cell r="AV4">
            <v>38718</v>
          </cell>
          <cell r="AW4">
            <v>38749</v>
          </cell>
          <cell r="AX4">
            <v>38777</v>
          </cell>
          <cell r="AY4">
            <v>38808</v>
          </cell>
          <cell r="AZ4">
            <v>38838</v>
          </cell>
          <cell r="BA4">
            <v>38869</v>
          </cell>
          <cell r="BB4">
            <v>38899</v>
          </cell>
          <cell r="BC4">
            <v>38930</v>
          </cell>
          <cell r="BD4">
            <v>38961</v>
          </cell>
          <cell r="BE4">
            <v>38991</v>
          </cell>
          <cell r="BF4">
            <v>39022</v>
          </cell>
          <cell r="BG4">
            <v>39052</v>
          </cell>
          <cell r="BH4">
            <v>39083</v>
          </cell>
          <cell r="BI4">
            <v>39114</v>
          </cell>
          <cell r="BJ4">
            <v>39142</v>
          </cell>
          <cell r="BK4">
            <v>39173</v>
          </cell>
          <cell r="BL4">
            <v>39203</v>
          </cell>
          <cell r="BM4">
            <v>39234</v>
          </cell>
          <cell r="BN4">
            <v>39264</v>
          </cell>
          <cell r="BO4">
            <v>39295</v>
          </cell>
          <cell r="BP4">
            <v>39326</v>
          </cell>
          <cell r="BQ4">
            <v>39356</v>
          </cell>
          <cell r="BR4">
            <v>39387</v>
          </cell>
          <cell r="BS4">
            <v>39417</v>
          </cell>
          <cell r="BT4">
            <v>39448</v>
          </cell>
          <cell r="BU4">
            <v>39479</v>
          </cell>
          <cell r="BV4">
            <v>39508</v>
          </cell>
          <cell r="BW4">
            <v>39539</v>
          </cell>
          <cell r="BX4">
            <v>39569</v>
          </cell>
          <cell r="BY4">
            <v>39600</v>
          </cell>
          <cell r="BZ4">
            <v>39630</v>
          </cell>
          <cell r="CA4">
            <v>39661</v>
          </cell>
          <cell r="CB4">
            <v>39692</v>
          </cell>
          <cell r="CC4">
            <v>39722</v>
          </cell>
          <cell r="CD4">
            <v>39753</v>
          </cell>
          <cell r="CE4">
            <v>39783</v>
          </cell>
          <cell r="CF4">
            <v>39814</v>
          </cell>
          <cell r="CG4">
            <v>39845</v>
          </cell>
          <cell r="CH4">
            <v>39873</v>
          </cell>
          <cell r="CI4">
            <v>39904</v>
          </cell>
          <cell r="CJ4">
            <v>39934</v>
          </cell>
          <cell r="CK4">
            <v>39965</v>
          </cell>
          <cell r="CL4">
            <v>39995</v>
          </cell>
          <cell r="CM4">
            <v>40026</v>
          </cell>
          <cell r="CN4">
            <v>40057</v>
          </cell>
          <cell r="CO4">
            <v>40087</v>
          </cell>
          <cell r="CP4">
            <v>40118</v>
          </cell>
          <cell r="CQ4">
            <v>40148</v>
          </cell>
          <cell r="CR4">
            <v>40179</v>
          </cell>
          <cell r="CS4">
            <v>40210</v>
          </cell>
          <cell r="CT4">
            <v>40238</v>
          </cell>
          <cell r="CU4">
            <v>40269</v>
          </cell>
          <cell r="CV4">
            <v>40299</v>
          </cell>
          <cell r="CW4">
            <v>40330</v>
          </cell>
          <cell r="CX4">
            <v>40360</v>
          </cell>
          <cell r="CY4">
            <v>40391</v>
          </cell>
          <cell r="CZ4">
            <v>40422</v>
          </cell>
          <cell r="DA4">
            <v>40452</v>
          </cell>
          <cell r="DB4">
            <v>40483</v>
          </cell>
          <cell r="DC4">
            <v>40513</v>
          </cell>
          <cell r="DD4">
            <v>40544</v>
          </cell>
          <cell r="DE4">
            <v>40575</v>
          </cell>
          <cell r="DF4">
            <v>40603</v>
          </cell>
          <cell r="DG4">
            <v>40634</v>
          </cell>
          <cell r="DH4">
            <v>40664</v>
          </cell>
          <cell r="DI4">
            <v>40695</v>
          </cell>
          <cell r="DJ4">
            <v>40725</v>
          </cell>
          <cell r="DK4">
            <v>40756</v>
          </cell>
          <cell r="DL4">
            <v>40787</v>
          </cell>
          <cell r="DM4">
            <v>40817</v>
          </cell>
          <cell r="DN4">
            <v>40848</v>
          </cell>
          <cell r="DO4">
            <v>40878</v>
          </cell>
          <cell r="DP4">
            <v>40909</v>
          </cell>
          <cell r="DQ4">
            <v>40940</v>
          </cell>
          <cell r="DR4">
            <v>40969</v>
          </cell>
          <cell r="DS4">
            <v>41000</v>
          </cell>
          <cell r="DT4">
            <v>41030</v>
          </cell>
          <cell r="DU4">
            <v>41061</v>
          </cell>
          <cell r="DV4">
            <v>41091</v>
          </cell>
          <cell r="DW4">
            <v>41122</v>
          </cell>
          <cell r="DX4">
            <v>41153</v>
          </cell>
          <cell r="DY4">
            <v>41183</v>
          </cell>
          <cell r="DZ4">
            <v>41214</v>
          </cell>
          <cell r="EA4">
            <v>41244</v>
          </cell>
          <cell r="EB4">
            <v>41275</v>
          </cell>
          <cell r="EC4">
            <v>41306</v>
          </cell>
          <cell r="ED4">
            <v>41334</v>
          </cell>
          <cell r="EE4">
            <v>41365</v>
          </cell>
          <cell r="EF4">
            <v>41395</v>
          </cell>
          <cell r="EG4">
            <v>41426</v>
          </cell>
          <cell r="EH4">
            <v>41456</v>
          </cell>
          <cell r="EI4">
            <v>41487</v>
          </cell>
        </row>
        <row r="98">
          <cell r="E98" t="str">
            <v>-</v>
          </cell>
        </row>
        <row r="100">
          <cell r="E100">
            <v>0</v>
          </cell>
        </row>
        <row r="145">
          <cell r="H145">
            <v>0</v>
          </cell>
          <cell r="I145">
            <v>0</v>
          </cell>
          <cell r="J145">
            <v>0</v>
          </cell>
          <cell r="K145">
            <v>0</v>
          </cell>
          <cell r="L145">
            <v>0</v>
          </cell>
          <cell r="M145">
            <v>0</v>
          </cell>
          <cell r="N145">
            <v>0</v>
          </cell>
          <cell r="O145">
            <v>0</v>
          </cell>
          <cell r="P145">
            <v>0</v>
          </cell>
          <cell r="Q145">
            <v>0</v>
          </cell>
          <cell r="R145">
            <v>0</v>
          </cell>
          <cell r="S145">
            <v>621.91704334345104</v>
          </cell>
          <cell r="T145">
            <v>1435.8967030135561</v>
          </cell>
          <cell r="U145">
            <v>1820.0219356668642</v>
          </cell>
          <cell r="V145">
            <v>5358.6572545389936</v>
          </cell>
          <cell r="W145">
            <v>12325.574636527508</v>
          </cell>
          <cell r="X145">
            <v>18781.109763443903</v>
          </cell>
          <cell r="Y145">
            <v>25464.329432778108</v>
          </cell>
          <cell r="Z145">
            <v>29404.672908127261</v>
          </cell>
          <cell r="AA145">
            <v>29428.916043463629</v>
          </cell>
          <cell r="AB145">
            <v>28992.235868641863</v>
          </cell>
          <cell r="AC145">
            <v>29292.438508751315</v>
          </cell>
          <cell r="AD145">
            <v>37758.825723040194</v>
          </cell>
          <cell r="AE145">
            <v>57009.25630310869</v>
          </cell>
          <cell r="AF145">
            <v>73430.691498765198</v>
          </cell>
          <cell r="AG145">
            <v>82087.697467934398</v>
          </cell>
          <cell r="AH145">
            <v>84907.073908489561</v>
          </cell>
          <cell r="AI145">
            <v>84526.909518335218</v>
          </cell>
          <cell r="AJ145">
            <v>81303.018228750327</v>
          </cell>
          <cell r="AK145">
            <v>75873.917836096967</v>
          </cell>
          <cell r="AL145">
            <v>79379.488915096401</v>
          </cell>
          <cell r="AM145">
            <v>93449.416786021975</v>
          </cell>
          <cell r="AN145">
            <v>76767.777180178062</v>
          </cell>
          <cell r="AO145">
            <v>50282.996398792486</v>
          </cell>
          <cell r="AP145">
            <v>44512.004079707047</v>
          </cell>
          <cell r="AQ145">
            <v>40953.36658487258</v>
          </cell>
          <cell r="AR145">
            <v>42984.899826231776</v>
          </cell>
          <cell r="AS145">
            <v>44642.210205192649</v>
          </cell>
          <cell r="AT145">
            <v>44140.27973753761</v>
          </cell>
          <cell r="AU145">
            <v>44080.428522046284</v>
          </cell>
          <cell r="AV145">
            <v>46084.477413048364</v>
          </cell>
          <cell r="AW145">
            <v>50554.013452056199</v>
          </cell>
          <cell r="AX145">
            <v>58486.286204702483</v>
          </cell>
          <cell r="AY145">
            <v>68424.974654134989</v>
          </cell>
          <cell r="AZ145">
            <v>60641.831200638306</v>
          </cell>
          <cell r="BA145">
            <v>49569.083484333503</v>
          </cell>
          <cell r="BB145">
            <v>51900.813538101778</v>
          </cell>
          <cell r="BC145">
            <v>52130.855854409485</v>
          </cell>
          <cell r="BD145">
            <v>53331.868683578803</v>
          </cell>
          <cell r="BE145">
            <v>54135.395899588999</v>
          </cell>
          <cell r="BF145">
            <v>52743.57936144009</v>
          </cell>
          <cell r="BG145">
            <v>53848.783135867037</v>
          </cell>
          <cell r="BH145">
            <v>54149.735753190005</v>
          </cell>
          <cell r="BI145">
            <v>47861.351833705703</v>
          </cell>
          <cell r="BJ145">
            <v>44518.13481225416</v>
          </cell>
          <cell r="BK145">
            <v>45714.095141043043</v>
          </cell>
          <cell r="BL145">
            <v>29958.155058360368</v>
          </cell>
          <cell r="BM145">
            <v>16462.350352714253</v>
          </cell>
          <cell r="BN145">
            <v>17974.919694118107</v>
          </cell>
          <cell r="BO145">
            <v>16194.496213925551</v>
          </cell>
          <cell r="BP145">
            <v>16558.785244295854</v>
          </cell>
          <cell r="BQ145">
            <v>17080.62686092651</v>
          </cell>
          <cell r="BR145">
            <v>15650.5759206488</v>
          </cell>
          <cell r="BS145">
            <v>16867.191015382254</v>
          </cell>
          <cell r="BT145">
            <v>16897.21963014119</v>
          </cell>
          <cell r="BU145">
            <v>12384.676315538425</v>
          </cell>
          <cell r="BV145">
            <v>10847.543434197025</v>
          </cell>
          <cell r="BW145">
            <v>14895.795272405958</v>
          </cell>
          <cell r="BX145">
            <v>10875.321639534304</v>
          </cell>
          <cell r="BY145">
            <v>5444.1613840555074</v>
          </cell>
          <cell r="BZ145">
            <v>5817.7952004644321</v>
          </cell>
          <cell r="CA145">
            <v>3827.3519095000229</v>
          </cell>
          <cell r="CB145">
            <v>4382.9205435920594</v>
          </cell>
          <cell r="CC145">
            <v>4867.4484768727707</v>
          </cell>
          <cell r="CD145">
            <v>3714.6298534060188</v>
          </cell>
          <cell r="CE145">
            <v>4469.649166661271</v>
          </cell>
          <cell r="CF145">
            <v>5082.3788822565257</v>
          </cell>
          <cell r="CG145">
            <v>3658.0662674448977</v>
          </cell>
          <cell r="CH145">
            <v>2393.7984581089258</v>
          </cell>
          <cell r="CI145">
            <v>4409.327972574727</v>
          </cell>
          <cell r="CJ145">
            <v>5315.2398810211453</v>
          </cell>
          <cell r="CK145">
            <v>4923.5590587810439</v>
          </cell>
          <cell r="CL145">
            <v>5533.3015452351683</v>
          </cell>
          <cell r="CM145">
            <v>4414.8527106033143</v>
          </cell>
          <cell r="CN145">
            <v>2434.1282372659771</v>
          </cell>
          <cell r="CO145">
            <v>3157.8128957311128</v>
          </cell>
          <cell r="CP145">
            <v>4836.4730997700826</v>
          </cell>
          <cell r="CQ145">
            <v>5463.8110545697273</v>
          </cell>
          <cell r="CR145">
            <v>6069.7578915949125</v>
          </cell>
          <cell r="CS145">
            <v>4903.1858866003458</v>
          </cell>
          <cell r="CT145">
            <v>3380.451497189264</v>
          </cell>
          <cell r="CU145">
            <v>3921.744498764223</v>
          </cell>
          <cell r="CV145">
            <v>4259.1349796149734</v>
          </cell>
          <cell r="CW145">
            <v>4335.11673211983</v>
          </cell>
          <cell r="CX145">
            <v>4915.2377710754809</v>
          </cell>
          <cell r="CY145">
            <v>3829.6992181508103</v>
          </cell>
          <cell r="CZ145">
            <v>4011.0481459352886</v>
          </cell>
          <cell r="DA145">
            <v>4062.5711848588544</v>
          </cell>
          <cell r="DB145">
            <v>2934.772762965571</v>
          </cell>
          <cell r="DC145">
            <v>3766.5121174951782</v>
          </cell>
          <cell r="DD145">
            <v>2581.0093104404432</v>
          </cell>
          <cell r="DE145">
            <v>1.2278178473934531E-11</v>
          </cell>
          <cell r="DF145">
            <v>1.2278178473934531E-11</v>
          </cell>
          <cell r="DG145">
            <v>1.2278178473934531E-11</v>
          </cell>
          <cell r="DH145">
            <v>1.2278178473934531E-11</v>
          </cell>
          <cell r="DI145">
            <v>1.2278178473934531E-11</v>
          </cell>
          <cell r="DJ145">
            <v>1.2278178473934531E-11</v>
          </cell>
          <cell r="DK145">
            <v>1.2278178473934531E-11</v>
          </cell>
          <cell r="DL145">
            <v>1.2278178473934531E-11</v>
          </cell>
          <cell r="DM145">
            <v>1.2278178473934531E-11</v>
          </cell>
          <cell r="DN145">
            <v>1.2278178473934531E-11</v>
          </cell>
          <cell r="DO145">
            <v>1.2278178473934531E-11</v>
          </cell>
          <cell r="DP145">
            <v>1.2278178473934531E-11</v>
          </cell>
          <cell r="DQ145">
            <v>1.2278178473934531E-11</v>
          </cell>
          <cell r="DR145">
            <v>1.2278178473934531E-11</v>
          </cell>
          <cell r="DS145">
            <v>1.2278178473934531E-11</v>
          </cell>
          <cell r="DT145">
            <v>1.2278178473934531E-11</v>
          </cell>
          <cell r="DU145">
            <v>1.2278178473934531E-11</v>
          </cell>
          <cell r="DV145">
            <v>1.2278178473934531E-11</v>
          </cell>
          <cell r="DW145">
            <v>1.2278178473934531E-11</v>
          </cell>
          <cell r="DX145">
            <v>1.2278178473934531E-11</v>
          </cell>
          <cell r="DY145">
            <v>1.2278178473934531E-11</v>
          </cell>
          <cell r="DZ145">
            <v>1.2278178473934531E-11</v>
          </cell>
          <cell r="EA145">
            <v>1.2278178473934531E-11</v>
          </cell>
          <cell r="EB145">
            <v>1.2278178473934531E-11</v>
          </cell>
          <cell r="EC145">
            <v>1.2278178473934531E-11</v>
          </cell>
          <cell r="ED145">
            <v>1.2278178473934531E-11</v>
          </cell>
          <cell r="EE145">
            <v>1.2278178473934531E-11</v>
          </cell>
          <cell r="EF145">
            <v>1.2278178473934531E-11</v>
          </cell>
          <cell r="EG145">
            <v>1.2278178473934531E-11</v>
          </cell>
          <cell r="EH145">
            <v>1.2278178473934531E-11</v>
          </cell>
          <cell r="EI145">
            <v>1.2278178473934531E-11</v>
          </cell>
        </row>
        <row r="148">
          <cell r="H148">
            <v>0</v>
          </cell>
          <cell r="I148">
            <v>0</v>
          </cell>
          <cell r="J148">
            <v>0</v>
          </cell>
          <cell r="K148">
            <v>0</v>
          </cell>
          <cell r="L148">
            <v>0</v>
          </cell>
          <cell r="M148">
            <v>0</v>
          </cell>
          <cell r="N148">
            <v>0</v>
          </cell>
          <cell r="O148">
            <v>0</v>
          </cell>
          <cell r="P148">
            <v>0</v>
          </cell>
          <cell r="Q148">
            <v>0</v>
          </cell>
          <cell r="R148">
            <v>0</v>
          </cell>
          <cell r="S148">
            <v>-2768.5339348837501</v>
          </cell>
          <cell r="T148">
            <v>-854.98842106704035</v>
          </cell>
          <cell r="U148">
            <v>-854.98842106704035</v>
          </cell>
          <cell r="V148">
            <v>-2166.9355481034227</v>
          </cell>
          <cell r="W148">
            <v>-1258.2057843760081</v>
          </cell>
          <cell r="X148">
            <v>-569.89815609498146</v>
          </cell>
          <cell r="Y148">
            <v>-1021.7778967452488</v>
          </cell>
          <cell r="Z148">
            <v>-386.9504753187008</v>
          </cell>
          <cell r="AA148">
            <v>-609.40619242177263</v>
          </cell>
          <cell r="AB148">
            <v>-888.65137115020366</v>
          </cell>
          <cell r="AC148">
            <v>-3484.4055642127919</v>
          </cell>
          <cell r="AD148">
            <v>1938.8013144150912</v>
          </cell>
          <cell r="AE148">
            <v>3541.715955022757</v>
          </cell>
          <cell r="AF148">
            <v>3802.7784316771626</v>
          </cell>
          <cell r="AG148">
            <v>4827.3699658374871</v>
          </cell>
          <cell r="AH148">
            <v>4747.8456062699588</v>
          </cell>
          <cell r="AI148">
            <v>4597.8829899362554</v>
          </cell>
          <cell r="AJ148">
            <v>3787.0809158172078</v>
          </cell>
          <cell r="AK148">
            <v>2963.3254680560108</v>
          </cell>
          <cell r="AL148">
            <v>2836.7807745334603</v>
          </cell>
          <cell r="AM148">
            <v>8247.6616370546344</v>
          </cell>
          <cell r="AN148">
            <v>3610.9696872781274</v>
          </cell>
          <cell r="AO148">
            <v>3554.3078683741196</v>
          </cell>
          <cell r="AP148">
            <v>2771.6180715570317</v>
          </cell>
          <cell r="AQ148">
            <v>3520.1683643147744</v>
          </cell>
          <cell r="AR148">
            <v>2652.8245031773367</v>
          </cell>
          <cell r="AS148">
            <v>3780.8057330255729</v>
          </cell>
          <cell r="AT148">
            <v>3680.9956324258837</v>
          </cell>
          <cell r="AU148">
            <v>3532.6373990769021</v>
          </cell>
          <cell r="AV148">
            <v>3529.7250947980383</v>
          </cell>
          <cell r="AW148">
            <v>4042.0827142131147</v>
          </cell>
          <cell r="AX148">
            <v>3882.3543233353089</v>
          </cell>
          <cell r="AY148">
            <v>7490.7039799099239</v>
          </cell>
          <cell r="AZ148">
            <v>4506.6017155415957</v>
          </cell>
          <cell r="BA148">
            <v>4629.2471714568683</v>
          </cell>
          <cell r="BB148">
            <v>5054.0415786855647</v>
          </cell>
          <cell r="BC148">
            <v>5780.6352897352526</v>
          </cell>
          <cell r="BD148">
            <v>5082.580491137589</v>
          </cell>
          <cell r="BE148">
            <v>5601.0502219757054</v>
          </cell>
          <cell r="BF148">
            <v>5387.75619436126</v>
          </cell>
          <cell r="BG148">
            <v>5437.9443611949282</v>
          </cell>
          <cell r="BH148">
            <v>5019.0770480600331</v>
          </cell>
          <cell r="BI148">
            <v>4961.2379218312308</v>
          </cell>
          <cell r="BJ148">
            <v>4801.4461921481825</v>
          </cell>
          <cell r="BK148">
            <v>7322.5512252553417</v>
          </cell>
          <cell r="BL148">
            <v>4097.4461399831725</v>
          </cell>
          <cell r="BM148">
            <v>4120.2371623858999</v>
          </cell>
          <cell r="BN148">
            <v>3847.0447691184986</v>
          </cell>
          <cell r="BO148">
            <v>4369.2421348967946</v>
          </cell>
          <cell r="BP148">
            <v>3850.3175397067798</v>
          </cell>
          <cell r="BQ148">
            <v>3952.6048378778205</v>
          </cell>
          <cell r="BR148">
            <v>3857.1658978238929</v>
          </cell>
          <cell r="BS148">
            <v>3851.9434128124612</v>
          </cell>
          <cell r="BT148">
            <v>3220.0176292937263</v>
          </cell>
          <cell r="BU148">
            <v>2911.0211144115187</v>
          </cell>
          <cell r="BV148">
            <v>87.97666595805083</v>
          </cell>
          <cell r="BW148">
            <v>4295.7141717619288</v>
          </cell>
          <cell r="BX148">
            <v>2907.4937785742159</v>
          </cell>
          <cell r="BY148">
            <v>3050.2249168316862</v>
          </cell>
          <cell r="BZ148">
            <v>2629.2722825967503</v>
          </cell>
          <cell r="CA148">
            <v>2811.1072197220556</v>
          </cell>
          <cell r="CB148">
            <v>2809.9314411096248</v>
          </cell>
          <cell r="CC148">
            <v>2808.7556624971912</v>
          </cell>
          <cell r="CD148">
            <v>2807.5798838847581</v>
          </cell>
          <cell r="CE148">
            <v>2806.4041052723223</v>
          </cell>
          <cell r="CF148">
            <v>2727.7738387961026</v>
          </cell>
          <cell r="CG148">
            <v>2705.4701027053334</v>
          </cell>
          <cell r="CH148">
            <v>-1528.508680668652</v>
          </cell>
          <cell r="CI148">
            <v>2929.4521216047851</v>
          </cell>
          <cell r="CJ148">
            <v>2701.94276686803</v>
          </cell>
          <cell r="CK148">
            <v>2700.766988255597</v>
          </cell>
          <cell r="CL148">
            <v>2504.4119599791602</v>
          </cell>
          <cell r="CM148">
            <v>2696.9089206605363</v>
          </cell>
          <cell r="CN148">
            <v>-1537.0698627134489</v>
          </cell>
          <cell r="CO148">
            <v>2694.557363435672</v>
          </cell>
          <cell r="CP148">
            <v>2693.3815848232389</v>
          </cell>
          <cell r="CQ148">
            <v>2692.2058062108026</v>
          </cell>
          <cell r="CR148">
            <v>2652.3027836664751</v>
          </cell>
          <cell r="CS148">
            <v>2653.0008581945967</v>
          </cell>
          <cell r="CT148">
            <v>-170.04359025887101</v>
          </cell>
          <cell r="CU148">
            <v>2772.8042571498745</v>
          </cell>
          <cell r="CV148">
            <v>2649.4735223572966</v>
          </cell>
          <cell r="CW148">
            <v>2648.2977437448635</v>
          </cell>
          <cell r="CX148">
            <v>2451.9427154684236</v>
          </cell>
          <cell r="CY148">
            <v>2645.9461865199964</v>
          </cell>
          <cell r="CZ148">
            <v>2644.7704079075602</v>
          </cell>
          <cell r="DA148">
            <v>2643.5946292951271</v>
          </cell>
          <cell r="DB148">
            <v>2642.4188506826936</v>
          </cell>
          <cell r="DC148">
            <v>2795.077284755972</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row>
        <row r="152">
          <cell r="E152">
            <v>1.2127623884956789</v>
          </cell>
        </row>
        <row r="153">
          <cell r="E153">
            <v>0.60936352428786877</v>
          </cell>
        </row>
        <row r="154">
          <cell r="E154">
            <v>-2.38771586851006E-2</v>
          </cell>
        </row>
        <row r="169">
          <cell r="EJ169">
            <v>128697.14239867682</v>
          </cell>
        </row>
        <row r="187">
          <cell r="EJ187">
            <v>128697.14239867682</v>
          </cell>
        </row>
        <row r="191">
          <cell r="EJ191">
            <v>13367.714162031783</v>
          </cell>
        </row>
        <row r="192">
          <cell r="EJ192">
            <v>13367.714162031783</v>
          </cell>
        </row>
        <row r="196">
          <cell r="EJ196">
            <v>-66606.607754390003</v>
          </cell>
        </row>
        <row r="198">
          <cell r="E198">
            <v>0.26540536549464705</v>
          </cell>
        </row>
        <row r="199">
          <cell r="E199">
            <v>0.26540536549464705</v>
          </cell>
        </row>
        <row r="200">
          <cell r="E200">
            <v>0.58336980040927155</v>
          </cell>
        </row>
        <row r="201">
          <cell r="E201">
            <v>0.58336980040927155</v>
          </cell>
        </row>
        <row r="214">
          <cell r="C214" t="str">
            <v xml:space="preserve">1st Month of Seat Capital </v>
          </cell>
          <cell r="E214">
            <v>1</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row>
        <row r="215">
          <cell r="C215" t="str">
            <v>Months</v>
          </cell>
          <cell r="H215">
            <v>37500</v>
          </cell>
          <cell r="I215">
            <v>37530</v>
          </cell>
          <cell r="J215">
            <v>37561</v>
          </cell>
          <cell r="K215">
            <v>37591</v>
          </cell>
          <cell r="L215">
            <v>37622</v>
          </cell>
          <cell r="M215">
            <v>37653</v>
          </cell>
          <cell r="N215">
            <v>37681</v>
          </cell>
          <cell r="O215">
            <v>37712</v>
          </cell>
          <cell r="P215">
            <v>37742</v>
          </cell>
          <cell r="Q215">
            <v>37773</v>
          </cell>
          <cell r="R215">
            <v>37803</v>
          </cell>
          <cell r="S215">
            <v>37834</v>
          </cell>
          <cell r="T215">
            <v>37865</v>
          </cell>
          <cell r="U215">
            <v>37895</v>
          </cell>
          <cell r="V215">
            <v>37926</v>
          </cell>
          <cell r="W215">
            <v>37956</v>
          </cell>
          <cell r="X215">
            <v>37987</v>
          </cell>
          <cell r="Y215">
            <v>38018</v>
          </cell>
          <cell r="Z215">
            <v>38047</v>
          </cell>
          <cell r="AA215">
            <v>38078</v>
          </cell>
          <cell r="AB215">
            <v>38108</v>
          </cell>
          <cell r="AC215">
            <v>38139</v>
          </cell>
          <cell r="AD215">
            <v>38169</v>
          </cell>
          <cell r="AE215">
            <v>38200</v>
          </cell>
          <cell r="AF215">
            <v>38231</v>
          </cell>
          <cell r="AG215">
            <v>38261</v>
          </cell>
          <cell r="AH215">
            <v>38292</v>
          </cell>
          <cell r="AI215">
            <v>38322</v>
          </cell>
          <cell r="AJ215">
            <v>38353</v>
          </cell>
          <cell r="AK215">
            <v>38384</v>
          </cell>
          <cell r="AL215">
            <v>38412</v>
          </cell>
          <cell r="AM215">
            <v>38443</v>
          </cell>
          <cell r="AN215">
            <v>38473</v>
          </cell>
          <cell r="AO215">
            <v>38504</v>
          </cell>
          <cell r="AP215">
            <v>38534</v>
          </cell>
          <cell r="AQ215">
            <v>38565</v>
          </cell>
          <cell r="AR215">
            <v>38596</v>
          </cell>
          <cell r="AS215">
            <v>38626</v>
          </cell>
          <cell r="AT215">
            <v>38657</v>
          </cell>
          <cell r="AU215">
            <v>38687</v>
          </cell>
          <cell r="AV215">
            <v>38718</v>
          </cell>
          <cell r="AW215">
            <v>38749</v>
          </cell>
          <cell r="AX215">
            <v>38777</v>
          </cell>
          <cell r="AY215">
            <v>38808</v>
          </cell>
          <cell r="AZ215">
            <v>38838</v>
          </cell>
          <cell r="BA215">
            <v>38869</v>
          </cell>
          <cell r="BB215">
            <v>38899</v>
          </cell>
          <cell r="BC215">
            <v>38930</v>
          </cell>
          <cell r="BD215">
            <v>38961</v>
          </cell>
          <cell r="BE215">
            <v>38991</v>
          </cell>
          <cell r="BF215">
            <v>39022</v>
          </cell>
          <cell r="BG215">
            <v>39052</v>
          </cell>
          <cell r="BH215">
            <v>39083</v>
          </cell>
          <cell r="BI215">
            <v>39114</v>
          </cell>
          <cell r="BJ215">
            <v>39142</v>
          </cell>
          <cell r="BK215">
            <v>39173</v>
          </cell>
          <cell r="BL215">
            <v>39203</v>
          </cell>
          <cell r="BM215">
            <v>39234</v>
          </cell>
          <cell r="BN215">
            <v>39264</v>
          </cell>
          <cell r="BO215">
            <v>39295</v>
          </cell>
          <cell r="BP215">
            <v>39326</v>
          </cell>
          <cell r="BQ215">
            <v>39356</v>
          </cell>
          <cell r="BR215">
            <v>39387</v>
          </cell>
          <cell r="BS215">
            <v>39417</v>
          </cell>
          <cell r="BT215">
            <v>39448</v>
          </cell>
          <cell r="BU215">
            <v>39479</v>
          </cell>
          <cell r="BV215">
            <v>39508</v>
          </cell>
          <cell r="BW215">
            <v>39539</v>
          </cell>
          <cell r="BX215">
            <v>39569</v>
          </cell>
          <cell r="BY215">
            <v>39600</v>
          </cell>
          <cell r="BZ215">
            <v>39630</v>
          </cell>
          <cell r="CA215">
            <v>39661</v>
          </cell>
          <cell r="CB215">
            <v>39692</v>
          </cell>
          <cell r="CC215">
            <v>39722</v>
          </cell>
          <cell r="CD215">
            <v>39753</v>
          </cell>
          <cell r="CE215">
            <v>39783</v>
          </cell>
          <cell r="CF215">
            <v>39814</v>
          </cell>
          <cell r="CG215">
            <v>39845</v>
          </cell>
          <cell r="CH215">
            <v>39873</v>
          </cell>
          <cell r="CI215">
            <v>39904</v>
          </cell>
          <cell r="CJ215">
            <v>39934</v>
          </cell>
          <cell r="CK215">
            <v>39965</v>
          </cell>
          <cell r="CL215">
            <v>39995</v>
          </cell>
          <cell r="CM215">
            <v>40026</v>
          </cell>
          <cell r="CN215">
            <v>40057</v>
          </cell>
          <cell r="CO215">
            <v>40087</v>
          </cell>
          <cell r="CP215">
            <v>40118</v>
          </cell>
          <cell r="CQ215">
            <v>40148</v>
          </cell>
          <cell r="CR215">
            <v>40179</v>
          </cell>
          <cell r="CS215">
            <v>40210</v>
          </cell>
          <cell r="CT215">
            <v>40238</v>
          </cell>
          <cell r="CU215">
            <v>40269</v>
          </cell>
          <cell r="CV215">
            <v>40299</v>
          </cell>
          <cell r="CW215">
            <v>40330</v>
          </cell>
          <cell r="CX215">
            <v>40360</v>
          </cell>
          <cell r="CY215">
            <v>40391</v>
          </cell>
          <cell r="CZ215">
            <v>40422</v>
          </cell>
          <cell r="DA215">
            <v>40452</v>
          </cell>
          <cell r="DB215">
            <v>40483</v>
          </cell>
          <cell r="DC215">
            <v>40513</v>
          </cell>
          <cell r="DD215">
            <v>40544</v>
          </cell>
          <cell r="DE215">
            <v>40575</v>
          </cell>
          <cell r="DF215">
            <v>40603</v>
          </cell>
          <cell r="DG215">
            <v>40634</v>
          </cell>
          <cell r="DH215">
            <v>40664</v>
          </cell>
          <cell r="DI215">
            <v>40695</v>
          </cell>
          <cell r="DJ215">
            <v>40725</v>
          </cell>
          <cell r="DK215">
            <v>40756</v>
          </cell>
          <cell r="DL215">
            <v>40787</v>
          </cell>
          <cell r="DM215">
            <v>40817</v>
          </cell>
          <cell r="DN215">
            <v>40848</v>
          </cell>
          <cell r="DO215">
            <v>40878</v>
          </cell>
          <cell r="DP215">
            <v>40909</v>
          </cell>
          <cell r="DQ215">
            <v>40940</v>
          </cell>
          <cell r="DR215">
            <v>40969</v>
          </cell>
          <cell r="DS215">
            <v>41000</v>
          </cell>
          <cell r="DT215">
            <v>41030</v>
          </cell>
          <cell r="DU215">
            <v>41061</v>
          </cell>
          <cell r="DV215">
            <v>41091</v>
          </cell>
          <cell r="DW215">
            <v>41122</v>
          </cell>
          <cell r="DX215">
            <v>41153</v>
          </cell>
          <cell r="DY215">
            <v>41183</v>
          </cell>
          <cell r="DZ215">
            <v>41214</v>
          </cell>
          <cell r="EA215">
            <v>41244</v>
          </cell>
          <cell r="EB215">
            <v>41275</v>
          </cell>
          <cell r="EC215">
            <v>41306</v>
          </cell>
          <cell r="ED215">
            <v>41334</v>
          </cell>
          <cell r="EE215">
            <v>41365</v>
          </cell>
          <cell r="EF215">
            <v>41395</v>
          </cell>
          <cell r="EG215">
            <v>41426</v>
          </cell>
          <cell r="EH215">
            <v>41456</v>
          </cell>
          <cell r="EI215">
            <v>41487</v>
          </cell>
        </row>
        <row r="216">
          <cell r="C216" t="str">
            <v>Monthly FTE Count</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row>
        <row r="218">
          <cell r="C218" t="str">
            <v xml:space="preserve">1st Month of Seat Capital </v>
          </cell>
          <cell r="E218">
            <v>2</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row>
        <row r="219">
          <cell r="C219" t="str">
            <v>Months</v>
          </cell>
          <cell r="H219">
            <v>37500</v>
          </cell>
          <cell r="I219">
            <v>37530</v>
          </cell>
          <cell r="J219">
            <v>37561</v>
          </cell>
          <cell r="K219">
            <v>37591</v>
          </cell>
          <cell r="L219">
            <v>37622</v>
          </cell>
          <cell r="M219">
            <v>37653</v>
          </cell>
          <cell r="N219">
            <v>37681</v>
          </cell>
          <cell r="O219">
            <v>37712</v>
          </cell>
          <cell r="P219">
            <v>37742</v>
          </cell>
          <cell r="Q219">
            <v>37773</v>
          </cell>
          <cell r="R219">
            <v>37803</v>
          </cell>
          <cell r="S219">
            <v>37834</v>
          </cell>
          <cell r="T219">
            <v>37865</v>
          </cell>
          <cell r="U219">
            <v>37895</v>
          </cell>
          <cell r="V219">
            <v>37926</v>
          </cell>
          <cell r="W219">
            <v>37956</v>
          </cell>
          <cell r="X219">
            <v>37987</v>
          </cell>
          <cell r="Y219">
            <v>38018</v>
          </cell>
          <cell r="Z219">
            <v>38047</v>
          </cell>
          <cell r="AA219">
            <v>38078</v>
          </cell>
          <cell r="AB219">
            <v>38108</v>
          </cell>
          <cell r="AC219">
            <v>38139</v>
          </cell>
          <cell r="AD219">
            <v>38169</v>
          </cell>
          <cell r="AE219">
            <v>38200</v>
          </cell>
          <cell r="AF219">
            <v>38231</v>
          </cell>
          <cell r="AG219">
            <v>38261</v>
          </cell>
          <cell r="AH219">
            <v>38292</v>
          </cell>
          <cell r="AI219">
            <v>38322</v>
          </cell>
          <cell r="AJ219">
            <v>38353</v>
          </cell>
          <cell r="AK219">
            <v>38384</v>
          </cell>
          <cell r="AL219">
            <v>38412</v>
          </cell>
          <cell r="AM219">
            <v>38443</v>
          </cell>
          <cell r="AN219">
            <v>38473</v>
          </cell>
          <cell r="AO219">
            <v>38504</v>
          </cell>
          <cell r="AP219">
            <v>38534</v>
          </cell>
          <cell r="AQ219">
            <v>38565</v>
          </cell>
          <cell r="AR219">
            <v>38596</v>
          </cell>
          <cell r="AS219">
            <v>38626</v>
          </cell>
          <cell r="AT219">
            <v>38657</v>
          </cell>
          <cell r="AU219">
            <v>38687</v>
          </cell>
          <cell r="AV219">
            <v>38718</v>
          </cell>
          <cell r="AW219">
            <v>38749</v>
          </cell>
          <cell r="AX219">
            <v>38777</v>
          </cell>
          <cell r="AY219">
            <v>38808</v>
          </cell>
          <cell r="AZ219">
            <v>38838</v>
          </cell>
          <cell r="BA219">
            <v>38869</v>
          </cell>
          <cell r="BB219">
            <v>38899</v>
          </cell>
          <cell r="BC219">
            <v>38930</v>
          </cell>
          <cell r="BD219">
            <v>38961</v>
          </cell>
          <cell r="BE219">
            <v>38991</v>
          </cell>
          <cell r="BF219">
            <v>39022</v>
          </cell>
          <cell r="BG219">
            <v>39052</v>
          </cell>
          <cell r="BH219">
            <v>39083</v>
          </cell>
          <cell r="BI219">
            <v>39114</v>
          </cell>
          <cell r="BJ219">
            <v>39142</v>
          </cell>
          <cell r="BK219">
            <v>39173</v>
          </cell>
          <cell r="BL219">
            <v>39203</v>
          </cell>
          <cell r="BM219">
            <v>39234</v>
          </cell>
          <cell r="BN219">
            <v>39264</v>
          </cell>
          <cell r="BO219">
            <v>39295</v>
          </cell>
          <cell r="BP219">
            <v>39326</v>
          </cell>
          <cell r="BQ219">
            <v>39356</v>
          </cell>
          <cell r="BR219">
            <v>39387</v>
          </cell>
          <cell r="BS219">
            <v>39417</v>
          </cell>
          <cell r="BT219">
            <v>39448</v>
          </cell>
          <cell r="BU219">
            <v>39479</v>
          </cell>
          <cell r="BV219">
            <v>39508</v>
          </cell>
          <cell r="BW219">
            <v>39539</v>
          </cell>
          <cell r="BX219">
            <v>39569</v>
          </cell>
          <cell r="BY219">
            <v>39600</v>
          </cell>
          <cell r="BZ219">
            <v>39630</v>
          </cell>
          <cell r="CA219">
            <v>39661</v>
          </cell>
          <cell r="CB219">
            <v>39692</v>
          </cell>
          <cell r="CC219">
            <v>39722</v>
          </cell>
          <cell r="CD219">
            <v>39753</v>
          </cell>
          <cell r="CE219">
            <v>39783</v>
          </cell>
          <cell r="CF219">
            <v>39814</v>
          </cell>
          <cell r="CG219">
            <v>39845</v>
          </cell>
          <cell r="CH219">
            <v>39873</v>
          </cell>
          <cell r="CI219">
            <v>39904</v>
          </cell>
          <cell r="CJ219">
            <v>39934</v>
          </cell>
          <cell r="CK219">
            <v>39965</v>
          </cell>
          <cell r="CL219">
            <v>39995</v>
          </cell>
          <cell r="CM219">
            <v>40026</v>
          </cell>
          <cell r="CN219">
            <v>40057</v>
          </cell>
          <cell r="CO219">
            <v>40087</v>
          </cell>
          <cell r="CP219">
            <v>40118</v>
          </cell>
          <cell r="CQ219">
            <v>40148</v>
          </cell>
          <cell r="CR219">
            <v>40179</v>
          </cell>
          <cell r="CS219">
            <v>40210</v>
          </cell>
          <cell r="CT219">
            <v>40238</v>
          </cell>
          <cell r="CU219">
            <v>40269</v>
          </cell>
          <cell r="CV219">
            <v>40299</v>
          </cell>
          <cell r="CW219">
            <v>40330</v>
          </cell>
          <cell r="CX219">
            <v>40360</v>
          </cell>
          <cell r="CY219">
            <v>40391</v>
          </cell>
          <cell r="CZ219">
            <v>40422</v>
          </cell>
          <cell r="DA219">
            <v>40452</v>
          </cell>
          <cell r="DB219">
            <v>40483</v>
          </cell>
          <cell r="DC219">
            <v>40513</v>
          </cell>
          <cell r="DD219">
            <v>40544</v>
          </cell>
          <cell r="DE219">
            <v>40575</v>
          </cell>
          <cell r="DF219">
            <v>40603</v>
          </cell>
          <cell r="DG219">
            <v>40634</v>
          </cell>
          <cell r="DH219">
            <v>40664</v>
          </cell>
          <cell r="DI219">
            <v>40695</v>
          </cell>
          <cell r="DJ219">
            <v>40725</v>
          </cell>
          <cell r="DK219">
            <v>40756</v>
          </cell>
          <cell r="DL219">
            <v>40787</v>
          </cell>
          <cell r="DM219">
            <v>40817</v>
          </cell>
          <cell r="DN219">
            <v>40848</v>
          </cell>
          <cell r="DO219">
            <v>40878</v>
          </cell>
          <cell r="DP219">
            <v>40909</v>
          </cell>
          <cell r="DQ219">
            <v>40940</v>
          </cell>
          <cell r="DR219">
            <v>40969</v>
          </cell>
          <cell r="DS219">
            <v>41000</v>
          </cell>
          <cell r="DT219">
            <v>41030</v>
          </cell>
          <cell r="DU219">
            <v>41061</v>
          </cell>
          <cell r="DV219">
            <v>41091</v>
          </cell>
          <cell r="DW219">
            <v>41122</v>
          </cell>
          <cell r="DX219">
            <v>41153</v>
          </cell>
          <cell r="DY219">
            <v>41183</v>
          </cell>
          <cell r="DZ219">
            <v>41214</v>
          </cell>
          <cell r="EA219">
            <v>41244</v>
          </cell>
          <cell r="EB219">
            <v>41275</v>
          </cell>
          <cell r="EC219">
            <v>41306</v>
          </cell>
          <cell r="ED219">
            <v>41334</v>
          </cell>
          <cell r="EE219">
            <v>41365</v>
          </cell>
          <cell r="EF219">
            <v>41395</v>
          </cell>
          <cell r="EG219">
            <v>41426</v>
          </cell>
          <cell r="EH219">
            <v>41456</v>
          </cell>
          <cell r="EI219">
            <v>41487</v>
          </cell>
        </row>
        <row r="220">
          <cell r="C220" t="str">
            <v>Monthly FTE Count</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row>
        <row r="222">
          <cell r="C222" t="str">
            <v xml:space="preserve">1st Month of Seat Capital </v>
          </cell>
          <cell r="E222">
            <v>3</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row>
        <row r="223">
          <cell r="C223" t="str">
            <v>Months</v>
          </cell>
          <cell r="H223">
            <v>37500</v>
          </cell>
          <cell r="I223">
            <v>37530</v>
          </cell>
          <cell r="J223">
            <v>37561</v>
          </cell>
          <cell r="K223">
            <v>37591</v>
          </cell>
          <cell r="L223">
            <v>37622</v>
          </cell>
          <cell r="M223">
            <v>37653</v>
          </cell>
          <cell r="N223">
            <v>37681</v>
          </cell>
          <cell r="O223">
            <v>37712</v>
          </cell>
          <cell r="P223">
            <v>37742</v>
          </cell>
          <cell r="Q223">
            <v>37773</v>
          </cell>
          <cell r="R223">
            <v>37803</v>
          </cell>
          <cell r="S223">
            <v>37834</v>
          </cell>
          <cell r="T223">
            <v>37865</v>
          </cell>
          <cell r="U223">
            <v>37895</v>
          </cell>
          <cell r="V223">
            <v>37926</v>
          </cell>
          <cell r="W223">
            <v>37956</v>
          </cell>
          <cell r="X223">
            <v>37987</v>
          </cell>
          <cell r="Y223">
            <v>38018</v>
          </cell>
          <cell r="Z223">
            <v>38047</v>
          </cell>
          <cell r="AA223">
            <v>38078</v>
          </cell>
          <cell r="AB223">
            <v>38108</v>
          </cell>
          <cell r="AC223">
            <v>38139</v>
          </cell>
          <cell r="AD223">
            <v>38169</v>
          </cell>
          <cell r="AE223">
            <v>38200</v>
          </cell>
          <cell r="AF223">
            <v>38231</v>
          </cell>
          <cell r="AG223">
            <v>38261</v>
          </cell>
          <cell r="AH223">
            <v>38292</v>
          </cell>
          <cell r="AI223">
            <v>38322</v>
          </cell>
          <cell r="AJ223">
            <v>38353</v>
          </cell>
          <cell r="AK223">
            <v>38384</v>
          </cell>
          <cell r="AL223">
            <v>38412</v>
          </cell>
          <cell r="AM223">
            <v>38443</v>
          </cell>
          <cell r="AN223">
            <v>38473</v>
          </cell>
          <cell r="AO223">
            <v>38504</v>
          </cell>
          <cell r="AP223">
            <v>38534</v>
          </cell>
          <cell r="AQ223">
            <v>38565</v>
          </cell>
          <cell r="AR223">
            <v>38596</v>
          </cell>
          <cell r="AS223">
            <v>38626</v>
          </cell>
          <cell r="AT223">
            <v>38657</v>
          </cell>
          <cell r="AU223">
            <v>38687</v>
          </cell>
          <cell r="AV223">
            <v>38718</v>
          </cell>
          <cell r="AW223">
            <v>38749</v>
          </cell>
          <cell r="AX223">
            <v>38777</v>
          </cell>
          <cell r="AY223">
            <v>38808</v>
          </cell>
          <cell r="AZ223">
            <v>38838</v>
          </cell>
          <cell r="BA223">
            <v>38869</v>
          </cell>
          <cell r="BB223">
            <v>38899</v>
          </cell>
          <cell r="BC223">
            <v>38930</v>
          </cell>
          <cell r="BD223">
            <v>38961</v>
          </cell>
          <cell r="BE223">
            <v>38991</v>
          </cell>
          <cell r="BF223">
            <v>39022</v>
          </cell>
          <cell r="BG223">
            <v>39052</v>
          </cell>
          <cell r="BH223">
            <v>39083</v>
          </cell>
          <cell r="BI223">
            <v>39114</v>
          </cell>
          <cell r="BJ223">
            <v>39142</v>
          </cell>
          <cell r="BK223">
            <v>39173</v>
          </cell>
          <cell r="BL223">
            <v>39203</v>
          </cell>
          <cell r="BM223">
            <v>39234</v>
          </cell>
          <cell r="BN223">
            <v>39264</v>
          </cell>
          <cell r="BO223">
            <v>39295</v>
          </cell>
          <cell r="BP223">
            <v>39326</v>
          </cell>
          <cell r="BQ223">
            <v>39356</v>
          </cell>
          <cell r="BR223">
            <v>39387</v>
          </cell>
          <cell r="BS223">
            <v>39417</v>
          </cell>
          <cell r="BT223">
            <v>39448</v>
          </cell>
          <cell r="BU223">
            <v>39479</v>
          </cell>
          <cell r="BV223">
            <v>39508</v>
          </cell>
          <cell r="BW223">
            <v>39539</v>
          </cell>
          <cell r="BX223">
            <v>39569</v>
          </cell>
          <cell r="BY223">
            <v>39600</v>
          </cell>
          <cell r="BZ223">
            <v>39630</v>
          </cell>
          <cell r="CA223">
            <v>39661</v>
          </cell>
          <cell r="CB223">
            <v>39692</v>
          </cell>
          <cell r="CC223">
            <v>39722</v>
          </cell>
          <cell r="CD223">
            <v>39753</v>
          </cell>
          <cell r="CE223">
            <v>39783</v>
          </cell>
          <cell r="CF223">
            <v>39814</v>
          </cell>
          <cell r="CG223">
            <v>39845</v>
          </cell>
          <cell r="CH223">
            <v>39873</v>
          </cell>
          <cell r="CI223">
            <v>39904</v>
          </cell>
          <cell r="CJ223">
            <v>39934</v>
          </cell>
          <cell r="CK223">
            <v>39965</v>
          </cell>
          <cell r="CL223">
            <v>39995</v>
          </cell>
          <cell r="CM223">
            <v>40026</v>
          </cell>
          <cell r="CN223">
            <v>40057</v>
          </cell>
          <cell r="CO223">
            <v>40087</v>
          </cell>
          <cell r="CP223">
            <v>40118</v>
          </cell>
          <cell r="CQ223">
            <v>40148</v>
          </cell>
          <cell r="CR223">
            <v>40179</v>
          </cell>
          <cell r="CS223">
            <v>40210</v>
          </cell>
          <cell r="CT223">
            <v>40238</v>
          </cell>
          <cell r="CU223">
            <v>40269</v>
          </cell>
          <cell r="CV223">
            <v>40299</v>
          </cell>
          <cell r="CW223">
            <v>40330</v>
          </cell>
          <cell r="CX223">
            <v>40360</v>
          </cell>
          <cell r="CY223">
            <v>40391</v>
          </cell>
          <cell r="CZ223">
            <v>40422</v>
          </cell>
          <cell r="DA223">
            <v>40452</v>
          </cell>
          <cell r="DB223">
            <v>40483</v>
          </cell>
          <cell r="DC223">
            <v>40513</v>
          </cell>
          <cell r="DD223">
            <v>40544</v>
          </cell>
          <cell r="DE223">
            <v>40575</v>
          </cell>
          <cell r="DF223">
            <v>40603</v>
          </cell>
          <cell r="DG223">
            <v>40634</v>
          </cell>
          <cell r="DH223">
            <v>40664</v>
          </cell>
          <cell r="DI223">
            <v>40695</v>
          </cell>
          <cell r="DJ223">
            <v>40725</v>
          </cell>
          <cell r="DK223">
            <v>40756</v>
          </cell>
          <cell r="DL223">
            <v>40787</v>
          </cell>
          <cell r="DM223">
            <v>40817</v>
          </cell>
          <cell r="DN223">
            <v>40848</v>
          </cell>
          <cell r="DO223">
            <v>40878</v>
          </cell>
          <cell r="DP223">
            <v>40909</v>
          </cell>
          <cell r="DQ223">
            <v>40940</v>
          </cell>
          <cell r="DR223">
            <v>40969</v>
          </cell>
          <cell r="DS223">
            <v>41000</v>
          </cell>
          <cell r="DT223">
            <v>41030</v>
          </cell>
          <cell r="DU223">
            <v>41061</v>
          </cell>
          <cell r="DV223">
            <v>41091</v>
          </cell>
          <cell r="DW223">
            <v>41122</v>
          </cell>
          <cell r="DX223">
            <v>41153</v>
          </cell>
          <cell r="DY223">
            <v>41183</v>
          </cell>
          <cell r="DZ223">
            <v>41214</v>
          </cell>
          <cell r="EA223">
            <v>41244</v>
          </cell>
          <cell r="EB223">
            <v>41275</v>
          </cell>
          <cell r="EC223">
            <v>41306</v>
          </cell>
          <cell r="ED223">
            <v>41334</v>
          </cell>
          <cell r="EE223">
            <v>41365</v>
          </cell>
          <cell r="EF223">
            <v>41395</v>
          </cell>
          <cell r="EG223">
            <v>41426</v>
          </cell>
          <cell r="EH223">
            <v>41456</v>
          </cell>
          <cell r="EI223">
            <v>41487</v>
          </cell>
        </row>
        <row r="224">
          <cell r="C224" t="str">
            <v>Monthly FTE Count</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row>
        <row r="226">
          <cell r="C226" t="str">
            <v xml:space="preserve">1st Month of Seat Capital </v>
          </cell>
          <cell r="E226">
            <v>4</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row>
        <row r="227">
          <cell r="C227" t="str">
            <v>Months</v>
          </cell>
          <cell r="H227">
            <v>37500</v>
          </cell>
          <cell r="I227">
            <v>37530</v>
          </cell>
          <cell r="J227">
            <v>37561</v>
          </cell>
          <cell r="K227">
            <v>37591</v>
          </cell>
          <cell r="L227">
            <v>37622</v>
          </cell>
          <cell r="M227">
            <v>37653</v>
          </cell>
          <cell r="N227">
            <v>37681</v>
          </cell>
          <cell r="O227">
            <v>37712</v>
          </cell>
          <cell r="P227">
            <v>37742</v>
          </cell>
          <cell r="Q227">
            <v>37773</v>
          </cell>
          <cell r="R227">
            <v>37803</v>
          </cell>
          <cell r="S227">
            <v>37834</v>
          </cell>
          <cell r="T227">
            <v>37865</v>
          </cell>
          <cell r="U227">
            <v>37895</v>
          </cell>
          <cell r="V227">
            <v>37926</v>
          </cell>
          <cell r="W227">
            <v>37956</v>
          </cell>
          <cell r="X227">
            <v>37987</v>
          </cell>
          <cell r="Y227">
            <v>38018</v>
          </cell>
          <cell r="Z227">
            <v>38047</v>
          </cell>
          <cell r="AA227">
            <v>38078</v>
          </cell>
          <cell r="AB227">
            <v>38108</v>
          </cell>
          <cell r="AC227">
            <v>38139</v>
          </cell>
          <cell r="AD227">
            <v>38169</v>
          </cell>
          <cell r="AE227">
            <v>38200</v>
          </cell>
          <cell r="AF227">
            <v>38231</v>
          </cell>
          <cell r="AG227">
            <v>38261</v>
          </cell>
          <cell r="AH227">
            <v>38292</v>
          </cell>
          <cell r="AI227">
            <v>38322</v>
          </cell>
          <cell r="AJ227">
            <v>38353</v>
          </cell>
          <cell r="AK227">
            <v>38384</v>
          </cell>
          <cell r="AL227">
            <v>38412</v>
          </cell>
          <cell r="AM227">
            <v>38443</v>
          </cell>
          <cell r="AN227">
            <v>38473</v>
          </cell>
          <cell r="AO227">
            <v>38504</v>
          </cell>
          <cell r="AP227">
            <v>38534</v>
          </cell>
          <cell r="AQ227">
            <v>38565</v>
          </cell>
          <cell r="AR227">
            <v>38596</v>
          </cell>
          <cell r="AS227">
            <v>38626</v>
          </cell>
          <cell r="AT227">
            <v>38657</v>
          </cell>
          <cell r="AU227">
            <v>38687</v>
          </cell>
          <cell r="AV227">
            <v>38718</v>
          </cell>
          <cell r="AW227">
            <v>38749</v>
          </cell>
          <cell r="AX227">
            <v>38777</v>
          </cell>
          <cell r="AY227">
            <v>38808</v>
          </cell>
          <cell r="AZ227">
            <v>38838</v>
          </cell>
          <cell r="BA227">
            <v>38869</v>
          </cell>
          <cell r="BB227">
            <v>38899</v>
          </cell>
          <cell r="BC227">
            <v>38930</v>
          </cell>
          <cell r="BD227">
            <v>38961</v>
          </cell>
          <cell r="BE227">
            <v>38991</v>
          </cell>
          <cell r="BF227">
            <v>39022</v>
          </cell>
          <cell r="BG227">
            <v>39052</v>
          </cell>
          <cell r="BH227">
            <v>39083</v>
          </cell>
          <cell r="BI227">
            <v>39114</v>
          </cell>
          <cell r="BJ227">
            <v>39142</v>
          </cell>
          <cell r="BK227">
            <v>39173</v>
          </cell>
          <cell r="BL227">
            <v>39203</v>
          </cell>
          <cell r="BM227">
            <v>39234</v>
          </cell>
          <cell r="BN227">
            <v>39264</v>
          </cell>
          <cell r="BO227">
            <v>39295</v>
          </cell>
          <cell r="BP227">
            <v>39326</v>
          </cell>
          <cell r="BQ227">
            <v>39356</v>
          </cell>
          <cell r="BR227">
            <v>39387</v>
          </cell>
          <cell r="BS227">
            <v>39417</v>
          </cell>
          <cell r="BT227">
            <v>39448</v>
          </cell>
          <cell r="BU227">
            <v>39479</v>
          </cell>
          <cell r="BV227">
            <v>39508</v>
          </cell>
          <cell r="BW227">
            <v>39539</v>
          </cell>
          <cell r="BX227">
            <v>39569</v>
          </cell>
          <cell r="BY227">
            <v>39600</v>
          </cell>
          <cell r="BZ227">
            <v>39630</v>
          </cell>
          <cell r="CA227">
            <v>39661</v>
          </cell>
          <cell r="CB227">
            <v>39692</v>
          </cell>
          <cell r="CC227">
            <v>39722</v>
          </cell>
          <cell r="CD227">
            <v>39753</v>
          </cell>
          <cell r="CE227">
            <v>39783</v>
          </cell>
          <cell r="CF227">
            <v>39814</v>
          </cell>
          <cell r="CG227">
            <v>39845</v>
          </cell>
          <cell r="CH227">
            <v>39873</v>
          </cell>
          <cell r="CI227">
            <v>39904</v>
          </cell>
          <cell r="CJ227">
            <v>39934</v>
          </cell>
          <cell r="CK227">
            <v>39965</v>
          </cell>
          <cell r="CL227">
            <v>39995</v>
          </cell>
          <cell r="CM227">
            <v>40026</v>
          </cell>
          <cell r="CN227">
            <v>40057</v>
          </cell>
          <cell r="CO227">
            <v>40087</v>
          </cell>
          <cell r="CP227">
            <v>40118</v>
          </cell>
          <cell r="CQ227">
            <v>40148</v>
          </cell>
          <cell r="CR227">
            <v>40179</v>
          </cell>
          <cell r="CS227">
            <v>40210</v>
          </cell>
          <cell r="CT227">
            <v>40238</v>
          </cell>
          <cell r="CU227">
            <v>40269</v>
          </cell>
          <cell r="CV227">
            <v>40299</v>
          </cell>
          <cell r="CW227">
            <v>40330</v>
          </cell>
          <cell r="CX227">
            <v>40360</v>
          </cell>
          <cell r="CY227">
            <v>40391</v>
          </cell>
          <cell r="CZ227">
            <v>40422</v>
          </cell>
          <cell r="DA227">
            <v>40452</v>
          </cell>
          <cell r="DB227">
            <v>40483</v>
          </cell>
          <cell r="DC227">
            <v>40513</v>
          </cell>
          <cell r="DD227">
            <v>40544</v>
          </cell>
          <cell r="DE227">
            <v>40575</v>
          </cell>
          <cell r="DF227">
            <v>40603</v>
          </cell>
          <cell r="DG227">
            <v>40634</v>
          </cell>
          <cell r="DH227">
            <v>40664</v>
          </cell>
          <cell r="DI227">
            <v>40695</v>
          </cell>
          <cell r="DJ227">
            <v>40725</v>
          </cell>
          <cell r="DK227">
            <v>40756</v>
          </cell>
          <cell r="DL227">
            <v>40787</v>
          </cell>
          <cell r="DM227">
            <v>40817</v>
          </cell>
          <cell r="DN227">
            <v>40848</v>
          </cell>
          <cell r="DO227">
            <v>40878</v>
          </cell>
          <cell r="DP227">
            <v>40909</v>
          </cell>
          <cell r="DQ227">
            <v>40940</v>
          </cell>
          <cell r="DR227">
            <v>40969</v>
          </cell>
          <cell r="DS227">
            <v>41000</v>
          </cell>
          <cell r="DT227">
            <v>41030</v>
          </cell>
          <cell r="DU227">
            <v>41061</v>
          </cell>
          <cell r="DV227">
            <v>41091</v>
          </cell>
          <cell r="DW227">
            <v>41122</v>
          </cell>
          <cell r="DX227">
            <v>41153</v>
          </cell>
          <cell r="DY227">
            <v>41183</v>
          </cell>
          <cell r="DZ227">
            <v>41214</v>
          </cell>
          <cell r="EA227">
            <v>41244</v>
          </cell>
          <cell r="EB227">
            <v>41275</v>
          </cell>
          <cell r="EC227">
            <v>41306</v>
          </cell>
          <cell r="ED227">
            <v>41334</v>
          </cell>
          <cell r="EE227">
            <v>41365</v>
          </cell>
          <cell r="EF227">
            <v>41395</v>
          </cell>
          <cell r="EG227">
            <v>41426</v>
          </cell>
          <cell r="EH227">
            <v>41456</v>
          </cell>
          <cell r="EI227">
            <v>41487</v>
          </cell>
        </row>
        <row r="228">
          <cell r="C228" t="str">
            <v>Monthly FTE Count</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row>
        <row r="230">
          <cell r="C230" t="str">
            <v xml:space="preserve">1st Month of Seat Capital </v>
          </cell>
          <cell r="E230">
            <v>5</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row>
        <row r="231">
          <cell r="C231" t="str">
            <v>Months</v>
          </cell>
          <cell r="H231">
            <v>37500</v>
          </cell>
          <cell r="I231">
            <v>37530</v>
          </cell>
          <cell r="J231">
            <v>37561</v>
          </cell>
          <cell r="K231">
            <v>37591</v>
          </cell>
          <cell r="L231">
            <v>37622</v>
          </cell>
          <cell r="M231">
            <v>37653</v>
          </cell>
          <cell r="N231">
            <v>37681</v>
          </cell>
          <cell r="O231">
            <v>37712</v>
          </cell>
          <cell r="P231">
            <v>37742</v>
          </cell>
          <cell r="Q231">
            <v>37773</v>
          </cell>
          <cell r="R231">
            <v>37803</v>
          </cell>
          <cell r="S231">
            <v>37834</v>
          </cell>
          <cell r="T231">
            <v>37865</v>
          </cell>
          <cell r="U231">
            <v>37895</v>
          </cell>
          <cell r="V231">
            <v>37926</v>
          </cell>
          <cell r="W231">
            <v>37956</v>
          </cell>
          <cell r="X231">
            <v>37987</v>
          </cell>
          <cell r="Y231">
            <v>38018</v>
          </cell>
          <cell r="Z231">
            <v>38047</v>
          </cell>
          <cell r="AA231">
            <v>38078</v>
          </cell>
          <cell r="AB231">
            <v>38108</v>
          </cell>
          <cell r="AC231">
            <v>38139</v>
          </cell>
          <cell r="AD231">
            <v>38169</v>
          </cell>
          <cell r="AE231">
            <v>38200</v>
          </cell>
          <cell r="AF231">
            <v>38231</v>
          </cell>
          <cell r="AG231">
            <v>38261</v>
          </cell>
          <cell r="AH231">
            <v>38292</v>
          </cell>
          <cell r="AI231">
            <v>38322</v>
          </cell>
          <cell r="AJ231">
            <v>38353</v>
          </cell>
          <cell r="AK231">
            <v>38384</v>
          </cell>
          <cell r="AL231">
            <v>38412</v>
          </cell>
          <cell r="AM231">
            <v>38443</v>
          </cell>
          <cell r="AN231">
            <v>38473</v>
          </cell>
          <cell r="AO231">
            <v>38504</v>
          </cell>
          <cell r="AP231">
            <v>38534</v>
          </cell>
          <cell r="AQ231">
            <v>38565</v>
          </cell>
          <cell r="AR231">
            <v>38596</v>
          </cell>
          <cell r="AS231">
            <v>38626</v>
          </cell>
          <cell r="AT231">
            <v>38657</v>
          </cell>
          <cell r="AU231">
            <v>38687</v>
          </cell>
          <cell r="AV231">
            <v>38718</v>
          </cell>
          <cell r="AW231">
            <v>38749</v>
          </cell>
          <cell r="AX231">
            <v>38777</v>
          </cell>
          <cell r="AY231">
            <v>38808</v>
          </cell>
          <cell r="AZ231">
            <v>38838</v>
          </cell>
          <cell r="BA231">
            <v>38869</v>
          </cell>
          <cell r="BB231">
            <v>38899</v>
          </cell>
          <cell r="BC231">
            <v>38930</v>
          </cell>
          <cell r="BD231">
            <v>38961</v>
          </cell>
          <cell r="BE231">
            <v>38991</v>
          </cell>
          <cell r="BF231">
            <v>39022</v>
          </cell>
          <cell r="BG231">
            <v>39052</v>
          </cell>
          <cell r="BH231">
            <v>39083</v>
          </cell>
          <cell r="BI231">
            <v>39114</v>
          </cell>
          <cell r="BJ231">
            <v>39142</v>
          </cell>
          <cell r="BK231">
            <v>39173</v>
          </cell>
          <cell r="BL231">
            <v>39203</v>
          </cell>
          <cell r="BM231">
            <v>39234</v>
          </cell>
          <cell r="BN231">
            <v>39264</v>
          </cell>
          <cell r="BO231">
            <v>39295</v>
          </cell>
          <cell r="BP231">
            <v>39326</v>
          </cell>
          <cell r="BQ231">
            <v>39356</v>
          </cell>
          <cell r="BR231">
            <v>39387</v>
          </cell>
          <cell r="BS231">
            <v>39417</v>
          </cell>
          <cell r="BT231">
            <v>39448</v>
          </cell>
          <cell r="BU231">
            <v>39479</v>
          </cell>
          <cell r="BV231">
            <v>39508</v>
          </cell>
          <cell r="BW231">
            <v>39539</v>
          </cell>
          <cell r="BX231">
            <v>39569</v>
          </cell>
          <cell r="BY231">
            <v>39600</v>
          </cell>
          <cell r="BZ231">
            <v>39630</v>
          </cell>
          <cell r="CA231">
            <v>39661</v>
          </cell>
          <cell r="CB231">
            <v>39692</v>
          </cell>
          <cell r="CC231">
            <v>39722</v>
          </cell>
          <cell r="CD231">
            <v>39753</v>
          </cell>
          <cell r="CE231">
            <v>39783</v>
          </cell>
          <cell r="CF231">
            <v>39814</v>
          </cell>
          <cell r="CG231">
            <v>39845</v>
          </cell>
          <cell r="CH231">
            <v>39873</v>
          </cell>
          <cell r="CI231">
            <v>39904</v>
          </cell>
          <cell r="CJ231">
            <v>39934</v>
          </cell>
          <cell r="CK231">
            <v>39965</v>
          </cell>
          <cell r="CL231">
            <v>39995</v>
          </cell>
          <cell r="CM231">
            <v>40026</v>
          </cell>
          <cell r="CN231">
            <v>40057</v>
          </cell>
          <cell r="CO231">
            <v>40087</v>
          </cell>
          <cell r="CP231">
            <v>40118</v>
          </cell>
          <cell r="CQ231">
            <v>40148</v>
          </cell>
          <cell r="CR231">
            <v>40179</v>
          </cell>
          <cell r="CS231">
            <v>40210</v>
          </cell>
          <cell r="CT231">
            <v>40238</v>
          </cell>
          <cell r="CU231">
            <v>40269</v>
          </cell>
          <cell r="CV231">
            <v>40299</v>
          </cell>
          <cell r="CW231">
            <v>40330</v>
          </cell>
          <cell r="CX231">
            <v>40360</v>
          </cell>
          <cell r="CY231">
            <v>40391</v>
          </cell>
          <cell r="CZ231">
            <v>40422</v>
          </cell>
          <cell r="DA231">
            <v>40452</v>
          </cell>
          <cell r="DB231">
            <v>40483</v>
          </cell>
          <cell r="DC231">
            <v>40513</v>
          </cell>
          <cell r="DD231">
            <v>40544</v>
          </cell>
          <cell r="DE231">
            <v>40575</v>
          </cell>
          <cell r="DF231">
            <v>40603</v>
          </cell>
          <cell r="DG231">
            <v>40634</v>
          </cell>
          <cell r="DH231">
            <v>40664</v>
          </cell>
          <cell r="DI231">
            <v>40695</v>
          </cell>
          <cell r="DJ231">
            <v>40725</v>
          </cell>
          <cell r="DK231">
            <v>40756</v>
          </cell>
          <cell r="DL231">
            <v>40787</v>
          </cell>
          <cell r="DM231">
            <v>40817</v>
          </cell>
          <cell r="DN231">
            <v>40848</v>
          </cell>
          <cell r="DO231">
            <v>40878</v>
          </cell>
          <cell r="DP231">
            <v>40909</v>
          </cell>
          <cell r="DQ231">
            <v>40940</v>
          </cell>
          <cell r="DR231">
            <v>40969</v>
          </cell>
          <cell r="DS231">
            <v>41000</v>
          </cell>
          <cell r="DT231">
            <v>41030</v>
          </cell>
          <cell r="DU231">
            <v>41061</v>
          </cell>
          <cell r="DV231">
            <v>41091</v>
          </cell>
          <cell r="DW231">
            <v>41122</v>
          </cell>
          <cell r="DX231">
            <v>41153</v>
          </cell>
          <cell r="DY231">
            <v>41183</v>
          </cell>
          <cell r="DZ231">
            <v>41214</v>
          </cell>
          <cell r="EA231">
            <v>41244</v>
          </cell>
          <cell r="EB231">
            <v>41275</v>
          </cell>
          <cell r="EC231">
            <v>41306</v>
          </cell>
          <cell r="ED231">
            <v>41334</v>
          </cell>
          <cell r="EE231">
            <v>41365</v>
          </cell>
          <cell r="EF231">
            <v>41395</v>
          </cell>
          <cell r="EG231">
            <v>41426</v>
          </cell>
          <cell r="EH231">
            <v>41456</v>
          </cell>
          <cell r="EI231">
            <v>41487</v>
          </cell>
        </row>
        <row r="232">
          <cell r="C232" t="str">
            <v>Monthly FTE Count</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row>
        <row r="234">
          <cell r="C234" t="str">
            <v xml:space="preserve">1st Month of Seat Capital </v>
          </cell>
          <cell r="E234">
            <v>6</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row>
        <row r="235">
          <cell r="C235" t="str">
            <v>Months</v>
          </cell>
          <cell r="H235">
            <v>37500</v>
          </cell>
          <cell r="I235">
            <v>37530</v>
          </cell>
          <cell r="J235">
            <v>37561</v>
          </cell>
          <cell r="K235">
            <v>37591</v>
          </cell>
          <cell r="L235">
            <v>37622</v>
          </cell>
          <cell r="M235">
            <v>37653</v>
          </cell>
          <cell r="N235">
            <v>37681</v>
          </cell>
          <cell r="O235">
            <v>37712</v>
          </cell>
          <cell r="P235">
            <v>37742</v>
          </cell>
          <cell r="Q235">
            <v>37773</v>
          </cell>
          <cell r="R235">
            <v>37803</v>
          </cell>
          <cell r="S235">
            <v>37834</v>
          </cell>
          <cell r="T235">
            <v>37865</v>
          </cell>
          <cell r="U235">
            <v>37895</v>
          </cell>
          <cell r="V235">
            <v>37926</v>
          </cell>
          <cell r="W235">
            <v>37956</v>
          </cell>
          <cell r="X235">
            <v>37987</v>
          </cell>
          <cell r="Y235">
            <v>38018</v>
          </cell>
          <cell r="Z235">
            <v>38047</v>
          </cell>
          <cell r="AA235">
            <v>38078</v>
          </cell>
          <cell r="AB235">
            <v>38108</v>
          </cell>
          <cell r="AC235">
            <v>38139</v>
          </cell>
          <cell r="AD235">
            <v>38169</v>
          </cell>
          <cell r="AE235">
            <v>38200</v>
          </cell>
          <cell r="AF235">
            <v>38231</v>
          </cell>
          <cell r="AG235">
            <v>38261</v>
          </cell>
          <cell r="AH235">
            <v>38292</v>
          </cell>
          <cell r="AI235">
            <v>38322</v>
          </cell>
          <cell r="AJ235">
            <v>38353</v>
          </cell>
          <cell r="AK235">
            <v>38384</v>
          </cell>
          <cell r="AL235">
            <v>38412</v>
          </cell>
          <cell r="AM235">
            <v>38443</v>
          </cell>
          <cell r="AN235">
            <v>38473</v>
          </cell>
          <cell r="AO235">
            <v>38504</v>
          </cell>
          <cell r="AP235">
            <v>38534</v>
          </cell>
          <cell r="AQ235">
            <v>38565</v>
          </cell>
          <cell r="AR235">
            <v>38596</v>
          </cell>
          <cell r="AS235">
            <v>38626</v>
          </cell>
          <cell r="AT235">
            <v>38657</v>
          </cell>
          <cell r="AU235">
            <v>38687</v>
          </cell>
          <cell r="AV235">
            <v>38718</v>
          </cell>
          <cell r="AW235">
            <v>38749</v>
          </cell>
          <cell r="AX235">
            <v>38777</v>
          </cell>
          <cell r="AY235">
            <v>38808</v>
          </cell>
          <cell r="AZ235">
            <v>38838</v>
          </cell>
          <cell r="BA235">
            <v>38869</v>
          </cell>
          <cell r="BB235">
            <v>38899</v>
          </cell>
          <cell r="BC235">
            <v>38930</v>
          </cell>
          <cell r="BD235">
            <v>38961</v>
          </cell>
          <cell r="BE235">
            <v>38991</v>
          </cell>
          <cell r="BF235">
            <v>39022</v>
          </cell>
          <cell r="BG235">
            <v>39052</v>
          </cell>
          <cell r="BH235">
            <v>39083</v>
          </cell>
          <cell r="BI235">
            <v>39114</v>
          </cell>
          <cell r="BJ235">
            <v>39142</v>
          </cell>
          <cell r="BK235">
            <v>39173</v>
          </cell>
          <cell r="BL235">
            <v>39203</v>
          </cell>
          <cell r="BM235">
            <v>39234</v>
          </cell>
          <cell r="BN235">
            <v>39264</v>
          </cell>
          <cell r="BO235">
            <v>39295</v>
          </cell>
          <cell r="BP235">
            <v>39326</v>
          </cell>
          <cell r="BQ235">
            <v>39356</v>
          </cell>
          <cell r="BR235">
            <v>39387</v>
          </cell>
          <cell r="BS235">
            <v>39417</v>
          </cell>
          <cell r="BT235">
            <v>39448</v>
          </cell>
          <cell r="BU235">
            <v>39479</v>
          </cell>
          <cell r="BV235">
            <v>39508</v>
          </cell>
          <cell r="BW235">
            <v>39539</v>
          </cell>
          <cell r="BX235">
            <v>39569</v>
          </cell>
          <cell r="BY235">
            <v>39600</v>
          </cell>
          <cell r="BZ235">
            <v>39630</v>
          </cell>
          <cell r="CA235">
            <v>39661</v>
          </cell>
          <cell r="CB235">
            <v>39692</v>
          </cell>
          <cell r="CC235">
            <v>39722</v>
          </cell>
          <cell r="CD235">
            <v>39753</v>
          </cell>
          <cell r="CE235">
            <v>39783</v>
          </cell>
          <cell r="CF235">
            <v>39814</v>
          </cell>
          <cell r="CG235">
            <v>39845</v>
          </cell>
          <cell r="CH235">
            <v>39873</v>
          </cell>
          <cell r="CI235">
            <v>39904</v>
          </cell>
          <cell r="CJ235">
            <v>39934</v>
          </cell>
          <cell r="CK235">
            <v>39965</v>
          </cell>
          <cell r="CL235">
            <v>39995</v>
          </cell>
          <cell r="CM235">
            <v>40026</v>
          </cell>
          <cell r="CN235">
            <v>40057</v>
          </cell>
          <cell r="CO235">
            <v>40087</v>
          </cell>
          <cell r="CP235">
            <v>40118</v>
          </cell>
          <cell r="CQ235">
            <v>40148</v>
          </cell>
          <cell r="CR235">
            <v>40179</v>
          </cell>
          <cell r="CS235">
            <v>40210</v>
          </cell>
          <cell r="CT235">
            <v>40238</v>
          </cell>
          <cell r="CU235">
            <v>40269</v>
          </cell>
          <cell r="CV235">
            <v>40299</v>
          </cell>
          <cell r="CW235">
            <v>40330</v>
          </cell>
          <cell r="CX235">
            <v>40360</v>
          </cell>
          <cell r="CY235">
            <v>40391</v>
          </cell>
          <cell r="CZ235">
            <v>40422</v>
          </cell>
          <cell r="DA235">
            <v>40452</v>
          </cell>
          <cell r="DB235">
            <v>40483</v>
          </cell>
          <cell r="DC235">
            <v>40513</v>
          </cell>
          <cell r="DD235">
            <v>40544</v>
          </cell>
          <cell r="DE235">
            <v>40575</v>
          </cell>
          <cell r="DF235">
            <v>40603</v>
          </cell>
          <cell r="DG235">
            <v>40634</v>
          </cell>
          <cell r="DH235">
            <v>40664</v>
          </cell>
          <cell r="DI235">
            <v>40695</v>
          </cell>
          <cell r="DJ235">
            <v>40725</v>
          </cell>
          <cell r="DK235">
            <v>40756</v>
          </cell>
          <cell r="DL235">
            <v>40787</v>
          </cell>
          <cell r="DM235">
            <v>40817</v>
          </cell>
          <cell r="DN235">
            <v>40848</v>
          </cell>
          <cell r="DO235">
            <v>40878</v>
          </cell>
          <cell r="DP235">
            <v>40909</v>
          </cell>
          <cell r="DQ235">
            <v>40940</v>
          </cell>
          <cell r="DR235">
            <v>40969</v>
          </cell>
          <cell r="DS235">
            <v>41000</v>
          </cell>
          <cell r="DT235">
            <v>41030</v>
          </cell>
          <cell r="DU235">
            <v>41061</v>
          </cell>
          <cell r="DV235">
            <v>41091</v>
          </cell>
          <cell r="DW235">
            <v>41122</v>
          </cell>
          <cell r="DX235">
            <v>41153</v>
          </cell>
          <cell r="DY235">
            <v>41183</v>
          </cell>
          <cell r="DZ235">
            <v>41214</v>
          </cell>
          <cell r="EA235">
            <v>41244</v>
          </cell>
          <cell r="EB235">
            <v>41275</v>
          </cell>
          <cell r="EC235">
            <v>41306</v>
          </cell>
          <cell r="ED235">
            <v>41334</v>
          </cell>
          <cell r="EE235">
            <v>41365</v>
          </cell>
          <cell r="EF235">
            <v>41395</v>
          </cell>
          <cell r="EG235">
            <v>41426</v>
          </cell>
          <cell r="EH235">
            <v>41456</v>
          </cell>
          <cell r="EI235">
            <v>41487</v>
          </cell>
        </row>
        <row r="236">
          <cell r="C236" t="str">
            <v>Monthly FTE Count</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row>
        <row r="240">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row>
        <row r="241">
          <cell r="H241">
            <v>37500</v>
          </cell>
          <cell r="I241">
            <v>37530</v>
          </cell>
          <cell r="J241">
            <v>37561</v>
          </cell>
          <cell r="K241">
            <v>37591</v>
          </cell>
          <cell r="L241">
            <v>37622</v>
          </cell>
          <cell r="M241">
            <v>37653</v>
          </cell>
          <cell r="N241">
            <v>37681</v>
          </cell>
          <cell r="O241">
            <v>37712</v>
          </cell>
          <cell r="P241">
            <v>37742</v>
          </cell>
          <cell r="Q241">
            <v>37773</v>
          </cell>
          <cell r="R241">
            <v>37803</v>
          </cell>
          <cell r="S241">
            <v>37834</v>
          </cell>
          <cell r="T241">
            <v>37865</v>
          </cell>
          <cell r="U241">
            <v>37895</v>
          </cell>
          <cell r="V241">
            <v>37926</v>
          </cell>
          <cell r="W241">
            <v>37956</v>
          </cell>
          <cell r="X241">
            <v>37987</v>
          </cell>
          <cell r="Y241">
            <v>38018</v>
          </cell>
          <cell r="Z241">
            <v>38047</v>
          </cell>
          <cell r="AA241">
            <v>38078</v>
          </cell>
          <cell r="AB241">
            <v>38108</v>
          </cell>
          <cell r="AC241">
            <v>38139</v>
          </cell>
          <cell r="AD241">
            <v>38169</v>
          </cell>
          <cell r="AE241">
            <v>38200</v>
          </cell>
          <cell r="AF241">
            <v>38231</v>
          </cell>
          <cell r="AG241">
            <v>38261</v>
          </cell>
          <cell r="AH241">
            <v>38292</v>
          </cell>
          <cell r="AI241">
            <v>38322</v>
          </cell>
          <cell r="AJ241">
            <v>38353</v>
          </cell>
          <cell r="AK241">
            <v>38384</v>
          </cell>
          <cell r="AL241">
            <v>38412</v>
          </cell>
          <cell r="AM241">
            <v>38443</v>
          </cell>
          <cell r="AN241">
            <v>38473</v>
          </cell>
          <cell r="AO241">
            <v>38504</v>
          </cell>
          <cell r="AP241">
            <v>38534</v>
          </cell>
          <cell r="AQ241">
            <v>38565</v>
          </cell>
          <cell r="AR241">
            <v>38596</v>
          </cell>
          <cell r="AS241">
            <v>38626</v>
          </cell>
          <cell r="AT241">
            <v>38657</v>
          </cell>
          <cell r="AU241">
            <v>38687</v>
          </cell>
          <cell r="AV241">
            <v>38718</v>
          </cell>
          <cell r="AW241">
            <v>38749</v>
          </cell>
          <cell r="AX241">
            <v>38777</v>
          </cell>
          <cell r="AY241">
            <v>38808</v>
          </cell>
          <cell r="AZ241">
            <v>38838</v>
          </cell>
          <cell r="BA241">
            <v>38869</v>
          </cell>
          <cell r="BB241">
            <v>38899</v>
          </cell>
          <cell r="BC241">
            <v>38930</v>
          </cell>
          <cell r="BD241">
            <v>38961</v>
          </cell>
          <cell r="BE241">
            <v>38991</v>
          </cell>
          <cell r="BF241">
            <v>39022</v>
          </cell>
          <cell r="BG241">
            <v>39052</v>
          </cell>
          <cell r="BH241">
            <v>39083</v>
          </cell>
          <cell r="BI241">
            <v>39114</v>
          </cell>
          <cell r="BJ241">
            <v>39142</v>
          </cell>
          <cell r="BK241">
            <v>39173</v>
          </cell>
          <cell r="BL241">
            <v>39203</v>
          </cell>
          <cell r="BM241">
            <v>39234</v>
          </cell>
          <cell r="BN241">
            <v>39264</v>
          </cell>
          <cell r="BO241">
            <v>39295</v>
          </cell>
          <cell r="BP241">
            <v>39326</v>
          </cell>
          <cell r="BQ241">
            <v>39356</v>
          </cell>
          <cell r="BR241">
            <v>39387</v>
          </cell>
          <cell r="BS241">
            <v>39417</v>
          </cell>
          <cell r="BT241">
            <v>39448</v>
          </cell>
          <cell r="BU241">
            <v>39479</v>
          </cell>
          <cell r="BV241">
            <v>39508</v>
          </cell>
          <cell r="BW241">
            <v>39539</v>
          </cell>
          <cell r="BX241">
            <v>39569</v>
          </cell>
          <cell r="BY241">
            <v>39600</v>
          </cell>
          <cell r="BZ241">
            <v>39630</v>
          </cell>
          <cell r="CA241">
            <v>39661</v>
          </cell>
          <cell r="CB241">
            <v>39692</v>
          </cell>
          <cell r="CC241">
            <v>39722</v>
          </cell>
          <cell r="CD241">
            <v>39753</v>
          </cell>
          <cell r="CE241">
            <v>39783</v>
          </cell>
          <cell r="CF241">
            <v>39814</v>
          </cell>
          <cell r="CG241">
            <v>39845</v>
          </cell>
          <cell r="CH241">
            <v>39873</v>
          </cell>
          <cell r="CI241">
            <v>39904</v>
          </cell>
          <cell r="CJ241">
            <v>39934</v>
          </cell>
          <cell r="CK241">
            <v>39965</v>
          </cell>
          <cell r="CL241">
            <v>39995</v>
          </cell>
          <cell r="CM241">
            <v>40026</v>
          </cell>
          <cell r="CN241">
            <v>40057</v>
          </cell>
          <cell r="CO241">
            <v>40087</v>
          </cell>
          <cell r="CP241">
            <v>40118</v>
          </cell>
          <cell r="CQ241">
            <v>40148</v>
          </cell>
          <cell r="CR241">
            <v>40179</v>
          </cell>
          <cell r="CS241">
            <v>40210</v>
          </cell>
          <cell r="CT241">
            <v>40238</v>
          </cell>
          <cell r="CU241">
            <v>40269</v>
          </cell>
          <cell r="CV241">
            <v>40299</v>
          </cell>
          <cell r="CW241">
            <v>40330</v>
          </cell>
          <cell r="CX241">
            <v>40360</v>
          </cell>
          <cell r="CY241">
            <v>40391</v>
          </cell>
          <cell r="CZ241">
            <v>40422</v>
          </cell>
          <cell r="DA241">
            <v>40452</v>
          </cell>
          <cell r="DB241">
            <v>40483</v>
          </cell>
          <cell r="DC241">
            <v>40513</v>
          </cell>
          <cell r="DD241">
            <v>40544</v>
          </cell>
          <cell r="DE241">
            <v>40575</v>
          </cell>
          <cell r="DF241">
            <v>40603</v>
          </cell>
          <cell r="DG241">
            <v>40634</v>
          </cell>
          <cell r="DH241">
            <v>40664</v>
          </cell>
          <cell r="DI241">
            <v>40695</v>
          </cell>
          <cell r="DJ241">
            <v>40725</v>
          </cell>
          <cell r="DK241">
            <v>40756</v>
          </cell>
          <cell r="DL241">
            <v>40787</v>
          </cell>
          <cell r="DM241">
            <v>40817</v>
          </cell>
          <cell r="DN241">
            <v>40848</v>
          </cell>
          <cell r="DO241">
            <v>40878</v>
          </cell>
          <cell r="DP241">
            <v>40909</v>
          </cell>
          <cell r="DQ241">
            <v>40940</v>
          </cell>
          <cell r="DR241">
            <v>40969</v>
          </cell>
          <cell r="DS241">
            <v>41000</v>
          </cell>
          <cell r="DT241">
            <v>41030</v>
          </cell>
          <cell r="DU241">
            <v>41061</v>
          </cell>
          <cell r="DV241">
            <v>41091</v>
          </cell>
          <cell r="DW241">
            <v>41122</v>
          </cell>
          <cell r="DX241">
            <v>41153</v>
          </cell>
          <cell r="DY241">
            <v>41183</v>
          </cell>
          <cell r="DZ241">
            <v>41214</v>
          </cell>
          <cell r="EA241">
            <v>41244</v>
          </cell>
          <cell r="EB241">
            <v>41275</v>
          </cell>
          <cell r="EC241">
            <v>41306</v>
          </cell>
          <cell r="ED241">
            <v>41334</v>
          </cell>
          <cell r="EE241">
            <v>41365</v>
          </cell>
          <cell r="EF241">
            <v>41395</v>
          </cell>
          <cell r="EG241">
            <v>41426</v>
          </cell>
          <cell r="EH241">
            <v>41456</v>
          </cell>
          <cell r="EI241">
            <v>41487</v>
          </cell>
        </row>
      </sheetData>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Chart"/>
      <sheetName val="Analysis"/>
      <sheetName val="PERSONS"/>
      <sheetName val="MALES"/>
      <sheetName val="FEMALES"/>
      <sheetName val="PERSONS 5 year"/>
      <sheetName val="MALES 5 year"/>
      <sheetName val="FEMALES 5 year"/>
      <sheetName val="ALL DATA StHAs"/>
      <sheetName val="WK10 Cap Bal Det"/>
      <sheetName val="WK11 GAAP IS Detail"/>
      <sheetName val="WK2 Bill-Exp Inputs"/>
      <sheetName val="WK16 Seat Capital Costs"/>
      <sheetName val="WK1 Key Assumpt"/>
      <sheetName val="3 TCB Summ"/>
      <sheetName val="5 ACN Mgt View"/>
      <sheetName val="6 ACN Mgt Fcst"/>
      <sheetName val="WK12 GAAP BS Detail"/>
      <sheetName val="WK3 Rev Rec Inputs"/>
      <sheetName val="WK5 Tax Cash Pay Inputs"/>
      <sheetName val="WK7 TCB Inputs"/>
      <sheetName val="WK9 Affil Share Inputs"/>
      <sheetName val="WK13 EVA Detail"/>
      <sheetName val="2 Fin Analysis"/>
      <sheetName val="WK14 Yr 1-3 Metrics Source Info"/>
      <sheetName val="WK15 DSO Calc"/>
      <sheetName val="WK4 Cap Ex Inputs"/>
      <sheetName val="WK6 Risk Adj Inputs"/>
      <sheetName val="WK8 Term Provisions"/>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DAvC"/>
      <sheetName val="RefDExR"/>
      <sheetName val="RefDCurr"/>
      <sheetName val="ClaimRecordSpec"/>
      <sheetName val="IncomeRecordSpec"/>
      <sheetName val="PERSONS"/>
      <sheetName val="MA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FMR Coding"/>
      <sheetName val="T04"/>
      <sheetName val="RefDExR"/>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C"/>
      <sheetName val="CHRE"/>
      <sheetName val="NICE"/>
      <sheetName val="NTA"/>
      <sheetName val="Sheet2"/>
      <sheetName val="Sheet3"/>
      <sheetName val="GSCC"/>
      <sheetName val="NHS BT"/>
      <sheetName val="CQC"/>
      <sheetName val="HFEA"/>
      <sheetName val="HPA"/>
      <sheetName val="HTA"/>
      <sheetName val="NHSi"/>
      <sheetName val="MHRA"/>
      <sheetName val="NIBSC"/>
      <sheetName val="NPSA"/>
      <sheetName val="NHS PRO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utput"/>
      <sheetName val="Functions - costs (£)"/>
      <sheetName val="Functions - movement (%)"/>
      <sheetName val="List"/>
      <sheetName val="NAO Cost of Capital Calc"/>
      <sheetName val="Annex"/>
      <sheetName val="Defaults"/>
    </sheetNames>
    <sheetDataSet>
      <sheetData sheetId="0"/>
      <sheetData sheetId="1"/>
      <sheetData sheetId="2"/>
      <sheetData sheetId="3">
        <row r="1">
          <cell r="B1" t="str">
            <v>Communications</v>
          </cell>
        </row>
      </sheetData>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C as at 10505"/>
      <sheetName val="Op Cap plan 0506"/>
      <sheetName val="Op Cap plan 5 yr"/>
      <sheetName val="IT&amp;T plan"/>
      <sheetName val="Estates Bids"/>
      <sheetName val="NHS cap exp 0405"/>
      <sheetName val="available b 0506"/>
      <sheetName val="PDC superc w FT app fig"/>
      <sheetName val="PDC Analysis"/>
      <sheetName val="redistb estates b"/>
      <sheetName val="med equip replacement"/>
      <sheetName val="Unique"/>
      <sheetName val="Interactive inputs &amp; results"/>
      <sheetName val="NHSLA02 - Commentary"/>
      <sheetName val="NHSLA04 - I&amp;E Budget Profile"/>
      <sheetName val="OldPCT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emplate"/>
      <sheetName val="Introduction"/>
      <sheetName val="ALB01 P07"/>
      <sheetName val="ALB01 P06"/>
      <sheetName val="ALB02 P07"/>
      <sheetName val="ALB03 P07"/>
      <sheetName val="ALB04 P07"/>
      <sheetName val="ALB04 P03"/>
      <sheetName val="ALB05 P07"/>
      <sheetName val="ALB05 P03"/>
      <sheetName val="ALB05 P04"/>
      <sheetName val="ALB05 P05"/>
      <sheetName val="ALB05 P06"/>
      <sheetName val="ALB06 P07"/>
      <sheetName val="ALB06 P06"/>
      <sheetName val="ALB07 P07"/>
      <sheetName val="ALB07 P06"/>
      <sheetName val="ALB07 P14"/>
      <sheetName val="ALB08 P07"/>
      <sheetName val="ALB07 P05"/>
      <sheetName val="ALB08 P03"/>
      <sheetName val="ALB08 P04"/>
      <sheetName val="ALB08 P05"/>
      <sheetName val="ALB08 P06"/>
      <sheetName val="ALB09 P07"/>
      <sheetName val="ALB09 P06"/>
      <sheetName val="ALB10 P07"/>
      <sheetName val="NHSLA01 P07"/>
      <sheetName val="NHSLA02 P07"/>
      <sheetName val="NHSLA03 P07"/>
      <sheetName val="NHSLA04 P07"/>
      <sheetName val="NHSLA05 P07"/>
      <sheetName val="NHSLA06 P07"/>
      <sheetName val="NHSLA07 P07"/>
      <sheetName val="Validations"/>
      <sheetName val="Annex"/>
      <sheetName val="Unique"/>
      <sheetName val="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nt 12 with ERO changes"/>
      <sheetName val="2003-04"/>
      <sheetName val="2004-05"/>
      <sheetName val="2005-06"/>
      <sheetName val="2006-07"/>
      <sheetName val="2007-08"/>
      <sheetName val="Near cash tracker"/>
      <sheetName val="RAB code"/>
      <sheetName val="Acc auth"/>
      <sheetName val="DH Subprogrammes"/>
      <sheetName val="Other codes"/>
      <sheetName val="RAB codes"/>
      <sheetName val="RFC Codes"/>
      <sheetName val="DEL AME Codes"/>
      <sheetName val="Assumption Inputs"/>
      <sheetName val="By CC"/>
      <sheetName val="Data"/>
    </sheetNames>
    <sheetDataSet>
      <sheetData sheetId="0" refreshError="1">
        <row r="3">
          <cell r="B3" t="str">
            <v>E15</v>
          </cell>
          <cell r="F3">
            <v>1</v>
          </cell>
          <cell r="G3">
            <v>110402</v>
          </cell>
          <cell r="K3">
            <v>0</v>
          </cell>
          <cell r="M3" t="str">
            <v>AME*(non-dept &amp; non-bud but in TME)</v>
          </cell>
          <cell r="N3" t="str">
            <v>Capital*(non-dept &amp; non-bud but in TME)</v>
          </cell>
          <cell r="Q3" t="str">
            <v>no</v>
          </cell>
          <cell r="X3" t="str">
            <v xml:space="preserve"> </v>
          </cell>
          <cell r="Y3" t="str">
            <v xml:space="preserve"> </v>
          </cell>
          <cell r="Z3" t="str">
            <v xml:space="preserve"> </v>
          </cell>
        </row>
        <row r="4">
          <cell r="B4" t="str">
            <v>E15</v>
          </cell>
          <cell r="F4">
            <v>1</v>
          </cell>
          <cell r="G4">
            <v>110403</v>
          </cell>
          <cell r="K4">
            <v>0</v>
          </cell>
          <cell r="M4" t="str">
            <v>AME*(non-dept &amp; non-bud but in TME)</v>
          </cell>
          <cell r="N4" t="str">
            <v>Capital*(non-dept &amp; non-bud but in TME)</v>
          </cell>
          <cell r="Q4" t="str">
            <v>no</v>
          </cell>
          <cell r="X4" t="str">
            <v xml:space="preserve"> </v>
          </cell>
          <cell r="Y4" t="str">
            <v xml:space="preserve"> </v>
          </cell>
          <cell r="Z4" t="str">
            <v xml:space="preserve"> </v>
          </cell>
        </row>
        <row r="5">
          <cell r="B5" t="str">
            <v>A15</v>
          </cell>
          <cell r="F5">
            <v>1</v>
          </cell>
          <cell r="G5">
            <v>110101</v>
          </cell>
          <cell r="K5">
            <v>0</v>
          </cell>
          <cell r="M5" t="str">
            <v>DEL</v>
          </cell>
          <cell r="N5" t="str">
            <v>Resource</v>
          </cell>
          <cell r="Q5" t="str">
            <v>yes</v>
          </cell>
          <cell r="X5">
            <v>3459573</v>
          </cell>
          <cell r="Y5" t="str">
            <v xml:space="preserve"> </v>
          </cell>
          <cell r="Z5" t="str">
            <v xml:space="preserve"> </v>
          </cell>
        </row>
        <row r="6">
          <cell r="B6" t="str">
            <v>A15</v>
          </cell>
          <cell r="F6">
            <v>6</v>
          </cell>
          <cell r="G6">
            <v>110101</v>
          </cell>
          <cell r="K6">
            <v>0</v>
          </cell>
          <cell r="M6" t="str">
            <v>DEL</v>
          </cell>
          <cell r="N6" t="str">
            <v>Resource</v>
          </cell>
          <cell r="Q6" t="str">
            <v>yes</v>
          </cell>
          <cell r="X6" t="str">
            <v xml:space="preserve"> </v>
          </cell>
          <cell r="Y6">
            <v>1836867</v>
          </cell>
          <cell r="Z6">
            <v>1836867</v>
          </cell>
        </row>
        <row r="7">
          <cell r="B7" t="str">
            <v>A15</v>
          </cell>
          <cell r="F7">
            <v>2</v>
          </cell>
          <cell r="G7">
            <v>110101</v>
          </cell>
          <cell r="K7">
            <v>0</v>
          </cell>
          <cell r="M7" t="str">
            <v>DEL</v>
          </cell>
          <cell r="N7" t="str">
            <v>Resource</v>
          </cell>
          <cell r="Q7" t="str">
            <v>yes</v>
          </cell>
          <cell r="X7" t="str">
            <v xml:space="preserve"> </v>
          </cell>
          <cell r="Y7" t="str">
            <v xml:space="preserve"> </v>
          </cell>
          <cell r="Z7" t="str">
            <v xml:space="preserve"> </v>
          </cell>
        </row>
        <row r="8">
          <cell r="B8" t="str">
            <v>A15</v>
          </cell>
          <cell r="F8">
            <v>8</v>
          </cell>
          <cell r="G8">
            <v>110101</v>
          </cell>
          <cell r="K8">
            <v>0</v>
          </cell>
          <cell r="M8" t="str">
            <v>DEL</v>
          </cell>
          <cell r="N8" t="str">
            <v>Resource</v>
          </cell>
          <cell r="Q8" t="str">
            <v>yes</v>
          </cell>
          <cell r="X8" t="str">
            <v xml:space="preserve"> </v>
          </cell>
          <cell r="Y8" t="str">
            <v xml:space="preserve"> </v>
          </cell>
          <cell r="Z8" t="str">
            <v xml:space="preserve"> </v>
          </cell>
        </row>
        <row r="9">
          <cell r="B9" t="str">
            <v>A15</v>
          </cell>
          <cell r="F9">
            <v>12</v>
          </cell>
          <cell r="G9">
            <v>110101</v>
          </cell>
          <cell r="K9">
            <v>0</v>
          </cell>
          <cell r="M9" t="str">
            <v>DEL</v>
          </cell>
          <cell r="N9" t="str">
            <v>Resource</v>
          </cell>
          <cell r="Q9" t="str">
            <v>yes</v>
          </cell>
          <cell r="X9" t="str">
            <v xml:space="preserve"> </v>
          </cell>
          <cell r="Y9" t="str">
            <v xml:space="preserve"> </v>
          </cell>
          <cell r="Z9" t="str">
            <v xml:space="preserve"> </v>
          </cell>
        </row>
        <row r="10">
          <cell r="B10" t="str">
            <v>A15</v>
          </cell>
          <cell r="F10">
            <v>2</v>
          </cell>
          <cell r="G10">
            <v>110101</v>
          </cell>
          <cell r="K10">
            <v>0</v>
          </cell>
          <cell r="M10" t="str">
            <v>DEL</v>
          </cell>
          <cell r="N10" t="str">
            <v>Resource</v>
          </cell>
          <cell r="Q10" t="str">
            <v>yes</v>
          </cell>
          <cell r="X10" t="str">
            <v xml:space="preserve"> </v>
          </cell>
          <cell r="Y10">
            <v>3459573</v>
          </cell>
          <cell r="Z10">
            <v>3459573</v>
          </cell>
        </row>
        <row r="11">
          <cell r="B11" t="str">
            <v>A15</v>
          </cell>
          <cell r="F11">
            <v>2</v>
          </cell>
          <cell r="G11">
            <v>110101</v>
          </cell>
          <cell r="K11">
            <v>0</v>
          </cell>
          <cell r="M11" t="str">
            <v>DEL</v>
          </cell>
          <cell r="N11" t="str">
            <v>Resource</v>
          </cell>
          <cell r="Q11" t="str">
            <v>yes</v>
          </cell>
          <cell r="X11" t="str">
            <v xml:space="preserve"> </v>
          </cell>
          <cell r="Y11">
            <v>-2010000</v>
          </cell>
          <cell r="Z11">
            <v>-2010000</v>
          </cell>
        </row>
        <row r="12">
          <cell r="B12" t="str">
            <v>A15</v>
          </cell>
          <cell r="F12">
            <v>3</v>
          </cell>
          <cell r="G12">
            <v>110101</v>
          </cell>
          <cell r="K12">
            <v>0</v>
          </cell>
          <cell r="M12" t="str">
            <v>DEL</v>
          </cell>
          <cell r="N12" t="str">
            <v>Resource</v>
          </cell>
          <cell r="Q12" t="str">
            <v>yes</v>
          </cell>
          <cell r="X12" t="str">
            <v xml:space="preserve"> </v>
          </cell>
          <cell r="Y12" t="str">
            <v xml:space="preserve"> </v>
          </cell>
          <cell r="Z12" t="str">
            <v xml:space="preserve"> </v>
          </cell>
        </row>
        <row r="13">
          <cell r="B13" t="str">
            <v>A15</v>
          </cell>
          <cell r="F13">
            <v>9</v>
          </cell>
          <cell r="G13">
            <v>110201</v>
          </cell>
          <cell r="K13" t="str">
            <v>PSS</v>
          </cell>
          <cell r="M13" t="str">
            <v>DEL</v>
          </cell>
          <cell r="N13" t="str">
            <v>Resource</v>
          </cell>
          <cell r="Q13" t="str">
            <v>yes</v>
          </cell>
          <cell r="X13" t="str">
            <v xml:space="preserve"> </v>
          </cell>
          <cell r="Y13" t="str">
            <v xml:space="preserve"> </v>
          </cell>
          <cell r="Z13" t="str">
            <v xml:space="preserve"> </v>
          </cell>
        </row>
        <row r="14">
          <cell r="B14" t="str">
            <v>A15</v>
          </cell>
          <cell r="F14">
            <v>9</v>
          </cell>
          <cell r="G14">
            <v>110306</v>
          </cell>
          <cell r="K14">
            <v>0</v>
          </cell>
          <cell r="M14" t="str">
            <v>DEL</v>
          </cell>
          <cell r="N14" t="str">
            <v>Resource</v>
          </cell>
          <cell r="Q14" t="str">
            <v>yes</v>
          </cell>
          <cell r="X14" t="str">
            <v xml:space="preserve"> </v>
          </cell>
          <cell r="Y14" t="str">
            <v xml:space="preserve"> </v>
          </cell>
          <cell r="Z14" t="str">
            <v xml:space="preserve"> </v>
          </cell>
        </row>
        <row r="15">
          <cell r="B15" t="str">
            <v>A15</v>
          </cell>
          <cell r="F15">
            <v>9</v>
          </cell>
          <cell r="G15">
            <v>110306</v>
          </cell>
          <cell r="K15">
            <v>0</v>
          </cell>
          <cell r="M15" t="str">
            <v>DEL</v>
          </cell>
          <cell r="N15" t="str">
            <v>Resource</v>
          </cell>
          <cell r="Q15" t="str">
            <v>yes</v>
          </cell>
          <cell r="X15" t="str">
            <v xml:space="preserve"> </v>
          </cell>
          <cell r="Y15" t="str">
            <v xml:space="preserve"> </v>
          </cell>
          <cell r="Z15" t="str">
            <v xml:space="preserve"> </v>
          </cell>
        </row>
        <row r="16">
          <cell r="B16" t="str">
            <v>A15</v>
          </cell>
          <cell r="F16">
            <v>9</v>
          </cell>
          <cell r="G16">
            <v>110306</v>
          </cell>
          <cell r="K16">
            <v>0</v>
          </cell>
          <cell r="M16" t="str">
            <v>DEL</v>
          </cell>
          <cell r="N16" t="str">
            <v>Resource</v>
          </cell>
          <cell r="Q16" t="str">
            <v>yes</v>
          </cell>
          <cell r="X16" t="str">
            <v xml:space="preserve"> </v>
          </cell>
          <cell r="Y16" t="str">
            <v xml:space="preserve"> </v>
          </cell>
          <cell r="Z16" t="str">
            <v xml:space="preserve"> </v>
          </cell>
        </row>
        <row r="17">
          <cell r="B17" t="str">
            <v>A15</v>
          </cell>
          <cell r="F17">
            <v>9</v>
          </cell>
          <cell r="G17">
            <v>110401</v>
          </cell>
          <cell r="K17">
            <v>0</v>
          </cell>
          <cell r="M17" t="str">
            <v>DEL</v>
          </cell>
          <cell r="N17" t="str">
            <v>Resource</v>
          </cell>
          <cell r="Q17" t="str">
            <v>yes</v>
          </cell>
          <cell r="X17" t="str">
            <v xml:space="preserve"> </v>
          </cell>
          <cell r="Y17" t="str">
            <v xml:space="preserve"> </v>
          </cell>
          <cell r="Z17" t="str">
            <v xml:space="preserve"> </v>
          </cell>
        </row>
        <row r="18">
          <cell r="B18" t="str">
            <v>A15</v>
          </cell>
          <cell r="F18">
            <v>9</v>
          </cell>
          <cell r="G18">
            <v>110401</v>
          </cell>
          <cell r="K18">
            <v>0</v>
          </cell>
          <cell r="M18" t="str">
            <v>DEL</v>
          </cell>
          <cell r="N18" t="str">
            <v>Resource</v>
          </cell>
          <cell r="Q18" t="str">
            <v>yes</v>
          </cell>
          <cell r="X18" t="str">
            <v xml:space="preserve"> </v>
          </cell>
          <cell r="Y18" t="str">
            <v xml:space="preserve"> </v>
          </cell>
          <cell r="Z18" t="str">
            <v xml:space="preserve"> </v>
          </cell>
        </row>
        <row r="19">
          <cell r="B19" t="str">
            <v>A15</v>
          </cell>
          <cell r="F19">
            <v>9</v>
          </cell>
          <cell r="G19">
            <v>110407</v>
          </cell>
          <cell r="K19">
            <v>0</v>
          </cell>
          <cell r="M19" t="str">
            <v>DEL</v>
          </cell>
          <cell r="N19" t="str">
            <v>Resource</v>
          </cell>
          <cell r="Q19" t="str">
            <v>yes</v>
          </cell>
          <cell r="X19" t="str">
            <v xml:space="preserve"> </v>
          </cell>
          <cell r="Y19" t="str">
            <v xml:space="preserve"> </v>
          </cell>
          <cell r="Z19" t="str">
            <v xml:space="preserve"> </v>
          </cell>
        </row>
        <row r="20">
          <cell r="B20" t="str">
            <v>A15</v>
          </cell>
          <cell r="F20">
            <v>1</v>
          </cell>
          <cell r="G20">
            <v>110201</v>
          </cell>
          <cell r="K20" t="str">
            <v>PSS</v>
          </cell>
          <cell r="M20" t="str">
            <v>DEL</v>
          </cell>
          <cell r="N20" t="str">
            <v>Resource</v>
          </cell>
          <cell r="Q20" t="str">
            <v>yes</v>
          </cell>
          <cell r="X20">
            <v>5728</v>
          </cell>
          <cell r="Y20" t="str">
            <v xml:space="preserve"> </v>
          </cell>
          <cell r="Z20" t="str">
            <v xml:space="preserve"> </v>
          </cell>
        </row>
        <row r="21">
          <cell r="B21" t="str">
            <v>A15</v>
          </cell>
          <cell r="F21">
            <v>2</v>
          </cell>
          <cell r="G21">
            <v>110201</v>
          </cell>
          <cell r="K21" t="str">
            <v>PSS</v>
          </cell>
          <cell r="M21" t="str">
            <v>DEL</v>
          </cell>
          <cell r="N21" t="str">
            <v>Resource</v>
          </cell>
          <cell r="Q21" t="str">
            <v>yes</v>
          </cell>
          <cell r="X21" t="str">
            <v xml:space="preserve"> </v>
          </cell>
          <cell r="Y21" t="str">
            <v xml:space="preserve"> </v>
          </cell>
          <cell r="Z21" t="str">
            <v xml:space="preserve"> </v>
          </cell>
        </row>
        <row r="22">
          <cell r="B22" t="str">
            <v>A15</v>
          </cell>
          <cell r="F22">
            <v>2</v>
          </cell>
          <cell r="G22">
            <v>110201</v>
          </cell>
          <cell r="K22" t="str">
            <v>PSS</v>
          </cell>
          <cell r="M22" t="str">
            <v>DEL</v>
          </cell>
          <cell r="N22" t="str">
            <v>Resource</v>
          </cell>
          <cell r="Q22" t="str">
            <v>yes</v>
          </cell>
          <cell r="X22" t="str">
            <v xml:space="preserve"> </v>
          </cell>
          <cell r="Y22">
            <v>5728</v>
          </cell>
          <cell r="Z22">
            <v>5728</v>
          </cell>
        </row>
        <row r="23">
          <cell r="B23" t="str">
            <v>A15</v>
          </cell>
          <cell r="F23">
            <v>12</v>
          </cell>
          <cell r="G23">
            <v>110201</v>
          </cell>
          <cell r="K23" t="str">
            <v>PSS</v>
          </cell>
          <cell r="M23" t="str">
            <v>DEL</v>
          </cell>
          <cell r="N23" t="str">
            <v>Resource</v>
          </cell>
          <cell r="Q23" t="str">
            <v>yes</v>
          </cell>
          <cell r="X23" t="str">
            <v xml:space="preserve"> </v>
          </cell>
          <cell r="Y23" t="str">
            <v xml:space="preserve"> </v>
          </cell>
          <cell r="Z23" t="str">
            <v xml:space="preserve"> </v>
          </cell>
        </row>
        <row r="24">
          <cell r="B24" t="str">
            <v>A15</v>
          </cell>
          <cell r="F24">
            <v>12</v>
          </cell>
          <cell r="G24">
            <v>110202</v>
          </cell>
          <cell r="K24" t="str">
            <v>PSS</v>
          </cell>
          <cell r="M24" t="str">
            <v>non-budget</v>
          </cell>
          <cell r="N24" t="str">
            <v>non-budget</v>
          </cell>
          <cell r="Q24" t="str">
            <v>yes</v>
          </cell>
          <cell r="X24">
            <v>6387365</v>
          </cell>
          <cell r="Y24" t="str">
            <v xml:space="preserve"> </v>
          </cell>
          <cell r="Z24" t="str">
            <v xml:space="preserve"> </v>
          </cell>
        </row>
        <row r="25">
          <cell r="B25" t="str">
            <v>A15</v>
          </cell>
          <cell r="F25">
            <v>1</v>
          </cell>
          <cell r="G25">
            <v>110302</v>
          </cell>
          <cell r="K25">
            <v>0</v>
          </cell>
          <cell r="M25" t="str">
            <v>DEL</v>
          </cell>
          <cell r="N25" t="str">
            <v>Resource</v>
          </cell>
          <cell r="Q25" t="str">
            <v>yes</v>
          </cell>
          <cell r="X25">
            <v>5959</v>
          </cell>
          <cell r="Y25" t="str">
            <v xml:space="preserve"> </v>
          </cell>
          <cell r="Z25" t="str">
            <v xml:space="preserve"> </v>
          </cell>
        </row>
        <row r="26">
          <cell r="B26" t="str">
            <v>A15</v>
          </cell>
          <cell r="F26">
            <v>3</v>
          </cell>
          <cell r="G26">
            <v>110302</v>
          </cell>
          <cell r="K26">
            <v>0</v>
          </cell>
          <cell r="M26" t="str">
            <v>DEL</v>
          </cell>
          <cell r="N26" t="str">
            <v>Resource</v>
          </cell>
          <cell r="Q26" t="str">
            <v>yes</v>
          </cell>
          <cell r="X26">
            <v>2465</v>
          </cell>
          <cell r="Y26" t="str">
            <v xml:space="preserve"> </v>
          </cell>
          <cell r="Z26" t="str">
            <v xml:space="preserve"> </v>
          </cell>
        </row>
        <row r="27">
          <cell r="B27" t="str">
            <v>A15</v>
          </cell>
          <cell r="F27">
            <v>2</v>
          </cell>
          <cell r="G27">
            <v>110302</v>
          </cell>
          <cell r="K27">
            <v>0</v>
          </cell>
          <cell r="M27" t="str">
            <v>DEL</v>
          </cell>
          <cell r="N27" t="str">
            <v>Resource</v>
          </cell>
          <cell r="Q27" t="str">
            <v>yes</v>
          </cell>
          <cell r="X27" t="str">
            <v xml:space="preserve"> </v>
          </cell>
          <cell r="Y27">
            <v>5959</v>
          </cell>
          <cell r="Z27">
            <v>5959</v>
          </cell>
        </row>
        <row r="28">
          <cell r="B28" t="str">
            <v>A15</v>
          </cell>
          <cell r="F28">
            <v>3</v>
          </cell>
          <cell r="G28">
            <v>110302</v>
          </cell>
          <cell r="K28">
            <v>0</v>
          </cell>
          <cell r="M28" t="str">
            <v>DEL</v>
          </cell>
          <cell r="N28" t="str">
            <v>Resource</v>
          </cell>
          <cell r="Q28" t="str">
            <v>yes</v>
          </cell>
          <cell r="X28" t="str">
            <v xml:space="preserve"> </v>
          </cell>
          <cell r="Y28" t="str">
            <v xml:space="preserve"> </v>
          </cell>
          <cell r="Z28" t="str">
            <v xml:space="preserve"> </v>
          </cell>
        </row>
        <row r="29">
          <cell r="B29" t="str">
            <v>A15</v>
          </cell>
          <cell r="F29">
            <v>12</v>
          </cell>
          <cell r="G29">
            <v>110202</v>
          </cell>
          <cell r="K29" t="str">
            <v>PSS</v>
          </cell>
          <cell r="M29" t="str">
            <v>non-budget</v>
          </cell>
          <cell r="N29" t="str">
            <v>non-budget</v>
          </cell>
          <cell r="Q29" t="str">
            <v>yes</v>
          </cell>
          <cell r="X29">
            <v>191181</v>
          </cell>
          <cell r="Y29" t="str">
            <v xml:space="preserve"> </v>
          </cell>
          <cell r="Z29" t="str">
            <v xml:space="preserve"> </v>
          </cell>
        </row>
        <row r="30">
          <cell r="B30" t="str">
            <v>A15</v>
          </cell>
          <cell r="F30">
            <v>1</v>
          </cell>
          <cell r="G30">
            <v>110306</v>
          </cell>
          <cell r="K30">
            <v>0</v>
          </cell>
          <cell r="M30" t="str">
            <v>DEL</v>
          </cell>
          <cell r="N30" t="str">
            <v>Resource</v>
          </cell>
          <cell r="Q30" t="str">
            <v>yes</v>
          </cell>
          <cell r="X30">
            <v>86032</v>
          </cell>
          <cell r="Y30" t="str">
            <v xml:space="preserve"> </v>
          </cell>
          <cell r="Z30" t="str">
            <v xml:space="preserve"> </v>
          </cell>
        </row>
        <row r="31">
          <cell r="B31" t="str">
            <v>A15</v>
          </cell>
          <cell r="F31">
            <v>6</v>
          </cell>
          <cell r="G31">
            <v>110306</v>
          </cell>
          <cell r="K31">
            <v>0</v>
          </cell>
          <cell r="M31" t="str">
            <v>DEL</v>
          </cell>
          <cell r="N31" t="str">
            <v>Resource</v>
          </cell>
          <cell r="Q31" t="str">
            <v>yes</v>
          </cell>
          <cell r="X31">
            <v>110</v>
          </cell>
          <cell r="Y31" t="str">
            <v xml:space="preserve"> </v>
          </cell>
          <cell r="Z31" t="str">
            <v xml:space="preserve"> </v>
          </cell>
        </row>
        <row r="32">
          <cell r="B32" t="str">
            <v>A15</v>
          </cell>
          <cell r="F32">
            <v>2</v>
          </cell>
          <cell r="G32">
            <v>110306</v>
          </cell>
          <cell r="K32">
            <v>0</v>
          </cell>
          <cell r="M32" t="str">
            <v>DEL</v>
          </cell>
          <cell r="N32" t="str">
            <v>Resource</v>
          </cell>
          <cell r="Q32" t="str">
            <v>yes</v>
          </cell>
          <cell r="X32" t="str">
            <v xml:space="preserve"> </v>
          </cell>
          <cell r="Y32">
            <v>86032</v>
          </cell>
          <cell r="Z32">
            <v>86032</v>
          </cell>
        </row>
        <row r="33">
          <cell r="B33" t="str">
            <v>A15</v>
          </cell>
          <cell r="F33">
            <v>1</v>
          </cell>
          <cell r="G33">
            <v>110306</v>
          </cell>
          <cell r="K33">
            <v>0</v>
          </cell>
          <cell r="M33" t="str">
            <v>DEL</v>
          </cell>
          <cell r="N33" t="str">
            <v>Resource</v>
          </cell>
          <cell r="Q33" t="str">
            <v>yes</v>
          </cell>
          <cell r="X33">
            <v>24851</v>
          </cell>
          <cell r="Y33" t="str">
            <v xml:space="preserve"> </v>
          </cell>
          <cell r="Z33" t="str">
            <v xml:space="preserve"> </v>
          </cell>
        </row>
        <row r="34">
          <cell r="B34" t="str">
            <v>A15</v>
          </cell>
          <cell r="F34">
            <v>3</v>
          </cell>
          <cell r="G34">
            <v>110306</v>
          </cell>
          <cell r="K34">
            <v>0</v>
          </cell>
          <cell r="M34" t="str">
            <v>DEL</v>
          </cell>
          <cell r="N34" t="str">
            <v>Resource</v>
          </cell>
          <cell r="Q34" t="str">
            <v>yes</v>
          </cell>
          <cell r="X34">
            <v>500</v>
          </cell>
          <cell r="Y34" t="str">
            <v xml:space="preserve"> </v>
          </cell>
          <cell r="Z34" t="str">
            <v xml:space="preserve"> </v>
          </cell>
        </row>
        <row r="35">
          <cell r="B35" t="str">
            <v>A15</v>
          </cell>
          <cell r="F35">
            <v>2</v>
          </cell>
          <cell r="G35">
            <v>110306</v>
          </cell>
          <cell r="K35">
            <v>0</v>
          </cell>
          <cell r="M35" t="str">
            <v>DEL</v>
          </cell>
          <cell r="N35" t="str">
            <v>Resource</v>
          </cell>
          <cell r="Q35" t="str">
            <v>yes</v>
          </cell>
          <cell r="X35" t="str">
            <v xml:space="preserve"> </v>
          </cell>
          <cell r="Y35">
            <v>24851</v>
          </cell>
          <cell r="Z35">
            <v>24851</v>
          </cell>
        </row>
        <row r="36">
          <cell r="B36" t="str">
            <v>A15</v>
          </cell>
          <cell r="F36">
            <v>3</v>
          </cell>
          <cell r="G36">
            <v>110306</v>
          </cell>
          <cell r="K36">
            <v>0</v>
          </cell>
          <cell r="M36" t="str">
            <v>DEL</v>
          </cell>
          <cell r="N36" t="str">
            <v>Resource</v>
          </cell>
          <cell r="Q36" t="str">
            <v>yes</v>
          </cell>
          <cell r="X36" t="str">
            <v xml:space="preserve"> </v>
          </cell>
          <cell r="Y36" t="str">
            <v xml:space="preserve"> </v>
          </cell>
          <cell r="Z36" t="str">
            <v xml:space="preserve"> </v>
          </cell>
        </row>
        <row r="37">
          <cell r="B37" t="str">
            <v>A15</v>
          </cell>
          <cell r="F37">
            <v>1</v>
          </cell>
          <cell r="G37">
            <v>110401</v>
          </cell>
          <cell r="K37">
            <v>0</v>
          </cell>
          <cell r="M37" t="str">
            <v>DEL</v>
          </cell>
          <cell r="N37" t="str">
            <v>Resource</v>
          </cell>
          <cell r="Q37" t="str">
            <v>yes</v>
          </cell>
          <cell r="X37">
            <v>133093</v>
          </cell>
          <cell r="Y37" t="str">
            <v xml:space="preserve"> </v>
          </cell>
          <cell r="Z37" t="str">
            <v xml:space="preserve"> </v>
          </cell>
        </row>
        <row r="38">
          <cell r="B38" t="str">
            <v>A15</v>
          </cell>
          <cell r="F38">
            <v>1</v>
          </cell>
          <cell r="G38">
            <v>110401</v>
          </cell>
          <cell r="K38">
            <v>0</v>
          </cell>
          <cell r="M38" t="str">
            <v>DEL</v>
          </cell>
          <cell r="N38" t="str">
            <v>Resource</v>
          </cell>
          <cell r="Q38" t="str">
            <v>yes</v>
          </cell>
          <cell r="X38">
            <v>8215</v>
          </cell>
          <cell r="Y38" t="str">
            <v xml:space="preserve"> </v>
          </cell>
          <cell r="Z38" t="str">
            <v xml:space="preserve"> </v>
          </cell>
        </row>
        <row r="39">
          <cell r="B39" t="str">
            <v>A15</v>
          </cell>
          <cell r="F39">
            <v>6</v>
          </cell>
          <cell r="G39">
            <v>110401</v>
          </cell>
          <cell r="K39">
            <v>0</v>
          </cell>
          <cell r="M39" t="str">
            <v>DEL</v>
          </cell>
          <cell r="N39" t="str">
            <v>Resource</v>
          </cell>
          <cell r="Q39" t="str">
            <v>yes</v>
          </cell>
          <cell r="X39">
            <v>-12000</v>
          </cell>
          <cell r="Y39">
            <v>-11000</v>
          </cell>
          <cell r="Z39" t="str">
            <v xml:space="preserve"> </v>
          </cell>
        </row>
        <row r="40">
          <cell r="B40" t="str">
            <v>A15</v>
          </cell>
          <cell r="F40">
            <v>6</v>
          </cell>
          <cell r="G40">
            <v>110401</v>
          </cell>
          <cell r="K40">
            <v>0</v>
          </cell>
          <cell r="M40" t="str">
            <v>DEL</v>
          </cell>
          <cell r="N40" t="str">
            <v>Resource</v>
          </cell>
          <cell r="Q40" t="str">
            <v>yes</v>
          </cell>
          <cell r="X40">
            <v>-18000</v>
          </cell>
          <cell r="Y40">
            <v>-20000</v>
          </cell>
          <cell r="Z40">
            <v>-22000</v>
          </cell>
        </row>
        <row r="41">
          <cell r="B41" t="str">
            <v>A15</v>
          </cell>
          <cell r="F41">
            <v>6</v>
          </cell>
          <cell r="G41">
            <v>110401</v>
          </cell>
          <cell r="K41">
            <v>0</v>
          </cell>
          <cell r="M41" t="str">
            <v>DEL</v>
          </cell>
          <cell r="N41" t="str">
            <v>Resource</v>
          </cell>
          <cell r="Q41" t="str">
            <v>yes</v>
          </cell>
          <cell r="X41">
            <v>-3715</v>
          </cell>
          <cell r="Y41" t="str">
            <v xml:space="preserve"> </v>
          </cell>
          <cell r="Z41" t="str">
            <v xml:space="preserve"> </v>
          </cell>
        </row>
        <row r="42">
          <cell r="B42" t="str">
            <v>A15</v>
          </cell>
          <cell r="F42">
            <v>6</v>
          </cell>
          <cell r="G42">
            <v>110401</v>
          </cell>
          <cell r="K42">
            <v>0</v>
          </cell>
          <cell r="M42" t="str">
            <v>DEL</v>
          </cell>
          <cell r="N42" t="str">
            <v>Resource</v>
          </cell>
          <cell r="Q42" t="str">
            <v>yes</v>
          </cell>
          <cell r="X42">
            <v>-110</v>
          </cell>
          <cell r="Y42" t="str">
            <v xml:space="preserve"> </v>
          </cell>
          <cell r="Z42" t="str">
            <v xml:space="preserve"> </v>
          </cell>
        </row>
        <row r="43">
          <cell r="B43" t="str">
            <v>A15</v>
          </cell>
          <cell r="F43">
            <v>6</v>
          </cell>
          <cell r="G43">
            <v>110401</v>
          </cell>
          <cell r="K43">
            <v>0</v>
          </cell>
          <cell r="M43" t="str">
            <v>DEL</v>
          </cell>
          <cell r="N43" t="str">
            <v>Resource</v>
          </cell>
          <cell r="Q43" t="str">
            <v>yes</v>
          </cell>
          <cell r="X43">
            <v>314</v>
          </cell>
          <cell r="Y43">
            <v>314</v>
          </cell>
          <cell r="Z43">
            <v>314</v>
          </cell>
        </row>
        <row r="44">
          <cell r="B44" t="str">
            <v>A15</v>
          </cell>
          <cell r="F44">
            <v>6</v>
          </cell>
          <cell r="G44">
            <v>110401</v>
          </cell>
          <cell r="K44">
            <v>0</v>
          </cell>
          <cell r="M44" t="str">
            <v>DEL</v>
          </cell>
          <cell r="N44" t="str">
            <v>Resource</v>
          </cell>
          <cell r="Q44" t="str">
            <v>yes</v>
          </cell>
          <cell r="X44">
            <v>40600</v>
          </cell>
          <cell r="Y44">
            <v>39600</v>
          </cell>
          <cell r="Z44">
            <v>39600</v>
          </cell>
        </row>
        <row r="45">
          <cell r="B45" t="str">
            <v>A15</v>
          </cell>
          <cell r="F45">
            <v>6</v>
          </cell>
          <cell r="G45">
            <v>110401</v>
          </cell>
          <cell r="K45">
            <v>0</v>
          </cell>
          <cell r="M45" t="str">
            <v>DEL</v>
          </cell>
          <cell r="N45" t="str">
            <v>Resource</v>
          </cell>
          <cell r="Q45" t="str">
            <v>yes</v>
          </cell>
          <cell r="X45">
            <v>798</v>
          </cell>
          <cell r="Y45">
            <v>798</v>
          </cell>
          <cell r="Z45">
            <v>798</v>
          </cell>
        </row>
        <row r="46">
          <cell r="B46" t="str">
            <v>A15</v>
          </cell>
          <cell r="F46">
            <v>6</v>
          </cell>
          <cell r="G46">
            <v>110401</v>
          </cell>
          <cell r="K46">
            <v>0</v>
          </cell>
          <cell r="M46" t="str">
            <v>DEL</v>
          </cell>
          <cell r="N46" t="str">
            <v>Resource</v>
          </cell>
          <cell r="Q46" t="str">
            <v>yes</v>
          </cell>
          <cell r="X46">
            <v>-3000</v>
          </cell>
          <cell r="Y46" t="str">
            <v xml:space="preserve"> </v>
          </cell>
          <cell r="Z46" t="str">
            <v xml:space="preserve"> </v>
          </cell>
        </row>
        <row r="47">
          <cell r="B47" t="str">
            <v>A15</v>
          </cell>
          <cell r="F47">
            <v>6</v>
          </cell>
          <cell r="G47">
            <v>110401</v>
          </cell>
          <cell r="K47">
            <v>0</v>
          </cell>
          <cell r="M47" t="str">
            <v>DEL</v>
          </cell>
          <cell r="N47" t="str">
            <v>Resource</v>
          </cell>
          <cell r="Q47" t="str">
            <v>yes</v>
          </cell>
          <cell r="X47" t="str">
            <v xml:space="preserve"> </v>
          </cell>
          <cell r="Y47" t="str">
            <v xml:space="preserve"> </v>
          </cell>
          <cell r="Z47" t="str">
            <v xml:space="preserve"> </v>
          </cell>
        </row>
        <row r="48">
          <cell r="B48" t="str">
            <v>A15</v>
          </cell>
          <cell r="F48">
            <v>6</v>
          </cell>
          <cell r="G48">
            <v>110401</v>
          </cell>
          <cell r="K48">
            <v>0</v>
          </cell>
          <cell r="M48" t="str">
            <v>DEL</v>
          </cell>
          <cell r="N48" t="str">
            <v>Resource</v>
          </cell>
          <cell r="Q48" t="str">
            <v>yes</v>
          </cell>
          <cell r="X48">
            <v>3012</v>
          </cell>
          <cell r="Y48" t="str">
            <v xml:space="preserve"> </v>
          </cell>
          <cell r="Z48" t="str">
            <v xml:space="preserve"> </v>
          </cell>
        </row>
        <row r="49">
          <cell r="B49" t="str">
            <v>A15</v>
          </cell>
          <cell r="F49">
            <v>2</v>
          </cell>
          <cell r="G49">
            <v>110401</v>
          </cell>
          <cell r="K49">
            <v>0</v>
          </cell>
          <cell r="M49" t="str">
            <v>DEL</v>
          </cell>
          <cell r="N49" t="str">
            <v>Resource</v>
          </cell>
          <cell r="Q49" t="str">
            <v>yes</v>
          </cell>
          <cell r="X49" t="str">
            <v xml:space="preserve"> </v>
          </cell>
          <cell r="Y49" t="str">
            <v xml:space="preserve"> </v>
          </cell>
          <cell r="Z49" t="str">
            <v xml:space="preserve"> </v>
          </cell>
        </row>
        <row r="50">
          <cell r="B50" t="str">
            <v>A15</v>
          </cell>
          <cell r="F50">
            <v>4</v>
          </cell>
          <cell r="G50">
            <v>110401</v>
          </cell>
          <cell r="K50">
            <v>0</v>
          </cell>
          <cell r="M50" t="str">
            <v>DEL</v>
          </cell>
          <cell r="N50" t="str">
            <v>Resource</v>
          </cell>
          <cell r="Q50" t="str">
            <v>yes</v>
          </cell>
          <cell r="X50" t="str">
            <v xml:space="preserve"> </v>
          </cell>
          <cell r="Y50" t="str">
            <v xml:space="preserve"> </v>
          </cell>
          <cell r="Z50" t="str">
            <v xml:space="preserve"> </v>
          </cell>
        </row>
        <row r="51">
          <cell r="B51" t="str">
            <v>A15</v>
          </cell>
          <cell r="F51">
            <v>2</v>
          </cell>
          <cell r="G51">
            <v>110401</v>
          </cell>
          <cell r="K51">
            <v>0</v>
          </cell>
          <cell r="M51" t="str">
            <v>DEL</v>
          </cell>
          <cell r="N51" t="str">
            <v>Resource</v>
          </cell>
          <cell r="Q51" t="str">
            <v>yes</v>
          </cell>
          <cell r="X51" t="str">
            <v xml:space="preserve"> </v>
          </cell>
          <cell r="Y51">
            <v>132415</v>
          </cell>
          <cell r="Z51">
            <v>125058</v>
          </cell>
        </row>
        <row r="52">
          <cell r="B52" t="str">
            <v>A15</v>
          </cell>
          <cell r="F52">
            <v>2</v>
          </cell>
          <cell r="G52">
            <v>110401</v>
          </cell>
          <cell r="K52">
            <v>0</v>
          </cell>
          <cell r="M52" t="str">
            <v>DEL</v>
          </cell>
          <cell r="N52" t="str">
            <v>Resource</v>
          </cell>
          <cell r="Q52" t="str">
            <v>yes</v>
          </cell>
          <cell r="X52" t="str">
            <v xml:space="preserve"> </v>
          </cell>
          <cell r="Y52">
            <v>8215</v>
          </cell>
          <cell r="Z52">
            <v>8215</v>
          </cell>
        </row>
        <row r="53">
          <cell r="B53" t="str">
            <v>A15</v>
          </cell>
          <cell r="F53">
            <v>6</v>
          </cell>
          <cell r="G53">
            <v>110401</v>
          </cell>
          <cell r="K53">
            <v>0</v>
          </cell>
          <cell r="M53" t="str">
            <v>DEL</v>
          </cell>
          <cell r="N53" t="str">
            <v>Resource</v>
          </cell>
          <cell r="Q53" t="str">
            <v>yes</v>
          </cell>
          <cell r="X53" t="str">
            <v xml:space="preserve"> </v>
          </cell>
          <cell r="Y53" t="str">
            <v xml:space="preserve"> </v>
          </cell>
          <cell r="Z53" t="str">
            <v xml:space="preserve"> </v>
          </cell>
        </row>
        <row r="54">
          <cell r="B54" t="str">
            <v>A15</v>
          </cell>
          <cell r="F54">
            <v>6</v>
          </cell>
          <cell r="G54">
            <v>110401</v>
          </cell>
          <cell r="K54">
            <v>0</v>
          </cell>
          <cell r="M54" t="str">
            <v>DEL</v>
          </cell>
          <cell r="N54" t="str">
            <v>Resource</v>
          </cell>
          <cell r="Q54" t="str">
            <v>yes</v>
          </cell>
          <cell r="X54" t="str">
            <v xml:space="preserve"> </v>
          </cell>
          <cell r="Y54" t="str">
            <v xml:space="preserve"> </v>
          </cell>
          <cell r="Z54" t="str">
            <v xml:space="preserve"> </v>
          </cell>
        </row>
        <row r="55">
          <cell r="B55" t="str">
            <v>A15</v>
          </cell>
          <cell r="F55">
            <v>6</v>
          </cell>
          <cell r="G55">
            <v>110401</v>
          </cell>
          <cell r="K55">
            <v>0</v>
          </cell>
          <cell r="M55" t="str">
            <v>DEL</v>
          </cell>
          <cell r="N55" t="str">
            <v>Resource</v>
          </cell>
          <cell r="Q55" t="str">
            <v>yes</v>
          </cell>
          <cell r="X55" t="str">
            <v xml:space="preserve"> </v>
          </cell>
          <cell r="Y55" t="str">
            <v xml:space="preserve"> </v>
          </cell>
          <cell r="Z55" t="str">
            <v xml:space="preserve"> </v>
          </cell>
        </row>
        <row r="56">
          <cell r="B56" t="str">
            <v>A15</v>
          </cell>
          <cell r="F56">
            <v>6</v>
          </cell>
          <cell r="G56">
            <v>110401</v>
          </cell>
          <cell r="K56">
            <v>0</v>
          </cell>
          <cell r="M56" t="str">
            <v>DEL</v>
          </cell>
          <cell r="N56" t="str">
            <v>Resource</v>
          </cell>
          <cell r="Q56" t="str">
            <v>yes</v>
          </cell>
          <cell r="X56" t="str">
            <v xml:space="preserve"> </v>
          </cell>
          <cell r="Y56" t="str">
            <v xml:space="preserve"> </v>
          </cell>
          <cell r="Z56" t="str">
            <v xml:space="preserve"> </v>
          </cell>
        </row>
        <row r="57">
          <cell r="B57" t="str">
            <v>A15</v>
          </cell>
          <cell r="F57">
            <v>3</v>
          </cell>
          <cell r="G57">
            <v>110401</v>
          </cell>
          <cell r="K57">
            <v>0</v>
          </cell>
          <cell r="M57" t="str">
            <v>DEL</v>
          </cell>
          <cell r="N57" t="str">
            <v>Resource</v>
          </cell>
          <cell r="Q57" t="str">
            <v>yes</v>
          </cell>
          <cell r="X57" t="str">
            <v xml:space="preserve"> </v>
          </cell>
          <cell r="Y57" t="str">
            <v xml:space="preserve"> </v>
          </cell>
          <cell r="Z57" t="str">
            <v xml:space="preserve"> </v>
          </cell>
        </row>
        <row r="58">
          <cell r="B58" t="str">
            <v>A15</v>
          </cell>
          <cell r="F58">
            <v>6</v>
          </cell>
          <cell r="G58">
            <v>110401</v>
          </cell>
          <cell r="K58">
            <v>0</v>
          </cell>
          <cell r="M58" t="str">
            <v>DEL</v>
          </cell>
          <cell r="N58" t="str">
            <v>Resource</v>
          </cell>
          <cell r="Q58" t="str">
            <v>yes</v>
          </cell>
          <cell r="X58" t="str">
            <v xml:space="preserve"> </v>
          </cell>
          <cell r="Y58" t="str">
            <v xml:space="preserve"> </v>
          </cell>
          <cell r="Z58" t="str">
            <v xml:space="preserve"> </v>
          </cell>
        </row>
        <row r="59">
          <cell r="B59" t="str">
            <v>A15</v>
          </cell>
          <cell r="F59">
            <v>6</v>
          </cell>
          <cell r="G59">
            <v>110401</v>
          </cell>
          <cell r="K59">
            <v>0</v>
          </cell>
          <cell r="M59" t="str">
            <v>DEL</v>
          </cell>
          <cell r="N59" t="str">
            <v>Resource</v>
          </cell>
          <cell r="Q59" t="str">
            <v>yes</v>
          </cell>
          <cell r="X59" t="str">
            <v xml:space="preserve"> </v>
          </cell>
          <cell r="Y59" t="str">
            <v xml:space="preserve"> </v>
          </cell>
          <cell r="Z59" t="str">
            <v xml:space="preserve"> </v>
          </cell>
        </row>
        <row r="60">
          <cell r="B60" t="str">
            <v>A15</v>
          </cell>
          <cell r="F60">
            <v>6</v>
          </cell>
          <cell r="G60">
            <v>110401</v>
          </cell>
          <cell r="K60">
            <v>0</v>
          </cell>
          <cell r="M60" t="str">
            <v>DEL</v>
          </cell>
          <cell r="N60" t="str">
            <v>Resource</v>
          </cell>
          <cell r="Q60" t="str">
            <v>yes</v>
          </cell>
          <cell r="X60">
            <v>-97</v>
          </cell>
          <cell r="Y60">
            <v>-101</v>
          </cell>
          <cell r="Z60">
            <v>-106</v>
          </cell>
        </row>
        <row r="61">
          <cell r="B61" t="str">
            <v>A15</v>
          </cell>
          <cell r="F61">
            <v>5</v>
          </cell>
          <cell r="G61">
            <v>110401</v>
          </cell>
          <cell r="K61">
            <v>0</v>
          </cell>
          <cell r="M61" t="str">
            <v>DEL</v>
          </cell>
          <cell r="N61" t="str">
            <v>Resource</v>
          </cell>
          <cell r="Q61" t="str">
            <v>yes</v>
          </cell>
          <cell r="X61">
            <v>-118</v>
          </cell>
          <cell r="Y61">
            <v>-118</v>
          </cell>
          <cell r="Z61">
            <v>-118</v>
          </cell>
        </row>
        <row r="62">
          <cell r="B62" t="str">
            <v>A15</v>
          </cell>
          <cell r="F62">
            <v>6</v>
          </cell>
          <cell r="G62">
            <v>110401</v>
          </cell>
          <cell r="K62">
            <v>0</v>
          </cell>
          <cell r="M62" t="str">
            <v>DEL</v>
          </cell>
          <cell r="N62" t="str">
            <v>Resource</v>
          </cell>
          <cell r="Q62" t="str">
            <v>yes</v>
          </cell>
          <cell r="X62" t="str">
            <v xml:space="preserve"> </v>
          </cell>
          <cell r="Y62" t="str">
            <v xml:space="preserve"> </v>
          </cell>
          <cell r="Z62" t="str">
            <v xml:space="preserve"> </v>
          </cell>
        </row>
        <row r="63">
          <cell r="B63" t="str">
            <v>A15</v>
          </cell>
          <cell r="F63">
            <v>6</v>
          </cell>
          <cell r="G63">
            <v>110401</v>
          </cell>
          <cell r="K63">
            <v>0</v>
          </cell>
          <cell r="M63" t="str">
            <v>DEL</v>
          </cell>
          <cell r="N63" t="str">
            <v>Resource</v>
          </cell>
          <cell r="Q63" t="str">
            <v>yes</v>
          </cell>
          <cell r="X63" t="str">
            <v xml:space="preserve"> </v>
          </cell>
          <cell r="Y63" t="str">
            <v xml:space="preserve"> </v>
          </cell>
          <cell r="Z63" t="str">
            <v xml:space="preserve"> </v>
          </cell>
        </row>
        <row r="64">
          <cell r="B64" t="str">
            <v>A15</v>
          </cell>
          <cell r="F64">
            <v>3</v>
          </cell>
          <cell r="G64">
            <v>110401</v>
          </cell>
          <cell r="K64">
            <v>0</v>
          </cell>
          <cell r="M64" t="str">
            <v>DEL</v>
          </cell>
          <cell r="N64" t="str">
            <v>Resource</v>
          </cell>
          <cell r="Q64" t="str">
            <v>yes</v>
          </cell>
          <cell r="X64" t="str">
            <v xml:space="preserve"> </v>
          </cell>
          <cell r="Y64" t="str">
            <v xml:space="preserve"> </v>
          </cell>
          <cell r="Z64" t="str">
            <v xml:space="preserve"> </v>
          </cell>
        </row>
        <row r="65">
          <cell r="B65" t="str">
            <v>A15</v>
          </cell>
          <cell r="F65">
            <v>4</v>
          </cell>
          <cell r="G65">
            <v>110401</v>
          </cell>
          <cell r="K65">
            <v>0</v>
          </cell>
          <cell r="M65" t="str">
            <v>DEL</v>
          </cell>
          <cell r="N65" t="str">
            <v>Resource</v>
          </cell>
          <cell r="Q65" t="str">
            <v>yes</v>
          </cell>
          <cell r="X65" t="str">
            <v xml:space="preserve"> </v>
          </cell>
          <cell r="Y65" t="str">
            <v xml:space="preserve"> </v>
          </cell>
          <cell r="Z65" t="str">
            <v xml:space="preserve"> </v>
          </cell>
        </row>
        <row r="66">
          <cell r="B66" t="str">
            <v>A15</v>
          </cell>
          <cell r="F66">
            <v>12</v>
          </cell>
          <cell r="G66">
            <v>110401</v>
          </cell>
          <cell r="K66">
            <v>0</v>
          </cell>
          <cell r="M66" t="str">
            <v>DEL</v>
          </cell>
          <cell r="N66" t="str">
            <v>Resource</v>
          </cell>
          <cell r="Q66" t="str">
            <v>yes</v>
          </cell>
          <cell r="X66">
            <v>25</v>
          </cell>
          <cell r="Y66" t="str">
            <v xml:space="preserve"> </v>
          </cell>
          <cell r="Z66" t="str">
            <v xml:space="preserve"> </v>
          </cell>
        </row>
        <row r="67">
          <cell r="B67" t="str">
            <v>A15</v>
          </cell>
          <cell r="F67">
            <v>12</v>
          </cell>
          <cell r="G67">
            <v>110401</v>
          </cell>
          <cell r="K67">
            <v>0</v>
          </cell>
          <cell r="M67" t="str">
            <v>DEL</v>
          </cell>
          <cell r="N67" t="str">
            <v>Resource</v>
          </cell>
          <cell r="Q67" t="str">
            <v>yes</v>
          </cell>
          <cell r="X67">
            <v>13844</v>
          </cell>
          <cell r="Y67" t="str">
            <v xml:space="preserve"> </v>
          </cell>
          <cell r="Z67" t="str">
            <v xml:space="preserve"> </v>
          </cell>
        </row>
        <row r="68">
          <cell r="B68" t="str">
            <v>A15</v>
          </cell>
          <cell r="F68">
            <v>12</v>
          </cell>
          <cell r="G68">
            <v>110401</v>
          </cell>
          <cell r="K68">
            <v>0</v>
          </cell>
          <cell r="M68" t="str">
            <v>DEL</v>
          </cell>
          <cell r="N68" t="str">
            <v>Resource</v>
          </cell>
          <cell r="Q68" t="str">
            <v>yes</v>
          </cell>
          <cell r="X68" t="str">
            <v xml:space="preserve"> </v>
          </cell>
          <cell r="Y68" t="str">
            <v xml:space="preserve"> </v>
          </cell>
          <cell r="Z68" t="str">
            <v xml:space="preserve"> </v>
          </cell>
        </row>
        <row r="69">
          <cell r="B69" t="str">
            <v>A15</v>
          </cell>
          <cell r="F69">
            <v>12</v>
          </cell>
          <cell r="G69">
            <v>110401</v>
          </cell>
          <cell r="K69">
            <v>0</v>
          </cell>
          <cell r="M69" t="str">
            <v>DEL</v>
          </cell>
          <cell r="N69" t="str">
            <v>Resource</v>
          </cell>
          <cell r="Q69" t="str">
            <v>yes</v>
          </cell>
          <cell r="X69">
            <v>15288</v>
          </cell>
          <cell r="Y69" t="str">
            <v xml:space="preserve"> </v>
          </cell>
          <cell r="Z69" t="str">
            <v xml:space="preserve"> </v>
          </cell>
          <cell r="AA69" t="str">
            <v>R</v>
          </cell>
        </row>
        <row r="70">
          <cell r="B70" t="str">
            <v>A15</v>
          </cell>
          <cell r="F70">
            <v>12</v>
          </cell>
          <cell r="G70">
            <v>110401</v>
          </cell>
          <cell r="K70">
            <v>0</v>
          </cell>
          <cell r="M70" t="str">
            <v>DEL</v>
          </cell>
          <cell r="N70" t="str">
            <v>Resource</v>
          </cell>
          <cell r="Q70" t="str">
            <v>yes</v>
          </cell>
          <cell r="X70">
            <v>6631</v>
          </cell>
          <cell r="Y70" t="str">
            <v xml:space="preserve"> </v>
          </cell>
          <cell r="Z70" t="str">
            <v xml:space="preserve"> </v>
          </cell>
          <cell r="AA70" t="str">
            <v>R</v>
          </cell>
        </row>
        <row r="71">
          <cell r="B71" t="str">
            <v>A15</v>
          </cell>
          <cell r="F71">
            <v>12</v>
          </cell>
          <cell r="G71">
            <v>110401</v>
          </cell>
          <cell r="K71">
            <v>0</v>
          </cell>
          <cell r="M71" t="str">
            <v>DEL</v>
          </cell>
          <cell r="N71" t="str">
            <v>Resource</v>
          </cell>
          <cell r="Q71" t="str">
            <v>yes</v>
          </cell>
          <cell r="X71">
            <v>-36000</v>
          </cell>
          <cell r="Y71" t="str">
            <v xml:space="preserve"> </v>
          </cell>
          <cell r="Z71" t="str">
            <v xml:space="preserve"> </v>
          </cell>
        </row>
        <row r="72">
          <cell r="B72" t="str">
            <v>A15</v>
          </cell>
          <cell r="F72">
            <v>12</v>
          </cell>
          <cell r="G72">
            <v>110401</v>
          </cell>
          <cell r="K72">
            <v>0</v>
          </cell>
          <cell r="M72" t="str">
            <v>DEL</v>
          </cell>
          <cell r="N72" t="str">
            <v>Resource</v>
          </cell>
          <cell r="Q72" t="str">
            <v>yes</v>
          </cell>
          <cell r="X72">
            <v>-1059</v>
          </cell>
          <cell r="Y72" t="str">
            <v xml:space="preserve"> </v>
          </cell>
          <cell r="Z72" t="str">
            <v xml:space="preserve"> </v>
          </cell>
        </row>
        <row r="73">
          <cell r="B73" t="str">
            <v>A15</v>
          </cell>
          <cell r="F73">
            <v>12</v>
          </cell>
          <cell r="G73">
            <v>110407</v>
          </cell>
          <cell r="K73">
            <v>0</v>
          </cell>
          <cell r="M73" t="str">
            <v>DEL</v>
          </cell>
          <cell r="N73" t="str">
            <v>Resource</v>
          </cell>
          <cell r="Q73" t="str">
            <v>yes</v>
          </cell>
          <cell r="X73" t="str">
            <v xml:space="preserve"> </v>
          </cell>
          <cell r="Y73" t="str">
            <v xml:space="preserve"> </v>
          </cell>
          <cell r="Z73" t="str">
            <v xml:space="preserve"> </v>
          </cell>
        </row>
        <row r="74">
          <cell r="B74" t="str">
            <v>A15</v>
          </cell>
          <cell r="F74">
            <v>12</v>
          </cell>
          <cell r="G74">
            <v>110407</v>
          </cell>
          <cell r="K74">
            <v>0</v>
          </cell>
          <cell r="M74" t="str">
            <v>DEL</v>
          </cell>
          <cell r="N74" t="str">
            <v>Resource</v>
          </cell>
          <cell r="Q74" t="str">
            <v>yes</v>
          </cell>
          <cell r="X74">
            <v>-557</v>
          </cell>
          <cell r="Y74" t="str">
            <v xml:space="preserve"> </v>
          </cell>
          <cell r="Z74" t="str">
            <v xml:space="preserve"> </v>
          </cell>
        </row>
        <row r="75">
          <cell r="B75" t="str">
            <v>A15</v>
          </cell>
          <cell r="F75">
            <v>1</v>
          </cell>
          <cell r="G75">
            <v>110405</v>
          </cell>
          <cell r="K75">
            <v>0</v>
          </cell>
          <cell r="M75" t="str">
            <v>DEL</v>
          </cell>
          <cell r="N75" t="str">
            <v>Resource</v>
          </cell>
          <cell r="Q75" t="str">
            <v>yes</v>
          </cell>
          <cell r="X75" t="str">
            <v xml:space="preserve"> </v>
          </cell>
          <cell r="Y75" t="str">
            <v xml:space="preserve"> </v>
          </cell>
          <cell r="Z75" t="str">
            <v xml:space="preserve"> </v>
          </cell>
        </row>
        <row r="76">
          <cell r="B76" t="str">
            <v>A15</v>
          </cell>
          <cell r="F76">
            <v>1</v>
          </cell>
          <cell r="G76">
            <v>110407</v>
          </cell>
          <cell r="K76">
            <v>0</v>
          </cell>
          <cell r="M76" t="str">
            <v>DEL</v>
          </cell>
          <cell r="N76" t="str">
            <v>Resource</v>
          </cell>
          <cell r="Q76" t="str">
            <v>yes</v>
          </cell>
          <cell r="X76">
            <v>14000</v>
          </cell>
          <cell r="Y76" t="str">
            <v xml:space="preserve"> </v>
          </cell>
          <cell r="Z76" t="str">
            <v xml:space="preserve"> </v>
          </cell>
        </row>
        <row r="77">
          <cell r="B77" t="str">
            <v>A15</v>
          </cell>
          <cell r="F77">
            <v>6</v>
          </cell>
          <cell r="G77">
            <v>110407</v>
          </cell>
          <cell r="K77">
            <v>0</v>
          </cell>
          <cell r="M77" t="str">
            <v>DEL</v>
          </cell>
          <cell r="N77" t="str">
            <v>Resource</v>
          </cell>
          <cell r="Q77" t="str">
            <v>yes</v>
          </cell>
          <cell r="X77">
            <v>1777</v>
          </cell>
          <cell r="Y77">
            <v>2329</v>
          </cell>
          <cell r="Z77">
            <v>2901</v>
          </cell>
        </row>
        <row r="78">
          <cell r="B78" t="str">
            <v>A15</v>
          </cell>
          <cell r="F78">
            <v>2</v>
          </cell>
          <cell r="G78">
            <v>110407</v>
          </cell>
          <cell r="K78">
            <v>0</v>
          </cell>
          <cell r="M78" t="str">
            <v>DEL</v>
          </cell>
          <cell r="N78" t="str">
            <v>Resource</v>
          </cell>
          <cell r="Q78" t="str">
            <v>yes</v>
          </cell>
          <cell r="X78" t="str">
            <v xml:space="preserve"> </v>
          </cell>
          <cell r="Y78" t="str">
            <v xml:space="preserve"> </v>
          </cell>
          <cell r="Z78" t="str">
            <v xml:space="preserve"> </v>
          </cell>
        </row>
        <row r="79">
          <cell r="B79" t="str">
            <v>A15</v>
          </cell>
          <cell r="F79">
            <v>3</v>
          </cell>
          <cell r="G79">
            <v>110407</v>
          </cell>
          <cell r="K79">
            <v>0</v>
          </cell>
          <cell r="M79" t="str">
            <v>DEL</v>
          </cell>
          <cell r="N79" t="str">
            <v>Resource</v>
          </cell>
          <cell r="Q79" t="str">
            <v>yes</v>
          </cell>
          <cell r="X79" t="str">
            <v xml:space="preserve"> </v>
          </cell>
          <cell r="Y79" t="str">
            <v xml:space="preserve"> </v>
          </cell>
          <cell r="Z79" t="str">
            <v xml:space="preserve"> </v>
          </cell>
        </row>
        <row r="80">
          <cell r="B80" t="str">
            <v>A15</v>
          </cell>
          <cell r="F80">
            <v>2</v>
          </cell>
          <cell r="G80">
            <v>110407</v>
          </cell>
          <cell r="K80">
            <v>0</v>
          </cell>
          <cell r="M80" t="str">
            <v>DEL</v>
          </cell>
          <cell r="N80" t="str">
            <v>Resource</v>
          </cell>
          <cell r="Q80" t="str">
            <v>yes</v>
          </cell>
          <cell r="X80" t="str">
            <v xml:space="preserve"> </v>
          </cell>
          <cell r="Y80">
            <v>14000</v>
          </cell>
          <cell r="Z80">
            <v>14000</v>
          </cell>
        </row>
        <row r="81">
          <cell r="B81" t="str">
            <v>A15</v>
          </cell>
          <cell r="F81">
            <v>6</v>
          </cell>
          <cell r="G81">
            <v>110407</v>
          </cell>
          <cell r="K81">
            <v>0</v>
          </cell>
          <cell r="M81" t="str">
            <v>DEL</v>
          </cell>
          <cell r="N81" t="str">
            <v>Resource</v>
          </cell>
          <cell r="Q81" t="str">
            <v>yes</v>
          </cell>
          <cell r="X81" t="str">
            <v xml:space="preserve"> </v>
          </cell>
          <cell r="Y81" t="str">
            <v xml:space="preserve"> </v>
          </cell>
          <cell r="Z81" t="str">
            <v xml:space="preserve"> </v>
          </cell>
        </row>
        <row r="82">
          <cell r="B82" t="str">
            <v>A15</v>
          </cell>
          <cell r="F82">
            <v>6</v>
          </cell>
          <cell r="G82">
            <v>110407</v>
          </cell>
          <cell r="K82">
            <v>0</v>
          </cell>
          <cell r="M82" t="str">
            <v>DEL</v>
          </cell>
          <cell r="N82" t="str">
            <v>Resource</v>
          </cell>
          <cell r="Q82" t="str">
            <v>yes</v>
          </cell>
          <cell r="X82" t="str">
            <v xml:space="preserve"> </v>
          </cell>
          <cell r="Y82" t="str">
            <v xml:space="preserve"> </v>
          </cell>
          <cell r="Z82" t="str">
            <v xml:space="preserve"> </v>
          </cell>
        </row>
        <row r="83">
          <cell r="B83" t="str">
            <v>A15</v>
          </cell>
          <cell r="F83">
            <v>3</v>
          </cell>
          <cell r="G83">
            <v>110407</v>
          </cell>
          <cell r="K83">
            <v>0</v>
          </cell>
          <cell r="M83" t="str">
            <v>DEL</v>
          </cell>
          <cell r="N83" t="str">
            <v>Resource</v>
          </cell>
          <cell r="Q83" t="str">
            <v>yes</v>
          </cell>
          <cell r="X83" t="str">
            <v xml:space="preserve"> </v>
          </cell>
          <cell r="Y83" t="str">
            <v xml:space="preserve"> </v>
          </cell>
          <cell r="Z83" t="str">
            <v xml:space="preserve"> </v>
          </cell>
        </row>
        <row r="84">
          <cell r="B84" t="str">
            <v>A15</v>
          </cell>
          <cell r="F84">
            <v>1</v>
          </cell>
          <cell r="G84">
            <v>110202</v>
          </cell>
          <cell r="K84" t="str">
            <v>PSS</v>
          </cell>
          <cell r="M84" t="str">
            <v>non-budget</v>
          </cell>
          <cell r="N84" t="str">
            <v>non-budget</v>
          </cell>
          <cell r="Q84" t="str">
            <v>yes</v>
          </cell>
          <cell r="X84" t="str">
            <v xml:space="preserve"> </v>
          </cell>
          <cell r="Y84" t="str">
            <v xml:space="preserve"> </v>
          </cell>
          <cell r="Z84" t="str">
            <v xml:space="preserve"> </v>
          </cell>
        </row>
        <row r="85">
          <cell r="B85" t="str">
            <v>A15</v>
          </cell>
          <cell r="F85">
            <v>3</v>
          </cell>
          <cell r="G85">
            <v>110202</v>
          </cell>
          <cell r="K85" t="str">
            <v>PSS</v>
          </cell>
          <cell r="M85" t="str">
            <v>non-budget</v>
          </cell>
          <cell r="N85" t="str">
            <v>non-budget</v>
          </cell>
          <cell r="Q85" t="str">
            <v>yes</v>
          </cell>
          <cell r="X85" t="str">
            <v xml:space="preserve"> </v>
          </cell>
          <cell r="Y85" t="str">
            <v xml:space="preserve"> </v>
          </cell>
          <cell r="Z85" t="str">
            <v xml:space="preserve"> </v>
          </cell>
        </row>
        <row r="86">
          <cell r="B86" t="str">
            <v>A15</v>
          </cell>
          <cell r="F86">
            <v>6</v>
          </cell>
          <cell r="G86">
            <v>110202</v>
          </cell>
          <cell r="K86" t="str">
            <v>PSS</v>
          </cell>
          <cell r="M86" t="str">
            <v>non-budget</v>
          </cell>
          <cell r="N86" t="str">
            <v>non-budget</v>
          </cell>
          <cell r="Q86" t="str">
            <v>yes</v>
          </cell>
          <cell r="X86" t="str">
            <v xml:space="preserve"> </v>
          </cell>
          <cell r="Y86" t="str">
            <v xml:space="preserve"> </v>
          </cell>
          <cell r="Z86" t="str">
            <v xml:space="preserve"> </v>
          </cell>
        </row>
        <row r="87">
          <cell r="B87" t="str">
            <v>B35</v>
          </cell>
          <cell r="F87">
            <v>1</v>
          </cell>
          <cell r="G87">
            <v>110101</v>
          </cell>
          <cell r="K87">
            <v>0</v>
          </cell>
          <cell r="M87" t="str">
            <v>DEL</v>
          </cell>
          <cell r="N87" t="str">
            <v>Resource</v>
          </cell>
          <cell r="Q87" t="str">
            <v>yes</v>
          </cell>
          <cell r="X87">
            <v>56888691</v>
          </cell>
          <cell r="Y87" t="str">
            <v xml:space="preserve"> </v>
          </cell>
          <cell r="Z87" t="str">
            <v xml:space="preserve"> </v>
          </cell>
        </row>
        <row r="88">
          <cell r="B88" t="str">
            <v>B35</v>
          </cell>
          <cell r="F88">
            <v>1</v>
          </cell>
          <cell r="G88">
            <v>110101</v>
          </cell>
          <cell r="K88">
            <v>0</v>
          </cell>
          <cell r="M88" t="str">
            <v>DEL</v>
          </cell>
          <cell r="N88" t="str">
            <v>Resource</v>
          </cell>
          <cell r="Q88" t="str">
            <v>yes</v>
          </cell>
          <cell r="X88">
            <v>-352020</v>
          </cell>
          <cell r="Y88" t="str">
            <v xml:space="preserve"> </v>
          </cell>
          <cell r="Z88" t="str">
            <v xml:space="preserve"> </v>
          </cell>
        </row>
        <row r="89">
          <cell r="B89" t="str">
            <v>B35</v>
          </cell>
          <cell r="F89">
            <v>1</v>
          </cell>
          <cell r="G89">
            <v>110101</v>
          </cell>
          <cell r="K89">
            <v>0</v>
          </cell>
          <cell r="M89" t="str">
            <v>DEL</v>
          </cell>
          <cell r="N89" t="str">
            <v>Resource</v>
          </cell>
          <cell r="Q89" t="str">
            <v>yes</v>
          </cell>
          <cell r="X89">
            <v>3463</v>
          </cell>
          <cell r="Y89" t="str">
            <v xml:space="preserve"> </v>
          </cell>
          <cell r="Z89" t="str">
            <v xml:space="preserve"> </v>
          </cell>
        </row>
        <row r="90">
          <cell r="B90" t="str">
            <v>B35</v>
          </cell>
          <cell r="F90">
            <v>1</v>
          </cell>
          <cell r="G90">
            <v>110101</v>
          </cell>
          <cell r="K90">
            <v>0</v>
          </cell>
          <cell r="M90" t="str">
            <v>DEL</v>
          </cell>
          <cell r="N90" t="str">
            <v>Resource</v>
          </cell>
          <cell r="Q90" t="str">
            <v>yes</v>
          </cell>
          <cell r="X90">
            <v>-847370</v>
          </cell>
          <cell r="Y90" t="str">
            <v xml:space="preserve"> </v>
          </cell>
          <cell r="Z90" t="str">
            <v xml:space="preserve"> </v>
          </cell>
        </row>
        <row r="91">
          <cell r="B91" t="str">
            <v>B35</v>
          </cell>
          <cell r="F91">
            <v>1</v>
          </cell>
          <cell r="G91">
            <v>110101</v>
          </cell>
          <cell r="K91">
            <v>0</v>
          </cell>
          <cell r="M91" t="str">
            <v>DEL</v>
          </cell>
          <cell r="N91" t="str">
            <v>Resource</v>
          </cell>
          <cell r="Q91" t="str">
            <v>yes</v>
          </cell>
          <cell r="X91">
            <v>877774</v>
          </cell>
          <cell r="Y91" t="str">
            <v xml:space="preserve"> </v>
          </cell>
          <cell r="Z91" t="str">
            <v xml:space="preserve"> </v>
          </cell>
        </row>
        <row r="92">
          <cell r="B92" t="str">
            <v>B35</v>
          </cell>
          <cell r="F92">
            <v>1</v>
          </cell>
          <cell r="G92">
            <v>110101</v>
          </cell>
          <cell r="K92">
            <v>0</v>
          </cell>
          <cell r="M92" t="str">
            <v>DEL</v>
          </cell>
          <cell r="N92" t="str">
            <v>Resource</v>
          </cell>
          <cell r="Q92" t="str">
            <v>yes</v>
          </cell>
          <cell r="X92">
            <v>833340</v>
          </cell>
          <cell r="Y92" t="str">
            <v xml:space="preserve"> </v>
          </cell>
          <cell r="Z92" t="str">
            <v xml:space="preserve"> </v>
          </cell>
        </row>
        <row r="93">
          <cell r="B93" t="str">
            <v>B35</v>
          </cell>
          <cell r="F93">
            <v>3</v>
          </cell>
          <cell r="G93">
            <v>110101</v>
          </cell>
          <cell r="K93">
            <v>0</v>
          </cell>
          <cell r="M93" t="str">
            <v>DEL</v>
          </cell>
          <cell r="N93" t="str">
            <v>Resource</v>
          </cell>
          <cell r="Q93" t="str">
            <v>yes</v>
          </cell>
          <cell r="X93">
            <v>26000</v>
          </cell>
          <cell r="Y93">
            <v>26000</v>
          </cell>
          <cell r="Z93">
            <v>26000</v>
          </cell>
        </row>
        <row r="94">
          <cell r="B94" t="str">
            <v>B35</v>
          </cell>
          <cell r="F94">
            <v>3</v>
          </cell>
          <cell r="G94">
            <v>110101</v>
          </cell>
          <cell r="K94">
            <v>0</v>
          </cell>
          <cell r="M94" t="str">
            <v>DEL</v>
          </cell>
          <cell r="N94" t="str">
            <v>Resource</v>
          </cell>
          <cell r="Q94" t="str">
            <v>yes</v>
          </cell>
          <cell r="X94">
            <v>-5295</v>
          </cell>
          <cell r="Y94" t="str">
            <v xml:space="preserve"> </v>
          </cell>
          <cell r="Z94" t="str">
            <v xml:space="preserve"> </v>
          </cell>
        </row>
        <row r="95">
          <cell r="B95" t="str">
            <v>B35</v>
          </cell>
          <cell r="F95">
            <v>3</v>
          </cell>
          <cell r="G95">
            <v>110101</v>
          </cell>
          <cell r="K95">
            <v>0</v>
          </cell>
          <cell r="M95" t="str">
            <v>DEL</v>
          </cell>
          <cell r="N95" t="str">
            <v>Resource</v>
          </cell>
          <cell r="Q95" t="str">
            <v>yes</v>
          </cell>
          <cell r="X95">
            <v>100000</v>
          </cell>
          <cell r="Y95">
            <v>100000</v>
          </cell>
          <cell r="Z95">
            <v>100000</v>
          </cell>
        </row>
        <row r="96">
          <cell r="B96" t="str">
            <v>B35</v>
          </cell>
          <cell r="F96">
            <v>4</v>
          </cell>
          <cell r="G96">
            <v>110101</v>
          </cell>
          <cell r="K96">
            <v>0</v>
          </cell>
          <cell r="M96" t="str">
            <v>DEL</v>
          </cell>
          <cell r="N96" t="str">
            <v>Resource</v>
          </cell>
          <cell r="Q96" t="str">
            <v>yes</v>
          </cell>
          <cell r="X96">
            <v>447980</v>
          </cell>
          <cell r="Y96">
            <v>467980</v>
          </cell>
          <cell r="Z96">
            <v>487980</v>
          </cell>
        </row>
        <row r="97">
          <cell r="B97" t="str">
            <v>B35</v>
          </cell>
          <cell r="F97">
            <v>4</v>
          </cell>
          <cell r="G97">
            <v>110101</v>
          </cell>
          <cell r="K97">
            <v>0</v>
          </cell>
          <cell r="M97" t="str">
            <v>DEL</v>
          </cell>
          <cell r="N97" t="str">
            <v>Resource</v>
          </cell>
          <cell r="Q97" t="str">
            <v>yes</v>
          </cell>
          <cell r="X97">
            <v>-4897</v>
          </cell>
          <cell r="Y97" t="str">
            <v xml:space="preserve"> </v>
          </cell>
          <cell r="Z97" t="str">
            <v xml:space="preserve"> </v>
          </cell>
        </row>
        <row r="98">
          <cell r="B98" t="str">
            <v>B35</v>
          </cell>
          <cell r="F98">
            <v>4</v>
          </cell>
          <cell r="G98">
            <v>110101</v>
          </cell>
          <cell r="K98">
            <v>0</v>
          </cell>
          <cell r="M98" t="str">
            <v>DEL</v>
          </cell>
          <cell r="N98" t="str">
            <v>Resource</v>
          </cell>
          <cell r="Q98" t="str">
            <v>yes</v>
          </cell>
          <cell r="X98">
            <v>-100000</v>
          </cell>
          <cell r="Y98" t="str">
            <v xml:space="preserve"> </v>
          </cell>
          <cell r="Z98" t="str">
            <v xml:space="preserve"> </v>
          </cell>
        </row>
        <row r="99">
          <cell r="B99" t="str">
            <v>B35</v>
          </cell>
          <cell r="F99">
            <v>4</v>
          </cell>
          <cell r="G99">
            <v>110101</v>
          </cell>
          <cell r="K99">
            <v>0</v>
          </cell>
          <cell r="M99" t="str">
            <v>DEL</v>
          </cell>
          <cell r="N99" t="str">
            <v>Resource</v>
          </cell>
          <cell r="Q99" t="str">
            <v>yes</v>
          </cell>
          <cell r="X99">
            <v>-447980</v>
          </cell>
          <cell r="Y99">
            <v>-467980</v>
          </cell>
          <cell r="Z99">
            <v>-487980</v>
          </cell>
        </row>
        <row r="100">
          <cell r="B100" t="str">
            <v>B35</v>
          </cell>
          <cell r="F100">
            <v>5</v>
          </cell>
          <cell r="G100">
            <v>110101</v>
          </cell>
          <cell r="K100">
            <v>0</v>
          </cell>
          <cell r="M100" t="str">
            <v>DEL</v>
          </cell>
          <cell r="N100" t="str">
            <v>Resource</v>
          </cell>
          <cell r="Q100" t="str">
            <v>yes</v>
          </cell>
          <cell r="X100" t="str">
            <v xml:space="preserve"> </v>
          </cell>
          <cell r="Y100">
            <v>462</v>
          </cell>
          <cell r="Z100">
            <v>462</v>
          </cell>
        </row>
        <row r="101">
          <cell r="B101" t="str">
            <v>B35</v>
          </cell>
          <cell r="F101">
            <v>5</v>
          </cell>
          <cell r="G101">
            <v>110101</v>
          </cell>
          <cell r="K101">
            <v>0</v>
          </cell>
          <cell r="M101" t="str">
            <v>DEL</v>
          </cell>
          <cell r="N101" t="str">
            <v>Resource</v>
          </cell>
          <cell r="Q101" t="str">
            <v>yes</v>
          </cell>
          <cell r="X101">
            <v>-228186</v>
          </cell>
          <cell r="Y101" t="str">
            <v xml:space="preserve"> </v>
          </cell>
          <cell r="Z101" t="str">
            <v xml:space="preserve"> </v>
          </cell>
        </row>
        <row r="102">
          <cell r="B102" t="str">
            <v>B35</v>
          </cell>
          <cell r="F102">
            <v>5</v>
          </cell>
          <cell r="G102">
            <v>110101</v>
          </cell>
          <cell r="K102">
            <v>0</v>
          </cell>
          <cell r="M102" t="str">
            <v>DEL</v>
          </cell>
          <cell r="N102" t="str">
            <v>Resource</v>
          </cell>
          <cell r="Q102" t="str">
            <v>yes</v>
          </cell>
          <cell r="X102">
            <v>60000</v>
          </cell>
          <cell r="Y102" t="str">
            <v xml:space="preserve"> </v>
          </cell>
          <cell r="Z102" t="str">
            <v xml:space="preserve"> </v>
          </cell>
        </row>
        <row r="103">
          <cell r="B103" t="str">
            <v>B35</v>
          </cell>
          <cell r="F103">
            <v>5</v>
          </cell>
          <cell r="G103">
            <v>110101</v>
          </cell>
          <cell r="K103">
            <v>0</v>
          </cell>
          <cell r="M103" t="str">
            <v>DEL</v>
          </cell>
          <cell r="N103" t="str">
            <v>Resource</v>
          </cell>
          <cell r="Q103" t="str">
            <v>yes</v>
          </cell>
          <cell r="X103">
            <v>300000</v>
          </cell>
          <cell r="Y103">
            <v>300000</v>
          </cell>
          <cell r="Z103">
            <v>300000</v>
          </cell>
        </row>
        <row r="104">
          <cell r="B104" t="str">
            <v>B35</v>
          </cell>
          <cell r="F104">
            <v>5</v>
          </cell>
          <cell r="G104">
            <v>110101</v>
          </cell>
          <cell r="K104">
            <v>0</v>
          </cell>
          <cell r="M104" t="str">
            <v>DEL</v>
          </cell>
          <cell r="N104" t="str">
            <v>Resource</v>
          </cell>
          <cell r="Q104" t="str">
            <v>yes</v>
          </cell>
          <cell r="X104">
            <v>20000</v>
          </cell>
          <cell r="Y104">
            <v>20000</v>
          </cell>
          <cell r="Z104">
            <v>20000</v>
          </cell>
        </row>
        <row r="105">
          <cell r="B105" t="str">
            <v>B35</v>
          </cell>
          <cell r="F105">
            <v>5</v>
          </cell>
          <cell r="G105">
            <v>110101</v>
          </cell>
          <cell r="K105">
            <v>0</v>
          </cell>
          <cell r="M105" t="str">
            <v>DEL</v>
          </cell>
          <cell r="N105" t="str">
            <v>Resource</v>
          </cell>
          <cell r="Q105" t="str">
            <v>yes</v>
          </cell>
          <cell r="X105">
            <v>-300000</v>
          </cell>
          <cell r="Y105">
            <v>-300000</v>
          </cell>
          <cell r="Z105">
            <v>-300000</v>
          </cell>
        </row>
        <row r="106">
          <cell r="B106" t="str">
            <v>B35</v>
          </cell>
          <cell r="F106">
            <v>6</v>
          </cell>
          <cell r="G106">
            <v>110101</v>
          </cell>
          <cell r="K106">
            <v>0</v>
          </cell>
          <cell r="M106" t="str">
            <v>DEL</v>
          </cell>
          <cell r="N106" t="str">
            <v>Resource</v>
          </cell>
          <cell r="Q106" t="str">
            <v>yes</v>
          </cell>
          <cell r="X106">
            <v>100000</v>
          </cell>
          <cell r="Y106">
            <v>100000</v>
          </cell>
          <cell r="Z106">
            <v>100000</v>
          </cell>
        </row>
        <row r="107">
          <cell r="B107" t="str">
            <v>B35</v>
          </cell>
          <cell r="F107">
            <v>6</v>
          </cell>
          <cell r="G107">
            <v>110101</v>
          </cell>
          <cell r="K107">
            <v>0</v>
          </cell>
          <cell r="M107" t="str">
            <v>DEL</v>
          </cell>
          <cell r="N107" t="str">
            <v>Resource</v>
          </cell>
          <cell r="Q107" t="str">
            <v>yes</v>
          </cell>
          <cell r="X107">
            <v>200000</v>
          </cell>
          <cell r="Y107" t="str">
            <v xml:space="preserve"> </v>
          </cell>
          <cell r="Z107" t="str">
            <v xml:space="preserve"> </v>
          </cell>
        </row>
        <row r="108">
          <cell r="B108" t="str">
            <v>B35</v>
          </cell>
          <cell r="F108">
            <v>6</v>
          </cell>
          <cell r="G108">
            <v>110101</v>
          </cell>
          <cell r="K108">
            <v>0</v>
          </cell>
          <cell r="M108" t="str">
            <v>DEL</v>
          </cell>
          <cell r="N108" t="str">
            <v>Resource</v>
          </cell>
          <cell r="Q108" t="str">
            <v>yes</v>
          </cell>
          <cell r="X108">
            <v>12000</v>
          </cell>
          <cell r="Y108">
            <v>11000</v>
          </cell>
          <cell r="Z108" t="str">
            <v xml:space="preserve"> </v>
          </cell>
        </row>
        <row r="109">
          <cell r="B109" t="str">
            <v>B35</v>
          </cell>
          <cell r="F109">
            <v>6</v>
          </cell>
          <cell r="G109">
            <v>110101</v>
          </cell>
          <cell r="K109">
            <v>0</v>
          </cell>
          <cell r="M109" t="str">
            <v>DEL</v>
          </cell>
          <cell r="N109" t="str">
            <v>Resource</v>
          </cell>
          <cell r="Q109" t="str">
            <v>yes</v>
          </cell>
          <cell r="X109">
            <v>-314</v>
          </cell>
          <cell r="Y109">
            <v>-314</v>
          </cell>
          <cell r="Z109">
            <v>-314</v>
          </cell>
        </row>
        <row r="110">
          <cell r="B110" t="str">
            <v>B35</v>
          </cell>
          <cell r="F110">
            <v>6</v>
          </cell>
          <cell r="G110">
            <v>110101</v>
          </cell>
          <cell r="K110">
            <v>0</v>
          </cell>
          <cell r="M110" t="str">
            <v>DEL</v>
          </cell>
          <cell r="N110" t="str">
            <v>Resource</v>
          </cell>
          <cell r="Q110" t="str">
            <v>yes</v>
          </cell>
          <cell r="X110">
            <v>50000</v>
          </cell>
          <cell r="Y110">
            <v>50000</v>
          </cell>
          <cell r="Z110">
            <v>50000</v>
          </cell>
        </row>
        <row r="111">
          <cell r="B111" t="str">
            <v>B35</v>
          </cell>
          <cell r="F111">
            <v>6</v>
          </cell>
          <cell r="G111">
            <v>110101</v>
          </cell>
          <cell r="K111">
            <v>0</v>
          </cell>
          <cell r="M111" t="str">
            <v>DEL</v>
          </cell>
          <cell r="N111" t="str">
            <v>Resource</v>
          </cell>
          <cell r="Q111" t="str">
            <v>yes</v>
          </cell>
          <cell r="X111">
            <v>524800</v>
          </cell>
          <cell r="Y111" t="str">
            <v xml:space="preserve"> </v>
          </cell>
          <cell r="Z111" t="str">
            <v xml:space="preserve"> </v>
          </cell>
        </row>
        <row r="112">
          <cell r="B112" t="str">
            <v>B35</v>
          </cell>
          <cell r="F112">
            <v>6</v>
          </cell>
          <cell r="G112">
            <v>110101</v>
          </cell>
          <cell r="K112">
            <v>0</v>
          </cell>
          <cell r="M112" t="str">
            <v>DEL</v>
          </cell>
          <cell r="N112" t="str">
            <v>Resource</v>
          </cell>
          <cell r="Q112" t="str">
            <v>yes</v>
          </cell>
          <cell r="X112">
            <v>-47310</v>
          </cell>
          <cell r="Y112" t="str">
            <v xml:space="preserve"> </v>
          </cell>
          <cell r="Z112" t="str">
            <v xml:space="preserve"> </v>
          </cell>
        </row>
        <row r="113">
          <cell r="B113" t="str">
            <v>B35</v>
          </cell>
          <cell r="F113">
            <v>6</v>
          </cell>
          <cell r="G113">
            <v>110101</v>
          </cell>
          <cell r="K113">
            <v>0</v>
          </cell>
          <cell r="M113" t="str">
            <v>DEL</v>
          </cell>
          <cell r="N113" t="str">
            <v>Resource</v>
          </cell>
          <cell r="Q113" t="str">
            <v>yes</v>
          </cell>
          <cell r="X113">
            <v>138496</v>
          </cell>
          <cell r="Y113">
            <v>138496</v>
          </cell>
          <cell r="Z113">
            <v>138496</v>
          </cell>
        </row>
        <row r="114">
          <cell r="B114" t="str">
            <v>B35</v>
          </cell>
          <cell r="F114">
            <v>6</v>
          </cell>
          <cell r="G114">
            <v>110101</v>
          </cell>
          <cell r="K114">
            <v>0</v>
          </cell>
          <cell r="M114" t="str">
            <v>DEL</v>
          </cell>
          <cell r="N114" t="str">
            <v>Resource</v>
          </cell>
          <cell r="Q114" t="str">
            <v>yes</v>
          </cell>
          <cell r="X114">
            <v>-798</v>
          </cell>
          <cell r="Y114">
            <v>-798</v>
          </cell>
          <cell r="Z114">
            <v>-798</v>
          </cell>
        </row>
        <row r="115">
          <cell r="B115" t="str">
            <v>B35</v>
          </cell>
          <cell r="F115">
            <v>6</v>
          </cell>
          <cell r="G115">
            <v>110101</v>
          </cell>
          <cell r="K115">
            <v>0</v>
          </cell>
          <cell r="M115" t="str">
            <v>DEL</v>
          </cell>
          <cell r="N115" t="str">
            <v>Resource</v>
          </cell>
          <cell r="Q115" t="str">
            <v>yes</v>
          </cell>
          <cell r="X115">
            <v>-20000</v>
          </cell>
          <cell r="Y115">
            <v>-20000</v>
          </cell>
          <cell r="Z115">
            <v>-20000</v>
          </cell>
        </row>
        <row r="116">
          <cell r="B116" t="str">
            <v>B35</v>
          </cell>
          <cell r="F116">
            <v>6</v>
          </cell>
          <cell r="G116">
            <v>110101</v>
          </cell>
          <cell r="K116">
            <v>0</v>
          </cell>
          <cell r="M116" t="str">
            <v>DEL</v>
          </cell>
          <cell r="N116" t="str">
            <v>Resource</v>
          </cell>
          <cell r="Q116" t="str">
            <v>yes</v>
          </cell>
          <cell r="X116">
            <v>-31059</v>
          </cell>
          <cell r="Y116" t="str">
            <v xml:space="preserve"> </v>
          </cell>
          <cell r="Z116" t="str">
            <v xml:space="preserve"> </v>
          </cell>
        </row>
        <row r="117">
          <cell r="B117" t="str">
            <v>B35</v>
          </cell>
          <cell r="F117">
            <v>6</v>
          </cell>
          <cell r="G117">
            <v>110101</v>
          </cell>
          <cell r="K117">
            <v>0</v>
          </cell>
          <cell r="M117" t="str">
            <v>DEL</v>
          </cell>
          <cell r="N117" t="str">
            <v>Resource</v>
          </cell>
          <cell r="Q117" t="str">
            <v>yes</v>
          </cell>
          <cell r="X117">
            <v>26000</v>
          </cell>
          <cell r="Y117">
            <v>26000</v>
          </cell>
          <cell r="Z117">
            <v>26000</v>
          </cell>
        </row>
        <row r="118">
          <cell r="B118" t="str">
            <v>B35</v>
          </cell>
          <cell r="F118">
            <v>6</v>
          </cell>
          <cell r="G118">
            <v>110101</v>
          </cell>
          <cell r="K118">
            <v>0</v>
          </cell>
          <cell r="M118" t="str">
            <v>DEL</v>
          </cell>
          <cell r="N118" t="str">
            <v>Resource</v>
          </cell>
          <cell r="Q118" t="str">
            <v>yes</v>
          </cell>
          <cell r="X118">
            <v>-35200</v>
          </cell>
          <cell r="Y118" t="str">
            <v xml:space="preserve"> </v>
          </cell>
          <cell r="Z118" t="str">
            <v xml:space="preserve"> </v>
          </cell>
        </row>
        <row r="119">
          <cell r="B119" t="str">
            <v>B35</v>
          </cell>
          <cell r="F119">
            <v>6</v>
          </cell>
          <cell r="G119">
            <v>110101</v>
          </cell>
          <cell r="K119">
            <v>0</v>
          </cell>
          <cell r="M119" t="str">
            <v>DEL</v>
          </cell>
          <cell r="N119" t="str">
            <v>Resource</v>
          </cell>
          <cell r="Q119" t="str">
            <v>yes</v>
          </cell>
          <cell r="X119">
            <v>-31941</v>
          </cell>
          <cell r="Y119" t="str">
            <v xml:space="preserve"> </v>
          </cell>
          <cell r="Z119" t="str">
            <v xml:space="preserve"> </v>
          </cell>
        </row>
        <row r="120">
          <cell r="B120" t="str">
            <v>B35</v>
          </cell>
          <cell r="F120">
            <v>6</v>
          </cell>
          <cell r="G120">
            <v>110101</v>
          </cell>
          <cell r="K120">
            <v>0</v>
          </cell>
          <cell r="M120" t="str">
            <v>DEL</v>
          </cell>
          <cell r="N120" t="str">
            <v>Resource</v>
          </cell>
          <cell r="Q120" t="str">
            <v>yes</v>
          </cell>
          <cell r="X120" t="str">
            <v xml:space="preserve"> </v>
          </cell>
          <cell r="Y120">
            <v>-1836867</v>
          </cell>
          <cell r="Z120">
            <v>-1836867</v>
          </cell>
        </row>
        <row r="121">
          <cell r="B121" t="str">
            <v>B35</v>
          </cell>
          <cell r="F121">
            <v>6</v>
          </cell>
          <cell r="G121">
            <v>110101</v>
          </cell>
          <cell r="K121">
            <v>0</v>
          </cell>
          <cell r="M121" t="str">
            <v>DEL</v>
          </cell>
          <cell r="N121" t="str">
            <v>Resource</v>
          </cell>
          <cell r="Q121" t="str">
            <v>yes</v>
          </cell>
          <cell r="X121" t="str">
            <v xml:space="preserve"> </v>
          </cell>
          <cell r="Y121">
            <v>-54310</v>
          </cell>
          <cell r="Z121">
            <v>-68360</v>
          </cell>
        </row>
        <row r="122">
          <cell r="B122" t="str">
            <v>B35</v>
          </cell>
          <cell r="F122">
            <v>6</v>
          </cell>
          <cell r="G122">
            <v>110101</v>
          </cell>
          <cell r="K122">
            <v>0</v>
          </cell>
          <cell r="M122" t="str">
            <v>DEL</v>
          </cell>
          <cell r="N122" t="str">
            <v>Resource</v>
          </cell>
          <cell r="Q122" t="str">
            <v>yes</v>
          </cell>
          <cell r="X122" t="str">
            <v xml:space="preserve"> </v>
          </cell>
          <cell r="Y122">
            <v>-268844</v>
          </cell>
          <cell r="Z122">
            <v>-308844</v>
          </cell>
        </row>
        <row r="123">
          <cell r="B123" t="str">
            <v>B35</v>
          </cell>
          <cell r="F123">
            <v>6</v>
          </cell>
          <cell r="G123">
            <v>110101</v>
          </cell>
          <cell r="K123">
            <v>0</v>
          </cell>
          <cell r="M123" t="str">
            <v>DEL</v>
          </cell>
          <cell r="N123" t="str">
            <v>Resource</v>
          </cell>
          <cell r="Q123" t="str">
            <v>yes</v>
          </cell>
          <cell r="X123" t="str">
            <v xml:space="preserve"> </v>
          </cell>
          <cell r="Y123">
            <v>-2000</v>
          </cell>
          <cell r="Z123">
            <v>-3000</v>
          </cell>
        </row>
        <row r="124">
          <cell r="B124" t="str">
            <v>B35</v>
          </cell>
          <cell r="F124">
            <v>6</v>
          </cell>
          <cell r="G124">
            <v>110101</v>
          </cell>
          <cell r="K124">
            <v>0</v>
          </cell>
          <cell r="M124" t="str">
            <v>DEL</v>
          </cell>
          <cell r="N124" t="str">
            <v>Resource</v>
          </cell>
          <cell r="Q124" t="str">
            <v>yes</v>
          </cell>
          <cell r="X124">
            <v>377000</v>
          </cell>
          <cell r="Y124">
            <v>377000</v>
          </cell>
          <cell r="Z124">
            <v>377000</v>
          </cell>
        </row>
        <row r="125">
          <cell r="B125" t="str">
            <v>B35</v>
          </cell>
          <cell r="F125">
            <v>6</v>
          </cell>
          <cell r="G125">
            <v>110101</v>
          </cell>
          <cell r="K125">
            <v>0</v>
          </cell>
          <cell r="M125" t="str">
            <v>DEL</v>
          </cell>
          <cell r="N125" t="str">
            <v>Resource</v>
          </cell>
          <cell r="Q125" t="str">
            <v>yes</v>
          </cell>
          <cell r="X125" t="str">
            <v xml:space="preserve"> </v>
          </cell>
          <cell r="Y125">
            <v>11000</v>
          </cell>
          <cell r="Z125">
            <v>84000</v>
          </cell>
        </row>
        <row r="126">
          <cell r="B126" t="str">
            <v>B35</v>
          </cell>
          <cell r="F126">
            <v>6</v>
          </cell>
          <cell r="G126">
            <v>110101</v>
          </cell>
          <cell r="K126">
            <v>0</v>
          </cell>
          <cell r="M126" t="str">
            <v>DEL</v>
          </cell>
          <cell r="N126" t="str">
            <v>Resource</v>
          </cell>
          <cell r="Q126" t="str">
            <v>yes</v>
          </cell>
          <cell r="X126" t="str">
            <v xml:space="preserve"> </v>
          </cell>
          <cell r="Y126">
            <v>-37000</v>
          </cell>
          <cell r="Z126">
            <v>-113000</v>
          </cell>
        </row>
        <row r="127">
          <cell r="B127" t="str">
            <v>B35</v>
          </cell>
          <cell r="F127">
            <v>6</v>
          </cell>
          <cell r="G127">
            <v>110101</v>
          </cell>
          <cell r="K127">
            <v>0</v>
          </cell>
          <cell r="M127" t="str">
            <v>DEL</v>
          </cell>
          <cell r="N127" t="str">
            <v>Resource</v>
          </cell>
          <cell r="Q127" t="str">
            <v>yes</v>
          </cell>
          <cell r="X127">
            <v>6715</v>
          </cell>
          <cell r="Y127" t="str">
            <v xml:space="preserve"> </v>
          </cell>
          <cell r="Z127" t="str">
            <v xml:space="preserve"> </v>
          </cell>
        </row>
        <row r="128">
          <cell r="B128" t="str">
            <v>B35</v>
          </cell>
          <cell r="F128">
            <v>6</v>
          </cell>
          <cell r="G128">
            <v>110101</v>
          </cell>
          <cell r="K128">
            <v>0</v>
          </cell>
          <cell r="M128" t="str">
            <v>DEL</v>
          </cell>
          <cell r="N128" t="str">
            <v>Resource</v>
          </cell>
          <cell r="Q128" t="str">
            <v>yes</v>
          </cell>
          <cell r="X128">
            <v>-10000</v>
          </cell>
          <cell r="Y128" t="str">
            <v xml:space="preserve"> </v>
          </cell>
          <cell r="Z128" t="str">
            <v xml:space="preserve"> </v>
          </cell>
        </row>
        <row r="129">
          <cell r="B129" t="str">
            <v>B35</v>
          </cell>
          <cell r="F129">
            <v>6</v>
          </cell>
          <cell r="G129">
            <v>110101</v>
          </cell>
          <cell r="K129">
            <v>0</v>
          </cell>
          <cell r="M129" t="str">
            <v>DEL</v>
          </cell>
          <cell r="N129" t="str">
            <v>Resource</v>
          </cell>
          <cell r="Q129" t="str">
            <v>yes</v>
          </cell>
          <cell r="X129" t="str">
            <v xml:space="preserve"> </v>
          </cell>
          <cell r="Y129">
            <v>1644700</v>
          </cell>
          <cell r="Z129">
            <v>1644700</v>
          </cell>
        </row>
        <row r="130">
          <cell r="B130" t="str">
            <v>B35</v>
          </cell>
          <cell r="F130">
            <v>6</v>
          </cell>
          <cell r="G130">
            <v>110101</v>
          </cell>
          <cell r="K130">
            <v>0</v>
          </cell>
          <cell r="M130" t="str">
            <v>DEL</v>
          </cell>
          <cell r="N130" t="str">
            <v>Resource</v>
          </cell>
          <cell r="Q130" t="str">
            <v>yes</v>
          </cell>
          <cell r="X130">
            <v>10032</v>
          </cell>
          <cell r="Y130" t="str">
            <v xml:space="preserve"> </v>
          </cell>
          <cell r="Z130" t="str">
            <v xml:space="preserve"> </v>
          </cell>
        </row>
        <row r="131">
          <cell r="B131" t="str">
            <v>B35</v>
          </cell>
          <cell r="F131">
            <v>6</v>
          </cell>
          <cell r="G131">
            <v>110101</v>
          </cell>
          <cell r="K131">
            <v>0</v>
          </cell>
          <cell r="M131" t="str">
            <v>DEL</v>
          </cell>
          <cell r="N131" t="str">
            <v>Resource</v>
          </cell>
          <cell r="Q131" t="str">
            <v>yes</v>
          </cell>
          <cell r="X131">
            <v>1130</v>
          </cell>
          <cell r="Y131" t="str">
            <v xml:space="preserve"> </v>
          </cell>
          <cell r="Z131" t="str">
            <v xml:space="preserve"> </v>
          </cell>
        </row>
        <row r="132">
          <cell r="B132" t="str">
            <v>B35</v>
          </cell>
          <cell r="F132">
            <v>6</v>
          </cell>
          <cell r="G132">
            <v>110101</v>
          </cell>
          <cell r="K132">
            <v>0</v>
          </cell>
          <cell r="M132" t="str">
            <v>DEL</v>
          </cell>
          <cell r="N132" t="str">
            <v>Resource</v>
          </cell>
          <cell r="Q132" t="str">
            <v>yes</v>
          </cell>
          <cell r="X132">
            <v>-50000</v>
          </cell>
          <cell r="Y132">
            <v>-50000</v>
          </cell>
          <cell r="Z132">
            <v>-50000</v>
          </cell>
        </row>
        <row r="133">
          <cell r="B133" t="str">
            <v>B35</v>
          </cell>
          <cell r="F133">
            <v>6</v>
          </cell>
          <cell r="G133">
            <v>110101</v>
          </cell>
          <cell r="K133">
            <v>0</v>
          </cell>
          <cell r="M133" t="str">
            <v>DEL</v>
          </cell>
          <cell r="N133" t="str">
            <v>Resource</v>
          </cell>
          <cell r="Q133" t="str">
            <v>yes</v>
          </cell>
          <cell r="X133" t="str">
            <v xml:space="preserve"> </v>
          </cell>
          <cell r="Y133">
            <v>-461900</v>
          </cell>
          <cell r="Z133">
            <v>-461900</v>
          </cell>
        </row>
        <row r="134">
          <cell r="B134" t="str">
            <v>B35</v>
          </cell>
          <cell r="F134">
            <v>12</v>
          </cell>
          <cell r="G134">
            <v>110101</v>
          </cell>
          <cell r="K134">
            <v>0</v>
          </cell>
          <cell r="M134" t="str">
            <v>DEL</v>
          </cell>
          <cell r="N134" t="str">
            <v>Resource</v>
          </cell>
          <cell r="Q134" t="str">
            <v>yes</v>
          </cell>
          <cell r="X134">
            <v>-41549</v>
          </cell>
          <cell r="Y134" t="str">
            <v xml:space="preserve"> </v>
          </cell>
          <cell r="Z134" t="str">
            <v xml:space="preserve"> </v>
          </cell>
        </row>
        <row r="135">
          <cell r="B135" t="str">
            <v>B35</v>
          </cell>
          <cell r="F135">
            <v>12</v>
          </cell>
          <cell r="G135">
            <v>110101</v>
          </cell>
          <cell r="K135">
            <v>0</v>
          </cell>
          <cell r="M135" t="str">
            <v>DEL</v>
          </cell>
          <cell r="N135" t="str">
            <v>Resource</v>
          </cell>
          <cell r="Q135" t="str">
            <v>yes</v>
          </cell>
          <cell r="X135">
            <v>1379</v>
          </cell>
          <cell r="Y135" t="str">
            <v xml:space="preserve"> </v>
          </cell>
          <cell r="Z135" t="str">
            <v xml:space="preserve"> </v>
          </cell>
        </row>
        <row r="136">
          <cell r="B136" t="str">
            <v>B35</v>
          </cell>
          <cell r="F136">
            <v>12</v>
          </cell>
          <cell r="G136">
            <v>110101</v>
          </cell>
          <cell r="K136">
            <v>0</v>
          </cell>
          <cell r="M136" t="str">
            <v>DEL</v>
          </cell>
          <cell r="N136" t="str">
            <v>Resource</v>
          </cell>
          <cell r="Q136" t="str">
            <v>yes</v>
          </cell>
          <cell r="X136">
            <v>100</v>
          </cell>
          <cell r="Y136" t="str">
            <v xml:space="preserve"> </v>
          </cell>
          <cell r="Z136" t="str">
            <v xml:space="preserve"> </v>
          </cell>
        </row>
        <row r="137">
          <cell r="B137" t="str">
            <v>B35</v>
          </cell>
          <cell r="F137">
            <v>12</v>
          </cell>
          <cell r="G137">
            <v>110101</v>
          </cell>
          <cell r="K137">
            <v>0</v>
          </cell>
          <cell r="M137" t="str">
            <v>DEL</v>
          </cell>
          <cell r="N137" t="str">
            <v>Resource</v>
          </cell>
          <cell r="Q137" t="str">
            <v>yes</v>
          </cell>
          <cell r="X137">
            <v>-259</v>
          </cell>
          <cell r="Y137" t="str">
            <v xml:space="preserve"> </v>
          </cell>
          <cell r="Z137" t="str">
            <v xml:space="preserve"> </v>
          </cell>
        </row>
        <row r="138">
          <cell r="B138" t="str">
            <v>B35</v>
          </cell>
          <cell r="F138">
            <v>5</v>
          </cell>
          <cell r="G138">
            <v>110101</v>
          </cell>
          <cell r="K138">
            <v>0</v>
          </cell>
          <cell r="M138" t="str">
            <v>DEL</v>
          </cell>
          <cell r="N138" t="str">
            <v>Resource</v>
          </cell>
          <cell r="Q138" t="str">
            <v>yes</v>
          </cell>
          <cell r="X138" t="str">
            <v xml:space="preserve"> </v>
          </cell>
          <cell r="Y138">
            <v>-462</v>
          </cell>
          <cell r="Z138">
            <v>-462</v>
          </cell>
        </row>
        <row r="139">
          <cell r="B139" t="str">
            <v>B35</v>
          </cell>
          <cell r="F139">
            <v>6</v>
          </cell>
          <cell r="G139">
            <v>110101</v>
          </cell>
          <cell r="K139">
            <v>0</v>
          </cell>
          <cell r="M139" t="str">
            <v>DEL</v>
          </cell>
          <cell r="N139" t="str">
            <v>Resource</v>
          </cell>
          <cell r="Q139" t="str">
            <v>yes</v>
          </cell>
          <cell r="X139">
            <v>31059</v>
          </cell>
          <cell r="Y139" t="str">
            <v xml:space="preserve"> </v>
          </cell>
          <cell r="Z139" t="str">
            <v xml:space="preserve"> </v>
          </cell>
        </row>
        <row r="140">
          <cell r="B140" t="str">
            <v>B35</v>
          </cell>
          <cell r="F140">
            <v>12</v>
          </cell>
          <cell r="G140">
            <v>110101</v>
          </cell>
          <cell r="K140">
            <v>0</v>
          </cell>
          <cell r="M140" t="str">
            <v>DEL</v>
          </cell>
          <cell r="N140" t="str">
            <v>Resource</v>
          </cell>
          <cell r="Q140" t="str">
            <v>yes</v>
          </cell>
          <cell r="X140">
            <v>130913</v>
          </cell>
          <cell r="Y140" t="str">
            <v xml:space="preserve"> </v>
          </cell>
          <cell r="Z140" t="str">
            <v xml:space="preserve"> </v>
          </cell>
        </row>
        <row r="141">
          <cell r="B141" t="str">
            <v>B35</v>
          </cell>
          <cell r="F141">
            <v>12</v>
          </cell>
          <cell r="G141">
            <v>110101</v>
          </cell>
          <cell r="K141">
            <v>0</v>
          </cell>
          <cell r="M141" t="str">
            <v>DEL</v>
          </cell>
          <cell r="N141" t="str">
            <v>Resource</v>
          </cell>
          <cell r="Q141" t="str">
            <v>yes</v>
          </cell>
          <cell r="X141">
            <v>-5500</v>
          </cell>
          <cell r="Y141" t="str">
            <v xml:space="preserve"> </v>
          </cell>
          <cell r="Z141" t="str">
            <v xml:space="preserve"> </v>
          </cell>
        </row>
        <row r="142">
          <cell r="B142" t="str">
            <v>B35</v>
          </cell>
          <cell r="F142">
            <v>12</v>
          </cell>
          <cell r="G142">
            <v>110101</v>
          </cell>
          <cell r="K142">
            <v>0</v>
          </cell>
          <cell r="M142" t="str">
            <v>DEL</v>
          </cell>
          <cell r="N142" t="str">
            <v>Resource</v>
          </cell>
          <cell r="Q142" t="str">
            <v>yes</v>
          </cell>
          <cell r="X142">
            <v>10712</v>
          </cell>
          <cell r="Y142" t="str">
            <v xml:space="preserve"> </v>
          </cell>
          <cell r="Z142" t="str">
            <v xml:space="preserve"> </v>
          </cell>
        </row>
        <row r="143">
          <cell r="B143" t="str">
            <v>B35</v>
          </cell>
          <cell r="F143">
            <v>12</v>
          </cell>
          <cell r="G143">
            <v>110101</v>
          </cell>
          <cell r="K143">
            <v>0</v>
          </cell>
          <cell r="M143" t="str">
            <v>DEL</v>
          </cell>
          <cell r="N143" t="str">
            <v>Resource</v>
          </cell>
          <cell r="Q143" t="str">
            <v>yes</v>
          </cell>
          <cell r="X143">
            <v>-1200</v>
          </cell>
          <cell r="Y143" t="str">
            <v xml:space="preserve"> </v>
          </cell>
          <cell r="Z143" t="str">
            <v xml:space="preserve"> </v>
          </cell>
        </row>
        <row r="144">
          <cell r="B144" t="str">
            <v>B35</v>
          </cell>
          <cell r="F144">
            <v>12</v>
          </cell>
          <cell r="G144">
            <v>110101</v>
          </cell>
          <cell r="K144">
            <v>0</v>
          </cell>
          <cell r="M144" t="str">
            <v>DEL</v>
          </cell>
          <cell r="N144" t="str">
            <v>Resource</v>
          </cell>
          <cell r="Q144" t="str">
            <v>yes</v>
          </cell>
          <cell r="X144">
            <v>-670</v>
          </cell>
          <cell r="Y144" t="str">
            <v xml:space="preserve"> </v>
          </cell>
          <cell r="Z144" t="str">
            <v xml:space="preserve"> </v>
          </cell>
        </row>
        <row r="145">
          <cell r="B145" t="str">
            <v>B35</v>
          </cell>
          <cell r="F145">
            <v>3</v>
          </cell>
          <cell r="G145">
            <v>110101</v>
          </cell>
          <cell r="K145">
            <v>0</v>
          </cell>
          <cell r="M145" t="str">
            <v>DEL</v>
          </cell>
          <cell r="N145" t="str">
            <v>Resource</v>
          </cell>
          <cell r="Q145" t="str">
            <v>yes</v>
          </cell>
          <cell r="X145">
            <v>-26000</v>
          </cell>
          <cell r="Y145">
            <v>-26000</v>
          </cell>
          <cell r="Z145">
            <v>-26000</v>
          </cell>
        </row>
        <row r="146">
          <cell r="B146" t="str">
            <v>B35</v>
          </cell>
          <cell r="F146">
            <v>4</v>
          </cell>
          <cell r="G146">
            <v>110101</v>
          </cell>
          <cell r="K146">
            <v>0</v>
          </cell>
          <cell r="M146" t="str">
            <v>DEL</v>
          </cell>
          <cell r="N146" t="str">
            <v>Resource</v>
          </cell>
          <cell r="Q146" t="str">
            <v>yes</v>
          </cell>
          <cell r="X146">
            <v>-60000</v>
          </cell>
          <cell r="Y146">
            <v>-90000</v>
          </cell>
          <cell r="Z146">
            <v>-120000</v>
          </cell>
        </row>
        <row r="147">
          <cell r="B147" t="str">
            <v>B35</v>
          </cell>
          <cell r="F147">
            <v>6</v>
          </cell>
          <cell r="G147">
            <v>110101</v>
          </cell>
          <cell r="K147">
            <v>0</v>
          </cell>
          <cell r="M147" t="str">
            <v>DEL</v>
          </cell>
          <cell r="N147" t="str">
            <v>Resource</v>
          </cell>
          <cell r="Q147" t="str">
            <v>yes</v>
          </cell>
          <cell r="X147" t="str">
            <v xml:space="preserve"> </v>
          </cell>
          <cell r="Y147" t="str">
            <v xml:space="preserve"> </v>
          </cell>
          <cell r="Z147" t="str">
            <v xml:space="preserve"> </v>
          </cell>
        </row>
        <row r="148">
          <cell r="B148" t="str">
            <v>B35</v>
          </cell>
          <cell r="F148">
            <v>6</v>
          </cell>
          <cell r="G148">
            <v>110101</v>
          </cell>
          <cell r="K148">
            <v>0</v>
          </cell>
          <cell r="M148" t="str">
            <v>DEL</v>
          </cell>
          <cell r="N148" t="str">
            <v>Resource</v>
          </cell>
          <cell r="Q148" t="str">
            <v>yes</v>
          </cell>
          <cell r="X148" t="str">
            <v xml:space="preserve"> </v>
          </cell>
          <cell r="Y148" t="str">
            <v xml:space="preserve"> </v>
          </cell>
          <cell r="Z148" t="str">
            <v xml:space="preserve"> </v>
          </cell>
        </row>
        <row r="149">
          <cell r="B149" t="str">
            <v>B35</v>
          </cell>
          <cell r="F149">
            <v>2</v>
          </cell>
          <cell r="G149">
            <v>110101</v>
          </cell>
          <cell r="K149">
            <v>0</v>
          </cell>
          <cell r="M149" t="str">
            <v>DEL</v>
          </cell>
          <cell r="N149" t="str">
            <v>Resource</v>
          </cell>
          <cell r="Q149" t="str">
            <v>yes</v>
          </cell>
          <cell r="X149" t="str">
            <v xml:space="preserve"> </v>
          </cell>
          <cell r="Y149" t="str">
            <v xml:space="preserve"> </v>
          </cell>
          <cell r="Z149" t="str">
            <v xml:space="preserve"> </v>
          </cell>
        </row>
        <row r="150">
          <cell r="B150" t="str">
            <v>B35</v>
          </cell>
          <cell r="F150">
            <v>4</v>
          </cell>
          <cell r="G150">
            <v>110101</v>
          </cell>
          <cell r="K150">
            <v>0</v>
          </cell>
          <cell r="M150" t="str">
            <v>DEL</v>
          </cell>
          <cell r="N150" t="str">
            <v>Resource</v>
          </cell>
          <cell r="Q150" t="str">
            <v>yes</v>
          </cell>
          <cell r="X150" t="str">
            <v xml:space="preserve"> </v>
          </cell>
          <cell r="Y150" t="str">
            <v xml:space="preserve"> </v>
          </cell>
          <cell r="Z150" t="str">
            <v xml:space="preserve"> </v>
          </cell>
        </row>
        <row r="151">
          <cell r="B151" t="str">
            <v>B35</v>
          </cell>
          <cell r="F151">
            <v>4</v>
          </cell>
          <cell r="G151">
            <v>110101</v>
          </cell>
          <cell r="K151">
            <v>0</v>
          </cell>
          <cell r="M151" t="str">
            <v>DEL</v>
          </cell>
          <cell r="N151" t="str">
            <v>Resource</v>
          </cell>
          <cell r="Q151" t="str">
            <v>yes</v>
          </cell>
          <cell r="X151" t="str">
            <v xml:space="preserve"> </v>
          </cell>
          <cell r="Y151" t="str">
            <v xml:space="preserve"> </v>
          </cell>
          <cell r="Z151" t="str">
            <v xml:space="preserve"> </v>
          </cell>
        </row>
        <row r="152">
          <cell r="B152" t="str">
            <v>B35</v>
          </cell>
          <cell r="F152">
            <v>8</v>
          </cell>
          <cell r="G152">
            <v>110101</v>
          </cell>
          <cell r="K152">
            <v>0</v>
          </cell>
          <cell r="M152" t="str">
            <v>DEL</v>
          </cell>
          <cell r="N152" t="str">
            <v>Resource</v>
          </cell>
          <cell r="Q152" t="str">
            <v>yes</v>
          </cell>
          <cell r="X152" t="str">
            <v xml:space="preserve"> </v>
          </cell>
          <cell r="Y152" t="str">
            <v xml:space="preserve"> </v>
          </cell>
          <cell r="Z152" t="str">
            <v xml:space="preserve"> </v>
          </cell>
        </row>
        <row r="153">
          <cell r="B153" t="str">
            <v>B35</v>
          </cell>
          <cell r="F153">
            <v>12</v>
          </cell>
          <cell r="G153">
            <v>110101</v>
          </cell>
          <cell r="K153">
            <v>0</v>
          </cell>
          <cell r="M153" t="str">
            <v>DEL</v>
          </cell>
          <cell r="N153" t="str">
            <v>Resource</v>
          </cell>
          <cell r="Q153" t="str">
            <v>yes</v>
          </cell>
          <cell r="X153">
            <v>-10712</v>
          </cell>
          <cell r="Y153" t="str">
            <v xml:space="preserve"> </v>
          </cell>
          <cell r="Z153" t="str">
            <v xml:space="preserve"> </v>
          </cell>
        </row>
        <row r="154">
          <cell r="B154" t="str">
            <v>B35</v>
          </cell>
          <cell r="F154">
            <v>12</v>
          </cell>
          <cell r="G154">
            <v>110101</v>
          </cell>
          <cell r="K154">
            <v>0</v>
          </cell>
          <cell r="M154" t="str">
            <v>DEL</v>
          </cell>
          <cell r="N154" t="str">
            <v>Resource</v>
          </cell>
          <cell r="Q154" t="str">
            <v>yes</v>
          </cell>
          <cell r="X154">
            <v>-1379</v>
          </cell>
          <cell r="Y154" t="str">
            <v xml:space="preserve"> </v>
          </cell>
          <cell r="Z154" t="str">
            <v xml:space="preserve"> </v>
          </cell>
        </row>
        <row r="155">
          <cell r="B155" t="str">
            <v>B35</v>
          </cell>
          <cell r="F155">
            <v>12</v>
          </cell>
          <cell r="G155">
            <v>110101</v>
          </cell>
          <cell r="K155">
            <v>0</v>
          </cell>
          <cell r="M155" t="str">
            <v>DEL</v>
          </cell>
          <cell r="N155" t="str">
            <v>Resource</v>
          </cell>
          <cell r="Q155" t="str">
            <v>yes</v>
          </cell>
          <cell r="X155">
            <v>1200</v>
          </cell>
          <cell r="Y155" t="str">
            <v xml:space="preserve"> </v>
          </cell>
          <cell r="Z155" t="str">
            <v xml:space="preserve"> </v>
          </cell>
        </row>
        <row r="156">
          <cell r="B156" t="str">
            <v>B35</v>
          </cell>
          <cell r="F156">
            <v>12</v>
          </cell>
          <cell r="G156">
            <v>110101</v>
          </cell>
          <cell r="K156">
            <v>0</v>
          </cell>
          <cell r="M156" t="str">
            <v>DEL</v>
          </cell>
          <cell r="N156" t="str">
            <v>Resource</v>
          </cell>
          <cell r="Q156" t="str">
            <v>yes</v>
          </cell>
          <cell r="X156">
            <v>10000</v>
          </cell>
          <cell r="Y156" t="str">
            <v xml:space="preserve"> </v>
          </cell>
          <cell r="Z156" t="str">
            <v xml:space="preserve"> </v>
          </cell>
        </row>
        <row r="157">
          <cell r="B157" t="str">
            <v>B35</v>
          </cell>
          <cell r="F157">
            <v>12</v>
          </cell>
          <cell r="G157">
            <v>110101</v>
          </cell>
          <cell r="K157">
            <v>0</v>
          </cell>
          <cell r="M157" t="str">
            <v>DEL</v>
          </cell>
          <cell r="N157" t="str">
            <v>Resource</v>
          </cell>
          <cell r="Q157" t="str">
            <v>yes</v>
          </cell>
          <cell r="X157">
            <v>-2256</v>
          </cell>
          <cell r="Y157" t="str">
            <v xml:space="preserve"> </v>
          </cell>
          <cell r="Z157" t="str">
            <v xml:space="preserve"> </v>
          </cell>
        </row>
        <row r="158">
          <cell r="B158" t="str">
            <v>B35</v>
          </cell>
          <cell r="F158">
            <v>12</v>
          </cell>
          <cell r="G158">
            <v>110101</v>
          </cell>
          <cell r="K158">
            <v>0</v>
          </cell>
          <cell r="M158" t="str">
            <v>DEL</v>
          </cell>
          <cell r="N158" t="str">
            <v>Resource</v>
          </cell>
          <cell r="Q158" t="str">
            <v>yes</v>
          </cell>
          <cell r="X158">
            <v>3000</v>
          </cell>
          <cell r="Y158" t="str">
            <v xml:space="preserve"> </v>
          </cell>
          <cell r="Z158" t="str">
            <v xml:space="preserve"> </v>
          </cell>
        </row>
        <row r="159">
          <cell r="B159" t="str">
            <v>B35</v>
          </cell>
          <cell r="F159">
            <v>12</v>
          </cell>
          <cell r="G159">
            <v>110101</v>
          </cell>
          <cell r="K159">
            <v>0</v>
          </cell>
          <cell r="M159" t="str">
            <v>DEL</v>
          </cell>
          <cell r="N159" t="str">
            <v>Resource</v>
          </cell>
          <cell r="Q159" t="str">
            <v>yes</v>
          </cell>
          <cell r="X159">
            <v>200000</v>
          </cell>
          <cell r="Y159" t="str">
            <v xml:space="preserve"> </v>
          </cell>
          <cell r="Z159" t="str">
            <v xml:space="preserve"> </v>
          </cell>
        </row>
        <row r="160">
          <cell r="B160" t="str">
            <v>B35</v>
          </cell>
          <cell r="F160">
            <v>4</v>
          </cell>
          <cell r="G160">
            <v>110101</v>
          </cell>
          <cell r="K160">
            <v>0</v>
          </cell>
          <cell r="M160" t="str">
            <v>DEL</v>
          </cell>
          <cell r="N160" t="str">
            <v>Resource</v>
          </cell>
          <cell r="Q160" t="str">
            <v>yes</v>
          </cell>
          <cell r="X160" t="str">
            <v xml:space="preserve"> </v>
          </cell>
          <cell r="Y160" t="str">
            <v xml:space="preserve"> </v>
          </cell>
          <cell r="Z160" t="str">
            <v xml:space="preserve"> </v>
          </cell>
        </row>
        <row r="161">
          <cell r="B161" t="str">
            <v>B35</v>
          </cell>
          <cell r="F161">
            <v>12</v>
          </cell>
          <cell r="G161">
            <v>110101</v>
          </cell>
          <cell r="K161">
            <v>0</v>
          </cell>
          <cell r="M161" t="str">
            <v>DEL</v>
          </cell>
          <cell r="N161" t="str">
            <v>Resource</v>
          </cell>
          <cell r="Q161" t="str">
            <v>yes</v>
          </cell>
          <cell r="X161" t="str">
            <v xml:space="preserve"> </v>
          </cell>
          <cell r="Y161" t="str">
            <v xml:space="preserve"> </v>
          </cell>
          <cell r="Z161" t="str">
            <v xml:space="preserve"> </v>
          </cell>
        </row>
        <row r="162">
          <cell r="B162" t="str">
            <v>B35</v>
          </cell>
          <cell r="F162">
            <v>12</v>
          </cell>
          <cell r="G162">
            <v>110101</v>
          </cell>
          <cell r="K162">
            <v>0</v>
          </cell>
          <cell r="M162" t="str">
            <v>DEL</v>
          </cell>
          <cell r="N162" t="str">
            <v>Resource</v>
          </cell>
          <cell r="Q162" t="str">
            <v>yes</v>
          </cell>
          <cell r="X162" t="str">
            <v xml:space="preserve"> </v>
          </cell>
          <cell r="Y162" t="str">
            <v xml:space="preserve"> </v>
          </cell>
          <cell r="Z162" t="str">
            <v xml:space="preserve"> </v>
          </cell>
        </row>
        <row r="163">
          <cell r="B163" t="str">
            <v>B35</v>
          </cell>
          <cell r="F163">
            <v>12</v>
          </cell>
          <cell r="G163">
            <v>110101</v>
          </cell>
          <cell r="K163">
            <v>0</v>
          </cell>
          <cell r="M163" t="str">
            <v>DEL</v>
          </cell>
          <cell r="N163" t="str">
            <v>Resource</v>
          </cell>
          <cell r="Q163" t="str">
            <v>yes</v>
          </cell>
          <cell r="X163" t="str">
            <v xml:space="preserve"> </v>
          </cell>
          <cell r="Y163" t="str">
            <v xml:space="preserve"> </v>
          </cell>
          <cell r="Z163" t="str">
            <v xml:space="preserve"> </v>
          </cell>
        </row>
        <row r="164">
          <cell r="B164" t="str">
            <v>B35</v>
          </cell>
          <cell r="F164">
            <v>12</v>
          </cell>
          <cell r="G164">
            <v>110101</v>
          </cell>
          <cell r="K164">
            <v>0</v>
          </cell>
          <cell r="M164" t="str">
            <v>DEL</v>
          </cell>
          <cell r="N164" t="str">
            <v>Resource</v>
          </cell>
          <cell r="Q164" t="str">
            <v>yes</v>
          </cell>
          <cell r="X164" t="str">
            <v xml:space="preserve"> </v>
          </cell>
          <cell r="Y164" t="str">
            <v xml:space="preserve"> </v>
          </cell>
          <cell r="Z164" t="str">
            <v xml:space="preserve"> </v>
          </cell>
        </row>
        <row r="165">
          <cell r="B165" t="str">
            <v>B35</v>
          </cell>
          <cell r="F165">
            <v>12</v>
          </cell>
          <cell r="G165">
            <v>110101</v>
          </cell>
          <cell r="K165">
            <v>0</v>
          </cell>
          <cell r="M165" t="str">
            <v>DEL</v>
          </cell>
          <cell r="N165" t="str">
            <v>Resource</v>
          </cell>
          <cell r="Q165" t="str">
            <v>yes</v>
          </cell>
          <cell r="X165">
            <v>131976</v>
          </cell>
          <cell r="Y165" t="str">
            <v xml:space="preserve"> </v>
          </cell>
          <cell r="Z165" t="str">
            <v xml:space="preserve"> </v>
          </cell>
          <cell r="AA165" t="str">
            <v>R</v>
          </cell>
        </row>
        <row r="166">
          <cell r="B166" t="str">
            <v>B35</v>
          </cell>
          <cell r="F166">
            <v>12</v>
          </cell>
          <cell r="G166">
            <v>110101</v>
          </cell>
          <cell r="K166">
            <v>0</v>
          </cell>
          <cell r="M166" t="str">
            <v>DEL</v>
          </cell>
          <cell r="N166" t="str">
            <v>Resource</v>
          </cell>
          <cell r="Q166" t="str">
            <v>yes</v>
          </cell>
          <cell r="X166">
            <v>105</v>
          </cell>
          <cell r="Y166" t="str">
            <v xml:space="preserve"> </v>
          </cell>
          <cell r="Z166" t="str">
            <v xml:space="preserve"> </v>
          </cell>
        </row>
        <row r="167">
          <cell r="B167" t="str">
            <v>B35</v>
          </cell>
          <cell r="F167">
            <v>12</v>
          </cell>
          <cell r="G167">
            <v>110101</v>
          </cell>
          <cell r="K167">
            <v>0</v>
          </cell>
          <cell r="M167" t="str">
            <v>DEL</v>
          </cell>
          <cell r="N167" t="str">
            <v>Resource</v>
          </cell>
          <cell r="Q167" t="str">
            <v>yes</v>
          </cell>
          <cell r="X167">
            <v>47</v>
          </cell>
          <cell r="Y167">
            <v>47</v>
          </cell>
          <cell r="Z167">
            <v>47</v>
          </cell>
        </row>
        <row r="168">
          <cell r="B168" t="str">
            <v>B35</v>
          </cell>
          <cell r="F168">
            <v>3</v>
          </cell>
          <cell r="G168">
            <v>110101</v>
          </cell>
          <cell r="K168">
            <v>0</v>
          </cell>
          <cell r="M168" t="str">
            <v>DEL</v>
          </cell>
          <cell r="N168" t="str">
            <v>Resource</v>
          </cell>
          <cell r="Q168" t="str">
            <v>yes</v>
          </cell>
          <cell r="X168" t="str">
            <v xml:space="preserve"> </v>
          </cell>
          <cell r="Y168" t="str">
            <v xml:space="preserve"> </v>
          </cell>
          <cell r="Z168" t="str">
            <v xml:space="preserve"> </v>
          </cell>
        </row>
        <row r="169">
          <cell r="B169" t="str">
            <v>B35</v>
          </cell>
          <cell r="F169">
            <v>12</v>
          </cell>
          <cell r="G169">
            <v>110101</v>
          </cell>
          <cell r="K169">
            <v>0</v>
          </cell>
          <cell r="M169" t="str">
            <v>DEL</v>
          </cell>
          <cell r="N169" t="str">
            <v>Resource</v>
          </cell>
          <cell r="Q169" t="str">
            <v>yes</v>
          </cell>
          <cell r="X169">
            <v>18985</v>
          </cell>
          <cell r="Y169" t="str">
            <v xml:space="preserve"> </v>
          </cell>
          <cell r="Z169" t="str">
            <v xml:space="preserve"> </v>
          </cell>
        </row>
        <row r="170">
          <cell r="B170" t="str">
            <v>B35</v>
          </cell>
          <cell r="F170">
            <v>3</v>
          </cell>
          <cell r="G170">
            <v>110101</v>
          </cell>
          <cell r="K170">
            <v>0</v>
          </cell>
          <cell r="M170" t="str">
            <v>DEL</v>
          </cell>
          <cell r="N170" t="str">
            <v>Resource</v>
          </cell>
          <cell r="Q170" t="str">
            <v>yes</v>
          </cell>
          <cell r="X170" t="str">
            <v xml:space="preserve"> </v>
          </cell>
          <cell r="Y170" t="str">
            <v xml:space="preserve"> </v>
          </cell>
          <cell r="Z170" t="str">
            <v xml:space="preserve"> </v>
          </cell>
        </row>
        <row r="171">
          <cell r="B171" t="str">
            <v>B35</v>
          </cell>
          <cell r="F171">
            <v>5</v>
          </cell>
          <cell r="G171">
            <v>110101</v>
          </cell>
          <cell r="K171">
            <v>0</v>
          </cell>
          <cell r="M171" t="str">
            <v>DEL</v>
          </cell>
          <cell r="N171" t="str">
            <v>Resource</v>
          </cell>
          <cell r="Q171" t="str">
            <v>yes</v>
          </cell>
          <cell r="X171" t="str">
            <v xml:space="preserve"> </v>
          </cell>
          <cell r="Y171">
            <v>4251</v>
          </cell>
          <cell r="Z171" t="str">
            <v xml:space="preserve"> </v>
          </cell>
        </row>
        <row r="172">
          <cell r="B172" t="str">
            <v>B35</v>
          </cell>
          <cell r="F172">
            <v>12</v>
          </cell>
          <cell r="G172">
            <v>110101</v>
          </cell>
          <cell r="K172">
            <v>0</v>
          </cell>
          <cell r="M172" t="str">
            <v>DEL</v>
          </cell>
          <cell r="N172" t="str">
            <v>Resource</v>
          </cell>
          <cell r="Q172" t="str">
            <v>yes</v>
          </cell>
          <cell r="X172">
            <v>12300</v>
          </cell>
          <cell r="Y172" t="str">
            <v xml:space="preserve"> </v>
          </cell>
          <cell r="Z172" t="str">
            <v xml:space="preserve"> </v>
          </cell>
        </row>
        <row r="173">
          <cell r="B173" t="str">
            <v>B35</v>
          </cell>
          <cell r="F173">
            <v>2</v>
          </cell>
          <cell r="G173">
            <v>110101</v>
          </cell>
          <cell r="K173">
            <v>0</v>
          </cell>
          <cell r="M173" t="str">
            <v>DEL</v>
          </cell>
          <cell r="N173" t="str">
            <v>Resource</v>
          </cell>
          <cell r="Q173" t="str">
            <v>yes</v>
          </cell>
          <cell r="X173" t="str">
            <v xml:space="preserve"> </v>
          </cell>
          <cell r="Y173">
            <v>56872076</v>
          </cell>
          <cell r="Z173">
            <v>56872076</v>
          </cell>
        </row>
        <row r="174">
          <cell r="B174" t="str">
            <v>B35</v>
          </cell>
          <cell r="F174">
            <v>2</v>
          </cell>
          <cell r="G174">
            <v>110101</v>
          </cell>
          <cell r="K174">
            <v>0</v>
          </cell>
          <cell r="M174" t="str">
            <v>DEL</v>
          </cell>
          <cell r="N174" t="str">
            <v>Resource</v>
          </cell>
          <cell r="Q174" t="str">
            <v>yes</v>
          </cell>
          <cell r="X174" t="str">
            <v xml:space="preserve"> </v>
          </cell>
          <cell r="Y174">
            <v>6432000</v>
          </cell>
          <cell r="Z174">
            <v>13545000</v>
          </cell>
        </row>
        <row r="175">
          <cell r="B175" t="str">
            <v>B38</v>
          </cell>
          <cell r="F175">
            <v>1</v>
          </cell>
          <cell r="G175">
            <v>110302</v>
          </cell>
          <cell r="K175">
            <v>0</v>
          </cell>
          <cell r="M175" t="str">
            <v>DEL</v>
          </cell>
          <cell r="N175" t="str">
            <v>Resource</v>
          </cell>
          <cell r="Q175" t="str">
            <v>no</v>
          </cell>
          <cell r="X175">
            <v>28</v>
          </cell>
          <cell r="Y175" t="str">
            <v xml:space="preserve"> </v>
          </cell>
          <cell r="Z175" t="str">
            <v xml:space="preserve"> </v>
          </cell>
        </row>
        <row r="176">
          <cell r="B176" t="str">
            <v>B38</v>
          </cell>
          <cell r="F176">
            <v>2</v>
          </cell>
          <cell r="G176">
            <v>110302</v>
          </cell>
          <cell r="K176">
            <v>0</v>
          </cell>
          <cell r="M176" t="str">
            <v>DEL</v>
          </cell>
          <cell r="N176" t="str">
            <v>Resource</v>
          </cell>
          <cell r="Q176" t="str">
            <v>no</v>
          </cell>
          <cell r="X176" t="str">
            <v xml:space="preserve"> </v>
          </cell>
          <cell r="Y176">
            <v>28</v>
          </cell>
          <cell r="Z176">
            <v>28</v>
          </cell>
        </row>
        <row r="177">
          <cell r="B177" t="str">
            <v>B38</v>
          </cell>
          <cell r="F177">
            <v>9</v>
          </cell>
          <cell r="G177">
            <v>110401</v>
          </cell>
          <cell r="K177">
            <v>0</v>
          </cell>
          <cell r="M177" t="str">
            <v>DEL</v>
          </cell>
          <cell r="N177" t="str">
            <v>Resource</v>
          </cell>
          <cell r="Q177" t="str">
            <v>no</v>
          </cell>
          <cell r="X177" t="str">
            <v xml:space="preserve"> </v>
          </cell>
          <cell r="Y177" t="str">
            <v xml:space="preserve"> </v>
          </cell>
          <cell r="Z177" t="str">
            <v xml:space="preserve"> </v>
          </cell>
        </row>
        <row r="178">
          <cell r="B178" t="str">
            <v>B38</v>
          </cell>
          <cell r="F178">
            <v>1</v>
          </cell>
          <cell r="G178">
            <v>110401</v>
          </cell>
          <cell r="K178">
            <v>0</v>
          </cell>
          <cell r="M178" t="str">
            <v>DEL</v>
          </cell>
          <cell r="N178" t="str">
            <v>Resource</v>
          </cell>
          <cell r="Q178" t="str">
            <v>no</v>
          </cell>
          <cell r="X178">
            <v>644</v>
          </cell>
          <cell r="Y178" t="str">
            <v xml:space="preserve"> </v>
          </cell>
          <cell r="Z178" t="str">
            <v xml:space="preserve"> </v>
          </cell>
        </row>
        <row r="179">
          <cell r="B179" t="str">
            <v>B35</v>
          </cell>
          <cell r="F179">
            <v>2</v>
          </cell>
          <cell r="G179">
            <v>110101</v>
          </cell>
          <cell r="K179">
            <v>0</v>
          </cell>
          <cell r="M179" t="str">
            <v>DEL</v>
          </cell>
          <cell r="N179" t="str">
            <v>Resource</v>
          </cell>
          <cell r="Q179" t="str">
            <v>yes</v>
          </cell>
          <cell r="X179" t="str">
            <v xml:space="preserve"> </v>
          </cell>
          <cell r="Y179">
            <v>256677</v>
          </cell>
          <cell r="Z179">
            <v>256908</v>
          </cell>
        </row>
        <row r="180">
          <cell r="B180" t="str">
            <v>B35</v>
          </cell>
          <cell r="F180">
            <v>2</v>
          </cell>
          <cell r="G180">
            <v>110101</v>
          </cell>
          <cell r="K180">
            <v>0</v>
          </cell>
          <cell r="M180" t="str">
            <v>DEL</v>
          </cell>
          <cell r="N180" t="str">
            <v>Resource</v>
          </cell>
          <cell r="Q180" t="str">
            <v>yes</v>
          </cell>
          <cell r="X180" t="str">
            <v xml:space="preserve"> </v>
          </cell>
          <cell r="Y180">
            <v>2010000</v>
          </cell>
          <cell r="Z180">
            <v>2010000</v>
          </cell>
        </row>
        <row r="181">
          <cell r="B181" t="str">
            <v>B35</v>
          </cell>
          <cell r="F181">
            <v>2</v>
          </cell>
          <cell r="G181">
            <v>110101</v>
          </cell>
          <cell r="K181">
            <v>0</v>
          </cell>
          <cell r="M181" t="str">
            <v>DEL</v>
          </cell>
          <cell r="N181" t="str">
            <v>Resource</v>
          </cell>
          <cell r="Q181" t="str">
            <v>yes</v>
          </cell>
          <cell r="X181" t="str">
            <v xml:space="preserve"> </v>
          </cell>
          <cell r="Y181">
            <v>-352020</v>
          </cell>
          <cell r="Z181">
            <v>-352020</v>
          </cell>
        </row>
        <row r="182">
          <cell r="B182" t="str">
            <v>B35</v>
          </cell>
          <cell r="F182">
            <v>2</v>
          </cell>
          <cell r="G182">
            <v>110101</v>
          </cell>
          <cell r="K182">
            <v>0</v>
          </cell>
          <cell r="M182" t="str">
            <v>DEL</v>
          </cell>
          <cell r="N182" t="str">
            <v>Resource</v>
          </cell>
          <cell r="Q182" t="str">
            <v>yes</v>
          </cell>
          <cell r="X182" t="str">
            <v xml:space="preserve"> </v>
          </cell>
          <cell r="Y182">
            <v>462</v>
          </cell>
          <cell r="Z182">
            <v>462</v>
          </cell>
        </row>
        <row r="183">
          <cell r="B183" t="str">
            <v>B35</v>
          </cell>
          <cell r="F183">
            <v>2</v>
          </cell>
          <cell r="G183">
            <v>110101</v>
          </cell>
          <cell r="K183">
            <v>0</v>
          </cell>
          <cell r="M183" t="str">
            <v>DEL</v>
          </cell>
          <cell r="N183" t="str">
            <v>Resource</v>
          </cell>
          <cell r="Q183" t="str">
            <v>yes</v>
          </cell>
          <cell r="X183" t="str">
            <v xml:space="preserve"> </v>
          </cell>
          <cell r="Y183">
            <v>-847370</v>
          </cell>
          <cell r="Z183">
            <v>-847370</v>
          </cell>
        </row>
        <row r="184">
          <cell r="B184" t="str">
            <v>B35</v>
          </cell>
          <cell r="F184">
            <v>2</v>
          </cell>
          <cell r="G184">
            <v>110101</v>
          </cell>
          <cell r="K184">
            <v>0</v>
          </cell>
          <cell r="M184" t="str">
            <v>DEL</v>
          </cell>
          <cell r="N184" t="str">
            <v>Resource</v>
          </cell>
          <cell r="Q184" t="str">
            <v>yes</v>
          </cell>
          <cell r="X184" t="str">
            <v xml:space="preserve"> </v>
          </cell>
          <cell r="Y184">
            <v>877774</v>
          </cell>
          <cell r="Z184">
            <v>877774</v>
          </cell>
        </row>
        <row r="185">
          <cell r="B185" t="str">
            <v>B35</v>
          </cell>
          <cell r="F185">
            <v>2</v>
          </cell>
          <cell r="G185">
            <v>110101</v>
          </cell>
          <cell r="K185">
            <v>0</v>
          </cell>
          <cell r="M185" t="str">
            <v>DEL</v>
          </cell>
          <cell r="N185" t="str">
            <v>Resource</v>
          </cell>
          <cell r="Q185" t="str">
            <v>yes</v>
          </cell>
          <cell r="X185" t="str">
            <v xml:space="preserve"> </v>
          </cell>
          <cell r="Y185">
            <v>933340</v>
          </cell>
          <cell r="Z185">
            <v>983340</v>
          </cell>
        </row>
        <row r="186">
          <cell r="B186" t="str">
            <v>B35</v>
          </cell>
          <cell r="F186">
            <v>6</v>
          </cell>
          <cell r="G186">
            <v>110101</v>
          </cell>
          <cell r="K186">
            <v>0</v>
          </cell>
          <cell r="M186" t="str">
            <v>DEL</v>
          </cell>
          <cell r="N186" t="str">
            <v>Resource</v>
          </cell>
          <cell r="Q186" t="str">
            <v>yes</v>
          </cell>
          <cell r="X186" t="str">
            <v xml:space="preserve"> </v>
          </cell>
          <cell r="Y186" t="str">
            <v xml:space="preserve"> </v>
          </cell>
          <cell r="Z186" t="str">
            <v xml:space="preserve"> </v>
          </cell>
        </row>
        <row r="187">
          <cell r="B187" t="str">
            <v>B35</v>
          </cell>
          <cell r="F187">
            <v>6</v>
          </cell>
          <cell r="G187">
            <v>110101</v>
          </cell>
          <cell r="K187">
            <v>0</v>
          </cell>
          <cell r="M187" t="str">
            <v>DEL</v>
          </cell>
          <cell r="N187" t="str">
            <v>Resource</v>
          </cell>
          <cell r="Q187" t="str">
            <v>yes</v>
          </cell>
          <cell r="X187" t="str">
            <v xml:space="preserve"> </v>
          </cell>
          <cell r="Y187" t="str">
            <v xml:space="preserve"> </v>
          </cell>
          <cell r="Z187" t="str">
            <v xml:space="preserve"> </v>
          </cell>
        </row>
        <row r="188">
          <cell r="B188" t="str">
            <v>B38</v>
          </cell>
          <cell r="F188">
            <v>12</v>
          </cell>
          <cell r="G188">
            <v>110407</v>
          </cell>
          <cell r="K188">
            <v>0</v>
          </cell>
          <cell r="M188" t="str">
            <v>DEL</v>
          </cell>
          <cell r="N188" t="str">
            <v>Resource</v>
          </cell>
          <cell r="Q188" t="str">
            <v>no</v>
          </cell>
          <cell r="X188" t="str">
            <v xml:space="preserve"> </v>
          </cell>
          <cell r="Y188" t="str">
            <v xml:space="preserve"> </v>
          </cell>
          <cell r="Z188" t="str">
            <v xml:space="preserve"> </v>
          </cell>
        </row>
        <row r="189">
          <cell r="B189" t="str">
            <v>B38</v>
          </cell>
          <cell r="F189">
            <v>2</v>
          </cell>
          <cell r="G189">
            <v>110401</v>
          </cell>
          <cell r="K189">
            <v>0</v>
          </cell>
          <cell r="M189" t="str">
            <v>DEL</v>
          </cell>
          <cell r="N189" t="str">
            <v>Resource</v>
          </cell>
          <cell r="Q189" t="str">
            <v>no</v>
          </cell>
          <cell r="X189" t="str">
            <v xml:space="preserve"> </v>
          </cell>
          <cell r="Y189">
            <v>644</v>
          </cell>
          <cell r="Z189">
            <v>644</v>
          </cell>
        </row>
        <row r="190">
          <cell r="B190" t="str">
            <v>B35</v>
          </cell>
          <cell r="F190">
            <v>6</v>
          </cell>
          <cell r="G190">
            <v>110101</v>
          </cell>
          <cell r="K190">
            <v>0</v>
          </cell>
          <cell r="M190" t="str">
            <v>DEL</v>
          </cell>
          <cell r="N190" t="str">
            <v>Resource</v>
          </cell>
          <cell r="Q190" t="str">
            <v>yes</v>
          </cell>
          <cell r="X190" t="str">
            <v xml:space="preserve"> </v>
          </cell>
          <cell r="Y190" t="str">
            <v xml:space="preserve"> </v>
          </cell>
          <cell r="Z190" t="str">
            <v xml:space="preserve"> </v>
          </cell>
        </row>
        <row r="191">
          <cell r="B191" t="str">
            <v>B35</v>
          </cell>
          <cell r="F191">
            <v>6</v>
          </cell>
          <cell r="G191">
            <v>110101</v>
          </cell>
          <cell r="K191">
            <v>0</v>
          </cell>
          <cell r="M191" t="str">
            <v>DEL</v>
          </cell>
          <cell r="N191" t="str">
            <v>Resource</v>
          </cell>
          <cell r="Q191" t="str">
            <v>yes</v>
          </cell>
          <cell r="X191" t="str">
            <v xml:space="preserve"> </v>
          </cell>
          <cell r="Y191" t="str">
            <v xml:space="preserve"> </v>
          </cell>
          <cell r="Z191" t="str">
            <v xml:space="preserve"> </v>
          </cell>
        </row>
        <row r="192">
          <cell r="B192" t="str">
            <v>B38</v>
          </cell>
          <cell r="F192">
            <v>1</v>
          </cell>
          <cell r="G192">
            <v>110407</v>
          </cell>
          <cell r="K192">
            <v>0</v>
          </cell>
          <cell r="M192" t="str">
            <v>DEL</v>
          </cell>
          <cell r="N192" t="str">
            <v>Resource</v>
          </cell>
          <cell r="Q192" t="str">
            <v>no</v>
          </cell>
          <cell r="X192">
            <v>50</v>
          </cell>
          <cell r="Y192" t="str">
            <v xml:space="preserve"> </v>
          </cell>
          <cell r="Z192" t="str">
            <v xml:space="preserve"> </v>
          </cell>
        </row>
        <row r="193">
          <cell r="B193" t="str">
            <v>B38</v>
          </cell>
          <cell r="F193">
            <v>2</v>
          </cell>
          <cell r="G193">
            <v>110407</v>
          </cell>
          <cell r="K193">
            <v>0</v>
          </cell>
          <cell r="M193" t="str">
            <v>DEL</v>
          </cell>
          <cell r="N193" t="str">
            <v>Resource</v>
          </cell>
          <cell r="Q193" t="str">
            <v>no</v>
          </cell>
          <cell r="X193" t="str">
            <v xml:space="preserve"> </v>
          </cell>
          <cell r="Y193">
            <v>50</v>
          </cell>
          <cell r="Z193">
            <v>50</v>
          </cell>
        </row>
        <row r="194">
          <cell r="B194" t="str">
            <v>B38</v>
          </cell>
          <cell r="F194">
            <v>6</v>
          </cell>
          <cell r="G194">
            <v>110407</v>
          </cell>
          <cell r="K194">
            <v>0</v>
          </cell>
          <cell r="M194" t="str">
            <v>DEL</v>
          </cell>
          <cell r="N194" t="str">
            <v>Resource</v>
          </cell>
          <cell r="Q194" t="str">
            <v>no</v>
          </cell>
          <cell r="X194" t="str">
            <v xml:space="preserve"> </v>
          </cell>
          <cell r="Y194" t="str">
            <v xml:space="preserve"> </v>
          </cell>
          <cell r="Z194" t="str">
            <v xml:space="preserve"> </v>
          </cell>
        </row>
        <row r="195">
          <cell r="B195" t="str">
            <v>B85</v>
          </cell>
          <cell r="F195">
            <v>9</v>
          </cell>
          <cell r="G195">
            <v>110401</v>
          </cell>
          <cell r="K195">
            <v>0</v>
          </cell>
          <cell r="M195" t="str">
            <v>DEL</v>
          </cell>
          <cell r="N195" t="str">
            <v>Resource</v>
          </cell>
          <cell r="Q195" t="str">
            <v>no</v>
          </cell>
          <cell r="X195" t="str">
            <v xml:space="preserve"> </v>
          </cell>
          <cell r="Y195" t="str">
            <v xml:space="preserve"> </v>
          </cell>
          <cell r="Z195" t="str">
            <v xml:space="preserve"> </v>
          </cell>
        </row>
        <row r="196">
          <cell r="B196" t="str">
            <v>B35</v>
          </cell>
          <cell r="F196">
            <v>6</v>
          </cell>
          <cell r="G196">
            <v>110101</v>
          </cell>
          <cell r="K196">
            <v>0</v>
          </cell>
          <cell r="M196" t="str">
            <v>DEL</v>
          </cell>
          <cell r="N196" t="str">
            <v>Resource</v>
          </cell>
          <cell r="Q196" t="str">
            <v>yes</v>
          </cell>
          <cell r="X196" t="str">
            <v xml:space="preserve"> </v>
          </cell>
          <cell r="Y196" t="str">
            <v xml:space="preserve"> </v>
          </cell>
          <cell r="Z196" t="str">
            <v xml:space="preserve"> </v>
          </cell>
        </row>
        <row r="197">
          <cell r="B197" t="str">
            <v>B85</v>
          </cell>
          <cell r="F197">
            <v>1</v>
          </cell>
          <cell r="G197">
            <v>110401</v>
          </cell>
          <cell r="K197">
            <v>0</v>
          </cell>
          <cell r="M197" t="str">
            <v>DEL</v>
          </cell>
          <cell r="N197" t="str">
            <v>Resource</v>
          </cell>
          <cell r="Q197" t="str">
            <v>no</v>
          </cell>
          <cell r="X197">
            <v>60</v>
          </cell>
          <cell r="Y197" t="str">
            <v xml:space="preserve"> </v>
          </cell>
          <cell r="Z197" t="str">
            <v xml:space="preserve"> </v>
          </cell>
        </row>
        <row r="198">
          <cell r="B198" t="str">
            <v>B85</v>
          </cell>
          <cell r="F198">
            <v>2</v>
          </cell>
          <cell r="G198">
            <v>110401</v>
          </cell>
          <cell r="K198">
            <v>0</v>
          </cell>
          <cell r="M198" t="str">
            <v>DEL</v>
          </cell>
          <cell r="N198" t="str">
            <v>Resource</v>
          </cell>
          <cell r="Q198" t="str">
            <v>no</v>
          </cell>
          <cell r="X198" t="str">
            <v xml:space="preserve"> </v>
          </cell>
          <cell r="Y198">
            <v>60</v>
          </cell>
          <cell r="Z198">
            <v>60</v>
          </cell>
        </row>
        <row r="199">
          <cell r="B199" t="str">
            <v>B90</v>
          </cell>
          <cell r="F199">
            <v>1</v>
          </cell>
          <cell r="G199">
            <v>110101</v>
          </cell>
          <cell r="K199">
            <v>0</v>
          </cell>
          <cell r="M199" t="str">
            <v>DEL</v>
          </cell>
          <cell r="N199" t="str">
            <v>Resource</v>
          </cell>
          <cell r="Q199" t="str">
            <v>no</v>
          </cell>
          <cell r="X199">
            <v>393401</v>
          </cell>
          <cell r="Y199" t="str">
            <v xml:space="preserve"> </v>
          </cell>
          <cell r="Z199" t="str">
            <v xml:space="preserve"> </v>
          </cell>
        </row>
        <row r="200">
          <cell r="B200" t="str">
            <v>B90</v>
          </cell>
          <cell r="F200">
            <v>1</v>
          </cell>
          <cell r="G200">
            <v>110101</v>
          </cell>
          <cell r="K200">
            <v>0</v>
          </cell>
          <cell r="M200" t="str">
            <v>DEL</v>
          </cell>
          <cell r="N200" t="str">
            <v>Resource</v>
          </cell>
          <cell r="Q200" t="str">
            <v>no</v>
          </cell>
          <cell r="X200">
            <v>18000</v>
          </cell>
          <cell r="Y200" t="str">
            <v xml:space="preserve"> </v>
          </cell>
          <cell r="Z200" t="str">
            <v xml:space="preserve"> </v>
          </cell>
        </row>
        <row r="201">
          <cell r="B201" t="str">
            <v>B90</v>
          </cell>
          <cell r="F201">
            <v>2</v>
          </cell>
          <cell r="G201">
            <v>110101</v>
          </cell>
          <cell r="K201">
            <v>0</v>
          </cell>
          <cell r="M201" t="str">
            <v>DEL</v>
          </cell>
          <cell r="N201" t="str">
            <v>Resource</v>
          </cell>
          <cell r="Q201" t="str">
            <v>no</v>
          </cell>
          <cell r="X201" t="str">
            <v xml:space="preserve"> </v>
          </cell>
          <cell r="Y201">
            <v>393401</v>
          </cell>
          <cell r="Z201">
            <v>393401</v>
          </cell>
        </row>
        <row r="202">
          <cell r="B202" t="str">
            <v>B90</v>
          </cell>
          <cell r="F202">
            <v>2</v>
          </cell>
          <cell r="G202">
            <v>110101</v>
          </cell>
          <cell r="K202">
            <v>0</v>
          </cell>
          <cell r="M202" t="str">
            <v>DEL</v>
          </cell>
          <cell r="N202" t="str">
            <v>Resource</v>
          </cell>
          <cell r="Q202" t="str">
            <v>no</v>
          </cell>
          <cell r="X202" t="str">
            <v xml:space="preserve"> </v>
          </cell>
          <cell r="Y202">
            <v>64000</v>
          </cell>
          <cell r="Z202">
            <v>139000</v>
          </cell>
        </row>
        <row r="203">
          <cell r="B203" t="str">
            <v>B90</v>
          </cell>
          <cell r="F203">
            <v>2</v>
          </cell>
          <cell r="G203">
            <v>110101</v>
          </cell>
          <cell r="K203">
            <v>0</v>
          </cell>
          <cell r="M203" t="str">
            <v>DEL</v>
          </cell>
          <cell r="N203" t="str">
            <v>Resource</v>
          </cell>
          <cell r="Q203" t="str">
            <v>no</v>
          </cell>
          <cell r="X203" t="str">
            <v xml:space="preserve"> </v>
          </cell>
          <cell r="Y203">
            <v>18000</v>
          </cell>
          <cell r="Z203">
            <v>18000</v>
          </cell>
        </row>
        <row r="204">
          <cell r="B204" t="str">
            <v>B35</v>
          </cell>
          <cell r="F204">
            <v>6</v>
          </cell>
          <cell r="G204">
            <v>110101</v>
          </cell>
          <cell r="K204">
            <v>0</v>
          </cell>
          <cell r="M204" t="str">
            <v>DEL</v>
          </cell>
          <cell r="N204" t="str">
            <v>Resource</v>
          </cell>
          <cell r="Q204" t="str">
            <v>yes</v>
          </cell>
          <cell r="X204" t="str">
            <v xml:space="preserve"> </v>
          </cell>
          <cell r="Y204" t="str">
            <v xml:space="preserve"> </v>
          </cell>
          <cell r="Z204" t="str">
            <v xml:space="preserve"> </v>
          </cell>
        </row>
        <row r="205">
          <cell r="B205" t="str">
            <v>B90</v>
          </cell>
          <cell r="F205">
            <v>12</v>
          </cell>
          <cell r="G205">
            <v>110101</v>
          </cell>
          <cell r="K205">
            <v>0</v>
          </cell>
          <cell r="M205" t="str">
            <v>DEL</v>
          </cell>
          <cell r="N205" t="str">
            <v>Resource</v>
          </cell>
          <cell r="Q205" t="str">
            <v>no</v>
          </cell>
          <cell r="X205" t="str">
            <v xml:space="preserve"> </v>
          </cell>
          <cell r="Y205" t="str">
            <v xml:space="preserve"> </v>
          </cell>
          <cell r="Z205" t="str">
            <v xml:space="preserve"> </v>
          </cell>
        </row>
        <row r="206">
          <cell r="B206" t="str">
            <v>B90</v>
          </cell>
          <cell r="F206">
            <v>1</v>
          </cell>
          <cell r="G206">
            <v>110201</v>
          </cell>
          <cell r="K206" t="str">
            <v>PSS</v>
          </cell>
          <cell r="M206" t="str">
            <v>DEL</v>
          </cell>
          <cell r="N206" t="str">
            <v>Resource</v>
          </cell>
          <cell r="Q206" t="str">
            <v>no</v>
          </cell>
          <cell r="X206">
            <v>10092</v>
          </cell>
          <cell r="Y206" t="str">
            <v xml:space="preserve"> </v>
          </cell>
          <cell r="Z206" t="str">
            <v xml:space="preserve"> </v>
          </cell>
        </row>
        <row r="207">
          <cell r="B207" t="str">
            <v>B90</v>
          </cell>
          <cell r="F207">
            <v>6</v>
          </cell>
          <cell r="G207">
            <v>110201</v>
          </cell>
          <cell r="K207" t="str">
            <v>PSS</v>
          </cell>
          <cell r="M207" t="str">
            <v>DEL</v>
          </cell>
          <cell r="N207" t="str">
            <v>Resource</v>
          </cell>
          <cell r="Q207" t="str">
            <v>no</v>
          </cell>
          <cell r="X207">
            <v>5745</v>
          </cell>
          <cell r="Y207" t="str">
            <v xml:space="preserve"> </v>
          </cell>
          <cell r="Z207" t="str">
            <v xml:space="preserve"> </v>
          </cell>
        </row>
        <row r="208">
          <cell r="B208" t="str">
            <v>B90</v>
          </cell>
          <cell r="F208">
            <v>6</v>
          </cell>
          <cell r="G208">
            <v>110201</v>
          </cell>
          <cell r="K208" t="str">
            <v>PSS</v>
          </cell>
          <cell r="M208" t="str">
            <v>DEL</v>
          </cell>
          <cell r="N208" t="str">
            <v>Resource</v>
          </cell>
          <cell r="Q208" t="str">
            <v>no</v>
          </cell>
          <cell r="X208">
            <v>630</v>
          </cell>
          <cell r="Y208" t="str">
            <v xml:space="preserve"> </v>
          </cell>
          <cell r="Z208" t="str">
            <v xml:space="preserve"> </v>
          </cell>
        </row>
        <row r="209">
          <cell r="B209" t="str">
            <v>B90</v>
          </cell>
          <cell r="F209">
            <v>6</v>
          </cell>
          <cell r="G209">
            <v>110201</v>
          </cell>
          <cell r="K209" t="str">
            <v>PSS</v>
          </cell>
          <cell r="M209" t="str">
            <v>DEL</v>
          </cell>
          <cell r="N209" t="str">
            <v>Resource</v>
          </cell>
          <cell r="Q209" t="str">
            <v>no</v>
          </cell>
          <cell r="X209">
            <v>-630</v>
          </cell>
          <cell r="Y209" t="str">
            <v xml:space="preserve"> </v>
          </cell>
          <cell r="Z209" t="str">
            <v xml:space="preserve"> </v>
          </cell>
        </row>
        <row r="210">
          <cell r="B210" t="str">
            <v>B90</v>
          </cell>
          <cell r="F210">
            <v>2</v>
          </cell>
          <cell r="G210">
            <v>110201</v>
          </cell>
          <cell r="K210" t="str">
            <v>PSS</v>
          </cell>
          <cell r="M210" t="str">
            <v>DEL</v>
          </cell>
          <cell r="N210" t="str">
            <v>Resource</v>
          </cell>
          <cell r="Q210" t="str">
            <v>no</v>
          </cell>
          <cell r="X210" t="str">
            <v xml:space="preserve"> </v>
          </cell>
          <cell r="Y210">
            <v>10092</v>
          </cell>
          <cell r="Z210">
            <v>10092</v>
          </cell>
        </row>
        <row r="211">
          <cell r="B211" t="str">
            <v>B90</v>
          </cell>
          <cell r="F211">
            <v>1</v>
          </cell>
          <cell r="G211">
            <v>110302</v>
          </cell>
          <cell r="K211">
            <v>0</v>
          </cell>
          <cell r="M211" t="str">
            <v>DEL</v>
          </cell>
          <cell r="N211" t="str">
            <v>Resource</v>
          </cell>
          <cell r="Q211" t="str">
            <v>no</v>
          </cell>
          <cell r="X211">
            <v>365</v>
          </cell>
          <cell r="Y211" t="str">
            <v xml:space="preserve"> </v>
          </cell>
          <cell r="Z211" t="str">
            <v xml:space="preserve"> </v>
          </cell>
        </row>
        <row r="212">
          <cell r="B212" t="str">
            <v>B90</v>
          </cell>
          <cell r="F212">
            <v>2</v>
          </cell>
          <cell r="G212">
            <v>110302</v>
          </cell>
          <cell r="K212">
            <v>0</v>
          </cell>
          <cell r="M212" t="str">
            <v>DEL</v>
          </cell>
          <cell r="N212" t="str">
            <v>Resource</v>
          </cell>
          <cell r="Q212" t="str">
            <v>no</v>
          </cell>
          <cell r="X212" t="str">
            <v xml:space="preserve"> </v>
          </cell>
          <cell r="Y212">
            <v>365</v>
          </cell>
          <cell r="Z212">
            <v>365</v>
          </cell>
        </row>
        <row r="213">
          <cell r="B213" t="str">
            <v>B90</v>
          </cell>
          <cell r="F213">
            <v>1</v>
          </cell>
          <cell r="G213">
            <v>110306</v>
          </cell>
          <cell r="K213">
            <v>0</v>
          </cell>
          <cell r="M213" t="str">
            <v>DEL</v>
          </cell>
          <cell r="N213" t="str">
            <v>Resource</v>
          </cell>
          <cell r="Q213" t="str">
            <v>no</v>
          </cell>
          <cell r="X213">
            <v>18909</v>
          </cell>
          <cell r="Y213" t="str">
            <v xml:space="preserve"> </v>
          </cell>
          <cell r="Z213" t="str">
            <v xml:space="preserve"> </v>
          </cell>
        </row>
        <row r="214">
          <cell r="B214" t="str">
            <v>B90</v>
          </cell>
          <cell r="F214">
            <v>6</v>
          </cell>
          <cell r="G214">
            <v>110306</v>
          </cell>
          <cell r="K214">
            <v>0</v>
          </cell>
          <cell r="M214" t="str">
            <v>DEL</v>
          </cell>
          <cell r="N214" t="str">
            <v>Resource</v>
          </cell>
          <cell r="Q214" t="str">
            <v>no</v>
          </cell>
          <cell r="X214">
            <v>-452</v>
          </cell>
          <cell r="Y214" t="str">
            <v xml:space="preserve"> </v>
          </cell>
          <cell r="Z214" t="str">
            <v xml:space="preserve"> </v>
          </cell>
        </row>
        <row r="215">
          <cell r="B215" t="str">
            <v>B35</v>
          </cell>
          <cell r="F215">
            <v>6</v>
          </cell>
          <cell r="G215">
            <v>110101</v>
          </cell>
          <cell r="K215">
            <v>0</v>
          </cell>
          <cell r="M215" t="str">
            <v>DEL</v>
          </cell>
          <cell r="N215" t="str">
            <v>Resource</v>
          </cell>
          <cell r="Q215" t="str">
            <v>yes</v>
          </cell>
          <cell r="X215" t="str">
            <v xml:space="preserve"> </v>
          </cell>
          <cell r="Y215" t="str">
            <v xml:space="preserve"> </v>
          </cell>
          <cell r="Z215" t="str">
            <v xml:space="preserve"> </v>
          </cell>
        </row>
        <row r="216">
          <cell r="B216" t="str">
            <v>B35</v>
          </cell>
          <cell r="F216">
            <v>6</v>
          </cell>
          <cell r="G216">
            <v>110101</v>
          </cell>
          <cell r="K216">
            <v>0</v>
          </cell>
          <cell r="M216" t="str">
            <v>DEL</v>
          </cell>
          <cell r="N216" t="str">
            <v>Resource</v>
          </cell>
          <cell r="Q216" t="str">
            <v>yes</v>
          </cell>
          <cell r="X216" t="str">
            <v xml:space="preserve"> </v>
          </cell>
          <cell r="Y216" t="str">
            <v xml:space="preserve"> </v>
          </cell>
          <cell r="Z216" t="str">
            <v xml:space="preserve"> </v>
          </cell>
        </row>
        <row r="217">
          <cell r="B217" t="str">
            <v>B90</v>
          </cell>
          <cell r="F217">
            <v>6</v>
          </cell>
          <cell r="G217">
            <v>110306</v>
          </cell>
          <cell r="K217">
            <v>0</v>
          </cell>
          <cell r="M217" t="str">
            <v>DEL</v>
          </cell>
          <cell r="N217" t="str">
            <v>Resource</v>
          </cell>
          <cell r="Q217" t="str">
            <v>no</v>
          </cell>
          <cell r="X217">
            <v>-630</v>
          </cell>
          <cell r="Y217" t="str">
            <v xml:space="preserve"> </v>
          </cell>
          <cell r="Z217" t="str">
            <v xml:space="preserve"> </v>
          </cell>
        </row>
        <row r="218">
          <cell r="B218" t="str">
            <v>B90</v>
          </cell>
          <cell r="F218">
            <v>6</v>
          </cell>
          <cell r="G218">
            <v>110306</v>
          </cell>
          <cell r="K218">
            <v>0</v>
          </cell>
          <cell r="M218" t="str">
            <v>DEL</v>
          </cell>
          <cell r="N218" t="str">
            <v>Resource</v>
          </cell>
          <cell r="Q218" t="str">
            <v>no</v>
          </cell>
          <cell r="X218">
            <v>-625</v>
          </cell>
          <cell r="Y218" t="str">
            <v xml:space="preserve"> </v>
          </cell>
          <cell r="Z218" t="str">
            <v xml:space="preserve"> </v>
          </cell>
        </row>
        <row r="219">
          <cell r="B219" t="str">
            <v>B35</v>
          </cell>
          <cell r="F219">
            <v>6</v>
          </cell>
          <cell r="G219">
            <v>110101</v>
          </cell>
          <cell r="K219">
            <v>0</v>
          </cell>
          <cell r="M219" t="str">
            <v>DEL</v>
          </cell>
          <cell r="N219" t="str">
            <v>Resource</v>
          </cell>
          <cell r="Q219" t="str">
            <v>yes</v>
          </cell>
          <cell r="X219" t="str">
            <v xml:space="preserve"> </v>
          </cell>
          <cell r="Y219" t="str">
            <v xml:space="preserve"> </v>
          </cell>
          <cell r="Z219" t="str">
            <v xml:space="preserve"> </v>
          </cell>
        </row>
        <row r="220">
          <cell r="B220" t="str">
            <v>B90</v>
          </cell>
          <cell r="F220">
            <v>6</v>
          </cell>
          <cell r="G220">
            <v>110306</v>
          </cell>
          <cell r="K220">
            <v>0</v>
          </cell>
          <cell r="M220" t="str">
            <v>DEL</v>
          </cell>
          <cell r="N220" t="str">
            <v>Resource</v>
          </cell>
          <cell r="Q220" t="str">
            <v>no</v>
          </cell>
          <cell r="X220">
            <v>630</v>
          </cell>
          <cell r="Y220" t="str">
            <v xml:space="preserve"> </v>
          </cell>
          <cell r="Z220" t="str">
            <v xml:space="preserve"> </v>
          </cell>
        </row>
        <row r="221">
          <cell r="B221" t="str">
            <v>B90</v>
          </cell>
          <cell r="F221">
            <v>2</v>
          </cell>
          <cell r="G221">
            <v>110306</v>
          </cell>
          <cell r="K221">
            <v>0</v>
          </cell>
          <cell r="M221" t="str">
            <v>DEL</v>
          </cell>
          <cell r="N221" t="str">
            <v>Resource</v>
          </cell>
          <cell r="Q221" t="str">
            <v>no</v>
          </cell>
          <cell r="X221" t="str">
            <v xml:space="preserve"> </v>
          </cell>
          <cell r="Y221">
            <v>18909</v>
          </cell>
          <cell r="Z221">
            <v>18909</v>
          </cell>
        </row>
        <row r="222">
          <cell r="B222" t="str">
            <v>B35</v>
          </cell>
          <cell r="F222">
            <v>6</v>
          </cell>
          <cell r="G222">
            <v>110101</v>
          </cell>
          <cell r="K222">
            <v>0</v>
          </cell>
          <cell r="M222" t="str">
            <v>DEL</v>
          </cell>
          <cell r="N222" t="str">
            <v>Resource</v>
          </cell>
          <cell r="Q222" t="str">
            <v>yes</v>
          </cell>
          <cell r="X222" t="str">
            <v xml:space="preserve"> </v>
          </cell>
          <cell r="Y222" t="str">
            <v xml:space="preserve"> </v>
          </cell>
          <cell r="Z222" t="str">
            <v xml:space="preserve"> </v>
          </cell>
        </row>
        <row r="223">
          <cell r="B223" t="str">
            <v>B90</v>
          </cell>
          <cell r="F223">
            <v>9</v>
          </cell>
          <cell r="G223">
            <v>110101</v>
          </cell>
          <cell r="K223">
            <v>0</v>
          </cell>
          <cell r="M223" t="str">
            <v>DEL</v>
          </cell>
          <cell r="N223" t="str">
            <v>Resource</v>
          </cell>
          <cell r="Q223" t="str">
            <v>no</v>
          </cell>
          <cell r="X223" t="str">
            <v xml:space="preserve"> </v>
          </cell>
          <cell r="Y223" t="str">
            <v xml:space="preserve"> </v>
          </cell>
          <cell r="Z223" t="str">
            <v xml:space="preserve"> </v>
          </cell>
        </row>
        <row r="224">
          <cell r="B224" t="str">
            <v>G20</v>
          </cell>
          <cell r="F224">
            <v>1</v>
          </cell>
          <cell r="G224">
            <v>110101</v>
          </cell>
          <cell r="K224">
            <v>0</v>
          </cell>
          <cell r="M224" t="str">
            <v>DEL</v>
          </cell>
          <cell r="N224" t="str">
            <v>Resource</v>
          </cell>
          <cell r="Q224" t="str">
            <v>no</v>
          </cell>
          <cell r="X224">
            <v>39321</v>
          </cell>
          <cell r="Y224" t="str">
            <v xml:space="preserve"> </v>
          </cell>
          <cell r="Z224" t="str">
            <v xml:space="preserve"> </v>
          </cell>
        </row>
        <row r="225">
          <cell r="B225" t="str">
            <v>G20</v>
          </cell>
          <cell r="F225">
            <v>1</v>
          </cell>
          <cell r="G225">
            <v>110102</v>
          </cell>
          <cell r="K225">
            <v>0</v>
          </cell>
          <cell r="M225" t="str">
            <v>DEL</v>
          </cell>
          <cell r="N225" t="str">
            <v>Resource</v>
          </cell>
          <cell r="Q225" t="str">
            <v>no</v>
          </cell>
          <cell r="X225">
            <v>26221</v>
          </cell>
          <cell r="Y225" t="str">
            <v xml:space="preserve"> </v>
          </cell>
          <cell r="Z225" t="str">
            <v xml:space="preserve"> </v>
          </cell>
        </row>
        <row r="226">
          <cell r="B226" t="str">
            <v>G20</v>
          </cell>
          <cell r="F226">
            <v>1</v>
          </cell>
          <cell r="G226">
            <v>110201</v>
          </cell>
          <cell r="K226" t="str">
            <v>PSS</v>
          </cell>
          <cell r="M226" t="str">
            <v>DEL</v>
          </cell>
          <cell r="N226" t="str">
            <v>Resource</v>
          </cell>
          <cell r="Q226" t="str">
            <v>no</v>
          </cell>
          <cell r="X226" t="str">
            <v xml:space="preserve"> </v>
          </cell>
          <cell r="Y226" t="str">
            <v xml:space="preserve"> </v>
          </cell>
          <cell r="Z226" t="str">
            <v xml:space="preserve"> </v>
          </cell>
        </row>
        <row r="227">
          <cell r="B227" t="str">
            <v>G20</v>
          </cell>
          <cell r="F227">
            <v>2</v>
          </cell>
          <cell r="G227">
            <v>110101</v>
          </cell>
          <cell r="K227">
            <v>0</v>
          </cell>
          <cell r="M227" t="str">
            <v>DEL</v>
          </cell>
          <cell r="N227" t="str">
            <v>Resource</v>
          </cell>
          <cell r="Q227" t="str">
            <v>no</v>
          </cell>
          <cell r="X227" t="str">
            <v xml:space="preserve"> </v>
          </cell>
          <cell r="Y227">
            <v>39321</v>
          </cell>
          <cell r="Z227">
            <v>39321</v>
          </cell>
        </row>
        <row r="228">
          <cell r="B228" t="str">
            <v>E05</v>
          </cell>
          <cell r="F228">
            <v>12</v>
          </cell>
          <cell r="G228">
            <v>110101</v>
          </cell>
          <cell r="K228">
            <v>0</v>
          </cell>
          <cell r="M228" t="str">
            <v>DEL</v>
          </cell>
          <cell r="N228" t="str">
            <v>Capital</v>
          </cell>
          <cell r="Q228" t="str">
            <v>no</v>
          </cell>
          <cell r="X228" t="str">
            <v xml:space="preserve"> </v>
          </cell>
          <cell r="Y228" t="str">
            <v xml:space="preserve"> </v>
          </cell>
          <cell r="Z228" t="str">
            <v xml:space="preserve"> </v>
          </cell>
        </row>
        <row r="229">
          <cell r="B229" t="str">
            <v>G20</v>
          </cell>
          <cell r="F229">
            <v>2</v>
          </cell>
          <cell r="G229">
            <v>110102</v>
          </cell>
          <cell r="K229">
            <v>0</v>
          </cell>
          <cell r="M229" t="str">
            <v>DEL</v>
          </cell>
          <cell r="N229" t="str">
            <v>Resource</v>
          </cell>
          <cell r="Q229" t="str">
            <v>no</v>
          </cell>
          <cell r="X229" t="str">
            <v xml:space="preserve"> </v>
          </cell>
          <cell r="Y229">
            <v>26221</v>
          </cell>
          <cell r="Z229">
            <v>26221</v>
          </cell>
        </row>
        <row r="230">
          <cell r="B230" t="str">
            <v>B35</v>
          </cell>
          <cell r="F230">
            <v>3</v>
          </cell>
          <cell r="G230">
            <v>110101</v>
          </cell>
          <cell r="K230">
            <v>0</v>
          </cell>
          <cell r="M230" t="str">
            <v>DEL</v>
          </cell>
          <cell r="N230" t="str">
            <v>Resource</v>
          </cell>
          <cell r="Q230" t="str">
            <v>yes</v>
          </cell>
          <cell r="X230" t="str">
            <v xml:space="preserve"> </v>
          </cell>
          <cell r="Y230" t="str">
            <v xml:space="preserve"> </v>
          </cell>
          <cell r="Z230" t="str">
            <v xml:space="preserve"> </v>
          </cell>
        </row>
        <row r="231">
          <cell r="B231" t="str">
            <v>B35</v>
          </cell>
          <cell r="F231">
            <v>3</v>
          </cell>
          <cell r="G231">
            <v>110101</v>
          </cell>
          <cell r="K231">
            <v>0</v>
          </cell>
          <cell r="M231" t="str">
            <v>DEL</v>
          </cell>
          <cell r="N231" t="str">
            <v>Resource</v>
          </cell>
          <cell r="Q231" t="str">
            <v>yes</v>
          </cell>
          <cell r="X231" t="str">
            <v xml:space="preserve"> </v>
          </cell>
          <cell r="Y231" t="str">
            <v xml:space="preserve"> </v>
          </cell>
          <cell r="Z231" t="str">
            <v xml:space="preserve"> </v>
          </cell>
        </row>
        <row r="232">
          <cell r="B232" t="str">
            <v>E06</v>
          </cell>
          <cell r="F232">
            <v>12</v>
          </cell>
          <cell r="G232">
            <v>110101</v>
          </cell>
          <cell r="K232">
            <v>0</v>
          </cell>
          <cell r="M232" t="str">
            <v>DEL</v>
          </cell>
          <cell r="N232" t="str">
            <v>Capital</v>
          </cell>
          <cell r="Q232" t="str">
            <v>no</v>
          </cell>
          <cell r="X232" t="str">
            <v xml:space="preserve"> </v>
          </cell>
          <cell r="Y232" t="str">
            <v xml:space="preserve"> </v>
          </cell>
          <cell r="Z232" t="str">
            <v xml:space="preserve"> </v>
          </cell>
        </row>
        <row r="233">
          <cell r="B233" t="str">
            <v>B35</v>
          </cell>
          <cell r="F233">
            <v>3</v>
          </cell>
          <cell r="G233">
            <v>110101</v>
          </cell>
          <cell r="K233">
            <v>0</v>
          </cell>
          <cell r="M233" t="str">
            <v>DEL</v>
          </cell>
          <cell r="N233" t="str">
            <v>Resource</v>
          </cell>
          <cell r="Q233" t="str">
            <v>yes</v>
          </cell>
          <cell r="X233" t="str">
            <v xml:space="preserve"> </v>
          </cell>
          <cell r="Y233" t="str">
            <v xml:space="preserve"> </v>
          </cell>
          <cell r="Z233" t="str">
            <v xml:space="preserve"> </v>
          </cell>
        </row>
        <row r="234">
          <cell r="B234" t="str">
            <v>B35</v>
          </cell>
          <cell r="F234">
            <v>6</v>
          </cell>
          <cell r="G234">
            <v>110101</v>
          </cell>
          <cell r="K234">
            <v>0</v>
          </cell>
          <cell r="M234" t="str">
            <v>DEL</v>
          </cell>
          <cell r="N234" t="str">
            <v>Resource</v>
          </cell>
          <cell r="Q234" t="str">
            <v>yes</v>
          </cell>
          <cell r="X234" t="str">
            <v xml:space="preserve"> </v>
          </cell>
          <cell r="Y234" t="str">
            <v xml:space="preserve"> </v>
          </cell>
          <cell r="Z234" t="str">
            <v xml:space="preserve"> </v>
          </cell>
        </row>
        <row r="235">
          <cell r="B235" t="str">
            <v>B35</v>
          </cell>
          <cell r="F235">
            <v>6</v>
          </cell>
          <cell r="G235">
            <v>110101</v>
          </cell>
          <cell r="K235">
            <v>0</v>
          </cell>
          <cell r="M235" t="str">
            <v>DEL</v>
          </cell>
          <cell r="N235" t="str">
            <v>Resource</v>
          </cell>
          <cell r="Q235" t="str">
            <v>yes</v>
          </cell>
          <cell r="X235" t="str">
            <v xml:space="preserve"> </v>
          </cell>
          <cell r="Y235" t="str">
            <v xml:space="preserve"> </v>
          </cell>
          <cell r="Z235" t="str">
            <v xml:space="preserve"> </v>
          </cell>
        </row>
        <row r="236">
          <cell r="B236" t="str">
            <v>B35</v>
          </cell>
          <cell r="F236">
            <v>6</v>
          </cell>
          <cell r="G236">
            <v>110101</v>
          </cell>
          <cell r="K236">
            <v>0</v>
          </cell>
          <cell r="M236" t="str">
            <v>DEL</v>
          </cell>
          <cell r="N236" t="str">
            <v>Resource</v>
          </cell>
          <cell r="Q236" t="str">
            <v>yes</v>
          </cell>
          <cell r="X236" t="str">
            <v xml:space="preserve"> </v>
          </cell>
          <cell r="Y236" t="str">
            <v xml:space="preserve"> </v>
          </cell>
          <cell r="Z236" t="str">
            <v xml:space="preserve"> </v>
          </cell>
        </row>
        <row r="237">
          <cell r="B237" t="str">
            <v>B35</v>
          </cell>
          <cell r="F237">
            <v>6</v>
          </cell>
          <cell r="G237">
            <v>110101</v>
          </cell>
          <cell r="K237">
            <v>0</v>
          </cell>
          <cell r="M237" t="str">
            <v>DEL</v>
          </cell>
          <cell r="N237" t="str">
            <v>Resource</v>
          </cell>
          <cell r="Q237" t="str">
            <v>yes</v>
          </cell>
          <cell r="X237" t="str">
            <v xml:space="preserve"> </v>
          </cell>
          <cell r="Y237" t="str">
            <v xml:space="preserve"> </v>
          </cell>
          <cell r="Z237" t="str">
            <v xml:space="preserve"> </v>
          </cell>
        </row>
        <row r="238">
          <cell r="B238" t="str">
            <v>B35</v>
          </cell>
          <cell r="F238">
            <v>3</v>
          </cell>
          <cell r="G238">
            <v>110101</v>
          </cell>
          <cell r="K238">
            <v>0</v>
          </cell>
          <cell r="M238" t="str">
            <v>DEL</v>
          </cell>
          <cell r="N238" t="str">
            <v>Resource</v>
          </cell>
          <cell r="Q238" t="str">
            <v>yes</v>
          </cell>
          <cell r="X238" t="str">
            <v xml:space="preserve"> </v>
          </cell>
          <cell r="Y238" t="str">
            <v xml:space="preserve"> </v>
          </cell>
          <cell r="Z238" t="str">
            <v xml:space="preserve"> </v>
          </cell>
        </row>
        <row r="239">
          <cell r="B239" t="str">
            <v>B35</v>
          </cell>
          <cell r="F239">
            <v>3</v>
          </cell>
          <cell r="G239">
            <v>110101</v>
          </cell>
          <cell r="K239">
            <v>0</v>
          </cell>
          <cell r="M239" t="str">
            <v>DEL</v>
          </cell>
          <cell r="N239" t="str">
            <v>Resource</v>
          </cell>
          <cell r="Q239" t="str">
            <v>yes</v>
          </cell>
          <cell r="X239" t="str">
            <v xml:space="preserve"> </v>
          </cell>
          <cell r="Y239" t="str">
            <v xml:space="preserve"> </v>
          </cell>
          <cell r="Z239" t="str">
            <v xml:space="preserve"> </v>
          </cell>
        </row>
        <row r="240">
          <cell r="B240" t="str">
            <v>B35</v>
          </cell>
          <cell r="F240">
            <v>3</v>
          </cell>
          <cell r="G240">
            <v>110101</v>
          </cell>
          <cell r="K240">
            <v>0</v>
          </cell>
          <cell r="M240" t="str">
            <v>DEL</v>
          </cell>
          <cell r="N240" t="str">
            <v>Resource</v>
          </cell>
          <cell r="Q240" t="str">
            <v>yes</v>
          </cell>
          <cell r="X240" t="str">
            <v xml:space="preserve"> </v>
          </cell>
          <cell r="Y240" t="str">
            <v xml:space="preserve"> </v>
          </cell>
          <cell r="Z240" t="str">
            <v xml:space="preserve"> </v>
          </cell>
        </row>
        <row r="241">
          <cell r="B241" t="str">
            <v>E10</v>
          </cell>
          <cell r="F241">
            <v>12</v>
          </cell>
          <cell r="G241">
            <v>110101</v>
          </cell>
          <cell r="K241">
            <v>0</v>
          </cell>
          <cell r="M241" t="str">
            <v>DEL</v>
          </cell>
          <cell r="N241" t="str">
            <v>Capital</v>
          </cell>
          <cell r="Q241" t="str">
            <v>no</v>
          </cell>
          <cell r="X241" t="str">
            <v xml:space="preserve"> </v>
          </cell>
          <cell r="Y241" t="str">
            <v xml:space="preserve"> </v>
          </cell>
          <cell r="Z241" t="str">
            <v xml:space="preserve"> </v>
          </cell>
        </row>
        <row r="242">
          <cell r="B242" t="str">
            <v>B35</v>
          </cell>
          <cell r="F242">
            <v>3</v>
          </cell>
          <cell r="G242">
            <v>110101</v>
          </cell>
          <cell r="K242">
            <v>0</v>
          </cell>
          <cell r="M242" t="str">
            <v>DEL</v>
          </cell>
          <cell r="N242" t="str">
            <v>Resource</v>
          </cell>
          <cell r="Q242" t="str">
            <v>yes</v>
          </cell>
          <cell r="X242" t="str">
            <v xml:space="preserve"> </v>
          </cell>
          <cell r="Y242" t="str">
            <v xml:space="preserve"> </v>
          </cell>
          <cell r="Z242" t="str">
            <v xml:space="preserve"> </v>
          </cell>
        </row>
        <row r="243">
          <cell r="B243" t="str">
            <v>B35</v>
          </cell>
          <cell r="F243">
            <v>3</v>
          </cell>
          <cell r="G243">
            <v>110101</v>
          </cell>
          <cell r="K243">
            <v>0</v>
          </cell>
          <cell r="M243" t="str">
            <v>DEL</v>
          </cell>
          <cell r="N243" t="str">
            <v>Resource</v>
          </cell>
          <cell r="Q243" t="str">
            <v>yes</v>
          </cell>
          <cell r="X243" t="str">
            <v xml:space="preserve"> </v>
          </cell>
          <cell r="Y243" t="str">
            <v xml:space="preserve"> </v>
          </cell>
          <cell r="Z243" t="str">
            <v xml:space="preserve"> </v>
          </cell>
        </row>
        <row r="244">
          <cell r="B244" t="str">
            <v>B35</v>
          </cell>
          <cell r="F244">
            <v>3</v>
          </cell>
          <cell r="G244">
            <v>110101</v>
          </cell>
          <cell r="K244">
            <v>0</v>
          </cell>
          <cell r="M244" t="str">
            <v>DEL</v>
          </cell>
          <cell r="N244" t="str">
            <v>Resource</v>
          </cell>
          <cell r="Q244" t="str">
            <v>yes</v>
          </cell>
          <cell r="X244" t="str">
            <v xml:space="preserve"> </v>
          </cell>
          <cell r="Y244" t="str">
            <v xml:space="preserve"> </v>
          </cell>
          <cell r="Z244" t="str">
            <v xml:space="preserve"> </v>
          </cell>
        </row>
        <row r="245">
          <cell r="B245" t="str">
            <v>B35</v>
          </cell>
          <cell r="F245">
            <v>3</v>
          </cell>
          <cell r="G245">
            <v>110101</v>
          </cell>
          <cell r="K245">
            <v>0</v>
          </cell>
          <cell r="M245" t="str">
            <v>DEL</v>
          </cell>
          <cell r="N245" t="str">
            <v>Resource</v>
          </cell>
          <cell r="Q245" t="str">
            <v>yes</v>
          </cell>
          <cell r="X245" t="str">
            <v xml:space="preserve"> </v>
          </cell>
          <cell r="Y245" t="str">
            <v xml:space="preserve"> </v>
          </cell>
          <cell r="Z245" t="str">
            <v xml:space="preserve"> </v>
          </cell>
        </row>
        <row r="246">
          <cell r="B246" t="str">
            <v>B35</v>
          </cell>
          <cell r="F246">
            <v>4</v>
          </cell>
          <cell r="G246">
            <v>110101</v>
          </cell>
          <cell r="K246">
            <v>0</v>
          </cell>
          <cell r="M246" t="str">
            <v>DEL</v>
          </cell>
          <cell r="N246" t="str">
            <v>Resource</v>
          </cell>
          <cell r="Q246" t="str">
            <v>yes</v>
          </cell>
          <cell r="X246" t="str">
            <v xml:space="preserve"> </v>
          </cell>
          <cell r="Y246" t="str">
            <v xml:space="preserve"> </v>
          </cell>
          <cell r="Z246" t="str">
            <v xml:space="preserve"> </v>
          </cell>
        </row>
        <row r="247">
          <cell r="B247" t="str">
            <v>E10</v>
          </cell>
          <cell r="F247">
            <v>12</v>
          </cell>
          <cell r="G247">
            <v>110101</v>
          </cell>
          <cell r="K247">
            <v>0</v>
          </cell>
          <cell r="M247" t="str">
            <v>non-budget</v>
          </cell>
          <cell r="N247" t="str">
            <v>non-budget</v>
          </cell>
          <cell r="Q247" t="str">
            <v>no</v>
          </cell>
          <cell r="X247">
            <v>100000</v>
          </cell>
          <cell r="Y247" t="str">
            <v xml:space="preserve"> </v>
          </cell>
          <cell r="Z247" t="str">
            <v xml:space="preserve"> </v>
          </cell>
        </row>
        <row r="248">
          <cell r="B248" t="str">
            <v>E11</v>
          </cell>
          <cell r="F248">
            <v>12</v>
          </cell>
          <cell r="G248">
            <v>110101</v>
          </cell>
          <cell r="K248">
            <v>0</v>
          </cell>
          <cell r="M248" t="str">
            <v>DEL</v>
          </cell>
          <cell r="N248" t="str">
            <v>Capital</v>
          </cell>
          <cell r="Q248" t="str">
            <v>no</v>
          </cell>
          <cell r="X248" t="str">
            <v xml:space="preserve"> </v>
          </cell>
          <cell r="Y248" t="str">
            <v xml:space="preserve"> </v>
          </cell>
          <cell r="Z248" t="str">
            <v xml:space="preserve"> </v>
          </cell>
        </row>
        <row r="249">
          <cell r="B249" t="str">
            <v>B35</v>
          </cell>
          <cell r="F249">
            <v>4</v>
          </cell>
          <cell r="G249">
            <v>110101</v>
          </cell>
          <cell r="K249">
            <v>0</v>
          </cell>
          <cell r="M249" t="str">
            <v>DEL</v>
          </cell>
          <cell r="N249" t="str">
            <v>Resource</v>
          </cell>
          <cell r="Q249" t="str">
            <v>yes</v>
          </cell>
          <cell r="X249" t="str">
            <v xml:space="preserve"> </v>
          </cell>
          <cell r="Y249" t="str">
            <v xml:space="preserve"> </v>
          </cell>
          <cell r="Z249" t="str">
            <v xml:space="preserve"> </v>
          </cell>
        </row>
        <row r="250">
          <cell r="B250" t="str">
            <v>B35</v>
          </cell>
          <cell r="F250">
            <v>4</v>
          </cell>
          <cell r="G250">
            <v>110101</v>
          </cell>
          <cell r="K250">
            <v>0</v>
          </cell>
          <cell r="M250" t="str">
            <v>DEL</v>
          </cell>
          <cell r="N250" t="str">
            <v>Resource</v>
          </cell>
          <cell r="Q250" t="str">
            <v>yes</v>
          </cell>
          <cell r="X250" t="str">
            <v xml:space="preserve"> </v>
          </cell>
          <cell r="Y250" t="str">
            <v xml:space="preserve"> </v>
          </cell>
          <cell r="Z250" t="str">
            <v xml:space="preserve"> </v>
          </cell>
        </row>
        <row r="251">
          <cell r="B251" t="str">
            <v>B35</v>
          </cell>
          <cell r="F251">
            <v>3</v>
          </cell>
          <cell r="G251">
            <v>110201</v>
          </cell>
          <cell r="K251" t="str">
            <v>PSS</v>
          </cell>
          <cell r="M251" t="str">
            <v>DEL</v>
          </cell>
          <cell r="N251" t="str">
            <v>Resource</v>
          </cell>
          <cell r="Q251" t="str">
            <v>yes</v>
          </cell>
          <cell r="X251">
            <v>-100000</v>
          </cell>
          <cell r="Y251">
            <v>-100000</v>
          </cell>
          <cell r="Z251">
            <v>-100000</v>
          </cell>
        </row>
        <row r="252">
          <cell r="B252" t="str">
            <v>B35</v>
          </cell>
          <cell r="F252">
            <v>12</v>
          </cell>
          <cell r="G252">
            <v>110101</v>
          </cell>
          <cell r="K252">
            <v>0</v>
          </cell>
          <cell r="M252" t="str">
            <v>DEL</v>
          </cell>
          <cell r="N252" t="str">
            <v>Resource</v>
          </cell>
          <cell r="Q252" t="str">
            <v>yes</v>
          </cell>
          <cell r="X252">
            <v>-500</v>
          </cell>
          <cell r="Y252">
            <v>-500</v>
          </cell>
          <cell r="Z252">
            <v>-500</v>
          </cell>
        </row>
        <row r="253">
          <cell r="B253" t="str">
            <v>B35</v>
          </cell>
          <cell r="F253">
            <v>12</v>
          </cell>
          <cell r="G253">
            <v>110101</v>
          </cell>
          <cell r="K253">
            <v>0</v>
          </cell>
          <cell r="M253" t="str">
            <v>DEL</v>
          </cell>
          <cell r="N253" t="str">
            <v>Resource</v>
          </cell>
          <cell r="Q253" t="str">
            <v>yes</v>
          </cell>
          <cell r="X253">
            <v>-1430</v>
          </cell>
          <cell r="Y253" t="str">
            <v xml:space="preserve"> </v>
          </cell>
          <cell r="Z253" t="str">
            <v xml:space="preserve"> </v>
          </cell>
        </row>
        <row r="254">
          <cell r="B254" t="str">
            <v>B35</v>
          </cell>
          <cell r="F254">
            <v>12</v>
          </cell>
          <cell r="G254">
            <v>110101</v>
          </cell>
          <cell r="K254">
            <v>0</v>
          </cell>
          <cell r="M254" t="str">
            <v>DEL</v>
          </cell>
          <cell r="N254" t="str">
            <v>Resource</v>
          </cell>
          <cell r="Q254" t="str">
            <v>yes</v>
          </cell>
          <cell r="X254">
            <v>1333</v>
          </cell>
          <cell r="Y254" t="str">
            <v xml:space="preserve"> </v>
          </cell>
          <cell r="Z254" t="str">
            <v xml:space="preserve"> </v>
          </cell>
        </row>
        <row r="255">
          <cell r="B255" t="str">
            <v>B35</v>
          </cell>
          <cell r="F255">
            <v>9</v>
          </cell>
          <cell r="G255">
            <v>110101</v>
          </cell>
          <cell r="K255">
            <v>0</v>
          </cell>
          <cell r="M255" t="str">
            <v>DEL</v>
          </cell>
          <cell r="N255" t="str">
            <v>Resource</v>
          </cell>
          <cell r="Q255" t="str">
            <v>yes</v>
          </cell>
          <cell r="X255" t="str">
            <v xml:space="preserve"> </v>
          </cell>
          <cell r="Y255" t="str">
            <v xml:space="preserve"> </v>
          </cell>
          <cell r="Z255" t="str">
            <v xml:space="preserve"> </v>
          </cell>
        </row>
        <row r="256">
          <cell r="B256" t="str">
            <v>B35</v>
          </cell>
          <cell r="F256">
            <v>9</v>
          </cell>
          <cell r="G256">
            <v>110101</v>
          </cell>
          <cell r="K256">
            <v>0</v>
          </cell>
          <cell r="M256" t="str">
            <v>DEL</v>
          </cell>
          <cell r="N256" t="str">
            <v>Resource</v>
          </cell>
          <cell r="Q256" t="str">
            <v>yes</v>
          </cell>
          <cell r="X256" t="str">
            <v xml:space="preserve"> </v>
          </cell>
          <cell r="Y256" t="str">
            <v xml:space="preserve"> </v>
          </cell>
          <cell r="Z256" t="str">
            <v xml:space="preserve"> </v>
          </cell>
        </row>
        <row r="257">
          <cell r="B257" t="str">
            <v>B35</v>
          </cell>
          <cell r="F257">
            <v>9</v>
          </cell>
          <cell r="G257">
            <v>110101</v>
          </cell>
          <cell r="K257">
            <v>0</v>
          </cell>
          <cell r="M257" t="str">
            <v>DEL</v>
          </cell>
          <cell r="N257" t="str">
            <v>Resource</v>
          </cell>
          <cell r="Q257" t="str">
            <v>yes</v>
          </cell>
          <cell r="X257" t="str">
            <v xml:space="preserve"> </v>
          </cell>
          <cell r="Y257" t="str">
            <v xml:space="preserve"> </v>
          </cell>
          <cell r="Z257" t="str">
            <v xml:space="preserve"> </v>
          </cell>
        </row>
        <row r="258">
          <cell r="B258" t="str">
            <v>B35</v>
          </cell>
          <cell r="F258">
            <v>9</v>
          </cell>
          <cell r="G258">
            <v>110101</v>
          </cell>
          <cell r="K258">
            <v>0</v>
          </cell>
          <cell r="M258" t="str">
            <v>DEL</v>
          </cell>
          <cell r="N258" t="str">
            <v>Resource</v>
          </cell>
          <cell r="Q258" t="str">
            <v>yes</v>
          </cell>
          <cell r="X258" t="str">
            <v xml:space="preserve"> </v>
          </cell>
          <cell r="Y258" t="str">
            <v xml:space="preserve"> </v>
          </cell>
          <cell r="Z258" t="str">
            <v xml:space="preserve"> </v>
          </cell>
        </row>
        <row r="259">
          <cell r="B259" t="str">
            <v>E15</v>
          </cell>
          <cell r="F259">
            <v>12</v>
          </cell>
          <cell r="G259">
            <v>110101</v>
          </cell>
          <cell r="K259">
            <v>0</v>
          </cell>
          <cell r="M259" t="str">
            <v>DEL</v>
          </cell>
          <cell r="N259" t="str">
            <v>Capital</v>
          </cell>
          <cell r="Q259" t="str">
            <v>no</v>
          </cell>
          <cell r="X259">
            <v>-5000</v>
          </cell>
          <cell r="Y259" t="str">
            <v xml:space="preserve"> </v>
          </cell>
          <cell r="Z259" t="str">
            <v xml:space="preserve"> </v>
          </cell>
        </row>
        <row r="260">
          <cell r="B260" t="str">
            <v>E15</v>
          </cell>
          <cell r="F260">
            <v>12</v>
          </cell>
          <cell r="G260">
            <v>110101</v>
          </cell>
          <cell r="K260">
            <v>0</v>
          </cell>
          <cell r="M260" t="str">
            <v>DEL</v>
          </cell>
          <cell r="N260" t="str">
            <v>Capital</v>
          </cell>
          <cell r="Q260" t="str">
            <v>no</v>
          </cell>
          <cell r="X260" t="str">
            <v xml:space="preserve"> </v>
          </cell>
          <cell r="Y260" t="str">
            <v xml:space="preserve"> </v>
          </cell>
          <cell r="Z260" t="str">
            <v xml:space="preserve"> </v>
          </cell>
        </row>
        <row r="261">
          <cell r="B261" t="str">
            <v>E15</v>
          </cell>
          <cell r="F261">
            <v>12</v>
          </cell>
          <cell r="G261">
            <v>110101</v>
          </cell>
          <cell r="K261">
            <v>0</v>
          </cell>
          <cell r="M261" t="str">
            <v>DEL</v>
          </cell>
          <cell r="N261" t="str">
            <v>Capital</v>
          </cell>
          <cell r="Q261" t="str">
            <v>no</v>
          </cell>
          <cell r="X261" t="str">
            <v xml:space="preserve"> </v>
          </cell>
          <cell r="Y261" t="str">
            <v xml:space="preserve"> </v>
          </cell>
          <cell r="Z261" t="str">
            <v xml:space="preserve"> </v>
          </cell>
        </row>
        <row r="262">
          <cell r="B262" t="str">
            <v>B35</v>
          </cell>
          <cell r="F262">
            <v>6</v>
          </cell>
          <cell r="G262">
            <v>110101</v>
          </cell>
          <cell r="K262">
            <v>0</v>
          </cell>
          <cell r="M262" t="str">
            <v>DEL</v>
          </cell>
          <cell r="N262" t="str">
            <v>Resource</v>
          </cell>
          <cell r="Q262" t="str">
            <v>yes</v>
          </cell>
          <cell r="X262" t="str">
            <v xml:space="preserve"> </v>
          </cell>
          <cell r="Y262" t="str">
            <v xml:space="preserve"> </v>
          </cell>
          <cell r="Z262" t="str">
            <v xml:space="preserve"> </v>
          </cell>
        </row>
        <row r="263">
          <cell r="B263" t="str">
            <v>B35</v>
          </cell>
          <cell r="F263">
            <v>6</v>
          </cell>
          <cell r="G263">
            <v>110101</v>
          </cell>
          <cell r="K263">
            <v>0</v>
          </cell>
          <cell r="M263" t="str">
            <v>DEL</v>
          </cell>
          <cell r="N263" t="str">
            <v>Resource</v>
          </cell>
          <cell r="Q263" t="str">
            <v>yes</v>
          </cell>
          <cell r="X263">
            <v>3817</v>
          </cell>
          <cell r="Y263">
            <v>3817</v>
          </cell>
          <cell r="Z263">
            <v>3817</v>
          </cell>
        </row>
        <row r="264">
          <cell r="B264" t="str">
            <v>B35</v>
          </cell>
          <cell r="F264">
            <v>6</v>
          </cell>
          <cell r="G264">
            <v>110101</v>
          </cell>
          <cell r="K264">
            <v>0</v>
          </cell>
          <cell r="M264" t="str">
            <v>DEL</v>
          </cell>
          <cell r="N264" t="str">
            <v>Resource</v>
          </cell>
          <cell r="Q264" t="str">
            <v>yes</v>
          </cell>
          <cell r="X264" t="str">
            <v xml:space="preserve"> </v>
          </cell>
          <cell r="Y264" t="str">
            <v xml:space="preserve"> </v>
          </cell>
          <cell r="Z264" t="str">
            <v xml:space="preserve"> </v>
          </cell>
        </row>
        <row r="265">
          <cell r="B265" t="str">
            <v>B35</v>
          </cell>
          <cell r="F265">
            <v>4</v>
          </cell>
          <cell r="G265">
            <v>110101</v>
          </cell>
          <cell r="K265">
            <v>0</v>
          </cell>
          <cell r="M265" t="str">
            <v>DEL</v>
          </cell>
          <cell r="N265" t="str">
            <v>Resource</v>
          </cell>
          <cell r="Q265" t="str">
            <v>yes</v>
          </cell>
          <cell r="X265">
            <v>-100000</v>
          </cell>
          <cell r="Y265" t="str">
            <v xml:space="preserve"> </v>
          </cell>
          <cell r="Z265" t="str">
            <v xml:space="preserve"> </v>
          </cell>
        </row>
        <row r="266">
          <cell r="B266" t="str">
            <v>B35</v>
          </cell>
          <cell r="F266">
            <v>6</v>
          </cell>
          <cell r="G266">
            <v>110101</v>
          </cell>
          <cell r="K266">
            <v>0</v>
          </cell>
          <cell r="M266" t="str">
            <v>DEL</v>
          </cell>
          <cell r="N266" t="str">
            <v>Resource</v>
          </cell>
          <cell r="Q266" t="str">
            <v>yes</v>
          </cell>
          <cell r="X266" t="str">
            <v xml:space="preserve"> </v>
          </cell>
          <cell r="Y266" t="str">
            <v xml:space="preserve"> </v>
          </cell>
          <cell r="Z266" t="str">
            <v xml:space="preserve"> </v>
          </cell>
        </row>
        <row r="267">
          <cell r="B267" t="str">
            <v>B35</v>
          </cell>
          <cell r="F267">
            <v>5</v>
          </cell>
          <cell r="G267">
            <v>110101</v>
          </cell>
          <cell r="K267">
            <v>0</v>
          </cell>
          <cell r="M267" t="str">
            <v>DEL</v>
          </cell>
          <cell r="N267" t="str">
            <v>Resource</v>
          </cell>
          <cell r="Q267" t="str">
            <v>yes</v>
          </cell>
          <cell r="X267">
            <v>5150</v>
          </cell>
          <cell r="Y267" t="str">
            <v xml:space="preserve"> </v>
          </cell>
          <cell r="Z267" t="str">
            <v xml:space="preserve"> </v>
          </cell>
        </row>
        <row r="268">
          <cell r="B268" t="str">
            <v>B35</v>
          </cell>
          <cell r="F268">
            <v>6</v>
          </cell>
          <cell r="G268">
            <v>110101</v>
          </cell>
          <cell r="K268">
            <v>0</v>
          </cell>
          <cell r="M268" t="str">
            <v>DEL</v>
          </cell>
          <cell r="N268" t="str">
            <v>Resource</v>
          </cell>
          <cell r="Q268" t="str">
            <v>yes</v>
          </cell>
          <cell r="X268" t="str">
            <v xml:space="preserve"> </v>
          </cell>
          <cell r="Y268" t="str">
            <v xml:space="preserve"> </v>
          </cell>
          <cell r="Z268" t="str">
            <v xml:space="preserve"> </v>
          </cell>
        </row>
        <row r="269">
          <cell r="B269" t="str">
            <v>B35</v>
          </cell>
          <cell r="F269">
            <v>6</v>
          </cell>
          <cell r="G269">
            <v>110101</v>
          </cell>
          <cell r="K269">
            <v>0</v>
          </cell>
          <cell r="M269" t="str">
            <v>DEL</v>
          </cell>
          <cell r="N269" t="str">
            <v>Resource</v>
          </cell>
          <cell r="Q269" t="str">
            <v>yes</v>
          </cell>
          <cell r="X269" t="str">
            <v xml:space="preserve"> </v>
          </cell>
          <cell r="Y269" t="str">
            <v xml:space="preserve"> </v>
          </cell>
          <cell r="Z269" t="str">
            <v xml:space="preserve"> </v>
          </cell>
        </row>
        <row r="270">
          <cell r="B270" t="str">
            <v>E15</v>
          </cell>
          <cell r="F270">
            <v>12</v>
          </cell>
          <cell r="G270">
            <v>110101</v>
          </cell>
          <cell r="K270">
            <v>0</v>
          </cell>
          <cell r="M270" t="str">
            <v>DEL</v>
          </cell>
          <cell r="N270" t="str">
            <v>Capital</v>
          </cell>
          <cell r="Q270" t="str">
            <v>no</v>
          </cell>
          <cell r="Y270" t="str">
            <v xml:space="preserve"> </v>
          </cell>
          <cell r="Z270" t="str">
            <v xml:space="preserve"> </v>
          </cell>
        </row>
        <row r="271">
          <cell r="B271" t="str">
            <v>B35</v>
          </cell>
          <cell r="F271">
            <v>6</v>
          </cell>
          <cell r="G271">
            <v>110101</v>
          </cell>
          <cell r="K271">
            <v>0</v>
          </cell>
          <cell r="M271" t="str">
            <v>DEL</v>
          </cell>
          <cell r="N271" t="str">
            <v>Resource</v>
          </cell>
          <cell r="Q271" t="str">
            <v>yes</v>
          </cell>
          <cell r="X271" t="str">
            <v xml:space="preserve"> </v>
          </cell>
          <cell r="Y271" t="str">
            <v xml:space="preserve"> </v>
          </cell>
          <cell r="Z271" t="str">
            <v xml:space="preserve"> </v>
          </cell>
        </row>
        <row r="272">
          <cell r="B272" t="str">
            <v>B35</v>
          </cell>
          <cell r="F272">
            <v>6</v>
          </cell>
          <cell r="G272">
            <v>110101</v>
          </cell>
          <cell r="K272">
            <v>0</v>
          </cell>
          <cell r="M272" t="str">
            <v>DEL</v>
          </cell>
          <cell r="N272" t="str">
            <v>Resource</v>
          </cell>
          <cell r="Q272" t="str">
            <v>yes</v>
          </cell>
          <cell r="X272" t="str">
            <v xml:space="preserve"> </v>
          </cell>
          <cell r="Y272" t="str">
            <v xml:space="preserve"> </v>
          </cell>
          <cell r="Z272" t="str">
            <v xml:space="preserve"> </v>
          </cell>
        </row>
        <row r="273">
          <cell r="B273" t="str">
            <v>E16</v>
          </cell>
          <cell r="F273">
            <v>12</v>
          </cell>
          <cell r="G273">
            <v>110101</v>
          </cell>
          <cell r="K273">
            <v>0</v>
          </cell>
          <cell r="M273" t="str">
            <v>DEL</v>
          </cell>
          <cell r="N273" t="str">
            <v>Capital</v>
          </cell>
          <cell r="Q273" t="str">
            <v>no</v>
          </cell>
          <cell r="X273" t="str">
            <v xml:space="preserve"> </v>
          </cell>
          <cell r="Y273" t="str">
            <v xml:space="preserve"> </v>
          </cell>
          <cell r="Z273" t="str">
            <v xml:space="preserve"> </v>
          </cell>
        </row>
        <row r="274">
          <cell r="B274" t="str">
            <v>B35</v>
          </cell>
          <cell r="F274">
            <v>3</v>
          </cell>
          <cell r="G274">
            <v>110201</v>
          </cell>
          <cell r="K274" t="str">
            <v>PSS</v>
          </cell>
          <cell r="M274" t="str">
            <v>DEL</v>
          </cell>
          <cell r="N274" t="str">
            <v>Resource</v>
          </cell>
          <cell r="Q274" t="str">
            <v>yes</v>
          </cell>
          <cell r="X274">
            <v>791</v>
          </cell>
          <cell r="Y274" t="str">
            <v xml:space="preserve"> </v>
          </cell>
          <cell r="Z274" t="str">
            <v xml:space="preserve"> </v>
          </cell>
        </row>
        <row r="275">
          <cell r="B275" t="str">
            <v>B35</v>
          </cell>
          <cell r="F275">
            <v>3</v>
          </cell>
          <cell r="G275">
            <v>110201</v>
          </cell>
          <cell r="K275" t="str">
            <v>PSS</v>
          </cell>
          <cell r="M275" t="str">
            <v>DEL</v>
          </cell>
          <cell r="N275" t="str">
            <v>Resource</v>
          </cell>
          <cell r="Q275" t="str">
            <v>yes</v>
          </cell>
          <cell r="X275" t="str">
            <v xml:space="preserve"> </v>
          </cell>
          <cell r="Y275" t="str">
            <v xml:space="preserve"> </v>
          </cell>
          <cell r="Z275" t="str">
            <v xml:space="preserve"> </v>
          </cell>
        </row>
        <row r="276">
          <cell r="B276" t="str">
            <v>B35</v>
          </cell>
          <cell r="F276">
            <v>4</v>
          </cell>
          <cell r="G276">
            <v>110101</v>
          </cell>
          <cell r="K276">
            <v>0</v>
          </cell>
          <cell r="M276" t="str">
            <v>DEL</v>
          </cell>
          <cell r="N276" t="str">
            <v>Resource</v>
          </cell>
          <cell r="Q276" t="str">
            <v>yes</v>
          </cell>
          <cell r="X276" t="str">
            <v xml:space="preserve"> </v>
          </cell>
          <cell r="Y276" t="str">
            <v xml:space="preserve"> </v>
          </cell>
          <cell r="Z276" t="str">
            <v xml:space="preserve"> </v>
          </cell>
        </row>
        <row r="277">
          <cell r="B277" t="str">
            <v>B35</v>
          </cell>
          <cell r="F277">
            <v>4</v>
          </cell>
          <cell r="G277">
            <v>110101</v>
          </cell>
          <cell r="K277">
            <v>0</v>
          </cell>
          <cell r="M277" t="str">
            <v>DEL</v>
          </cell>
          <cell r="N277" t="str">
            <v>Resource</v>
          </cell>
          <cell r="Q277" t="str">
            <v>yes</v>
          </cell>
          <cell r="X277" t="str">
            <v xml:space="preserve"> </v>
          </cell>
          <cell r="Y277" t="str">
            <v xml:space="preserve"> </v>
          </cell>
          <cell r="Z277" t="str">
            <v xml:space="preserve"> </v>
          </cell>
        </row>
        <row r="278">
          <cell r="B278" t="str">
            <v>B35</v>
          </cell>
          <cell r="F278">
            <v>4</v>
          </cell>
          <cell r="G278">
            <v>110101</v>
          </cell>
          <cell r="K278">
            <v>0</v>
          </cell>
          <cell r="M278" t="str">
            <v>DEL</v>
          </cell>
          <cell r="N278" t="str">
            <v>Resource</v>
          </cell>
          <cell r="Q278" t="str">
            <v>yes</v>
          </cell>
          <cell r="X278" t="str">
            <v xml:space="preserve"> </v>
          </cell>
          <cell r="Y278" t="str">
            <v xml:space="preserve"> </v>
          </cell>
          <cell r="Z278" t="str">
            <v xml:space="preserve"> </v>
          </cell>
        </row>
        <row r="279">
          <cell r="B279" t="str">
            <v>B90</v>
          </cell>
          <cell r="F279">
            <v>9</v>
          </cell>
          <cell r="G279">
            <v>110201</v>
          </cell>
          <cell r="K279" t="str">
            <v>PSS</v>
          </cell>
          <cell r="M279" t="str">
            <v>DEL</v>
          </cell>
          <cell r="N279" t="str">
            <v>Resource</v>
          </cell>
          <cell r="Q279" t="str">
            <v>no</v>
          </cell>
          <cell r="X279" t="str">
            <v xml:space="preserve"> </v>
          </cell>
          <cell r="Y279" t="str">
            <v xml:space="preserve"> </v>
          </cell>
          <cell r="Z279" t="str">
            <v xml:space="preserve"> </v>
          </cell>
        </row>
        <row r="280">
          <cell r="B280" t="str">
            <v>B90</v>
          </cell>
          <cell r="F280">
            <v>9</v>
          </cell>
          <cell r="G280">
            <v>110201</v>
          </cell>
          <cell r="K280" t="str">
            <v>PSS</v>
          </cell>
          <cell r="M280" t="str">
            <v>DEL</v>
          </cell>
          <cell r="N280" t="str">
            <v>Resource</v>
          </cell>
          <cell r="Q280" t="str">
            <v>no</v>
          </cell>
          <cell r="X280" t="str">
            <v xml:space="preserve"> </v>
          </cell>
          <cell r="Y280" t="str">
            <v xml:space="preserve"> </v>
          </cell>
          <cell r="Z280" t="str">
            <v xml:space="preserve"> </v>
          </cell>
        </row>
        <row r="281">
          <cell r="B281" t="str">
            <v>B35</v>
          </cell>
          <cell r="F281">
            <v>4</v>
          </cell>
          <cell r="G281">
            <v>110101</v>
          </cell>
          <cell r="K281">
            <v>0</v>
          </cell>
          <cell r="M281" t="str">
            <v>DEL</v>
          </cell>
          <cell r="N281" t="str">
            <v>Resource</v>
          </cell>
          <cell r="Q281" t="str">
            <v>yes</v>
          </cell>
          <cell r="X281" t="str">
            <v xml:space="preserve"> </v>
          </cell>
          <cell r="Y281" t="str">
            <v xml:space="preserve"> </v>
          </cell>
          <cell r="Z281" t="str">
            <v xml:space="preserve"> </v>
          </cell>
        </row>
        <row r="282">
          <cell r="B282" t="str">
            <v>B35</v>
          </cell>
          <cell r="F282">
            <v>4</v>
          </cell>
          <cell r="G282">
            <v>110101</v>
          </cell>
          <cell r="K282">
            <v>0</v>
          </cell>
          <cell r="M282" t="str">
            <v>DEL</v>
          </cell>
          <cell r="N282" t="str">
            <v>Resource</v>
          </cell>
          <cell r="Q282" t="str">
            <v>yes</v>
          </cell>
          <cell r="X282">
            <v>-17800</v>
          </cell>
          <cell r="Y282">
            <v>-17800</v>
          </cell>
          <cell r="Z282">
            <v>-17800</v>
          </cell>
        </row>
        <row r="283">
          <cell r="B283" t="str">
            <v>B35</v>
          </cell>
          <cell r="F283">
            <v>4</v>
          </cell>
          <cell r="G283">
            <v>110101</v>
          </cell>
          <cell r="K283">
            <v>0</v>
          </cell>
          <cell r="M283" t="str">
            <v>DEL</v>
          </cell>
          <cell r="N283" t="str">
            <v>Resource</v>
          </cell>
          <cell r="Q283" t="str">
            <v>yes</v>
          </cell>
          <cell r="X283" t="str">
            <v xml:space="preserve"> </v>
          </cell>
          <cell r="Y283" t="str">
            <v xml:space="preserve"> </v>
          </cell>
          <cell r="Z283" t="str">
            <v xml:space="preserve"> </v>
          </cell>
        </row>
        <row r="284">
          <cell r="B284" t="str">
            <v>B35</v>
          </cell>
          <cell r="F284">
            <v>4</v>
          </cell>
          <cell r="G284">
            <v>110101</v>
          </cell>
          <cell r="K284">
            <v>0</v>
          </cell>
          <cell r="M284" t="str">
            <v>DEL</v>
          </cell>
          <cell r="N284" t="str">
            <v>Resource</v>
          </cell>
          <cell r="Q284" t="str">
            <v>yes</v>
          </cell>
          <cell r="X284">
            <v>-600</v>
          </cell>
          <cell r="Y284" t="str">
            <v xml:space="preserve"> </v>
          </cell>
          <cell r="Z284" t="str">
            <v xml:space="preserve"> </v>
          </cell>
        </row>
        <row r="285">
          <cell r="B285" t="str">
            <v>B35</v>
          </cell>
          <cell r="F285">
            <v>4</v>
          </cell>
          <cell r="G285">
            <v>110101</v>
          </cell>
          <cell r="K285">
            <v>0</v>
          </cell>
          <cell r="M285" t="str">
            <v>DEL</v>
          </cell>
          <cell r="N285" t="str">
            <v>Resource</v>
          </cell>
          <cell r="Q285" t="str">
            <v>yes</v>
          </cell>
          <cell r="X285" t="str">
            <v xml:space="preserve"> </v>
          </cell>
          <cell r="Y285" t="str">
            <v xml:space="preserve"> </v>
          </cell>
          <cell r="Z285" t="str">
            <v xml:space="preserve"> </v>
          </cell>
        </row>
        <row r="286">
          <cell r="B286" t="str">
            <v>B35</v>
          </cell>
          <cell r="F286">
            <v>9</v>
          </cell>
          <cell r="G286">
            <v>110101</v>
          </cell>
          <cell r="K286">
            <v>0</v>
          </cell>
          <cell r="M286" t="str">
            <v>DEL</v>
          </cell>
          <cell r="N286" t="str">
            <v>Resource</v>
          </cell>
          <cell r="Q286" t="str">
            <v>yes</v>
          </cell>
          <cell r="X286" t="str">
            <v xml:space="preserve"> </v>
          </cell>
          <cell r="Y286" t="str">
            <v xml:space="preserve"> </v>
          </cell>
          <cell r="Z286" t="str">
            <v xml:space="preserve"> </v>
          </cell>
        </row>
        <row r="287">
          <cell r="B287" t="str">
            <v>B35</v>
          </cell>
          <cell r="F287">
            <v>12</v>
          </cell>
          <cell r="G287">
            <v>110101</v>
          </cell>
          <cell r="K287">
            <v>0</v>
          </cell>
          <cell r="M287" t="str">
            <v>non-budget</v>
          </cell>
          <cell r="N287" t="str">
            <v>non-budget</v>
          </cell>
          <cell r="Q287" t="str">
            <v>yes</v>
          </cell>
          <cell r="X287">
            <v>-100000</v>
          </cell>
          <cell r="Y287" t="str">
            <v xml:space="preserve"> </v>
          </cell>
          <cell r="Z287" t="str">
            <v xml:space="preserve"> </v>
          </cell>
        </row>
        <row r="288">
          <cell r="B288" t="str">
            <v>B35</v>
          </cell>
          <cell r="F288">
            <v>12</v>
          </cell>
          <cell r="G288">
            <v>110101</v>
          </cell>
          <cell r="K288">
            <v>0</v>
          </cell>
          <cell r="M288" t="str">
            <v>DEL</v>
          </cell>
          <cell r="N288" t="str">
            <v>Resource</v>
          </cell>
          <cell r="Q288" t="str">
            <v>yes</v>
          </cell>
        </row>
        <row r="289">
          <cell r="B289" t="str">
            <v>B35</v>
          </cell>
          <cell r="F289">
            <v>9</v>
          </cell>
          <cell r="G289">
            <v>110101</v>
          </cell>
          <cell r="K289">
            <v>0</v>
          </cell>
          <cell r="M289" t="str">
            <v>DEL</v>
          </cell>
          <cell r="N289" t="str">
            <v>Resource</v>
          </cell>
          <cell r="Q289" t="str">
            <v>yes</v>
          </cell>
          <cell r="X289" t="str">
            <v xml:space="preserve"> </v>
          </cell>
          <cell r="Y289" t="str">
            <v xml:space="preserve"> </v>
          </cell>
          <cell r="Z289" t="str">
            <v xml:space="preserve"> </v>
          </cell>
        </row>
        <row r="290">
          <cell r="B290" t="str">
            <v>B35</v>
          </cell>
          <cell r="F290">
            <v>9</v>
          </cell>
          <cell r="G290">
            <v>110101</v>
          </cell>
          <cell r="K290">
            <v>0</v>
          </cell>
          <cell r="M290" t="str">
            <v>DEL</v>
          </cell>
          <cell r="N290" t="str">
            <v>Resource</v>
          </cell>
          <cell r="Q290" t="str">
            <v>yes</v>
          </cell>
          <cell r="X290" t="str">
            <v xml:space="preserve"> </v>
          </cell>
          <cell r="Y290" t="str">
            <v xml:space="preserve"> </v>
          </cell>
          <cell r="Z290" t="str">
            <v xml:space="preserve"> </v>
          </cell>
        </row>
        <row r="291">
          <cell r="B291" t="str">
            <v>B35</v>
          </cell>
          <cell r="F291">
            <v>9</v>
          </cell>
          <cell r="G291">
            <v>110101</v>
          </cell>
          <cell r="K291">
            <v>0</v>
          </cell>
          <cell r="M291" t="str">
            <v>DEL</v>
          </cell>
          <cell r="N291" t="str">
            <v>Resource</v>
          </cell>
          <cell r="Q291" t="str">
            <v>yes</v>
          </cell>
          <cell r="X291" t="str">
            <v xml:space="preserve"> </v>
          </cell>
          <cell r="Y291" t="str">
            <v xml:space="preserve"> </v>
          </cell>
          <cell r="Z291" t="str">
            <v xml:space="preserve"> </v>
          </cell>
        </row>
        <row r="292">
          <cell r="B292" t="str">
            <v>B35</v>
          </cell>
          <cell r="F292">
            <v>9</v>
          </cell>
          <cell r="G292">
            <v>110101</v>
          </cell>
          <cell r="K292">
            <v>0</v>
          </cell>
          <cell r="M292" t="str">
            <v>DEL</v>
          </cell>
          <cell r="N292" t="str">
            <v>Resource</v>
          </cell>
          <cell r="Q292" t="str">
            <v>yes</v>
          </cell>
          <cell r="X292" t="str">
            <v xml:space="preserve"> </v>
          </cell>
          <cell r="Y292" t="str">
            <v xml:space="preserve"> </v>
          </cell>
          <cell r="Z292" t="str">
            <v xml:space="preserve"> </v>
          </cell>
        </row>
        <row r="293">
          <cell r="B293" t="str">
            <v>B35</v>
          </cell>
          <cell r="F293">
            <v>12</v>
          </cell>
          <cell r="G293">
            <v>110101</v>
          </cell>
          <cell r="K293">
            <v>0</v>
          </cell>
          <cell r="M293" t="str">
            <v>DEL</v>
          </cell>
          <cell r="N293" t="str">
            <v>Resource</v>
          </cell>
          <cell r="Q293" t="str">
            <v>yes</v>
          </cell>
        </row>
        <row r="294">
          <cell r="B294" t="str">
            <v>B35</v>
          </cell>
          <cell r="F294">
            <v>9</v>
          </cell>
          <cell r="G294">
            <v>110101</v>
          </cell>
          <cell r="K294">
            <v>0</v>
          </cell>
          <cell r="M294" t="str">
            <v>DEL</v>
          </cell>
          <cell r="N294" t="str">
            <v>Resource</v>
          </cell>
          <cell r="Q294" t="str">
            <v>yes</v>
          </cell>
          <cell r="X294" t="str">
            <v xml:space="preserve"> </v>
          </cell>
          <cell r="Y294" t="str">
            <v xml:space="preserve"> </v>
          </cell>
          <cell r="Z294" t="str">
            <v xml:space="preserve"> </v>
          </cell>
        </row>
        <row r="295">
          <cell r="B295" t="str">
            <v>B35</v>
          </cell>
          <cell r="F295">
            <v>11</v>
          </cell>
          <cell r="G295">
            <v>110101</v>
          </cell>
          <cell r="K295">
            <v>0</v>
          </cell>
          <cell r="M295" t="str">
            <v>DEL</v>
          </cell>
          <cell r="N295" t="str">
            <v>Resource</v>
          </cell>
          <cell r="Q295" t="str">
            <v>yes</v>
          </cell>
          <cell r="X295">
            <v>1336</v>
          </cell>
          <cell r="Y295">
            <v>1427</v>
          </cell>
          <cell r="Z295">
            <v>1261</v>
          </cell>
        </row>
        <row r="296">
          <cell r="B296" t="str">
            <v>B35</v>
          </cell>
          <cell r="F296">
            <v>1</v>
          </cell>
          <cell r="G296">
            <v>110103</v>
          </cell>
          <cell r="K296">
            <v>0</v>
          </cell>
          <cell r="M296" t="str">
            <v>DEL</v>
          </cell>
          <cell r="N296" t="str">
            <v>Resource</v>
          </cell>
          <cell r="Q296" t="str">
            <v>yes</v>
          </cell>
          <cell r="X296">
            <v>4770636</v>
          </cell>
          <cell r="Y296" t="str">
            <v xml:space="preserve"> </v>
          </cell>
          <cell r="Z296" t="str">
            <v xml:space="preserve"> </v>
          </cell>
        </row>
        <row r="297">
          <cell r="B297" t="str">
            <v>B35</v>
          </cell>
          <cell r="F297">
            <v>4</v>
          </cell>
          <cell r="G297">
            <v>110103</v>
          </cell>
          <cell r="K297">
            <v>0</v>
          </cell>
          <cell r="M297" t="str">
            <v>DEL</v>
          </cell>
          <cell r="N297" t="str">
            <v>Resource</v>
          </cell>
          <cell r="Q297" t="str">
            <v>yes</v>
          </cell>
          <cell r="X297" t="str">
            <v xml:space="preserve"> </v>
          </cell>
          <cell r="Y297" t="str">
            <v xml:space="preserve"> </v>
          </cell>
          <cell r="Z297" t="str">
            <v xml:space="preserve"> </v>
          </cell>
        </row>
        <row r="298">
          <cell r="B298" t="str">
            <v>B35</v>
          </cell>
          <cell r="F298">
            <v>2</v>
          </cell>
          <cell r="G298">
            <v>110103</v>
          </cell>
          <cell r="K298">
            <v>0</v>
          </cell>
          <cell r="M298" t="str">
            <v>DEL</v>
          </cell>
          <cell r="N298" t="str">
            <v>Resource</v>
          </cell>
          <cell r="Q298" t="str">
            <v>yes</v>
          </cell>
          <cell r="X298" t="str">
            <v xml:space="preserve"> </v>
          </cell>
          <cell r="Y298">
            <v>4770636</v>
          </cell>
          <cell r="Z298">
            <v>4770636</v>
          </cell>
        </row>
        <row r="299">
          <cell r="B299" t="str">
            <v>B35</v>
          </cell>
          <cell r="F299">
            <v>1</v>
          </cell>
          <cell r="G299">
            <v>110201</v>
          </cell>
          <cell r="K299" t="str">
            <v>PSS</v>
          </cell>
          <cell r="M299" t="str">
            <v>DEL</v>
          </cell>
          <cell r="N299" t="str">
            <v>Resource</v>
          </cell>
          <cell r="Q299" t="str">
            <v>yes</v>
          </cell>
          <cell r="X299" t="str">
            <v xml:space="preserve"> </v>
          </cell>
          <cell r="Y299" t="str">
            <v xml:space="preserve"> </v>
          </cell>
          <cell r="Z299" t="str">
            <v xml:space="preserve"> </v>
          </cell>
        </row>
        <row r="300">
          <cell r="B300" t="str">
            <v>B35</v>
          </cell>
          <cell r="F300">
            <v>1</v>
          </cell>
          <cell r="G300">
            <v>110201</v>
          </cell>
          <cell r="K300" t="str">
            <v>PSS</v>
          </cell>
          <cell r="M300" t="str">
            <v>DEL</v>
          </cell>
          <cell r="N300" t="str">
            <v>Resource</v>
          </cell>
          <cell r="Q300" t="str">
            <v>yes</v>
          </cell>
          <cell r="X300">
            <v>206422</v>
          </cell>
          <cell r="Y300" t="str">
            <v xml:space="preserve"> </v>
          </cell>
          <cell r="Z300" t="str">
            <v xml:space="preserve"> </v>
          </cell>
        </row>
        <row r="301">
          <cell r="B301" t="str">
            <v>B35</v>
          </cell>
          <cell r="F301">
            <v>1</v>
          </cell>
          <cell r="G301">
            <v>110201</v>
          </cell>
          <cell r="K301" t="str">
            <v>PSS</v>
          </cell>
          <cell r="M301" t="str">
            <v>DEL</v>
          </cell>
          <cell r="N301" t="str">
            <v>Resource</v>
          </cell>
          <cell r="Q301" t="str">
            <v>yes</v>
          </cell>
          <cell r="X301">
            <v>174291</v>
          </cell>
          <cell r="Y301" t="str">
            <v xml:space="preserve"> </v>
          </cell>
          <cell r="Z301" t="str">
            <v xml:space="preserve"> </v>
          </cell>
        </row>
        <row r="302">
          <cell r="B302" t="str">
            <v>B35</v>
          </cell>
          <cell r="F302">
            <v>1</v>
          </cell>
          <cell r="G302">
            <v>110201</v>
          </cell>
          <cell r="K302" t="str">
            <v>PSS</v>
          </cell>
          <cell r="M302" t="str">
            <v>DEL</v>
          </cell>
          <cell r="N302" t="str">
            <v>Resource</v>
          </cell>
          <cell r="Q302" t="str">
            <v>yes</v>
          </cell>
          <cell r="X302">
            <v>-46118</v>
          </cell>
          <cell r="Y302" t="str">
            <v xml:space="preserve"> </v>
          </cell>
          <cell r="Z302" t="str">
            <v xml:space="preserve"> </v>
          </cell>
        </row>
        <row r="303">
          <cell r="B303" t="str">
            <v>N10</v>
          </cell>
          <cell r="F303">
            <v>12</v>
          </cell>
          <cell r="G303">
            <v>110101</v>
          </cell>
          <cell r="K303">
            <v>0</v>
          </cell>
          <cell r="M303" t="str">
            <v>DEL</v>
          </cell>
          <cell r="N303" t="str">
            <v>Capital</v>
          </cell>
          <cell r="Q303" t="str">
            <v>no</v>
          </cell>
          <cell r="X303" t="str">
            <v xml:space="preserve"> </v>
          </cell>
          <cell r="Y303" t="str">
            <v xml:space="preserve"> </v>
          </cell>
          <cell r="Z303" t="str">
            <v xml:space="preserve"> </v>
          </cell>
        </row>
        <row r="304">
          <cell r="B304" t="str">
            <v>B35</v>
          </cell>
          <cell r="F304">
            <v>4</v>
          </cell>
          <cell r="G304">
            <v>110201</v>
          </cell>
          <cell r="K304" t="str">
            <v>PSS</v>
          </cell>
          <cell r="M304" t="str">
            <v>DEL</v>
          </cell>
          <cell r="N304" t="str">
            <v>Resource</v>
          </cell>
          <cell r="Q304" t="str">
            <v>yes</v>
          </cell>
          <cell r="X304">
            <v>550</v>
          </cell>
          <cell r="Y304">
            <v>500</v>
          </cell>
          <cell r="Z304">
            <v>500</v>
          </cell>
        </row>
        <row r="305">
          <cell r="B305" t="str">
            <v>B35</v>
          </cell>
          <cell r="F305">
            <v>4</v>
          </cell>
          <cell r="G305">
            <v>110201</v>
          </cell>
          <cell r="K305" t="str">
            <v>PSS</v>
          </cell>
          <cell r="M305" t="str">
            <v>DEL</v>
          </cell>
          <cell r="N305" t="str">
            <v>Resource</v>
          </cell>
          <cell r="Q305" t="str">
            <v>yes</v>
          </cell>
          <cell r="X305" t="str">
            <v xml:space="preserve"> </v>
          </cell>
          <cell r="Y305">
            <v>1000</v>
          </cell>
          <cell r="Z305">
            <v>1000</v>
          </cell>
        </row>
        <row r="306">
          <cell r="B306" t="str">
            <v>B90</v>
          </cell>
          <cell r="F306">
            <v>9</v>
          </cell>
          <cell r="G306">
            <v>110306</v>
          </cell>
          <cell r="K306">
            <v>0</v>
          </cell>
          <cell r="M306" t="str">
            <v>DEL</v>
          </cell>
          <cell r="N306" t="str">
            <v>Resource</v>
          </cell>
          <cell r="Q306" t="str">
            <v>no</v>
          </cell>
          <cell r="X306" t="str">
            <v xml:space="preserve"> </v>
          </cell>
          <cell r="Y306" t="str">
            <v xml:space="preserve"> </v>
          </cell>
          <cell r="Z306" t="str">
            <v xml:space="preserve"> </v>
          </cell>
        </row>
        <row r="307">
          <cell r="B307" t="str">
            <v>B90</v>
          </cell>
          <cell r="F307">
            <v>9</v>
          </cell>
          <cell r="G307">
            <v>110306</v>
          </cell>
          <cell r="K307">
            <v>0</v>
          </cell>
          <cell r="M307" t="str">
            <v>DEL</v>
          </cell>
          <cell r="N307" t="str">
            <v>Resource</v>
          </cell>
          <cell r="Q307" t="str">
            <v>no</v>
          </cell>
          <cell r="X307" t="str">
            <v xml:space="preserve"> </v>
          </cell>
          <cell r="Y307" t="str">
            <v xml:space="preserve"> </v>
          </cell>
          <cell r="Z307" t="str">
            <v xml:space="preserve"> </v>
          </cell>
        </row>
        <row r="308">
          <cell r="B308" t="str">
            <v>B90</v>
          </cell>
          <cell r="F308">
            <v>9</v>
          </cell>
          <cell r="G308">
            <v>110401</v>
          </cell>
          <cell r="K308">
            <v>0</v>
          </cell>
          <cell r="M308" t="str">
            <v>DEL</v>
          </cell>
          <cell r="N308" t="str">
            <v>Resource</v>
          </cell>
          <cell r="Q308" t="str">
            <v>no</v>
          </cell>
          <cell r="X308" t="str">
            <v xml:space="preserve"> </v>
          </cell>
          <cell r="Y308" t="str">
            <v xml:space="preserve"> </v>
          </cell>
          <cell r="Z308" t="str">
            <v xml:space="preserve"> </v>
          </cell>
        </row>
        <row r="309">
          <cell r="B309" t="str">
            <v>B90</v>
          </cell>
          <cell r="F309">
            <v>12</v>
          </cell>
          <cell r="G309">
            <v>110401</v>
          </cell>
          <cell r="K309">
            <v>0</v>
          </cell>
          <cell r="M309" t="str">
            <v>DEL</v>
          </cell>
          <cell r="N309" t="str">
            <v>Resource</v>
          </cell>
          <cell r="Q309" t="str">
            <v>no</v>
          </cell>
          <cell r="X309">
            <v>-4300</v>
          </cell>
          <cell r="Y309" t="str">
            <v xml:space="preserve"> </v>
          </cell>
          <cell r="Z309" t="str">
            <v xml:space="preserve"> </v>
          </cell>
        </row>
        <row r="310">
          <cell r="B310" t="str">
            <v>B35</v>
          </cell>
          <cell r="F310">
            <v>4</v>
          </cell>
          <cell r="G310">
            <v>110201</v>
          </cell>
          <cell r="K310" t="str">
            <v>PSS</v>
          </cell>
          <cell r="M310" t="str">
            <v>DEL</v>
          </cell>
          <cell r="N310" t="str">
            <v>Resource</v>
          </cell>
          <cell r="Q310" t="str">
            <v>yes</v>
          </cell>
          <cell r="X310">
            <v>-94857</v>
          </cell>
          <cell r="Y310" t="str">
            <v xml:space="preserve"> </v>
          </cell>
          <cell r="Z310" t="str">
            <v xml:space="preserve"> </v>
          </cell>
        </row>
        <row r="311">
          <cell r="B311" t="str">
            <v>B35</v>
          </cell>
          <cell r="F311">
            <v>4</v>
          </cell>
          <cell r="G311">
            <v>110201</v>
          </cell>
          <cell r="K311" t="str">
            <v>PSS</v>
          </cell>
          <cell r="M311" t="str">
            <v>DEL</v>
          </cell>
          <cell r="N311" t="str">
            <v>Resource</v>
          </cell>
          <cell r="Q311" t="str">
            <v>yes</v>
          </cell>
          <cell r="X311" t="str">
            <v xml:space="preserve"> </v>
          </cell>
          <cell r="Y311">
            <v>1000</v>
          </cell>
          <cell r="Z311">
            <v>1000</v>
          </cell>
        </row>
        <row r="312">
          <cell r="B312" t="str">
            <v>B90</v>
          </cell>
          <cell r="F312">
            <v>12</v>
          </cell>
          <cell r="G312">
            <v>110407</v>
          </cell>
          <cell r="K312">
            <v>0</v>
          </cell>
          <cell r="M312" t="str">
            <v>DEL</v>
          </cell>
          <cell r="N312" t="str">
            <v>Resource</v>
          </cell>
          <cell r="Q312" t="str">
            <v>no</v>
          </cell>
          <cell r="X312" t="str">
            <v xml:space="preserve"> </v>
          </cell>
          <cell r="Y312" t="str">
            <v xml:space="preserve"> </v>
          </cell>
          <cell r="Z312" t="str">
            <v xml:space="preserve"> </v>
          </cell>
        </row>
        <row r="313">
          <cell r="B313" t="str">
            <v>B90</v>
          </cell>
          <cell r="F313">
            <v>12</v>
          </cell>
          <cell r="G313">
            <v>110407</v>
          </cell>
          <cell r="K313">
            <v>0</v>
          </cell>
          <cell r="M313" t="str">
            <v>DEL</v>
          </cell>
          <cell r="N313" t="str">
            <v>Resource</v>
          </cell>
          <cell r="Q313" t="str">
            <v>no</v>
          </cell>
          <cell r="X313">
            <v>81</v>
          </cell>
          <cell r="Y313" t="str">
            <v xml:space="preserve"> </v>
          </cell>
          <cell r="Z313" t="str">
            <v xml:space="preserve"> </v>
          </cell>
        </row>
        <row r="314">
          <cell r="B314" t="str">
            <v>B90</v>
          </cell>
          <cell r="F314">
            <v>12</v>
          </cell>
          <cell r="G314">
            <v>110407</v>
          </cell>
          <cell r="K314">
            <v>0</v>
          </cell>
          <cell r="M314" t="str">
            <v>DEL</v>
          </cell>
          <cell r="N314" t="str">
            <v>Resource</v>
          </cell>
          <cell r="Q314" t="str">
            <v>no</v>
          </cell>
          <cell r="X314" t="str">
            <v xml:space="preserve"> </v>
          </cell>
          <cell r="Y314" t="str">
            <v xml:space="preserve"> </v>
          </cell>
          <cell r="Z314" t="str">
            <v xml:space="preserve"> </v>
          </cell>
        </row>
        <row r="315">
          <cell r="B315" t="str">
            <v>B35</v>
          </cell>
          <cell r="F315">
            <v>4</v>
          </cell>
          <cell r="G315">
            <v>110201</v>
          </cell>
          <cell r="K315" t="str">
            <v>PSS</v>
          </cell>
          <cell r="M315" t="str">
            <v>DEL</v>
          </cell>
          <cell r="N315" t="str">
            <v>Resource</v>
          </cell>
          <cell r="Q315" t="str">
            <v>yes</v>
          </cell>
          <cell r="X315">
            <v>-2</v>
          </cell>
          <cell r="Y315" t="str">
            <v xml:space="preserve"> </v>
          </cell>
          <cell r="Z315" t="str">
            <v xml:space="preserve"> </v>
          </cell>
        </row>
        <row r="316">
          <cell r="B316" t="str">
            <v>B35</v>
          </cell>
          <cell r="F316">
            <v>3</v>
          </cell>
          <cell r="G316">
            <v>110302</v>
          </cell>
          <cell r="K316">
            <v>0</v>
          </cell>
          <cell r="M316" t="str">
            <v>DEL</v>
          </cell>
          <cell r="N316" t="str">
            <v>Resource</v>
          </cell>
          <cell r="Q316" t="str">
            <v>yes</v>
          </cell>
          <cell r="X316" t="str">
            <v xml:space="preserve"> </v>
          </cell>
          <cell r="Y316" t="str">
            <v xml:space="preserve"> </v>
          </cell>
          <cell r="Z316" t="str">
            <v xml:space="preserve"> </v>
          </cell>
        </row>
        <row r="317">
          <cell r="B317" t="str">
            <v>B90</v>
          </cell>
          <cell r="F317">
            <v>12</v>
          </cell>
          <cell r="G317">
            <v>110407</v>
          </cell>
          <cell r="K317">
            <v>0</v>
          </cell>
          <cell r="M317" t="str">
            <v>DEL</v>
          </cell>
          <cell r="N317" t="str">
            <v>Resource</v>
          </cell>
          <cell r="Q317" t="str">
            <v>no</v>
          </cell>
          <cell r="X317">
            <v>53</v>
          </cell>
          <cell r="Y317" t="str">
            <v xml:space="preserve"> </v>
          </cell>
          <cell r="Z317" t="str">
            <v xml:space="preserve"> </v>
          </cell>
        </row>
        <row r="318">
          <cell r="B318" t="str">
            <v>B90</v>
          </cell>
          <cell r="F318">
            <v>1</v>
          </cell>
          <cell r="G318">
            <v>110401</v>
          </cell>
          <cell r="K318">
            <v>0</v>
          </cell>
          <cell r="M318" t="str">
            <v>DEL</v>
          </cell>
          <cell r="N318" t="str">
            <v>Resource</v>
          </cell>
          <cell r="Q318" t="str">
            <v>no</v>
          </cell>
          <cell r="X318">
            <v>916</v>
          </cell>
          <cell r="Y318" t="str">
            <v xml:space="preserve"> </v>
          </cell>
          <cell r="Z318" t="str">
            <v xml:space="preserve"> </v>
          </cell>
        </row>
        <row r="319">
          <cell r="B319" t="str">
            <v>E15</v>
          </cell>
          <cell r="F319">
            <v>11</v>
          </cell>
          <cell r="G319">
            <v>110101</v>
          </cell>
          <cell r="K319">
            <v>0</v>
          </cell>
          <cell r="M319" t="str">
            <v>DEL</v>
          </cell>
          <cell r="N319" t="str">
            <v>Capital</v>
          </cell>
          <cell r="Q319" t="str">
            <v>no</v>
          </cell>
          <cell r="X319">
            <v>125</v>
          </cell>
          <cell r="Y319">
            <v>64</v>
          </cell>
          <cell r="Z319">
            <v>31</v>
          </cell>
        </row>
        <row r="320">
          <cell r="B320" t="str">
            <v>B35</v>
          </cell>
          <cell r="F320">
            <v>3</v>
          </cell>
          <cell r="G320">
            <v>110302</v>
          </cell>
          <cell r="K320">
            <v>0</v>
          </cell>
          <cell r="M320" t="str">
            <v>DEL</v>
          </cell>
          <cell r="N320" t="str">
            <v>Resource</v>
          </cell>
          <cell r="Q320" t="str">
            <v>yes</v>
          </cell>
          <cell r="X320" t="str">
            <v xml:space="preserve"> </v>
          </cell>
          <cell r="Y320" t="str">
            <v xml:space="preserve"> </v>
          </cell>
          <cell r="Z320" t="str">
            <v xml:space="preserve"> </v>
          </cell>
        </row>
        <row r="321">
          <cell r="B321" t="str">
            <v>G20</v>
          </cell>
          <cell r="F321">
            <v>4</v>
          </cell>
          <cell r="G321">
            <v>110101</v>
          </cell>
          <cell r="K321">
            <v>0</v>
          </cell>
          <cell r="M321" t="str">
            <v>DEL</v>
          </cell>
          <cell r="N321" t="str">
            <v>Resource</v>
          </cell>
          <cell r="Q321" t="str">
            <v>no</v>
          </cell>
          <cell r="X321" t="str">
            <v xml:space="preserve"> </v>
          </cell>
          <cell r="Y321" t="str">
            <v xml:space="preserve"> </v>
          </cell>
          <cell r="Z321" t="str">
            <v xml:space="preserve"> </v>
          </cell>
        </row>
        <row r="322">
          <cell r="B322" t="str">
            <v>B35</v>
          </cell>
          <cell r="F322">
            <v>4</v>
          </cell>
          <cell r="G322">
            <v>110201</v>
          </cell>
          <cell r="K322" t="str">
            <v>PSS</v>
          </cell>
          <cell r="M322" t="str">
            <v>DEL</v>
          </cell>
          <cell r="N322" t="str">
            <v>Resource</v>
          </cell>
          <cell r="Q322" t="str">
            <v>yes</v>
          </cell>
          <cell r="X322" t="str">
            <v xml:space="preserve"> </v>
          </cell>
          <cell r="Y322">
            <v>215120</v>
          </cell>
          <cell r="Z322">
            <v>197437</v>
          </cell>
        </row>
        <row r="323">
          <cell r="B323" t="str">
            <v>B35</v>
          </cell>
          <cell r="F323">
            <v>4</v>
          </cell>
          <cell r="G323">
            <v>110201</v>
          </cell>
          <cell r="K323" t="str">
            <v>PSS</v>
          </cell>
          <cell r="M323" t="str">
            <v>DEL</v>
          </cell>
          <cell r="N323" t="str">
            <v>Resource</v>
          </cell>
          <cell r="Q323" t="str">
            <v>yes</v>
          </cell>
          <cell r="X323">
            <v>2</v>
          </cell>
          <cell r="Y323" t="str">
            <v xml:space="preserve"> </v>
          </cell>
          <cell r="Z323" t="str">
            <v xml:space="preserve"> </v>
          </cell>
        </row>
        <row r="324">
          <cell r="B324" t="str">
            <v>B35</v>
          </cell>
          <cell r="F324">
            <v>4</v>
          </cell>
          <cell r="G324">
            <v>110201</v>
          </cell>
          <cell r="K324" t="str">
            <v>PSS</v>
          </cell>
          <cell r="M324" t="str">
            <v>DEL</v>
          </cell>
          <cell r="N324" t="str">
            <v>Resource</v>
          </cell>
          <cell r="Q324" t="str">
            <v>yes</v>
          </cell>
          <cell r="X324">
            <v>100000</v>
          </cell>
          <cell r="Y324" t="str">
            <v xml:space="preserve"> </v>
          </cell>
          <cell r="Z324" t="str">
            <v xml:space="preserve"> </v>
          </cell>
        </row>
        <row r="325">
          <cell r="B325" t="str">
            <v>B35</v>
          </cell>
          <cell r="F325">
            <v>4</v>
          </cell>
          <cell r="G325">
            <v>110201</v>
          </cell>
          <cell r="K325" t="str">
            <v>PSS</v>
          </cell>
          <cell r="M325" t="str">
            <v>DEL</v>
          </cell>
          <cell r="N325" t="str">
            <v>Resource</v>
          </cell>
          <cell r="Q325" t="str">
            <v>yes</v>
          </cell>
          <cell r="X325">
            <v>754</v>
          </cell>
          <cell r="Y325" t="str">
            <v xml:space="preserve"> </v>
          </cell>
          <cell r="Z325" t="str">
            <v xml:space="preserve"> </v>
          </cell>
        </row>
        <row r="326">
          <cell r="B326" t="str">
            <v>B35</v>
          </cell>
          <cell r="F326">
            <v>6</v>
          </cell>
          <cell r="G326">
            <v>110201</v>
          </cell>
          <cell r="K326" t="str">
            <v>PSS</v>
          </cell>
          <cell r="M326" t="str">
            <v>DEL</v>
          </cell>
          <cell r="N326" t="str">
            <v>Resource</v>
          </cell>
          <cell r="Q326" t="str">
            <v>yes</v>
          </cell>
          <cell r="X326">
            <v>-5745</v>
          </cell>
          <cell r="Y326" t="str">
            <v xml:space="preserve"> </v>
          </cell>
          <cell r="Z326" t="str">
            <v xml:space="preserve"> </v>
          </cell>
        </row>
        <row r="327">
          <cell r="B327" t="str">
            <v>B35</v>
          </cell>
          <cell r="F327">
            <v>9</v>
          </cell>
          <cell r="G327">
            <v>110201</v>
          </cell>
          <cell r="K327" t="str">
            <v>PSS</v>
          </cell>
          <cell r="M327" t="str">
            <v>DEL</v>
          </cell>
          <cell r="N327" t="str">
            <v>Resource</v>
          </cell>
          <cell r="Q327" t="str">
            <v>yes</v>
          </cell>
          <cell r="X327" t="str">
            <v xml:space="preserve"> </v>
          </cell>
          <cell r="Y327" t="str">
            <v xml:space="preserve"> </v>
          </cell>
          <cell r="Z327" t="str">
            <v xml:space="preserve"> </v>
          </cell>
        </row>
        <row r="328">
          <cell r="B328" t="str">
            <v>B35</v>
          </cell>
          <cell r="F328">
            <v>6</v>
          </cell>
          <cell r="G328">
            <v>110201</v>
          </cell>
          <cell r="K328" t="str">
            <v>PSS</v>
          </cell>
          <cell r="M328" t="str">
            <v>DEL</v>
          </cell>
          <cell r="N328" t="str">
            <v>Resource</v>
          </cell>
          <cell r="Q328" t="str">
            <v>yes</v>
          </cell>
          <cell r="X328" t="str">
            <v xml:space="preserve"> </v>
          </cell>
          <cell r="Y328" t="str">
            <v xml:space="preserve"> </v>
          </cell>
          <cell r="Z328" t="str">
            <v xml:space="preserve"> </v>
          </cell>
        </row>
        <row r="329">
          <cell r="B329" t="str">
            <v>B35</v>
          </cell>
          <cell r="F329">
            <v>2</v>
          </cell>
          <cell r="G329">
            <v>110201</v>
          </cell>
          <cell r="K329" t="str">
            <v>PSS</v>
          </cell>
          <cell r="M329" t="str">
            <v>DEL</v>
          </cell>
          <cell r="N329" t="str">
            <v>Resource</v>
          </cell>
          <cell r="Q329" t="str">
            <v>yes</v>
          </cell>
          <cell r="X329" t="str">
            <v xml:space="preserve"> </v>
          </cell>
          <cell r="Y329" t="str">
            <v xml:space="preserve"> </v>
          </cell>
          <cell r="Z329" t="str">
            <v xml:space="preserve"> </v>
          </cell>
        </row>
        <row r="330">
          <cell r="B330" t="str">
            <v>B35</v>
          </cell>
          <cell r="F330">
            <v>9</v>
          </cell>
          <cell r="G330">
            <v>110201</v>
          </cell>
          <cell r="K330" t="str">
            <v>PSS</v>
          </cell>
          <cell r="M330" t="str">
            <v>DEL</v>
          </cell>
          <cell r="N330" t="str">
            <v>Resource</v>
          </cell>
          <cell r="Q330" t="str">
            <v>yes</v>
          </cell>
          <cell r="X330" t="str">
            <v xml:space="preserve"> </v>
          </cell>
          <cell r="Y330" t="str">
            <v xml:space="preserve"> </v>
          </cell>
          <cell r="Z330" t="str">
            <v xml:space="preserve"> </v>
          </cell>
        </row>
        <row r="331">
          <cell r="B331" t="str">
            <v>B35</v>
          </cell>
          <cell r="F331">
            <v>9</v>
          </cell>
          <cell r="G331">
            <v>110201</v>
          </cell>
          <cell r="K331" t="str">
            <v>PSS</v>
          </cell>
          <cell r="M331" t="str">
            <v>DEL</v>
          </cell>
          <cell r="N331" t="str">
            <v>Resource</v>
          </cell>
          <cell r="Q331" t="str">
            <v>yes</v>
          </cell>
          <cell r="X331" t="str">
            <v xml:space="preserve"> </v>
          </cell>
          <cell r="Y331" t="str">
            <v xml:space="preserve"> </v>
          </cell>
          <cell r="Z331" t="str">
            <v xml:space="preserve"> </v>
          </cell>
        </row>
        <row r="332">
          <cell r="B332" t="str">
            <v>B35</v>
          </cell>
          <cell r="F332">
            <v>4</v>
          </cell>
          <cell r="G332">
            <v>110201</v>
          </cell>
          <cell r="K332" t="str">
            <v>PSS</v>
          </cell>
          <cell r="M332" t="str">
            <v>DEL</v>
          </cell>
          <cell r="N332" t="str">
            <v>Resource</v>
          </cell>
          <cell r="Q332" t="str">
            <v>yes</v>
          </cell>
          <cell r="X332" t="str">
            <v xml:space="preserve"> </v>
          </cell>
          <cell r="Y332" t="str">
            <v xml:space="preserve"> </v>
          </cell>
          <cell r="Z332" t="str">
            <v xml:space="preserve"> </v>
          </cell>
        </row>
        <row r="333">
          <cell r="B333" t="str">
            <v>B35</v>
          </cell>
          <cell r="F333">
            <v>4</v>
          </cell>
          <cell r="G333">
            <v>110201</v>
          </cell>
          <cell r="K333" t="str">
            <v>PSS</v>
          </cell>
          <cell r="M333" t="str">
            <v>DEL</v>
          </cell>
          <cell r="N333" t="str">
            <v>Resource</v>
          </cell>
          <cell r="Q333" t="str">
            <v>yes</v>
          </cell>
          <cell r="X333" t="str">
            <v xml:space="preserve"> </v>
          </cell>
          <cell r="Y333" t="str">
            <v xml:space="preserve"> </v>
          </cell>
          <cell r="Z333" t="str">
            <v xml:space="preserve"> </v>
          </cell>
        </row>
        <row r="334">
          <cell r="B334" t="str">
            <v>B35</v>
          </cell>
          <cell r="F334">
            <v>9</v>
          </cell>
          <cell r="G334">
            <v>110201</v>
          </cell>
          <cell r="K334" t="str">
            <v>PSS</v>
          </cell>
          <cell r="M334" t="str">
            <v>DEL</v>
          </cell>
          <cell r="N334" t="str">
            <v>Resource</v>
          </cell>
          <cell r="Q334" t="str">
            <v>yes</v>
          </cell>
          <cell r="X334" t="str">
            <v xml:space="preserve"> </v>
          </cell>
          <cell r="Y334" t="str">
            <v xml:space="preserve"> </v>
          </cell>
          <cell r="Z334" t="str">
            <v xml:space="preserve"> </v>
          </cell>
        </row>
        <row r="335">
          <cell r="B335" t="str">
            <v>B35</v>
          </cell>
          <cell r="F335">
            <v>2</v>
          </cell>
          <cell r="G335">
            <v>110201</v>
          </cell>
          <cell r="K335" t="str">
            <v>PSS</v>
          </cell>
          <cell r="M335" t="str">
            <v>DEL</v>
          </cell>
          <cell r="N335" t="str">
            <v>Resource</v>
          </cell>
          <cell r="Q335" t="str">
            <v>yes</v>
          </cell>
          <cell r="X335" t="str">
            <v xml:space="preserve"> </v>
          </cell>
          <cell r="Y335">
            <v>256422</v>
          </cell>
          <cell r="Z335">
            <v>296422</v>
          </cell>
        </row>
        <row r="336">
          <cell r="B336" t="str">
            <v>B35</v>
          </cell>
          <cell r="F336">
            <v>2</v>
          </cell>
          <cell r="G336">
            <v>110201</v>
          </cell>
          <cell r="K336" t="str">
            <v>PSS</v>
          </cell>
          <cell r="M336" t="str">
            <v>DEL</v>
          </cell>
          <cell r="N336" t="str">
            <v>Resource</v>
          </cell>
          <cell r="Q336" t="str">
            <v>yes</v>
          </cell>
          <cell r="X336" t="str">
            <v xml:space="preserve"> </v>
          </cell>
          <cell r="Y336">
            <v>-230388</v>
          </cell>
          <cell r="Z336">
            <v>-210388</v>
          </cell>
        </row>
        <row r="337">
          <cell r="B337" t="str">
            <v>B35</v>
          </cell>
          <cell r="F337">
            <v>2</v>
          </cell>
          <cell r="G337">
            <v>110201</v>
          </cell>
          <cell r="K337" t="str">
            <v>PSS</v>
          </cell>
          <cell r="M337" t="str">
            <v>DEL</v>
          </cell>
          <cell r="N337" t="str">
            <v>Resource</v>
          </cell>
          <cell r="Q337" t="str">
            <v>yes</v>
          </cell>
          <cell r="X337" t="str">
            <v xml:space="preserve"> </v>
          </cell>
          <cell r="Y337">
            <v>174291</v>
          </cell>
          <cell r="Z337">
            <v>174291</v>
          </cell>
        </row>
        <row r="338">
          <cell r="B338" t="str">
            <v>B35</v>
          </cell>
          <cell r="F338">
            <v>2</v>
          </cell>
          <cell r="G338">
            <v>110201</v>
          </cell>
          <cell r="K338" t="str">
            <v>PSS</v>
          </cell>
          <cell r="M338" t="str">
            <v>DEL</v>
          </cell>
          <cell r="N338" t="str">
            <v>Resource</v>
          </cell>
          <cell r="Q338" t="str">
            <v>yes</v>
          </cell>
          <cell r="X338" t="str">
            <v xml:space="preserve"> </v>
          </cell>
          <cell r="Y338">
            <v>-20000</v>
          </cell>
          <cell r="Z338">
            <v>-40000</v>
          </cell>
        </row>
        <row r="339">
          <cell r="B339" t="str">
            <v>B35</v>
          </cell>
          <cell r="F339">
            <v>2</v>
          </cell>
          <cell r="G339">
            <v>110201</v>
          </cell>
          <cell r="K339" t="str">
            <v>PSS</v>
          </cell>
          <cell r="M339" t="str">
            <v>DEL</v>
          </cell>
          <cell r="N339" t="str">
            <v>Resource</v>
          </cell>
          <cell r="Q339" t="str">
            <v>yes</v>
          </cell>
          <cell r="X339" t="str">
            <v xml:space="preserve"> </v>
          </cell>
          <cell r="Y339">
            <v>-46118</v>
          </cell>
          <cell r="Z339">
            <v>-46118</v>
          </cell>
        </row>
        <row r="340">
          <cell r="B340" t="str">
            <v>B35</v>
          </cell>
          <cell r="F340">
            <v>6</v>
          </cell>
          <cell r="G340">
            <v>110201</v>
          </cell>
          <cell r="K340" t="str">
            <v>PSS</v>
          </cell>
          <cell r="M340" t="str">
            <v>DEL</v>
          </cell>
          <cell r="N340" t="str">
            <v>Resource</v>
          </cell>
          <cell r="Q340" t="str">
            <v>yes</v>
          </cell>
          <cell r="X340" t="str">
            <v xml:space="preserve"> </v>
          </cell>
          <cell r="Y340" t="str">
            <v xml:space="preserve"> </v>
          </cell>
          <cell r="Z340" t="str">
            <v xml:space="preserve"> </v>
          </cell>
        </row>
        <row r="341">
          <cell r="B341" t="str">
            <v>B35</v>
          </cell>
          <cell r="F341">
            <v>6</v>
          </cell>
          <cell r="G341">
            <v>110201</v>
          </cell>
          <cell r="K341" t="str">
            <v>PSS</v>
          </cell>
          <cell r="M341" t="str">
            <v>DEL</v>
          </cell>
          <cell r="N341" t="str">
            <v>Resource</v>
          </cell>
          <cell r="Q341" t="str">
            <v>yes</v>
          </cell>
          <cell r="X341" t="str">
            <v xml:space="preserve"> </v>
          </cell>
          <cell r="Y341" t="str">
            <v xml:space="preserve"> </v>
          </cell>
          <cell r="Z341" t="str">
            <v xml:space="preserve"> </v>
          </cell>
        </row>
        <row r="342">
          <cell r="B342" t="str">
            <v>B35</v>
          </cell>
          <cell r="F342">
            <v>6</v>
          </cell>
          <cell r="G342">
            <v>110201</v>
          </cell>
          <cell r="K342" t="str">
            <v>PSS</v>
          </cell>
          <cell r="M342" t="str">
            <v>DEL</v>
          </cell>
          <cell r="N342" t="str">
            <v>Resource</v>
          </cell>
          <cell r="Q342" t="str">
            <v>yes</v>
          </cell>
          <cell r="X342" t="str">
            <v xml:space="preserve"> </v>
          </cell>
          <cell r="Y342" t="str">
            <v xml:space="preserve"> </v>
          </cell>
          <cell r="Z342" t="str">
            <v xml:space="preserve"> </v>
          </cell>
        </row>
        <row r="343">
          <cell r="B343" t="str">
            <v>B35</v>
          </cell>
          <cell r="F343">
            <v>3</v>
          </cell>
          <cell r="G343">
            <v>110302</v>
          </cell>
          <cell r="K343">
            <v>0</v>
          </cell>
          <cell r="M343" t="str">
            <v>DEL</v>
          </cell>
          <cell r="N343" t="str">
            <v>Resource</v>
          </cell>
          <cell r="Q343" t="str">
            <v>yes</v>
          </cell>
          <cell r="X343" t="str">
            <v xml:space="preserve"> </v>
          </cell>
          <cell r="Y343" t="str">
            <v xml:space="preserve"> </v>
          </cell>
          <cell r="Z343" t="str">
            <v xml:space="preserve"> </v>
          </cell>
        </row>
        <row r="344">
          <cell r="B344" t="str">
            <v>B35</v>
          </cell>
          <cell r="F344">
            <v>6</v>
          </cell>
          <cell r="G344">
            <v>110201</v>
          </cell>
          <cell r="K344" t="str">
            <v>PSS</v>
          </cell>
          <cell r="M344" t="str">
            <v>DEL</v>
          </cell>
          <cell r="N344" t="str">
            <v>Resource</v>
          </cell>
          <cell r="Q344" t="str">
            <v>yes</v>
          </cell>
          <cell r="X344" t="str">
            <v xml:space="preserve"> </v>
          </cell>
          <cell r="Y344" t="str">
            <v xml:space="preserve"> </v>
          </cell>
          <cell r="Z344" t="str">
            <v xml:space="preserve"> </v>
          </cell>
        </row>
        <row r="345">
          <cell r="B345" t="str">
            <v>B35</v>
          </cell>
          <cell r="F345">
            <v>6</v>
          </cell>
          <cell r="G345">
            <v>110201</v>
          </cell>
          <cell r="K345" t="str">
            <v>PSS</v>
          </cell>
          <cell r="M345" t="str">
            <v>DEL</v>
          </cell>
          <cell r="N345" t="str">
            <v>Resource</v>
          </cell>
          <cell r="Q345" t="str">
            <v>yes</v>
          </cell>
          <cell r="X345" t="str">
            <v xml:space="preserve"> </v>
          </cell>
          <cell r="Y345" t="str">
            <v xml:space="preserve"> </v>
          </cell>
          <cell r="Z345" t="str">
            <v xml:space="preserve"> </v>
          </cell>
        </row>
        <row r="346">
          <cell r="B346" t="str">
            <v>B35</v>
          </cell>
          <cell r="F346">
            <v>6</v>
          </cell>
          <cell r="G346">
            <v>110201</v>
          </cell>
          <cell r="K346" t="str">
            <v>PSS</v>
          </cell>
          <cell r="M346" t="str">
            <v>DEL</v>
          </cell>
          <cell r="N346" t="str">
            <v>Resource</v>
          </cell>
          <cell r="Q346" t="str">
            <v>yes</v>
          </cell>
          <cell r="X346" t="str">
            <v xml:space="preserve"> </v>
          </cell>
          <cell r="Y346" t="str">
            <v xml:space="preserve"> </v>
          </cell>
          <cell r="Z346" t="str">
            <v xml:space="preserve"> </v>
          </cell>
        </row>
        <row r="347">
          <cell r="B347" t="str">
            <v>B35</v>
          </cell>
          <cell r="F347">
            <v>4</v>
          </cell>
          <cell r="G347">
            <v>110201</v>
          </cell>
          <cell r="K347" t="str">
            <v>PSS</v>
          </cell>
          <cell r="M347" t="str">
            <v>DEL</v>
          </cell>
          <cell r="N347" t="str">
            <v>Resource</v>
          </cell>
          <cell r="Q347" t="str">
            <v>yes</v>
          </cell>
          <cell r="X347">
            <v>120</v>
          </cell>
          <cell r="Y347" t="str">
            <v xml:space="preserve"> </v>
          </cell>
          <cell r="Z347" t="str">
            <v xml:space="preserve"> </v>
          </cell>
        </row>
        <row r="348">
          <cell r="B348" t="str">
            <v>B35</v>
          </cell>
          <cell r="F348">
            <v>4</v>
          </cell>
          <cell r="G348">
            <v>110201</v>
          </cell>
          <cell r="K348" t="str">
            <v>PSS</v>
          </cell>
          <cell r="M348" t="str">
            <v>DEL</v>
          </cell>
          <cell r="N348" t="str">
            <v>Resource</v>
          </cell>
          <cell r="Q348" t="str">
            <v>yes</v>
          </cell>
          <cell r="X348">
            <v>750</v>
          </cell>
          <cell r="Y348">
            <v>750</v>
          </cell>
          <cell r="Z348">
            <v>750</v>
          </cell>
        </row>
        <row r="349">
          <cell r="B349" t="str">
            <v>B35</v>
          </cell>
          <cell r="F349">
            <v>6</v>
          </cell>
          <cell r="G349">
            <v>110201</v>
          </cell>
          <cell r="K349" t="str">
            <v>PSS</v>
          </cell>
          <cell r="M349" t="str">
            <v>DEL</v>
          </cell>
          <cell r="N349" t="str">
            <v>Resource</v>
          </cell>
          <cell r="Q349" t="str">
            <v>yes</v>
          </cell>
          <cell r="X349" t="str">
            <v xml:space="preserve"> </v>
          </cell>
          <cell r="Y349" t="str">
            <v xml:space="preserve"> </v>
          </cell>
          <cell r="Z349" t="str">
            <v xml:space="preserve"> </v>
          </cell>
        </row>
        <row r="350">
          <cell r="B350" t="str">
            <v>B35</v>
          </cell>
          <cell r="F350">
            <v>6</v>
          </cell>
          <cell r="G350">
            <v>110201</v>
          </cell>
          <cell r="K350" t="str">
            <v>PSS</v>
          </cell>
          <cell r="M350" t="str">
            <v>DEL</v>
          </cell>
          <cell r="N350" t="str">
            <v>Resource</v>
          </cell>
          <cell r="Q350" t="str">
            <v>yes</v>
          </cell>
          <cell r="X350" t="str">
            <v xml:space="preserve"> </v>
          </cell>
          <cell r="Y350" t="str">
            <v xml:space="preserve"> </v>
          </cell>
          <cell r="Z350" t="str">
            <v xml:space="preserve"> </v>
          </cell>
        </row>
        <row r="351">
          <cell r="B351" t="str">
            <v>B35</v>
          </cell>
          <cell r="F351">
            <v>4</v>
          </cell>
          <cell r="G351">
            <v>110201</v>
          </cell>
          <cell r="K351" t="str">
            <v>PSS</v>
          </cell>
          <cell r="M351" t="str">
            <v>DEL</v>
          </cell>
          <cell r="N351" t="str">
            <v>Resource</v>
          </cell>
          <cell r="Q351" t="str">
            <v>yes</v>
          </cell>
          <cell r="X351" t="str">
            <v xml:space="preserve"> </v>
          </cell>
          <cell r="Y351" t="str">
            <v xml:space="preserve"> </v>
          </cell>
          <cell r="Z351" t="str">
            <v xml:space="preserve"> </v>
          </cell>
        </row>
        <row r="352">
          <cell r="B352" t="str">
            <v>B35</v>
          </cell>
          <cell r="F352">
            <v>4</v>
          </cell>
          <cell r="G352">
            <v>110201</v>
          </cell>
          <cell r="K352" t="str">
            <v>PSS</v>
          </cell>
          <cell r="M352" t="str">
            <v>DEL</v>
          </cell>
          <cell r="N352" t="str">
            <v>Resource</v>
          </cell>
          <cell r="Q352" t="str">
            <v>yes</v>
          </cell>
          <cell r="X352" t="str">
            <v xml:space="preserve"> </v>
          </cell>
          <cell r="Y352" t="str">
            <v xml:space="preserve"> </v>
          </cell>
          <cell r="Z352" t="str">
            <v xml:space="preserve"> </v>
          </cell>
        </row>
        <row r="353">
          <cell r="B353" t="str">
            <v>B35</v>
          </cell>
          <cell r="F353">
            <v>9</v>
          </cell>
          <cell r="G353">
            <v>110302</v>
          </cell>
          <cell r="K353">
            <v>0</v>
          </cell>
          <cell r="M353" t="str">
            <v>DEL</v>
          </cell>
          <cell r="N353" t="str">
            <v>Resource</v>
          </cell>
          <cell r="Q353" t="str">
            <v>yes</v>
          </cell>
          <cell r="X353" t="str">
            <v xml:space="preserve"> </v>
          </cell>
          <cell r="Y353" t="str">
            <v xml:space="preserve"> </v>
          </cell>
          <cell r="Z353" t="str">
            <v xml:space="preserve"> </v>
          </cell>
        </row>
        <row r="354">
          <cell r="B354" t="str">
            <v>B35</v>
          </cell>
          <cell r="F354">
            <v>9</v>
          </cell>
          <cell r="G354">
            <v>110302</v>
          </cell>
          <cell r="K354">
            <v>0</v>
          </cell>
          <cell r="M354" t="str">
            <v>DEL</v>
          </cell>
          <cell r="N354" t="str">
            <v>Resource</v>
          </cell>
          <cell r="Q354" t="str">
            <v>yes</v>
          </cell>
          <cell r="X354" t="str">
            <v xml:space="preserve"> </v>
          </cell>
          <cell r="Y354" t="str">
            <v xml:space="preserve"> </v>
          </cell>
          <cell r="Z354" t="str">
            <v xml:space="preserve"> </v>
          </cell>
        </row>
        <row r="355">
          <cell r="B355" t="str">
            <v>B35</v>
          </cell>
          <cell r="F355">
            <v>9</v>
          </cell>
          <cell r="G355">
            <v>110305</v>
          </cell>
          <cell r="K355">
            <v>0</v>
          </cell>
          <cell r="M355" t="str">
            <v>DEL</v>
          </cell>
          <cell r="N355" t="str">
            <v>Resource</v>
          </cell>
          <cell r="Q355" t="str">
            <v>yes</v>
          </cell>
          <cell r="X355" t="str">
            <v xml:space="preserve"> </v>
          </cell>
          <cell r="Y355" t="str">
            <v xml:space="preserve"> </v>
          </cell>
          <cell r="Z355" t="str">
            <v xml:space="preserve"> </v>
          </cell>
        </row>
        <row r="356">
          <cell r="B356" t="str">
            <v>B35</v>
          </cell>
          <cell r="F356">
            <v>9</v>
          </cell>
          <cell r="G356">
            <v>110305</v>
          </cell>
          <cell r="K356">
            <v>0</v>
          </cell>
          <cell r="M356" t="str">
            <v>DEL</v>
          </cell>
          <cell r="N356" t="str">
            <v>Resource</v>
          </cell>
          <cell r="Q356" t="str">
            <v>yes</v>
          </cell>
          <cell r="X356" t="str">
            <v xml:space="preserve"> </v>
          </cell>
          <cell r="Y356" t="str">
            <v xml:space="preserve"> </v>
          </cell>
          <cell r="Z356" t="str">
            <v xml:space="preserve"> </v>
          </cell>
        </row>
        <row r="357">
          <cell r="B357" t="str">
            <v>B35</v>
          </cell>
          <cell r="F357">
            <v>12</v>
          </cell>
          <cell r="G357">
            <v>110201</v>
          </cell>
          <cell r="K357" t="str">
            <v>PSS</v>
          </cell>
          <cell r="M357" t="str">
            <v>DEL</v>
          </cell>
          <cell r="N357" t="str">
            <v>Resource</v>
          </cell>
          <cell r="Q357" t="str">
            <v>yes</v>
          </cell>
          <cell r="X357">
            <v>-3765</v>
          </cell>
          <cell r="Y357" t="str">
            <v xml:space="preserve"> </v>
          </cell>
          <cell r="Z357" t="str">
            <v xml:space="preserve"> </v>
          </cell>
        </row>
        <row r="358">
          <cell r="B358" t="str">
            <v>B35</v>
          </cell>
          <cell r="F358">
            <v>9</v>
          </cell>
          <cell r="G358">
            <v>110306</v>
          </cell>
          <cell r="K358">
            <v>0</v>
          </cell>
          <cell r="M358" t="str">
            <v>DEL</v>
          </cell>
          <cell r="N358" t="str">
            <v>Resource</v>
          </cell>
          <cell r="Q358" t="str">
            <v>yes</v>
          </cell>
          <cell r="X358" t="str">
            <v xml:space="preserve"> </v>
          </cell>
          <cell r="Y358" t="str">
            <v xml:space="preserve"> </v>
          </cell>
          <cell r="Z358" t="str">
            <v xml:space="preserve"> </v>
          </cell>
        </row>
        <row r="359">
          <cell r="B359" t="str">
            <v>B35</v>
          </cell>
          <cell r="F359">
            <v>9</v>
          </cell>
          <cell r="G359">
            <v>110306</v>
          </cell>
          <cell r="K359">
            <v>0</v>
          </cell>
          <cell r="M359" t="str">
            <v>DEL</v>
          </cell>
          <cell r="N359" t="str">
            <v>Resource</v>
          </cell>
          <cell r="Q359" t="str">
            <v>yes</v>
          </cell>
          <cell r="X359" t="str">
            <v xml:space="preserve"> </v>
          </cell>
          <cell r="Y359" t="str">
            <v xml:space="preserve"> </v>
          </cell>
          <cell r="Z359" t="str">
            <v xml:space="preserve"> </v>
          </cell>
        </row>
        <row r="360">
          <cell r="B360" t="str">
            <v>B35</v>
          </cell>
          <cell r="F360">
            <v>9</v>
          </cell>
          <cell r="G360">
            <v>110306</v>
          </cell>
          <cell r="K360">
            <v>0</v>
          </cell>
          <cell r="M360" t="str">
            <v>DEL</v>
          </cell>
          <cell r="N360" t="str">
            <v>Resource</v>
          </cell>
          <cell r="Q360" t="str">
            <v>yes</v>
          </cell>
          <cell r="X360" t="str">
            <v xml:space="preserve"> </v>
          </cell>
          <cell r="Y360" t="str">
            <v xml:space="preserve"> </v>
          </cell>
          <cell r="Z360" t="str">
            <v xml:space="preserve"> </v>
          </cell>
        </row>
        <row r="361">
          <cell r="B361" t="str">
            <v>B35</v>
          </cell>
          <cell r="F361">
            <v>9</v>
          </cell>
          <cell r="G361">
            <v>110306</v>
          </cell>
          <cell r="K361">
            <v>0</v>
          </cell>
          <cell r="M361" t="str">
            <v>DEL</v>
          </cell>
          <cell r="N361" t="str">
            <v>Resource</v>
          </cell>
          <cell r="Q361" t="str">
            <v>yes</v>
          </cell>
          <cell r="X361" t="str">
            <v xml:space="preserve"> </v>
          </cell>
          <cell r="Y361" t="str">
            <v xml:space="preserve"> </v>
          </cell>
          <cell r="Z361" t="str">
            <v xml:space="preserve"> </v>
          </cell>
        </row>
        <row r="362">
          <cell r="B362" t="str">
            <v>B35</v>
          </cell>
          <cell r="F362">
            <v>12</v>
          </cell>
          <cell r="G362">
            <v>110201</v>
          </cell>
          <cell r="K362" t="str">
            <v>PSS</v>
          </cell>
          <cell r="M362" t="str">
            <v>DEL</v>
          </cell>
          <cell r="N362" t="str">
            <v>Resource</v>
          </cell>
          <cell r="Q362" t="str">
            <v>yes</v>
          </cell>
          <cell r="X362">
            <v>259</v>
          </cell>
          <cell r="Y362" t="str">
            <v xml:space="preserve"> </v>
          </cell>
          <cell r="Z362" t="str">
            <v xml:space="preserve"> </v>
          </cell>
        </row>
        <row r="363">
          <cell r="B363" t="str">
            <v>B35</v>
          </cell>
          <cell r="F363">
            <v>12</v>
          </cell>
          <cell r="G363">
            <v>110201</v>
          </cell>
          <cell r="K363" t="str">
            <v>PSS</v>
          </cell>
          <cell r="M363" t="str">
            <v>DEL</v>
          </cell>
          <cell r="N363" t="str">
            <v>Resource</v>
          </cell>
          <cell r="Q363" t="str">
            <v>yes</v>
          </cell>
          <cell r="X363">
            <v>12</v>
          </cell>
          <cell r="Y363" t="str">
            <v xml:space="preserve"> </v>
          </cell>
          <cell r="Z363" t="str">
            <v xml:space="preserve"> </v>
          </cell>
        </row>
        <row r="364">
          <cell r="B364" t="str">
            <v>B35</v>
          </cell>
          <cell r="F364">
            <v>1</v>
          </cell>
          <cell r="G364">
            <v>110401</v>
          </cell>
          <cell r="K364">
            <v>0</v>
          </cell>
          <cell r="M364" t="str">
            <v>DEL</v>
          </cell>
          <cell r="N364" t="str">
            <v>Resource</v>
          </cell>
          <cell r="Q364" t="str">
            <v>yes</v>
          </cell>
          <cell r="X364">
            <v>1210</v>
          </cell>
          <cell r="Y364" t="str">
            <v xml:space="preserve"> </v>
          </cell>
          <cell r="Z364" t="str">
            <v xml:space="preserve"> </v>
          </cell>
        </row>
        <row r="365">
          <cell r="B365" t="str">
            <v>B35</v>
          </cell>
          <cell r="F365">
            <v>1</v>
          </cell>
          <cell r="G365">
            <v>110401</v>
          </cell>
          <cell r="K365">
            <v>0</v>
          </cell>
          <cell r="M365" t="str">
            <v>DEL</v>
          </cell>
          <cell r="N365" t="str">
            <v>Resource</v>
          </cell>
          <cell r="Q365" t="str">
            <v>yes</v>
          </cell>
          <cell r="X365">
            <v>14040</v>
          </cell>
          <cell r="Y365" t="str">
            <v xml:space="preserve"> </v>
          </cell>
          <cell r="Z365" t="str">
            <v xml:space="preserve"> </v>
          </cell>
        </row>
        <row r="366">
          <cell r="B366" t="str">
            <v>B35</v>
          </cell>
          <cell r="F366">
            <v>9</v>
          </cell>
          <cell r="G366">
            <v>110306</v>
          </cell>
          <cell r="K366">
            <v>0</v>
          </cell>
          <cell r="M366" t="str">
            <v>DEL</v>
          </cell>
          <cell r="N366" t="str">
            <v>Resource</v>
          </cell>
          <cell r="Q366" t="str">
            <v>yes</v>
          </cell>
          <cell r="X366" t="str">
            <v xml:space="preserve"> </v>
          </cell>
          <cell r="Y366" t="str">
            <v xml:space="preserve"> </v>
          </cell>
          <cell r="Z366" t="str">
            <v xml:space="preserve"> </v>
          </cell>
        </row>
        <row r="367">
          <cell r="B367" t="str">
            <v>B35</v>
          </cell>
          <cell r="F367">
            <v>9</v>
          </cell>
          <cell r="G367">
            <v>110306</v>
          </cell>
          <cell r="K367">
            <v>0</v>
          </cell>
          <cell r="M367" t="str">
            <v>DEL</v>
          </cell>
          <cell r="N367" t="str">
            <v>Resource</v>
          </cell>
          <cell r="Q367" t="str">
            <v>yes</v>
          </cell>
          <cell r="X367" t="str">
            <v xml:space="preserve"> </v>
          </cell>
          <cell r="Y367" t="str">
            <v xml:space="preserve"> </v>
          </cell>
          <cell r="Z367" t="str">
            <v xml:space="preserve"> </v>
          </cell>
        </row>
        <row r="368">
          <cell r="B368" t="str">
            <v>B35</v>
          </cell>
          <cell r="F368">
            <v>9</v>
          </cell>
          <cell r="G368">
            <v>110306</v>
          </cell>
          <cell r="K368">
            <v>0</v>
          </cell>
          <cell r="M368" t="str">
            <v>DEL</v>
          </cell>
          <cell r="N368" t="str">
            <v>Resource</v>
          </cell>
          <cell r="Q368" t="str">
            <v>yes</v>
          </cell>
          <cell r="X368" t="str">
            <v xml:space="preserve"> </v>
          </cell>
          <cell r="Y368" t="str">
            <v xml:space="preserve"> </v>
          </cell>
          <cell r="Z368" t="str">
            <v xml:space="preserve"> </v>
          </cell>
        </row>
        <row r="369">
          <cell r="B369" t="str">
            <v>B35</v>
          </cell>
          <cell r="F369">
            <v>9</v>
          </cell>
          <cell r="G369">
            <v>110306</v>
          </cell>
          <cell r="K369">
            <v>0</v>
          </cell>
          <cell r="M369" t="str">
            <v>DEL</v>
          </cell>
          <cell r="N369" t="str">
            <v>Resource</v>
          </cell>
          <cell r="Q369" t="str">
            <v>yes</v>
          </cell>
          <cell r="X369" t="str">
            <v xml:space="preserve"> </v>
          </cell>
          <cell r="Y369" t="str">
            <v xml:space="preserve"> </v>
          </cell>
          <cell r="Z369" t="str">
            <v xml:space="preserve"> </v>
          </cell>
        </row>
        <row r="370">
          <cell r="B370" t="str">
            <v>B35</v>
          </cell>
          <cell r="F370">
            <v>12</v>
          </cell>
          <cell r="G370">
            <v>110201</v>
          </cell>
          <cell r="K370" t="str">
            <v>PSS</v>
          </cell>
          <cell r="M370" t="str">
            <v>DEL</v>
          </cell>
          <cell r="N370" t="str">
            <v>Resource</v>
          </cell>
          <cell r="Q370" t="str">
            <v>yes</v>
          </cell>
          <cell r="X370">
            <v>3765</v>
          </cell>
          <cell r="Y370" t="str">
            <v xml:space="preserve"> </v>
          </cell>
          <cell r="Z370" t="str">
            <v xml:space="preserve"> </v>
          </cell>
        </row>
        <row r="371">
          <cell r="B371" t="str">
            <v>B35</v>
          </cell>
          <cell r="F371">
            <v>12</v>
          </cell>
          <cell r="G371">
            <v>110201</v>
          </cell>
          <cell r="K371" t="str">
            <v>PSS</v>
          </cell>
          <cell r="M371" t="str">
            <v>DEL</v>
          </cell>
          <cell r="N371" t="str">
            <v>Resource</v>
          </cell>
          <cell r="Q371" t="str">
            <v>yes</v>
          </cell>
          <cell r="X371" t="str">
            <v xml:space="preserve"> </v>
          </cell>
          <cell r="Y371" t="str">
            <v xml:space="preserve"> </v>
          </cell>
          <cell r="Z371" t="str">
            <v xml:space="preserve"> </v>
          </cell>
        </row>
        <row r="372">
          <cell r="B372" t="str">
            <v>B35</v>
          </cell>
          <cell r="F372">
            <v>12</v>
          </cell>
          <cell r="G372">
            <v>110201</v>
          </cell>
          <cell r="K372" t="str">
            <v>PSS</v>
          </cell>
          <cell r="M372" t="str">
            <v>DEL</v>
          </cell>
          <cell r="N372" t="str">
            <v>Resource</v>
          </cell>
          <cell r="Q372" t="str">
            <v>yes</v>
          </cell>
          <cell r="X372" t="str">
            <v xml:space="preserve"> </v>
          </cell>
          <cell r="Y372" t="str">
            <v xml:space="preserve"> </v>
          </cell>
          <cell r="Z372" t="str">
            <v xml:space="preserve"> </v>
          </cell>
        </row>
        <row r="373">
          <cell r="B373" t="str">
            <v>B35</v>
          </cell>
          <cell r="F373">
            <v>12</v>
          </cell>
          <cell r="G373">
            <v>110201</v>
          </cell>
          <cell r="K373" t="str">
            <v>PSS</v>
          </cell>
          <cell r="M373" t="str">
            <v>DEL</v>
          </cell>
          <cell r="N373" t="str">
            <v>Resource</v>
          </cell>
          <cell r="Q373" t="str">
            <v>yes</v>
          </cell>
          <cell r="X373">
            <v>-3000</v>
          </cell>
          <cell r="Y373" t="str">
            <v xml:space="preserve"> </v>
          </cell>
          <cell r="Z373" t="str">
            <v xml:space="preserve"> </v>
          </cell>
        </row>
        <row r="374">
          <cell r="B374" t="str">
            <v>B35</v>
          </cell>
          <cell r="F374">
            <v>9</v>
          </cell>
          <cell r="G374">
            <v>110401</v>
          </cell>
          <cell r="K374">
            <v>0</v>
          </cell>
          <cell r="M374" t="str">
            <v>DEL</v>
          </cell>
          <cell r="N374" t="str">
            <v>Resource</v>
          </cell>
          <cell r="Q374" t="str">
            <v>yes</v>
          </cell>
          <cell r="X374" t="str">
            <v xml:space="preserve"> </v>
          </cell>
          <cell r="Y374" t="str">
            <v xml:space="preserve"> </v>
          </cell>
          <cell r="Z374" t="str">
            <v xml:space="preserve"> </v>
          </cell>
        </row>
        <row r="375">
          <cell r="B375" t="str">
            <v>B35</v>
          </cell>
          <cell r="F375">
            <v>9</v>
          </cell>
          <cell r="G375">
            <v>110401</v>
          </cell>
          <cell r="K375">
            <v>0</v>
          </cell>
          <cell r="M375" t="str">
            <v>DEL</v>
          </cell>
          <cell r="N375" t="str">
            <v>Resource</v>
          </cell>
          <cell r="Q375" t="str">
            <v>yes</v>
          </cell>
          <cell r="X375" t="str">
            <v xml:space="preserve"> </v>
          </cell>
          <cell r="Y375" t="str">
            <v xml:space="preserve"> </v>
          </cell>
          <cell r="Z375" t="str">
            <v xml:space="preserve"> </v>
          </cell>
        </row>
        <row r="376">
          <cell r="B376" t="str">
            <v>B35</v>
          </cell>
          <cell r="F376">
            <v>1</v>
          </cell>
          <cell r="G376">
            <v>110302</v>
          </cell>
          <cell r="K376">
            <v>0</v>
          </cell>
          <cell r="M376" t="str">
            <v>DEL</v>
          </cell>
          <cell r="N376" t="str">
            <v>Resource</v>
          </cell>
          <cell r="Q376" t="str">
            <v>yes</v>
          </cell>
          <cell r="X376">
            <v>316051</v>
          </cell>
          <cell r="Y376" t="str">
            <v xml:space="preserve"> </v>
          </cell>
          <cell r="Z376" t="str">
            <v xml:space="preserve"> </v>
          </cell>
        </row>
        <row r="377">
          <cell r="B377" t="str">
            <v>B35</v>
          </cell>
          <cell r="F377">
            <v>1</v>
          </cell>
          <cell r="G377">
            <v>110302</v>
          </cell>
          <cell r="K377">
            <v>0</v>
          </cell>
          <cell r="M377" t="str">
            <v>DEL</v>
          </cell>
          <cell r="N377" t="str">
            <v>Resource</v>
          </cell>
          <cell r="Q377" t="str">
            <v>yes</v>
          </cell>
          <cell r="X377">
            <v>-827</v>
          </cell>
          <cell r="Y377" t="str">
            <v xml:space="preserve"> </v>
          </cell>
          <cell r="Z377" t="str">
            <v xml:space="preserve"> </v>
          </cell>
        </row>
        <row r="378">
          <cell r="B378" t="str">
            <v>B35</v>
          </cell>
          <cell r="F378">
            <v>1</v>
          </cell>
          <cell r="G378">
            <v>110302</v>
          </cell>
          <cell r="K378">
            <v>0</v>
          </cell>
          <cell r="M378" t="str">
            <v>DEL</v>
          </cell>
          <cell r="N378" t="str">
            <v>Resource</v>
          </cell>
          <cell r="Q378" t="str">
            <v>yes</v>
          </cell>
          <cell r="X378" t="str">
            <v xml:space="preserve"> </v>
          </cell>
          <cell r="Y378" t="str">
            <v xml:space="preserve"> </v>
          </cell>
          <cell r="Z378" t="str">
            <v xml:space="preserve"> </v>
          </cell>
        </row>
        <row r="379">
          <cell r="B379" t="str">
            <v>B35</v>
          </cell>
          <cell r="F379">
            <v>1</v>
          </cell>
          <cell r="G379">
            <v>110302</v>
          </cell>
          <cell r="K379">
            <v>0</v>
          </cell>
          <cell r="M379" t="str">
            <v>DEL</v>
          </cell>
          <cell r="N379" t="str">
            <v>Resource</v>
          </cell>
          <cell r="Q379" t="str">
            <v>yes</v>
          </cell>
          <cell r="X379" t="str">
            <v xml:space="preserve"> </v>
          </cell>
          <cell r="Y379" t="str">
            <v xml:space="preserve"> </v>
          </cell>
          <cell r="Z379" t="str">
            <v xml:space="preserve"> </v>
          </cell>
        </row>
        <row r="380">
          <cell r="B380" t="str">
            <v>B35</v>
          </cell>
          <cell r="F380">
            <v>4</v>
          </cell>
          <cell r="G380">
            <v>110302</v>
          </cell>
          <cell r="K380">
            <v>0</v>
          </cell>
          <cell r="M380" t="str">
            <v>DEL</v>
          </cell>
          <cell r="N380" t="str">
            <v>Resource</v>
          </cell>
          <cell r="Q380" t="str">
            <v>yes</v>
          </cell>
          <cell r="X380">
            <v>32</v>
          </cell>
          <cell r="Y380">
            <v>32</v>
          </cell>
          <cell r="Z380">
            <v>32</v>
          </cell>
        </row>
        <row r="381">
          <cell r="B381" t="str">
            <v>B35</v>
          </cell>
          <cell r="F381">
            <v>6</v>
          </cell>
          <cell r="G381">
            <v>110302</v>
          </cell>
          <cell r="K381">
            <v>0</v>
          </cell>
          <cell r="M381" t="str">
            <v>DEL</v>
          </cell>
          <cell r="N381" t="str">
            <v>Resource</v>
          </cell>
          <cell r="Q381" t="str">
            <v>yes</v>
          </cell>
          <cell r="X381">
            <v>-7302</v>
          </cell>
          <cell r="Y381">
            <v>-7302</v>
          </cell>
          <cell r="Z381">
            <v>-7302</v>
          </cell>
        </row>
        <row r="382">
          <cell r="B382" t="str">
            <v>B35</v>
          </cell>
          <cell r="F382">
            <v>6</v>
          </cell>
          <cell r="G382">
            <v>110302</v>
          </cell>
          <cell r="K382">
            <v>0</v>
          </cell>
          <cell r="M382" t="str">
            <v>DEL</v>
          </cell>
          <cell r="N382" t="str">
            <v>Resource</v>
          </cell>
          <cell r="Q382" t="str">
            <v>yes</v>
          </cell>
          <cell r="X382">
            <v>35200</v>
          </cell>
          <cell r="Y382" t="str">
            <v xml:space="preserve"> </v>
          </cell>
          <cell r="Z382" t="str">
            <v xml:space="preserve"> </v>
          </cell>
        </row>
        <row r="383">
          <cell r="B383" t="str">
            <v>B35</v>
          </cell>
          <cell r="F383">
            <v>6</v>
          </cell>
          <cell r="G383">
            <v>110302</v>
          </cell>
          <cell r="K383">
            <v>0</v>
          </cell>
          <cell r="M383" t="str">
            <v>DEL</v>
          </cell>
          <cell r="N383" t="str">
            <v>Resource</v>
          </cell>
          <cell r="Q383" t="str">
            <v>yes</v>
          </cell>
          <cell r="X383" t="str">
            <v xml:space="preserve"> </v>
          </cell>
          <cell r="Y383">
            <v>2000</v>
          </cell>
          <cell r="Z383">
            <v>3000</v>
          </cell>
        </row>
        <row r="384">
          <cell r="B384" t="str">
            <v>B35</v>
          </cell>
          <cell r="F384">
            <v>6</v>
          </cell>
          <cell r="G384">
            <v>110302</v>
          </cell>
          <cell r="K384">
            <v>0</v>
          </cell>
          <cell r="M384" t="str">
            <v>DEL</v>
          </cell>
          <cell r="N384" t="str">
            <v>Resource</v>
          </cell>
          <cell r="Q384" t="str">
            <v>yes</v>
          </cell>
          <cell r="X384">
            <v>-10032</v>
          </cell>
          <cell r="Y384" t="str">
            <v xml:space="preserve"> </v>
          </cell>
          <cell r="Z384" t="str">
            <v xml:space="preserve"> </v>
          </cell>
        </row>
        <row r="385">
          <cell r="B385" t="str">
            <v>B35</v>
          </cell>
          <cell r="F385">
            <v>9</v>
          </cell>
          <cell r="G385">
            <v>110401</v>
          </cell>
          <cell r="K385">
            <v>0</v>
          </cell>
          <cell r="M385" t="str">
            <v>DEL</v>
          </cell>
          <cell r="N385" t="str">
            <v>Resource</v>
          </cell>
          <cell r="Q385" t="str">
            <v>yes</v>
          </cell>
          <cell r="X385" t="str">
            <v xml:space="preserve"> </v>
          </cell>
          <cell r="Y385" t="str">
            <v xml:space="preserve"> </v>
          </cell>
          <cell r="Z385" t="str">
            <v xml:space="preserve"> </v>
          </cell>
        </row>
        <row r="386">
          <cell r="B386" t="str">
            <v>B35</v>
          </cell>
          <cell r="F386">
            <v>12</v>
          </cell>
          <cell r="G386">
            <v>110202</v>
          </cell>
          <cell r="K386" t="str">
            <v>PSS</v>
          </cell>
          <cell r="M386" t="str">
            <v>non-budget</v>
          </cell>
          <cell r="N386" t="str">
            <v>non-budget</v>
          </cell>
          <cell r="Q386" t="str">
            <v>yes</v>
          </cell>
          <cell r="X386">
            <v>10552979</v>
          </cell>
          <cell r="Y386" t="str">
            <v xml:space="preserve"> </v>
          </cell>
          <cell r="Z386" t="str">
            <v xml:space="preserve"> </v>
          </cell>
        </row>
        <row r="387">
          <cell r="B387" t="str">
            <v>B35</v>
          </cell>
          <cell r="F387">
            <v>9</v>
          </cell>
          <cell r="G387">
            <v>110401</v>
          </cell>
          <cell r="K387">
            <v>0</v>
          </cell>
          <cell r="M387" t="str">
            <v>DEL</v>
          </cell>
          <cell r="N387" t="str">
            <v>Resource</v>
          </cell>
          <cell r="Q387" t="str">
            <v>yes</v>
          </cell>
          <cell r="X387" t="str">
            <v xml:space="preserve"> </v>
          </cell>
          <cell r="Y387" t="str">
            <v xml:space="preserve"> </v>
          </cell>
          <cell r="Z387" t="str">
            <v xml:space="preserve"> </v>
          </cell>
        </row>
        <row r="388">
          <cell r="B388" t="str">
            <v>B35</v>
          </cell>
          <cell r="F388">
            <v>9</v>
          </cell>
          <cell r="G388">
            <v>110401</v>
          </cell>
          <cell r="K388">
            <v>0</v>
          </cell>
          <cell r="M388" t="str">
            <v>DEL</v>
          </cell>
          <cell r="N388" t="str">
            <v>Resource</v>
          </cell>
          <cell r="Q388" t="str">
            <v>yes</v>
          </cell>
          <cell r="X388" t="str">
            <v xml:space="preserve"> </v>
          </cell>
          <cell r="Y388" t="str">
            <v xml:space="preserve"> </v>
          </cell>
          <cell r="Z388" t="str">
            <v xml:space="preserve"> </v>
          </cell>
        </row>
        <row r="389">
          <cell r="B389" t="str">
            <v>B35</v>
          </cell>
          <cell r="F389">
            <v>12</v>
          </cell>
          <cell r="G389">
            <v>110202</v>
          </cell>
          <cell r="K389" t="str">
            <v>PSS</v>
          </cell>
          <cell r="M389" t="str">
            <v>non-budget</v>
          </cell>
          <cell r="N389" t="str">
            <v>non-budget</v>
          </cell>
          <cell r="Q389" t="str">
            <v>yes</v>
          </cell>
          <cell r="X389">
            <v>-216462</v>
          </cell>
          <cell r="Y389" t="str">
            <v xml:space="preserve"> </v>
          </cell>
          <cell r="Z389" t="str">
            <v xml:space="preserve"> </v>
          </cell>
        </row>
        <row r="390">
          <cell r="B390" t="str">
            <v>B35</v>
          </cell>
          <cell r="F390">
            <v>9</v>
          </cell>
          <cell r="G390">
            <v>110401</v>
          </cell>
          <cell r="K390">
            <v>0</v>
          </cell>
          <cell r="M390" t="str">
            <v>DEL</v>
          </cell>
          <cell r="N390" t="str">
            <v>Resource</v>
          </cell>
          <cell r="Q390" t="str">
            <v>yes</v>
          </cell>
          <cell r="X390" t="str">
            <v xml:space="preserve"> </v>
          </cell>
          <cell r="Y390" t="str">
            <v xml:space="preserve"> </v>
          </cell>
          <cell r="Z390" t="str">
            <v xml:space="preserve"> </v>
          </cell>
        </row>
        <row r="391">
          <cell r="B391" t="str">
            <v>B35</v>
          </cell>
          <cell r="F391">
            <v>2</v>
          </cell>
          <cell r="G391">
            <v>110302</v>
          </cell>
          <cell r="K391">
            <v>0</v>
          </cell>
          <cell r="M391" t="str">
            <v>DEL</v>
          </cell>
          <cell r="N391" t="str">
            <v>Resource</v>
          </cell>
          <cell r="Q391" t="str">
            <v>yes</v>
          </cell>
          <cell r="X391" t="str">
            <v xml:space="preserve"> </v>
          </cell>
          <cell r="Y391" t="str">
            <v xml:space="preserve"> </v>
          </cell>
          <cell r="Z391" t="str">
            <v xml:space="preserve"> </v>
          </cell>
        </row>
        <row r="392">
          <cell r="B392" t="str">
            <v>B35</v>
          </cell>
          <cell r="F392">
            <v>2</v>
          </cell>
          <cell r="G392">
            <v>110302</v>
          </cell>
          <cell r="K392">
            <v>0</v>
          </cell>
          <cell r="M392" t="str">
            <v>DEL</v>
          </cell>
          <cell r="N392" t="str">
            <v>Resource</v>
          </cell>
          <cell r="Q392" t="str">
            <v>yes</v>
          </cell>
          <cell r="X392" t="str">
            <v xml:space="preserve"> </v>
          </cell>
          <cell r="Y392" t="str">
            <v xml:space="preserve"> </v>
          </cell>
          <cell r="Z392" t="str">
            <v xml:space="preserve"> </v>
          </cell>
        </row>
        <row r="393">
          <cell r="B393" t="str">
            <v>B35</v>
          </cell>
          <cell r="F393">
            <v>4</v>
          </cell>
          <cell r="G393">
            <v>110302</v>
          </cell>
          <cell r="K393">
            <v>0</v>
          </cell>
          <cell r="M393" t="str">
            <v>DEL</v>
          </cell>
          <cell r="N393" t="str">
            <v>Resource</v>
          </cell>
          <cell r="Q393" t="str">
            <v>yes</v>
          </cell>
          <cell r="X393" t="str">
            <v xml:space="preserve"> </v>
          </cell>
          <cell r="Y393" t="str">
            <v xml:space="preserve"> </v>
          </cell>
          <cell r="Z393" t="str">
            <v xml:space="preserve"> </v>
          </cell>
        </row>
        <row r="394">
          <cell r="B394" t="str">
            <v>B35</v>
          </cell>
          <cell r="F394">
            <v>4</v>
          </cell>
          <cell r="G394">
            <v>110302</v>
          </cell>
          <cell r="K394">
            <v>0</v>
          </cell>
          <cell r="M394" t="str">
            <v>DEL</v>
          </cell>
          <cell r="N394" t="str">
            <v>Resource</v>
          </cell>
          <cell r="Q394" t="str">
            <v>yes</v>
          </cell>
          <cell r="X394" t="str">
            <v xml:space="preserve"> </v>
          </cell>
          <cell r="Y394" t="str">
            <v xml:space="preserve"> </v>
          </cell>
          <cell r="Z394" t="str">
            <v xml:space="preserve"> </v>
          </cell>
        </row>
        <row r="395">
          <cell r="B395" t="str">
            <v>B35</v>
          </cell>
          <cell r="F395">
            <v>8</v>
          </cell>
          <cell r="G395">
            <v>110302</v>
          </cell>
          <cell r="K395">
            <v>0</v>
          </cell>
          <cell r="M395" t="str">
            <v>DEL</v>
          </cell>
          <cell r="N395" t="str">
            <v>Resource</v>
          </cell>
          <cell r="Q395" t="str">
            <v>yes</v>
          </cell>
          <cell r="X395" t="str">
            <v xml:space="preserve"> </v>
          </cell>
          <cell r="Y395" t="str">
            <v xml:space="preserve"> </v>
          </cell>
          <cell r="Z395" t="str">
            <v xml:space="preserve"> </v>
          </cell>
        </row>
        <row r="396">
          <cell r="B396" t="str">
            <v>B35</v>
          </cell>
          <cell r="F396">
            <v>9</v>
          </cell>
          <cell r="G396">
            <v>110401</v>
          </cell>
          <cell r="K396">
            <v>0</v>
          </cell>
          <cell r="M396" t="str">
            <v>DEL</v>
          </cell>
          <cell r="N396" t="str">
            <v>Resource</v>
          </cell>
          <cell r="Q396" t="str">
            <v>yes</v>
          </cell>
          <cell r="X396" t="str">
            <v xml:space="preserve"> </v>
          </cell>
          <cell r="Y396" t="str">
            <v xml:space="preserve"> </v>
          </cell>
          <cell r="Z396" t="str">
            <v xml:space="preserve"> </v>
          </cell>
        </row>
        <row r="397">
          <cell r="B397" t="str">
            <v>B35</v>
          </cell>
          <cell r="F397">
            <v>9</v>
          </cell>
          <cell r="G397">
            <v>110401</v>
          </cell>
          <cell r="K397">
            <v>0</v>
          </cell>
          <cell r="M397" t="str">
            <v>DEL</v>
          </cell>
          <cell r="N397" t="str">
            <v>Resource</v>
          </cell>
          <cell r="Q397" t="str">
            <v>yes</v>
          </cell>
          <cell r="X397" t="str">
            <v xml:space="preserve"> </v>
          </cell>
          <cell r="Y397" t="str">
            <v xml:space="preserve"> </v>
          </cell>
          <cell r="Z397" t="str">
            <v xml:space="preserve"> </v>
          </cell>
        </row>
        <row r="398">
          <cell r="B398" t="str">
            <v>B35</v>
          </cell>
          <cell r="F398">
            <v>9</v>
          </cell>
          <cell r="G398">
            <v>110401</v>
          </cell>
          <cell r="K398">
            <v>0</v>
          </cell>
          <cell r="M398" t="str">
            <v>DEL</v>
          </cell>
          <cell r="N398" t="str">
            <v>Resource</v>
          </cell>
          <cell r="Q398" t="str">
            <v>yes</v>
          </cell>
          <cell r="X398" t="str">
            <v xml:space="preserve"> </v>
          </cell>
          <cell r="Y398" t="str">
            <v xml:space="preserve"> </v>
          </cell>
          <cell r="Z398" t="str">
            <v xml:space="preserve"> </v>
          </cell>
        </row>
        <row r="399">
          <cell r="B399" t="str">
            <v>B35</v>
          </cell>
          <cell r="F399">
            <v>3</v>
          </cell>
          <cell r="G399">
            <v>110302</v>
          </cell>
          <cell r="K399">
            <v>0</v>
          </cell>
          <cell r="M399" t="str">
            <v>DEL</v>
          </cell>
          <cell r="N399" t="str">
            <v>Resource</v>
          </cell>
          <cell r="Q399" t="str">
            <v>yes</v>
          </cell>
          <cell r="X399" t="str">
            <v xml:space="preserve"> </v>
          </cell>
          <cell r="Y399" t="str">
            <v xml:space="preserve"> </v>
          </cell>
          <cell r="Z399" t="str">
            <v xml:space="preserve"> </v>
          </cell>
        </row>
        <row r="400">
          <cell r="B400" t="str">
            <v>B35</v>
          </cell>
          <cell r="F400">
            <v>2</v>
          </cell>
          <cell r="G400">
            <v>110302</v>
          </cell>
          <cell r="K400">
            <v>0</v>
          </cell>
          <cell r="M400" t="str">
            <v>DEL</v>
          </cell>
          <cell r="N400" t="str">
            <v>Resource</v>
          </cell>
          <cell r="Q400" t="str">
            <v>yes</v>
          </cell>
          <cell r="X400" t="str">
            <v xml:space="preserve"> </v>
          </cell>
          <cell r="Y400">
            <v>315507</v>
          </cell>
          <cell r="Z400">
            <v>315507</v>
          </cell>
        </row>
        <row r="401">
          <cell r="B401" t="str">
            <v>B35</v>
          </cell>
          <cell r="F401">
            <v>2</v>
          </cell>
          <cell r="G401">
            <v>110302</v>
          </cell>
          <cell r="K401">
            <v>0</v>
          </cell>
          <cell r="M401" t="str">
            <v>DEL</v>
          </cell>
          <cell r="N401" t="str">
            <v>Resource</v>
          </cell>
          <cell r="Q401" t="str">
            <v>yes</v>
          </cell>
          <cell r="X401" t="str">
            <v xml:space="preserve"> </v>
          </cell>
          <cell r="Y401">
            <v>-872</v>
          </cell>
          <cell r="Z401">
            <v>-872</v>
          </cell>
        </row>
        <row r="402">
          <cell r="B402" t="str">
            <v>B35</v>
          </cell>
          <cell r="F402">
            <v>3</v>
          </cell>
          <cell r="G402">
            <v>110401</v>
          </cell>
          <cell r="K402">
            <v>0</v>
          </cell>
          <cell r="M402" t="str">
            <v>DEL</v>
          </cell>
          <cell r="N402" t="str">
            <v>Resource</v>
          </cell>
          <cell r="Q402" t="str">
            <v>yes</v>
          </cell>
          <cell r="X402" t="str">
            <v xml:space="preserve"> </v>
          </cell>
          <cell r="Y402" t="str">
            <v xml:space="preserve"> </v>
          </cell>
          <cell r="Z402" t="str">
            <v xml:space="preserve"> </v>
          </cell>
        </row>
        <row r="403">
          <cell r="B403" t="str">
            <v>B35</v>
          </cell>
          <cell r="F403">
            <v>6</v>
          </cell>
          <cell r="G403">
            <v>110302</v>
          </cell>
          <cell r="K403">
            <v>0</v>
          </cell>
          <cell r="M403" t="str">
            <v>DEL</v>
          </cell>
          <cell r="N403" t="str">
            <v>Resource</v>
          </cell>
          <cell r="Q403" t="str">
            <v>yes</v>
          </cell>
          <cell r="X403" t="str">
            <v xml:space="preserve"> </v>
          </cell>
          <cell r="Y403" t="str">
            <v xml:space="preserve"> </v>
          </cell>
          <cell r="Z403" t="str">
            <v xml:space="preserve"> </v>
          </cell>
        </row>
        <row r="404">
          <cell r="B404" t="str">
            <v>B35</v>
          </cell>
          <cell r="F404">
            <v>6</v>
          </cell>
          <cell r="G404">
            <v>110302</v>
          </cell>
          <cell r="K404">
            <v>0</v>
          </cell>
          <cell r="M404" t="str">
            <v>DEL</v>
          </cell>
          <cell r="N404" t="str">
            <v>Resource</v>
          </cell>
          <cell r="Q404" t="str">
            <v>yes</v>
          </cell>
          <cell r="X404" t="str">
            <v xml:space="preserve"> </v>
          </cell>
          <cell r="Y404" t="str">
            <v xml:space="preserve"> </v>
          </cell>
          <cell r="Z404" t="str">
            <v xml:space="preserve"> </v>
          </cell>
        </row>
        <row r="405">
          <cell r="B405" t="str">
            <v>B35</v>
          </cell>
          <cell r="F405">
            <v>6</v>
          </cell>
          <cell r="G405">
            <v>110302</v>
          </cell>
          <cell r="K405">
            <v>0</v>
          </cell>
          <cell r="M405" t="str">
            <v>DEL</v>
          </cell>
          <cell r="N405" t="str">
            <v>Resource</v>
          </cell>
          <cell r="Q405" t="str">
            <v>yes</v>
          </cell>
          <cell r="X405" t="str">
            <v xml:space="preserve"> </v>
          </cell>
          <cell r="Y405" t="str">
            <v xml:space="preserve"> </v>
          </cell>
          <cell r="Z405" t="str">
            <v xml:space="preserve"> </v>
          </cell>
        </row>
        <row r="406">
          <cell r="B406" t="str">
            <v>B35</v>
          </cell>
          <cell r="F406">
            <v>6</v>
          </cell>
          <cell r="G406">
            <v>110302</v>
          </cell>
          <cell r="K406">
            <v>0</v>
          </cell>
          <cell r="M406" t="str">
            <v>DEL</v>
          </cell>
          <cell r="N406" t="str">
            <v>Resource</v>
          </cell>
          <cell r="Q406" t="str">
            <v>yes</v>
          </cell>
          <cell r="X406" t="str">
            <v xml:space="preserve"> </v>
          </cell>
          <cell r="Y406" t="str">
            <v xml:space="preserve"> </v>
          </cell>
          <cell r="Z406" t="str">
            <v xml:space="preserve"> </v>
          </cell>
        </row>
        <row r="407">
          <cell r="B407" t="str">
            <v>B35</v>
          </cell>
          <cell r="F407">
            <v>6</v>
          </cell>
          <cell r="G407">
            <v>110302</v>
          </cell>
          <cell r="K407">
            <v>0</v>
          </cell>
          <cell r="M407" t="str">
            <v>DEL</v>
          </cell>
          <cell r="N407" t="str">
            <v>Resource</v>
          </cell>
          <cell r="Q407" t="str">
            <v>yes</v>
          </cell>
          <cell r="X407" t="str">
            <v xml:space="preserve"> </v>
          </cell>
          <cell r="Y407" t="str">
            <v xml:space="preserve"> </v>
          </cell>
          <cell r="Z407" t="str">
            <v xml:space="preserve"> </v>
          </cell>
        </row>
        <row r="408">
          <cell r="B408" t="str">
            <v>B35</v>
          </cell>
          <cell r="F408">
            <v>6</v>
          </cell>
          <cell r="G408">
            <v>110302</v>
          </cell>
          <cell r="K408">
            <v>0</v>
          </cell>
          <cell r="M408" t="str">
            <v>DEL</v>
          </cell>
          <cell r="N408" t="str">
            <v>Resource</v>
          </cell>
          <cell r="Q408" t="str">
            <v>yes</v>
          </cell>
          <cell r="X408" t="str">
            <v xml:space="preserve"> </v>
          </cell>
          <cell r="Y408" t="str">
            <v xml:space="preserve"> </v>
          </cell>
          <cell r="Z408" t="str">
            <v xml:space="preserve"> </v>
          </cell>
        </row>
        <row r="409">
          <cell r="B409" t="str">
            <v>B35</v>
          </cell>
          <cell r="F409">
            <v>6</v>
          </cell>
          <cell r="G409">
            <v>110302</v>
          </cell>
          <cell r="K409">
            <v>0</v>
          </cell>
          <cell r="M409" t="str">
            <v>DEL</v>
          </cell>
          <cell r="N409" t="str">
            <v>Resource</v>
          </cell>
          <cell r="Q409" t="str">
            <v>yes</v>
          </cell>
          <cell r="X409" t="str">
            <v xml:space="preserve"> </v>
          </cell>
          <cell r="Y409" t="str">
            <v xml:space="preserve"> </v>
          </cell>
          <cell r="Z409" t="str">
            <v xml:space="preserve"> </v>
          </cell>
        </row>
        <row r="410">
          <cell r="B410" t="str">
            <v>B35</v>
          </cell>
          <cell r="F410">
            <v>6</v>
          </cell>
          <cell r="G410">
            <v>110302</v>
          </cell>
          <cell r="K410">
            <v>0</v>
          </cell>
          <cell r="M410" t="str">
            <v>DEL</v>
          </cell>
          <cell r="N410" t="str">
            <v>Resource</v>
          </cell>
          <cell r="Q410" t="str">
            <v>yes</v>
          </cell>
          <cell r="X410" t="str">
            <v xml:space="preserve"> </v>
          </cell>
          <cell r="Y410" t="str">
            <v xml:space="preserve"> </v>
          </cell>
          <cell r="Z410" t="str">
            <v xml:space="preserve"> </v>
          </cell>
        </row>
        <row r="411">
          <cell r="B411" t="str">
            <v>B35</v>
          </cell>
          <cell r="F411">
            <v>6</v>
          </cell>
          <cell r="G411">
            <v>110302</v>
          </cell>
          <cell r="K411">
            <v>0</v>
          </cell>
          <cell r="M411" t="str">
            <v>DEL</v>
          </cell>
          <cell r="N411" t="str">
            <v>Resource</v>
          </cell>
          <cell r="Q411" t="str">
            <v>yes</v>
          </cell>
          <cell r="X411" t="str">
            <v xml:space="preserve"> </v>
          </cell>
          <cell r="Y411" t="str">
            <v xml:space="preserve"> </v>
          </cell>
          <cell r="Z411" t="str">
            <v xml:space="preserve"> </v>
          </cell>
        </row>
        <row r="412">
          <cell r="B412" t="str">
            <v>B35</v>
          </cell>
          <cell r="F412">
            <v>4</v>
          </cell>
          <cell r="G412">
            <v>110302</v>
          </cell>
          <cell r="K412">
            <v>0</v>
          </cell>
          <cell r="M412" t="str">
            <v>DEL</v>
          </cell>
          <cell r="N412" t="str">
            <v>Resource</v>
          </cell>
          <cell r="Q412" t="str">
            <v>yes</v>
          </cell>
          <cell r="X412" t="str">
            <v xml:space="preserve"> </v>
          </cell>
          <cell r="Y412" t="str">
            <v xml:space="preserve"> </v>
          </cell>
          <cell r="Z412" t="str">
            <v xml:space="preserve"> </v>
          </cell>
        </row>
        <row r="413">
          <cell r="B413" t="str">
            <v>B35</v>
          </cell>
          <cell r="F413">
            <v>4</v>
          </cell>
          <cell r="G413">
            <v>110302</v>
          </cell>
          <cell r="K413">
            <v>0</v>
          </cell>
          <cell r="M413" t="str">
            <v>DEL</v>
          </cell>
          <cell r="N413" t="str">
            <v>Resource</v>
          </cell>
          <cell r="Q413" t="str">
            <v>yes</v>
          </cell>
          <cell r="X413" t="str">
            <v xml:space="preserve"> </v>
          </cell>
          <cell r="Y413" t="str">
            <v xml:space="preserve"> </v>
          </cell>
          <cell r="Z413" t="str">
            <v xml:space="preserve"> </v>
          </cell>
        </row>
        <row r="414">
          <cell r="B414" t="str">
            <v>B35</v>
          </cell>
          <cell r="F414">
            <v>6</v>
          </cell>
          <cell r="G414">
            <v>110302</v>
          </cell>
          <cell r="K414">
            <v>0</v>
          </cell>
          <cell r="M414" t="str">
            <v>DEL</v>
          </cell>
          <cell r="N414" t="str">
            <v>Resource</v>
          </cell>
          <cell r="Q414" t="str">
            <v>yes</v>
          </cell>
          <cell r="X414" t="str">
            <v xml:space="preserve"> </v>
          </cell>
          <cell r="Y414" t="str">
            <v xml:space="preserve"> </v>
          </cell>
          <cell r="Z414" t="str">
            <v xml:space="preserve"> </v>
          </cell>
        </row>
        <row r="415">
          <cell r="B415" t="str">
            <v>B35</v>
          </cell>
          <cell r="F415">
            <v>6</v>
          </cell>
          <cell r="G415">
            <v>110302</v>
          </cell>
          <cell r="K415">
            <v>0</v>
          </cell>
          <cell r="M415" t="str">
            <v>DEL</v>
          </cell>
          <cell r="N415" t="str">
            <v>Resource</v>
          </cell>
          <cell r="Q415" t="str">
            <v>yes</v>
          </cell>
          <cell r="X415" t="str">
            <v xml:space="preserve"> </v>
          </cell>
          <cell r="Y415" t="str">
            <v xml:space="preserve"> </v>
          </cell>
          <cell r="Z415" t="str">
            <v xml:space="preserve"> </v>
          </cell>
        </row>
        <row r="416">
          <cell r="B416" t="str">
            <v>B35</v>
          </cell>
          <cell r="F416">
            <v>5</v>
          </cell>
          <cell r="G416">
            <v>110302</v>
          </cell>
          <cell r="K416">
            <v>0</v>
          </cell>
          <cell r="M416" t="str">
            <v>DEL</v>
          </cell>
          <cell r="N416" t="str">
            <v>Resource</v>
          </cell>
          <cell r="Q416" t="str">
            <v>yes</v>
          </cell>
          <cell r="X416">
            <v>-32</v>
          </cell>
          <cell r="Y416">
            <v>-32</v>
          </cell>
          <cell r="Z416">
            <v>-32</v>
          </cell>
        </row>
        <row r="417">
          <cell r="B417" t="str">
            <v>B35</v>
          </cell>
          <cell r="F417">
            <v>3</v>
          </cell>
          <cell r="G417">
            <v>110401</v>
          </cell>
          <cell r="K417">
            <v>0</v>
          </cell>
          <cell r="M417" t="str">
            <v>DEL</v>
          </cell>
          <cell r="N417" t="str">
            <v>Resource</v>
          </cell>
          <cell r="Q417" t="str">
            <v>yes</v>
          </cell>
          <cell r="X417" t="str">
            <v xml:space="preserve"> </v>
          </cell>
          <cell r="Y417" t="str">
            <v xml:space="preserve"> </v>
          </cell>
          <cell r="Z417" t="str">
            <v xml:space="preserve"> </v>
          </cell>
        </row>
        <row r="418">
          <cell r="B418" t="str">
            <v>B35</v>
          </cell>
          <cell r="F418">
            <v>3</v>
          </cell>
          <cell r="G418">
            <v>110401</v>
          </cell>
          <cell r="K418">
            <v>0</v>
          </cell>
          <cell r="M418" t="str">
            <v>DEL</v>
          </cell>
          <cell r="N418" t="str">
            <v>Resource</v>
          </cell>
          <cell r="Q418" t="str">
            <v>yes</v>
          </cell>
          <cell r="X418" t="str">
            <v xml:space="preserve"> </v>
          </cell>
          <cell r="Y418" t="str">
            <v xml:space="preserve"> </v>
          </cell>
          <cell r="Z418" t="str">
            <v xml:space="preserve"> </v>
          </cell>
        </row>
        <row r="419">
          <cell r="B419" t="str">
            <v>B35</v>
          </cell>
          <cell r="F419">
            <v>4</v>
          </cell>
          <cell r="G419">
            <v>110302</v>
          </cell>
          <cell r="K419">
            <v>0</v>
          </cell>
          <cell r="M419" t="str">
            <v>DEL</v>
          </cell>
          <cell r="N419" t="str">
            <v>Resource</v>
          </cell>
          <cell r="Q419" t="str">
            <v>yes</v>
          </cell>
          <cell r="X419" t="str">
            <v xml:space="preserve"> </v>
          </cell>
          <cell r="Y419" t="str">
            <v xml:space="preserve"> </v>
          </cell>
          <cell r="Z419" t="str">
            <v xml:space="preserve"> </v>
          </cell>
        </row>
        <row r="420">
          <cell r="B420" t="str">
            <v>B35</v>
          </cell>
          <cell r="F420">
            <v>4</v>
          </cell>
          <cell r="G420">
            <v>110302</v>
          </cell>
          <cell r="K420">
            <v>0</v>
          </cell>
          <cell r="M420" t="str">
            <v>DEL</v>
          </cell>
          <cell r="N420" t="str">
            <v>Resource</v>
          </cell>
          <cell r="Q420" t="str">
            <v>yes</v>
          </cell>
          <cell r="X420" t="str">
            <v xml:space="preserve"> </v>
          </cell>
          <cell r="Y420" t="str">
            <v xml:space="preserve"> </v>
          </cell>
          <cell r="Z420" t="str">
            <v xml:space="preserve"> </v>
          </cell>
        </row>
        <row r="421">
          <cell r="B421" t="str">
            <v>B35</v>
          </cell>
          <cell r="F421">
            <v>9</v>
          </cell>
          <cell r="G421">
            <v>110407</v>
          </cell>
          <cell r="K421">
            <v>0</v>
          </cell>
          <cell r="M421" t="str">
            <v>DEL</v>
          </cell>
          <cell r="N421" t="str">
            <v>Resource</v>
          </cell>
          <cell r="Q421" t="str">
            <v>yes</v>
          </cell>
          <cell r="X421" t="str">
            <v xml:space="preserve"> </v>
          </cell>
          <cell r="Y421" t="str">
            <v xml:space="preserve"> </v>
          </cell>
          <cell r="Z421" t="str">
            <v xml:space="preserve"> </v>
          </cell>
        </row>
        <row r="422">
          <cell r="B422" t="str">
            <v>B90</v>
          </cell>
          <cell r="F422">
            <v>2</v>
          </cell>
          <cell r="G422">
            <v>110401</v>
          </cell>
          <cell r="K422">
            <v>0</v>
          </cell>
          <cell r="M422" t="str">
            <v>DEL</v>
          </cell>
          <cell r="N422" t="str">
            <v>Resource</v>
          </cell>
          <cell r="Q422" t="str">
            <v>no</v>
          </cell>
          <cell r="X422" t="str">
            <v xml:space="preserve"> </v>
          </cell>
          <cell r="Y422">
            <v>916</v>
          </cell>
          <cell r="Z422">
            <v>916</v>
          </cell>
        </row>
        <row r="423">
          <cell r="B423" t="str">
            <v>B35</v>
          </cell>
          <cell r="F423">
            <v>9</v>
          </cell>
          <cell r="G423">
            <v>110503</v>
          </cell>
          <cell r="K423">
            <v>0</v>
          </cell>
          <cell r="M423" t="str">
            <v>DEL</v>
          </cell>
          <cell r="N423" t="str">
            <v>Resource</v>
          </cell>
          <cell r="Q423" t="str">
            <v>yes</v>
          </cell>
          <cell r="X423" t="str">
            <v xml:space="preserve"> </v>
          </cell>
          <cell r="Y423" t="str">
            <v xml:space="preserve"> </v>
          </cell>
          <cell r="Z423" t="str">
            <v xml:space="preserve"> </v>
          </cell>
        </row>
        <row r="424">
          <cell r="B424" t="str">
            <v>B90</v>
          </cell>
          <cell r="F424">
            <v>1</v>
          </cell>
          <cell r="G424">
            <v>110401</v>
          </cell>
          <cell r="K424">
            <v>0</v>
          </cell>
          <cell r="M424" t="str">
            <v>DEL</v>
          </cell>
          <cell r="N424" t="str">
            <v>Resource</v>
          </cell>
          <cell r="Q424" t="str">
            <v>no</v>
          </cell>
          <cell r="X424">
            <v>15404</v>
          </cell>
          <cell r="Y424" t="str">
            <v xml:space="preserve"> </v>
          </cell>
          <cell r="Z424" t="str">
            <v xml:space="preserve"> </v>
          </cell>
        </row>
        <row r="425">
          <cell r="B425" t="str">
            <v>B35</v>
          </cell>
          <cell r="F425">
            <v>9</v>
          </cell>
          <cell r="G425">
            <v>110503</v>
          </cell>
          <cell r="K425">
            <v>0</v>
          </cell>
          <cell r="M425" t="str">
            <v>DEL</v>
          </cell>
          <cell r="N425" t="str">
            <v>Resource</v>
          </cell>
          <cell r="Q425" t="str">
            <v>yes</v>
          </cell>
          <cell r="X425" t="str">
            <v xml:space="preserve"> </v>
          </cell>
          <cell r="Y425" t="str">
            <v xml:space="preserve"> </v>
          </cell>
          <cell r="Z425" t="str">
            <v xml:space="preserve"> </v>
          </cell>
        </row>
        <row r="426">
          <cell r="B426" t="str">
            <v>B35</v>
          </cell>
          <cell r="F426">
            <v>1</v>
          </cell>
          <cell r="G426">
            <v>110305</v>
          </cell>
          <cell r="K426">
            <v>0</v>
          </cell>
          <cell r="M426" t="str">
            <v>DEL</v>
          </cell>
          <cell r="N426" t="str">
            <v>Resource</v>
          </cell>
          <cell r="Q426" t="str">
            <v>yes</v>
          </cell>
          <cell r="X426">
            <v>121500</v>
          </cell>
          <cell r="Y426" t="str">
            <v xml:space="preserve"> </v>
          </cell>
          <cell r="Z426" t="str">
            <v xml:space="preserve"> </v>
          </cell>
        </row>
        <row r="427">
          <cell r="B427" t="str">
            <v>B35</v>
          </cell>
          <cell r="F427">
            <v>1</v>
          </cell>
          <cell r="G427">
            <v>110305</v>
          </cell>
          <cell r="K427">
            <v>0</v>
          </cell>
          <cell r="M427" t="str">
            <v>DEL</v>
          </cell>
          <cell r="N427" t="str">
            <v>Resource</v>
          </cell>
          <cell r="Q427" t="str">
            <v>yes</v>
          </cell>
          <cell r="X427">
            <v>-2000</v>
          </cell>
          <cell r="Y427" t="str">
            <v xml:space="preserve"> </v>
          </cell>
          <cell r="Z427" t="str">
            <v xml:space="preserve"> </v>
          </cell>
        </row>
        <row r="428">
          <cell r="B428" t="str">
            <v>B35</v>
          </cell>
          <cell r="F428">
            <v>6</v>
          </cell>
          <cell r="G428">
            <v>110305</v>
          </cell>
          <cell r="K428">
            <v>0</v>
          </cell>
          <cell r="M428" t="str">
            <v>DEL</v>
          </cell>
          <cell r="N428" t="str">
            <v>Resource</v>
          </cell>
          <cell r="Q428" t="str">
            <v>yes</v>
          </cell>
          <cell r="X428">
            <v>-3</v>
          </cell>
          <cell r="Y428" t="str">
            <v xml:space="preserve"> </v>
          </cell>
          <cell r="Z428" t="str">
            <v xml:space="preserve"> </v>
          </cell>
        </row>
        <row r="429">
          <cell r="B429" t="str">
            <v>B35</v>
          </cell>
          <cell r="F429">
            <v>9</v>
          </cell>
          <cell r="G429">
            <v>110504</v>
          </cell>
          <cell r="K429">
            <v>0</v>
          </cell>
          <cell r="M429" t="str">
            <v>DEL</v>
          </cell>
          <cell r="N429" t="str">
            <v>Resource</v>
          </cell>
          <cell r="Q429" t="str">
            <v>yes</v>
          </cell>
          <cell r="X429" t="str">
            <v xml:space="preserve"> </v>
          </cell>
          <cell r="Y429" t="str">
            <v xml:space="preserve"> </v>
          </cell>
          <cell r="Z429" t="str">
            <v xml:space="preserve"> </v>
          </cell>
        </row>
        <row r="430">
          <cell r="B430" t="str">
            <v>B35</v>
          </cell>
          <cell r="F430">
            <v>9</v>
          </cell>
          <cell r="G430">
            <v>110504</v>
          </cell>
          <cell r="K430">
            <v>0</v>
          </cell>
          <cell r="M430" t="str">
            <v>DEL</v>
          </cell>
          <cell r="N430" t="str">
            <v>Resource</v>
          </cell>
          <cell r="Q430" t="str">
            <v>yes</v>
          </cell>
          <cell r="X430" t="str">
            <v xml:space="preserve"> </v>
          </cell>
          <cell r="Y430" t="str">
            <v xml:space="preserve"> </v>
          </cell>
          <cell r="Z430" t="str">
            <v xml:space="preserve"> </v>
          </cell>
        </row>
        <row r="431">
          <cell r="B431" t="str">
            <v>B35</v>
          </cell>
          <cell r="F431">
            <v>2</v>
          </cell>
          <cell r="G431">
            <v>110305</v>
          </cell>
          <cell r="K431">
            <v>0</v>
          </cell>
          <cell r="M431" t="str">
            <v>DEL</v>
          </cell>
          <cell r="N431" t="str">
            <v>Resource</v>
          </cell>
          <cell r="Q431" t="str">
            <v>yes</v>
          </cell>
          <cell r="X431" t="str">
            <v xml:space="preserve"> </v>
          </cell>
          <cell r="Y431">
            <v>121500</v>
          </cell>
          <cell r="Z431">
            <v>121500</v>
          </cell>
        </row>
        <row r="432">
          <cell r="B432" t="str">
            <v>B35</v>
          </cell>
          <cell r="F432">
            <v>2</v>
          </cell>
          <cell r="G432">
            <v>110305</v>
          </cell>
          <cell r="K432">
            <v>0</v>
          </cell>
          <cell r="M432" t="str">
            <v>DEL</v>
          </cell>
          <cell r="N432" t="str">
            <v>Resource</v>
          </cell>
          <cell r="Q432" t="str">
            <v>yes</v>
          </cell>
          <cell r="X432" t="str">
            <v xml:space="preserve"> </v>
          </cell>
          <cell r="Y432">
            <v>-2000</v>
          </cell>
          <cell r="Z432">
            <v>-2000</v>
          </cell>
        </row>
        <row r="433">
          <cell r="B433" t="str">
            <v>B35</v>
          </cell>
          <cell r="F433">
            <v>6</v>
          </cell>
          <cell r="G433">
            <v>110305</v>
          </cell>
          <cell r="K433">
            <v>0</v>
          </cell>
          <cell r="M433" t="str">
            <v>DEL</v>
          </cell>
          <cell r="N433" t="str">
            <v>Resource</v>
          </cell>
          <cell r="Q433" t="str">
            <v>yes</v>
          </cell>
          <cell r="X433" t="str">
            <v xml:space="preserve"> </v>
          </cell>
          <cell r="Y433" t="str">
            <v xml:space="preserve"> </v>
          </cell>
          <cell r="Z433" t="str">
            <v xml:space="preserve"> </v>
          </cell>
        </row>
        <row r="434">
          <cell r="B434" t="str">
            <v>B35</v>
          </cell>
          <cell r="F434">
            <v>6</v>
          </cell>
          <cell r="G434">
            <v>110305</v>
          </cell>
          <cell r="K434">
            <v>0</v>
          </cell>
          <cell r="M434" t="str">
            <v>DEL</v>
          </cell>
          <cell r="N434" t="str">
            <v>Resource</v>
          </cell>
          <cell r="Q434" t="str">
            <v>yes</v>
          </cell>
          <cell r="X434" t="str">
            <v xml:space="preserve"> </v>
          </cell>
          <cell r="Y434" t="str">
            <v xml:space="preserve"> </v>
          </cell>
          <cell r="Z434" t="str">
            <v xml:space="preserve"> </v>
          </cell>
        </row>
        <row r="435">
          <cell r="B435" t="str">
            <v>B35</v>
          </cell>
          <cell r="F435">
            <v>6</v>
          </cell>
          <cell r="G435">
            <v>110305</v>
          </cell>
          <cell r="K435">
            <v>0</v>
          </cell>
          <cell r="M435" t="str">
            <v>DEL</v>
          </cell>
          <cell r="N435" t="str">
            <v>Resource</v>
          </cell>
          <cell r="Q435" t="str">
            <v>yes</v>
          </cell>
          <cell r="X435" t="str">
            <v xml:space="preserve"> </v>
          </cell>
          <cell r="Y435" t="str">
            <v xml:space="preserve"> </v>
          </cell>
          <cell r="Z435" t="str">
            <v xml:space="preserve"> </v>
          </cell>
        </row>
        <row r="436">
          <cell r="B436" t="str">
            <v>B35</v>
          </cell>
          <cell r="F436">
            <v>1</v>
          </cell>
          <cell r="G436">
            <v>110306</v>
          </cell>
          <cell r="K436">
            <v>0</v>
          </cell>
          <cell r="M436" t="str">
            <v>DEL</v>
          </cell>
          <cell r="N436" t="str">
            <v>Resource</v>
          </cell>
          <cell r="Q436" t="str">
            <v>yes</v>
          </cell>
          <cell r="X436">
            <v>53258</v>
          </cell>
          <cell r="Y436" t="str">
            <v xml:space="preserve"> </v>
          </cell>
          <cell r="Z436" t="str">
            <v xml:space="preserve"> </v>
          </cell>
        </row>
        <row r="437">
          <cell r="B437" t="str">
            <v>B35</v>
          </cell>
          <cell r="F437">
            <v>1</v>
          </cell>
          <cell r="G437">
            <v>110306</v>
          </cell>
          <cell r="K437">
            <v>0</v>
          </cell>
          <cell r="M437" t="str">
            <v>DEL</v>
          </cell>
          <cell r="N437" t="str">
            <v>Resource</v>
          </cell>
          <cell r="Q437" t="str">
            <v>yes</v>
          </cell>
          <cell r="X437">
            <v>-85500</v>
          </cell>
          <cell r="Y437" t="str">
            <v xml:space="preserve"> </v>
          </cell>
          <cell r="Z437" t="str">
            <v xml:space="preserve"> </v>
          </cell>
        </row>
        <row r="438">
          <cell r="B438" t="str">
            <v>B35</v>
          </cell>
          <cell r="F438">
            <v>6</v>
          </cell>
          <cell r="G438">
            <v>110306</v>
          </cell>
          <cell r="K438">
            <v>0</v>
          </cell>
          <cell r="M438" t="str">
            <v>DEL</v>
          </cell>
          <cell r="N438" t="str">
            <v>Resource</v>
          </cell>
          <cell r="Q438" t="str">
            <v>yes</v>
          </cell>
          <cell r="X438" t="str">
            <v xml:space="preserve"> </v>
          </cell>
          <cell r="Y438" t="str">
            <v xml:space="preserve"> </v>
          </cell>
          <cell r="Z438" t="str">
            <v xml:space="preserve"> </v>
          </cell>
        </row>
        <row r="439">
          <cell r="B439" t="str">
            <v>B35</v>
          </cell>
          <cell r="F439">
            <v>9</v>
          </cell>
          <cell r="G439">
            <v>110505</v>
          </cell>
          <cell r="K439">
            <v>0</v>
          </cell>
          <cell r="M439" t="str">
            <v>DEL</v>
          </cell>
          <cell r="N439" t="str">
            <v>Resource</v>
          </cell>
          <cell r="Q439" t="str">
            <v>yes</v>
          </cell>
          <cell r="X439" t="str">
            <v xml:space="preserve"> </v>
          </cell>
          <cell r="Y439" t="str">
            <v xml:space="preserve"> </v>
          </cell>
          <cell r="Z439" t="str">
            <v xml:space="preserve"> </v>
          </cell>
        </row>
        <row r="440">
          <cell r="B440" t="str">
            <v>B35</v>
          </cell>
          <cell r="F440">
            <v>9</v>
          </cell>
          <cell r="G440">
            <v>110505</v>
          </cell>
          <cell r="K440">
            <v>0</v>
          </cell>
          <cell r="M440" t="str">
            <v>DEL</v>
          </cell>
          <cell r="N440" t="str">
            <v>Resource</v>
          </cell>
          <cell r="Q440" t="str">
            <v>yes</v>
          </cell>
          <cell r="X440" t="str">
            <v xml:space="preserve"> </v>
          </cell>
          <cell r="Y440" t="str">
            <v xml:space="preserve"> </v>
          </cell>
          <cell r="Z440" t="str">
            <v xml:space="preserve"> </v>
          </cell>
        </row>
        <row r="441">
          <cell r="B441" t="str">
            <v>B35</v>
          </cell>
          <cell r="F441">
            <v>2</v>
          </cell>
          <cell r="G441">
            <v>110306</v>
          </cell>
          <cell r="K441">
            <v>0</v>
          </cell>
          <cell r="M441" t="str">
            <v>DEL</v>
          </cell>
          <cell r="N441" t="str">
            <v>Resource</v>
          </cell>
          <cell r="Q441" t="str">
            <v>yes</v>
          </cell>
          <cell r="X441" t="str">
            <v xml:space="preserve"> </v>
          </cell>
          <cell r="Y441">
            <v>53258</v>
          </cell>
          <cell r="Z441">
            <v>53258</v>
          </cell>
        </row>
        <row r="442">
          <cell r="B442" t="str">
            <v>B90</v>
          </cell>
          <cell r="F442">
            <v>2</v>
          </cell>
          <cell r="G442">
            <v>110401</v>
          </cell>
          <cell r="K442">
            <v>0</v>
          </cell>
          <cell r="M442" t="str">
            <v>DEL</v>
          </cell>
          <cell r="N442" t="str">
            <v>Resource</v>
          </cell>
          <cell r="Q442" t="str">
            <v>no</v>
          </cell>
          <cell r="X442" t="str">
            <v xml:space="preserve"> </v>
          </cell>
          <cell r="Y442">
            <v>15404</v>
          </cell>
          <cell r="Z442">
            <v>15404</v>
          </cell>
        </row>
        <row r="443">
          <cell r="B443" t="str">
            <v>B90</v>
          </cell>
          <cell r="F443">
            <v>6</v>
          </cell>
          <cell r="G443">
            <v>110401</v>
          </cell>
          <cell r="K443">
            <v>0</v>
          </cell>
          <cell r="M443" t="str">
            <v>DEL</v>
          </cell>
          <cell r="N443" t="str">
            <v>Resource</v>
          </cell>
          <cell r="Q443" t="str">
            <v>no</v>
          </cell>
          <cell r="X443" t="str">
            <v xml:space="preserve"> </v>
          </cell>
          <cell r="Y443" t="str">
            <v xml:space="preserve"> </v>
          </cell>
          <cell r="Z443" t="str">
            <v xml:space="preserve"> </v>
          </cell>
        </row>
        <row r="444">
          <cell r="B444" t="str">
            <v>B90</v>
          </cell>
          <cell r="F444">
            <v>6</v>
          </cell>
          <cell r="G444">
            <v>110401</v>
          </cell>
          <cell r="K444">
            <v>0</v>
          </cell>
          <cell r="M444" t="str">
            <v>DEL</v>
          </cell>
          <cell r="N444" t="str">
            <v>Resource</v>
          </cell>
          <cell r="Q444" t="str">
            <v>no</v>
          </cell>
          <cell r="X444" t="str">
            <v xml:space="preserve"> </v>
          </cell>
          <cell r="Y444" t="str">
            <v xml:space="preserve"> </v>
          </cell>
          <cell r="Z444" t="str">
            <v xml:space="preserve"> </v>
          </cell>
        </row>
        <row r="445">
          <cell r="B445" t="str">
            <v>B90</v>
          </cell>
          <cell r="F445">
            <v>1</v>
          </cell>
          <cell r="G445">
            <v>110407</v>
          </cell>
          <cell r="K445">
            <v>0</v>
          </cell>
          <cell r="M445" t="str">
            <v>DEL</v>
          </cell>
          <cell r="N445" t="str">
            <v>Resource</v>
          </cell>
          <cell r="Q445" t="str">
            <v>no</v>
          </cell>
          <cell r="X445">
            <v>15</v>
          </cell>
          <cell r="Y445" t="str">
            <v xml:space="preserve"> </v>
          </cell>
          <cell r="Z445" t="str">
            <v xml:space="preserve"> </v>
          </cell>
        </row>
        <row r="446">
          <cell r="B446" t="str">
            <v>B90</v>
          </cell>
          <cell r="F446">
            <v>2</v>
          </cell>
          <cell r="G446">
            <v>110407</v>
          </cell>
          <cell r="K446">
            <v>0</v>
          </cell>
          <cell r="M446" t="str">
            <v>DEL</v>
          </cell>
          <cell r="N446" t="str">
            <v>Resource</v>
          </cell>
          <cell r="Q446" t="str">
            <v>no</v>
          </cell>
          <cell r="X446" t="str">
            <v xml:space="preserve"> </v>
          </cell>
          <cell r="Y446">
            <v>15</v>
          </cell>
          <cell r="Z446">
            <v>15</v>
          </cell>
        </row>
        <row r="447">
          <cell r="B447" t="str">
            <v>B90</v>
          </cell>
          <cell r="F447">
            <v>1</v>
          </cell>
          <cell r="G447">
            <v>110407</v>
          </cell>
          <cell r="K447">
            <v>0</v>
          </cell>
          <cell r="M447" t="str">
            <v>DEL</v>
          </cell>
          <cell r="N447" t="str">
            <v>Resource</v>
          </cell>
          <cell r="Q447" t="str">
            <v>no</v>
          </cell>
          <cell r="X447">
            <v>247</v>
          </cell>
          <cell r="Y447" t="str">
            <v xml:space="preserve"> </v>
          </cell>
          <cell r="Z447" t="str">
            <v xml:space="preserve"> </v>
          </cell>
        </row>
        <row r="448">
          <cell r="B448" t="str">
            <v>B35</v>
          </cell>
          <cell r="F448">
            <v>2</v>
          </cell>
          <cell r="G448">
            <v>110306</v>
          </cell>
          <cell r="K448">
            <v>0</v>
          </cell>
          <cell r="M448" t="str">
            <v>DEL</v>
          </cell>
          <cell r="N448" t="str">
            <v>Resource</v>
          </cell>
          <cell r="Q448" t="str">
            <v>yes</v>
          </cell>
          <cell r="X448" t="str">
            <v xml:space="preserve"> </v>
          </cell>
          <cell r="Y448">
            <v>-85500</v>
          </cell>
          <cell r="Z448">
            <v>-85500</v>
          </cell>
        </row>
        <row r="449">
          <cell r="B449" t="str">
            <v>B35</v>
          </cell>
          <cell r="F449">
            <v>6</v>
          </cell>
          <cell r="G449">
            <v>110306</v>
          </cell>
          <cell r="K449">
            <v>0</v>
          </cell>
          <cell r="M449" t="str">
            <v>DEL</v>
          </cell>
          <cell r="N449" t="str">
            <v>Resource</v>
          </cell>
          <cell r="Q449" t="str">
            <v>yes</v>
          </cell>
          <cell r="X449" t="str">
            <v xml:space="preserve"> </v>
          </cell>
          <cell r="Y449" t="str">
            <v xml:space="preserve"> </v>
          </cell>
          <cell r="Z449" t="str">
            <v xml:space="preserve"> </v>
          </cell>
        </row>
        <row r="450">
          <cell r="B450" t="str">
            <v>B90</v>
          </cell>
          <cell r="F450">
            <v>1</v>
          </cell>
          <cell r="G450">
            <v>110407</v>
          </cell>
          <cell r="K450">
            <v>0</v>
          </cell>
          <cell r="M450" t="str">
            <v>DEL</v>
          </cell>
          <cell r="N450" t="str">
            <v>Resource</v>
          </cell>
          <cell r="Q450" t="str">
            <v>no</v>
          </cell>
          <cell r="X450" t="str">
            <v xml:space="preserve"> </v>
          </cell>
          <cell r="Y450" t="str">
            <v xml:space="preserve"> </v>
          </cell>
          <cell r="Z450" t="str">
            <v xml:space="preserve"> </v>
          </cell>
        </row>
        <row r="451">
          <cell r="B451" t="str">
            <v>B90</v>
          </cell>
          <cell r="F451">
            <v>2</v>
          </cell>
          <cell r="G451">
            <v>110407</v>
          </cell>
          <cell r="K451">
            <v>0</v>
          </cell>
          <cell r="M451" t="str">
            <v>DEL</v>
          </cell>
          <cell r="N451" t="str">
            <v>Resource</v>
          </cell>
          <cell r="Q451" t="str">
            <v>no</v>
          </cell>
          <cell r="X451" t="str">
            <v xml:space="preserve"> </v>
          </cell>
          <cell r="Y451">
            <v>247</v>
          </cell>
          <cell r="Z451">
            <v>247</v>
          </cell>
        </row>
        <row r="452">
          <cell r="B452" t="str">
            <v>B90</v>
          </cell>
          <cell r="F452">
            <v>6</v>
          </cell>
          <cell r="G452">
            <v>110407</v>
          </cell>
          <cell r="K452">
            <v>0</v>
          </cell>
          <cell r="M452" t="str">
            <v>DEL</v>
          </cell>
          <cell r="N452" t="str">
            <v>Resource</v>
          </cell>
          <cell r="Q452" t="str">
            <v>no</v>
          </cell>
          <cell r="X452" t="str">
            <v xml:space="preserve"> </v>
          </cell>
          <cell r="Y452" t="str">
            <v xml:space="preserve"> </v>
          </cell>
          <cell r="Z452" t="str">
            <v xml:space="preserve"> </v>
          </cell>
        </row>
        <row r="453">
          <cell r="B453" t="str">
            <v>B95</v>
          </cell>
          <cell r="F453">
            <v>1</v>
          </cell>
          <cell r="G453">
            <v>110101</v>
          </cell>
          <cell r="K453">
            <v>0</v>
          </cell>
          <cell r="M453" t="str">
            <v>DEL</v>
          </cell>
          <cell r="N453" t="str">
            <v>Resource</v>
          </cell>
          <cell r="Q453" t="str">
            <v>no</v>
          </cell>
          <cell r="X453">
            <v>200000</v>
          </cell>
          <cell r="Y453" t="str">
            <v xml:space="preserve"> </v>
          </cell>
          <cell r="Z453" t="str">
            <v xml:space="preserve"> </v>
          </cell>
        </row>
        <row r="454">
          <cell r="B454" t="str">
            <v>B95</v>
          </cell>
          <cell r="F454">
            <v>2</v>
          </cell>
          <cell r="G454">
            <v>110101</v>
          </cell>
          <cell r="K454">
            <v>0</v>
          </cell>
          <cell r="M454" t="str">
            <v>DEL</v>
          </cell>
          <cell r="N454" t="str">
            <v>Resource</v>
          </cell>
          <cell r="Q454" t="str">
            <v>no</v>
          </cell>
          <cell r="X454" t="str">
            <v xml:space="preserve"> </v>
          </cell>
          <cell r="Y454">
            <v>200000</v>
          </cell>
          <cell r="Z454">
            <v>200000</v>
          </cell>
        </row>
        <row r="455">
          <cell r="B455" t="str">
            <v>B35</v>
          </cell>
          <cell r="F455">
            <v>6</v>
          </cell>
          <cell r="G455">
            <v>110306</v>
          </cell>
          <cell r="K455">
            <v>0</v>
          </cell>
          <cell r="M455" t="str">
            <v>DEL</v>
          </cell>
          <cell r="N455" t="str">
            <v>Resource</v>
          </cell>
          <cell r="Q455" t="str">
            <v>yes</v>
          </cell>
          <cell r="X455" t="str">
            <v xml:space="preserve"> </v>
          </cell>
          <cell r="Y455" t="str">
            <v xml:space="preserve"> </v>
          </cell>
          <cell r="Z455" t="str">
            <v xml:space="preserve"> </v>
          </cell>
        </row>
        <row r="456">
          <cell r="B456" t="str">
            <v>B35</v>
          </cell>
          <cell r="F456">
            <v>6</v>
          </cell>
          <cell r="G456">
            <v>110306</v>
          </cell>
          <cell r="K456">
            <v>0</v>
          </cell>
          <cell r="M456" t="str">
            <v>DEL</v>
          </cell>
          <cell r="N456" t="str">
            <v>Resource</v>
          </cell>
          <cell r="Q456" t="str">
            <v>yes</v>
          </cell>
          <cell r="X456">
            <v>500</v>
          </cell>
          <cell r="Y456">
            <v>500</v>
          </cell>
          <cell r="Z456" t="str">
            <v xml:space="preserve"> </v>
          </cell>
        </row>
        <row r="457">
          <cell r="B457" t="str">
            <v>B35</v>
          </cell>
          <cell r="F457">
            <v>9</v>
          </cell>
          <cell r="G457">
            <v>110506</v>
          </cell>
          <cell r="K457">
            <v>0</v>
          </cell>
          <cell r="M457" t="str">
            <v>DEL</v>
          </cell>
          <cell r="N457" t="str">
            <v>Resource</v>
          </cell>
          <cell r="Q457" t="str">
            <v>yes</v>
          </cell>
          <cell r="X457" t="str">
            <v xml:space="preserve"> </v>
          </cell>
          <cell r="Y457" t="str">
            <v xml:space="preserve"> </v>
          </cell>
          <cell r="Z457" t="str">
            <v xml:space="preserve"> </v>
          </cell>
        </row>
        <row r="458">
          <cell r="B458" t="str">
            <v>B35</v>
          </cell>
          <cell r="F458">
            <v>9</v>
          </cell>
          <cell r="G458">
            <v>110901</v>
          </cell>
          <cell r="K458">
            <v>0</v>
          </cell>
          <cell r="M458" t="str">
            <v>DEL</v>
          </cell>
          <cell r="N458" t="str">
            <v>Resource</v>
          </cell>
          <cell r="Q458" t="str">
            <v>yes</v>
          </cell>
          <cell r="X458" t="str">
            <v xml:space="preserve"> </v>
          </cell>
          <cell r="Y458" t="str">
            <v xml:space="preserve"> </v>
          </cell>
          <cell r="Z458" t="str">
            <v xml:space="preserve"> </v>
          </cell>
        </row>
        <row r="459">
          <cell r="B459" t="str">
            <v>B35</v>
          </cell>
          <cell r="F459">
            <v>1</v>
          </cell>
          <cell r="G459">
            <v>110306</v>
          </cell>
          <cell r="K459">
            <v>0</v>
          </cell>
          <cell r="M459" t="str">
            <v>DEL</v>
          </cell>
          <cell r="N459" t="str">
            <v>Resource</v>
          </cell>
          <cell r="Q459" t="str">
            <v>yes</v>
          </cell>
          <cell r="X459">
            <v>21918</v>
          </cell>
          <cell r="Y459" t="str">
            <v xml:space="preserve"> </v>
          </cell>
          <cell r="Z459" t="str">
            <v xml:space="preserve"> </v>
          </cell>
        </row>
        <row r="460">
          <cell r="B460" t="str">
            <v>B35</v>
          </cell>
          <cell r="F460">
            <v>1</v>
          </cell>
          <cell r="G460">
            <v>110306</v>
          </cell>
          <cell r="K460">
            <v>0</v>
          </cell>
          <cell r="M460" t="str">
            <v>DEL</v>
          </cell>
          <cell r="N460" t="str">
            <v>Resource</v>
          </cell>
          <cell r="Q460" t="str">
            <v>yes</v>
          </cell>
          <cell r="X460">
            <v>-29478</v>
          </cell>
          <cell r="Y460" t="str">
            <v xml:space="preserve"> </v>
          </cell>
          <cell r="Z460" t="str">
            <v xml:space="preserve"> </v>
          </cell>
        </row>
        <row r="461">
          <cell r="B461" t="str">
            <v>B35</v>
          </cell>
          <cell r="F461">
            <v>6</v>
          </cell>
          <cell r="G461">
            <v>110306</v>
          </cell>
          <cell r="K461">
            <v>0</v>
          </cell>
          <cell r="M461" t="str">
            <v>DEL</v>
          </cell>
          <cell r="N461" t="str">
            <v>Resource</v>
          </cell>
          <cell r="Q461" t="str">
            <v>yes</v>
          </cell>
          <cell r="X461">
            <v>31941</v>
          </cell>
          <cell r="Y461" t="str">
            <v xml:space="preserve"> </v>
          </cell>
          <cell r="Z461" t="str">
            <v xml:space="preserve"> </v>
          </cell>
        </row>
        <row r="462">
          <cell r="B462" t="str">
            <v>B35</v>
          </cell>
          <cell r="F462">
            <v>6</v>
          </cell>
          <cell r="G462">
            <v>110306</v>
          </cell>
          <cell r="K462">
            <v>0</v>
          </cell>
          <cell r="M462" t="str">
            <v>DEL</v>
          </cell>
          <cell r="N462" t="str">
            <v>Resource</v>
          </cell>
          <cell r="Q462" t="str">
            <v>yes</v>
          </cell>
          <cell r="X462">
            <v>452</v>
          </cell>
          <cell r="Y462" t="str">
            <v xml:space="preserve"> </v>
          </cell>
          <cell r="Z462" t="str">
            <v xml:space="preserve"> </v>
          </cell>
        </row>
        <row r="463">
          <cell r="B463" t="str">
            <v>B35</v>
          </cell>
          <cell r="F463">
            <v>6</v>
          </cell>
          <cell r="G463">
            <v>110306</v>
          </cell>
          <cell r="K463">
            <v>0</v>
          </cell>
          <cell r="M463" t="str">
            <v>DEL</v>
          </cell>
          <cell r="N463" t="str">
            <v>Resource</v>
          </cell>
          <cell r="Q463" t="str">
            <v>yes</v>
          </cell>
          <cell r="X463">
            <v>3</v>
          </cell>
          <cell r="Y463" t="str">
            <v xml:space="preserve"> </v>
          </cell>
          <cell r="Z463" t="str">
            <v xml:space="preserve"> </v>
          </cell>
        </row>
        <row r="464">
          <cell r="B464" t="str">
            <v>B35</v>
          </cell>
          <cell r="F464">
            <v>6</v>
          </cell>
          <cell r="G464">
            <v>110306</v>
          </cell>
          <cell r="K464">
            <v>0</v>
          </cell>
          <cell r="M464" t="str">
            <v>DEL</v>
          </cell>
          <cell r="N464" t="str">
            <v>Resource</v>
          </cell>
          <cell r="Q464" t="str">
            <v>yes</v>
          </cell>
          <cell r="X464">
            <v>-3173</v>
          </cell>
          <cell r="Y464" t="str">
            <v xml:space="preserve"> </v>
          </cell>
          <cell r="Z464" t="str">
            <v xml:space="preserve"> </v>
          </cell>
        </row>
        <row r="465">
          <cell r="B465" t="str">
            <v>B35</v>
          </cell>
          <cell r="F465">
            <v>6</v>
          </cell>
          <cell r="G465">
            <v>110306</v>
          </cell>
          <cell r="K465">
            <v>0</v>
          </cell>
          <cell r="M465" t="str">
            <v>DEL</v>
          </cell>
          <cell r="N465" t="str">
            <v>Resource</v>
          </cell>
          <cell r="Q465" t="str">
            <v>yes</v>
          </cell>
          <cell r="X465">
            <v>-1130</v>
          </cell>
          <cell r="Y465" t="str">
            <v xml:space="preserve"> </v>
          </cell>
          <cell r="Z465" t="str">
            <v xml:space="preserve"> </v>
          </cell>
        </row>
        <row r="466">
          <cell r="B466" t="str">
            <v>B35</v>
          </cell>
          <cell r="F466">
            <v>12</v>
          </cell>
          <cell r="G466">
            <v>110302</v>
          </cell>
          <cell r="K466">
            <v>0</v>
          </cell>
          <cell r="M466" t="str">
            <v>DEL</v>
          </cell>
          <cell r="N466" t="str">
            <v>Resource</v>
          </cell>
          <cell r="Q466" t="str">
            <v>yes</v>
          </cell>
          <cell r="X466">
            <v>8269</v>
          </cell>
          <cell r="Y466" t="str">
            <v xml:space="preserve"> </v>
          </cell>
          <cell r="Z466" t="str">
            <v xml:space="preserve"> </v>
          </cell>
        </row>
        <row r="467">
          <cell r="B467" t="str">
            <v>B35</v>
          </cell>
          <cell r="F467">
            <v>12</v>
          </cell>
          <cell r="G467">
            <v>110302</v>
          </cell>
          <cell r="K467">
            <v>0</v>
          </cell>
          <cell r="M467" t="str">
            <v>DEL</v>
          </cell>
          <cell r="N467" t="str">
            <v>Resource</v>
          </cell>
          <cell r="Q467" t="str">
            <v>yes</v>
          </cell>
          <cell r="X467">
            <v>1500</v>
          </cell>
          <cell r="Y467" t="str">
            <v xml:space="preserve"> </v>
          </cell>
          <cell r="Z467" t="str">
            <v xml:space="preserve"> </v>
          </cell>
        </row>
        <row r="468">
          <cell r="B468" t="str">
            <v>B35</v>
          </cell>
          <cell r="F468">
            <v>2</v>
          </cell>
          <cell r="G468">
            <v>110306</v>
          </cell>
          <cell r="K468">
            <v>0</v>
          </cell>
          <cell r="M468" t="str">
            <v>DEL</v>
          </cell>
          <cell r="N468" t="str">
            <v>Resource</v>
          </cell>
          <cell r="Q468" t="str">
            <v>yes</v>
          </cell>
          <cell r="X468" t="str">
            <v xml:space="preserve"> </v>
          </cell>
          <cell r="Y468">
            <v>21918</v>
          </cell>
          <cell r="Z468">
            <v>21918</v>
          </cell>
        </row>
        <row r="469">
          <cell r="B469" t="str">
            <v>B35</v>
          </cell>
          <cell r="F469">
            <v>2</v>
          </cell>
          <cell r="G469">
            <v>110306</v>
          </cell>
          <cell r="K469">
            <v>0</v>
          </cell>
          <cell r="M469" t="str">
            <v>DEL</v>
          </cell>
          <cell r="N469" t="str">
            <v>Resource</v>
          </cell>
          <cell r="Q469" t="str">
            <v>yes</v>
          </cell>
          <cell r="X469" t="str">
            <v xml:space="preserve"> </v>
          </cell>
          <cell r="Y469">
            <v>-29478</v>
          </cell>
          <cell r="Z469">
            <v>-29478</v>
          </cell>
        </row>
        <row r="470">
          <cell r="B470" t="str">
            <v>B35</v>
          </cell>
          <cell r="F470">
            <v>6</v>
          </cell>
          <cell r="G470">
            <v>110306</v>
          </cell>
          <cell r="K470">
            <v>0</v>
          </cell>
          <cell r="M470" t="str">
            <v>DEL</v>
          </cell>
          <cell r="N470" t="str">
            <v>Resource</v>
          </cell>
          <cell r="Q470" t="str">
            <v>yes</v>
          </cell>
          <cell r="X470" t="str">
            <v xml:space="preserve"> </v>
          </cell>
          <cell r="Y470" t="str">
            <v xml:space="preserve"> </v>
          </cell>
          <cell r="Z470" t="str">
            <v xml:space="preserve"> </v>
          </cell>
        </row>
        <row r="471">
          <cell r="B471" t="str">
            <v>B35</v>
          </cell>
          <cell r="F471">
            <v>12</v>
          </cell>
          <cell r="G471">
            <v>110302</v>
          </cell>
          <cell r="K471">
            <v>0</v>
          </cell>
          <cell r="M471" t="str">
            <v>DEL</v>
          </cell>
          <cell r="N471" t="str">
            <v>Resource</v>
          </cell>
          <cell r="Q471" t="str">
            <v>yes</v>
          </cell>
          <cell r="X471">
            <v>-10000</v>
          </cell>
          <cell r="Y471" t="str">
            <v xml:space="preserve"> </v>
          </cell>
          <cell r="Z471" t="str">
            <v xml:space="preserve"> </v>
          </cell>
        </row>
        <row r="472">
          <cell r="B472" t="str">
            <v>B35</v>
          </cell>
          <cell r="F472">
            <v>12</v>
          </cell>
          <cell r="G472">
            <v>110302</v>
          </cell>
          <cell r="K472">
            <v>0</v>
          </cell>
          <cell r="M472" t="str">
            <v>DEL</v>
          </cell>
          <cell r="N472" t="str">
            <v>Resource</v>
          </cell>
          <cell r="Q472" t="str">
            <v>yes</v>
          </cell>
          <cell r="X472">
            <v>-1150</v>
          </cell>
          <cell r="Y472" t="str">
            <v xml:space="preserve"> </v>
          </cell>
          <cell r="Z472" t="str">
            <v xml:space="preserve"> </v>
          </cell>
        </row>
        <row r="473">
          <cell r="B473" t="str">
            <v>B35</v>
          </cell>
          <cell r="F473">
            <v>12</v>
          </cell>
          <cell r="G473">
            <v>110302</v>
          </cell>
          <cell r="K473">
            <v>0</v>
          </cell>
          <cell r="M473" t="str">
            <v>DEL</v>
          </cell>
          <cell r="N473" t="str">
            <v>Resource</v>
          </cell>
          <cell r="Q473" t="str">
            <v>yes</v>
          </cell>
          <cell r="X473">
            <v>-131147</v>
          </cell>
          <cell r="Y473" t="str">
            <v xml:space="preserve"> </v>
          </cell>
          <cell r="Z473" t="str">
            <v xml:space="preserve"> </v>
          </cell>
        </row>
        <row r="474">
          <cell r="B474" t="str">
            <v>B35</v>
          </cell>
          <cell r="F474">
            <v>1</v>
          </cell>
          <cell r="G474">
            <v>110401</v>
          </cell>
          <cell r="K474">
            <v>0</v>
          </cell>
          <cell r="M474" t="str">
            <v>DEL</v>
          </cell>
          <cell r="N474" t="str">
            <v>Resource</v>
          </cell>
          <cell r="Q474" t="str">
            <v>yes</v>
          </cell>
          <cell r="X474">
            <v>118282</v>
          </cell>
          <cell r="Y474" t="str">
            <v xml:space="preserve"> </v>
          </cell>
          <cell r="Z474" t="str">
            <v xml:space="preserve"> </v>
          </cell>
        </row>
        <row r="475">
          <cell r="B475" t="str">
            <v>B35</v>
          </cell>
          <cell r="F475">
            <v>1</v>
          </cell>
          <cell r="G475">
            <v>110401</v>
          </cell>
          <cell r="K475">
            <v>0</v>
          </cell>
          <cell r="M475" t="str">
            <v>DEL</v>
          </cell>
          <cell r="N475" t="str">
            <v>Resource</v>
          </cell>
          <cell r="Q475" t="str">
            <v>yes</v>
          </cell>
          <cell r="X475">
            <v>-11383</v>
          </cell>
          <cell r="Y475" t="str">
            <v xml:space="preserve"> </v>
          </cell>
          <cell r="Z475" t="str">
            <v xml:space="preserve"> </v>
          </cell>
        </row>
        <row r="476">
          <cell r="B476" t="str">
            <v>B35</v>
          </cell>
          <cell r="F476">
            <v>1</v>
          </cell>
          <cell r="G476">
            <v>110401</v>
          </cell>
          <cell r="K476">
            <v>0</v>
          </cell>
          <cell r="M476" t="str">
            <v>DEL</v>
          </cell>
          <cell r="N476" t="str">
            <v>Resource</v>
          </cell>
          <cell r="Q476" t="str">
            <v>yes</v>
          </cell>
          <cell r="X476">
            <v>-623</v>
          </cell>
          <cell r="Y476" t="str">
            <v xml:space="preserve"> </v>
          </cell>
          <cell r="Z476" t="str">
            <v xml:space="preserve"> </v>
          </cell>
        </row>
        <row r="477">
          <cell r="B477" t="str">
            <v>B35</v>
          </cell>
          <cell r="F477">
            <v>1</v>
          </cell>
          <cell r="G477">
            <v>110401</v>
          </cell>
          <cell r="K477">
            <v>0</v>
          </cell>
          <cell r="M477" t="str">
            <v>DEL</v>
          </cell>
          <cell r="N477" t="str">
            <v>Resource</v>
          </cell>
          <cell r="Q477" t="str">
            <v>yes</v>
          </cell>
          <cell r="X477">
            <v>-2907</v>
          </cell>
          <cell r="Y477" t="str">
            <v xml:space="preserve"> </v>
          </cell>
          <cell r="Z477" t="str">
            <v xml:space="preserve"> </v>
          </cell>
        </row>
        <row r="478">
          <cell r="B478" t="str">
            <v>B35</v>
          </cell>
          <cell r="F478">
            <v>1</v>
          </cell>
          <cell r="G478">
            <v>110401</v>
          </cell>
          <cell r="K478">
            <v>0</v>
          </cell>
          <cell r="M478" t="str">
            <v>DEL</v>
          </cell>
          <cell r="N478" t="str">
            <v>Resource</v>
          </cell>
          <cell r="Q478" t="str">
            <v>yes</v>
          </cell>
          <cell r="X478">
            <v>2227</v>
          </cell>
          <cell r="Y478" t="str">
            <v xml:space="preserve"> </v>
          </cell>
          <cell r="Z478" t="str">
            <v xml:space="preserve"> </v>
          </cell>
        </row>
        <row r="479">
          <cell r="B479" t="str">
            <v>B35</v>
          </cell>
          <cell r="F479">
            <v>6</v>
          </cell>
          <cell r="G479">
            <v>110401</v>
          </cell>
          <cell r="K479">
            <v>0</v>
          </cell>
          <cell r="M479" t="str">
            <v>DEL</v>
          </cell>
          <cell r="N479" t="str">
            <v>Resource</v>
          </cell>
          <cell r="Q479" t="str">
            <v>yes</v>
          </cell>
          <cell r="X479">
            <v>18000</v>
          </cell>
          <cell r="Y479">
            <v>20000</v>
          </cell>
          <cell r="Z479">
            <v>22000</v>
          </cell>
        </row>
        <row r="480">
          <cell r="B480" t="str">
            <v>B35</v>
          </cell>
          <cell r="F480">
            <v>12</v>
          </cell>
          <cell r="G480">
            <v>110302</v>
          </cell>
          <cell r="K480">
            <v>0</v>
          </cell>
          <cell r="M480" t="str">
            <v>DEL</v>
          </cell>
          <cell r="N480" t="str">
            <v>Resource</v>
          </cell>
          <cell r="Q480" t="str">
            <v>yes</v>
          </cell>
          <cell r="X480">
            <v>1328</v>
          </cell>
          <cell r="Y480" t="str">
            <v xml:space="preserve"> </v>
          </cell>
          <cell r="Z480" t="str">
            <v xml:space="preserve"> </v>
          </cell>
        </row>
        <row r="481">
          <cell r="B481" t="str">
            <v>B35</v>
          </cell>
          <cell r="F481">
            <v>12</v>
          </cell>
          <cell r="G481">
            <v>110302</v>
          </cell>
          <cell r="K481">
            <v>0</v>
          </cell>
          <cell r="M481" t="str">
            <v>DEL</v>
          </cell>
          <cell r="N481" t="str">
            <v>Resource</v>
          </cell>
          <cell r="Q481" t="str">
            <v>yes</v>
          </cell>
          <cell r="X481" t="str">
            <v xml:space="preserve"> </v>
          </cell>
          <cell r="Y481" t="str">
            <v xml:space="preserve"> </v>
          </cell>
          <cell r="Z481" t="str">
            <v xml:space="preserve"> </v>
          </cell>
        </row>
        <row r="482">
          <cell r="B482" t="str">
            <v>B35</v>
          </cell>
          <cell r="F482">
            <v>12</v>
          </cell>
          <cell r="G482">
            <v>110302</v>
          </cell>
          <cell r="K482">
            <v>0</v>
          </cell>
          <cell r="M482" t="str">
            <v>DEL</v>
          </cell>
          <cell r="N482" t="str">
            <v>Resource</v>
          </cell>
          <cell r="Q482" t="str">
            <v>yes</v>
          </cell>
          <cell r="X482" t="str">
            <v xml:space="preserve"> </v>
          </cell>
          <cell r="Y482" t="str">
            <v xml:space="preserve"> </v>
          </cell>
          <cell r="Z482" t="str">
            <v xml:space="preserve"> </v>
          </cell>
        </row>
        <row r="483">
          <cell r="B483" t="str">
            <v>B35</v>
          </cell>
          <cell r="F483">
            <v>6</v>
          </cell>
          <cell r="G483">
            <v>110401</v>
          </cell>
          <cell r="K483">
            <v>0</v>
          </cell>
          <cell r="M483" t="str">
            <v>DEL</v>
          </cell>
          <cell r="N483" t="str">
            <v>Resource</v>
          </cell>
          <cell r="Q483" t="str">
            <v>yes</v>
          </cell>
          <cell r="X483">
            <v>-40600</v>
          </cell>
          <cell r="Y483">
            <v>-39600</v>
          </cell>
          <cell r="Z483">
            <v>-39600</v>
          </cell>
        </row>
        <row r="484">
          <cell r="B484" t="str">
            <v>B35</v>
          </cell>
          <cell r="F484">
            <v>6</v>
          </cell>
          <cell r="G484">
            <v>110401</v>
          </cell>
          <cell r="K484">
            <v>0</v>
          </cell>
          <cell r="M484" t="str">
            <v>DEL</v>
          </cell>
          <cell r="N484" t="str">
            <v>Resource</v>
          </cell>
          <cell r="Q484" t="str">
            <v>yes</v>
          </cell>
          <cell r="X484">
            <v>7302</v>
          </cell>
          <cell r="Y484">
            <v>7302</v>
          </cell>
          <cell r="Z484">
            <v>7302</v>
          </cell>
        </row>
        <row r="485">
          <cell r="B485" t="str">
            <v>E10</v>
          </cell>
          <cell r="F485">
            <v>12</v>
          </cell>
          <cell r="G485">
            <v>110202</v>
          </cell>
          <cell r="K485" t="str">
            <v>PSS</v>
          </cell>
          <cell r="M485" t="str">
            <v>non-budget</v>
          </cell>
          <cell r="N485" t="str">
            <v>non-budget</v>
          </cell>
          <cell r="Q485" t="str">
            <v>no</v>
          </cell>
          <cell r="X485">
            <v>20183</v>
          </cell>
          <cell r="Y485" t="str">
            <v xml:space="preserve"> </v>
          </cell>
          <cell r="Z485" t="str">
            <v xml:space="preserve"> </v>
          </cell>
        </row>
        <row r="486">
          <cell r="B486" t="str">
            <v>B35</v>
          </cell>
          <cell r="F486">
            <v>12</v>
          </cell>
          <cell r="G486">
            <v>110302</v>
          </cell>
          <cell r="K486">
            <v>0</v>
          </cell>
          <cell r="M486" t="str">
            <v>DEL</v>
          </cell>
          <cell r="N486" t="str">
            <v>Resource</v>
          </cell>
          <cell r="Q486" t="str">
            <v>yes</v>
          </cell>
          <cell r="X486">
            <v>-838</v>
          </cell>
          <cell r="Y486" t="str">
            <v xml:space="preserve"> </v>
          </cell>
          <cell r="Z486" t="str">
            <v xml:space="preserve"> </v>
          </cell>
        </row>
        <row r="487">
          <cell r="B487" t="str">
            <v>B35</v>
          </cell>
          <cell r="F487">
            <v>6</v>
          </cell>
          <cell r="G487">
            <v>110401</v>
          </cell>
          <cell r="K487">
            <v>0</v>
          </cell>
          <cell r="M487" t="str">
            <v>DEL</v>
          </cell>
          <cell r="N487" t="str">
            <v>Resource</v>
          </cell>
          <cell r="Q487" t="str">
            <v>yes</v>
          </cell>
          <cell r="X487" t="str">
            <v xml:space="preserve"> </v>
          </cell>
          <cell r="Y487" t="str">
            <v xml:space="preserve"> </v>
          </cell>
          <cell r="Z487" t="str">
            <v xml:space="preserve"> </v>
          </cell>
        </row>
        <row r="488">
          <cell r="B488" t="str">
            <v>B35</v>
          </cell>
          <cell r="F488">
            <v>6</v>
          </cell>
          <cell r="G488">
            <v>110401</v>
          </cell>
          <cell r="K488">
            <v>0</v>
          </cell>
          <cell r="M488" t="str">
            <v>DEL</v>
          </cell>
          <cell r="N488" t="str">
            <v>Resource</v>
          </cell>
          <cell r="Q488" t="str">
            <v>yes</v>
          </cell>
          <cell r="X488" t="str">
            <v xml:space="preserve"> </v>
          </cell>
          <cell r="Y488" t="str">
            <v xml:space="preserve"> </v>
          </cell>
          <cell r="Z488" t="str">
            <v xml:space="preserve"> </v>
          </cell>
        </row>
        <row r="489">
          <cell r="B489" t="str">
            <v>B35</v>
          </cell>
          <cell r="F489">
            <v>2</v>
          </cell>
          <cell r="G489">
            <v>110401</v>
          </cell>
          <cell r="K489">
            <v>0</v>
          </cell>
          <cell r="M489" t="str">
            <v>DEL</v>
          </cell>
          <cell r="N489" t="str">
            <v>Resource</v>
          </cell>
          <cell r="Q489" t="str">
            <v>yes</v>
          </cell>
          <cell r="X489" t="str">
            <v xml:space="preserve"> </v>
          </cell>
          <cell r="Y489" t="str">
            <v xml:space="preserve"> </v>
          </cell>
          <cell r="Z489" t="str">
            <v xml:space="preserve"> </v>
          </cell>
        </row>
        <row r="490">
          <cell r="B490" t="str">
            <v>B35</v>
          </cell>
          <cell r="F490">
            <v>4</v>
          </cell>
          <cell r="G490">
            <v>110401</v>
          </cell>
          <cell r="K490">
            <v>0</v>
          </cell>
          <cell r="M490" t="str">
            <v>DEL</v>
          </cell>
          <cell r="N490" t="str">
            <v>Resource</v>
          </cell>
          <cell r="Q490" t="str">
            <v>yes</v>
          </cell>
          <cell r="X490" t="str">
            <v xml:space="preserve"> </v>
          </cell>
          <cell r="Y490" t="str">
            <v xml:space="preserve"> </v>
          </cell>
          <cell r="Z490" t="str">
            <v xml:space="preserve"> </v>
          </cell>
        </row>
        <row r="491">
          <cell r="B491" t="str">
            <v>B35</v>
          </cell>
          <cell r="F491">
            <v>6</v>
          </cell>
          <cell r="G491">
            <v>110401</v>
          </cell>
          <cell r="K491">
            <v>0</v>
          </cell>
          <cell r="M491" t="str">
            <v>DEL</v>
          </cell>
          <cell r="N491" t="str">
            <v>Resource</v>
          </cell>
          <cell r="Q491" t="str">
            <v>yes</v>
          </cell>
          <cell r="X491" t="str">
            <v xml:space="preserve"> </v>
          </cell>
          <cell r="Y491" t="str">
            <v xml:space="preserve"> </v>
          </cell>
          <cell r="Z491" t="str">
            <v xml:space="preserve"> </v>
          </cell>
        </row>
        <row r="492">
          <cell r="B492" t="str">
            <v>B35</v>
          </cell>
          <cell r="F492">
            <v>12</v>
          </cell>
          <cell r="G492">
            <v>110302</v>
          </cell>
          <cell r="K492">
            <v>0</v>
          </cell>
          <cell r="M492" t="str">
            <v>DEL</v>
          </cell>
          <cell r="N492" t="str">
            <v>Resource</v>
          </cell>
          <cell r="Q492" t="str">
            <v>yes</v>
          </cell>
          <cell r="X492">
            <v>505</v>
          </cell>
          <cell r="Y492" t="str">
            <v xml:space="preserve"> </v>
          </cell>
          <cell r="Z492" t="str">
            <v xml:space="preserve"> </v>
          </cell>
        </row>
        <row r="493">
          <cell r="B493" t="str">
            <v>B35</v>
          </cell>
          <cell r="F493">
            <v>6</v>
          </cell>
          <cell r="G493">
            <v>110401</v>
          </cell>
          <cell r="K493">
            <v>0</v>
          </cell>
          <cell r="M493" t="str">
            <v>DEL</v>
          </cell>
          <cell r="N493" t="str">
            <v>Resource</v>
          </cell>
          <cell r="Q493" t="str">
            <v>yes</v>
          </cell>
          <cell r="X493" t="str">
            <v xml:space="preserve"> </v>
          </cell>
          <cell r="Y493" t="str">
            <v xml:space="preserve"> </v>
          </cell>
          <cell r="Z493" t="str">
            <v xml:space="preserve"> </v>
          </cell>
        </row>
        <row r="494">
          <cell r="B494" t="str">
            <v>B35</v>
          </cell>
          <cell r="F494">
            <v>2</v>
          </cell>
          <cell r="G494">
            <v>110401</v>
          </cell>
          <cell r="K494">
            <v>0</v>
          </cell>
          <cell r="M494" t="str">
            <v>DEL</v>
          </cell>
          <cell r="N494" t="str">
            <v>Resource</v>
          </cell>
          <cell r="Q494" t="str">
            <v>yes</v>
          </cell>
          <cell r="X494" t="str">
            <v xml:space="preserve"> </v>
          </cell>
          <cell r="Y494" t="str">
            <v xml:space="preserve"> </v>
          </cell>
          <cell r="Z494" t="str">
            <v xml:space="preserve"> </v>
          </cell>
        </row>
        <row r="495">
          <cell r="B495" t="str">
            <v>B35</v>
          </cell>
          <cell r="F495">
            <v>6</v>
          </cell>
          <cell r="G495">
            <v>110401</v>
          </cell>
          <cell r="K495">
            <v>0</v>
          </cell>
          <cell r="M495" t="str">
            <v>DEL</v>
          </cell>
          <cell r="N495" t="str">
            <v>Resource</v>
          </cell>
          <cell r="Q495" t="str">
            <v>yes</v>
          </cell>
          <cell r="X495" t="str">
            <v xml:space="preserve"> </v>
          </cell>
          <cell r="Y495" t="str">
            <v xml:space="preserve"> </v>
          </cell>
          <cell r="Z495" t="str">
            <v xml:space="preserve"> </v>
          </cell>
        </row>
        <row r="496">
          <cell r="B496" t="str">
            <v>B35</v>
          </cell>
          <cell r="F496">
            <v>3</v>
          </cell>
          <cell r="G496">
            <v>110407</v>
          </cell>
          <cell r="K496">
            <v>0</v>
          </cell>
          <cell r="M496" t="str">
            <v>DEL</v>
          </cell>
          <cell r="N496" t="str">
            <v>Resource</v>
          </cell>
          <cell r="Q496" t="str">
            <v>yes</v>
          </cell>
          <cell r="X496" t="str">
            <v xml:space="preserve"> </v>
          </cell>
          <cell r="Y496" t="str">
            <v xml:space="preserve"> </v>
          </cell>
          <cell r="Z496" t="str">
            <v xml:space="preserve"> </v>
          </cell>
        </row>
        <row r="497">
          <cell r="B497" t="str">
            <v>B35</v>
          </cell>
          <cell r="F497">
            <v>3</v>
          </cell>
          <cell r="G497">
            <v>110407</v>
          </cell>
          <cell r="K497">
            <v>0</v>
          </cell>
          <cell r="M497" t="str">
            <v>DEL</v>
          </cell>
          <cell r="N497" t="str">
            <v>Resource</v>
          </cell>
          <cell r="Q497" t="str">
            <v>yes</v>
          </cell>
          <cell r="X497" t="str">
            <v xml:space="preserve"> </v>
          </cell>
          <cell r="Y497" t="str">
            <v xml:space="preserve"> </v>
          </cell>
          <cell r="Z497" t="str">
            <v xml:space="preserve"> </v>
          </cell>
        </row>
        <row r="498">
          <cell r="B498" t="str">
            <v>B35</v>
          </cell>
          <cell r="F498">
            <v>2</v>
          </cell>
          <cell r="G498">
            <v>110401</v>
          </cell>
          <cell r="K498">
            <v>0</v>
          </cell>
          <cell r="M498" t="str">
            <v>DEL</v>
          </cell>
          <cell r="N498" t="str">
            <v>Resource</v>
          </cell>
          <cell r="Q498" t="str">
            <v>yes</v>
          </cell>
          <cell r="X498" t="str">
            <v xml:space="preserve"> </v>
          </cell>
          <cell r="Y498">
            <v>93348</v>
          </cell>
          <cell r="Z498">
            <v>87474</v>
          </cell>
        </row>
        <row r="499">
          <cell r="B499" t="str">
            <v>B35</v>
          </cell>
          <cell r="F499">
            <v>2</v>
          </cell>
          <cell r="G499">
            <v>110401</v>
          </cell>
          <cell r="K499">
            <v>0</v>
          </cell>
          <cell r="M499" t="str">
            <v>DEL</v>
          </cell>
          <cell r="N499" t="str">
            <v>Resource</v>
          </cell>
          <cell r="Q499" t="str">
            <v>yes</v>
          </cell>
          <cell r="X499" t="str">
            <v xml:space="preserve"> </v>
          </cell>
          <cell r="Y499">
            <v>-850</v>
          </cell>
          <cell r="Z499">
            <v>-850</v>
          </cell>
        </row>
        <row r="500">
          <cell r="B500" t="str">
            <v>B35</v>
          </cell>
          <cell r="F500">
            <v>2</v>
          </cell>
          <cell r="G500">
            <v>110401</v>
          </cell>
          <cell r="K500">
            <v>0</v>
          </cell>
          <cell r="M500" t="str">
            <v>DEL</v>
          </cell>
          <cell r="N500" t="str">
            <v>Resource</v>
          </cell>
          <cell r="Q500" t="str">
            <v>yes</v>
          </cell>
          <cell r="X500" t="str">
            <v xml:space="preserve"> </v>
          </cell>
          <cell r="Y500">
            <v>-12006</v>
          </cell>
          <cell r="Z500">
            <v>-12006</v>
          </cell>
        </row>
        <row r="501">
          <cell r="B501" t="str">
            <v>E10</v>
          </cell>
          <cell r="F501">
            <v>12</v>
          </cell>
          <cell r="G501">
            <v>110202</v>
          </cell>
          <cell r="K501" t="str">
            <v>PSS</v>
          </cell>
          <cell r="M501" t="str">
            <v>non-budget</v>
          </cell>
          <cell r="N501" t="str">
            <v>non-budget</v>
          </cell>
          <cell r="Q501" t="str">
            <v>no</v>
          </cell>
          <cell r="X501">
            <v>-107430</v>
          </cell>
          <cell r="Y501" t="str">
            <v xml:space="preserve"> </v>
          </cell>
          <cell r="Z501" t="str">
            <v xml:space="preserve"> </v>
          </cell>
        </row>
        <row r="502">
          <cell r="B502" t="str">
            <v>B35</v>
          </cell>
          <cell r="F502">
            <v>2</v>
          </cell>
          <cell r="G502">
            <v>110401</v>
          </cell>
          <cell r="K502">
            <v>0</v>
          </cell>
          <cell r="M502" t="str">
            <v>DEL</v>
          </cell>
          <cell r="N502" t="str">
            <v>Resource</v>
          </cell>
          <cell r="Q502" t="str">
            <v>yes</v>
          </cell>
          <cell r="X502" t="str">
            <v xml:space="preserve"> </v>
          </cell>
          <cell r="Y502">
            <v>1210</v>
          </cell>
          <cell r="Z502">
            <v>1210</v>
          </cell>
        </row>
        <row r="503">
          <cell r="B503" t="str">
            <v>B35</v>
          </cell>
          <cell r="F503">
            <v>2</v>
          </cell>
          <cell r="G503">
            <v>110401</v>
          </cell>
          <cell r="K503">
            <v>0</v>
          </cell>
          <cell r="M503" t="str">
            <v>DEL</v>
          </cell>
          <cell r="N503" t="str">
            <v>Resource</v>
          </cell>
          <cell r="Q503" t="str">
            <v>yes</v>
          </cell>
          <cell r="X503" t="str">
            <v xml:space="preserve"> </v>
          </cell>
          <cell r="Y503">
            <v>-2907</v>
          </cell>
          <cell r="Z503">
            <v>-2907</v>
          </cell>
        </row>
        <row r="504">
          <cell r="B504" t="str">
            <v>B35</v>
          </cell>
          <cell r="F504">
            <v>2</v>
          </cell>
          <cell r="G504">
            <v>110401</v>
          </cell>
          <cell r="K504">
            <v>0</v>
          </cell>
          <cell r="M504" t="str">
            <v>DEL</v>
          </cell>
          <cell r="N504" t="str">
            <v>Resource</v>
          </cell>
          <cell r="Q504" t="str">
            <v>yes</v>
          </cell>
          <cell r="X504" t="str">
            <v xml:space="preserve"> </v>
          </cell>
          <cell r="Y504">
            <v>2227</v>
          </cell>
          <cell r="Z504">
            <v>2227</v>
          </cell>
        </row>
        <row r="505">
          <cell r="B505" t="str">
            <v>B35</v>
          </cell>
          <cell r="F505">
            <v>2</v>
          </cell>
          <cell r="G505">
            <v>110401</v>
          </cell>
          <cell r="K505">
            <v>0</v>
          </cell>
          <cell r="M505" t="str">
            <v>DEL</v>
          </cell>
          <cell r="N505" t="str">
            <v>Resource</v>
          </cell>
          <cell r="Q505" t="str">
            <v>yes</v>
          </cell>
          <cell r="X505" t="str">
            <v xml:space="preserve"> </v>
          </cell>
          <cell r="Y505">
            <v>14040</v>
          </cell>
          <cell r="Z505">
            <v>14040</v>
          </cell>
        </row>
        <row r="506">
          <cell r="B506" t="str">
            <v>B35</v>
          </cell>
          <cell r="F506">
            <v>6</v>
          </cell>
          <cell r="G506">
            <v>110401</v>
          </cell>
          <cell r="K506">
            <v>0</v>
          </cell>
          <cell r="M506" t="str">
            <v>DEL</v>
          </cell>
          <cell r="N506" t="str">
            <v>Resource</v>
          </cell>
          <cell r="Q506" t="str">
            <v>yes</v>
          </cell>
          <cell r="X506" t="str">
            <v xml:space="preserve"> </v>
          </cell>
          <cell r="Y506" t="str">
            <v xml:space="preserve"> </v>
          </cell>
          <cell r="Z506" t="str">
            <v xml:space="preserve"> </v>
          </cell>
        </row>
        <row r="507">
          <cell r="B507" t="str">
            <v>B35</v>
          </cell>
          <cell r="F507">
            <v>6</v>
          </cell>
          <cell r="G507">
            <v>110401</v>
          </cell>
          <cell r="K507">
            <v>0</v>
          </cell>
          <cell r="M507" t="str">
            <v>DEL</v>
          </cell>
          <cell r="N507" t="str">
            <v>Resource</v>
          </cell>
          <cell r="Q507" t="str">
            <v>yes</v>
          </cell>
          <cell r="X507" t="str">
            <v xml:space="preserve"> </v>
          </cell>
          <cell r="Y507" t="str">
            <v xml:space="preserve"> </v>
          </cell>
          <cell r="Z507" t="str">
            <v xml:space="preserve"> </v>
          </cell>
        </row>
        <row r="508">
          <cell r="B508" t="str">
            <v>B35</v>
          </cell>
          <cell r="F508">
            <v>6</v>
          </cell>
          <cell r="G508">
            <v>110401</v>
          </cell>
          <cell r="K508">
            <v>0</v>
          </cell>
          <cell r="M508" t="str">
            <v>DEL</v>
          </cell>
          <cell r="N508" t="str">
            <v>Resource</v>
          </cell>
          <cell r="Q508" t="str">
            <v>yes</v>
          </cell>
          <cell r="X508" t="str">
            <v xml:space="preserve"> </v>
          </cell>
          <cell r="Y508" t="str">
            <v xml:space="preserve"> </v>
          </cell>
          <cell r="Z508" t="str">
            <v xml:space="preserve"> </v>
          </cell>
        </row>
        <row r="509">
          <cell r="B509" t="str">
            <v>B95</v>
          </cell>
          <cell r="F509">
            <v>12</v>
          </cell>
          <cell r="G509">
            <v>110101</v>
          </cell>
          <cell r="K509">
            <v>0</v>
          </cell>
          <cell r="M509" t="str">
            <v>DEL</v>
          </cell>
          <cell r="N509" t="str">
            <v>Resource</v>
          </cell>
          <cell r="Q509" t="str">
            <v>no</v>
          </cell>
          <cell r="X509" t="str">
            <v xml:space="preserve"> </v>
          </cell>
          <cell r="Y509" t="str">
            <v xml:space="preserve"> </v>
          </cell>
          <cell r="Z509" t="str">
            <v xml:space="preserve"> </v>
          </cell>
        </row>
        <row r="510">
          <cell r="B510" t="str">
            <v>B95</v>
          </cell>
          <cell r="F510">
            <v>12</v>
          </cell>
          <cell r="G510">
            <v>110101</v>
          </cell>
          <cell r="K510">
            <v>0</v>
          </cell>
          <cell r="M510" t="str">
            <v>DEL</v>
          </cell>
          <cell r="N510" t="str">
            <v>Resource</v>
          </cell>
          <cell r="Q510" t="str">
            <v>no</v>
          </cell>
        </row>
        <row r="511">
          <cell r="B511" t="str">
            <v>B35</v>
          </cell>
          <cell r="F511">
            <v>6</v>
          </cell>
          <cell r="G511">
            <v>110401</v>
          </cell>
          <cell r="K511">
            <v>0</v>
          </cell>
          <cell r="M511" t="str">
            <v>DEL</v>
          </cell>
          <cell r="N511" t="str">
            <v>Resource</v>
          </cell>
          <cell r="Q511" t="str">
            <v>yes</v>
          </cell>
          <cell r="X511" t="str">
            <v xml:space="preserve"> </v>
          </cell>
          <cell r="Y511" t="str">
            <v xml:space="preserve"> </v>
          </cell>
          <cell r="Z511" t="str">
            <v xml:space="preserve"> </v>
          </cell>
        </row>
        <row r="512">
          <cell r="B512" t="str">
            <v>E15</v>
          </cell>
          <cell r="F512">
            <v>12</v>
          </cell>
          <cell r="G512">
            <v>110202</v>
          </cell>
          <cell r="K512" t="str">
            <v>PSS</v>
          </cell>
          <cell r="M512" t="str">
            <v>non-budget</v>
          </cell>
          <cell r="N512" t="str">
            <v>non-budget</v>
          </cell>
          <cell r="Q512" t="str">
            <v>no</v>
          </cell>
          <cell r="X512">
            <v>262349</v>
          </cell>
          <cell r="Y512" t="str">
            <v xml:space="preserve"> </v>
          </cell>
          <cell r="Z512" t="str">
            <v xml:space="preserve"> </v>
          </cell>
        </row>
        <row r="513">
          <cell r="B513" t="str">
            <v>B35</v>
          </cell>
          <cell r="F513">
            <v>6</v>
          </cell>
          <cell r="G513">
            <v>110401</v>
          </cell>
          <cell r="K513">
            <v>0</v>
          </cell>
          <cell r="M513" t="str">
            <v>DEL</v>
          </cell>
          <cell r="N513" t="str">
            <v>Resource</v>
          </cell>
          <cell r="Q513" t="str">
            <v>yes</v>
          </cell>
          <cell r="X513" t="str">
            <v xml:space="preserve"> </v>
          </cell>
          <cell r="Y513" t="str">
            <v xml:space="preserve"> </v>
          </cell>
          <cell r="Z513" t="str">
            <v xml:space="preserve"> </v>
          </cell>
        </row>
        <row r="514">
          <cell r="B514" t="str">
            <v>G20</v>
          </cell>
          <cell r="F514">
            <v>12</v>
          </cell>
          <cell r="G514">
            <v>110202</v>
          </cell>
          <cell r="K514" t="str">
            <v>PSS</v>
          </cell>
          <cell r="M514" t="str">
            <v>non-budget</v>
          </cell>
          <cell r="N514" t="str">
            <v>non-budget</v>
          </cell>
          <cell r="Q514" t="str">
            <v>no</v>
          </cell>
          <cell r="X514">
            <v>45089</v>
          </cell>
          <cell r="Y514" t="str">
            <v xml:space="preserve"> </v>
          </cell>
          <cell r="Z514" t="str">
            <v xml:space="preserve"> </v>
          </cell>
        </row>
        <row r="515">
          <cell r="B515" t="str">
            <v>B35</v>
          </cell>
          <cell r="F515">
            <v>6</v>
          </cell>
          <cell r="G515">
            <v>110401</v>
          </cell>
          <cell r="K515">
            <v>0</v>
          </cell>
          <cell r="M515" t="str">
            <v>DEL</v>
          </cell>
          <cell r="N515" t="str">
            <v>Resource</v>
          </cell>
          <cell r="Q515" t="str">
            <v>yes</v>
          </cell>
          <cell r="X515" t="str">
            <v xml:space="preserve"> </v>
          </cell>
          <cell r="Y515" t="str">
            <v xml:space="preserve"> </v>
          </cell>
          <cell r="Z515" t="str">
            <v xml:space="preserve"> </v>
          </cell>
        </row>
        <row r="516">
          <cell r="B516" t="str">
            <v>B35</v>
          </cell>
          <cell r="F516">
            <v>6</v>
          </cell>
          <cell r="G516">
            <v>110401</v>
          </cell>
          <cell r="K516">
            <v>0</v>
          </cell>
          <cell r="M516" t="str">
            <v>DEL</v>
          </cell>
          <cell r="N516" t="str">
            <v>Resource</v>
          </cell>
          <cell r="Q516" t="str">
            <v>yes</v>
          </cell>
          <cell r="X516" t="str">
            <v xml:space="preserve"> </v>
          </cell>
          <cell r="Y516" t="str">
            <v xml:space="preserve"> </v>
          </cell>
          <cell r="Z516" t="str">
            <v xml:space="preserve"> </v>
          </cell>
        </row>
        <row r="517">
          <cell r="B517" t="str">
            <v>B35</v>
          </cell>
          <cell r="F517">
            <v>6</v>
          </cell>
          <cell r="G517">
            <v>110401</v>
          </cell>
          <cell r="K517">
            <v>0</v>
          </cell>
          <cell r="M517" t="str">
            <v>DEL</v>
          </cell>
          <cell r="N517" t="str">
            <v>Resource</v>
          </cell>
          <cell r="Q517" t="str">
            <v>yes</v>
          </cell>
          <cell r="X517" t="str">
            <v xml:space="preserve"> </v>
          </cell>
          <cell r="Y517" t="str">
            <v xml:space="preserve"> </v>
          </cell>
          <cell r="Z517" t="str">
            <v xml:space="preserve"> </v>
          </cell>
        </row>
        <row r="518">
          <cell r="B518" t="str">
            <v>B95</v>
          </cell>
          <cell r="F518">
            <v>1</v>
          </cell>
          <cell r="G518">
            <v>110302</v>
          </cell>
          <cell r="K518">
            <v>0</v>
          </cell>
          <cell r="M518" t="str">
            <v>DEL</v>
          </cell>
          <cell r="N518" t="str">
            <v>Resource</v>
          </cell>
          <cell r="Q518" t="str">
            <v>no</v>
          </cell>
          <cell r="X518">
            <v>28</v>
          </cell>
          <cell r="Y518" t="str">
            <v xml:space="preserve"> </v>
          </cell>
          <cell r="Z518" t="str">
            <v xml:space="preserve"> </v>
          </cell>
        </row>
        <row r="519">
          <cell r="B519" t="str">
            <v>B35</v>
          </cell>
          <cell r="F519">
            <v>6</v>
          </cell>
          <cell r="G519">
            <v>110401</v>
          </cell>
          <cell r="K519">
            <v>0</v>
          </cell>
          <cell r="M519" t="str">
            <v>DEL</v>
          </cell>
          <cell r="N519" t="str">
            <v>Resource</v>
          </cell>
          <cell r="Q519" t="str">
            <v>yes</v>
          </cell>
          <cell r="X519" t="str">
            <v xml:space="preserve"> </v>
          </cell>
          <cell r="Y519" t="str">
            <v xml:space="preserve"> </v>
          </cell>
          <cell r="Z519" t="str">
            <v xml:space="preserve"> </v>
          </cell>
        </row>
        <row r="520">
          <cell r="B520" t="str">
            <v>B35</v>
          </cell>
          <cell r="F520">
            <v>6</v>
          </cell>
          <cell r="G520">
            <v>110401</v>
          </cell>
          <cell r="K520">
            <v>0</v>
          </cell>
          <cell r="M520" t="str">
            <v>DEL</v>
          </cell>
          <cell r="N520" t="str">
            <v>Resource</v>
          </cell>
          <cell r="Q520" t="str">
            <v>yes</v>
          </cell>
          <cell r="X520" t="str">
            <v xml:space="preserve"> </v>
          </cell>
          <cell r="Y520" t="str">
            <v xml:space="preserve"> </v>
          </cell>
          <cell r="Z520" t="str">
            <v xml:space="preserve"> </v>
          </cell>
        </row>
        <row r="521">
          <cell r="B521" t="str">
            <v>B35</v>
          </cell>
          <cell r="F521">
            <v>3</v>
          </cell>
          <cell r="G521">
            <v>110407</v>
          </cell>
          <cell r="K521">
            <v>0</v>
          </cell>
          <cell r="M521" t="str">
            <v>DEL</v>
          </cell>
          <cell r="N521" t="str">
            <v>Resource</v>
          </cell>
          <cell r="Q521" t="str">
            <v>yes</v>
          </cell>
          <cell r="X521" t="str">
            <v xml:space="preserve"> </v>
          </cell>
          <cell r="Y521" t="str">
            <v xml:space="preserve"> </v>
          </cell>
          <cell r="Z521" t="str">
            <v xml:space="preserve"> </v>
          </cell>
        </row>
        <row r="522">
          <cell r="B522" t="str">
            <v>B35</v>
          </cell>
          <cell r="F522">
            <v>12</v>
          </cell>
          <cell r="G522">
            <v>110305</v>
          </cell>
          <cell r="K522">
            <v>0</v>
          </cell>
          <cell r="M522" t="str">
            <v>DEL</v>
          </cell>
          <cell r="N522" t="str">
            <v>Resource</v>
          </cell>
          <cell r="Q522" t="str">
            <v>yes</v>
          </cell>
          <cell r="X522" t="str">
            <v xml:space="preserve"> </v>
          </cell>
          <cell r="Y522" t="str">
            <v xml:space="preserve"> </v>
          </cell>
          <cell r="Z522" t="str">
            <v xml:space="preserve"> </v>
          </cell>
        </row>
        <row r="523">
          <cell r="B523" t="str">
            <v>N10</v>
          </cell>
          <cell r="F523">
            <v>12</v>
          </cell>
          <cell r="G523">
            <v>110222</v>
          </cell>
          <cell r="K523" t="str">
            <v>PSS</v>
          </cell>
          <cell r="M523" t="str">
            <v>DEL</v>
          </cell>
          <cell r="N523" t="str">
            <v>Capital</v>
          </cell>
          <cell r="Q523" t="str">
            <v>no</v>
          </cell>
          <cell r="X523" t="str">
            <v xml:space="preserve"> </v>
          </cell>
          <cell r="Y523" t="str">
            <v xml:space="preserve"> </v>
          </cell>
          <cell r="Z523" t="str">
            <v xml:space="preserve"> </v>
          </cell>
        </row>
        <row r="524">
          <cell r="B524" t="str">
            <v>B35</v>
          </cell>
          <cell r="F524">
            <v>12</v>
          </cell>
          <cell r="G524">
            <v>110306</v>
          </cell>
          <cell r="K524">
            <v>0</v>
          </cell>
          <cell r="M524" t="str">
            <v>DEL</v>
          </cell>
          <cell r="N524" t="str">
            <v>Resource</v>
          </cell>
          <cell r="Q524" t="str">
            <v>yes</v>
          </cell>
          <cell r="X524">
            <v>2926</v>
          </cell>
          <cell r="Y524" t="str">
            <v xml:space="preserve"> </v>
          </cell>
          <cell r="Z524" t="str">
            <v xml:space="preserve"> </v>
          </cell>
        </row>
        <row r="525">
          <cell r="B525" t="str">
            <v>E15</v>
          </cell>
          <cell r="F525">
            <v>12</v>
          </cell>
          <cell r="G525">
            <v>110201</v>
          </cell>
          <cell r="K525" t="str">
            <v>PSS</v>
          </cell>
          <cell r="M525" t="str">
            <v>DEL</v>
          </cell>
          <cell r="N525" t="str">
            <v>Capital</v>
          </cell>
          <cell r="Q525" t="str">
            <v>no</v>
          </cell>
          <cell r="X525">
            <v>5000</v>
          </cell>
          <cell r="Y525" t="str">
            <v xml:space="preserve"> </v>
          </cell>
          <cell r="Z525" t="str">
            <v xml:space="preserve"> </v>
          </cell>
        </row>
        <row r="526">
          <cell r="B526" t="str">
            <v>B35</v>
          </cell>
          <cell r="F526">
            <v>12</v>
          </cell>
          <cell r="G526">
            <v>110306</v>
          </cell>
          <cell r="K526">
            <v>0</v>
          </cell>
          <cell r="M526" t="str">
            <v>DEL</v>
          </cell>
          <cell r="N526" t="str">
            <v>Resource</v>
          </cell>
          <cell r="Q526" t="str">
            <v>yes</v>
          </cell>
          <cell r="X526">
            <v>-8269</v>
          </cell>
          <cell r="Y526" t="str">
            <v xml:space="preserve"> </v>
          </cell>
          <cell r="Z526" t="str">
            <v xml:space="preserve"> </v>
          </cell>
        </row>
        <row r="527">
          <cell r="B527" t="str">
            <v>B35</v>
          </cell>
          <cell r="F527">
            <v>12</v>
          </cell>
          <cell r="G527">
            <v>110401</v>
          </cell>
          <cell r="K527">
            <v>0</v>
          </cell>
          <cell r="M527" t="str">
            <v>DEL</v>
          </cell>
          <cell r="N527" t="str">
            <v>Resource</v>
          </cell>
          <cell r="Q527" t="str">
            <v>yes</v>
          </cell>
          <cell r="X527">
            <v>4300</v>
          </cell>
          <cell r="Y527" t="str">
            <v xml:space="preserve"> </v>
          </cell>
          <cell r="Z527" t="str">
            <v xml:space="preserve"> </v>
          </cell>
        </row>
        <row r="528">
          <cell r="B528" t="str">
            <v>B35</v>
          </cell>
          <cell r="F528">
            <v>12</v>
          </cell>
          <cell r="G528">
            <v>110401</v>
          </cell>
          <cell r="K528">
            <v>0</v>
          </cell>
          <cell r="M528" t="str">
            <v>DEL</v>
          </cell>
          <cell r="N528" t="str">
            <v>Resource</v>
          </cell>
          <cell r="Q528" t="str">
            <v>yes</v>
          </cell>
          <cell r="X528">
            <v>2431</v>
          </cell>
          <cell r="Y528" t="str">
            <v xml:space="preserve"> </v>
          </cell>
          <cell r="Z528" t="str">
            <v xml:space="preserve"> </v>
          </cell>
        </row>
        <row r="529">
          <cell r="B529" t="str">
            <v>B35</v>
          </cell>
          <cell r="F529">
            <v>12</v>
          </cell>
          <cell r="G529">
            <v>110401</v>
          </cell>
          <cell r="K529">
            <v>0</v>
          </cell>
          <cell r="M529" t="str">
            <v>DEL</v>
          </cell>
          <cell r="N529" t="str">
            <v>Resource</v>
          </cell>
          <cell r="Q529" t="str">
            <v>yes</v>
          </cell>
          <cell r="X529">
            <v>-13844</v>
          </cell>
          <cell r="Y529" t="str">
            <v xml:space="preserve"> </v>
          </cell>
          <cell r="Z529" t="str">
            <v xml:space="preserve"> </v>
          </cell>
        </row>
        <row r="530">
          <cell r="B530" t="str">
            <v>B35</v>
          </cell>
          <cell r="F530">
            <v>12</v>
          </cell>
          <cell r="G530">
            <v>110401</v>
          </cell>
          <cell r="K530">
            <v>0</v>
          </cell>
          <cell r="M530" t="str">
            <v>DEL</v>
          </cell>
          <cell r="N530" t="str">
            <v>Resource</v>
          </cell>
          <cell r="Q530" t="str">
            <v>yes</v>
          </cell>
          <cell r="X530">
            <v>-25</v>
          </cell>
          <cell r="Y530" t="str">
            <v xml:space="preserve"> </v>
          </cell>
          <cell r="Z530" t="str">
            <v xml:space="preserve"> </v>
          </cell>
        </row>
        <row r="531">
          <cell r="B531" t="str">
            <v>B35</v>
          </cell>
          <cell r="F531">
            <v>12</v>
          </cell>
          <cell r="G531">
            <v>110401</v>
          </cell>
          <cell r="K531">
            <v>0</v>
          </cell>
          <cell r="M531" t="str">
            <v>DEL</v>
          </cell>
          <cell r="N531" t="str">
            <v>Resource</v>
          </cell>
          <cell r="Q531" t="str">
            <v>yes</v>
          </cell>
          <cell r="X531">
            <v>-15</v>
          </cell>
          <cell r="Y531" t="str">
            <v xml:space="preserve"> </v>
          </cell>
          <cell r="Z531" t="str">
            <v xml:space="preserve"> </v>
          </cell>
        </row>
        <row r="532">
          <cell r="B532" t="str">
            <v>B35</v>
          </cell>
          <cell r="F532">
            <v>12</v>
          </cell>
          <cell r="G532">
            <v>110401</v>
          </cell>
          <cell r="K532">
            <v>0</v>
          </cell>
          <cell r="M532" t="str">
            <v>DEL</v>
          </cell>
          <cell r="N532" t="str">
            <v>Resource</v>
          </cell>
          <cell r="Q532" t="str">
            <v>yes</v>
          </cell>
          <cell r="X532" t="str">
            <v xml:space="preserve"> </v>
          </cell>
          <cell r="Y532" t="str">
            <v xml:space="preserve"> </v>
          </cell>
          <cell r="Z532" t="str">
            <v xml:space="preserve"> </v>
          </cell>
        </row>
        <row r="533">
          <cell r="B533" t="str">
            <v>B35</v>
          </cell>
          <cell r="F533">
            <v>12</v>
          </cell>
          <cell r="G533">
            <v>110401</v>
          </cell>
          <cell r="K533">
            <v>0</v>
          </cell>
          <cell r="M533" t="str">
            <v>DEL</v>
          </cell>
          <cell r="N533" t="str">
            <v>Resource</v>
          </cell>
          <cell r="Q533" t="str">
            <v>yes</v>
          </cell>
          <cell r="X533" t="str">
            <v xml:space="preserve"> </v>
          </cell>
          <cell r="Y533" t="str">
            <v xml:space="preserve"> </v>
          </cell>
          <cell r="Z533" t="str">
            <v xml:space="preserve"> </v>
          </cell>
        </row>
        <row r="534">
          <cell r="B534" t="str">
            <v>B35</v>
          </cell>
          <cell r="F534">
            <v>12</v>
          </cell>
          <cell r="G534">
            <v>110401</v>
          </cell>
          <cell r="K534">
            <v>0</v>
          </cell>
          <cell r="M534" t="str">
            <v>DEL</v>
          </cell>
          <cell r="N534" t="str">
            <v>Resource</v>
          </cell>
          <cell r="Q534" t="str">
            <v>yes</v>
          </cell>
          <cell r="X534" t="str">
            <v xml:space="preserve"> </v>
          </cell>
          <cell r="Y534" t="str">
            <v xml:space="preserve"> </v>
          </cell>
          <cell r="Z534" t="str">
            <v xml:space="preserve"> </v>
          </cell>
        </row>
        <row r="535">
          <cell r="B535" t="str">
            <v>B35</v>
          </cell>
          <cell r="F535">
            <v>12</v>
          </cell>
          <cell r="G535">
            <v>110401</v>
          </cell>
          <cell r="K535">
            <v>0</v>
          </cell>
          <cell r="M535" t="str">
            <v>DEL</v>
          </cell>
          <cell r="N535" t="str">
            <v>Resource</v>
          </cell>
          <cell r="Q535" t="str">
            <v>yes</v>
          </cell>
          <cell r="X535" t="str">
            <v xml:space="preserve"> </v>
          </cell>
          <cell r="Y535" t="str">
            <v xml:space="preserve"> </v>
          </cell>
          <cell r="Z535" t="str">
            <v xml:space="preserve"> </v>
          </cell>
        </row>
        <row r="536">
          <cell r="B536" t="str">
            <v>B95</v>
          </cell>
          <cell r="F536">
            <v>2</v>
          </cell>
          <cell r="G536">
            <v>110302</v>
          </cell>
          <cell r="K536">
            <v>0</v>
          </cell>
          <cell r="M536" t="str">
            <v>DEL</v>
          </cell>
          <cell r="N536" t="str">
            <v>Resource</v>
          </cell>
          <cell r="Q536" t="str">
            <v>no</v>
          </cell>
          <cell r="X536" t="str">
            <v xml:space="preserve"> </v>
          </cell>
          <cell r="Y536">
            <v>28</v>
          </cell>
          <cell r="Z536">
            <v>28</v>
          </cell>
        </row>
        <row r="537">
          <cell r="B537" t="str">
            <v>B95</v>
          </cell>
          <cell r="F537">
            <v>1</v>
          </cell>
          <cell r="G537">
            <v>110306</v>
          </cell>
          <cell r="K537">
            <v>0</v>
          </cell>
          <cell r="M537" t="str">
            <v>DEL</v>
          </cell>
          <cell r="N537" t="str">
            <v>Resource</v>
          </cell>
          <cell r="Q537" t="str">
            <v>no</v>
          </cell>
          <cell r="X537" t="str">
            <v xml:space="preserve"> </v>
          </cell>
          <cell r="Y537" t="str">
            <v xml:space="preserve"> </v>
          </cell>
          <cell r="Z537" t="str">
            <v xml:space="preserve"> </v>
          </cell>
        </row>
        <row r="538">
          <cell r="B538" t="str">
            <v>B95</v>
          </cell>
          <cell r="F538">
            <v>9</v>
          </cell>
          <cell r="G538">
            <v>110101</v>
          </cell>
          <cell r="K538">
            <v>0</v>
          </cell>
          <cell r="M538" t="str">
            <v>DEL</v>
          </cell>
          <cell r="N538" t="str">
            <v>Resource</v>
          </cell>
          <cell r="Q538" t="str">
            <v>no</v>
          </cell>
          <cell r="X538" t="str">
            <v xml:space="preserve"> </v>
          </cell>
          <cell r="Y538" t="str">
            <v xml:space="preserve"> </v>
          </cell>
          <cell r="Z538" t="str">
            <v xml:space="preserve"> </v>
          </cell>
        </row>
        <row r="539">
          <cell r="B539" t="str">
            <v>B95</v>
          </cell>
          <cell r="F539">
            <v>9</v>
          </cell>
          <cell r="G539">
            <v>110201</v>
          </cell>
          <cell r="K539" t="str">
            <v>PSS</v>
          </cell>
          <cell r="M539" t="str">
            <v>DEL</v>
          </cell>
          <cell r="N539" t="str">
            <v>Resource</v>
          </cell>
          <cell r="Q539" t="str">
            <v>no</v>
          </cell>
          <cell r="X539" t="str">
            <v xml:space="preserve"> </v>
          </cell>
          <cell r="Y539" t="str">
            <v xml:space="preserve"> </v>
          </cell>
          <cell r="Z539" t="str">
            <v xml:space="preserve"> </v>
          </cell>
        </row>
        <row r="540">
          <cell r="B540" t="str">
            <v>B95</v>
          </cell>
          <cell r="F540">
            <v>9</v>
          </cell>
          <cell r="G540">
            <v>110306</v>
          </cell>
          <cell r="K540">
            <v>0</v>
          </cell>
          <cell r="M540" t="str">
            <v>DEL</v>
          </cell>
          <cell r="N540" t="str">
            <v>Resource</v>
          </cell>
          <cell r="Q540" t="str">
            <v>no</v>
          </cell>
          <cell r="X540" t="str">
            <v xml:space="preserve"> </v>
          </cell>
          <cell r="Y540" t="str">
            <v xml:space="preserve"> </v>
          </cell>
          <cell r="Z540" t="str">
            <v xml:space="preserve"> </v>
          </cell>
        </row>
        <row r="541">
          <cell r="B541" t="str">
            <v>B95</v>
          </cell>
          <cell r="F541">
            <v>1</v>
          </cell>
          <cell r="G541">
            <v>110401</v>
          </cell>
          <cell r="K541">
            <v>0</v>
          </cell>
          <cell r="M541" t="str">
            <v>DEL</v>
          </cell>
          <cell r="N541" t="str">
            <v>Resource</v>
          </cell>
          <cell r="Q541" t="str">
            <v>no</v>
          </cell>
          <cell r="X541" t="str">
            <v xml:space="preserve"> </v>
          </cell>
          <cell r="Y541" t="str">
            <v xml:space="preserve"> </v>
          </cell>
          <cell r="Z541" t="str">
            <v xml:space="preserve"> </v>
          </cell>
        </row>
        <row r="542">
          <cell r="B542" t="str">
            <v>B95</v>
          </cell>
          <cell r="F542">
            <v>1</v>
          </cell>
          <cell r="G542">
            <v>110401</v>
          </cell>
          <cell r="K542">
            <v>0</v>
          </cell>
          <cell r="M542" t="str">
            <v>DEL</v>
          </cell>
          <cell r="N542" t="str">
            <v>Resource</v>
          </cell>
          <cell r="Q542" t="str">
            <v>no</v>
          </cell>
          <cell r="X542" t="str">
            <v xml:space="preserve"> </v>
          </cell>
          <cell r="Y542" t="str">
            <v xml:space="preserve"> </v>
          </cell>
          <cell r="Z542" t="str">
            <v xml:space="preserve"> </v>
          </cell>
        </row>
        <row r="543">
          <cell r="B543" t="str">
            <v>B99</v>
          </cell>
          <cell r="F543">
            <v>1</v>
          </cell>
          <cell r="G543">
            <v>110101</v>
          </cell>
          <cell r="K543">
            <v>0</v>
          </cell>
          <cell r="M543" t="str">
            <v>DEL</v>
          </cell>
          <cell r="N543" t="str">
            <v>Resource</v>
          </cell>
          <cell r="Q543" t="str">
            <v>no</v>
          </cell>
          <cell r="X543">
            <v>1003526</v>
          </cell>
          <cell r="Y543" t="str">
            <v xml:space="preserve"> </v>
          </cell>
          <cell r="Z543" t="str">
            <v xml:space="preserve"> </v>
          </cell>
        </row>
        <row r="544">
          <cell r="B544" t="str">
            <v>B99</v>
          </cell>
          <cell r="F544">
            <v>1</v>
          </cell>
          <cell r="G544">
            <v>110101</v>
          </cell>
          <cell r="K544">
            <v>0</v>
          </cell>
          <cell r="M544" t="str">
            <v>DEL</v>
          </cell>
          <cell r="N544" t="str">
            <v>Resource</v>
          </cell>
          <cell r="Q544" t="str">
            <v>no</v>
          </cell>
          <cell r="X544">
            <v>-78958</v>
          </cell>
          <cell r="Y544" t="str">
            <v xml:space="preserve"> </v>
          </cell>
          <cell r="Z544" t="str">
            <v xml:space="preserve"> </v>
          </cell>
        </row>
        <row r="545">
          <cell r="B545" t="str">
            <v>B99</v>
          </cell>
          <cell r="F545">
            <v>1</v>
          </cell>
          <cell r="G545">
            <v>110101</v>
          </cell>
          <cell r="K545">
            <v>0</v>
          </cell>
          <cell r="M545" t="str">
            <v>DEL</v>
          </cell>
          <cell r="N545" t="str">
            <v>Resource</v>
          </cell>
          <cell r="Q545" t="str">
            <v>no</v>
          </cell>
          <cell r="X545">
            <v>11083</v>
          </cell>
          <cell r="Y545" t="str">
            <v xml:space="preserve"> </v>
          </cell>
          <cell r="Z545" t="str">
            <v xml:space="preserve"> </v>
          </cell>
        </row>
        <row r="546">
          <cell r="B546" t="str">
            <v>B99</v>
          </cell>
          <cell r="F546">
            <v>5</v>
          </cell>
          <cell r="G546">
            <v>110101</v>
          </cell>
          <cell r="K546">
            <v>0</v>
          </cell>
          <cell r="M546" t="str">
            <v>DEL</v>
          </cell>
          <cell r="N546" t="str">
            <v>Resource</v>
          </cell>
          <cell r="Q546" t="str">
            <v>no</v>
          </cell>
          <cell r="X546">
            <v>-4604</v>
          </cell>
          <cell r="Y546">
            <v>-4604</v>
          </cell>
          <cell r="Z546">
            <v>-4604</v>
          </cell>
        </row>
        <row r="547">
          <cell r="B547" t="str">
            <v>B99</v>
          </cell>
          <cell r="F547">
            <v>12</v>
          </cell>
          <cell r="G547">
            <v>110101</v>
          </cell>
          <cell r="K547">
            <v>0</v>
          </cell>
          <cell r="M547" t="str">
            <v>DEL</v>
          </cell>
          <cell r="N547" t="str">
            <v>Resource</v>
          </cell>
          <cell r="Q547" t="str">
            <v>no</v>
          </cell>
          <cell r="X547" t="str">
            <v xml:space="preserve"> </v>
          </cell>
          <cell r="Y547" t="str">
            <v xml:space="preserve"> </v>
          </cell>
          <cell r="Z547" t="str">
            <v xml:space="preserve"> </v>
          </cell>
        </row>
        <row r="548">
          <cell r="B548" t="str">
            <v>B99</v>
          </cell>
          <cell r="F548">
            <v>2</v>
          </cell>
          <cell r="G548">
            <v>110101</v>
          </cell>
          <cell r="K548">
            <v>0</v>
          </cell>
          <cell r="M548" t="str">
            <v>DEL</v>
          </cell>
          <cell r="N548" t="str">
            <v>Resource</v>
          </cell>
          <cell r="Q548" t="str">
            <v>no</v>
          </cell>
          <cell r="X548" t="str">
            <v xml:space="preserve"> </v>
          </cell>
          <cell r="Y548">
            <v>1003526</v>
          </cell>
          <cell r="Z548">
            <v>1003526</v>
          </cell>
        </row>
        <row r="549">
          <cell r="B549" t="str">
            <v>B99</v>
          </cell>
          <cell r="F549">
            <v>2</v>
          </cell>
          <cell r="G549">
            <v>110101</v>
          </cell>
          <cell r="K549">
            <v>0</v>
          </cell>
          <cell r="M549" t="str">
            <v>DEL</v>
          </cell>
          <cell r="N549" t="str">
            <v>Resource</v>
          </cell>
          <cell r="Q549" t="str">
            <v>no</v>
          </cell>
          <cell r="X549" t="str">
            <v xml:space="preserve"> </v>
          </cell>
          <cell r="Y549">
            <v>73000</v>
          </cell>
          <cell r="Z549">
            <v>156000</v>
          </cell>
        </row>
        <row r="550">
          <cell r="B550" t="str">
            <v>B99</v>
          </cell>
          <cell r="F550">
            <v>2</v>
          </cell>
          <cell r="G550">
            <v>110101</v>
          </cell>
          <cell r="K550">
            <v>0</v>
          </cell>
          <cell r="M550" t="str">
            <v>DEL</v>
          </cell>
          <cell r="N550" t="str">
            <v>Resource</v>
          </cell>
          <cell r="Q550" t="str">
            <v>no</v>
          </cell>
          <cell r="X550" t="str">
            <v xml:space="preserve"> </v>
          </cell>
          <cell r="Y550">
            <v>-78958</v>
          </cell>
          <cell r="Z550" t="str">
            <v xml:space="preserve"> </v>
          </cell>
        </row>
        <row r="551">
          <cell r="B551" t="str">
            <v>B99</v>
          </cell>
          <cell r="F551">
            <v>2</v>
          </cell>
          <cell r="G551">
            <v>110101</v>
          </cell>
          <cell r="K551">
            <v>0</v>
          </cell>
          <cell r="M551" t="str">
            <v>DEL</v>
          </cell>
          <cell r="N551" t="str">
            <v>Resource</v>
          </cell>
          <cell r="Q551" t="str">
            <v>no</v>
          </cell>
          <cell r="X551" t="str">
            <v xml:space="preserve"> </v>
          </cell>
          <cell r="Y551" t="str">
            <v xml:space="preserve"> </v>
          </cell>
          <cell r="Z551">
            <v>-78958</v>
          </cell>
        </row>
        <row r="552">
          <cell r="B552" t="str">
            <v>B35</v>
          </cell>
          <cell r="F552">
            <v>12</v>
          </cell>
          <cell r="G552">
            <v>110401</v>
          </cell>
          <cell r="K552">
            <v>0</v>
          </cell>
          <cell r="M552" t="str">
            <v>DEL</v>
          </cell>
          <cell r="N552" t="str">
            <v>Resource</v>
          </cell>
          <cell r="Q552" t="str">
            <v>yes</v>
          </cell>
          <cell r="X552" t="str">
            <v xml:space="preserve"> </v>
          </cell>
          <cell r="Y552" t="str">
            <v xml:space="preserve"> </v>
          </cell>
          <cell r="Z552" t="str">
            <v xml:space="preserve"> </v>
          </cell>
        </row>
        <row r="553">
          <cell r="B553" t="str">
            <v>B99</v>
          </cell>
          <cell r="F553">
            <v>2</v>
          </cell>
          <cell r="G553">
            <v>110101</v>
          </cell>
          <cell r="K553">
            <v>0</v>
          </cell>
          <cell r="M553" t="str">
            <v>DEL</v>
          </cell>
          <cell r="N553" t="str">
            <v>Resource</v>
          </cell>
          <cell r="Q553" t="str">
            <v>no</v>
          </cell>
          <cell r="X553" t="str">
            <v xml:space="preserve"> </v>
          </cell>
          <cell r="Y553">
            <v>11083</v>
          </cell>
          <cell r="Z553">
            <v>11083</v>
          </cell>
        </row>
        <row r="554">
          <cell r="B554" t="str">
            <v>B99</v>
          </cell>
          <cell r="F554">
            <v>12</v>
          </cell>
          <cell r="G554">
            <v>110101</v>
          </cell>
          <cell r="K554">
            <v>0</v>
          </cell>
          <cell r="M554" t="str">
            <v>DEL</v>
          </cell>
          <cell r="N554" t="str">
            <v>Resource</v>
          </cell>
          <cell r="Q554" t="str">
            <v>no</v>
          </cell>
          <cell r="X554" t="str">
            <v xml:space="preserve"> </v>
          </cell>
          <cell r="Y554" t="str">
            <v xml:space="preserve"> </v>
          </cell>
          <cell r="Z554" t="str">
            <v xml:space="preserve"> </v>
          </cell>
        </row>
        <row r="555">
          <cell r="B555" t="str">
            <v>B99</v>
          </cell>
          <cell r="F555">
            <v>1</v>
          </cell>
          <cell r="G555">
            <v>110201</v>
          </cell>
          <cell r="K555" t="str">
            <v>PSS</v>
          </cell>
          <cell r="M555" t="str">
            <v>DEL</v>
          </cell>
          <cell r="N555" t="str">
            <v>Resource</v>
          </cell>
          <cell r="Q555" t="str">
            <v>no</v>
          </cell>
          <cell r="X555">
            <v>17</v>
          </cell>
          <cell r="Y555" t="str">
            <v xml:space="preserve"> </v>
          </cell>
          <cell r="Z555" t="str">
            <v xml:space="preserve"> </v>
          </cell>
        </row>
        <row r="556">
          <cell r="B556" t="str">
            <v>B99</v>
          </cell>
          <cell r="F556">
            <v>2</v>
          </cell>
          <cell r="G556">
            <v>110201</v>
          </cell>
          <cell r="K556" t="str">
            <v>PSS</v>
          </cell>
          <cell r="M556" t="str">
            <v>DEL</v>
          </cell>
          <cell r="N556" t="str">
            <v>Resource</v>
          </cell>
          <cell r="Q556" t="str">
            <v>no</v>
          </cell>
          <cell r="X556" t="str">
            <v xml:space="preserve"> </v>
          </cell>
          <cell r="Y556">
            <v>17</v>
          </cell>
          <cell r="Z556">
            <v>17</v>
          </cell>
        </row>
        <row r="557">
          <cell r="B557" t="str">
            <v>B99</v>
          </cell>
          <cell r="F557">
            <v>1</v>
          </cell>
          <cell r="G557">
            <v>110301</v>
          </cell>
          <cell r="K557">
            <v>0</v>
          </cell>
          <cell r="M557" t="str">
            <v>DEL</v>
          </cell>
          <cell r="N557" t="str">
            <v>Resource</v>
          </cell>
          <cell r="Q557" t="str">
            <v>no</v>
          </cell>
          <cell r="X557">
            <v>-4604</v>
          </cell>
          <cell r="Y557" t="str">
            <v xml:space="preserve"> </v>
          </cell>
          <cell r="Z557" t="str">
            <v xml:space="preserve"> </v>
          </cell>
        </row>
        <row r="558">
          <cell r="B558" t="str">
            <v>B35</v>
          </cell>
          <cell r="F558">
            <v>12</v>
          </cell>
          <cell r="G558">
            <v>110401</v>
          </cell>
          <cell r="K558">
            <v>0</v>
          </cell>
          <cell r="M558" t="str">
            <v>DEL</v>
          </cell>
          <cell r="N558" t="str">
            <v>Resource</v>
          </cell>
          <cell r="Q558" t="str">
            <v>yes</v>
          </cell>
          <cell r="X558">
            <v>36000</v>
          </cell>
          <cell r="Y558" t="str">
            <v xml:space="preserve"> </v>
          </cell>
          <cell r="Z558" t="str">
            <v xml:space="preserve"> </v>
          </cell>
        </row>
        <row r="559">
          <cell r="B559" t="str">
            <v>B35</v>
          </cell>
          <cell r="F559">
            <v>12</v>
          </cell>
          <cell r="G559">
            <v>110407</v>
          </cell>
          <cell r="K559">
            <v>0</v>
          </cell>
          <cell r="M559" t="str">
            <v>DEL</v>
          </cell>
          <cell r="N559" t="str">
            <v>Resource</v>
          </cell>
          <cell r="Q559" t="str">
            <v>yes</v>
          </cell>
          <cell r="X559">
            <v>557</v>
          </cell>
          <cell r="Y559" t="str">
            <v xml:space="preserve"> </v>
          </cell>
          <cell r="Z559" t="str">
            <v xml:space="preserve"> </v>
          </cell>
        </row>
        <row r="560">
          <cell r="B560" t="str">
            <v>B35</v>
          </cell>
          <cell r="F560">
            <v>12</v>
          </cell>
          <cell r="G560">
            <v>110407</v>
          </cell>
          <cell r="K560">
            <v>0</v>
          </cell>
          <cell r="M560" t="str">
            <v>DEL</v>
          </cell>
          <cell r="N560" t="str">
            <v>Resource</v>
          </cell>
          <cell r="Q560" t="str">
            <v>yes</v>
          </cell>
          <cell r="X560">
            <v>-53</v>
          </cell>
          <cell r="Y560" t="str">
            <v xml:space="preserve"> </v>
          </cell>
          <cell r="Z560" t="str">
            <v xml:space="preserve"> </v>
          </cell>
        </row>
        <row r="561">
          <cell r="B561" t="str">
            <v>B35</v>
          </cell>
          <cell r="F561">
            <v>12</v>
          </cell>
          <cell r="G561">
            <v>110407</v>
          </cell>
          <cell r="K561">
            <v>0</v>
          </cell>
          <cell r="M561" t="str">
            <v>DEL</v>
          </cell>
          <cell r="N561" t="str">
            <v>Resource</v>
          </cell>
          <cell r="Q561" t="str">
            <v>yes</v>
          </cell>
          <cell r="X561">
            <v>442</v>
          </cell>
          <cell r="Y561" t="str">
            <v xml:space="preserve"> </v>
          </cell>
          <cell r="Z561" t="str">
            <v xml:space="preserve"> </v>
          </cell>
        </row>
        <row r="562">
          <cell r="B562" t="str">
            <v>B35</v>
          </cell>
          <cell r="F562">
            <v>12</v>
          </cell>
          <cell r="G562">
            <v>110407</v>
          </cell>
          <cell r="K562">
            <v>0</v>
          </cell>
          <cell r="M562" t="str">
            <v>DEL</v>
          </cell>
          <cell r="N562" t="str">
            <v>Resource</v>
          </cell>
          <cell r="Q562" t="str">
            <v>yes</v>
          </cell>
          <cell r="X562" t="str">
            <v xml:space="preserve"> </v>
          </cell>
          <cell r="Y562" t="str">
            <v xml:space="preserve"> </v>
          </cell>
          <cell r="Z562" t="str">
            <v xml:space="preserve"> </v>
          </cell>
        </row>
        <row r="563">
          <cell r="B563" t="str">
            <v>B35</v>
          </cell>
          <cell r="F563">
            <v>12</v>
          </cell>
          <cell r="G563">
            <v>110407</v>
          </cell>
          <cell r="K563">
            <v>0</v>
          </cell>
          <cell r="M563" t="str">
            <v>DEL</v>
          </cell>
          <cell r="N563" t="str">
            <v>Resource</v>
          </cell>
          <cell r="Q563" t="str">
            <v>yes</v>
          </cell>
          <cell r="X563" t="str">
            <v xml:space="preserve"> </v>
          </cell>
          <cell r="Y563" t="str">
            <v xml:space="preserve"> </v>
          </cell>
          <cell r="Z563" t="str">
            <v xml:space="preserve"> </v>
          </cell>
        </row>
        <row r="564">
          <cell r="B564" t="str">
            <v>B35</v>
          </cell>
          <cell r="F564">
            <v>12</v>
          </cell>
          <cell r="G564">
            <v>110407</v>
          </cell>
          <cell r="K564">
            <v>0</v>
          </cell>
          <cell r="M564" t="str">
            <v>DEL</v>
          </cell>
          <cell r="N564" t="str">
            <v>Resource</v>
          </cell>
          <cell r="Q564" t="str">
            <v>yes</v>
          </cell>
          <cell r="X564">
            <v>-442</v>
          </cell>
          <cell r="Y564" t="str">
            <v xml:space="preserve"> </v>
          </cell>
          <cell r="Z564" t="str">
            <v xml:space="preserve"> </v>
          </cell>
        </row>
        <row r="565">
          <cell r="B565" t="str">
            <v>B35</v>
          </cell>
          <cell r="F565">
            <v>12</v>
          </cell>
          <cell r="G565">
            <v>110503</v>
          </cell>
          <cell r="K565">
            <v>0</v>
          </cell>
          <cell r="M565" t="str">
            <v>DEL</v>
          </cell>
          <cell r="N565" t="str">
            <v>Resource</v>
          </cell>
          <cell r="Q565" t="str">
            <v>yes</v>
          </cell>
          <cell r="X565" t="str">
            <v xml:space="preserve"> </v>
          </cell>
          <cell r="Y565" t="str">
            <v xml:space="preserve"> </v>
          </cell>
          <cell r="Z565" t="str">
            <v xml:space="preserve"> </v>
          </cell>
        </row>
        <row r="566">
          <cell r="B566" t="str">
            <v>B35</v>
          </cell>
          <cell r="F566">
            <v>12</v>
          </cell>
          <cell r="G566">
            <v>110504</v>
          </cell>
          <cell r="K566">
            <v>0</v>
          </cell>
          <cell r="M566" t="str">
            <v>DEL</v>
          </cell>
          <cell r="N566" t="str">
            <v>Resource</v>
          </cell>
          <cell r="Q566" t="str">
            <v>yes</v>
          </cell>
          <cell r="X566" t="str">
            <v xml:space="preserve"> </v>
          </cell>
          <cell r="Y566" t="str">
            <v xml:space="preserve"> </v>
          </cell>
          <cell r="Z566" t="str">
            <v xml:space="preserve"> </v>
          </cell>
        </row>
        <row r="567">
          <cell r="B567" t="str">
            <v>B35</v>
          </cell>
          <cell r="F567">
            <v>1</v>
          </cell>
          <cell r="G567">
            <v>110401</v>
          </cell>
          <cell r="K567">
            <v>0</v>
          </cell>
          <cell r="M567" t="str">
            <v>DEL</v>
          </cell>
          <cell r="N567" t="str">
            <v>Resource</v>
          </cell>
          <cell r="Q567" t="str">
            <v>yes</v>
          </cell>
          <cell r="X567" t="str">
            <v xml:space="preserve"> </v>
          </cell>
          <cell r="Y567" t="str">
            <v xml:space="preserve"> </v>
          </cell>
          <cell r="Z567" t="str">
            <v xml:space="preserve"> </v>
          </cell>
        </row>
        <row r="568">
          <cell r="B568" t="str">
            <v>B35</v>
          </cell>
          <cell r="F568">
            <v>12</v>
          </cell>
          <cell r="G568">
            <v>110505</v>
          </cell>
          <cell r="K568">
            <v>0</v>
          </cell>
          <cell r="M568" t="str">
            <v>DEL</v>
          </cell>
          <cell r="N568" t="str">
            <v>Resource</v>
          </cell>
          <cell r="Q568" t="str">
            <v>yes</v>
          </cell>
          <cell r="X568" t="str">
            <v xml:space="preserve"> </v>
          </cell>
          <cell r="Y568" t="str">
            <v xml:space="preserve"> </v>
          </cell>
          <cell r="Z568" t="str">
            <v xml:space="preserve"> </v>
          </cell>
        </row>
        <row r="569">
          <cell r="B569" t="str">
            <v>B35</v>
          </cell>
          <cell r="F569">
            <v>12</v>
          </cell>
          <cell r="G569">
            <v>110505</v>
          </cell>
          <cell r="K569">
            <v>0</v>
          </cell>
          <cell r="M569" t="str">
            <v>DEL</v>
          </cell>
          <cell r="N569" t="str">
            <v>Resource</v>
          </cell>
          <cell r="Q569" t="str">
            <v>yes</v>
          </cell>
          <cell r="X569" t="str">
            <v xml:space="preserve"> </v>
          </cell>
          <cell r="Y569" t="str">
            <v xml:space="preserve"> </v>
          </cell>
          <cell r="Z569" t="str">
            <v xml:space="preserve"> </v>
          </cell>
        </row>
        <row r="570">
          <cell r="B570" t="str">
            <v>B35</v>
          </cell>
          <cell r="F570">
            <v>1</v>
          </cell>
          <cell r="G570">
            <v>110405</v>
          </cell>
          <cell r="K570">
            <v>0</v>
          </cell>
          <cell r="M570" t="str">
            <v>DEL</v>
          </cell>
          <cell r="N570" t="str">
            <v>Resource</v>
          </cell>
          <cell r="Q570" t="str">
            <v>yes</v>
          </cell>
          <cell r="X570" t="str">
            <v xml:space="preserve"> </v>
          </cell>
          <cell r="Y570" t="str">
            <v xml:space="preserve"> </v>
          </cell>
          <cell r="Z570" t="str">
            <v xml:space="preserve"> </v>
          </cell>
        </row>
        <row r="571">
          <cell r="B571" t="str">
            <v>B35</v>
          </cell>
          <cell r="F571">
            <v>1</v>
          </cell>
          <cell r="G571">
            <v>110405</v>
          </cell>
          <cell r="K571">
            <v>0</v>
          </cell>
          <cell r="M571" t="str">
            <v>DEL</v>
          </cell>
          <cell r="N571" t="str">
            <v>Resource</v>
          </cell>
          <cell r="Q571" t="str">
            <v>yes</v>
          </cell>
          <cell r="X571" t="str">
            <v xml:space="preserve"> </v>
          </cell>
          <cell r="Y571" t="str">
            <v xml:space="preserve"> </v>
          </cell>
          <cell r="Z571" t="str">
            <v xml:space="preserve"> </v>
          </cell>
        </row>
        <row r="572">
          <cell r="B572" t="str">
            <v>B35</v>
          </cell>
          <cell r="F572">
            <v>1</v>
          </cell>
          <cell r="G572">
            <v>110407</v>
          </cell>
          <cell r="K572">
            <v>0</v>
          </cell>
          <cell r="M572" t="str">
            <v>DEL</v>
          </cell>
          <cell r="N572" t="str">
            <v>Resource</v>
          </cell>
          <cell r="Q572" t="str">
            <v>yes</v>
          </cell>
          <cell r="X572">
            <v>6593</v>
          </cell>
          <cell r="Y572" t="str">
            <v xml:space="preserve"> </v>
          </cell>
          <cell r="Z572" t="str">
            <v xml:space="preserve"> </v>
          </cell>
        </row>
        <row r="573">
          <cell r="B573" t="str">
            <v>B35</v>
          </cell>
          <cell r="F573">
            <v>1</v>
          </cell>
          <cell r="G573">
            <v>110407</v>
          </cell>
          <cell r="K573">
            <v>0</v>
          </cell>
          <cell r="M573" t="str">
            <v>DEL</v>
          </cell>
          <cell r="N573" t="str">
            <v>Resource</v>
          </cell>
          <cell r="Q573" t="str">
            <v>yes</v>
          </cell>
          <cell r="X573">
            <v>-508</v>
          </cell>
          <cell r="Y573" t="str">
            <v xml:space="preserve"> </v>
          </cell>
          <cell r="Z573" t="str">
            <v xml:space="preserve"> </v>
          </cell>
        </row>
        <row r="574">
          <cell r="B574" t="str">
            <v>B35</v>
          </cell>
          <cell r="F574">
            <v>1</v>
          </cell>
          <cell r="G574">
            <v>110407</v>
          </cell>
          <cell r="K574">
            <v>0</v>
          </cell>
          <cell r="M574" t="str">
            <v>DEL</v>
          </cell>
          <cell r="N574" t="str">
            <v>Resource</v>
          </cell>
          <cell r="Q574" t="str">
            <v>yes</v>
          </cell>
          <cell r="X574" t="str">
            <v xml:space="preserve"> </v>
          </cell>
          <cell r="Y574" t="str">
            <v xml:space="preserve"> </v>
          </cell>
          <cell r="Z574" t="str">
            <v xml:space="preserve"> </v>
          </cell>
        </row>
        <row r="575">
          <cell r="B575" t="str">
            <v>B35</v>
          </cell>
          <cell r="F575">
            <v>6</v>
          </cell>
          <cell r="G575">
            <v>110407</v>
          </cell>
          <cell r="K575">
            <v>0</v>
          </cell>
          <cell r="M575" t="str">
            <v>DEL</v>
          </cell>
          <cell r="N575" t="str">
            <v>Resource</v>
          </cell>
          <cell r="Q575" t="str">
            <v>yes</v>
          </cell>
          <cell r="X575">
            <v>-1777</v>
          </cell>
          <cell r="Y575">
            <v>-2329</v>
          </cell>
          <cell r="Z575">
            <v>-2901</v>
          </cell>
        </row>
        <row r="576">
          <cell r="B576" t="str">
            <v>B35</v>
          </cell>
          <cell r="F576">
            <v>12</v>
          </cell>
          <cell r="G576">
            <v>110506</v>
          </cell>
          <cell r="K576">
            <v>0</v>
          </cell>
          <cell r="M576" t="str">
            <v>DEL</v>
          </cell>
          <cell r="N576" t="str">
            <v>Resource</v>
          </cell>
          <cell r="Q576" t="str">
            <v>yes</v>
          </cell>
          <cell r="X576" t="str">
            <v xml:space="preserve"> </v>
          </cell>
          <cell r="Y576" t="str">
            <v xml:space="preserve"> </v>
          </cell>
          <cell r="Z576" t="str">
            <v xml:space="preserve"> </v>
          </cell>
        </row>
        <row r="577">
          <cell r="B577" t="str">
            <v>B35</v>
          </cell>
          <cell r="F577">
            <v>12</v>
          </cell>
          <cell r="G577">
            <v>110506</v>
          </cell>
          <cell r="K577">
            <v>0</v>
          </cell>
          <cell r="M577" t="str">
            <v>DEL</v>
          </cell>
          <cell r="N577" t="str">
            <v>Resource</v>
          </cell>
          <cell r="Q577" t="str">
            <v>yes</v>
          </cell>
          <cell r="X577" t="str">
            <v xml:space="preserve"> </v>
          </cell>
          <cell r="Y577" t="str">
            <v xml:space="preserve"> </v>
          </cell>
          <cell r="Z577" t="str">
            <v xml:space="preserve"> </v>
          </cell>
        </row>
        <row r="578">
          <cell r="B578" t="str">
            <v>B35</v>
          </cell>
          <cell r="F578">
            <v>2</v>
          </cell>
          <cell r="G578">
            <v>110407</v>
          </cell>
          <cell r="K578">
            <v>0</v>
          </cell>
          <cell r="M578" t="str">
            <v>DEL</v>
          </cell>
          <cell r="N578" t="str">
            <v>Resource</v>
          </cell>
          <cell r="Q578" t="str">
            <v>yes</v>
          </cell>
          <cell r="X578" t="str">
            <v xml:space="preserve"> </v>
          </cell>
          <cell r="Y578" t="str">
            <v xml:space="preserve"> </v>
          </cell>
          <cell r="Z578" t="str">
            <v xml:space="preserve"> </v>
          </cell>
        </row>
        <row r="579">
          <cell r="B579" t="str">
            <v>B35</v>
          </cell>
          <cell r="F579">
            <v>4</v>
          </cell>
          <cell r="G579">
            <v>110407</v>
          </cell>
          <cell r="K579">
            <v>0</v>
          </cell>
          <cell r="M579" t="str">
            <v>DEL</v>
          </cell>
          <cell r="N579" t="str">
            <v>Resource</v>
          </cell>
          <cell r="Q579" t="str">
            <v>yes</v>
          </cell>
          <cell r="X579" t="str">
            <v xml:space="preserve"> </v>
          </cell>
          <cell r="Y579" t="str">
            <v xml:space="preserve"> </v>
          </cell>
          <cell r="Z579" t="str">
            <v xml:space="preserve"> </v>
          </cell>
        </row>
        <row r="580">
          <cell r="B580" t="str">
            <v>B35</v>
          </cell>
          <cell r="F580">
            <v>3</v>
          </cell>
          <cell r="G580">
            <v>110407</v>
          </cell>
          <cell r="K580">
            <v>0</v>
          </cell>
          <cell r="M580" t="str">
            <v>DEL</v>
          </cell>
          <cell r="N580" t="str">
            <v>Resource</v>
          </cell>
          <cell r="Q580" t="str">
            <v>yes</v>
          </cell>
          <cell r="X580" t="str">
            <v xml:space="preserve"> </v>
          </cell>
          <cell r="Y580" t="str">
            <v xml:space="preserve"> </v>
          </cell>
          <cell r="Z580" t="str">
            <v xml:space="preserve"> </v>
          </cell>
        </row>
        <row r="581">
          <cell r="B581" t="str">
            <v>B35</v>
          </cell>
          <cell r="F581">
            <v>2</v>
          </cell>
          <cell r="G581">
            <v>110407</v>
          </cell>
          <cell r="K581">
            <v>0</v>
          </cell>
          <cell r="M581" t="str">
            <v>DEL</v>
          </cell>
          <cell r="N581" t="str">
            <v>Resource</v>
          </cell>
          <cell r="Q581" t="str">
            <v>yes</v>
          </cell>
          <cell r="X581" t="str">
            <v xml:space="preserve"> </v>
          </cell>
          <cell r="Y581">
            <v>6693</v>
          </cell>
          <cell r="Z581">
            <v>6693</v>
          </cell>
        </row>
        <row r="582">
          <cell r="B582" t="str">
            <v>B35</v>
          </cell>
          <cell r="F582">
            <v>2</v>
          </cell>
          <cell r="G582">
            <v>110407</v>
          </cell>
          <cell r="K582">
            <v>0</v>
          </cell>
          <cell r="M582" t="str">
            <v>DEL</v>
          </cell>
          <cell r="N582" t="str">
            <v>Resource</v>
          </cell>
          <cell r="Q582" t="str">
            <v>yes</v>
          </cell>
          <cell r="X582" t="str">
            <v xml:space="preserve"> </v>
          </cell>
          <cell r="Y582">
            <v>-508</v>
          </cell>
          <cell r="Z582">
            <v>-508</v>
          </cell>
        </row>
        <row r="583">
          <cell r="B583" t="str">
            <v>B35</v>
          </cell>
          <cell r="F583">
            <v>6</v>
          </cell>
          <cell r="G583">
            <v>110407</v>
          </cell>
          <cell r="K583">
            <v>0</v>
          </cell>
          <cell r="M583" t="str">
            <v>DEL</v>
          </cell>
          <cell r="N583" t="str">
            <v>Resource</v>
          </cell>
          <cell r="Q583" t="str">
            <v>yes</v>
          </cell>
          <cell r="X583" t="str">
            <v xml:space="preserve"> </v>
          </cell>
          <cell r="Y583" t="str">
            <v xml:space="preserve"> </v>
          </cell>
          <cell r="Z583" t="str">
            <v xml:space="preserve"> </v>
          </cell>
        </row>
        <row r="584">
          <cell r="B584" t="str">
            <v>B35</v>
          </cell>
          <cell r="F584">
            <v>6</v>
          </cell>
          <cell r="G584">
            <v>110407</v>
          </cell>
          <cell r="K584">
            <v>0</v>
          </cell>
          <cell r="M584" t="str">
            <v>DEL</v>
          </cell>
          <cell r="N584" t="str">
            <v>Resource</v>
          </cell>
          <cell r="Q584" t="str">
            <v>yes</v>
          </cell>
          <cell r="X584" t="str">
            <v xml:space="preserve"> </v>
          </cell>
          <cell r="Y584" t="str">
            <v xml:space="preserve"> </v>
          </cell>
          <cell r="Z584" t="str">
            <v xml:space="preserve"> </v>
          </cell>
        </row>
        <row r="585">
          <cell r="B585" t="str">
            <v>D20</v>
          </cell>
          <cell r="F585">
            <v>1</v>
          </cell>
          <cell r="G585">
            <v>110301</v>
          </cell>
          <cell r="K585">
            <v>0</v>
          </cell>
          <cell r="M585" t="str">
            <v>DEL</v>
          </cell>
          <cell r="N585" t="str">
            <v>Resource</v>
          </cell>
          <cell r="Q585" t="str">
            <v>yes</v>
          </cell>
          <cell r="X585">
            <v>-25000</v>
          </cell>
          <cell r="Y585" t="str">
            <v xml:space="preserve"> </v>
          </cell>
          <cell r="Z585" t="str">
            <v xml:space="preserve"> </v>
          </cell>
        </row>
        <row r="586">
          <cell r="B586" t="str">
            <v>D20</v>
          </cell>
          <cell r="F586">
            <v>1</v>
          </cell>
          <cell r="G586">
            <v>110301</v>
          </cell>
          <cell r="K586">
            <v>0</v>
          </cell>
          <cell r="M586" t="str">
            <v>DEL</v>
          </cell>
          <cell r="N586" t="str">
            <v>Resource</v>
          </cell>
          <cell r="Q586" t="str">
            <v>yes</v>
          </cell>
          <cell r="X586">
            <v>377000</v>
          </cell>
          <cell r="Y586" t="str">
            <v xml:space="preserve"> </v>
          </cell>
          <cell r="Z586" t="str">
            <v xml:space="preserve"> </v>
          </cell>
        </row>
        <row r="587">
          <cell r="B587" t="str">
            <v>B99</v>
          </cell>
          <cell r="F587">
            <v>1</v>
          </cell>
          <cell r="G587">
            <v>110302</v>
          </cell>
          <cell r="K587">
            <v>0</v>
          </cell>
          <cell r="M587" t="str">
            <v>DEL</v>
          </cell>
          <cell r="N587" t="str">
            <v>Resource</v>
          </cell>
          <cell r="Q587" t="str">
            <v>no</v>
          </cell>
          <cell r="X587">
            <v>3273</v>
          </cell>
          <cell r="Y587" t="str">
            <v xml:space="preserve"> </v>
          </cell>
          <cell r="Z587" t="str">
            <v xml:space="preserve"> </v>
          </cell>
        </row>
        <row r="588">
          <cell r="B588" t="str">
            <v>B99</v>
          </cell>
          <cell r="F588">
            <v>2</v>
          </cell>
          <cell r="G588">
            <v>110302</v>
          </cell>
          <cell r="K588">
            <v>0</v>
          </cell>
          <cell r="M588" t="str">
            <v>DEL</v>
          </cell>
          <cell r="N588" t="str">
            <v>Resource</v>
          </cell>
          <cell r="Q588" t="str">
            <v>no</v>
          </cell>
          <cell r="X588" t="str">
            <v xml:space="preserve"> </v>
          </cell>
          <cell r="Y588">
            <v>3273</v>
          </cell>
          <cell r="Z588">
            <v>3273</v>
          </cell>
        </row>
        <row r="589">
          <cell r="B589" t="str">
            <v>B99</v>
          </cell>
          <cell r="F589">
            <v>1</v>
          </cell>
          <cell r="G589">
            <v>110306</v>
          </cell>
          <cell r="K589">
            <v>0</v>
          </cell>
          <cell r="M589" t="str">
            <v>DEL</v>
          </cell>
          <cell r="N589" t="str">
            <v>Resource</v>
          </cell>
          <cell r="Q589" t="str">
            <v>no</v>
          </cell>
          <cell r="X589">
            <v>7487</v>
          </cell>
          <cell r="Y589" t="str">
            <v xml:space="preserve"> </v>
          </cell>
          <cell r="Z589" t="str">
            <v xml:space="preserve"> </v>
          </cell>
        </row>
        <row r="590">
          <cell r="B590" t="str">
            <v>B35</v>
          </cell>
          <cell r="F590">
            <v>6</v>
          </cell>
          <cell r="G590">
            <v>110407</v>
          </cell>
          <cell r="K590">
            <v>0</v>
          </cell>
          <cell r="M590" t="str">
            <v>DEL</v>
          </cell>
          <cell r="N590" t="str">
            <v>Resource</v>
          </cell>
          <cell r="Q590" t="str">
            <v>yes</v>
          </cell>
          <cell r="X590" t="str">
            <v xml:space="preserve"> </v>
          </cell>
          <cell r="Y590" t="str">
            <v xml:space="preserve"> </v>
          </cell>
          <cell r="Z590" t="str">
            <v xml:space="preserve"> </v>
          </cell>
        </row>
        <row r="591">
          <cell r="B591" t="str">
            <v>B35</v>
          </cell>
          <cell r="F591">
            <v>6</v>
          </cell>
          <cell r="G591">
            <v>110407</v>
          </cell>
          <cell r="K591">
            <v>0</v>
          </cell>
          <cell r="M591" t="str">
            <v>DEL</v>
          </cell>
          <cell r="N591" t="str">
            <v>Resource</v>
          </cell>
          <cell r="Q591" t="str">
            <v>yes</v>
          </cell>
          <cell r="X591" t="str">
            <v xml:space="preserve"> </v>
          </cell>
          <cell r="Y591" t="str">
            <v xml:space="preserve"> </v>
          </cell>
          <cell r="Z591" t="str">
            <v xml:space="preserve"> </v>
          </cell>
        </row>
        <row r="592">
          <cell r="B592" t="str">
            <v>B99</v>
          </cell>
          <cell r="F592">
            <v>6</v>
          </cell>
          <cell r="G592">
            <v>110306</v>
          </cell>
          <cell r="K592">
            <v>0</v>
          </cell>
          <cell r="M592" t="str">
            <v>DEL</v>
          </cell>
          <cell r="N592" t="str">
            <v>Resource</v>
          </cell>
          <cell r="Q592" t="str">
            <v>no</v>
          </cell>
          <cell r="X592">
            <v>3173</v>
          </cell>
          <cell r="Y592" t="str">
            <v xml:space="preserve"> </v>
          </cell>
          <cell r="Z592" t="str">
            <v xml:space="preserve"> </v>
          </cell>
        </row>
        <row r="593">
          <cell r="B593" t="str">
            <v>B99</v>
          </cell>
          <cell r="F593">
            <v>2</v>
          </cell>
          <cell r="G593">
            <v>110306</v>
          </cell>
          <cell r="K593">
            <v>0</v>
          </cell>
          <cell r="M593" t="str">
            <v>DEL</v>
          </cell>
          <cell r="N593" t="str">
            <v>Resource</v>
          </cell>
          <cell r="Q593" t="str">
            <v>no</v>
          </cell>
          <cell r="X593" t="str">
            <v xml:space="preserve"> </v>
          </cell>
          <cell r="Y593">
            <v>7487</v>
          </cell>
          <cell r="Z593">
            <v>7487</v>
          </cell>
        </row>
        <row r="594">
          <cell r="B594" t="str">
            <v>B35</v>
          </cell>
          <cell r="F594">
            <v>6</v>
          </cell>
          <cell r="G594">
            <v>110407</v>
          </cell>
          <cell r="K594">
            <v>0</v>
          </cell>
          <cell r="M594" t="str">
            <v>DEL</v>
          </cell>
          <cell r="N594" t="str">
            <v>Resource</v>
          </cell>
          <cell r="Q594" t="str">
            <v>yes</v>
          </cell>
          <cell r="X594" t="str">
            <v xml:space="preserve"> </v>
          </cell>
          <cell r="Y594" t="str">
            <v xml:space="preserve"> </v>
          </cell>
          <cell r="Z594" t="str">
            <v xml:space="preserve"> </v>
          </cell>
        </row>
        <row r="595">
          <cell r="B595" t="str">
            <v>B99</v>
          </cell>
          <cell r="F595">
            <v>9</v>
          </cell>
          <cell r="G595">
            <v>110101</v>
          </cell>
          <cell r="K595">
            <v>0</v>
          </cell>
          <cell r="M595" t="str">
            <v>DEL</v>
          </cell>
          <cell r="N595" t="str">
            <v>Resource</v>
          </cell>
          <cell r="Q595" t="str">
            <v>no</v>
          </cell>
          <cell r="X595" t="str">
            <v xml:space="preserve"> </v>
          </cell>
          <cell r="Y595" t="str">
            <v xml:space="preserve"> </v>
          </cell>
          <cell r="Z595" t="str">
            <v xml:space="preserve"> </v>
          </cell>
        </row>
        <row r="596">
          <cell r="B596" t="str">
            <v>B99</v>
          </cell>
          <cell r="F596">
            <v>9</v>
          </cell>
          <cell r="G596">
            <v>110201</v>
          </cell>
          <cell r="K596" t="str">
            <v>PSS</v>
          </cell>
          <cell r="M596" t="str">
            <v>DEL</v>
          </cell>
          <cell r="N596" t="str">
            <v>Resource</v>
          </cell>
          <cell r="Q596" t="str">
            <v>no</v>
          </cell>
          <cell r="X596" t="str">
            <v xml:space="preserve"> </v>
          </cell>
          <cell r="Y596" t="str">
            <v xml:space="preserve"> </v>
          </cell>
          <cell r="Z596" t="str">
            <v xml:space="preserve"> </v>
          </cell>
        </row>
        <row r="597">
          <cell r="B597" t="str">
            <v>B35</v>
          </cell>
          <cell r="F597">
            <v>6</v>
          </cell>
          <cell r="G597">
            <v>110407</v>
          </cell>
          <cell r="K597">
            <v>0</v>
          </cell>
          <cell r="M597" t="str">
            <v>DEL</v>
          </cell>
          <cell r="N597" t="str">
            <v>Resource</v>
          </cell>
          <cell r="Q597" t="str">
            <v>yes</v>
          </cell>
          <cell r="X597" t="str">
            <v xml:space="preserve"> </v>
          </cell>
          <cell r="Y597" t="str">
            <v xml:space="preserve"> </v>
          </cell>
          <cell r="Z597" t="str">
            <v xml:space="preserve"> </v>
          </cell>
        </row>
        <row r="598">
          <cell r="B598" t="str">
            <v>B99</v>
          </cell>
          <cell r="F598">
            <v>9</v>
          </cell>
          <cell r="G598">
            <v>110201</v>
          </cell>
          <cell r="K598" t="str">
            <v>PSS</v>
          </cell>
          <cell r="M598" t="str">
            <v>DEL</v>
          </cell>
          <cell r="N598" t="str">
            <v>Resource</v>
          </cell>
          <cell r="Q598" t="str">
            <v>no</v>
          </cell>
          <cell r="X598" t="str">
            <v xml:space="preserve"> </v>
          </cell>
          <cell r="Y598" t="str">
            <v xml:space="preserve"> </v>
          </cell>
          <cell r="Z598" t="str">
            <v xml:space="preserve"> </v>
          </cell>
        </row>
        <row r="599">
          <cell r="B599" t="str">
            <v>B99</v>
          </cell>
          <cell r="F599">
            <v>9</v>
          </cell>
          <cell r="G599">
            <v>110306</v>
          </cell>
          <cell r="K599">
            <v>0</v>
          </cell>
          <cell r="M599" t="str">
            <v>DEL</v>
          </cell>
          <cell r="N599" t="str">
            <v>Resource</v>
          </cell>
          <cell r="Q599" t="str">
            <v>no</v>
          </cell>
          <cell r="X599" t="str">
            <v xml:space="preserve"> </v>
          </cell>
          <cell r="Y599" t="str">
            <v xml:space="preserve"> </v>
          </cell>
          <cell r="Z599" t="str">
            <v xml:space="preserve"> </v>
          </cell>
        </row>
        <row r="600">
          <cell r="B600" t="str">
            <v>B99</v>
          </cell>
          <cell r="F600">
            <v>9</v>
          </cell>
          <cell r="G600">
            <v>110401</v>
          </cell>
          <cell r="K600">
            <v>0</v>
          </cell>
          <cell r="M600" t="str">
            <v>DEL</v>
          </cell>
          <cell r="N600" t="str">
            <v>Resource</v>
          </cell>
          <cell r="Q600" t="str">
            <v>no</v>
          </cell>
          <cell r="X600" t="str">
            <v xml:space="preserve"> </v>
          </cell>
          <cell r="Y600" t="str">
            <v xml:space="preserve"> </v>
          </cell>
          <cell r="Z600" t="str">
            <v xml:space="preserve"> </v>
          </cell>
        </row>
        <row r="601">
          <cell r="B601" t="str">
            <v>B35</v>
          </cell>
          <cell r="F601">
            <v>6</v>
          </cell>
          <cell r="G601">
            <v>110407</v>
          </cell>
          <cell r="K601">
            <v>0</v>
          </cell>
          <cell r="M601" t="str">
            <v>DEL</v>
          </cell>
          <cell r="N601" t="str">
            <v>Resource</v>
          </cell>
          <cell r="Q601" t="str">
            <v>yes</v>
          </cell>
          <cell r="X601" t="str">
            <v xml:space="preserve"> </v>
          </cell>
          <cell r="Y601" t="str">
            <v xml:space="preserve"> </v>
          </cell>
          <cell r="Z601" t="str">
            <v xml:space="preserve"> </v>
          </cell>
        </row>
        <row r="602">
          <cell r="B602" t="str">
            <v>B35</v>
          </cell>
          <cell r="F602">
            <v>3</v>
          </cell>
          <cell r="G602">
            <v>110407</v>
          </cell>
          <cell r="K602">
            <v>0</v>
          </cell>
          <cell r="M602" t="str">
            <v>DEL</v>
          </cell>
          <cell r="N602" t="str">
            <v>Resource</v>
          </cell>
          <cell r="Q602" t="str">
            <v>yes</v>
          </cell>
          <cell r="X602" t="str">
            <v xml:space="preserve"> </v>
          </cell>
          <cell r="Y602" t="str">
            <v xml:space="preserve"> </v>
          </cell>
          <cell r="Z602" t="str">
            <v xml:space="preserve"> </v>
          </cell>
        </row>
        <row r="603">
          <cell r="B603" t="str">
            <v>B99</v>
          </cell>
          <cell r="F603">
            <v>9</v>
          </cell>
          <cell r="G603">
            <v>110401</v>
          </cell>
          <cell r="K603">
            <v>0</v>
          </cell>
          <cell r="M603" t="str">
            <v>DEL</v>
          </cell>
          <cell r="N603" t="str">
            <v>Resource</v>
          </cell>
          <cell r="Q603" t="str">
            <v>no</v>
          </cell>
          <cell r="X603" t="str">
            <v xml:space="preserve"> </v>
          </cell>
          <cell r="Y603" t="str">
            <v xml:space="preserve"> </v>
          </cell>
          <cell r="Z603" t="str">
            <v xml:space="preserve"> </v>
          </cell>
        </row>
        <row r="604">
          <cell r="B604" t="str">
            <v>B35</v>
          </cell>
          <cell r="F604">
            <v>3</v>
          </cell>
          <cell r="G604">
            <v>110407</v>
          </cell>
          <cell r="K604">
            <v>0</v>
          </cell>
          <cell r="M604" t="str">
            <v>DEL</v>
          </cell>
          <cell r="N604" t="str">
            <v>Resource</v>
          </cell>
          <cell r="Q604" t="str">
            <v>yes</v>
          </cell>
          <cell r="X604" t="str">
            <v xml:space="preserve"> </v>
          </cell>
          <cell r="Y604" t="str">
            <v xml:space="preserve"> </v>
          </cell>
          <cell r="Z604" t="str">
            <v xml:space="preserve"> </v>
          </cell>
        </row>
        <row r="605">
          <cell r="B605" t="str">
            <v>B35</v>
          </cell>
          <cell r="F605">
            <v>3</v>
          </cell>
          <cell r="G605">
            <v>110101</v>
          </cell>
          <cell r="K605">
            <v>0</v>
          </cell>
          <cell r="M605" t="str">
            <v>non-budget</v>
          </cell>
          <cell r="N605" t="str">
            <v>non-budget</v>
          </cell>
          <cell r="Q605" t="str">
            <v>yes</v>
          </cell>
          <cell r="X605" t="str">
            <v xml:space="preserve"> </v>
          </cell>
          <cell r="Y605" t="str">
            <v xml:space="preserve"> </v>
          </cell>
          <cell r="Z605" t="str">
            <v xml:space="preserve"> </v>
          </cell>
        </row>
        <row r="606">
          <cell r="B606" t="str">
            <v>B35</v>
          </cell>
          <cell r="F606">
            <v>3</v>
          </cell>
          <cell r="G606">
            <v>110202</v>
          </cell>
          <cell r="K606" t="str">
            <v>PSS</v>
          </cell>
          <cell r="M606" t="str">
            <v>non-budget</v>
          </cell>
          <cell r="N606" t="str">
            <v>non-budget</v>
          </cell>
          <cell r="Q606" t="str">
            <v>yes</v>
          </cell>
          <cell r="X606" t="str">
            <v xml:space="preserve"> </v>
          </cell>
          <cell r="Y606" t="str">
            <v xml:space="preserve"> </v>
          </cell>
          <cell r="Z606" t="str">
            <v xml:space="preserve"> </v>
          </cell>
        </row>
        <row r="607">
          <cell r="B607" t="str">
            <v>B35</v>
          </cell>
          <cell r="F607">
            <v>3</v>
          </cell>
          <cell r="G607">
            <v>110202</v>
          </cell>
          <cell r="K607" t="str">
            <v>PSS</v>
          </cell>
          <cell r="M607" t="str">
            <v>non-budget</v>
          </cell>
          <cell r="N607" t="str">
            <v>non-budget</v>
          </cell>
          <cell r="Q607" t="str">
            <v>yes</v>
          </cell>
          <cell r="X607" t="str">
            <v xml:space="preserve"> </v>
          </cell>
          <cell r="Y607" t="str">
            <v xml:space="preserve"> </v>
          </cell>
          <cell r="Z607" t="str">
            <v xml:space="preserve"> </v>
          </cell>
        </row>
        <row r="608">
          <cell r="B608" t="str">
            <v>B99</v>
          </cell>
          <cell r="F608">
            <v>1</v>
          </cell>
          <cell r="G608">
            <v>110801</v>
          </cell>
          <cell r="K608">
            <v>0</v>
          </cell>
          <cell r="M608" t="str">
            <v>AME</v>
          </cell>
          <cell r="N608" t="str">
            <v>Resource</v>
          </cell>
          <cell r="Q608" t="str">
            <v>no</v>
          </cell>
          <cell r="X608" t="str">
            <v xml:space="preserve"> </v>
          </cell>
          <cell r="Y608" t="str">
            <v xml:space="preserve"> </v>
          </cell>
          <cell r="Z608" t="str">
            <v xml:space="preserve"> </v>
          </cell>
        </row>
        <row r="609">
          <cell r="B609" t="str">
            <v>B35</v>
          </cell>
          <cell r="F609">
            <v>1</v>
          </cell>
          <cell r="G609">
            <v>110408</v>
          </cell>
          <cell r="K609">
            <v>0</v>
          </cell>
          <cell r="M609" t="str">
            <v>DEL</v>
          </cell>
          <cell r="N609" t="str">
            <v>Resource</v>
          </cell>
          <cell r="Q609" t="str">
            <v>yes</v>
          </cell>
          <cell r="X609" t="str">
            <v xml:space="preserve"> </v>
          </cell>
          <cell r="Y609" t="str">
            <v xml:space="preserve"> </v>
          </cell>
          <cell r="Z609" t="str">
            <v xml:space="preserve"> </v>
          </cell>
        </row>
        <row r="610">
          <cell r="B610" t="str">
            <v>B35</v>
          </cell>
          <cell r="F610">
            <v>1</v>
          </cell>
          <cell r="G610">
            <v>110503</v>
          </cell>
          <cell r="K610">
            <v>0</v>
          </cell>
          <cell r="M610" t="str">
            <v>DEL</v>
          </cell>
          <cell r="N610" t="str">
            <v>Resource</v>
          </cell>
          <cell r="Q610" t="str">
            <v>yes</v>
          </cell>
          <cell r="X610">
            <v>913049</v>
          </cell>
          <cell r="Y610" t="str">
            <v xml:space="preserve"> </v>
          </cell>
          <cell r="Z610" t="str">
            <v xml:space="preserve"> </v>
          </cell>
        </row>
        <row r="611">
          <cell r="B611" t="str">
            <v>B35</v>
          </cell>
          <cell r="F611">
            <v>5</v>
          </cell>
          <cell r="G611">
            <v>110503</v>
          </cell>
          <cell r="K611">
            <v>0</v>
          </cell>
          <cell r="M611" t="str">
            <v>DEL</v>
          </cell>
          <cell r="N611" t="str">
            <v>Resource</v>
          </cell>
          <cell r="Q611" t="str">
            <v>yes</v>
          </cell>
          <cell r="X611">
            <v>228186</v>
          </cell>
          <cell r="Y611" t="str">
            <v xml:space="preserve"> </v>
          </cell>
          <cell r="Z611" t="str">
            <v xml:space="preserve"> </v>
          </cell>
        </row>
        <row r="612">
          <cell r="B612" t="str">
            <v>B35</v>
          </cell>
          <cell r="F612">
            <v>5</v>
          </cell>
          <cell r="G612">
            <v>110503</v>
          </cell>
          <cell r="K612">
            <v>0</v>
          </cell>
          <cell r="M612" t="str">
            <v>DEL</v>
          </cell>
          <cell r="N612" t="str">
            <v>Resource</v>
          </cell>
          <cell r="Q612" t="str">
            <v>yes</v>
          </cell>
          <cell r="X612">
            <v>-60000</v>
          </cell>
          <cell r="Y612" t="str">
            <v xml:space="preserve"> </v>
          </cell>
          <cell r="Z612" t="str">
            <v xml:space="preserve"> </v>
          </cell>
        </row>
        <row r="613">
          <cell r="B613" t="str">
            <v>B35</v>
          </cell>
          <cell r="F613">
            <v>5</v>
          </cell>
          <cell r="G613">
            <v>110503</v>
          </cell>
          <cell r="K613">
            <v>0</v>
          </cell>
          <cell r="M613" t="str">
            <v>DEL</v>
          </cell>
          <cell r="N613" t="str">
            <v>Resource</v>
          </cell>
          <cell r="Q613" t="str">
            <v>yes</v>
          </cell>
          <cell r="X613">
            <v>18065</v>
          </cell>
          <cell r="Y613" t="str">
            <v xml:space="preserve"> </v>
          </cell>
          <cell r="Z613" t="str">
            <v xml:space="preserve"> </v>
          </cell>
        </row>
        <row r="614">
          <cell r="B614" t="str">
            <v>B35</v>
          </cell>
          <cell r="F614">
            <v>6</v>
          </cell>
          <cell r="G614">
            <v>110503</v>
          </cell>
          <cell r="K614">
            <v>0</v>
          </cell>
          <cell r="M614" t="str">
            <v>DEL</v>
          </cell>
          <cell r="N614" t="str">
            <v>Resource</v>
          </cell>
          <cell r="Q614" t="str">
            <v>yes</v>
          </cell>
          <cell r="X614" t="str">
            <v xml:space="preserve"> </v>
          </cell>
          <cell r="Y614">
            <v>18065</v>
          </cell>
          <cell r="Z614">
            <v>18065</v>
          </cell>
        </row>
        <row r="615">
          <cell r="B615" t="str">
            <v>B35</v>
          </cell>
          <cell r="F615">
            <v>6</v>
          </cell>
          <cell r="G615">
            <v>110503</v>
          </cell>
          <cell r="K615">
            <v>0</v>
          </cell>
          <cell r="M615" t="str">
            <v>DEL</v>
          </cell>
          <cell r="N615" t="str">
            <v>Resource</v>
          </cell>
          <cell r="Q615" t="str">
            <v>yes</v>
          </cell>
          <cell r="X615" t="str">
            <v xml:space="preserve"> </v>
          </cell>
          <cell r="Y615">
            <v>268844</v>
          </cell>
          <cell r="Z615">
            <v>308844</v>
          </cell>
        </row>
        <row r="616">
          <cell r="B616" t="str">
            <v>B35</v>
          </cell>
          <cell r="F616">
            <v>4</v>
          </cell>
          <cell r="G616">
            <v>110503</v>
          </cell>
          <cell r="K616">
            <v>0</v>
          </cell>
          <cell r="M616" t="str">
            <v>DEL</v>
          </cell>
          <cell r="N616" t="str">
            <v>Resource</v>
          </cell>
          <cell r="Q616" t="str">
            <v>yes</v>
          </cell>
          <cell r="X616" t="str">
            <v xml:space="preserve"> </v>
          </cell>
          <cell r="Y616" t="str">
            <v xml:space="preserve"> </v>
          </cell>
          <cell r="Z616" t="str">
            <v xml:space="preserve"> </v>
          </cell>
        </row>
        <row r="617">
          <cell r="B617" t="str">
            <v>B35</v>
          </cell>
          <cell r="F617">
            <v>2</v>
          </cell>
          <cell r="G617">
            <v>110503</v>
          </cell>
          <cell r="K617">
            <v>0</v>
          </cell>
          <cell r="M617" t="str">
            <v>DEL</v>
          </cell>
          <cell r="N617" t="str">
            <v>Resource</v>
          </cell>
          <cell r="Q617" t="str">
            <v>yes</v>
          </cell>
          <cell r="X617" t="str">
            <v xml:space="preserve"> </v>
          </cell>
          <cell r="Y617">
            <v>911391</v>
          </cell>
          <cell r="Z617">
            <v>911391</v>
          </cell>
        </row>
        <row r="618">
          <cell r="B618" t="str">
            <v>B99</v>
          </cell>
          <cell r="F618">
            <v>4</v>
          </cell>
          <cell r="G618">
            <v>110801</v>
          </cell>
          <cell r="K618">
            <v>0</v>
          </cell>
          <cell r="M618" t="str">
            <v>AME</v>
          </cell>
          <cell r="N618" t="str">
            <v>Resource</v>
          </cell>
          <cell r="Q618" t="str">
            <v>no</v>
          </cell>
          <cell r="X618">
            <v>4510</v>
          </cell>
          <cell r="Y618" t="str">
            <v xml:space="preserve"> </v>
          </cell>
          <cell r="Z618" t="str">
            <v xml:space="preserve"> </v>
          </cell>
        </row>
        <row r="619">
          <cell r="B619" t="str">
            <v>B35</v>
          </cell>
          <cell r="F619">
            <v>6</v>
          </cell>
          <cell r="G619">
            <v>110503</v>
          </cell>
          <cell r="K619">
            <v>0</v>
          </cell>
          <cell r="M619" t="str">
            <v>DEL</v>
          </cell>
          <cell r="N619" t="str">
            <v>Resource</v>
          </cell>
          <cell r="Q619" t="str">
            <v>yes</v>
          </cell>
          <cell r="X619" t="str">
            <v xml:space="preserve"> </v>
          </cell>
          <cell r="Y619" t="str">
            <v xml:space="preserve"> </v>
          </cell>
          <cell r="Z619" t="str">
            <v xml:space="preserve"> </v>
          </cell>
        </row>
        <row r="620">
          <cell r="B620" t="str">
            <v>B99</v>
          </cell>
          <cell r="F620">
            <v>6</v>
          </cell>
          <cell r="G620">
            <v>110801</v>
          </cell>
          <cell r="K620">
            <v>0</v>
          </cell>
          <cell r="M620" t="str">
            <v>AME</v>
          </cell>
          <cell r="N620" t="str">
            <v>Resource</v>
          </cell>
          <cell r="Q620" t="str">
            <v>no</v>
          </cell>
          <cell r="X620">
            <v>6683</v>
          </cell>
          <cell r="Y620" t="str">
            <v xml:space="preserve"> </v>
          </cell>
          <cell r="Z620" t="str">
            <v xml:space="preserve"> </v>
          </cell>
        </row>
        <row r="621">
          <cell r="B621" t="str">
            <v>B35</v>
          </cell>
          <cell r="F621">
            <v>1</v>
          </cell>
          <cell r="G621">
            <v>110504</v>
          </cell>
          <cell r="K621">
            <v>0</v>
          </cell>
          <cell r="M621" t="str">
            <v>DEL</v>
          </cell>
          <cell r="N621" t="str">
            <v>Resource</v>
          </cell>
          <cell r="Q621" t="str">
            <v>yes</v>
          </cell>
          <cell r="X621">
            <v>2500</v>
          </cell>
          <cell r="Y621" t="str">
            <v xml:space="preserve"> </v>
          </cell>
          <cell r="Z621" t="str">
            <v xml:space="preserve"> </v>
          </cell>
        </row>
        <row r="622">
          <cell r="B622" t="str">
            <v>B35</v>
          </cell>
          <cell r="F622">
            <v>1</v>
          </cell>
          <cell r="G622">
            <v>110504</v>
          </cell>
          <cell r="K622">
            <v>0</v>
          </cell>
          <cell r="M622" t="str">
            <v>DEL</v>
          </cell>
          <cell r="N622" t="str">
            <v>Resource</v>
          </cell>
          <cell r="Q622" t="str">
            <v>yes</v>
          </cell>
          <cell r="X622">
            <v>-436280</v>
          </cell>
          <cell r="Y622" t="str">
            <v xml:space="preserve"> </v>
          </cell>
          <cell r="Z622" t="str">
            <v xml:space="preserve"> </v>
          </cell>
        </row>
        <row r="623">
          <cell r="B623" t="str">
            <v>B35</v>
          </cell>
          <cell r="F623">
            <v>5</v>
          </cell>
          <cell r="G623">
            <v>110504</v>
          </cell>
          <cell r="K623">
            <v>0</v>
          </cell>
          <cell r="M623" t="str">
            <v>DEL</v>
          </cell>
          <cell r="N623" t="str">
            <v>Resource</v>
          </cell>
          <cell r="Q623" t="str">
            <v>yes</v>
          </cell>
          <cell r="X623">
            <v>-18065</v>
          </cell>
          <cell r="Y623" t="str">
            <v xml:space="preserve"> </v>
          </cell>
          <cell r="Z623" t="str">
            <v xml:space="preserve"> </v>
          </cell>
        </row>
        <row r="624">
          <cell r="B624" t="str">
            <v>B35</v>
          </cell>
          <cell r="F624">
            <v>6</v>
          </cell>
          <cell r="G624">
            <v>110504</v>
          </cell>
          <cell r="K624">
            <v>0</v>
          </cell>
          <cell r="M624" t="str">
            <v>DEL</v>
          </cell>
          <cell r="N624" t="str">
            <v>Resource</v>
          </cell>
          <cell r="Q624" t="str">
            <v>yes</v>
          </cell>
          <cell r="X624" t="str">
            <v xml:space="preserve"> </v>
          </cell>
          <cell r="Y624">
            <v>-18065</v>
          </cell>
          <cell r="Z624">
            <v>-18065</v>
          </cell>
        </row>
        <row r="625">
          <cell r="B625" t="str">
            <v>B35</v>
          </cell>
          <cell r="F625">
            <v>4</v>
          </cell>
          <cell r="G625">
            <v>110504</v>
          </cell>
          <cell r="K625">
            <v>0</v>
          </cell>
          <cell r="M625" t="str">
            <v>DEL</v>
          </cell>
          <cell r="N625" t="str">
            <v>Resource</v>
          </cell>
          <cell r="Q625" t="str">
            <v>yes</v>
          </cell>
          <cell r="X625" t="str">
            <v xml:space="preserve"> </v>
          </cell>
          <cell r="Y625" t="str">
            <v xml:space="preserve"> </v>
          </cell>
          <cell r="Z625" t="str">
            <v xml:space="preserve"> </v>
          </cell>
        </row>
        <row r="626">
          <cell r="B626" t="str">
            <v>B35</v>
          </cell>
          <cell r="F626">
            <v>2</v>
          </cell>
          <cell r="G626">
            <v>110504</v>
          </cell>
          <cell r="K626">
            <v>0</v>
          </cell>
          <cell r="M626" t="str">
            <v>DEL</v>
          </cell>
          <cell r="N626" t="str">
            <v>Resource</v>
          </cell>
          <cell r="Q626" t="str">
            <v>yes</v>
          </cell>
          <cell r="X626" t="str">
            <v xml:space="preserve"> </v>
          </cell>
          <cell r="Y626">
            <v>2500</v>
          </cell>
          <cell r="Z626">
            <v>2500</v>
          </cell>
        </row>
        <row r="627">
          <cell r="B627" t="str">
            <v>B35</v>
          </cell>
          <cell r="F627">
            <v>2</v>
          </cell>
          <cell r="G627">
            <v>110504</v>
          </cell>
          <cell r="K627">
            <v>0</v>
          </cell>
          <cell r="M627" t="str">
            <v>DEL</v>
          </cell>
          <cell r="N627" t="str">
            <v>Resource</v>
          </cell>
          <cell r="Q627" t="str">
            <v>yes</v>
          </cell>
          <cell r="X627" t="str">
            <v xml:space="preserve"> </v>
          </cell>
          <cell r="Y627">
            <v>-436280</v>
          </cell>
          <cell r="Z627">
            <v>-436280</v>
          </cell>
        </row>
        <row r="628">
          <cell r="B628" t="str">
            <v>B35</v>
          </cell>
          <cell r="F628">
            <v>6</v>
          </cell>
          <cell r="G628">
            <v>110504</v>
          </cell>
          <cell r="K628">
            <v>0</v>
          </cell>
          <cell r="M628" t="str">
            <v>DEL</v>
          </cell>
          <cell r="N628" t="str">
            <v>Resource</v>
          </cell>
          <cell r="Q628" t="str">
            <v>yes</v>
          </cell>
          <cell r="X628" t="str">
            <v xml:space="preserve"> </v>
          </cell>
          <cell r="Y628" t="str">
            <v xml:space="preserve"> </v>
          </cell>
          <cell r="Z628" t="str">
            <v xml:space="preserve"> </v>
          </cell>
        </row>
        <row r="629">
          <cell r="B629" t="str">
            <v>B35</v>
          </cell>
          <cell r="F629">
            <v>1</v>
          </cell>
          <cell r="G629">
            <v>110505</v>
          </cell>
          <cell r="K629">
            <v>0</v>
          </cell>
          <cell r="M629" t="str">
            <v>DEL</v>
          </cell>
          <cell r="N629" t="str">
            <v>Resource</v>
          </cell>
          <cell r="Q629" t="str">
            <v>yes</v>
          </cell>
          <cell r="X629">
            <v>1644700</v>
          </cell>
          <cell r="Y629" t="str">
            <v xml:space="preserve"> </v>
          </cell>
          <cell r="Z629" t="str">
            <v xml:space="preserve"> </v>
          </cell>
        </row>
        <row r="630">
          <cell r="B630" t="str">
            <v>B35</v>
          </cell>
          <cell r="F630">
            <v>1</v>
          </cell>
          <cell r="G630">
            <v>110505</v>
          </cell>
          <cell r="K630">
            <v>0</v>
          </cell>
          <cell r="M630" t="str">
            <v>DEL</v>
          </cell>
          <cell r="N630" t="str">
            <v>Resource</v>
          </cell>
          <cell r="Q630" t="str">
            <v>yes</v>
          </cell>
          <cell r="X630">
            <v>-461900</v>
          </cell>
          <cell r="Y630" t="str">
            <v xml:space="preserve"> </v>
          </cell>
          <cell r="Z630" t="str">
            <v xml:space="preserve"> </v>
          </cell>
        </row>
        <row r="631">
          <cell r="B631" t="str">
            <v>B35</v>
          </cell>
          <cell r="F631">
            <v>6</v>
          </cell>
          <cell r="G631">
            <v>110505</v>
          </cell>
          <cell r="K631">
            <v>0</v>
          </cell>
          <cell r="M631" t="str">
            <v>DEL</v>
          </cell>
          <cell r="N631" t="str">
            <v>Resource</v>
          </cell>
          <cell r="Q631" t="str">
            <v>yes</v>
          </cell>
          <cell r="X631">
            <v>-233900</v>
          </cell>
          <cell r="Y631" t="str">
            <v xml:space="preserve"> </v>
          </cell>
          <cell r="Z631" t="str">
            <v xml:space="preserve"> </v>
          </cell>
        </row>
        <row r="632">
          <cell r="B632" t="str">
            <v>B35</v>
          </cell>
          <cell r="F632">
            <v>6</v>
          </cell>
          <cell r="G632">
            <v>110505</v>
          </cell>
          <cell r="K632">
            <v>0</v>
          </cell>
          <cell r="M632" t="str">
            <v>DEL</v>
          </cell>
          <cell r="N632" t="str">
            <v>Resource</v>
          </cell>
          <cell r="Q632" t="str">
            <v>yes</v>
          </cell>
          <cell r="X632">
            <v>-524800</v>
          </cell>
          <cell r="Y632" t="str">
            <v xml:space="preserve"> </v>
          </cell>
          <cell r="Z632" t="str">
            <v xml:space="preserve"> </v>
          </cell>
        </row>
        <row r="633">
          <cell r="B633" t="str">
            <v>B35</v>
          </cell>
          <cell r="F633">
            <v>6</v>
          </cell>
          <cell r="G633">
            <v>110505</v>
          </cell>
          <cell r="K633">
            <v>0</v>
          </cell>
          <cell r="M633" t="str">
            <v>DEL</v>
          </cell>
          <cell r="N633" t="str">
            <v>Resource</v>
          </cell>
          <cell r="Q633" t="str">
            <v>yes</v>
          </cell>
          <cell r="X633" t="str">
            <v xml:space="preserve"> </v>
          </cell>
          <cell r="Y633">
            <v>-1644700</v>
          </cell>
          <cell r="Z633">
            <v>-1644700</v>
          </cell>
        </row>
        <row r="634">
          <cell r="B634" t="str">
            <v>B99</v>
          </cell>
          <cell r="F634">
            <v>9</v>
          </cell>
          <cell r="G634">
            <v>110401</v>
          </cell>
          <cell r="K634">
            <v>0</v>
          </cell>
          <cell r="M634" t="str">
            <v>DEL</v>
          </cell>
          <cell r="N634" t="str">
            <v>Resource</v>
          </cell>
          <cell r="Q634" t="str">
            <v>no</v>
          </cell>
          <cell r="X634" t="str">
            <v xml:space="preserve"> </v>
          </cell>
          <cell r="Y634" t="str">
            <v xml:space="preserve"> </v>
          </cell>
          <cell r="Z634" t="str">
            <v xml:space="preserve"> </v>
          </cell>
        </row>
        <row r="635">
          <cell r="B635" t="str">
            <v>B35</v>
          </cell>
          <cell r="F635">
            <v>6</v>
          </cell>
          <cell r="G635">
            <v>110505</v>
          </cell>
          <cell r="K635">
            <v>0</v>
          </cell>
          <cell r="M635" t="str">
            <v>DEL</v>
          </cell>
          <cell r="N635" t="str">
            <v>Resource</v>
          </cell>
          <cell r="Q635" t="str">
            <v>yes</v>
          </cell>
          <cell r="X635">
            <v>233900</v>
          </cell>
          <cell r="Y635" t="str">
            <v xml:space="preserve"> </v>
          </cell>
          <cell r="Z635" t="str">
            <v xml:space="preserve"> </v>
          </cell>
        </row>
        <row r="636">
          <cell r="B636" t="str">
            <v>B35</v>
          </cell>
          <cell r="F636">
            <v>6</v>
          </cell>
          <cell r="G636">
            <v>110505</v>
          </cell>
          <cell r="K636">
            <v>0</v>
          </cell>
          <cell r="M636" t="str">
            <v>DEL</v>
          </cell>
          <cell r="N636" t="str">
            <v>Resource</v>
          </cell>
          <cell r="Q636" t="str">
            <v>yes</v>
          </cell>
          <cell r="X636" t="str">
            <v xml:space="preserve"> </v>
          </cell>
          <cell r="Y636">
            <v>461900</v>
          </cell>
          <cell r="Z636">
            <v>461900</v>
          </cell>
        </row>
        <row r="637">
          <cell r="B637" t="str">
            <v>B35</v>
          </cell>
          <cell r="F637">
            <v>4</v>
          </cell>
          <cell r="G637">
            <v>110505</v>
          </cell>
          <cell r="K637">
            <v>0</v>
          </cell>
          <cell r="M637" t="str">
            <v>DEL</v>
          </cell>
          <cell r="N637" t="str">
            <v>Resource</v>
          </cell>
          <cell r="Q637" t="str">
            <v>yes</v>
          </cell>
          <cell r="X637" t="str">
            <v xml:space="preserve"> </v>
          </cell>
          <cell r="Y637" t="str">
            <v xml:space="preserve"> </v>
          </cell>
          <cell r="Z637" t="str">
            <v xml:space="preserve"> </v>
          </cell>
        </row>
        <row r="638">
          <cell r="B638" t="str">
            <v>B35</v>
          </cell>
          <cell r="F638">
            <v>4</v>
          </cell>
          <cell r="G638">
            <v>110505</v>
          </cell>
          <cell r="K638">
            <v>0</v>
          </cell>
          <cell r="M638" t="str">
            <v>DEL</v>
          </cell>
          <cell r="N638" t="str">
            <v>Resource</v>
          </cell>
          <cell r="Q638" t="str">
            <v>yes</v>
          </cell>
          <cell r="X638" t="str">
            <v xml:space="preserve"> </v>
          </cell>
          <cell r="Y638" t="str">
            <v xml:space="preserve"> </v>
          </cell>
          <cell r="Z638" t="str">
            <v xml:space="preserve"> </v>
          </cell>
        </row>
        <row r="639">
          <cell r="B639" t="str">
            <v>B35</v>
          </cell>
          <cell r="F639">
            <v>12</v>
          </cell>
          <cell r="G639">
            <v>110901</v>
          </cell>
          <cell r="K639">
            <v>0</v>
          </cell>
          <cell r="M639" t="str">
            <v>DEL</v>
          </cell>
          <cell r="N639" t="str">
            <v>Resource</v>
          </cell>
          <cell r="Q639" t="str">
            <v>yes</v>
          </cell>
          <cell r="X639">
            <v>5500</v>
          </cell>
          <cell r="Y639" t="str">
            <v xml:space="preserve"> </v>
          </cell>
          <cell r="Z639" t="str">
            <v xml:space="preserve"> </v>
          </cell>
        </row>
        <row r="640">
          <cell r="B640" t="str">
            <v>B35</v>
          </cell>
          <cell r="F640">
            <v>2</v>
          </cell>
          <cell r="G640">
            <v>110505</v>
          </cell>
          <cell r="K640">
            <v>0</v>
          </cell>
          <cell r="M640" t="str">
            <v>DEL</v>
          </cell>
          <cell r="N640" t="str">
            <v>Resource</v>
          </cell>
          <cell r="Q640" t="str">
            <v>yes</v>
          </cell>
          <cell r="X640" t="str">
            <v xml:space="preserve"> </v>
          </cell>
          <cell r="Y640">
            <v>1644700</v>
          </cell>
          <cell r="Z640">
            <v>1644700</v>
          </cell>
        </row>
        <row r="641">
          <cell r="B641" t="str">
            <v>B35</v>
          </cell>
          <cell r="F641">
            <v>2</v>
          </cell>
          <cell r="G641">
            <v>110505</v>
          </cell>
          <cell r="K641">
            <v>0</v>
          </cell>
          <cell r="M641" t="str">
            <v>DEL</v>
          </cell>
          <cell r="N641" t="str">
            <v>Resource</v>
          </cell>
          <cell r="Q641" t="str">
            <v>yes</v>
          </cell>
          <cell r="X641" t="str">
            <v xml:space="preserve"> </v>
          </cell>
          <cell r="Y641">
            <v>-461900</v>
          </cell>
          <cell r="Z641">
            <v>-461900</v>
          </cell>
        </row>
        <row r="642">
          <cell r="B642" t="str">
            <v>B35</v>
          </cell>
          <cell r="F642">
            <v>6</v>
          </cell>
          <cell r="G642">
            <v>110505</v>
          </cell>
          <cell r="K642">
            <v>0</v>
          </cell>
          <cell r="M642" t="str">
            <v>DEL</v>
          </cell>
          <cell r="N642" t="str">
            <v>Resource</v>
          </cell>
          <cell r="Q642" t="str">
            <v>yes</v>
          </cell>
          <cell r="X642" t="str">
            <v xml:space="preserve"> </v>
          </cell>
          <cell r="Y642" t="str">
            <v xml:space="preserve"> </v>
          </cell>
          <cell r="Z642" t="str">
            <v xml:space="preserve"> </v>
          </cell>
        </row>
        <row r="643">
          <cell r="B643" t="str">
            <v>B99</v>
          </cell>
          <cell r="F643">
            <v>8</v>
          </cell>
          <cell r="G643">
            <v>110801</v>
          </cell>
          <cell r="K643">
            <v>0</v>
          </cell>
          <cell r="M643" t="str">
            <v>AME</v>
          </cell>
          <cell r="N643" t="str">
            <v>Resource</v>
          </cell>
          <cell r="Q643" t="str">
            <v>no</v>
          </cell>
          <cell r="X643" t="str">
            <v xml:space="preserve"> </v>
          </cell>
          <cell r="Y643" t="str">
            <v xml:space="preserve"> </v>
          </cell>
          <cell r="Z643" t="str">
            <v xml:space="preserve"> </v>
          </cell>
        </row>
        <row r="644">
          <cell r="B644" t="str">
            <v>B35</v>
          </cell>
          <cell r="F644">
            <v>6</v>
          </cell>
          <cell r="G644">
            <v>110505</v>
          </cell>
          <cell r="K644">
            <v>0</v>
          </cell>
          <cell r="M644" t="str">
            <v>DEL</v>
          </cell>
          <cell r="N644" t="str">
            <v>Resource</v>
          </cell>
          <cell r="Q644" t="str">
            <v>yes</v>
          </cell>
          <cell r="X644" t="str">
            <v xml:space="preserve"> </v>
          </cell>
          <cell r="Y644" t="str">
            <v xml:space="preserve"> </v>
          </cell>
          <cell r="Z644" t="str">
            <v xml:space="preserve"> </v>
          </cell>
        </row>
        <row r="645">
          <cell r="B645" t="str">
            <v>B35</v>
          </cell>
          <cell r="F645">
            <v>1</v>
          </cell>
          <cell r="G645">
            <v>110506</v>
          </cell>
          <cell r="K645">
            <v>0</v>
          </cell>
          <cell r="M645" t="str">
            <v>DEL</v>
          </cell>
          <cell r="N645" t="str">
            <v>Resource</v>
          </cell>
          <cell r="Q645" t="str">
            <v>yes</v>
          </cell>
          <cell r="X645">
            <v>306850</v>
          </cell>
          <cell r="Y645" t="str">
            <v xml:space="preserve"> </v>
          </cell>
          <cell r="Z645" t="str">
            <v xml:space="preserve"> </v>
          </cell>
        </row>
        <row r="646">
          <cell r="B646" t="str">
            <v>B99</v>
          </cell>
          <cell r="F646">
            <v>12</v>
          </cell>
          <cell r="G646">
            <v>110401</v>
          </cell>
          <cell r="K646">
            <v>0</v>
          </cell>
          <cell r="M646" t="str">
            <v>DEL</v>
          </cell>
          <cell r="N646" t="str">
            <v>Resource</v>
          </cell>
          <cell r="Q646" t="str">
            <v>no</v>
          </cell>
          <cell r="X646">
            <v>-2431</v>
          </cell>
          <cell r="Y646" t="str">
            <v xml:space="preserve"> </v>
          </cell>
          <cell r="Z646" t="str">
            <v xml:space="preserve"> </v>
          </cell>
        </row>
        <row r="647">
          <cell r="B647" t="str">
            <v>B99</v>
          </cell>
          <cell r="F647">
            <v>9</v>
          </cell>
          <cell r="G647">
            <v>110101</v>
          </cell>
          <cell r="K647">
            <v>0</v>
          </cell>
          <cell r="M647" t="str">
            <v>non-budget</v>
          </cell>
          <cell r="N647" t="str">
            <v>non-budget</v>
          </cell>
          <cell r="Q647" t="str">
            <v>no</v>
          </cell>
          <cell r="X647" t="str">
            <v xml:space="preserve"> </v>
          </cell>
          <cell r="Y647" t="str">
            <v xml:space="preserve"> </v>
          </cell>
          <cell r="Z647" t="str">
            <v xml:space="preserve"> </v>
          </cell>
        </row>
        <row r="648">
          <cell r="B648" t="str">
            <v>B99</v>
          </cell>
          <cell r="F648">
            <v>12</v>
          </cell>
          <cell r="G648">
            <v>110407</v>
          </cell>
          <cell r="K648">
            <v>0</v>
          </cell>
          <cell r="M648" t="str">
            <v>DEL</v>
          </cell>
          <cell r="N648" t="str">
            <v>Resource</v>
          </cell>
          <cell r="Q648" t="str">
            <v>no</v>
          </cell>
          <cell r="X648" t="str">
            <v xml:space="preserve"> </v>
          </cell>
          <cell r="Y648" t="str">
            <v xml:space="preserve"> </v>
          </cell>
          <cell r="Z648" t="str">
            <v xml:space="preserve"> </v>
          </cell>
        </row>
        <row r="649">
          <cell r="B649" t="str">
            <v>B99</v>
          </cell>
          <cell r="F649">
            <v>12</v>
          </cell>
          <cell r="G649">
            <v>110407</v>
          </cell>
          <cell r="K649">
            <v>0</v>
          </cell>
          <cell r="M649" t="str">
            <v>DEL</v>
          </cell>
          <cell r="N649" t="str">
            <v>Resource</v>
          </cell>
          <cell r="Q649" t="str">
            <v>no</v>
          </cell>
          <cell r="X649">
            <v>-60</v>
          </cell>
          <cell r="Y649" t="str">
            <v xml:space="preserve"> </v>
          </cell>
          <cell r="Z649" t="str">
            <v xml:space="preserve"> </v>
          </cell>
        </row>
        <row r="650">
          <cell r="B650" t="str">
            <v>B35</v>
          </cell>
          <cell r="F650">
            <v>1</v>
          </cell>
          <cell r="G650">
            <v>110506</v>
          </cell>
          <cell r="K650">
            <v>0</v>
          </cell>
          <cell r="M650" t="str">
            <v>DEL</v>
          </cell>
          <cell r="N650" t="str">
            <v>Resource</v>
          </cell>
          <cell r="Q650" t="str">
            <v>yes</v>
          </cell>
          <cell r="X650">
            <v>-50</v>
          </cell>
          <cell r="Y650" t="str">
            <v xml:space="preserve"> </v>
          </cell>
          <cell r="Z650" t="str">
            <v xml:space="preserve"> </v>
          </cell>
        </row>
        <row r="651">
          <cell r="B651" t="str">
            <v>B35</v>
          </cell>
          <cell r="F651">
            <v>6</v>
          </cell>
          <cell r="G651">
            <v>110506</v>
          </cell>
          <cell r="K651">
            <v>0</v>
          </cell>
          <cell r="M651" t="str">
            <v>DEL</v>
          </cell>
          <cell r="N651" t="str">
            <v>Resource</v>
          </cell>
          <cell r="Q651" t="str">
            <v>yes</v>
          </cell>
          <cell r="X651">
            <v>50</v>
          </cell>
          <cell r="Y651" t="str">
            <v xml:space="preserve"> </v>
          </cell>
          <cell r="Z651" t="str">
            <v xml:space="preserve"> </v>
          </cell>
        </row>
        <row r="652">
          <cell r="B652" t="str">
            <v>B35</v>
          </cell>
          <cell r="F652">
            <v>6</v>
          </cell>
          <cell r="G652">
            <v>110506</v>
          </cell>
          <cell r="K652">
            <v>0</v>
          </cell>
          <cell r="M652" t="str">
            <v>DEL</v>
          </cell>
          <cell r="N652" t="str">
            <v>Resource</v>
          </cell>
          <cell r="Q652" t="str">
            <v>yes</v>
          </cell>
          <cell r="X652">
            <v>47310</v>
          </cell>
          <cell r="Y652" t="str">
            <v xml:space="preserve"> </v>
          </cell>
          <cell r="Z652" t="str">
            <v xml:space="preserve"> </v>
          </cell>
        </row>
        <row r="653">
          <cell r="B653" t="str">
            <v>B35</v>
          </cell>
          <cell r="F653">
            <v>6</v>
          </cell>
          <cell r="G653">
            <v>110506</v>
          </cell>
          <cell r="K653">
            <v>0</v>
          </cell>
          <cell r="M653" t="str">
            <v>DEL</v>
          </cell>
          <cell r="N653" t="str">
            <v>Resource</v>
          </cell>
          <cell r="Q653" t="str">
            <v>yes</v>
          </cell>
          <cell r="X653" t="str">
            <v xml:space="preserve"> </v>
          </cell>
          <cell r="Y653">
            <v>54310</v>
          </cell>
          <cell r="Z653">
            <v>68360</v>
          </cell>
        </row>
        <row r="654">
          <cell r="B654" t="str">
            <v>B35</v>
          </cell>
          <cell r="F654">
            <v>6</v>
          </cell>
          <cell r="G654">
            <v>110506</v>
          </cell>
          <cell r="K654">
            <v>0</v>
          </cell>
          <cell r="M654" t="str">
            <v>DEL</v>
          </cell>
          <cell r="N654" t="str">
            <v>Resource</v>
          </cell>
          <cell r="Q654" t="str">
            <v>yes</v>
          </cell>
          <cell r="X654">
            <v>-50</v>
          </cell>
          <cell r="Y654" t="str">
            <v xml:space="preserve"> </v>
          </cell>
          <cell r="Z654" t="str">
            <v xml:space="preserve"> </v>
          </cell>
        </row>
        <row r="655">
          <cell r="B655" t="str">
            <v>B35</v>
          </cell>
          <cell r="F655">
            <v>4</v>
          </cell>
          <cell r="G655">
            <v>110506</v>
          </cell>
          <cell r="K655">
            <v>0</v>
          </cell>
          <cell r="M655" t="str">
            <v>DEL</v>
          </cell>
          <cell r="N655" t="str">
            <v>Resource</v>
          </cell>
          <cell r="Q655" t="str">
            <v>yes</v>
          </cell>
          <cell r="X655" t="str">
            <v xml:space="preserve"> </v>
          </cell>
          <cell r="Y655" t="str">
            <v xml:space="preserve"> </v>
          </cell>
          <cell r="Z655" t="str">
            <v xml:space="preserve"> </v>
          </cell>
        </row>
        <row r="656">
          <cell r="B656" t="str">
            <v>B35</v>
          </cell>
          <cell r="F656">
            <v>4</v>
          </cell>
          <cell r="G656">
            <v>110506</v>
          </cell>
          <cell r="K656">
            <v>0</v>
          </cell>
          <cell r="M656" t="str">
            <v>DEL</v>
          </cell>
          <cell r="N656" t="str">
            <v>Resource</v>
          </cell>
          <cell r="Q656" t="str">
            <v>yes</v>
          </cell>
          <cell r="X656" t="str">
            <v xml:space="preserve"> </v>
          </cell>
          <cell r="Y656" t="str">
            <v xml:space="preserve"> </v>
          </cell>
          <cell r="Z656" t="str">
            <v xml:space="preserve"> </v>
          </cell>
        </row>
        <row r="657">
          <cell r="B657" t="str">
            <v>B35</v>
          </cell>
          <cell r="F657">
            <v>12</v>
          </cell>
          <cell r="G657">
            <v>110901</v>
          </cell>
          <cell r="K657">
            <v>0</v>
          </cell>
          <cell r="M657" t="str">
            <v>DEL</v>
          </cell>
          <cell r="N657" t="str">
            <v>Resource</v>
          </cell>
          <cell r="Q657" t="str">
            <v>yes</v>
          </cell>
          <cell r="X657" t="str">
            <v xml:space="preserve"> </v>
          </cell>
          <cell r="Y657" t="str">
            <v xml:space="preserve"> </v>
          </cell>
          <cell r="Z657" t="str">
            <v xml:space="preserve"> </v>
          </cell>
        </row>
        <row r="658">
          <cell r="B658" t="str">
            <v>B35</v>
          </cell>
          <cell r="F658">
            <v>2</v>
          </cell>
          <cell r="G658">
            <v>110506</v>
          </cell>
          <cell r="K658">
            <v>0</v>
          </cell>
          <cell r="M658" t="str">
            <v>DEL</v>
          </cell>
          <cell r="N658" t="str">
            <v>Resource</v>
          </cell>
          <cell r="Q658" t="str">
            <v>yes</v>
          </cell>
          <cell r="X658" t="str">
            <v xml:space="preserve"> </v>
          </cell>
          <cell r="Y658">
            <v>306850</v>
          </cell>
          <cell r="Z658">
            <v>306850</v>
          </cell>
        </row>
        <row r="659">
          <cell r="B659" t="str">
            <v>B35</v>
          </cell>
          <cell r="F659">
            <v>2</v>
          </cell>
          <cell r="G659">
            <v>110506</v>
          </cell>
          <cell r="K659">
            <v>0</v>
          </cell>
          <cell r="M659" t="str">
            <v>DEL</v>
          </cell>
          <cell r="N659" t="str">
            <v>Resource</v>
          </cell>
          <cell r="Q659" t="str">
            <v>yes</v>
          </cell>
          <cell r="X659" t="str">
            <v xml:space="preserve"> </v>
          </cell>
          <cell r="Y659">
            <v>-50</v>
          </cell>
          <cell r="Z659">
            <v>-50</v>
          </cell>
        </row>
        <row r="660">
          <cell r="B660" t="str">
            <v>B35</v>
          </cell>
          <cell r="F660">
            <v>6</v>
          </cell>
          <cell r="G660">
            <v>110506</v>
          </cell>
          <cell r="K660">
            <v>0</v>
          </cell>
          <cell r="M660" t="str">
            <v>DEL</v>
          </cell>
          <cell r="N660" t="str">
            <v>Resource</v>
          </cell>
          <cell r="Q660" t="str">
            <v>yes</v>
          </cell>
          <cell r="X660" t="str">
            <v xml:space="preserve"> </v>
          </cell>
          <cell r="Y660" t="str">
            <v xml:space="preserve"> </v>
          </cell>
          <cell r="Z660" t="str">
            <v xml:space="preserve"> </v>
          </cell>
        </row>
        <row r="661">
          <cell r="B661" t="str">
            <v>B35</v>
          </cell>
          <cell r="F661">
            <v>1</v>
          </cell>
          <cell r="G661">
            <v>110901</v>
          </cell>
          <cell r="K661">
            <v>0</v>
          </cell>
          <cell r="M661" t="str">
            <v>DEL</v>
          </cell>
          <cell r="N661" t="str">
            <v>Resource</v>
          </cell>
          <cell r="Q661" t="str">
            <v>yes</v>
          </cell>
          <cell r="X661" t="str">
            <v xml:space="preserve"> </v>
          </cell>
          <cell r="Y661" t="str">
            <v xml:space="preserve"> </v>
          </cell>
          <cell r="Z661" t="str">
            <v xml:space="preserve"> </v>
          </cell>
        </row>
        <row r="662">
          <cell r="B662" t="str">
            <v>B35</v>
          </cell>
          <cell r="F662">
            <v>6</v>
          </cell>
          <cell r="G662">
            <v>110901</v>
          </cell>
          <cell r="K662">
            <v>0</v>
          </cell>
          <cell r="M662" t="str">
            <v>DEL</v>
          </cell>
          <cell r="N662" t="str">
            <v>Resource</v>
          </cell>
          <cell r="Q662" t="str">
            <v>yes</v>
          </cell>
          <cell r="X662">
            <v>10000</v>
          </cell>
          <cell r="Y662" t="str">
            <v xml:space="preserve"> </v>
          </cell>
          <cell r="Z662" t="str">
            <v xml:space="preserve"> </v>
          </cell>
        </row>
        <row r="663">
          <cell r="B663" t="str">
            <v>B35</v>
          </cell>
          <cell r="F663">
            <v>1</v>
          </cell>
          <cell r="G663">
            <v>110101</v>
          </cell>
          <cell r="K663">
            <v>0</v>
          </cell>
          <cell r="M663" t="str">
            <v>non-budget</v>
          </cell>
          <cell r="N663" t="str">
            <v>non-budget</v>
          </cell>
          <cell r="Q663" t="str">
            <v>yes</v>
          </cell>
          <cell r="X663">
            <v>1331000</v>
          </cell>
          <cell r="Y663" t="str">
            <v xml:space="preserve"> </v>
          </cell>
          <cell r="Z663" t="str">
            <v xml:space="preserve"> </v>
          </cell>
        </row>
        <row r="664">
          <cell r="B664" t="str">
            <v>B35</v>
          </cell>
          <cell r="F664">
            <v>1</v>
          </cell>
          <cell r="G664">
            <v>110101</v>
          </cell>
          <cell r="K664">
            <v>0</v>
          </cell>
          <cell r="M664" t="str">
            <v>non-budget</v>
          </cell>
          <cell r="N664" t="str">
            <v>non-budget</v>
          </cell>
          <cell r="Q664" t="str">
            <v>yes</v>
          </cell>
          <cell r="X664">
            <v>448788</v>
          </cell>
          <cell r="Y664" t="str">
            <v xml:space="preserve"> </v>
          </cell>
          <cell r="Z664" t="str">
            <v xml:space="preserve"> </v>
          </cell>
        </row>
        <row r="665">
          <cell r="B665" t="str">
            <v>B35</v>
          </cell>
          <cell r="F665">
            <v>1</v>
          </cell>
          <cell r="G665">
            <v>110202</v>
          </cell>
          <cell r="K665" t="str">
            <v>PSS</v>
          </cell>
          <cell r="M665" t="str">
            <v>non-budget</v>
          </cell>
          <cell r="N665" t="str">
            <v>non-budget</v>
          </cell>
          <cell r="Q665" t="str">
            <v>yes</v>
          </cell>
          <cell r="X665">
            <v>-448788</v>
          </cell>
          <cell r="Y665" t="str">
            <v xml:space="preserve"> </v>
          </cell>
          <cell r="Z665" t="str">
            <v xml:space="preserve"> </v>
          </cell>
        </row>
        <row r="666">
          <cell r="B666" t="str">
            <v>B35</v>
          </cell>
          <cell r="F666">
            <v>4</v>
          </cell>
          <cell r="G666">
            <v>110101</v>
          </cell>
          <cell r="K666">
            <v>0</v>
          </cell>
          <cell r="M666" t="str">
            <v>non-budget</v>
          </cell>
          <cell r="N666" t="str">
            <v>non-budget</v>
          </cell>
          <cell r="Q666" t="str">
            <v>yes</v>
          </cell>
          <cell r="X666" t="str">
            <v xml:space="preserve"> </v>
          </cell>
          <cell r="Y666">
            <v>1331000</v>
          </cell>
          <cell r="Z666">
            <v>1331000</v>
          </cell>
        </row>
        <row r="667">
          <cell r="B667" t="str">
            <v>B99</v>
          </cell>
          <cell r="F667">
            <v>12</v>
          </cell>
          <cell r="G667">
            <v>110407</v>
          </cell>
          <cell r="K667">
            <v>0</v>
          </cell>
          <cell r="M667" t="str">
            <v>DEL</v>
          </cell>
          <cell r="N667" t="str">
            <v>Resource</v>
          </cell>
          <cell r="Q667" t="str">
            <v>no</v>
          </cell>
          <cell r="X667" t="str">
            <v xml:space="preserve"> </v>
          </cell>
          <cell r="Y667" t="str">
            <v xml:space="preserve"> </v>
          </cell>
          <cell r="Z667" t="str">
            <v xml:space="preserve"> </v>
          </cell>
        </row>
        <row r="668">
          <cell r="B668" t="str">
            <v>B35</v>
          </cell>
          <cell r="F668">
            <v>5</v>
          </cell>
          <cell r="G668">
            <v>110101</v>
          </cell>
          <cell r="K668">
            <v>0</v>
          </cell>
          <cell r="M668" t="str">
            <v>non-budget</v>
          </cell>
          <cell r="N668" t="str">
            <v>non-budget</v>
          </cell>
          <cell r="Q668" t="str">
            <v>yes</v>
          </cell>
          <cell r="X668">
            <v>172500</v>
          </cell>
          <cell r="Y668">
            <v>172500</v>
          </cell>
          <cell r="Z668">
            <v>172500</v>
          </cell>
        </row>
        <row r="669">
          <cell r="B669" t="str">
            <v>B35</v>
          </cell>
          <cell r="F669">
            <v>3</v>
          </cell>
          <cell r="G669">
            <v>110901</v>
          </cell>
          <cell r="K669">
            <v>0</v>
          </cell>
          <cell r="M669" t="str">
            <v>DEL</v>
          </cell>
          <cell r="N669" t="str">
            <v>Resource</v>
          </cell>
          <cell r="Q669" t="str">
            <v>yes</v>
          </cell>
          <cell r="X669" t="str">
            <v xml:space="preserve"> </v>
          </cell>
          <cell r="Y669" t="str">
            <v xml:space="preserve"> </v>
          </cell>
          <cell r="Z669" t="str">
            <v xml:space="preserve"> </v>
          </cell>
        </row>
        <row r="670">
          <cell r="B670" t="str">
            <v>B99</v>
          </cell>
          <cell r="F670">
            <v>3</v>
          </cell>
          <cell r="G670">
            <v>110407</v>
          </cell>
          <cell r="K670">
            <v>0</v>
          </cell>
          <cell r="M670" t="str">
            <v>DEL</v>
          </cell>
          <cell r="N670" t="str">
            <v>Resource</v>
          </cell>
          <cell r="Q670" t="str">
            <v>no</v>
          </cell>
          <cell r="X670" t="str">
            <v xml:space="preserve"> </v>
          </cell>
          <cell r="Y670" t="str">
            <v xml:space="preserve"> </v>
          </cell>
          <cell r="Z670" t="str">
            <v xml:space="preserve"> </v>
          </cell>
        </row>
        <row r="671">
          <cell r="B671" t="str">
            <v>D10</v>
          </cell>
          <cell r="F671">
            <v>3</v>
          </cell>
          <cell r="G671">
            <v>110101</v>
          </cell>
          <cell r="K671">
            <v>0</v>
          </cell>
          <cell r="M671" t="str">
            <v>DEL</v>
          </cell>
          <cell r="N671" t="str">
            <v>Resource</v>
          </cell>
          <cell r="Q671" t="str">
            <v>yes</v>
          </cell>
          <cell r="X671">
            <v>-126000</v>
          </cell>
          <cell r="Y671" t="str">
            <v xml:space="preserve"> </v>
          </cell>
          <cell r="Z671" t="str">
            <v xml:space="preserve"> </v>
          </cell>
        </row>
        <row r="672">
          <cell r="B672" t="str">
            <v>B99</v>
          </cell>
          <cell r="F672">
            <v>12</v>
          </cell>
          <cell r="G672">
            <v>110407</v>
          </cell>
          <cell r="K672">
            <v>0</v>
          </cell>
          <cell r="M672" t="str">
            <v>DEL</v>
          </cell>
          <cell r="N672" t="str">
            <v>Resource</v>
          </cell>
          <cell r="Q672" t="str">
            <v>no</v>
          </cell>
          <cell r="X672" t="str">
            <v xml:space="preserve"> </v>
          </cell>
          <cell r="Y672" t="str">
            <v xml:space="preserve"> </v>
          </cell>
          <cell r="Z672" t="str">
            <v xml:space="preserve"> </v>
          </cell>
        </row>
        <row r="673">
          <cell r="B673" t="str">
            <v>B35</v>
          </cell>
          <cell r="F673">
            <v>6</v>
          </cell>
          <cell r="G673">
            <v>110101</v>
          </cell>
          <cell r="K673">
            <v>0</v>
          </cell>
          <cell r="M673" t="str">
            <v>non-budget</v>
          </cell>
          <cell r="N673" t="str">
            <v>non-budget</v>
          </cell>
          <cell r="Q673" t="str">
            <v>yes</v>
          </cell>
          <cell r="X673" t="str">
            <v xml:space="preserve"> </v>
          </cell>
          <cell r="Y673" t="str">
            <v xml:space="preserve"> </v>
          </cell>
          <cell r="Z673" t="str">
            <v xml:space="preserve"> </v>
          </cell>
        </row>
        <row r="674">
          <cell r="B674" t="str">
            <v>B99</v>
          </cell>
          <cell r="F674">
            <v>12</v>
          </cell>
          <cell r="G674">
            <v>110407</v>
          </cell>
          <cell r="K674">
            <v>0</v>
          </cell>
          <cell r="M674" t="str">
            <v>DEL</v>
          </cell>
          <cell r="N674" t="str">
            <v>Resource</v>
          </cell>
          <cell r="Q674" t="str">
            <v>no</v>
          </cell>
          <cell r="X674">
            <v>-21</v>
          </cell>
          <cell r="Y674" t="str">
            <v xml:space="preserve"> </v>
          </cell>
          <cell r="Z674" t="str">
            <v xml:space="preserve"> </v>
          </cell>
        </row>
        <row r="675">
          <cell r="B675" t="str">
            <v>B35</v>
          </cell>
          <cell r="F675">
            <v>6</v>
          </cell>
          <cell r="G675">
            <v>110101</v>
          </cell>
          <cell r="K675">
            <v>0</v>
          </cell>
          <cell r="M675" t="str">
            <v>non-budget</v>
          </cell>
          <cell r="N675" t="str">
            <v>non-budget</v>
          </cell>
          <cell r="Q675" t="str">
            <v>yes</v>
          </cell>
          <cell r="X675" t="str">
            <v xml:space="preserve"> </v>
          </cell>
          <cell r="Y675" t="str">
            <v xml:space="preserve"> </v>
          </cell>
          <cell r="Z675" t="str">
            <v xml:space="preserve"> </v>
          </cell>
        </row>
        <row r="676">
          <cell r="B676" t="str">
            <v>B35</v>
          </cell>
          <cell r="F676">
            <v>6</v>
          </cell>
          <cell r="G676">
            <v>110101</v>
          </cell>
          <cell r="K676">
            <v>0</v>
          </cell>
          <cell r="M676" t="str">
            <v>non-budget</v>
          </cell>
          <cell r="N676" t="str">
            <v>non-budget</v>
          </cell>
          <cell r="Q676" t="str">
            <v>yes</v>
          </cell>
          <cell r="X676" t="str">
            <v xml:space="preserve"> </v>
          </cell>
          <cell r="Y676" t="str">
            <v xml:space="preserve"> </v>
          </cell>
          <cell r="Z676" t="str">
            <v xml:space="preserve"> </v>
          </cell>
        </row>
        <row r="677">
          <cell r="B677" t="str">
            <v>B35</v>
          </cell>
          <cell r="F677">
            <v>6</v>
          </cell>
          <cell r="G677">
            <v>110202</v>
          </cell>
          <cell r="K677" t="str">
            <v>PSS</v>
          </cell>
          <cell r="M677" t="str">
            <v>non-budget</v>
          </cell>
          <cell r="N677" t="str">
            <v>non-budget</v>
          </cell>
          <cell r="Q677" t="str">
            <v>yes</v>
          </cell>
          <cell r="X677" t="str">
            <v xml:space="preserve"> </v>
          </cell>
          <cell r="Y677" t="str">
            <v xml:space="preserve"> </v>
          </cell>
          <cell r="Z677" t="str">
            <v xml:space="preserve"> </v>
          </cell>
        </row>
        <row r="678">
          <cell r="B678" t="str">
            <v>B35</v>
          </cell>
          <cell r="F678">
            <v>6</v>
          </cell>
          <cell r="G678">
            <v>110202</v>
          </cell>
          <cell r="K678" t="str">
            <v>PSS</v>
          </cell>
          <cell r="M678" t="str">
            <v>non-budget</v>
          </cell>
          <cell r="N678" t="str">
            <v>non-budget</v>
          </cell>
          <cell r="Q678" t="str">
            <v>yes</v>
          </cell>
          <cell r="X678" t="str">
            <v xml:space="preserve"> </v>
          </cell>
          <cell r="Y678" t="str">
            <v xml:space="preserve"> </v>
          </cell>
          <cell r="Z678" t="str">
            <v xml:space="preserve"> </v>
          </cell>
        </row>
        <row r="679">
          <cell r="B679" t="str">
            <v>B35</v>
          </cell>
          <cell r="F679">
            <v>6</v>
          </cell>
          <cell r="G679">
            <v>110202</v>
          </cell>
          <cell r="K679" t="str">
            <v>PSS</v>
          </cell>
          <cell r="M679" t="str">
            <v>non-budget</v>
          </cell>
          <cell r="N679" t="str">
            <v>non-budget</v>
          </cell>
          <cell r="Q679" t="str">
            <v>yes</v>
          </cell>
          <cell r="X679" t="str">
            <v xml:space="preserve"> </v>
          </cell>
          <cell r="Y679" t="str">
            <v xml:space="preserve"> </v>
          </cell>
          <cell r="Z679" t="str">
            <v xml:space="preserve"> </v>
          </cell>
        </row>
        <row r="680">
          <cell r="B680" t="str">
            <v>B35</v>
          </cell>
          <cell r="F680">
            <v>6</v>
          </cell>
          <cell r="G680">
            <v>110202</v>
          </cell>
          <cell r="K680" t="str">
            <v>PSS</v>
          </cell>
          <cell r="M680" t="str">
            <v>non-budget</v>
          </cell>
          <cell r="N680" t="str">
            <v>non-budget</v>
          </cell>
          <cell r="Q680" t="str">
            <v>yes</v>
          </cell>
          <cell r="X680" t="str">
            <v xml:space="preserve"> </v>
          </cell>
          <cell r="Y680" t="str">
            <v xml:space="preserve"> </v>
          </cell>
          <cell r="Z680" t="str">
            <v xml:space="preserve"> </v>
          </cell>
        </row>
        <row r="681">
          <cell r="B681" t="str">
            <v>B99</v>
          </cell>
          <cell r="F681">
            <v>1</v>
          </cell>
          <cell r="G681">
            <v>110402</v>
          </cell>
          <cell r="K681">
            <v>0</v>
          </cell>
          <cell r="M681" t="str">
            <v>non-budget</v>
          </cell>
          <cell r="N681" t="str">
            <v>non-budget</v>
          </cell>
          <cell r="Q681" t="str">
            <v>no</v>
          </cell>
          <cell r="X681" t="str">
            <v xml:space="preserve"> </v>
          </cell>
          <cell r="Y681" t="str">
            <v xml:space="preserve"> </v>
          </cell>
          <cell r="Z681" t="str">
            <v xml:space="preserve"> </v>
          </cell>
        </row>
        <row r="682">
          <cell r="B682" t="str">
            <v>D10</v>
          </cell>
          <cell r="F682">
            <v>3</v>
          </cell>
          <cell r="G682">
            <v>110101</v>
          </cell>
          <cell r="K682">
            <v>0</v>
          </cell>
          <cell r="M682" t="str">
            <v>DEL</v>
          </cell>
          <cell r="N682" t="str">
            <v>Resource</v>
          </cell>
          <cell r="Q682" t="str">
            <v>yes</v>
          </cell>
          <cell r="X682" t="str">
            <v xml:space="preserve"> </v>
          </cell>
          <cell r="Y682" t="str">
            <v xml:space="preserve"> </v>
          </cell>
          <cell r="Z682" t="str">
            <v xml:space="preserve"> </v>
          </cell>
        </row>
        <row r="683">
          <cell r="B683" t="str">
            <v>B80</v>
          </cell>
          <cell r="F683">
            <v>1</v>
          </cell>
          <cell r="G683">
            <v>110302</v>
          </cell>
          <cell r="K683">
            <v>0</v>
          </cell>
          <cell r="M683" t="str">
            <v>DEL</v>
          </cell>
          <cell r="N683" t="str">
            <v>Resource</v>
          </cell>
          <cell r="Q683" t="str">
            <v>yes</v>
          </cell>
          <cell r="X683">
            <v>-1</v>
          </cell>
          <cell r="Y683" t="str">
            <v xml:space="preserve"> </v>
          </cell>
          <cell r="Z683" t="str">
            <v xml:space="preserve"> </v>
          </cell>
        </row>
        <row r="684">
          <cell r="B684" t="str">
            <v>B80</v>
          </cell>
          <cell r="F684">
            <v>8</v>
          </cell>
          <cell r="G684">
            <v>110302</v>
          </cell>
          <cell r="K684">
            <v>0</v>
          </cell>
          <cell r="M684" t="str">
            <v>DEL</v>
          </cell>
          <cell r="N684" t="str">
            <v>Resource</v>
          </cell>
          <cell r="Q684" t="str">
            <v>yes</v>
          </cell>
          <cell r="X684" t="str">
            <v xml:space="preserve"> </v>
          </cell>
          <cell r="Y684" t="str">
            <v xml:space="preserve"> </v>
          </cell>
          <cell r="Z684" t="str">
            <v xml:space="preserve"> </v>
          </cell>
        </row>
        <row r="685">
          <cell r="B685" t="str">
            <v>B80</v>
          </cell>
          <cell r="F685">
            <v>2</v>
          </cell>
          <cell r="G685">
            <v>110302</v>
          </cell>
          <cell r="K685">
            <v>0</v>
          </cell>
          <cell r="M685" t="str">
            <v>DEL</v>
          </cell>
          <cell r="N685" t="str">
            <v>Resource</v>
          </cell>
          <cell r="Q685" t="str">
            <v>yes</v>
          </cell>
          <cell r="X685" t="str">
            <v xml:space="preserve"> </v>
          </cell>
          <cell r="Y685">
            <v>-1</v>
          </cell>
          <cell r="Z685">
            <v>-1</v>
          </cell>
        </row>
        <row r="686">
          <cell r="B686" t="str">
            <v>B80</v>
          </cell>
          <cell r="F686">
            <v>9</v>
          </cell>
          <cell r="G686">
            <v>110302</v>
          </cell>
          <cell r="K686">
            <v>0</v>
          </cell>
          <cell r="M686" t="str">
            <v>DEL</v>
          </cell>
          <cell r="N686" t="str">
            <v>Resource</v>
          </cell>
          <cell r="Q686" t="str">
            <v>yes</v>
          </cell>
          <cell r="X686" t="str">
            <v xml:space="preserve"> </v>
          </cell>
          <cell r="Y686" t="str">
            <v xml:space="preserve"> </v>
          </cell>
          <cell r="Z686" t="str">
            <v xml:space="preserve"> </v>
          </cell>
        </row>
        <row r="687">
          <cell r="B687" t="str">
            <v>B80</v>
          </cell>
          <cell r="F687">
            <v>12</v>
          </cell>
          <cell r="G687">
            <v>110302</v>
          </cell>
          <cell r="K687">
            <v>0</v>
          </cell>
          <cell r="M687" t="str">
            <v>DEL</v>
          </cell>
          <cell r="N687" t="str">
            <v>Resource</v>
          </cell>
          <cell r="Q687" t="str">
            <v>yes</v>
          </cell>
          <cell r="X687" t="str">
            <v xml:space="preserve"> </v>
          </cell>
          <cell r="Y687" t="str">
            <v xml:space="preserve"> </v>
          </cell>
          <cell r="Z687" t="str">
            <v xml:space="preserve"> </v>
          </cell>
        </row>
        <row r="688">
          <cell r="B688" t="str">
            <v>B99</v>
          </cell>
          <cell r="F688">
            <v>1</v>
          </cell>
          <cell r="G688">
            <v>110403</v>
          </cell>
          <cell r="K688">
            <v>0</v>
          </cell>
          <cell r="M688" t="str">
            <v>non-budget</v>
          </cell>
          <cell r="N688" t="str">
            <v>non-budget</v>
          </cell>
          <cell r="Q688" t="str">
            <v>no</v>
          </cell>
          <cell r="X688" t="str">
            <v xml:space="preserve"> </v>
          </cell>
          <cell r="Y688" t="str">
            <v xml:space="preserve"> </v>
          </cell>
          <cell r="Z688" t="str">
            <v xml:space="preserve"> </v>
          </cell>
        </row>
        <row r="689">
          <cell r="B689" t="str">
            <v>B99</v>
          </cell>
          <cell r="F689">
            <v>1</v>
          </cell>
          <cell r="G689">
            <v>110401</v>
          </cell>
          <cell r="K689">
            <v>0</v>
          </cell>
          <cell r="M689" t="str">
            <v>DEL</v>
          </cell>
          <cell r="N689" t="str">
            <v>Resource</v>
          </cell>
          <cell r="Q689" t="str">
            <v>no</v>
          </cell>
          <cell r="X689">
            <v>4231</v>
          </cell>
          <cell r="Y689" t="str">
            <v xml:space="preserve"> </v>
          </cell>
          <cell r="Z689" t="str">
            <v xml:space="preserve"> </v>
          </cell>
        </row>
        <row r="690">
          <cell r="B690" t="str">
            <v>B80</v>
          </cell>
          <cell r="F690">
            <v>12</v>
          </cell>
          <cell r="G690">
            <v>110302</v>
          </cell>
          <cell r="K690">
            <v>0</v>
          </cell>
          <cell r="M690" t="str">
            <v>DEL</v>
          </cell>
          <cell r="N690" t="str">
            <v>Resource</v>
          </cell>
          <cell r="Q690" t="str">
            <v>yes</v>
          </cell>
          <cell r="X690">
            <v>-490</v>
          </cell>
          <cell r="Y690" t="str">
            <v xml:space="preserve"> </v>
          </cell>
          <cell r="Z690" t="str">
            <v xml:space="preserve"> </v>
          </cell>
        </row>
        <row r="691">
          <cell r="B691" t="str">
            <v>C35</v>
          </cell>
          <cell r="F691">
            <v>1</v>
          </cell>
          <cell r="G691">
            <v>110403</v>
          </cell>
          <cell r="K691">
            <v>0</v>
          </cell>
          <cell r="M691" t="str">
            <v>DEL</v>
          </cell>
          <cell r="N691" t="str">
            <v>Resource</v>
          </cell>
          <cell r="Q691" t="str">
            <v>yes</v>
          </cell>
          <cell r="X691" t="str">
            <v xml:space="preserve"> </v>
          </cell>
          <cell r="Y691" t="str">
            <v xml:space="preserve"> </v>
          </cell>
          <cell r="Z691" t="str">
            <v xml:space="preserve"> </v>
          </cell>
        </row>
        <row r="692">
          <cell r="B692" t="str">
            <v>C35</v>
          </cell>
          <cell r="F692">
            <v>1</v>
          </cell>
          <cell r="G692">
            <v>110409</v>
          </cell>
          <cell r="K692">
            <v>0</v>
          </cell>
          <cell r="M692" t="str">
            <v>DEL</v>
          </cell>
          <cell r="N692" t="str">
            <v>Resource</v>
          </cell>
          <cell r="Q692" t="str">
            <v>yes</v>
          </cell>
          <cell r="X692" t="str">
            <v xml:space="preserve"> </v>
          </cell>
          <cell r="Y692" t="str">
            <v xml:space="preserve"> </v>
          </cell>
          <cell r="Z692" t="str">
            <v xml:space="preserve"> </v>
          </cell>
        </row>
        <row r="693">
          <cell r="B693" t="str">
            <v>D10</v>
          </cell>
          <cell r="F693">
            <v>1</v>
          </cell>
          <cell r="G693">
            <v>110101</v>
          </cell>
          <cell r="K693">
            <v>0</v>
          </cell>
          <cell r="M693" t="str">
            <v>DEL</v>
          </cell>
          <cell r="N693" t="str">
            <v>Resource</v>
          </cell>
          <cell r="Q693" t="str">
            <v>yes</v>
          </cell>
          <cell r="X693">
            <v>482219</v>
          </cell>
          <cell r="Y693" t="str">
            <v xml:space="preserve"> </v>
          </cell>
          <cell r="Z693" t="str">
            <v xml:space="preserve"> </v>
          </cell>
        </row>
        <row r="694">
          <cell r="B694" t="str">
            <v>B99</v>
          </cell>
          <cell r="F694">
            <v>2</v>
          </cell>
          <cell r="G694">
            <v>110401</v>
          </cell>
          <cell r="K694">
            <v>0</v>
          </cell>
          <cell r="M694" t="str">
            <v>DEL</v>
          </cell>
          <cell r="N694" t="str">
            <v>Resource</v>
          </cell>
          <cell r="Q694" t="str">
            <v>no</v>
          </cell>
          <cell r="X694" t="str">
            <v xml:space="preserve"> </v>
          </cell>
          <cell r="Y694">
            <v>4231</v>
          </cell>
          <cell r="Z694">
            <v>4231</v>
          </cell>
        </row>
        <row r="695">
          <cell r="B695" t="str">
            <v>B99</v>
          </cell>
          <cell r="F695">
            <v>1</v>
          </cell>
          <cell r="G695">
            <v>110401</v>
          </cell>
          <cell r="K695">
            <v>0</v>
          </cell>
          <cell r="M695" t="str">
            <v>DEL</v>
          </cell>
          <cell r="N695" t="str">
            <v>Resource</v>
          </cell>
          <cell r="Q695" t="str">
            <v>no</v>
          </cell>
          <cell r="X695">
            <v>2460</v>
          </cell>
          <cell r="Y695" t="str">
            <v xml:space="preserve"> </v>
          </cell>
          <cell r="Z695" t="str">
            <v xml:space="preserve"> </v>
          </cell>
        </row>
        <row r="696">
          <cell r="B696" t="str">
            <v>B99</v>
          </cell>
          <cell r="F696">
            <v>1</v>
          </cell>
          <cell r="G696">
            <v>110401</v>
          </cell>
          <cell r="K696">
            <v>0</v>
          </cell>
          <cell r="M696" t="str">
            <v>DEL</v>
          </cell>
          <cell r="N696" t="str">
            <v>Resource</v>
          </cell>
          <cell r="Q696" t="str">
            <v>no</v>
          </cell>
          <cell r="X696">
            <v>500</v>
          </cell>
          <cell r="Y696" t="str">
            <v xml:space="preserve"> </v>
          </cell>
          <cell r="Z696" t="str">
            <v xml:space="preserve"> </v>
          </cell>
        </row>
        <row r="697">
          <cell r="B697" t="str">
            <v>D10</v>
          </cell>
          <cell r="F697">
            <v>3</v>
          </cell>
          <cell r="G697">
            <v>110101</v>
          </cell>
          <cell r="K697">
            <v>0</v>
          </cell>
          <cell r="M697" t="str">
            <v>DEL</v>
          </cell>
          <cell r="N697" t="str">
            <v>Resource</v>
          </cell>
          <cell r="Q697" t="str">
            <v>yes</v>
          </cell>
          <cell r="X697" t="str">
            <v xml:space="preserve"> </v>
          </cell>
          <cell r="Y697" t="str">
            <v xml:space="preserve"> </v>
          </cell>
          <cell r="Z697" t="str">
            <v xml:space="preserve"> </v>
          </cell>
        </row>
        <row r="698">
          <cell r="B698" t="str">
            <v>D10</v>
          </cell>
          <cell r="F698">
            <v>3</v>
          </cell>
          <cell r="G698">
            <v>110302</v>
          </cell>
          <cell r="K698">
            <v>0</v>
          </cell>
          <cell r="M698" t="str">
            <v>DEL</v>
          </cell>
          <cell r="N698" t="str">
            <v>Resource</v>
          </cell>
          <cell r="Q698" t="str">
            <v>yes</v>
          </cell>
          <cell r="X698" t="str">
            <v xml:space="preserve"> </v>
          </cell>
          <cell r="Y698" t="str">
            <v xml:space="preserve"> </v>
          </cell>
          <cell r="Z698" t="str">
            <v xml:space="preserve"> </v>
          </cell>
        </row>
        <row r="699">
          <cell r="B699" t="str">
            <v>B99</v>
          </cell>
          <cell r="F699">
            <v>2</v>
          </cell>
          <cell r="G699">
            <v>110401</v>
          </cell>
          <cell r="K699">
            <v>0</v>
          </cell>
          <cell r="M699" t="str">
            <v>DEL</v>
          </cell>
          <cell r="N699" t="str">
            <v>Resource</v>
          </cell>
          <cell r="Q699" t="str">
            <v>no</v>
          </cell>
          <cell r="X699" t="str">
            <v xml:space="preserve"> </v>
          </cell>
          <cell r="Y699">
            <v>2460</v>
          </cell>
          <cell r="Z699">
            <v>2460</v>
          </cell>
        </row>
        <row r="700">
          <cell r="B700" t="str">
            <v>D10</v>
          </cell>
          <cell r="F700">
            <v>4</v>
          </cell>
          <cell r="G700">
            <v>110101</v>
          </cell>
          <cell r="K700">
            <v>0</v>
          </cell>
          <cell r="M700" t="str">
            <v>DEL</v>
          </cell>
          <cell r="N700" t="str">
            <v>Resource</v>
          </cell>
          <cell r="Q700" t="str">
            <v>yes</v>
          </cell>
          <cell r="X700" t="str">
            <v xml:space="preserve"> </v>
          </cell>
          <cell r="Y700" t="str">
            <v xml:space="preserve"> </v>
          </cell>
          <cell r="Z700" t="str">
            <v xml:space="preserve"> </v>
          </cell>
        </row>
        <row r="701">
          <cell r="B701" t="str">
            <v>D10</v>
          </cell>
          <cell r="F701">
            <v>2</v>
          </cell>
          <cell r="G701">
            <v>110101</v>
          </cell>
          <cell r="K701">
            <v>0</v>
          </cell>
          <cell r="M701" t="str">
            <v>DEL</v>
          </cell>
          <cell r="N701" t="str">
            <v>Resource</v>
          </cell>
          <cell r="Q701" t="str">
            <v>yes</v>
          </cell>
          <cell r="X701" t="str">
            <v xml:space="preserve"> </v>
          </cell>
          <cell r="Y701">
            <v>356219</v>
          </cell>
          <cell r="Z701">
            <v>356219</v>
          </cell>
        </row>
        <row r="702">
          <cell r="B702" t="str">
            <v>B99</v>
          </cell>
          <cell r="F702">
            <v>2</v>
          </cell>
          <cell r="G702">
            <v>110401</v>
          </cell>
          <cell r="K702">
            <v>0</v>
          </cell>
          <cell r="M702" t="str">
            <v>DEL</v>
          </cell>
          <cell r="N702" t="str">
            <v>Resource</v>
          </cell>
          <cell r="Q702" t="str">
            <v>no</v>
          </cell>
          <cell r="X702" t="str">
            <v xml:space="preserve"> </v>
          </cell>
          <cell r="Y702">
            <v>500</v>
          </cell>
          <cell r="Z702">
            <v>500</v>
          </cell>
        </row>
        <row r="703">
          <cell r="B703" t="str">
            <v>B99</v>
          </cell>
          <cell r="F703">
            <v>1</v>
          </cell>
          <cell r="G703">
            <v>110405</v>
          </cell>
          <cell r="K703">
            <v>0</v>
          </cell>
          <cell r="M703" t="str">
            <v>DEL</v>
          </cell>
          <cell r="N703" t="str">
            <v>Resource</v>
          </cell>
          <cell r="Q703" t="str">
            <v>no</v>
          </cell>
          <cell r="X703" t="str">
            <v xml:space="preserve"> </v>
          </cell>
          <cell r="Y703" t="str">
            <v xml:space="preserve"> </v>
          </cell>
          <cell r="Z703" t="str">
            <v xml:space="preserve"> </v>
          </cell>
        </row>
        <row r="704">
          <cell r="B704" t="str">
            <v>D10</v>
          </cell>
          <cell r="F704">
            <v>3</v>
          </cell>
          <cell r="G704">
            <v>110302</v>
          </cell>
          <cell r="K704">
            <v>0</v>
          </cell>
          <cell r="M704" t="str">
            <v>DEL</v>
          </cell>
          <cell r="N704" t="str">
            <v>Resource</v>
          </cell>
          <cell r="Q704" t="str">
            <v>yes</v>
          </cell>
          <cell r="X704" t="str">
            <v xml:space="preserve"> </v>
          </cell>
          <cell r="Y704" t="str">
            <v xml:space="preserve"> </v>
          </cell>
          <cell r="Z704" t="str">
            <v xml:space="preserve"> </v>
          </cell>
        </row>
        <row r="705">
          <cell r="B705" t="str">
            <v>D10</v>
          </cell>
          <cell r="F705">
            <v>12</v>
          </cell>
          <cell r="G705">
            <v>110101</v>
          </cell>
          <cell r="K705">
            <v>0</v>
          </cell>
          <cell r="M705" t="str">
            <v>DEL</v>
          </cell>
          <cell r="N705" t="str">
            <v>Resource</v>
          </cell>
          <cell r="Q705" t="str">
            <v>yes</v>
          </cell>
          <cell r="X705" t="str">
            <v xml:space="preserve"> </v>
          </cell>
          <cell r="Y705" t="str">
            <v xml:space="preserve"> </v>
          </cell>
          <cell r="Z705" t="str">
            <v xml:space="preserve"> </v>
          </cell>
        </row>
        <row r="706">
          <cell r="B706" t="str">
            <v>D10</v>
          </cell>
          <cell r="F706">
            <v>1</v>
          </cell>
          <cell r="G706">
            <v>110201</v>
          </cell>
          <cell r="K706" t="str">
            <v>PSS</v>
          </cell>
          <cell r="M706" t="str">
            <v>DEL</v>
          </cell>
          <cell r="N706" t="str">
            <v>Resource</v>
          </cell>
          <cell r="Q706" t="str">
            <v>yes</v>
          </cell>
          <cell r="X706">
            <v>162</v>
          </cell>
          <cell r="Y706" t="str">
            <v xml:space="preserve"> </v>
          </cell>
          <cell r="Z706" t="str">
            <v xml:space="preserve"> </v>
          </cell>
        </row>
        <row r="707">
          <cell r="B707" t="str">
            <v>D10</v>
          </cell>
          <cell r="F707">
            <v>6</v>
          </cell>
          <cell r="G707">
            <v>110201</v>
          </cell>
          <cell r="K707" t="str">
            <v>PSS</v>
          </cell>
          <cell r="M707" t="str">
            <v>DEL</v>
          </cell>
          <cell r="N707" t="str">
            <v>Resource</v>
          </cell>
          <cell r="Q707" t="str">
            <v>yes</v>
          </cell>
          <cell r="X707" t="str">
            <v xml:space="preserve"> </v>
          </cell>
          <cell r="Y707" t="str">
            <v xml:space="preserve"> </v>
          </cell>
          <cell r="Z707" t="str">
            <v xml:space="preserve"> </v>
          </cell>
        </row>
        <row r="708">
          <cell r="B708" t="str">
            <v>D10</v>
          </cell>
          <cell r="F708">
            <v>2</v>
          </cell>
          <cell r="G708">
            <v>110201</v>
          </cell>
          <cell r="K708" t="str">
            <v>PSS</v>
          </cell>
          <cell r="M708" t="str">
            <v>DEL</v>
          </cell>
          <cell r="N708" t="str">
            <v>Resource</v>
          </cell>
          <cell r="Q708" t="str">
            <v>yes</v>
          </cell>
          <cell r="X708" t="str">
            <v xml:space="preserve"> </v>
          </cell>
          <cell r="Y708" t="str">
            <v xml:space="preserve"> </v>
          </cell>
          <cell r="Z708" t="str">
            <v xml:space="preserve"> </v>
          </cell>
        </row>
        <row r="709">
          <cell r="B709" t="str">
            <v>D10</v>
          </cell>
          <cell r="F709">
            <v>2</v>
          </cell>
          <cell r="G709">
            <v>110201</v>
          </cell>
          <cell r="K709" t="str">
            <v>PSS</v>
          </cell>
          <cell r="M709" t="str">
            <v>DEL</v>
          </cell>
          <cell r="N709" t="str">
            <v>Resource</v>
          </cell>
          <cell r="Q709" t="str">
            <v>yes</v>
          </cell>
          <cell r="X709" t="str">
            <v xml:space="preserve"> </v>
          </cell>
          <cell r="Y709">
            <v>162</v>
          </cell>
          <cell r="Z709">
            <v>162</v>
          </cell>
        </row>
        <row r="710">
          <cell r="B710" t="str">
            <v>D10</v>
          </cell>
          <cell r="F710">
            <v>6</v>
          </cell>
          <cell r="G710">
            <v>110201</v>
          </cell>
          <cell r="K710" t="str">
            <v>PSS</v>
          </cell>
          <cell r="M710" t="str">
            <v>DEL</v>
          </cell>
          <cell r="N710" t="str">
            <v>Resource</v>
          </cell>
          <cell r="Q710" t="str">
            <v>yes</v>
          </cell>
          <cell r="X710" t="str">
            <v xml:space="preserve"> </v>
          </cell>
          <cell r="Y710" t="str">
            <v xml:space="preserve"> </v>
          </cell>
          <cell r="Z710" t="str">
            <v xml:space="preserve"> </v>
          </cell>
        </row>
        <row r="711">
          <cell r="B711" t="str">
            <v>D10</v>
          </cell>
          <cell r="F711">
            <v>1</v>
          </cell>
          <cell r="G711">
            <v>110302</v>
          </cell>
          <cell r="K711">
            <v>0</v>
          </cell>
          <cell r="M711" t="str">
            <v>DEL</v>
          </cell>
          <cell r="N711" t="str">
            <v>Resource</v>
          </cell>
          <cell r="Q711" t="str">
            <v>yes</v>
          </cell>
          <cell r="X711">
            <v>1125</v>
          </cell>
          <cell r="Y711" t="str">
            <v xml:space="preserve"> </v>
          </cell>
          <cell r="Z711" t="str">
            <v xml:space="preserve"> </v>
          </cell>
        </row>
        <row r="712">
          <cell r="B712" t="str">
            <v>D10</v>
          </cell>
          <cell r="F712">
            <v>12</v>
          </cell>
          <cell r="G712">
            <v>110201</v>
          </cell>
          <cell r="K712" t="str">
            <v>PSS</v>
          </cell>
          <cell r="M712" t="str">
            <v>DEL</v>
          </cell>
          <cell r="N712" t="str">
            <v>Resource</v>
          </cell>
          <cell r="Q712" t="str">
            <v>yes</v>
          </cell>
          <cell r="X712">
            <v>-12</v>
          </cell>
          <cell r="Y712" t="str">
            <v xml:space="preserve"> </v>
          </cell>
          <cell r="Z712" t="str">
            <v xml:space="preserve"> </v>
          </cell>
        </row>
        <row r="713">
          <cell r="B713" t="str">
            <v>D10</v>
          </cell>
          <cell r="F713">
            <v>1</v>
          </cell>
          <cell r="G713">
            <v>110302</v>
          </cell>
          <cell r="K713">
            <v>0</v>
          </cell>
          <cell r="M713" t="str">
            <v>DEL</v>
          </cell>
          <cell r="N713" t="str">
            <v>Resource</v>
          </cell>
          <cell r="Q713" t="str">
            <v>yes</v>
          </cell>
          <cell r="X713">
            <v>24769</v>
          </cell>
          <cell r="Y713" t="str">
            <v xml:space="preserve"> </v>
          </cell>
          <cell r="Z713" t="str">
            <v xml:space="preserve"> </v>
          </cell>
        </row>
        <row r="714">
          <cell r="B714" t="str">
            <v>D10</v>
          </cell>
          <cell r="F714">
            <v>2</v>
          </cell>
          <cell r="G714">
            <v>110302</v>
          </cell>
          <cell r="K714">
            <v>0</v>
          </cell>
          <cell r="M714" t="str">
            <v>DEL</v>
          </cell>
          <cell r="N714" t="str">
            <v>Resource</v>
          </cell>
          <cell r="Q714" t="str">
            <v>yes</v>
          </cell>
          <cell r="X714" t="str">
            <v xml:space="preserve"> </v>
          </cell>
          <cell r="Y714" t="str">
            <v xml:space="preserve"> </v>
          </cell>
          <cell r="Z714" t="str">
            <v xml:space="preserve"> </v>
          </cell>
        </row>
        <row r="715">
          <cell r="B715" t="str">
            <v>D10</v>
          </cell>
          <cell r="F715">
            <v>8</v>
          </cell>
          <cell r="G715">
            <v>110302</v>
          </cell>
          <cell r="K715">
            <v>0</v>
          </cell>
          <cell r="M715" t="str">
            <v>DEL</v>
          </cell>
          <cell r="N715" t="str">
            <v>Resource</v>
          </cell>
          <cell r="Q715" t="str">
            <v>yes</v>
          </cell>
          <cell r="X715" t="str">
            <v xml:space="preserve"> </v>
          </cell>
          <cell r="Y715" t="str">
            <v xml:space="preserve"> </v>
          </cell>
          <cell r="Z715" t="str">
            <v xml:space="preserve"> </v>
          </cell>
        </row>
        <row r="716">
          <cell r="B716" t="str">
            <v>D10</v>
          </cell>
          <cell r="F716">
            <v>2</v>
          </cell>
          <cell r="G716">
            <v>110302</v>
          </cell>
          <cell r="K716">
            <v>0</v>
          </cell>
          <cell r="M716" t="str">
            <v>DEL</v>
          </cell>
          <cell r="N716" t="str">
            <v>Resource</v>
          </cell>
          <cell r="Q716" t="str">
            <v>yes</v>
          </cell>
          <cell r="X716" t="str">
            <v xml:space="preserve"> </v>
          </cell>
          <cell r="Y716" t="str">
            <v xml:space="preserve"> </v>
          </cell>
          <cell r="Z716" t="str">
            <v xml:space="preserve"> </v>
          </cell>
        </row>
        <row r="717">
          <cell r="B717" t="str">
            <v>D10</v>
          </cell>
          <cell r="F717">
            <v>2</v>
          </cell>
          <cell r="G717">
            <v>110302</v>
          </cell>
          <cell r="K717">
            <v>0</v>
          </cell>
          <cell r="M717" t="str">
            <v>DEL</v>
          </cell>
          <cell r="N717" t="str">
            <v>Resource</v>
          </cell>
          <cell r="Q717" t="str">
            <v>yes</v>
          </cell>
          <cell r="X717" t="str">
            <v xml:space="preserve"> </v>
          </cell>
          <cell r="Y717">
            <v>28386</v>
          </cell>
          <cell r="Z717">
            <v>28386</v>
          </cell>
        </row>
        <row r="718">
          <cell r="B718" t="str">
            <v>D10</v>
          </cell>
          <cell r="F718">
            <v>2</v>
          </cell>
          <cell r="G718">
            <v>110302</v>
          </cell>
          <cell r="K718">
            <v>0</v>
          </cell>
          <cell r="M718" t="str">
            <v>DEL</v>
          </cell>
          <cell r="N718" t="str">
            <v>Resource</v>
          </cell>
          <cell r="Q718" t="str">
            <v>yes</v>
          </cell>
          <cell r="X718" t="str">
            <v xml:space="preserve"> </v>
          </cell>
          <cell r="Y718">
            <v>1125</v>
          </cell>
          <cell r="Z718">
            <v>1125</v>
          </cell>
        </row>
        <row r="719">
          <cell r="B719" t="str">
            <v>D10</v>
          </cell>
          <cell r="F719">
            <v>6</v>
          </cell>
          <cell r="G719">
            <v>110302</v>
          </cell>
          <cell r="K719">
            <v>0</v>
          </cell>
          <cell r="M719" t="str">
            <v>DEL</v>
          </cell>
          <cell r="N719" t="str">
            <v>Resource</v>
          </cell>
          <cell r="Q719" t="str">
            <v>yes</v>
          </cell>
          <cell r="X719" t="str">
            <v xml:space="preserve"> </v>
          </cell>
          <cell r="Y719" t="str">
            <v xml:space="preserve"> </v>
          </cell>
          <cell r="Z719" t="str">
            <v xml:space="preserve"> </v>
          </cell>
        </row>
        <row r="720">
          <cell r="B720" t="str">
            <v>B99</v>
          </cell>
          <cell r="F720">
            <v>2</v>
          </cell>
          <cell r="G720">
            <v>110301</v>
          </cell>
          <cell r="K720">
            <v>0</v>
          </cell>
          <cell r="M720" t="str">
            <v>DEL</v>
          </cell>
          <cell r="N720" t="str">
            <v>Resource</v>
          </cell>
          <cell r="Q720" t="str">
            <v>no</v>
          </cell>
          <cell r="X720" t="str">
            <v xml:space="preserve"> </v>
          </cell>
          <cell r="Y720">
            <v>-4604</v>
          </cell>
          <cell r="Z720">
            <v>-4604</v>
          </cell>
        </row>
        <row r="721">
          <cell r="B721" t="str">
            <v>D20</v>
          </cell>
          <cell r="F721">
            <v>2</v>
          </cell>
          <cell r="G721">
            <v>110301</v>
          </cell>
          <cell r="K721">
            <v>0</v>
          </cell>
          <cell r="M721" t="str">
            <v>DEL</v>
          </cell>
          <cell r="N721" t="str">
            <v>Resource</v>
          </cell>
          <cell r="Q721" t="str">
            <v>yes</v>
          </cell>
          <cell r="X721" t="str">
            <v xml:space="preserve"> </v>
          </cell>
          <cell r="Y721" t="str">
            <v xml:space="preserve"> </v>
          </cell>
          <cell r="Z721" t="str">
            <v xml:space="preserve"> </v>
          </cell>
        </row>
        <row r="722">
          <cell r="B722" t="str">
            <v>D10</v>
          </cell>
          <cell r="F722">
            <v>4</v>
          </cell>
          <cell r="G722">
            <v>110302</v>
          </cell>
          <cell r="K722">
            <v>0</v>
          </cell>
          <cell r="M722" t="str">
            <v>DEL</v>
          </cell>
          <cell r="N722" t="str">
            <v>Resource</v>
          </cell>
          <cell r="Q722" t="str">
            <v>yes</v>
          </cell>
          <cell r="X722" t="str">
            <v xml:space="preserve"> </v>
          </cell>
          <cell r="Y722" t="str">
            <v xml:space="preserve"> </v>
          </cell>
          <cell r="Z722" t="str">
            <v xml:space="preserve"> </v>
          </cell>
        </row>
        <row r="723">
          <cell r="B723" t="str">
            <v>D10</v>
          </cell>
          <cell r="F723">
            <v>12</v>
          </cell>
          <cell r="G723">
            <v>110302</v>
          </cell>
          <cell r="K723">
            <v>0</v>
          </cell>
          <cell r="M723" t="str">
            <v>DEL</v>
          </cell>
          <cell r="N723" t="str">
            <v>Resource</v>
          </cell>
          <cell r="Q723" t="str">
            <v>yes</v>
          </cell>
          <cell r="X723">
            <v>1150</v>
          </cell>
          <cell r="Y723" t="str">
            <v xml:space="preserve"> </v>
          </cell>
          <cell r="Z723" t="str">
            <v xml:space="preserve"> </v>
          </cell>
        </row>
        <row r="724">
          <cell r="B724" t="str">
            <v>B99</v>
          </cell>
          <cell r="F724">
            <v>1</v>
          </cell>
          <cell r="G724">
            <v>110407</v>
          </cell>
          <cell r="K724">
            <v>0</v>
          </cell>
          <cell r="M724" t="str">
            <v>DEL</v>
          </cell>
          <cell r="N724" t="str">
            <v>Resource</v>
          </cell>
          <cell r="Q724" t="str">
            <v>no</v>
          </cell>
          <cell r="X724">
            <v>60</v>
          </cell>
          <cell r="Y724" t="str">
            <v xml:space="preserve"> </v>
          </cell>
          <cell r="Z724" t="str">
            <v xml:space="preserve"> </v>
          </cell>
        </row>
        <row r="725">
          <cell r="B725" t="str">
            <v>B99</v>
          </cell>
          <cell r="F725">
            <v>2</v>
          </cell>
          <cell r="G725">
            <v>110407</v>
          </cell>
          <cell r="K725">
            <v>0</v>
          </cell>
          <cell r="M725" t="str">
            <v>DEL</v>
          </cell>
          <cell r="N725" t="str">
            <v>Resource</v>
          </cell>
          <cell r="Q725" t="str">
            <v>no</v>
          </cell>
          <cell r="X725" t="str">
            <v xml:space="preserve"> </v>
          </cell>
          <cell r="Y725">
            <v>60</v>
          </cell>
          <cell r="Z725">
            <v>60</v>
          </cell>
        </row>
        <row r="726">
          <cell r="B726" t="str">
            <v>B99</v>
          </cell>
          <cell r="F726">
            <v>6</v>
          </cell>
          <cell r="G726">
            <v>110407</v>
          </cell>
          <cell r="K726">
            <v>0</v>
          </cell>
          <cell r="M726" t="str">
            <v>DEL</v>
          </cell>
          <cell r="N726" t="str">
            <v>Resource</v>
          </cell>
          <cell r="Q726" t="str">
            <v>no</v>
          </cell>
          <cell r="X726" t="str">
            <v xml:space="preserve"> </v>
          </cell>
          <cell r="Y726" t="str">
            <v xml:space="preserve"> </v>
          </cell>
          <cell r="Z726" t="str">
            <v xml:space="preserve"> </v>
          </cell>
        </row>
        <row r="727">
          <cell r="B727" t="str">
            <v>D20</v>
          </cell>
          <cell r="F727">
            <v>2</v>
          </cell>
          <cell r="G727">
            <v>110301</v>
          </cell>
          <cell r="K727">
            <v>0</v>
          </cell>
          <cell r="M727" t="str">
            <v>DEL</v>
          </cell>
          <cell r="N727" t="str">
            <v>Resource</v>
          </cell>
          <cell r="Q727" t="str">
            <v>yes</v>
          </cell>
          <cell r="X727" t="str">
            <v xml:space="preserve"> </v>
          </cell>
          <cell r="Y727" t="str">
            <v xml:space="preserve"> </v>
          </cell>
          <cell r="Z727" t="str">
            <v xml:space="preserve"> </v>
          </cell>
        </row>
        <row r="728">
          <cell r="B728" t="str">
            <v>B99</v>
          </cell>
          <cell r="F728">
            <v>1</v>
          </cell>
          <cell r="G728">
            <v>110407</v>
          </cell>
          <cell r="K728">
            <v>0</v>
          </cell>
          <cell r="M728" t="str">
            <v>DEL</v>
          </cell>
          <cell r="N728" t="str">
            <v>Resource</v>
          </cell>
          <cell r="Q728" t="str">
            <v>no</v>
          </cell>
          <cell r="X728">
            <v>37</v>
          </cell>
          <cell r="Y728" t="str">
            <v xml:space="preserve"> </v>
          </cell>
          <cell r="Z728" t="str">
            <v xml:space="preserve"> </v>
          </cell>
        </row>
        <row r="729">
          <cell r="B729" t="str">
            <v>B99</v>
          </cell>
          <cell r="F729">
            <v>1</v>
          </cell>
          <cell r="G729">
            <v>110407</v>
          </cell>
          <cell r="K729">
            <v>0</v>
          </cell>
          <cell r="M729" t="str">
            <v>DEL</v>
          </cell>
          <cell r="N729" t="str">
            <v>Resource</v>
          </cell>
          <cell r="Q729" t="str">
            <v>no</v>
          </cell>
          <cell r="X729">
            <v>6</v>
          </cell>
          <cell r="Y729" t="str">
            <v xml:space="preserve"> </v>
          </cell>
          <cell r="Z729" t="str">
            <v xml:space="preserve"> </v>
          </cell>
        </row>
        <row r="730">
          <cell r="B730" t="str">
            <v>D10</v>
          </cell>
          <cell r="F730">
            <v>12</v>
          </cell>
          <cell r="G730">
            <v>110302</v>
          </cell>
          <cell r="K730">
            <v>0</v>
          </cell>
          <cell r="M730" t="str">
            <v>DEL</v>
          </cell>
          <cell r="N730" t="str">
            <v>Resource</v>
          </cell>
          <cell r="Q730" t="str">
            <v>yes</v>
          </cell>
          <cell r="X730" t="str">
            <v xml:space="preserve"> </v>
          </cell>
          <cell r="Y730" t="str">
            <v xml:space="preserve"> </v>
          </cell>
          <cell r="Z730" t="str">
            <v xml:space="preserve"> </v>
          </cell>
        </row>
        <row r="731">
          <cell r="B731" t="str">
            <v>D10</v>
          </cell>
          <cell r="F731">
            <v>12</v>
          </cell>
          <cell r="G731">
            <v>110302</v>
          </cell>
          <cell r="K731">
            <v>0</v>
          </cell>
          <cell r="M731" t="str">
            <v>DEL</v>
          </cell>
          <cell r="N731" t="str">
            <v>Resource</v>
          </cell>
          <cell r="Q731" t="str">
            <v>yes</v>
          </cell>
          <cell r="X731">
            <v>234</v>
          </cell>
          <cell r="Y731" t="str">
            <v xml:space="preserve"> </v>
          </cell>
          <cell r="Z731" t="str">
            <v xml:space="preserve"> </v>
          </cell>
        </row>
        <row r="732">
          <cell r="B732" t="str">
            <v>D10</v>
          </cell>
          <cell r="F732">
            <v>9</v>
          </cell>
          <cell r="G732">
            <v>110101</v>
          </cell>
          <cell r="K732">
            <v>0</v>
          </cell>
          <cell r="M732" t="str">
            <v>DEL</v>
          </cell>
          <cell r="N732" t="str">
            <v>Resource</v>
          </cell>
          <cell r="Q732" t="str">
            <v>yes</v>
          </cell>
          <cell r="X732" t="str">
            <v xml:space="preserve"> </v>
          </cell>
          <cell r="Y732" t="str">
            <v xml:space="preserve"> </v>
          </cell>
          <cell r="Z732" t="str">
            <v xml:space="preserve"> </v>
          </cell>
        </row>
        <row r="733">
          <cell r="B733" t="str">
            <v>D10</v>
          </cell>
          <cell r="F733">
            <v>9</v>
          </cell>
          <cell r="G733">
            <v>110201</v>
          </cell>
          <cell r="K733" t="str">
            <v>PSS</v>
          </cell>
          <cell r="M733" t="str">
            <v>DEL</v>
          </cell>
          <cell r="N733" t="str">
            <v>Resource</v>
          </cell>
          <cell r="Q733" t="str">
            <v>yes</v>
          </cell>
          <cell r="X733" t="str">
            <v xml:space="preserve"> </v>
          </cell>
          <cell r="Y733" t="str">
            <v xml:space="preserve"> </v>
          </cell>
          <cell r="Z733" t="str">
            <v xml:space="preserve"> </v>
          </cell>
        </row>
        <row r="734">
          <cell r="B734" t="str">
            <v>D10</v>
          </cell>
          <cell r="F734">
            <v>9</v>
          </cell>
          <cell r="G734">
            <v>110302</v>
          </cell>
          <cell r="K734">
            <v>0</v>
          </cell>
          <cell r="M734" t="str">
            <v>DEL</v>
          </cell>
          <cell r="N734" t="str">
            <v>Resource</v>
          </cell>
          <cell r="Q734" t="str">
            <v>yes</v>
          </cell>
          <cell r="X734" t="str">
            <v xml:space="preserve"> </v>
          </cell>
          <cell r="Y734" t="str">
            <v xml:space="preserve"> </v>
          </cell>
          <cell r="Z734" t="str">
            <v xml:space="preserve"> </v>
          </cell>
        </row>
        <row r="735">
          <cell r="B735" t="str">
            <v>D20</v>
          </cell>
          <cell r="F735">
            <v>2</v>
          </cell>
          <cell r="G735">
            <v>110301</v>
          </cell>
          <cell r="K735">
            <v>0</v>
          </cell>
          <cell r="M735" t="str">
            <v>DEL</v>
          </cell>
          <cell r="N735" t="str">
            <v>Resource</v>
          </cell>
          <cell r="Q735" t="str">
            <v>yes</v>
          </cell>
          <cell r="X735" t="str">
            <v xml:space="preserve"> </v>
          </cell>
          <cell r="Y735" t="str">
            <v xml:space="preserve"> </v>
          </cell>
          <cell r="Z735" t="str">
            <v xml:space="preserve"> </v>
          </cell>
        </row>
        <row r="736">
          <cell r="B736" t="str">
            <v>D20</v>
          </cell>
          <cell r="F736">
            <v>2</v>
          </cell>
          <cell r="G736">
            <v>110301</v>
          </cell>
          <cell r="K736">
            <v>0</v>
          </cell>
          <cell r="M736" t="str">
            <v>DEL</v>
          </cell>
          <cell r="N736" t="str">
            <v>Resource</v>
          </cell>
          <cell r="Q736" t="str">
            <v>yes</v>
          </cell>
          <cell r="X736" t="str">
            <v xml:space="preserve"> </v>
          </cell>
          <cell r="Y736">
            <v>-25000</v>
          </cell>
          <cell r="Z736">
            <v>-25000</v>
          </cell>
        </row>
        <row r="737">
          <cell r="B737" t="str">
            <v>D20</v>
          </cell>
          <cell r="F737">
            <v>2</v>
          </cell>
          <cell r="G737">
            <v>110301</v>
          </cell>
          <cell r="K737">
            <v>0</v>
          </cell>
          <cell r="M737" t="str">
            <v>DEL</v>
          </cell>
          <cell r="N737" t="str">
            <v>Resource</v>
          </cell>
          <cell r="Q737" t="str">
            <v>yes</v>
          </cell>
          <cell r="X737" t="str">
            <v xml:space="preserve"> </v>
          </cell>
          <cell r="Y737">
            <v>377000</v>
          </cell>
          <cell r="Z737">
            <v>377000</v>
          </cell>
        </row>
        <row r="738">
          <cell r="B738" t="str">
            <v>L10</v>
          </cell>
          <cell r="F738">
            <v>2</v>
          </cell>
          <cell r="G738">
            <v>110301</v>
          </cell>
          <cell r="K738">
            <v>0</v>
          </cell>
          <cell r="M738" t="str">
            <v>DEL</v>
          </cell>
          <cell r="N738" t="str">
            <v>Resource</v>
          </cell>
          <cell r="Q738" t="str">
            <v>no</v>
          </cell>
          <cell r="X738" t="str">
            <v xml:space="preserve"> </v>
          </cell>
          <cell r="Y738" t="str">
            <v xml:space="preserve"> </v>
          </cell>
          <cell r="Z738" t="str">
            <v xml:space="preserve"> </v>
          </cell>
        </row>
        <row r="739">
          <cell r="B739" t="str">
            <v>L21</v>
          </cell>
          <cell r="F739">
            <v>2</v>
          </cell>
          <cell r="G739">
            <v>110301</v>
          </cell>
          <cell r="K739">
            <v>0</v>
          </cell>
          <cell r="M739" t="str">
            <v>DEL</v>
          </cell>
          <cell r="N739" t="str">
            <v>Resource</v>
          </cell>
          <cell r="Q739" t="str">
            <v>no</v>
          </cell>
          <cell r="X739" t="str">
            <v xml:space="preserve"> </v>
          </cell>
          <cell r="Y739" t="str">
            <v xml:space="preserve"> </v>
          </cell>
          <cell r="Z739" t="str">
            <v xml:space="preserve"> </v>
          </cell>
        </row>
        <row r="740">
          <cell r="B740" t="str">
            <v>D40</v>
          </cell>
          <cell r="F740">
            <v>3</v>
          </cell>
          <cell r="G740">
            <v>180700</v>
          </cell>
          <cell r="K740">
            <v>0</v>
          </cell>
          <cell r="M740" t="str">
            <v>AME</v>
          </cell>
          <cell r="N740" t="str">
            <v>Resource</v>
          </cell>
          <cell r="Q740" t="str">
            <v>yes</v>
          </cell>
          <cell r="X740" t="str">
            <v xml:space="preserve"> </v>
          </cell>
          <cell r="Y740" t="str">
            <v xml:space="preserve"> </v>
          </cell>
          <cell r="Z740">
            <v>4924981</v>
          </cell>
        </row>
        <row r="741">
          <cell r="B741" t="str">
            <v>D20</v>
          </cell>
          <cell r="F741">
            <v>3</v>
          </cell>
          <cell r="G741">
            <v>110301</v>
          </cell>
          <cell r="K741">
            <v>0</v>
          </cell>
          <cell r="M741" t="str">
            <v>DEL</v>
          </cell>
          <cell r="N741" t="str">
            <v>Resource</v>
          </cell>
          <cell r="Q741" t="str">
            <v>yes</v>
          </cell>
          <cell r="X741">
            <v>377000</v>
          </cell>
          <cell r="Y741">
            <v>377000</v>
          </cell>
          <cell r="Z741">
            <v>377000</v>
          </cell>
        </row>
        <row r="742">
          <cell r="B742" t="str">
            <v>D40</v>
          </cell>
          <cell r="F742">
            <v>3</v>
          </cell>
          <cell r="G742">
            <v>180700</v>
          </cell>
          <cell r="K742">
            <v>0</v>
          </cell>
          <cell r="M742" t="str">
            <v>AME</v>
          </cell>
          <cell r="N742" t="str">
            <v>Resource</v>
          </cell>
          <cell r="Q742" t="str">
            <v>yes</v>
          </cell>
          <cell r="X742" t="str">
            <v xml:space="preserve"> </v>
          </cell>
          <cell r="Y742" t="str">
            <v xml:space="preserve"> </v>
          </cell>
          <cell r="Z742">
            <v>4924981</v>
          </cell>
        </row>
        <row r="743">
          <cell r="B743" t="str">
            <v>D20</v>
          </cell>
          <cell r="F743">
            <v>3</v>
          </cell>
          <cell r="G743">
            <v>110301</v>
          </cell>
          <cell r="K743">
            <v>0</v>
          </cell>
          <cell r="M743" t="str">
            <v>DEL</v>
          </cell>
          <cell r="N743" t="str">
            <v>Resource</v>
          </cell>
          <cell r="Q743" t="str">
            <v>yes</v>
          </cell>
          <cell r="X743" t="str">
            <v xml:space="preserve"> </v>
          </cell>
          <cell r="Y743" t="str">
            <v xml:space="preserve"> </v>
          </cell>
          <cell r="Z743" t="str">
            <v xml:space="preserve"> </v>
          </cell>
        </row>
        <row r="744">
          <cell r="B744" t="str">
            <v>D20</v>
          </cell>
          <cell r="F744">
            <v>3</v>
          </cell>
          <cell r="G744">
            <v>110301</v>
          </cell>
          <cell r="K744">
            <v>0</v>
          </cell>
          <cell r="M744" t="str">
            <v>DEL</v>
          </cell>
          <cell r="N744" t="str">
            <v>Resource</v>
          </cell>
          <cell r="Q744" t="str">
            <v>yes</v>
          </cell>
          <cell r="X744">
            <v>-377000</v>
          </cell>
          <cell r="Y744">
            <v>-377000</v>
          </cell>
          <cell r="Z744">
            <v>-377000</v>
          </cell>
        </row>
        <row r="745">
          <cell r="B745" t="str">
            <v>D20</v>
          </cell>
          <cell r="F745">
            <v>3</v>
          </cell>
          <cell r="G745">
            <v>110301</v>
          </cell>
          <cell r="K745">
            <v>0</v>
          </cell>
          <cell r="M745" t="str">
            <v>DEL</v>
          </cell>
          <cell r="N745" t="str">
            <v>Resource</v>
          </cell>
          <cell r="Q745" t="str">
            <v>yes</v>
          </cell>
          <cell r="X745" t="str">
            <v xml:space="preserve"> </v>
          </cell>
          <cell r="Y745" t="str">
            <v xml:space="preserve"> </v>
          </cell>
          <cell r="Z745" t="str">
            <v xml:space="preserve"> </v>
          </cell>
        </row>
        <row r="746">
          <cell r="B746" t="str">
            <v>L10</v>
          </cell>
          <cell r="F746">
            <v>3</v>
          </cell>
          <cell r="G746">
            <v>110301</v>
          </cell>
          <cell r="K746">
            <v>0</v>
          </cell>
          <cell r="M746" t="str">
            <v>DEL</v>
          </cell>
          <cell r="N746" t="str">
            <v>Resource</v>
          </cell>
          <cell r="Q746" t="str">
            <v>no</v>
          </cell>
          <cell r="X746">
            <v>377000</v>
          </cell>
          <cell r="Y746">
            <v>377000</v>
          </cell>
          <cell r="Z746">
            <v>377000</v>
          </cell>
        </row>
        <row r="747">
          <cell r="B747" t="str">
            <v>L21</v>
          </cell>
          <cell r="F747">
            <v>3</v>
          </cell>
          <cell r="G747">
            <v>110301</v>
          </cell>
          <cell r="K747">
            <v>0</v>
          </cell>
          <cell r="M747" t="str">
            <v>DEL</v>
          </cell>
          <cell r="N747" t="str">
            <v>Resource</v>
          </cell>
          <cell r="Q747" t="str">
            <v>no</v>
          </cell>
          <cell r="X747">
            <v>-377000</v>
          </cell>
          <cell r="Y747">
            <v>-377000</v>
          </cell>
          <cell r="Z747">
            <v>-377000</v>
          </cell>
        </row>
        <row r="748">
          <cell r="B748" t="str">
            <v>D90</v>
          </cell>
          <cell r="F748">
            <v>3</v>
          </cell>
          <cell r="G748">
            <v>110111</v>
          </cell>
          <cell r="K748">
            <v>0</v>
          </cell>
          <cell r="M748" t="str">
            <v>DEL</v>
          </cell>
          <cell r="N748" t="str">
            <v>Resource</v>
          </cell>
          <cell r="Q748" t="str">
            <v>yes</v>
          </cell>
          <cell r="X748" t="str">
            <v xml:space="preserve"> </v>
          </cell>
          <cell r="Y748" t="str">
            <v xml:space="preserve"> </v>
          </cell>
          <cell r="Z748" t="str">
            <v xml:space="preserve"> </v>
          </cell>
        </row>
        <row r="749">
          <cell r="B749" t="str">
            <v>D20</v>
          </cell>
          <cell r="F749">
            <v>4</v>
          </cell>
          <cell r="G749">
            <v>110301</v>
          </cell>
          <cell r="K749">
            <v>0</v>
          </cell>
          <cell r="M749" t="str">
            <v>DEL</v>
          </cell>
          <cell r="N749" t="str">
            <v>Resource</v>
          </cell>
          <cell r="Q749" t="str">
            <v>yes</v>
          </cell>
          <cell r="X749" t="str">
            <v xml:space="preserve"> </v>
          </cell>
          <cell r="Y749" t="str">
            <v xml:space="preserve"> </v>
          </cell>
          <cell r="Z749" t="str">
            <v xml:space="preserve"> </v>
          </cell>
        </row>
        <row r="750">
          <cell r="B750" t="str">
            <v>B99</v>
          </cell>
          <cell r="F750">
            <v>5</v>
          </cell>
          <cell r="G750">
            <v>110301</v>
          </cell>
          <cell r="K750">
            <v>0</v>
          </cell>
          <cell r="M750" t="str">
            <v>DEL</v>
          </cell>
          <cell r="N750" t="str">
            <v>Resource</v>
          </cell>
          <cell r="Q750" t="str">
            <v>no</v>
          </cell>
          <cell r="X750">
            <v>4604</v>
          </cell>
          <cell r="Y750">
            <v>4604</v>
          </cell>
          <cell r="Z750">
            <v>4604</v>
          </cell>
        </row>
        <row r="751">
          <cell r="B751" t="str">
            <v>D20</v>
          </cell>
          <cell r="F751">
            <v>5</v>
          </cell>
          <cell r="G751">
            <v>110301</v>
          </cell>
          <cell r="K751">
            <v>0</v>
          </cell>
          <cell r="M751" t="str">
            <v>DEL</v>
          </cell>
          <cell r="N751" t="str">
            <v>Resource</v>
          </cell>
          <cell r="Q751" t="str">
            <v>yes</v>
          </cell>
          <cell r="X751">
            <v>-20000</v>
          </cell>
          <cell r="Y751">
            <v>-20000</v>
          </cell>
          <cell r="Z751">
            <v>-20000</v>
          </cell>
        </row>
        <row r="752">
          <cell r="B752" t="str">
            <v>L10</v>
          </cell>
          <cell r="F752">
            <v>5</v>
          </cell>
          <cell r="G752">
            <v>110301</v>
          </cell>
          <cell r="K752">
            <v>0</v>
          </cell>
          <cell r="M752" t="str">
            <v>DEL</v>
          </cell>
          <cell r="N752" t="str">
            <v>Resource</v>
          </cell>
          <cell r="Q752" t="str">
            <v>no</v>
          </cell>
          <cell r="X752">
            <v>149000</v>
          </cell>
          <cell r="Y752">
            <v>149000</v>
          </cell>
          <cell r="Z752">
            <v>149000</v>
          </cell>
        </row>
        <row r="753">
          <cell r="B753" t="str">
            <v>D20</v>
          </cell>
          <cell r="F753">
            <v>6</v>
          </cell>
          <cell r="G753">
            <v>110301</v>
          </cell>
          <cell r="K753">
            <v>0</v>
          </cell>
          <cell r="M753" t="str">
            <v>DEL</v>
          </cell>
          <cell r="N753" t="str">
            <v>Resource</v>
          </cell>
          <cell r="Q753" t="str">
            <v>yes</v>
          </cell>
          <cell r="X753">
            <v>123000</v>
          </cell>
          <cell r="Y753" t="str">
            <v xml:space="preserve"> </v>
          </cell>
          <cell r="Z753" t="str">
            <v xml:space="preserve"> </v>
          </cell>
        </row>
        <row r="754">
          <cell r="B754" t="str">
            <v>D20</v>
          </cell>
          <cell r="F754">
            <v>6</v>
          </cell>
          <cell r="G754">
            <v>110301</v>
          </cell>
          <cell r="K754">
            <v>0</v>
          </cell>
          <cell r="M754" t="str">
            <v>DEL</v>
          </cell>
          <cell r="N754" t="str">
            <v>Resource</v>
          </cell>
          <cell r="Q754" t="str">
            <v>yes</v>
          </cell>
          <cell r="X754">
            <v>20000</v>
          </cell>
          <cell r="Y754">
            <v>20000</v>
          </cell>
          <cell r="Z754">
            <v>20000</v>
          </cell>
        </row>
        <row r="755">
          <cell r="B755" t="str">
            <v>D20</v>
          </cell>
          <cell r="F755">
            <v>6</v>
          </cell>
          <cell r="G755">
            <v>110301</v>
          </cell>
          <cell r="K755">
            <v>0</v>
          </cell>
          <cell r="M755" t="str">
            <v>DEL</v>
          </cell>
          <cell r="N755" t="str">
            <v>Resource</v>
          </cell>
          <cell r="Q755" t="str">
            <v>yes</v>
          </cell>
          <cell r="X755" t="str">
            <v xml:space="preserve"> </v>
          </cell>
          <cell r="Y755" t="str">
            <v xml:space="preserve"> </v>
          </cell>
          <cell r="Z755" t="str">
            <v xml:space="preserve"> </v>
          </cell>
        </row>
        <row r="756">
          <cell r="B756" t="str">
            <v>D20</v>
          </cell>
          <cell r="F756">
            <v>6</v>
          </cell>
          <cell r="G756">
            <v>110301</v>
          </cell>
          <cell r="K756">
            <v>0</v>
          </cell>
          <cell r="M756" t="str">
            <v>DEL</v>
          </cell>
          <cell r="N756" t="str">
            <v>Resource</v>
          </cell>
          <cell r="Q756" t="str">
            <v>yes</v>
          </cell>
          <cell r="X756" t="str">
            <v xml:space="preserve"> </v>
          </cell>
          <cell r="Y756" t="str">
            <v xml:space="preserve"> </v>
          </cell>
          <cell r="Z756" t="str">
            <v xml:space="preserve"> </v>
          </cell>
        </row>
        <row r="757">
          <cell r="B757" t="str">
            <v>D20</v>
          </cell>
          <cell r="F757">
            <v>1</v>
          </cell>
          <cell r="G757">
            <v>110302</v>
          </cell>
          <cell r="K757">
            <v>0</v>
          </cell>
          <cell r="M757" t="str">
            <v>DEL</v>
          </cell>
          <cell r="N757" t="str">
            <v>Resource</v>
          </cell>
          <cell r="Q757" t="str">
            <v>yes</v>
          </cell>
          <cell r="X757">
            <v>14567</v>
          </cell>
          <cell r="Y757" t="str">
            <v xml:space="preserve"> </v>
          </cell>
          <cell r="Z757" t="str">
            <v xml:space="preserve"> </v>
          </cell>
        </row>
        <row r="758">
          <cell r="B758" t="str">
            <v>D20</v>
          </cell>
          <cell r="F758">
            <v>2</v>
          </cell>
          <cell r="G758">
            <v>110302</v>
          </cell>
          <cell r="K758">
            <v>0</v>
          </cell>
          <cell r="M758" t="str">
            <v>DEL</v>
          </cell>
          <cell r="N758" t="str">
            <v>Resource</v>
          </cell>
          <cell r="Q758" t="str">
            <v>yes</v>
          </cell>
          <cell r="X758" t="str">
            <v xml:space="preserve"> </v>
          </cell>
          <cell r="Y758" t="str">
            <v xml:space="preserve"> </v>
          </cell>
          <cell r="Z758" t="str">
            <v xml:space="preserve"> </v>
          </cell>
        </row>
        <row r="759">
          <cell r="B759" t="str">
            <v>D20</v>
          </cell>
          <cell r="F759">
            <v>2</v>
          </cell>
          <cell r="G759">
            <v>110302</v>
          </cell>
          <cell r="K759">
            <v>0</v>
          </cell>
          <cell r="M759" t="str">
            <v>DEL</v>
          </cell>
          <cell r="N759" t="str">
            <v>Resource</v>
          </cell>
          <cell r="Q759" t="str">
            <v>yes</v>
          </cell>
          <cell r="X759" t="str">
            <v xml:space="preserve"> </v>
          </cell>
          <cell r="Y759">
            <v>14567</v>
          </cell>
          <cell r="Z759">
            <v>14567</v>
          </cell>
        </row>
        <row r="760">
          <cell r="B760" t="str">
            <v>D20</v>
          </cell>
          <cell r="F760">
            <v>6</v>
          </cell>
          <cell r="G760">
            <v>110301</v>
          </cell>
          <cell r="K760">
            <v>0</v>
          </cell>
          <cell r="M760" t="str">
            <v>DEL</v>
          </cell>
          <cell r="N760" t="str">
            <v>Resource</v>
          </cell>
          <cell r="Q760" t="str">
            <v>yes</v>
          </cell>
          <cell r="X760" t="str">
            <v xml:space="preserve"> </v>
          </cell>
          <cell r="Y760" t="str">
            <v xml:space="preserve"> </v>
          </cell>
          <cell r="Z760" t="str">
            <v xml:space="preserve"> </v>
          </cell>
        </row>
        <row r="761">
          <cell r="B761" t="str">
            <v>D20</v>
          </cell>
          <cell r="F761">
            <v>6</v>
          </cell>
          <cell r="G761">
            <v>110301</v>
          </cell>
          <cell r="K761">
            <v>0</v>
          </cell>
          <cell r="M761" t="str">
            <v>DEL</v>
          </cell>
          <cell r="N761" t="str">
            <v>Resource</v>
          </cell>
          <cell r="Q761" t="str">
            <v>yes</v>
          </cell>
          <cell r="X761" t="str">
            <v xml:space="preserve"> </v>
          </cell>
          <cell r="Y761" t="str">
            <v xml:space="preserve"> </v>
          </cell>
          <cell r="Z761" t="str">
            <v xml:space="preserve"> </v>
          </cell>
        </row>
        <row r="762">
          <cell r="B762" t="str">
            <v>D20</v>
          </cell>
          <cell r="F762">
            <v>6</v>
          </cell>
          <cell r="G762">
            <v>110301</v>
          </cell>
          <cell r="K762">
            <v>0</v>
          </cell>
          <cell r="M762" t="str">
            <v>DEL</v>
          </cell>
          <cell r="N762" t="str">
            <v>Resource</v>
          </cell>
          <cell r="Q762" t="str">
            <v>yes</v>
          </cell>
          <cell r="X762" t="str">
            <v xml:space="preserve"> </v>
          </cell>
          <cell r="Y762" t="str">
            <v xml:space="preserve"> </v>
          </cell>
          <cell r="Z762" t="str">
            <v xml:space="preserve"> </v>
          </cell>
        </row>
        <row r="763">
          <cell r="B763" t="str">
            <v>L10</v>
          </cell>
          <cell r="F763">
            <v>6</v>
          </cell>
          <cell r="G763">
            <v>110301</v>
          </cell>
          <cell r="K763">
            <v>0</v>
          </cell>
          <cell r="M763" t="str">
            <v>DEL</v>
          </cell>
          <cell r="N763" t="str">
            <v>Resource</v>
          </cell>
          <cell r="Q763" t="str">
            <v>no</v>
          </cell>
          <cell r="X763">
            <v>-26000</v>
          </cell>
          <cell r="Y763">
            <v>-26000</v>
          </cell>
          <cell r="Z763">
            <v>-26000</v>
          </cell>
        </row>
        <row r="764">
          <cell r="B764" t="str">
            <v>L10</v>
          </cell>
          <cell r="F764">
            <v>6</v>
          </cell>
          <cell r="G764">
            <v>110301</v>
          </cell>
          <cell r="K764">
            <v>0</v>
          </cell>
          <cell r="M764" t="str">
            <v>DEL</v>
          </cell>
          <cell r="N764" t="str">
            <v>Resource</v>
          </cell>
          <cell r="Q764" t="str">
            <v>no</v>
          </cell>
          <cell r="X764" t="str">
            <v xml:space="preserve"> </v>
          </cell>
          <cell r="Y764">
            <v>37000</v>
          </cell>
          <cell r="Z764">
            <v>113000</v>
          </cell>
        </row>
        <row r="765">
          <cell r="B765" t="str">
            <v>D20</v>
          </cell>
          <cell r="F765">
            <v>12</v>
          </cell>
          <cell r="G765">
            <v>110302</v>
          </cell>
          <cell r="K765">
            <v>0</v>
          </cell>
          <cell r="M765" t="str">
            <v>DEL</v>
          </cell>
          <cell r="N765" t="str">
            <v>Resource</v>
          </cell>
          <cell r="Q765" t="str">
            <v>yes</v>
          </cell>
          <cell r="X765" t="str">
            <v xml:space="preserve"> </v>
          </cell>
          <cell r="Y765" t="str">
            <v xml:space="preserve"> </v>
          </cell>
          <cell r="Z765" t="str">
            <v xml:space="preserve"> </v>
          </cell>
        </row>
        <row r="766">
          <cell r="B766" t="str">
            <v>L21</v>
          </cell>
          <cell r="F766">
            <v>6</v>
          </cell>
          <cell r="G766">
            <v>110301</v>
          </cell>
          <cell r="K766">
            <v>0</v>
          </cell>
          <cell r="M766" t="str">
            <v>DEL</v>
          </cell>
          <cell r="N766" t="str">
            <v>Resource</v>
          </cell>
          <cell r="Q766" t="str">
            <v>no</v>
          </cell>
          <cell r="X766">
            <v>-123000</v>
          </cell>
          <cell r="Y766" t="str">
            <v xml:space="preserve"> </v>
          </cell>
          <cell r="Z766" t="str">
            <v xml:space="preserve"> </v>
          </cell>
        </row>
        <row r="767">
          <cell r="B767" t="str">
            <v>D20</v>
          </cell>
          <cell r="F767">
            <v>7</v>
          </cell>
          <cell r="G767">
            <v>110301</v>
          </cell>
          <cell r="K767">
            <v>0</v>
          </cell>
          <cell r="M767" t="str">
            <v>DEL</v>
          </cell>
          <cell r="N767" t="str">
            <v>Resource</v>
          </cell>
          <cell r="Q767" t="str">
            <v>yes</v>
          </cell>
          <cell r="X767">
            <v>-377000</v>
          </cell>
          <cell r="Y767">
            <v>-377000</v>
          </cell>
          <cell r="Z767">
            <v>-377000</v>
          </cell>
        </row>
        <row r="768">
          <cell r="B768" t="str">
            <v>D20</v>
          </cell>
          <cell r="F768">
            <v>7</v>
          </cell>
          <cell r="G768">
            <v>110301</v>
          </cell>
          <cell r="K768">
            <v>0</v>
          </cell>
          <cell r="M768" t="str">
            <v>DEL</v>
          </cell>
          <cell r="N768" t="str">
            <v>Resource</v>
          </cell>
          <cell r="Q768" t="str">
            <v>yes</v>
          </cell>
          <cell r="X768">
            <v>-123000</v>
          </cell>
          <cell r="Y768" t="str">
            <v xml:space="preserve"> </v>
          </cell>
          <cell r="Z768" t="str">
            <v xml:space="preserve"> </v>
          </cell>
        </row>
        <row r="769">
          <cell r="B769" t="str">
            <v>L21</v>
          </cell>
          <cell r="F769">
            <v>7</v>
          </cell>
          <cell r="G769">
            <v>110301</v>
          </cell>
          <cell r="K769">
            <v>0</v>
          </cell>
          <cell r="M769" t="str">
            <v>DEL</v>
          </cell>
          <cell r="N769" t="str">
            <v>Resource</v>
          </cell>
          <cell r="Q769" t="str">
            <v>no</v>
          </cell>
          <cell r="X769">
            <v>377000</v>
          </cell>
          <cell r="Y769">
            <v>377000</v>
          </cell>
          <cell r="Z769">
            <v>377000</v>
          </cell>
        </row>
        <row r="770">
          <cell r="B770" t="str">
            <v>D40</v>
          </cell>
          <cell r="F770">
            <v>1</v>
          </cell>
          <cell r="G770">
            <v>110306</v>
          </cell>
          <cell r="K770">
            <v>0</v>
          </cell>
          <cell r="M770" t="str">
            <v>AME</v>
          </cell>
          <cell r="N770" t="str">
            <v>Resource</v>
          </cell>
          <cell r="Q770" t="str">
            <v>yes</v>
          </cell>
          <cell r="X770" t="str">
            <v xml:space="preserve"> </v>
          </cell>
          <cell r="Y770" t="str">
            <v xml:space="preserve"> </v>
          </cell>
          <cell r="Z770" t="str">
            <v xml:space="preserve"> </v>
          </cell>
        </row>
        <row r="771">
          <cell r="B771" t="str">
            <v>D40</v>
          </cell>
          <cell r="F771">
            <v>1</v>
          </cell>
          <cell r="G771">
            <v>180700</v>
          </cell>
          <cell r="K771">
            <v>0</v>
          </cell>
          <cell r="M771" t="str">
            <v>AME</v>
          </cell>
          <cell r="N771" t="str">
            <v>Resource</v>
          </cell>
          <cell r="Q771" t="str">
            <v>yes</v>
          </cell>
          <cell r="X771">
            <v>-6448705</v>
          </cell>
          <cell r="Y771" t="str">
            <v xml:space="preserve"> </v>
          </cell>
          <cell r="Z771" t="str">
            <v xml:space="preserve"> </v>
          </cell>
        </row>
        <row r="772">
          <cell r="B772" t="str">
            <v>D40</v>
          </cell>
          <cell r="F772">
            <v>1</v>
          </cell>
          <cell r="G772">
            <v>180700</v>
          </cell>
          <cell r="K772">
            <v>0</v>
          </cell>
          <cell r="M772" t="str">
            <v>AME</v>
          </cell>
          <cell r="N772" t="str">
            <v>Resource</v>
          </cell>
          <cell r="Q772" t="str">
            <v>yes</v>
          </cell>
          <cell r="X772" t="str">
            <v xml:space="preserve"> </v>
          </cell>
          <cell r="Y772" t="str">
            <v xml:space="preserve"> </v>
          </cell>
          <cell r="Z772" t="str">
            <v xml:space="preserve"> </v>
          </cell>
        </row>
        <row r="773">
          <cell r="B773" t="str">
            <v>D40</v>
          </cell>
          <cell r="F773">
            <v>1</v>
          </cell>
          <cell r="G773">
            <v>180700</v>
          </cell>
          <cell r="K773">
            <v>0</v>
          </cell>
          <cell r="M773" t="str">
            <v>AME</v>
          </cell>
          <cell r="N773" t="str">
            <v>Resource</v>
          </cell>
          <cell r="Q773" t="str">
            <v>yes</v>
          </cell>
          <cell r="X773">
            <v>4207157</v>
          </cell>
          <cell r="Y773" t="str">
            <v xml:space="preserve"> </v>
          </cell>
          <cell r="Z773" t="str">
            <v xml:space="preserve"> </v>
          </cell>
        </row>
        <row r="774">
          <cell r="B774" t="str">
            <v>D40</v>
          </cell>
          <cell r="F774">
            <v>2</v>
          </cell>
          <cell r="G774">
            <v>180700</v>
          </cell>
          <cell r="K774">
            <v>0</v>
          </cell>
          <cell r="M774" t="str">
            <v>AME</v>
          </cell>
          <cell r="N774" t="str">
            <v>Resource</v>
          </cell>
          <cell r="Q774" t="str">
            <v>yes</v>
          </cell>
          <cell r="X774">
            <v>-170445</v>
          </cell>
          <cell r="Y774">
            <v>-7214873</v>
          </cell>
          <cell r="Z774">
            <v>-7864212</v>
          </cell>
        </row>
        <row r="775">
          <cell r="B775" t="str">
            <v>D40</v>
          </cell>
          <cell r="F775">
            <v>5</v>
          </cell>
          <cell r="G775">
            <v>180700</v>
          </cell>
          <cell r="K775">
            <v>0</v>
          </cell>
          <cell r="M775" t="str">
            <v>AME</v>
          </cell>
          <cell r="N775" t="str">
            <v>Resource</v>
          </cell>
          <cell r="Q775" t="str">
            <v>yes</v>
          </cell>
          <cell r="X775">
            <v>-334293</v>
          </cell>
          <cell r="Y775">
            <v>736431</v>
          </cell>
          <cell r="Z775">
            <v>1186126</v>
          </cell>
        </row>
        <row r="776">
          <cell r="B776" t="str">
            <v>D40</v>
          </cell>
          <cell r="F776">
            <v>5</v>
          </cell>
          <cell r="G776">
            <v>180700</v>
          </cell>
          <cell r="K776">
            <v>0</v>
          </cell>
          <cell r="M776" t="str">
            <v>AME</v>
          </cell>
          <cell r="N776" t="str">
            <v>Resource</v>
          </cell>
          <cell r="Q776" t="str">
            <v>yes</v>
          </cell>
          <cell r="X776">
            <v>668586</v>
          </cell>
          <cell r="Y776" t="str">
            <v xml:space="preserve"> </v>
          </cell>
          <cell r="Z776" t="str">
            <v xml:space="preserve"> </v>
          </cell>
        </row>
        <row r="777">
          <cell r="B777" t="str">
            <v>D40</v>
          </cell>
          <cell r="F777">
            <v>6</v>
          </cell>
          <cell r="G777">
            <v>180700</v>
          </cell>
          <cell r="K777">
            <v>0</v>
          </cell>
          <cell r="M777" t="str">
            <v>AME</v>
          </cell>
          <cell r="N777" t="str">
            <v>Resource</v>
          </cell>
          <cell r="Q777" t="str">
            <v>yes</v>
          </cell>
          <cell r="X777">
            <v>-102121</v>
          </cell>
          <cell r="Y777">
            <v>-106445</v>
          </cell>
          <cell r="Z777">
            <v>-110963</v>
          </cell>
        </row>
        <row r="778">
          <cell r="B778" t="str">
            <v>D40</v>
          </cell>
          <cell r="F778">
            <v>6</v>
          </cell>
          <cell r="G778">
            <v>180700</v>
          </cell>
          <cell r="K778">
            <v>0</v>
          </cell>
          <cell r="M778" t="str">
            <v>AME</v>
          </cell>
          <cell r="N778" t="str">
            <v>Resource</v>
          </cell>
          <cell r="Q778" t="str">
            <v>yes</v>
          </cell>
          <cell r="X778">
            <v>4000</v>
          </cell>
          <cell r="Y778" t="str">
            <v xml:space="preserve"> </v>
          </cell>
          <cell r="Z778" t="str">
            <v xml:space="preserve"> </v>
          </cell>
        </row>
        <row r="779">
          <cell r="B779" t="str">
            <v>D40</v>
          </cell>
          <cell r="F779">
            <v>6</v>
          </cell>
          <cell r="G779">
            <v>180700</v>
          </cell>
          <cell r="K779">
            <v>0</v>
          </cell>
          <cell r="M779" t="str">
            <v>AME</v>
          </cell>
          <cell r="N779" t="str">
            <v>Resource</v>
          </cell>
          <cell r="Q779" t="str">
            <v>yes</v>
          </cell>
          <cell r="X779">
            <v>-307569</v>
          </cell>
          <cell r="Y779">
            <v>-695369</v>
          </cell>
          <cell r="Z779">
            <v>-1133367</v>
          </cell>
        </row>
        <row r="780">
          <cell r="B780" t="str">
            <v>D40</v>
          </cell>
          <cell r="F780">
            <v>6</v>
          </cell>
          <cell r="G780">
            <v>180700</v>
          </cell>
          <cell r="K780">
            <v>0</v>
          </cell>
          <cell r="M780" t="str">
            <v>AME</v>
          </cell>
          <cell r="N780" t="str">
            <v>Resource</v>
          </cell>
          <cell r="Q780" t="str">
            <v>yes</v>
          </cell>
          <cell r="X780">
            <v>-6857859</v>
          </cell>
          <cell r="Y780">
            <v>-7493397</v>
          </cell>
          <cell r="Z780">
            <v>-8173374</v>
          </cell>
        </row>
        <row r="781">
          <cell r="B781" t="str">
            <v>D40</v>
          </cell>
          <cell r="F781">
            <v>6</v>
          </cell>
          <cell r="G781">
            <v>180700</v>
          </cell>
          <cell r="K781">
            <v>0</v>
          </cell>
          <cell r="M781" t="str">
            <v>AME</v>
          </cell>
          <cell r="N781" t="str">
            <v>Resource</v>
          </cell>
          <cell r="Q781" t="str">
            <v>yes</v>
          </cell>
          <cell r="X781">
            <v>6857859</v>
          </cell>
          <cell r="Y781">
            <v>7493397</v>
          </cell>
          <cell r="Z781">
            <v>8173374</v>
          </cell>
        </row>
        <row r="782">
          <cell r="B782" t="str">
            <v>D40</v>
          </cell>
          <cell r="F782">
            <v>6</v>
          </cell>
          <cell r="G782">
            <v>180700</v>
          </cell>
          <cell r="K782">
            <v>0</v>
          </cell>
          <cell r="M782" t="str">
            <v>AME</v>
          </cell>
          <cell r="N782" t="str">
            <v>Resource</v>
          </cell>
          <cell r="Q782" t="str">
            <v>yes</v>
          </cell>
          <cell r="X782">
            <v>-167312</v>
          </cell>
          <cell r="Y782">
            <v>-213141</v>
          </cell>
          <cell r="Z782">
            <v>-250958</v>
          </cell>
        </row>
        <row r="783">
          <cell r="B783" t="str">
            <v>D40</v>
          </cell>
          <cell r="F783">
            <v>2</v>
          </cell>
          <cell r="G783">
            <v>180700</v>
          </cell>
          <cell r="K783">
            <v>0</v>
          </cell>
          <cell r="M783" t="str">
            <v>AME</v>
          </cell>
          <cell r="N783" t="str">
            <v>Resource</v>
          </cell>
          <cell r="Q783" t="str">
            <v>yes</v>
          </cell>
          <cell r="X783" t="str">
            <v xml:space="preserve"> </v>
          </cell>
          <cell r="Y783" t="str">
            <v xml:space="preserve"> </v>
          </cell>
          <cell r="Z783" t="str">
            <v xml:space="preserve"> </v>
          </cell>
        </row>
        <row r="784">
          <cell r="B784" t="str">
            <v>D40</v>
          </cell>
          <cell r="F784">
            <v>2</v>
          </cell>
          <cell r="G784">
            <v>180700</v>
          </cell>
          <cell r="K784">
            <v>0</v>
          </cell>
          <cell r="M784" t="str">
            <v>AME</v>
          </cell>
          <cell r="N784" t="str">
            <v>Resource</v>
          </cell>
          <cell r="Q784" t="str">
            <v>yes</v>
          </cell>
          <cell r="X784" t="str">
            <v xml:space="preserve"> </v>
          </cell>
          <cell r="Y784" t="str">
            <v xml:space="preserve"> </v>
          </cell>
          <cell r="Z784" t="str">
            <v xml:space="preserve"> </v>
          </cell>
        </row>
        <row r="785">
          <cell r="B785" t="str">
            <v>D40</v>
          </cell>
          <cell r="F785">
            <v>5</v>
          </cell>
          <cell r="G785">
            <v>180700</v>
          </cell>
          <cell r="K785">
            <v>0</v>
          </cell>
          <cell r="M785" t="str">
            <v>AME</v>
          </cell>
          <cell r="N785" t="str">
            <v>Resource</v>
          </cell>
          <cell r="Q785" t="str">
            <v>yes</v>
          </cell>
          <cell r="X785">
            <v>-2933098</v>
          </cell>
          <cell r="Y785">
            <v>-2959095</v>
          </cell>
          <cell r="Z785">
            <v>-2982772</v>
          </cell>
        </row>
        <row r="786">
          <cell r="B786" t="str">
            <v>D40</v>
          </cell>
          <cell r="F786">
            <v>6</v>
          </cell>
          <cell r="G786">
            <v>180700</v>
          </cell>
          <cell r="K786">
            <v>0</v>
          </cell>
          <cell r="M786" t="str">
            <v>AME</v>
          </cell>
          <cell r="N786" t="str">
            <v>Resource</v>
          </cell>
          <cell r="Q786" t="str">
            <v>yes</v>
          </cell>
          <cell r="X786">
            <v>2933098</v>
          </cell>
          <cell r="Y786">
            <v>2959095</v>
          </cell>
          <cell r="Z786">
            <v>2982772</v>
          </cell>
        </row>
        <row r="787">
          <cell r="B787" t="str">
            <v>D40</v>
          </cell>
          <cell r="F787">
            <v>2</v>
          </cell>
          <cell r="G787">
            <v>180700</v>
          </cell>
          <cell r="K787">
            <v>0</v>
          </cell>
          <cell r="M787" t="str">
            <v>AME</v>
          </cell>
          <cell r="N787" t="str">
            <v>Resource</v>
          </cell>
          <cell r="Q787" t="str">
            <v>yes</v>
          </cell>
          <cell r="X787">
            <v>-123798</v>
          </cell>
          <cell r="Y787" t="str">
            <v xml:space="preserve"> </v>
          </cell>
          <cell r="Z787" t="str">
            <v xml:space="preserve"> </v>
          </cell>
        </row>
        <row r="788">
          <cell r="B788" t="str">
            <v>D40</v>
          </cell>
          <cell r="F788">
            <v>2</v>
          </cell>
          <cell r="G788">
            <v>180700</v>
          </cell>
          <cell r="K788">
            <v>0</v>
          </cell>
          <cell r="M788" t="str">
            <v>AME</v>
          </cell>
          <cell r="N788" t="str">
            <v>Resource</v>
          </cell>
          <cell r="Q788" t="str">
            <v>yes</v>
          </cell>
          <cell r="X788">
            <v>61899</v>
          </cell>
          <cell r="Y788">
            <v>4518331</v>
          </cell>
          <cell r="Z788">
            <v>-4924981</v>
          </cell>
        </row>
        <row r="789">
          <cell r="B789" t="str">
            <v>D90</v>
          </cell>
          <cell r="F789">
            <v>3</v>
          </cell>
          <cell r="G789">
            <v>110111</v>
          </cell>
          <cell r="K789">
            <v>0</v>
          </cell>
          <cell r="M789" t="str">
            <v>DEL</v>
          </cell>
          <cell r="N789" t="str">
            <v>Resource</v>
          </cell>
          <cell r="Q789" t="str">
            <v>yes</v>
          </cell>
          <cell r="X789" t="str">
            <v xml:space="preserve"> </v>
          </cell>
          <cell r="Y789" t="str">
            <v xml:space="preserve"> </v>
          </cell>
          <cell r="Z789" t="str">
            <v xml:space="preserve"> </v>
          </cell>
        </row>
        <row r="790">
          <cell r="B790" t="str">
            <v>B99</v>
          </cell>
          <cell r="F790">
            <v>2</v>
          </cell>
          <cell r="G790">
            <v>110407</v>
          </cell>
          <cell r="K790">
            <v>0</v>
          </cell>
          <cell r="M790" t="str">
            <v>DEL</v>
          </cell>
          <cell r="N790" t="str">
            <v>Resource</v>
          </cell>
          <cell r="Q790" t="str">
            <v>no</v>
          </cell>
          <cell r="X790" t="str">
            <v xml:space="preserve"> </v>
          </cell>
          <cell r="Y790">
            <v>37</v>
          </cell>
          <cell r="Z790">
            <v>37</v>
          </cell>
        </row>
        <row r="791">
          <cell r="B791" t="str">
            <v>E05</v>
          </cell>
          <cell r="F791">
            <v>3</v>
          </cell>
          <cell r="G791">
            <v>110701</v>
          </cell>
          <cell r="K791">
            <v>0</v>
          </cell>
          <cell r="M791" t="str">
            <v>DEL</v>
          </cell>
          <cell r="N791" t="str">
            <v>Capital</v>
          </cell>
          <cell r="Q791" t="str">
            <v>no</v>
          </cell>
          <cell r="X791" t="str">
            <v xml:space="preserve"> </v>
          </cell>
          <cell r="Y791" t="str">
            <v xml:space="preserve"> </v>
          </cell>
          <cell r="Z791" t="str">
            <v xml:space="preserve"> </v>
          </cell>
        </row>
        <row r="792">
          <cell r="B792" t="str">
            <v>D40</v>
          </cell>
          <cell r="F792">
            <v>5</v>
          </cell>
          <cell r="G792">
            <v>180700</v>
          </cell>
          <cell r="K792">
            <v>0</v>
          </cell>
          <cell r="M792" t="str">
            <v>AME</v>
          </cell>
          <cell r="N792" t="str">
            <v>Resource</v>
          </cell>
          <cell r="Q792" t="str">
            <v>yes</v>
          </cell>
          <cell r="X792" t="str">
            <v xml:space="preserve"> </v>
          </cell>
          <cell r="Y792" t="str">
            <v xml:space="preserve"> </v>
          </cell>
          <cell r="Z792" t="str">
            <v xml:space="preserve"> </v>
          </cell>
        </row>
        <row r="793">
          <cell r="B793" t="str">
            <v>B99</v>
          </cell>
          <cell r="F793">
            <v>2</v>
          </cell>
          <cell r="G793">
            <v>110407</v>
          </cell>
          <cell r="K793">
            <v>0</v>
          </cell>
          <cell r="M793" t="str">
            <v>DEL</v>
          </cell>
          <cell r="N793" t="str">
            <v>Resource</v>
          </cell>
          <cell r="Q793" t="str">
            <v>no</v>
          </cell>
          <cell r="X793" t="str">
            <v xml:space="preserve"> </v>
          </cell>
          <cell r="Y793">
            <v>6</v>
          </cell>
          <cell r="Z793">
            <v>6</v>
          </cell>
        </row>
        <row r="794">
          <cell r="B794" t="str">
            <v>B99</v>
          </cell>
          <cell r="F794">
            <v>12</v>
          </cell>
          <cell r="G794">
            <v>110801</v>
          </cell>
          <cell r="K794">
            <v>0</v>
          </cell>
          <cell r="M794" t="str">
            <v>AME</v>
          </cell>
          <cell r="N794" t="str">
            <v>Resource</v>
          </cell>
          <cell r="Q794" t="str">
            <v>no</v>
          </cell>
          <cell r="X794">
            <v>-4093</v>
          </cell>
          <cell r="Y794" t="str">
            <v xml:space="preserve"> </v>
          </cell>
          <cell r="Z794" t="str">
            <v xml:space="preserve"> </v>
          </cell>
        </row>
        <row r="795">
          <cell r="B795" t="str">
            <v>B99</v>
          </cell>
          <cell r="F795">
            <v>1</v>
          </cell>
          <cell r="G795">
            <v>110101</v>
          </cell>
          <cell r="K795">
            <v>0</v>
          </cell>
          <cell r="M795" t="str">
            <v>non-budget</v>
          </cell>
          <cell r="N795" t="str">
            <v>non-budget</v>
          </cell>
          <cell r="Q795" t="str">
            <v>no</v>
          </cell>
          <cell r="X795" t="str">
            <v xml:space="preserve"> </v>
          </cell>
          <cell r="Y795" t="str">
            <v xml:space="preserve"> </v>
          </cell>
          <cell r="Z795" t="str">
            <v xml:space="preserve"> </v>
          </cell>
        </row>
        <row r="796">
          <cell r="B796" t="str">
            <v>B99</v>
          </cell>
          <cell r="F796">
            <v>6</v>
          </cell>
          <cell r="G796">
            <v>110101</v>
          </cell>
          <cell r="K796">
            <v>0</v>
          </cell>
          <cell r="M796" t="str">
            <v>non-budget</v>
          </cell>
          <cell r="N796" t="str">
            <v>non-budget</v>
          </cell>
          <cell r="Q796" t="str">
            <v>no</v>
          </cell>
          <cell r="X796">
            <v>913000</v>
          </cell>
          <cell r="Y796" t="str">
            <v xml:space="preserve"> </v>
          </cell>
          <cell r="Z796" t="str">
            <v xml:space="preserve"> </v>
          </cell>
        </row>
        <row r="797">
          <cell r="B797" t="str">
            <v>B99</v>
          </cell>
          <cell r="F797">
            <v>4</v>
          </cell>
          <cell r="G797">
            <v>110101</v>
          </cell>
          <cell r="K797">
            <v>0</v>
          </cell>
          <cell r="M797" t="str">
            <v>non-budget</v>
          </cell>
          <cell r="N797" t="str">
            <v>non-budget</v>
          </cell>
          <cell r="Q797" t="str">
            <v>no</v>
          </cell>
          <cell r="X797" t="str">
            <v xml:space="preserve"> </v>
          </cell>
          <cell r="Y797" t="str">
            <v xml:space="preserve"> </v>
          </cell>
          <cell r="Z797" t="str">
            <v xml:space="preserve"> </v>
          </cell>
        </row>
        <row r="798">
          <cell r="B798" t="str">
            <v>F35</v>
          </cell>
          <cell r="F798">
            <v>1</v>
          </cell>
          <cell r="G798">
            <v>500000</v>
          </cell>
          <cell r="K798">
            <v>0</v>
          </cell>
          <cell r="M798" t="str">
            <v>? Non-Rab</v>
          </cell>
          <cell r="N798" t="str">
            <v>? Non-Rab</v>
          </cell>
          <cell r="Q798" t="str">
            <v>no</v>
          </cell>
          <cell r="X798" t="str">
            <v xml:space="preserve"> </v>
          </cell>
          <cell r="Y798" t="str">
            <v xml:space="preserve"> </v>
          </cell>
          <cell r="Z798" t="str">
            <v xml:space="preserve"> </v>
          </cell>
        </row>
        <row r="799">
          <cell r="B799" t="str">
            <v>L10</v>
          </cell>
          <cell r="F799">
            <v>1</v>
          </cell>
          <cell r="G799">
            <v>110101</v>
          </cell>
          <cell r="K799">
            <v>0</v>
          </cell>
          <cell r="M799" t="str">
            <v>DEL</v>
          </cell>
          <cell r="N799" t="str">
            <v>Resource</v>
          </cell>
          <cell r="Q799" t="str">
            <v>no</v>
          </cell>
          <cell r="X799">
            <v>2314918</v>
          </cell>
          <cell r="Y799" t="str">
            <v xml:space="preserve"> </v>
          </cell>
          <cell r="Z799" t="str">
            <v xml:space="preserve"> </v>
          </cell>
        </row>
        <row r="800">
          <cell r="B800" t="str">
            <v>L10</v>
          </cell>
          <cell r="F800">
            <v>2</v>
          </cell>
          <cell r="G800">
            <v>110101</v>
          </cell>
          <cell r="K800">
            <v>0</v>
          </cell>
          <cell r="M800" t="str">
            <v>DEL</v>
          </cell>
          <cell r="N800" t="str">
            <v>Resource</v>
          </cell>
          <cell r="Q800" t="str">
            <v>no</v>
          </cell>
          <cell r="X800" t="str">
            <v xml:space="preserve"> </v>
          </cell>
          <cell r="Y800">
            <v>2314918</v>
          </cell>
          <cell r="Z800">
            <v>2314918</v>
          </cell>
        </row>
        <row r="801">
          <cell r="B801" t="str">
            <v>L10</v>
          </cell>
          <cell r="F801">
            <v>2</v>
          </cell>
          <cell r="G801">
            <v>110101</v>
          </cell>
          <cell r="K801">
            <v>0</v>
          </cell>
          <cell r="M801" t="str">
            <v>DEL</v>
          </cell>
          <cell r="N801" t="str">
            <v>Resource</v>
          </cell>
          <cell r="Q801" t="str">
            <v>no</v>
          </cell>
          <cell r="X801" t="str">
            <v xml:space="preserve"> </v>
          </cell>
          <cell r="Y801">
            <v>156000</v>
          </cell>
          <cell r="Z801">
            <v>328000</v>
          </cell>
        </row>
        <row r="802">
          <cell r="B802" t="str">
            <v>L10</v>
          </cell>
          <cell r="F802">
            <v>2</v>
          </cell>
          <cell r="G802">
            <v>110302</v>
          </cell>
          <cell r="K802">
            <v>0</v>
          </cell>
          <cell r="M802" t="str">
            <v>DEL</v>
          </cell>
          <cell r="N802" t="str">
            <v>Resource</v>
          </cell>
          <cell r="Q802" t="str">
            <v>no</v>
          </cell>
          <cell r="X802" t="str">
            <v xml:space="preserve"> </v>
          </cell>
          <cell r="Y802">
            <v>625</v>
          </cell>
          <cell r="Z802">
            <v>625</v>
          </cell>
        </row>
        <row r="803">
          <cell r="B803" t="str">
            <v>L10</v>
          </cell>
          <cell r="F803">
            <v>2</v>
          </cell>
          <cell r="G803">
            <v>110401</v>
          </cell>
          <cell r="K803">
            <v>0</v>
          </cell>
          <cell r="M803" t="str">
            <v>DEL</v>
          </cell>
          <cell r="N803" t="str">
            <v>Resource</v>
          </cell>
          <cell r="Q803" t="str">
            <v>no</v>
          </cell>
          <cell r="X803" t="str">
            <v xml:space="preserve"> </v>
          </cell>
          <cell r="Y803">
            <v>1604</v>
          </cell>
          <cell r="Z803">
            <v>1604</v>
          </cell>
        </row>
        <row r="804">
          <cell r="B804" t="str">
            <v>E05</v>
          </cell>
          <cell r="F804">
            <v>3</v>
          </cell>
          <cell r="G804">
            <v>110701</v>
          </cell>
          <cell r="K804">
            <v>0</v>
          </cell>
          <cell r="M804" t="str">
            <v>DEL</v>
          </cell>
          <cell r="N804" t="str">
            <v>Capital</v>
          </cell>
          <cell r="Q804" t="str">
            <v>no</v>
          </cell>
          <cell r="X804" t="str">
            <v xml:space="preserve"> </v>
          </cell>
          <cell r="Y804" t="str">
            <v xml:space="preserve"> </v>
          </cell>
          <cell r="Z804" t="str">
            <v xml:space="preserve"> </v>
          </cell>
        </row>
        <row r="805">
          <cell r="B805" t="str">
            <v>L10</v>
          </cell>
          <cell r="F805">
            <v>5</v>
          </cell>
          <cell r="G805">
            <v>110101</v>
          </cell>
          <cell r="K805">
            <v>0</v>
          </cell>
          <cell r="M805" t="str">
            <v>DEL</v>
          </cell>
          <cell r="N805" t="str">
            <v>Resource</v>
          </cell>
          <cell r="Q805" t="str">
            <v>no</v>
          </cell>
          <cell r="X805">
            <v>-149000</v>
          </cell>
          <cell r="Y805">
            <v>-149000</v>
          </cell>
          <cell r="Z805">
            <v>-149000</v>
          </cell>
        </row>
        <row r="806">
          <cell r="B806" t="str">
            <v>L10</v>
          </cell>
          <cell r="F806">
            <v>12</v>
          </cell>
          <cell r="G806">
            <v>110101</v>
          </cell>
          <cell r="K806">
            <v>0</v>
          </cell>
          <cell r="M806" t="str">
            <v>DEL</v>
          </cell>
          <cell r="N806" t="str">
            <v>Resource</v>
          </cell>
          <cell r="Q806" t="str">
            <v>no</v>
          </cell>
          <cell r="X806" t="str">
            <v xml:space="preserve"> </v>
          </cell>
          <cell r="Y806" t="str">
            <v xml:space="preserve"> </v>
          </cell>
          <cell r="Z806" t="str">
            <v xml:space="preserve"> </v>
          </cell>
        </row>
        <row r="807">
          <cell r="B807" t="str">
            <v>D40</v>
          </cell>
          <cell r="F807">
            <v>5</v>
          </cell>
          <cell r="G807">
            <v>180700</v>
          </cell>
          <cell r="K807">
            <v>0</v>
          </cell>
          <cell r="M807" t="str">
            <v>AME</v>
          </cell>
          <cell r="N807" t="str">
            <v>Resource</v>
          </cell>
          <cell r="Q807" t="str">
            <v>yes</v>
          </cell>
          <cell r="X807">
            <v>-793499</v>
          </cell>
          <cell r="Y807" t="str">
            <v xml:space="preserve"> </v>
          </cell>
          <cell r="Z807" t="str">
            <v xml:space="preserve"> </v>
          </cell>
        </row>
        <row r="808">
          <cell r="B808" t="str">
            <v>L10</v>
          </cell>
          <cell r="F808">
            <v>1</v>
          </cell>
          <cell r="G808">
            <v>110201</v>
          </cell>
          <cell r="K808" t="str">
            <v>PSS</v>
          </cell>
          <cell r="M808" t="str">
            <v>DEL</v>
          </cell>
          <cell r="N808" t="str">
            <v>Resource</v>
          </cell>
          <cell r="Q808" t="str">
            <v>no</v>
          </cell>
          <cell r="X808" t="str">
            <v xml:space="preserve"> </v>
          </cell>
          <cell r="Y808" t="str">
            <v xml:space="preserve"> </v>
          </cell>
          <cell r="Z808" t="str">
            <v xml:space="preserve"> </v>
          </cell>
        </row>
        <row r="809">
          <cell r="B809" t="str">
            <v>L21</v>
          </cell>
          <cell r="F809">
            <v>7</v>
          </cell>
          <cell r="G809">
            <v>110301</v>
          </cell>
          <cell r="K809">
            <v>0</v>
          </cell>
          <cell r="M809" t="str">
            <v>DEL</v>
          </cell>
          <cell r="N809" t="str">
            <v>Resource</v>
          </cell>
          <cell r="Q809" t="str">
            <v>no</v>
          </cell>
          <cell r="X809">
            <v>123000</v>
          </cell>
          <cell r="Y809" t="str">
            <v xml:space="preserve"> </v>
          </cell>
          <cell r="Z809" t="str">
            <v xml:space="preserve"> </v>
          </cell>
        </row>
        <row r="810">
          <cell r="B810" t="str">
            <v>L10</v>
          </cell>
          <cell r="F810">
            <v>6</v>
          </cell>
          <cell r="G810">
            <v>110101</v>
          </cell>
          <cell r="K810">
            <v>0</v>
          </cell>
          <cell r="M810" t="str">
            <v>DEL</v>
          </cell>
          <cell r="N810" t="str">
            <v>Resource</v>
          </cell>
          <cell r="Q810" t="str">
            <v>no</v>
          </cell>
          <cell r="X810">
            <v>-377000</v>
          </cell>
          <cell r="Y810">
            <v>-377000</v>
          </cell>
          <cell r="Z810">
            <v>-377000</v>
          </cell>
        </row>
        <row r="811">
          <cell r="B811" t="str">
            <v>L10</v>
          </cell>
          <cell r="F811">
            <v>6</v>
          </cell>
          <cell r="G811">
            <v>110101</v>
          </cell>
          <cell r="K811">
            <v>0</v>
          </cell>
          <cell r="M811" t="str">
            <v>DEL</v>
          </cell>
          <cell r="N811" t="str">
            <v>Resource</v>
          </cell>
          <cell r="Q811" t="str">
            <v>no</v>
          </cell>
          <cell r="X811" t="str">
            <v xml:space="preserve"> </v>
          </cell>
          <cell r="Y811">
            <v>-11000</v>
          </cell>
          <cell r="Z811">
            <v>-84000</v>
          </cell>
        </row>
        <row r="812">
          <cell r="B812" t="str">
            <v>D40</v>
          </cell>
          <cell r="F812">
            <v>5</v>
          </cell>
          <cell r="G812">
            <v>180700</v>
          </cell>
          <cell r="K812">
            <v>0</v>
          </cell>
          <cell r="M812" t="str">
            <v>AME</v>
          </cell>
          <cell r="N812" t="str">
            <v>Resource</v>
          </cell>
          <cell r="Q812" t="str">
            <v>yes</v>
          </cell>
          <cell r="X812" t="str">
            <v xml:space="preserve"> </v>
          </cell>
          <cell r="Y812">
            <v>-998984</v>
          </cell>
          <cell r="Z812" t="str">
            <v xml:space="preserve"> </v>
          </cell>
        </row>
        <row r="813">
          <cell r="B813" t="str">
            <v>L10</v>
          </cell>
          <cell r="F813">
            <v>6</v>
          </cell>
          <cell r="G813">
            <v>110101</v>
          </cell>
          <cell r="K813">
            <v>0</v>
          </cell>
          <cell r="M813" t="str">
            <v>DEL</v>
          </cell>
          <cell r="N813" t="str">
            <v>Resource</v>
          </cell>
          <cell r="Q813" t="str">
            <v>no</v>
          </cell>
          <cell r="X813">
            <v>418000</v>
          </cell>
          <cell r="Y813">
            <v>506000</v>
          </cell>
          <cell r="Z813">
            <v>535000</v>
          </cell>
        </row>
        <row r="814">
          <cell r="B814" t="str">
            <v>D20</v>
          </cell>
          <cell r="F814">
            <v>9</v>
          </cell>
          <cell r="G814">
            <v>110301</v>
          </cell>
          <cell r="K814">
            <v>0</v>
          </cell>
          <cell r="M814" t="str">
            <v>DEL</v>
          </cell>
          <cell r="N814" t="str">
            <v>Resource</v>
          </cell>
          <cell r="Q814" t="str">
            <v>yes</v>
          </cell>
          <cell r="X814" t="str">
            <v xml:space="preserve"> </v>
          </cell>
          <cell r="Y814" t="str">
            <v xml:space="preserve"> </v>
          </cell>
          <cell r="Z814" t="str">
            <v xml:space="preserve"> </v>
          </cell>
        </row>
        <row r="815">
          <cell r="B815" t="str">
            <v>L10</v>
          </cell>
          <cell r="F815">
            <v>1</v>
          </cell>
          <cell r="G815">
            <v>110302</v>
          </cell>
          <cell r="K815">
            <v>0</v>
          </cell>
          <cell r="M815" t="str">
            <v>DEL</v>
          </cell>
          <cell r="N815" t="str">
            <v>Resource</v>
          </cell>
          <cell r="Q815" t="str">
            <v>no</v>
          </cell>
          <cell r="X815">
            <v>625</v>
          </cell>
          <cell r="Y815" t="str">
            <v xml:space="preserve"> </v>
          </cell>
          <cell r="Z815" t="str">
            <v xml:space="preserve"> </v>
          </cell>
        </row>
        <row r="816">
          <cell r="B816" t="str">
            <v>L10</v>
          </cell>
          <cell r="F816">
            <v>2</v>
          </cell>
          <cell r="G816">
            <v>110302</v>
          </cell>
          <cell r="K816">
            <v>0</v>
          </cell>
          <cell r="M816" t="str">
            <v>DEL</v>
          </cell>
          <cell r="N816" t="str">
            <v>Resource</v>
          </cell>
          <cell r="Q816" t="str">
            <v>no</v>
          </cell>
          <cell r="X816" t="str">
            <v xml:space="preserve"> </v>
          </cell>
          <cell r="Y816" t="str">
            <v xml:space="preserve"> </v>
          </cell>
          <cell r="Z816" t="str">
            <v xml:space="preserve"> </v>
          </cell>
        </row>
        <row r="817">
          <cell r="B817" t="str">
            <v>D20</v>
          </cell>
          <cell r="F817">
            <v>9</v>
          </cell>
          <cell r="G817">
            <v>110301</v>
          </cell>
          <cell r="K817">
            <v>0</v>
          </cell>
          <cell r="M817" t="str">
            <v>DEL</v>
          </cell>
          <cell r="N817" t="str">
            <v>Resource</v>
          </cell>
          <cell r="Q817" t="str">
            <v>yes</v>
          </cell>
          <cell r="X817" t="str">
            <v xml:space="preserve"> </v>
          </cell>
          <cell r="Y817" t="str">
            <v xml:space="preserve"> </v>
          </cell>
          <cell r="Z817" t="str">
            <v xml:space="preserve"> </v>
          </cell>
        </row>
        <row r="818">
          <cell r="B818" t="str">
            <v>L10</v>
          </cell>
          <cell r="F818">
            <v>1</v>
          </cell>
          <cell r="G818">
            <v>110306</v>
          </cell>
          <cell r="K818">
            <v>0</v>
          </cell>
          <cell r="M818" t="str">
            <v>DEL</v>
          </cell>
          <cell r="N818" t="str">
            <v>Resource</v>
          </cell>
          <cell r="Q818" t="str">
            <v>no</v>
          </cell>
          <cell r="X818" t="str">
            <v xml:space="preserve"> </v>
          </cell>
          <cell r="Y818" t="str">
            <v xml:space="preserve"> </v>
          </cell>
          <cell r="Z818" t="str">
            <v xml:space="preserve"> </v>
          </cell>
        </row>
        <row r="819">
          <cell r="B819" t="str">
            <v>L10</v>
          </cell>
          <cell r="F819">
            <v>6</v>
          </cell>
          <cell r="G819">
            <v>110306</v>
          </cell>
          <cell r="K819">
            <v>0</v>
          </cell>
          <cell r="M819" t="str">
            <v>DEL</v>
          </cell>
          <cell r="N819" t="str">
            <v>Resource</v>
          </cell>
          <cell r="Q819" t="str">
            <v>no</v>
          </cell>
          <cell r="X819">
            <v>625</v>
          </cell>
          <cell r="Y819" t="str">
            <v xml:space="preserve"> </v>
          </cell>
          <cell r="Z819" t="str">
            <v xml:space="preserve"> </v>
          </cell>
        </row>
        <row r="820">
          <cell r="B820" t="str">
            <v>D20</v>
          </cell>
          <cell r="F820">
            <v>9</v>
          </cell>
          <cell r="G820">
            <v>110301</v>
          </cell>
          <cell r="K820">
            <v>0</v>
          </cell>
          <cell r="M820" t="str">
            <v>DEL</v>
          </cell>
          <cell r="N820" t="str">
            <v>Resource</v>
          </cell>
          <cell r="Q820" t="str">
            <v>yes</v>
          </cell>
          <cell r="X820" t="str">
            <v xml:space="preserve"> </v>
          </cell>
          <cell r="Y820" t="str">
            <v xml:space="preserve"> </v>
          </cell>
          <cell r="Z820" t="str">
            <v xml:space="preserve"> </v>
          </cell>
        </row>
        <row r="821">
          <cell r="B821" t="str">
            <v>L10</v>
          </cell>
          <cell r="F821">
            <v>12</v>
          </cell>
          <cell r="G821">
            <v>110401</v>
          </cell>
          <cell r="K821">
            <v>0</v>
          </cell>
          <cell r="M821" t="str">
            <v>DEL</v>
          </cell>
          <cell r="N821" t="str">
            <v>Resource</v>
          </cell>
          <cell r="Q821" t="str">
            <v>no</v>
          </cell>
          <cell r="X821" t="str">
            <v xml:space="preserve"> </v>
          </cell>
          <cell r="Y821" t="str">
            <v xml:space="preserve"> </v>
          </cell>
          <cell r="Z821" t="str">
            <v xml:space="preserve"> </v>
          </cell>
        </row>
        <row r="822">
          <cell r="B822" t="str">
            <v>L10</v>
          </cell>
          <cell r="F822">
            <v>1</v>
          </cell>
          <cell r="G822">
            <v>110401</v>
          </cell>
          <cell r="K822">
            <v>0</v>
          </cell>
          <cell r="M822" t="str">
            <v>DEL</v>
          </cell>
          <cell r="N822" t="str">
            <v>Resource</v>
          </cell>
          <cell r="Q822" t="str">
            <v>no</v>
          </cell>
          <cell r="X822">
            <v>1604</v>
          </cell>
          <cell r="Y822" t="str">
            <v xml:space="preserve"> </v>
          </cell>
          <cell r="Z822" t="str">
            <v xml:space="preserve"> </v>
          </cell>
        </row>
        <row r="823">
          <cell r="B823" t="str">
            <v>L10</v>
          </cell>
          <cell r="F823">
            <v>6</v>
          </cell>
          <cell r="G823">
            <v>110401</v>
          </cell>
          <cell r="K823">
            <v>0</v>
          </cell>
          <cell r="M823" t="str">
            <v>DEL</v>
          </cell>
          <cell r="N823" t="str">
            <v>Resource</v>
          </cell>
          <cell r="Q823" t="str">
            <v>no</v>
          </cell>
          <cell r="X823" t="str">
            <v xml:space="preserve"> </v>
          </cell>
          <cell r="Y823" t="str">
            <v xml:space="preserve"> </v>
          </cell>
          <cell r="Z823" t="str">
            <v xml:space="preserve"> </v>
          </cell>
        </row>
        <row r="824">
          <cell r="B824" t="str">
            <v>D20</v>
          </cell>
          <cell r="F824">
            <v>9</v>
          </cell>
          <cell r="G824">
            <v>110301</v>
          </cell>
          <cell r="K824">
            <v>0</v>
          </cell>
          <cell r="M824" t="str">
            <v>DEL</v>
          </cell>
          <cell r="N824" t="str">
            <v>Resource</v>
          </cell>
          <cell r="Q824" t="str">
            <v>yes</v>
          </cell>
          <cell r="X824" t="str">
            <v xml:space="preserve"> </v>
          </cell>
          <cell r="Y824" t="str">
            <v xml:space="preserve"> </v>
          </cell>
          <cell r="Z824" t="str">
            <v xml:space="preserve"> </v>
          </cell>
        </row>
        <row r="825">
          <cell r="B825" t="str">
            <v>L10</v>
          </cell>
          <cell r="F825">
            <v>1</v>
          </cell>
          <cell r="G825">
            <v>110405</v>
          </cell>
          <cell r="K825">
            <v>0</v>
          </cell>
          <cell r="M825" t="str">
            <v>DEL</v>
          </cell>
          <cell r="N825" t="str">
            <v>Resource</v>
          </cell>
          <cell r="Q825" t="str">
            <v>no</v>
          </cell>
          <cell r="X825" t="str">
            <v xml:space="preserve"> </v>
          </cell>
          <cell r="Y825" t="str">
            <v xml:space="preserve"> </v>
          </cell>
          <cell r="Z825" t="str">
            <v xml:space="preserve"> </v>
          </cell>
        </row>
        <row r="826">
          <cell r="B826" t="str">
            <v>L10</v>
          </cell>
          <cell r="F826">
            <v>9</v>
          </cell>
          <cell r="G826">
            <v>110101</v>
          </cell>
          <cell r="K826">
            <v>0</v>
          </cell>
          <cell r="M826" t="str">
            <v>DEL</v>
          </cell>
          <cell r="N826" t="str">
            <v>Resource</v>
          </cell>
          <cell r="Q826" t="str">
            <v>no</v>
          </cell>
          <cell r="X826" t="str">
            <v xml:space="preserve"> </v>
          </cell>
          <cell r="Y826" t="str">
            <v xml:space="preserve"> </v>
          </cell>
          <cell r="Z826" t="str">
            <v xml:space="preserve"> </v>
          </cell>
        </row>
        <row r="827">
          <cell r="B827" t="str">
            <v>L10</v>
          </cell>
          <cell r="F827">
            <v>9</v>
          </cell>
          <cell r="G827">
            <v>110101</v>
          </cell>
          <cell r="K827">
            <v>0</v>
          </cell>
          <cell r="M827" t="str">
            <v>DEL</v>
          </cell>
          <cell r="N827" t="str">
            <v>Resource</v>
          </cell>
          <cell r="Q827" t="str">
            <v>no</v>
          </cell>
          <cell r="X827" t="str">
            <v xml:space="preserve"> </v>
          </cell>
          <cell r="Y827" t="str">
            <v xml:space="preserve"> </v>
          </cell>
          <cell r="Z827" t="str">
            <v xml:space="preserve"> </v>
          </cell>
        </row>
        <row r="828">
          <cell r="B828" t="str">
            <v>L10</v>
          </cell>
          <cell r="F828">
            <v>9</v>
          </cell>
          <cell r="G828">
            <v>110201</v>
          </cell>
          <cell r="K828" t="str">
            <v>PSS</v>
          </cell>
          <cell r="M828" t="str">
            <v>DEL</v>
          </cell>
          <cell r="N828" t="str">
            <v>Resource</v>
          </cell>
          <cell r="Q828" t="str">
            <v>no</v>
          </cell>
          <cell r="X828" t="str">
            <v xml:space="preserve"> </v>
          </cell>
          <cell r="Y828" t="str">
            <v xml:space="preserve"> </v>
          </cell>
          <cell r="Z828" t="str">
            <v xml:space="preserve"> </v>
          </cell>
        </row>
        <row r="829">
          <cell r="B829" t="str">
            <v>L10</v>
          </cell>
          <cell r="F829">
            <v>9</v>
          </cell>
          <cell r="G829">
            <v>110201</v>
          </cell>
          <cell r="K829" t="str">
            <v>PSS</v>
          </cell>
          <cell r="M829" t="str">
            <v>DEL</v>
          </cell>
          <cell r="N829" t="str">
            <v>Resource</v>
          </cell>
          <cell r="Q829" t="str">
            <v>no</v>
          </cell>
          <cell r="X829" t="str">
            <v xml:space="preserve"> </v>
          </cell>
          <cell r="Y829" t="str">
            <v xml:space="preserve"> </v>
          </cell>
          <cell r="Z829" t="str">
            <v xml:space="preserve"> </v>
          </cell>
        </row>
        <row r="830">
          <cell r="B830" t="str">
            <v>L10</v>
          </cell>
          <cell r="F830">
            <v>9</v>
          </cell>
          <cell r="G830">
            <v>110301</v>
          </cell>
          <cell r="K830">
            <v>0</v>
          </cell>
          <cell r="M830" t="str">
            <v>DEL</v>
          </cell>
          <cell r="N830" t="str">
            <v>Resource</v>
          </cell>
          <cell r="Q830" t="str">
            <v>no</v>
          </cell>
          <cell r="X830" t="str">
            <v xml:space="preserve"> </v>
          </cell>
          <cell r="Y830" t="str">
            <v xml:space="preserve"> </v>
          </cell>
          <cell r="Z830" t="str">
            <v xml:space="preserve"> </v>
          </cell>
        </row>
        <row r="831">
          <cell r="B831" t="str">
            <v>D40</v>
          </cell>
          <cell r="F831">
            <v>5</v>
          </cell>
          <cell r="G831">
            <v>180700</v>
          </cell>
          <cell r="K831">
            <v>0</v>
          </cell>
          <cell r="M831" t="str">
            <v>AME</v>
          </cell>
          <cell r="N831" t="str">
            <v>Resource</v>
          </cell>
          <cell r="Q831" t="str">
            <v>yes</v>
          </cell>
          <cell r="X831" t="str">
            <v xml:space="preserve"> </v>
          </cell>
          <cell r="Y831" t="str">
            <v xml:space="preserve"> </v>
          </cell>
          <cell r="Z831">
            <v>-1229667</v>
          </cell>
        </row>
        <row r="832">
          <cell r="B832" t="str">
            <v>L10</v>
          </cell>
          <cell r="F832">
            <v>9</v>
          </cell>
          <cell r="G832">
            <v>110306</v>
          </cell>
          <cell r="K832">
            <v>0</v>
          </cell>
          <cell r="M832" t="str">
            <v>DEL</v>
          </cell>
          <cell r="N832" t="str">
            <v>Resource</v>
          </cell>
          <cell r="Q832" t="str">
            <v>no</v>
          </cell>
          <cell r="X832" t="str">
            <v xml:space="preserve"> </v>
          </cell>
          <cell r="Y832" t="str">
            <v xml:space="preserve"> </v>
          </cell>
          <cell r="Z832" t="str">
            <v xml:space="preserve"> </v>
          </cell>
        </row>
        <row r="833">
          <cell r="B833" t="str">
            <v>L10</v>
          </cell>
          <cell r="F833">
            <v>9</v>
          </cell>
          <cell r="G833">
            <v>110306</v>
          </cell>
          <cell r="K833">
            <v>0</v>
          </cell>
          <cell r="M833" t="str">
            <v>DEL</v>
          </cell>
          <cell r="N833" t="str">
            <v>Resource</v>
          </cell>
          <cell r="Q833" t="str">
            <v>no</v>
          </cell>
          <cell r="X833" t="str">
            <v xml:space="preserve"> </v>
          </cell>
          <cell r="Y833" t="str">
            <v xml:space="preserve"> </v>
          </cell>
          <cell r="Z833" t="str">
            <v xml:space="preserve"> </v>
          </cell>
        </row>
        <row r="834">
          <cell r="B834" t="str">
            <v>L11</v>
          </cell>
          <cell r="F834">
            <v>2</v>
          </cell>
          <cell r="G834">
            <v>110101</v>
          </cell>
          <cell r="K834">
            <v>0</v>
          </cell>
          <cell r="M834" t="str">
            <v>DEL</v>
          </cell>
          <cell r="N834" t="str">
            <v>Resource</v>
          </cell>
          <cell r="Q834" t="str">
            <v>no</v>
          </cell>
          <cell r="X834" t="str">
            <v xml:space="preserve"> </v>
          </cell>
          <cell r="Y834" t="str">
            <v xml:space="preserve"> </v>
          </cell>
          <cell r="Z834" t="str">
            <v xml:space="preserve"> </v>
          </cell>
        </row>
        <row r="835">
          <cell r="B835" t="str">
            <v>L11</v>
          </cell>
          <cell r="F835">
            <v>1</v>
          </cell>
          <cell r="G835">
            <v>110101</v>
          </cell>
          <cell r="K835">
            <v>0</v>
          </cell>
          <cell r="M835" t="str">
            <v>DEL</v>
          </cell>
          <cell r="N835" t="str">
            <v>Resource</v>
          </cell>
          <cell r="Q835" t="str">
            <v>no</v>
          </cell>
          <cell r="X835">
            <v>-807340</v>
          </cell>
          <cell r="Y835" t="str">
            <v xml:space="preserve"> </v>
          </cell>
          <cell r="Z835" t="str">
            <v xml:space="preserve"> </v>
          </cell>
        </row>
        <row r="836">
          <cell r="B836" t="str">
            <v>D40</v>
          </cell>
          <cell r="F836">
            <v>6</v>
          </cell>
          <cell r="G836">
            <v>180700</v>
          </cell>
          <cell r="K836">
            <v>0</v>
          </cell>
          <cell r="M836" t="str">
            <v>AME</v>
          </cell>
          <cell r="N836" t="str">
            <v>Resource</v>
          </cell>
          <cell r="Q836" t="str">
            <v>yes</v>
          </cell>
          <cell r="X836">
            <v>365241</v>
          </cell>
          <cell r="Y836">
            <v>383503</v>
          </cell>
          <cell r="Z836">
            <v>402678</v>
          </cell>
        </row>
        <row r="837">
          <cell r="B837" t="str">
            <v>E10</v>
          </cell>
          <cell r="F837">
            <v>3</v>
          </cell>
          <cell r="G837">
            <v>110101</v>
          </cell>
          <cell r="K837">
            <v>0</v>
          </cell>
          <cell r="M837" t="str">
            <v>DEL</v>
          </cell>
          <cell r="N837" t="str">
            <v>Capital</v>
          </cell>
          <cell r="Q837" t="str">
            <v>no</v>
          </cell>
          <cell r="X837" t="str">
            <v xml:space="preserve"> </v>
          </cell>
          <cell r="Y837" t="str">
            <v xml:space="preserve"> </v>
          </cell>
          <cell r="Z837" t="str">
            <v xml:space="preserve"> </v>
          </cell>
        </row>
        <row r="838">
          <cell r="B838" t="str">
            <v>L11</v>
          </cell>
          <cell r="F838">
            <v>2</v>
          </cell>
          <cell r="G838">
            <v>110302</v>
          </cell>
          <cell r="K838">
            <v>0</v>
          </cell>
          <cell r="M838" t="str">
            <v>DEL</v>
          </cell>
          <cell r="N838" t="str">
            <v>Resource</v>
          </cell>
          <cell r="Q838" t="str">
            <v>no</v>
          </cell>
          <cell r="X838" t="str">
            <v xml:space="preserve"> </v>
          </cell>
          <cell r="Y838" t="str">
            <v xml:space="preserve"> </v>
          </cell>
          <cell r="Z838" t="str">
            <v xml:space="preserve"> </v>
          </cell>
        </row>
        <row r="839">
          <cell r="B839" t="str">
            <v>L11</v>
          </cell>
          <cell r="F839">
            <v>2</v>
          </cell>
          <cell r="G839">
            <v>110302</v>
          </cell>
          <cell r="K839">
            <v>0</v>
          </cell>
          <cell r="M839" t="str">
            <v>DEL</v>
          </cell>
          <cell r="N839" t="str">
            <v>Resource</v>
          </cell>
          <cell r="Q839" t="str">
            <v>no</v>
          </cell>
          <cell r="X839" t="str">
            <v xml:space="preserve"> </v>
          </cell>
          <cell r="Y839" t="str">
            <v xml:space="preserve"> </v>
          </cell>
          <cell r="Z839" t="str">
            <v xml:space="preserve"> </v>
          </cell>
        </row>
        <row r="840">
          <cell r="B840" t="str">
            <v>L11</v>
          </cell>
          <cell r="F840">
            <v>1</v>
          </cell>
          <cell r="G840">
            <v>110302</v>
          </cell>
          <cell r="K840">
            <v>0</v>
          </cell>
          <cell r="M840" t="str">
            <v>DEL</v>
          </cell>
          <cell r="N840" t="str">
            <v>Resource</v>
          </cell>
          <cell r="Q840" t="str">
            <v>no</v>
          </cell>
          <cell r="X840">
            <v>-1125</v>
          </cell>
          <cell r="Y840" t="str">
            <v xml:space="preserve"> </v>
          </cell>
          <cell r="Z840" t="str">
            <v xml:space="preserve"> </v>
          </cell>
        </row>
        <row r="841">
          <cell r="B841" t="str">
            <v>L11</v>
          </cell>
          <cell r="F841">
            <v>1</v>
          </cell>
          <cell r="G841">
            <v>110306</v>
          </cell>
          <cell r="K841">
            <v>0</v>
          </cell>
          <cell r="M841" t="str">
            <v>DEL</v>
          </cell>
          <cell r="N841" t="str">
            <v>Resource</v>
          </cell>
          <cell r="Q841" t="str">
            <v>no</v>
          </cell>
          <cell r="X841" t="str">
            <v xml:space="preserve"> </v>
          </cell>
          <cell r="Y841" t="str">
            <v xml:space="preserve"> </v>
          </cell>
          <cell r="Z841" t="str">
            <v xml:space="preserve"> </v>
          </cell>
        </row>
        <row r="842">
          <cell r="B842" t="str">
            <v>L11</v>
          </cell>
          <cell r="F842">
            <v>4</v>
          </cell>
          <cell r="G842">
            <v>110302</v>
          </cell>
          <cell r="K842">
            <v>0</v>
          </cell>
          <cell r="M842" t="str">
            <v>DEL</v>
          </cell>
          <cell r="N842" t="str">
            <v>Resource</v>
          </cell>
          <cell r="Q842" t="str">
            <v>no</v>
          </cell>
          <cell r="X842">
            <v>1125</v>
          </cell>
          <cell r="Y842" t="str">
            <v xml:space="preserve"> </v>
          </cell>
          <cell r="Z842" t="str">
            <v xml:space="preserve"> </v>
          </cell>
        </row>
        <row r="843">
          <cell r="B843" t="str">
            <v>L11</v>
          </cell>
          <cell r="F843">
            <v>1</v>
          </cell>
          <cell r="G843">
            <v>110401</v>
          </cell>
          <cell r="K843">
            <v>0</v>
          </cell>
          <cell r="M843" t="str">
            <v>AME</v>
          </cell>
          <cell r="N843" t="str">
            <v>Resource</v>
          </cell>
          <cell r="Q843" t="str">
            <v>no</v>
          </cell>
          <cell r="X843" t="str">
            <v xml:space="preserve"> </v>
          </cell>
          <cell r="Y843" t="str">
            <v xml:space="preserve"> </v>
          </cell>
          <cell r="Z843" t="str">
            <v xml:space="preserve"> </v>
          </cell>
        </row>
        <row r="844">
          <cell r="B844" t="str">
            <v>L11</v>
          </cell>
          <cell r="F844">
            <v>12</v>
          </cell>
          <cell r="G844">
            <v>110401</v>
          </cell>
          <cell r="K844">
            <v>0</v>
          </cell>
          <cell r="M844" t="str">
            <v>AME</v>
          </cell>
          <cell r="N844" t="str">
            <v>Resource</v>
          </cell>
          <cell r="Q844" t="str">
            <v>no</v>
          </cell>
          <cell r="X844" t="str">
            <v xml:space="preserve"> </v>
          </cell>
          <cell r="Y844" t="str">
            <v xml:space="preserve"> </v>
          </cell>
          <cell r="Z844" t="str">
            <v xml:space="preserve"> </v>
          </cell>
        </row>
        <row r="845">
          <cell r="B845" t="str">
            <v>L11</v>
          </cell>
          <cell r="F845">
            <v>1</v>
          </cell>
          <cell r="G845">
            <v>110401</v>
          </cell>
          <cell r="K845">
            <v>0</v>
          </cell>
          <cell r="M845" t="str">
            <v>DEL</v>
          </cell>
          <cell r="N845" t="str">
            <v>Resource</v>
          </cell>
          <cell r="Q845" t="str">
            <v>no</v>
          </cell>
          <cell r="X845">
            <v>-1210</v>
          </cell>
          <cell r="Y845" t="str">
            <v xml:space="preserve"> </v>
          </cell>
          <cell r="Z845" t="str">
            <v xml:space="preserve"> </v>
          </cell>
        </row>
        <row r="846">
          <cell r="B846" t="str">
            <v>L11</v>
          </cell>
          <cell r="F846">
            <v>2</v>
          </cell>
          <cell r="G846">
            <v>110401</v>
          </cell>
          <cell r="K846">
            <v>0</v>
          </cell>
          <cell r="M846" t="str">
            <v>DEL</v>
          </cell>
          <cell r="N846" t="str">
            <v>Resource</v>
          </cell>
          <cell r="Q846" t="str">
            <v>no</v>
          </cell>
          <cell r="X846" t="str">
            <v xml:space="preserve"> </v>
          </cell>
          <cell r="Y846">
            <v>-1210</v>
          </cell>
          <cell r="Z846">
            <v>-1210</v>
          </cell>
        </row>
        <row r="847">
          <cell r="B847" t="str">
            <v>L11</v>
          </cell>
          <cell r="F847">
            <v>1</v>
          </cell>
          <cell r="G847">
            <v>110407</v>
          </cell>
          <cell r="K847">
            <v>0</v>
          </cell>
          <cell r="M847" t="str">
            <v>DEL</v>
          </cell>
          <cell r="N847" t="str">
            <v>Resource</v>
          </cell>
          <cell r="Q847" t="str">
            <v>no</v>
          </cell>
          <cell r="X847" t="str">
            <v xml:space="preserve"> </v>
          </cell>
          <cell r="Y847" t="str">
            <v xml:space="preserve"> </v>
          </cell>
          <cell r="Z847" t="str">
            <v xml:space="preserve"> </v>
          </cell>
        </row>
        <row r="848">
          <cell r="B848" t="str">
            <v>L11</v>
          </cell>
          <cell r="F848">
            <v>9</v>
          </cell>
          <cell r="G848">
            <v>110306</v>
          </cell>
          <cell r="K848">
            <v>0</v>
          </cell>
          <cell r="M848" t="str">
            <v>DEL</v>
          </cell>
          <cell r="N848" t="str">
            <v>Resource</v>
          </cell>
          <cell r="Q848" t="str">
            <v>no</v>
          </cell>
          <cell r="X848" t="str">
            <v xml:space="preserve"> </v>
          </cell>
          <cell r="Y848" t="str">
            <v xml:space="preserve"> </v>
          </cell>
          <cell r="Z848" t="str">
            <v xml:space="preserve"> </v>
          </cell>
        </row>
        <row r="849">
          <cell r="B849" t="str">
            <v>L11</v>
          </cell>
          <cell r="F849">
            <v>9</v>
          </cell>
          <cell r="G849">
            <v>110401</v>
          </cell>
          <cell r="K849">
            <v>0</v>
          </cell>
          <cell r="M849" t="str">
            <v>AME</v>
          </cell>
          <cell r="N849" t="str">
            <v>Resource</v>
          </cell>
          <cell r="Q849" t="str">
            <v>no</v>
          </cell>
          <cell r="X849" t="str">
            <v xml:space="preserve"> </v>
          </cell>
          <cell r="Y849" t="str">
            <v xml:space="preserve"> </v>
          </cell>
          <cell r="Z849" t="str">
            <v xml:space="preserve"> </v>
          </cell>
        </row>
        <row r="850">
          <cell r="B850" t="str">
            <v>L21</v>
          </cell>
          <cell r="F850">
            <v>1</v>
          </cell>
          <cell r="G850">
            <v>110101</v>
          </cell>
          <cell r="K850">
            <v>0</v>
          </cell>
          <cell r="M850" t="str">
            <v>DEL</v>
          </cell>
          <cell r="N850" t="str">
            <v>Resource</v>
          </cell>
          <cell r="Q850" t="str">
            <v>no</v>
          </cell>
          <cell r="X850" t="str">
            <v xml:space="preserve"> </v>
          </cell>
          <cell r="Y850" t="str">
            <v xml:space="preserve"> </v>
          </cell>
          <cell r="Z850" t="str">
            <v xml:space="preserve"> </v>
          </cell>
        </row>
        <row r="851">
          <cell r="B851" t="str">
            <v>L21</v>
          </cell>
          <cell r="F851">
            <v>2</v>
          </cell>
          <cell r="G851">
            <v>110101</v>
          </cell>
          <cell r="K851">
            <v>0</v>
          </cell>
          <cell r="M851" t="str">
            <v>DEL</v>
          </cell>
          <cell r="N851" t="str">
            <v>Resource</v>
          </cell>
          <cell r="Q851" t="str">
            <v>no</v>
          </cell>
          <cell r="X851" t="str">
            <v xml:space="preserve"> </v>
          </cell>
          <cell r="Y851" t="str">
            <v xml:space="preserve"> </v>
          </cell>
          <cell r="Z851" t="str">
            <v xml:space="preserve"> </v>
          </cell>
        </row>
        <row r="852">
          <cell r="B852" t="str">
            <v>D40</v>
          </cell>
          <cell r="F852">
            <v>6</v>
          </cell>
          <cell r="G852">
            <v>180700</v>
          </cell>
          <cell r="K852">
            <v>0</v>
          </cell>
          <cell r="M852" t="str">
            <v>AME</v>
          </cell>
          <cell r="N852" t="str">
            <v>Resource</v>
          </cell>
          <cell r="Q852" t="str">
            <v>yes</v>
          </cell>
          <cell r="X852">
            <v>61425</v>
          </cell>
          <cell r="Y852">
            <v>64496</v>
          </cell>
          <cell r="Z852">
            <v>67721</v>
          </cell>
        </row>
        <row r="853">
          <cell r="B853" t="str">
            <v>D40</v>
          </cell>
          <cell r="F853">
            <v>6</v>
          </cell>
          <cell r="G853">
            <v>180700</v>
          </cell>
          <cell r="K853">
            <v>0</v>
          </cell>
          <cell r="M853" t="str">
            <v>AME</v>
          </cell>
          <cell r="N853" t="str">
            <v>Resource</v>
          </cell>
          <cell r="Q853" t="str">
            <v>yes</v>
          </cell>
          <cell r="X853">
            <v>3778425</v>
          </cell>
          <cell r="Y853">
            <v>3967346</v>
          </cell>
          <cell r="Z853">
            <v>4165713</v>
          </cell>
        </row>
        <row r="854">
          <cell r="B854" t="str">
            <v>L21</v>
          </cell>
          <cell r="F854">
            <v>2</v>
          </cell>
          <cell r="G854">
            <v>110101</v>
          </cell>
          <cell r="K854">
            <v>0</v>
          </cell>
          <cell r="M854" t="str">
            <v>DEL</v>
          </cell>
          <cell r="N854" t="str">
            <v>Resource</v>
          </cell>
          <cell r="Q854" t="str">
            <v>no</v>
          </cell>
          <cell r="X854" t="str">
            <v xml:space="preserve"> </v>
          </cell>
          <cell r="Y854">
            <v>-907340</v>
          </cell>
          <cell r="Z854">
            <v>-957340</v>
          </cell>
        </row>
        <row r="855">
          <cell r="B855" t="str">
            <v>L21</v>
          </cell>
          <cell r="F855">
            <v>12</v>
          </cell>
          <cell r="G855">
            <v>110101</v>
          </cell>
          <cell r="K855">
            <v>0</v>
          </cell>
          <cell r="M855" t="str">
            <v>DEL</v>
          </cell>
          <cell r="N855" t="str">
            <v>Resource</v>
          </cell>
          <cell r="Q855" t="str">
            <v>no</v>
          </cell>
          <cell r="X855" t="str">
            <v xml:space="preserve"> </v>
          </cell>
          <cell r="Y855" t="str">
            <v xml:space="preserve"> </v>
          </cell>
          <cell r="Z855" t="str">
            <v xml:space="preserve"> </v>
          </cell>
        </row>
        <row r="856">
          <cell r="B856" t="str">
            <v>E10</v>
          </cell>
          <cell r="F856">
            <v>3</v>
          </cell>
          <cell r="G856">
            <v>110101</v>
          </cell>
          <cell r="K856">
            <v>0</v>
          </cell>
          <cell r="M856" t="str">
            <v>non-budget</v>
          </cell>
          <cell r="N856" t="str">
            <v>non-budget</v>
          </cell>
          <cell r="Q856" t="str">
            <v>no</v>
          </cell>
          <cell r="X856" t="str">
            <v xml:space="preserve"> </v>
          </cell>
          <cell r="Y856" t="str">
            <v xml:space="preserve"> </v>
          </cell>
          <cell r="Z856" t="str">
            <v xml:space="preserve"> </v>
          </cell>
        </row>
        <row r="857">
          <cell r="B857" t="str">
            <v>E10</v>
          </cell>
          <cell r="F857">
            <v>3</v>
          </cell>
          <cell r="G857">
            <v>110202</v>
          </cell>
          <cell r="K857" t="str">
            <v>PSS</v>
          </cell>
          <cell r="M857" t="str">
            <v>non-budget</v>
          </cell>
          <cell r="N857" t="str">
            <v>non-budget</v>
          </cell>
          <cell r="Q857" t="str">
            <v>no</v>
          </cell>
          <cell r="X857" t="str">
            <v xml:space="preserve"> </v>
          </cell>
          <cell r="Y857" t="str">
            <v xml:space="preserve"> </v>
          </cell>
          <cell r="Z857" t="str">
            <v xml:space="preserve"> </v>
          </cell>
        </row>
        <row r="858">
          <cell r="B858" t="str">
            <v>D20</v>
          </cell>
          <cell r="F858">
            <v>12</v>
          </cell>
          <cell r="G858">
            <v>110301</v>
          </cell>
          <cell r="K858">
            <v>0</v>
          </cell>
          <cell r="M858" t="str">
            <v>DEL</v>
          </cell>
          <cell r="N858" t="str">
            <v>Resource</v>
          </cell>
          <cell r="Q858" t="str">
            <v>yes</v>
          </cell>
          <cell r="X858">
            <v>41549</v>
          </cell>
          <cell r="Y858" t="str">
            <v xml:space="preserve"> </v>
          </cell>
          <cell r="Z858" t="str">
            <v xml:space="preserve"> </v>
          </cell>
        </row>
        <row r="859">
          <cell r="B859" t="str">
            <v>E15</v>
          </cell>
          <cell r="F859">
            <v>12</v>
          </cell>
          <cell r="G859">
            <v>110401</v>
          </cell>
          <cell r="K859">
            <v>0</v>
          </cell>
          <cell r="M859" t="str">
            <v>DEL</v>
          </cell>
          <cell r="N859" t="str">
            <v>Capital</v>
          </cell>
          <cell r="Q859" t="str">
            <v>no</v>
          </cell>
          <cell r="X859">
            <v>4443</v>
          </cell>
          <cell r="Y859" t="str">
            <v xml:space="preserve"> </v>
          </cell>
          <cell r="Z859" t="str">
            <v xml:space="preserve"> </v>
          </cell>
          <cell r="AA859" t="str">
            <v>R</v>
          </cell>
        </row>
        <row r="860">
          <cell r="B860" t="str">
            <v>D20</v>
          </cell>
          <cell r="F860">
            <v>12</v>
          </cell>
          <cell r="G860">
            <v>110301</v>
          </cell>
          <cell r="K860">
            <v>0</v>
          </cell>
          <cell r="M860" t="str">
            <v>DEL</v>
          </cell>
          <cell r="N860" t="str">
            <v>Resource</v>
          </cell>
          <cell r="Q860" t="str">
            <v>yes</v>
          </cell>
          <cell r="X860" t="str">
            <v xml:space="preserve"> </v>
          </cell>
          <cell r="Y860" t="str">
            <v xml:space="preserve"> </v>
          </cell>
          <cell r="Z860" t="str">
            <v xml:space="preserve"> </v>
          </cell>
        </row>
        <row r="861">
          <cell r="B861" t="str">
            <v>E05</v>
          </cell>
          <cell r="F861">
            <v>1</v>
          </cell>
          <cell r="G861">
            <v>110101</v>
          </cell>
          <cell r="K861">
            <v>0</v>
          </cell>
          <cell r="M861" t="str">
            <v>DEL</v>
          </cell>
          <cell r="N861" t="str">
            <v>Capital</v>
          </cell>
          <cell r="Q861" t="str">
            <v>no</v>
          </cell>
          <cell r="X861">
            <v>5978</v>
          </cell>
          <cell r="Y861" t="str">
            <v xml:space="preserve"> </v>
          </cell>
          <cell r="Z861" t="str">
            <v xml:space="preserve"> </v>
          </cell>
        </row>
        <row r="862">
          <cell r="B862" t="str">
            <v>E05</v>
          </cell>
          <cell r="F862">
            <v>1</v>
          </cell>
          <cell r="G862">
            <v>110701</v>
          </cell>
          <cell r="K862">
            <v>0</v>
          </cell>
          <cell r="M862" t="str">
            <v>DEL</v>
          </cell>
          <cell r="N862" t="str">
            <v>Capital</v>
          </cell>
          <cell r="Q862" t="str">
            <v>no</v>
          </cell>
          <cell r="X862">
            <v>1424337</v>
          </cell>
          <cell r="Y862" t="str">
            <v xml:space="preserve"> </v>
          </cell>
          <cell r="Z862" t="str">
            <v xml:space="preserve"> </v>
          </cell>
        </row>
        <row r="863">
          <cell r="B863" t="str">
            <v>E05</v>
          </cell>
          <cell r="F863">
            <v>6</v>
          </cell>
          <cell r="G863">
            <v>110701</v>
          </cell>
          <cell r="K863">
            <v>0</v>
          </cell>
          <cell r="M863" t="str">
            <v>DEL</v>
          </cell>
          <cell r="N863" t="str">
            <v>Capital</v>
          </cell>
          <cell r="Q863" t="str">
            <v>no</v>
          </cell>
          <cell r="X863">
            <v>-100000</v>
          </cell>
          <cell r="Y863">
            <v>-100000</v>
          </cell>
          <cell r="Z863">
            <v>-100000</v>
          </cell>
        </row>
        <row r="864">
          <cell r="B864" t="str">
            <v>E05</v>
          </cell>
          <cell r="F864">
            <v>6</v>
          </cell>
          <cell r="G864">
            <v>110701</v>
          </cell>
          <cell r="K864">
            <v>0</v>
          </cell>
          <cell r="M864" t="str">
            <v>DEL</v>
          </cell>
          <cell r="N864" t="str">
            <v>Capital</v>
          </cell>
          <cell r="Q864" t="str">
            <v>no</v>
          </cell>
          <cell r="X864">
            <v>-14469</v>
          </cell>
          <cell r="Y864" t="str">
            <v xml:space="preserve"> </v>
          </cell>
          <cell r="Z864" t="str">
            <v xml:space="preserve"> </v>
          </cell>
        </row>
        <row r="865">
          <cell r="B865" t="str">
            <v>E05</v>
          </cell>
          <cell r="F865">
            <v>6</v>
          </cell>
          <cell r="G865">
            <v>110701</v>
          </cell>
          <cell r="K865">
            <v>0</v>
          </cell>
          <cell r="M865" t="str">
            <v>DEL</v>
          </cell>
          <cell r="N865" t="str">
            <v>Capital</v>
          </cell>
          <cell r="Q865" t="str">
            <v>no</v>
          </cell>
          <cell r="X865">
            <v>60000</v>
          </cell>
          <cell r="Y865" t="str">
            <v xml:space="preserve"> </v>
          </cell>
          <cell r="Z865" t="str">
            <v xml:space="preserve"> </v>
          </cell>
        </row>
        <row r="866">
          <cell r="B866" t="str">
            <v>E05</v>
          </cell>
          <cell r="F866">
            <v>6</v>
          </cell>
          <cell r="G866">
            <v>110701</v>
          </cell>
          <cell r="K866">
            <v>0</v>
          </cell>
          <cell r="M866" t="str">
            <v>DEL</v>
          </cell>
          <cell r="N866" t="str">
            <v>Capital</v>
          </cell>
          <cell r="Q866" t="str">
            <v>no</v>
          </cell>
          <cell r="X866">
            <v>1552652</v>
          </cell>
          <cell r="Y866" t="str">
            <v xml:space="preserve"> </v>
          </cell>
          <cell r="Z866" t="str">
            <v xml:space="preserve"> </v>
          </cell>
        </row>
        <row r="867">
          <cell r="B867" t="str">
            <v>E05</v>
          </cell>
          <cell r="F867">
            <v>6</v>
          </cell>
          <cell r="G867">
            <v>110701</v>
          </cell>
          <cell r="K867">
            <v>0</v>
          </cell>
          <cell r="M867" t="str">
            <v>DEL</v>
          </cell>
          <cell r="N867" t="str">
            <v>Capital</v>
          </cell>
          <cell r="Q867" t="str">
            <v>no</v>
          </cell>
          <cell r="X867">
            <v>144</v>
          </cell>
          <cell r="Y867" t="str">
            <v xml:space="preserve"> </v>
          </cell>
          <cell r="Z867" t="str">
            <v xml:space="preserve"> </v>
          </cell>
        </row>
        <row r="868">
          <cell r="B868" t="str">
            <v>E05</v>
          </cell>
          <cell r="F868">
            <v>6</v>
          </cell>
          <cell r="G868">
            <v>110701</v>
          </cell>
          <cell r="K868">
            <v>0</v>
          </cell>
          <cell r="M868" t="str">
            <v>DEL</v>
          </cell>
          <cell r="N868" t="str">
            <v>Capital</v>
          </cell>
          <cell r="Q868" t="str">
            <v>no</v>
          </cell>
          <cell r="X868" t="str">
            <v xml:space="preserve"> </v>
          </cell>
          <cell r="Y868" t="str">
            <v xml:space="preserve"> </v>
          </cell>
          <cell r="Z868" t="str">
            <v xml:space="preserve"> </v>
          </cell>
        </row>
        <row r="869">
          <cell r="B869" t="str">
            <v>D20</v>
          </cell>
          <cell r="F869">
            <v>12</v>
          </cell>
          <cell r="G869">
            <v>110301</v>
          </cell>
          <cell r="K869">
            <v>0</v>
          </cell>
          <cell r="M869" t="str">
            <v>DEL</v>
          </cell>
          <cell r="N869" t="str">
            <v>Resource</v>
          </cell>
          <cell r="Q869" t="str">
            <v>yes</v>
          </cell>
          <cell r="X869" t="str">
            <v xml:space="preserve"> </v>
          </cell>
          <cell r="Y869" t="str">
            <v xml:space="preserve"> </v>
          </cell>
          <cell r="Z869" t="str">
            <v xml:space="preserve"> </v>
          </cell>
        </row>
        <row r="870">
          <cell r="B870" t="str">
            <v>D20</v>
          </cell>
          <cell r="F870">
            <v>12</v>
          </cell>
          <cell r="G870">
            <v>110301</v>
          </cell>
          <cell r="K870">
            <v>0</v>
          </cell>
          <cell r="M870" t="str">
            <v>DEL</v>
          </cell>
          <cell r="N870" t="str">
            <v>Resource</v>
          </cell>
          <cell r="Q870" t="str">
            <v>yes</v>
          </cell>
        </row>
        <row r="871">
          <cell r="B871" t="str">
            <v>E05</v>
          </cell>
          <cell r="F871">
            <v>4</v>
          </cell>
          <cell r="G871">
            <v>110701</v>
          </cell>
          <cell r="K871">
            <v>0</v>
          </cell>
          <cell r="M871" t="str">
            <v>DEL</v>
          </cell>
          <cell r="N871" t="str">
            <v>Capital</v>
          </cell>
          <cell r="Q871" t="str">
            <v>no</v>
          </cell>
          <cell r="X871" t="str">
            <v xml:space="preserve"> </v>
          </cell>
          <cell r="Y871" t="str">
            <v xml:space="preserve"> </v>
          </cell>
          <cell r="Z871" t="str">
            <v xml:space="preserve"> </v>
          </cell>
        </row>
        <row r="872">
          <cell r="B872" t="str">
            <v>D40</v>
          </cell>
          <cell r="F872">
            <v>6</v>
          </cell>
          <cell r="G872">
            <v>180700</v>
          </cell>
          <cell r="K872">
            <v>0</v>
          </cell>
          <cell r="M872" t="str">
            <v>AME</v>
          </cell>
          <cell r="N872" t="str">
            <v>Resource</v>
          </cell>
          <cell r="Q872" t="str">
            <v>yes</v>
          </cell>
          <cell r="X872">
            <v>-3778425</v>
          </cell>
          <cell r="Y872">
            <v>-3967346</v>
          </cell>
          <cell r="Z872">
            <v>-4165713</v>
          </cell>
        </row>
        <row r="873">
          <cell r="B873" t="str">
            <v>H35</v>
          </cell>
          <cell r="F873">
            <v>12</v>
          </cell>
          <cell r="G873">
            <v>110402</v>
          </cell>
          <cell r="K873">
            <v>0</v>
          </cell>
          <cell r="M873" t="str">
            <v>DEL</v>
          </cell>
          <cell r="N873" t="str">
            <v>Capital</v>
          </cell>
          <cell r="Q873" t="str">
            <v>no</v>
          </cell>
          <cell r="X873" t="str">
            <v xml:space="preserve"> </v>
          </cell>
          <cell r="Y873" t="str">
            <v xml:space="preserve"> </v>
          </cell>
          <cell r="Z873" t="str">
            <v xml:space="preserve"> </v>
          </cell>
        </row>
        <row r="874">
          <cell r="B874" t="str">
            <v>D40</v>
          </cell>
          <cell r="F874">
            <v>6</v>
          </cell>
          <cell r="G874">
            <v>180700</v>
          </cell>
          <cell r="K874">
            <v>0</v>
          </cell>
          <cell r="M874" t="str">
            <v>AME</v>
          </cell>
          <cell r="N874" t="str">
            <v>Resource</v>
          </cell>
          <cell r="Q874" t="str">
            <v>yes</v>
          </cell>
          <cell r="X874" t="str">
            <v xml:space="preserve"> </v>
          </cell>
          <cell r="Y874" t="str">
            <v xml:space="preserve"> </v>
          </cell>
          <cell r="Z874" t="str">
            <v xml:space="preserve"> </v>
          </cell>
        </row>
        <row r="875">
          <cell r="B875" t="str">
            <v>E10</v>
          </cell>
          <cell r="F875">
            <v>3</v>
          </cell>
          <cell r="G875">
            <v>110202</v>
          </cell>
          <cell r="K875" t="str">
            <v>PSS</v>
          </cell>
          <cell r="M875" t="str">
            <v>non-budget</v>
          </cell>
          <cell r="N875" t="str">
            <v>non-budget</v>
          </cell>
          <cell r="Q875" t="str">
            <v>no</v>
          </cell>
          <cell r="X875" t="str">
            <v xml:space="preserve"> </v>
          </cell>
          <cell r="Y875" t="str">
            <v xml:space="preserve"> </v>
          </cell>
          <cell r="Z875" t="str">
            <v xml:space="preserve"> </v>
          </cell>
        </row>
        <row r="876">
          <cell r="B876" t="str">
            <v>D40</v>
          </cell>
          <cell r="F876">
            <v>2</v>
          </cell>
          <cell r="G876">
            <v>180700</v>
          </cell>
          <cell r="K876">
            <v>0</v>
          </cell>
          <cell r="M876" t="str">
            <v>AME</v>
          </cell>
          <cell r="N876" t="str">
            <v>Resource</v>
          </cell>
          <cell r="Q876" t="str">
            <v>yes</v>
          </cell>
          <cell r="X876" t="str">
            <v xml:space="preserve"> </v>
          </cell>
          <cell r="Y876" t="str">
            <v xml:space="preserve"> </v>
          </cell>
          <cell r="Z876" t="str">
            <v xml:space="preserve"> </v>
          </cell>
        </row>
        <row r="877">
          <cell r="B877" t="str">
            <v>E05</v>
          </cell>
          <cell r="F877">
            <v>2</v>
          </cell>
          <cell r="G877">
            <v>110101</v>
          </cell>
          <cell r="K877">
            <v>0</v>
          </cell>
          <cell r="M877" t="str">
            <v>DEL</v>
          </cell>
          <cell r="N877" t="str">
            <v>Capital</v>
          </cell>
          <cell r="Q877" t="str">
            <v>no</v>
          </cell>
          <cell r="X877" t="str">
            <v xml:space="preserve"> </v>
          </cell>
          <cell r="Y877">
            <v>5978</v>
          </cell>
          <cell r="Z877">
            <v>5978</v>
          </cell>
        </row>
        <row r="878">
          <cell r="B878" t="str">
            <v>E05</v>
          </cell>
          <cell r="F878">
            <v>2</v>
          </cell>
          <cell r="G878">
            <v>110701</v>
          </cell>
          <cell r="K878">
            <v>0</v>
          </cell>
          <cell r="M878" t="str">
            <v>DEL</v>
          </cell>
          <cell r="N878" t="str">
            <v>Capital</v>
          </cell>
          <cell r="Q878" t="str">
            <v>no</v>
          </cell>
          <cell r="X878" t="str">
            <v xml:space="preserve"> </v>
          </cell>
          <cell r="Y878">
            <v>1550337</v>
          </cell>
          <cell r="Z878">
            <v>1550337</v>
          </cell>
        </row>
        <row r="879">
          <cell r="B879" t="str">
            <v>E05</v>
          </cell>
          <cell r="F879">
            <v>2</v>
          </cell>
          <cell r="G879">
            <v>110701</v>
          </cell>
          <cell r="K879">
            <v>0</v>
          </cell>
          <cell r="M879" t="str">
            <v>DEL</v>
          </cell>
          <cell r="N879" t="str">
            <v>Capital</v>
          </cell>
          <cell r="Q879" t="str">
            <v>no</v>
          </cell>
          <cell r="X879" t="str">
            <v xml:space="preserve"> </v>
          </cell>
          <cell r="Y879">
            <v>800000</v>
          </cell>
          <cell r="Z879">
            <v>1770000</v>
          </cell>
        </row>
        <row r="880">
          <cell r="B880" t="str">
            <v>E10</v>
          </cell>
          <cell r="F880">
            <v>3</v>
          </cell>
          <cell r="G880">
            <v>110203</v>
          </cell>
          <cell r="K880" t="str">
            <v>PSS</v>
          </cell>
          <cell r="M880" t="str">
            <v>non-budget</v>
          </cell>
          <cell r="N880" t="str">
            <v>non-budget</v>
          </cell>
          <cell r="Q880" t="str">
            <v>no</v>
          </cell>
          <cell r="X880" t="str">
            <v xml:space="preserve"> </v>
          </cell>
          <cell r="Y880" t="str">
            <v xml:space="preserve"> </v>
          </cell>
          <cell r="Z880" t="str">
            <v xml:space="preserve"> </v>
          </cell>
        </row>
        <row r="881">
          <cell r="B881" t="str">
            <v>E05</v>
          </cell>
          <cell r="F881">
            <v>6</v>
          </cell>
          <cell r="G881">
            <v>110701</v>
          </cell>
          <cell r="K881">
            <v>0</v>
          </cell>
          <cell r="M881" t="str">
            <v>DEL</v>
          </cell>
          <cell r="N881" t="str">
            <v>Capital</v>
          </cell>
          <cell r="Q881" t="str">
            <v>no</v>
          </cell>
          <cell r="X881" t="str">
            <v xml:space="preserve"> </v>
          </cell>
          <cell r="Y881" t="str">
            <v xml:space="preserve"> </v>
          </cell>
          <cell r="Z881" t="str">
            <v xml:space="preserve"> </v>
          </cell>
        </row>
        <row r="882">
          <cell r="B882" t="str">
            <v>E05</v>
          </cell>
          <cell r="F882">
            <v>6</v>
          </cell>
          <cell r="G882">
            <v>110701</v>
          </cell>
          <cell r="K882">
            <v>0</v>
          </cell>
          <cell r="M882" t="str">
            <v>DEL</v>
          </cell>
          <cell r="N882" t="str">
            <v>Capital</v>
          </cell>
          <cell r="Q882" t="str">
            <v>no</v>
          </cell>
          <cell r="X882" t="str">
            <v xml:space="preserve"> </v>
          </cell>
          <cell r="Y882" t="str">
            <v xml:space="preserve"> </v>
          </cell>
          <cell r="Z882" t="str">
            <v xml:space="preserve"> </v>
          </cell>
        </row>
        <row r="883">
          <cell r="B883" t="str">
            <v>E05</v>
          </cell>
          <cell r="F883">
            <v>6</v>
          </cell>
          <cell r="G883">
            <v>110701</v>
          </cell>
          <cell r="K883">
            <v>0</v>
          </cell>
          <cell r="M883" t="str">
            <v>DEL</v>
          </cell>
          <cell r="N883" t="str">
            <v>Capital</v>
          </cell>
          <cell r="Q883" t="str">
            <v>no</v>
          </cell>
          <cell r="X883" t="str">
            <v xml:space="preserve"> </v>
          </cell>
          <cell r="Y883" t="str">
            <v xml:space="preserve"> </v>
          </cell>
          <cell r="Z883" t="str">
            <v xml:space="preserve"> </v>
          </cell>
        </row>
        <row r="884">
          <cell r="B884" t="str">
            <v>E05</v>
          </cell>
          <cell r="F884">
            <v>6</v>
          </cell>
          <cell r="G884">
            <v>110701</v>
          </cell>
          <cell r="K884">
            <v>0</v>
          </cell>
          <cell r="M884" t="str">
            <v>DEL</v>
          </cell>
          <cell r="N884" t="str">
            <v>Capital</v>
          </cell>
          <cell r="Q884" t="str">
            <v>no</v>
          </cell>
          <cell r="X884" t="str">
            <v xml:space="preserve"> </v>
          </cell>
          <cell r="Y884" t="str">
            <v xml:space="preserve"> </v>
          </cell>
          <cell r="Z884" t="str">
            <v xml:space="preserve"> </v>
          </cell>
        </row>
        <row r="885">
          <cell r="B885" t="str">
            <v>E05</v>
          </cell>
          <cell r="F885">
            <v>6</v>
          </cell>
          <cell r="G885">
            <v>110701</v>
          </cell>
          <cell r="K885">
            <v>0</v>
          </cell>
          <cell r="M885" t="str">
            <v>DEL</v>
          </cell>
          <cell r="N885" t="str">
            <v>Capital</v>
          </cell>
          <cell r="Q885" t="str">
            <v>no</v>
          </cell>
          <cell r="X885" t="str">
            <v xml:space="preserve"> </v>
          </cell>
          <cell r="Y885" t="str">
            <v xml:space="preserve"> </v>
          </cell>
          <cell r="Z885" t="str">
            <v xml:space="preserve"> </v>
          </cell>
        </row>
        <row r="886">
          <cell r="B886" t="str">
            <v>E05</v>
          </cell>
          <cell r="F886">
            <v>6</v>
          </cell>
          <cell r="G886">
            <v>110701</v>
          </cell>
          <cell r="K886">
            <v>0</v>
          </cell>
          <cell r="M886" t="str">
            <v>DEL</v>
          </cell>
          <cell r="N886" t="str">
            <v>Capital</v>
          </cell>
          <cell r="Q886" t="str">
            <v>no</v>
          </cell>
          <cell r="X886" t="str">
            <v xml:space="preserve"> </v>
          </cell>
          <cell r="Y886" t="str">
            <v xml:space="preserve"> </v>
          </cell>
          <cell r="Z886" t="str">
            <v xml:space="preserve"> </v>
          </cell>
        </row>
        <row r="887">
          <cell r="B887" t="str">
            <v>E05</v>
          </cell>
          <cell r="F887">
            <v>6</v>
          </cell>
          <cell r="G887">
            <v>110701</v>
          </cell>
          <cell r="K887">
            <v>0</v>
          </cell>
          <cell r="M887" t="str">
            <v>DEL</v>
          </cell>
          <cell r="N887" t="str">
            <v>Capital</v>
          </cell>
          <cell r="Q887" t="str">
            <v>no</v>
          </cell>
          <cell r="X887">
            <v>-500000</v>
          </cell>
          <cell r="Y887" t="str">
            <v xml:space="preserve"> </v>
          </cell>
          <cell r="Z887" t="str">
            <v xml:space="preserve"> </v>
          </cell>
        </row>
        <row r="888">
          <cell r="B888" t="str">
            <v>E06</v>
          </cell>
          <cell r="F888">
            <v>1</v>
          </cell>
          <cell r="G888">
            <v>110101</v>
          </cell>
          <cell r="K888">
            <v>0</v>
          </cell>
          <cell r="M888" t="str">
            <v>DEL</v>
          </cell>
          <cell r="N888" t="str">
            <v>Capital</v>
          </cell>
          <cell r="Q888" t="str">
            <v>no</v>
          </cell>
          <cell r="X888" t="str">
            <v xml:space="preserve"> </v>
          </cell>
          <cell r="Y888" t="str">
            <v xml:space="preserve"> </v>
          </cell>
          <cell r="Z888" t="str">
            <v xml:space="preserve"> </v>
          </cell>
        </row>
        <row r="889">
          <cell r="B889" t="str">
            <v>E06</v>
          </cell>
          <cell r="F889">
            <v>1</v>
          </cell>
          <cell r="G889">
            <v>110701</v>
          </cell>
          <cell r="K889">
            <v>0</v>
          </cell>
          <cell r="M889" t="str">
            <v>DEL</v>
          </cell>
          <cell r="N889" t="str">
            <v>Capital</v>
          </cell>
          <cell r="Q889" t="str">
            <v>no</v>
          </cell>
          <cell r="X889" t="str">
            <v xml:space="preserve"> </v>
          </cell>
          <cell r="Y889" t="str">
            <v xml:space="preserve"> </v>
          </cell>
          <cell r="Z889" t="str">
            <v xml:space="preserve"> </v>
          </cell>
        </row>
        <row r="890">
          <cell r="B890" t="str">
            <v>E15</v>
          </cell>
          <cell r="F890">
            <v>12</v>
          </cell>
          <cell r="G890">
            <v>110401</v>
          </cell>
          <cell r="K890">
            <v>0</v>
          </cell>
          <cell r="M890" t="str">
            <v>DEL</v>
          </cell>
          <cell r="N890" t="str">
            <v>Capital</v>
          </cell>
          <cell r="Q890" t="str">
            <v>no</v>
          </cell>
          <cell r="X890">
            <v>-355</v>
          </cell>
          <cell r="Y890" t="str">
            <v xml:space="preserve"> </v>
          </cell>
          <cell r="Z890" t="str">
            <v xml:space="preserve"> </v>
          </cell>
        </row>
        <row r="891">
          <cell r="B891" t="str">
            <v>D40</v>
          </cell>
          <cell r="F891">
            <v>2</v>
          </cell>
          <cell r="G891">
            <v>180700</v>
          </cell>
          <cell r="K891">
            <v>0</v>
          </cell>
          <cell r="M891" t="str">
            <v>AME</v>
          </cell>
          <cell r="N891" t="str">
            <v>Resource</v>
          </cell>
          <cell r="Q891" t="str">
            <v>yes</v>
          </cell>
          <cell r="X891" t="str">
            <v xml:space="preserve"> </v>
          </cell>
          <cell r="Y891" t="str">
            <v xml:space="preserve"> </v>
          </cell>
          <cell r="Z891" t="str">
            <v xml:space="preserve"> </v>
          </cell>
        </row>
        <row r="892">
          <cell r="B892" t="str">
            <v>E10</v>
          </cell>
          <cell r="F892">
            <v>1</v>
          </cell>
          <cell r="G892">
            <v>110101</v>
          </cell>
          <cell r="K892">
            <v>0</v>
          </cell>
          <cell r="M892" t="str">
            <v>DEL</v>
          </cell>
          <cell r="N892" t="str">
            <v>Capital</v>
          </cell>
          <cell r="Q892" t="str">
            <v>no</v>
          </cell>
          <cell r="X892">
            <v>147712</v>
          </cell>
          <cell r="Y892" t="str">
            <v xml:space="preserve"> </v>
          </cell>
          <cell r="Z892" t="str">
            <v xml:space="preserve"> </v>
          </cell>
        </row>
        <row r="893">
          <cell r="B893" t="str">
            <v>E10</v>
          </cell>
          <cell r="F893">
            <v>1</v>
          </cell>
          <cell r="G893">
            <v>110201</v>
          </cell>
          <cell r="K893" t="str">
            <v>PSS</v>
          </cell>
          <cell r="M893" t="str">
            <v>DEL</v>
          </cell>
          <cell r="N893" t="str">
            <v>Capital</v>
          </cell>
          <cell r="Q893" t="str">
            <v>no</v>
          </cell>
          <cell r="X893">
            <v>50</v>
          </cell>
          <cell r="Y893" t="str">
            <v xml:space="preserve"> </v>
          </cell>
          <cell r="Z893" t="str">
            <v xml:space="preserve"> </v>
          </cell>
        </row>
        <row r="894">
          <cell r="B894" t="str">
            <v>E10</v>
          </cell>
          <cell r="F894">
            <v>1</v>
          </cell>
          <cell r="G894">
            <v>110201</v>
          </cell>
          <cell r="K894" t="str">
            <v>PSS</v>
          </cell>
          <cell r="M894" t="str">
            <v>DEL</v>
          </cell>
          <cell r="N894" t="str">
            <v>Capital</v>
          </cell>
          <cell r="Q894" t="str">
            <v>no</v>
          </cell>
          <cell r="X894" t="str">
            <v xml:space="preserve"> </v>
          </cell>
          <cell r="Y894" t="str">
            <v xml:space="preserve"> </v>
          </cell>
          <cell r="Z894" t="str">
            <v xml:space="preserve"> </v>
          </cell>
        </row>
        <row r="895">
          <cell r="B895" t="str">
            <v>E10</v>
          </cell>
          <cell r="F895">
            <v>1</v>
          </cell>
          <cell r="G895">
            <v>110701</v>
          </cell>
          <cell r="K895">
            <v>0</v>
          </cell>
          <cell r="M895" t="str">
            <v>DEL</v>
          </cell>
          <cell r="N895" t="str">
            <v>Capital</v>
          </cell>
          <cell r="Q895" t="str">
            <v>no</v>
          </cell>
          <cell r="X895" t="str">
            <v xml:space="preserve"> </v>
          </cell>
          <cell r="Y895" t="str">
            <v xml:space="preserve"> </v>
          </cell>
          <cell r="Z895" t="str">
            <v xml:space="preserve"> </v>
          </cell>
        </row>
        <row r="896">
          <cell r="B896" t="str">
            <v>E10</v>
          </cell>
          <cell r="F896">
            <v>4</v>
          </cell>
          <cell r="G896">
            <v>110201</v>
          </cell>
          <cell r="K896" t="str">
            <v>PSS</v>
          </cell>
          <cell r="M896" t="str">
            <v>DEL</v>
          </cell>
          <cell r="N896" t="str">
            <v>Capital</v>
          </cell>
          <cell r="Q896" t="str">
            <v>no</v>
          </cell>
          <cell r="X896" t="str">
            <v xml:space="preserve"> </v>
          </cell>
          <cell r="Y896">
            <v>-20000</v>
          </cell>
          <cell r="Z896">
            <v>-40000</v>
          </cell>
        </row>
        <row r="897">
          <cell r="B897" t="str">
            <v>E10</v>
          </cell>
          <cell r="F897">
            <v>6</v>
          </cell>
          <cell r="G897">
            <v>110201</v>
          </cell>
          <cell r="K897" t="str">
            <v>PSS</v>
          </cell>
          <cell r="M897" t="str">
            <v>DEL</v>
          </cell>
          <cell r="N897" t="str">
            <v>Capital</v>
          </cell>
          <cell r="Q897" t="str">
            <v>no</v>
          </cell>
          <cell r="X897">
            <v>-50</v>
          </cell>
          <cell r="Y897" t="str">
            <v xml:space="preserve"> </v>
          </cell>
          <cell r="Z897" t="str">
            <v xml:space="preserve"> </v>
          </cell>
        </row>
        <row r="898">
          <cell r="B898" t="str">
            <v>E10</v>
          </cell>
          <cell r="F898">
            <v>4</v>
          </cell>
          <cell r="G898">
            <v>110101</v>
          </cell>
          <cell r="K898">
            <v>0</v>
          </cell>
          <cell r="M898" t="str">
            <v>DEL</v>
          </cell>
          <cell r="N898" t="str">
            <v>Capital</v>
          </cell>
          <cell r="Q898" t="str">
            <v>no</v>
          </cell>
          <cell r="X898" t="str">
            <v xml:space="preserve"> </v>
          </cell>
          <cell r="Y898" t="str">
            <v xml:space="preserve"> </v>
          </cell>
          <cell r="Z898" t="str">
            <v xml:space="preserve"> </v>
          </cell>
        </row>
        <row r="899">
          <cell r="B899" t="str">
            <v>D40</v>
          </cell>
          <cell r="F899">
            <v>2</v>
          </cell>
          <cell r="G899">
            <v>180700</v>
          </cell>
          <cell r="K899">
            <v>0</v>
          </cell>
          <cell r="M899" t="str">
            <v>AME</v>
          </cell>
          <cell r="N899" t="str">
            <v>Resource</v>
          </cell>
          <cell r="Q899" t="str">
            <v>yes</v>
          </cell>
          <cell r="X899" t="str">
            <v xml:space="preserve"> </v>
          </cell>
          <cell r="Y899" t="str">
            <v xml:space="preserve"> </v>
          </cell>
          <cell r="Z899" t="str">
            <v xml:space="preserve"> </v>
          </cell>
        </row>
        <row r="900">
          <cell r="B900" t="str">
            <v>D40</v>
          </cell>
          <cell r="F900">
            <v>2</v>
          </cell>
          <cell r="G900">
            <v>180700</v>
          </cell>
          <cell r="K900">
            <v>0</v>
          </cell>
          <cell r="M900" t="str">
            <v>AME</v>
          </cell>
          <cell r="N900" t="str">
            <v>Resource</v>
          </cell>
          <cell r="Q900" t="str">
            <v>yes</v>
          </cell>
          <cell r="X900" t="str">
            <v xml:space="preserve"> </v>
          </cell>
          <cell r="Y900" t="str">
            <v xml:space="preserve"> </v>
          </cell>
          <cell r="Z900" t="str">
            <v xml:space="preserve"> </v>
          </cell>
        </row>
        <row r="901">
          <cell r="B901" t="str">
            <v>D40</v>
          </cell>
          <cell r="F901">
            <v>5</v>
          </cell>
          <cell r="G901">
            <v>180700</v>
          </cell>
          <cell r="K901">
            <v>0</v>
          </cell>
          <cell r="M901" t="str">
            <v>AME</v>
          </cell>
          <cell r="N901" t="str">
            <v>Resource</v>
          </cell>
          <cell r="Q901" t="str">
            <v>yes</v>
          </cell>
          <cell r="X901" t="str">
            <v xml:space="preserve"> </v>
          </cell>
          <cell r="Y901" t="str">
            <v xml:space="preserve"> </v>
          </cell>
          <cell r="Z901" t="str">
            <v xml:space="preserve"> </v>
          </cell>
        </row>
        <row r="902">
          <cell r="B902" t="str">
            <v>E15</v>
          </cell>
          <cell r="F902">
            <v>3</v>
          </cell>
          <cell r="G902">
            <v>110401</v>
          </cell>
          <cell r="K902">
            <v>0</v>
          </cell>
          <cell r="M902" t="str">
            <v>DEL</v>
          </cell>
          <cell r="N902" t="str">
            <v>Capital</v>
          </cell>
          <cell r="Q902" t="str">
            <v>no</v>
          </cell>
          <cell r="X902" t="str">
            <v xml:space="preserve"> </v>
          </cell>
          <cell r="Y902" t="str">
            <v xml:space="preserve"> </v>
          </cell>
          <cell r="Z902" t="str">
            <v xml:space="preserve"> </v>
          </cell>
        </row>
        <row r="903">
          <cell r="B903" t="str">
            <v>E10</v>
          </cell>
          <cell r="F903">
            <v>2</v>
          </cell>
          <cell r="G903">
            <v>110101</v>
          </cell>
          <cell r="K903">
            <v>0</v>
          </cell>
          <cell r="M903" t="str">
            <v>DEL</v>
          </cell>
          <cell r="N903" t="str">
            <v>Capital</v>
          </cell>
          <cell r="Q903" t="str">
            <v>no</v>
          </cell>
          <cell r="X903" t="str">
            <v xml:space="preserve"> </v>
          </cell>
          <cell r="Y903">
            <v>147712</v>
          </cell>
          <cell r="Z903">
            <v>147712</v>
          </cell>
        </row>
        <row r="904">
          <cell r="B904" t="str">
            <v>E10</v>
          </cell>
          <cell r="F904">
            <v>2</v>
          </cell>
          <cell r="G904">
            <v>110101</v>
          </cell>
          <cell r="K904">
            <v>0</v>
          </cell>
          <cell r="M904" t="str">
            <v>DEL</v>
          </cell>
          <cell r="N904" t="str">
            <v>Capital</v>
          </cell>
          <cell r="Q904" t="str">
            <v>no</v>
          </cell>
          <cell r="X904" t="str">
            <v xml:space="preserve"> </v>
          </cell>
          <cell r="Y904">
            <v>140</v>
          </cell>
          <cell r="Z904">
            <v>140</v>
          </cell>
        </row>
        <row r="905">
          <cell r="B905" t="str">
            <v>E10</v>
          </cell>
          <cell r="F905">
            <v>2</v>
          </cell>
          <cell r="G905">
            <v>110101</v>
          </cell>
          <cell r="K905">
            <v>0</v>
          </cell>
          <cell r="M905" t="str">
            <v>DEL</v>
          </cell>
          <cell r="N905" t="str">
            <v>Capital</v>
          </cell>
          <cell r="Q905" t="str">
            <v>no</v>
          </cell>
          <cell r="X905" t="str">
            <v xml:space="preserve"> </v>
          </cell>
          <cell r="Y905">
            <v>-518</v>
          </cell>
          <cell r="Z905">
            <v>-518</v>
          </cell>
        </row>
        <row r="906">
          <cell r="B906" t="str">
            <v>E10</v>
          </cell>
          <cell r="F906">
            <v>2</v>
          </cell>
          <cell r="G906">
            <v>110201</v>
          </cell>
          <cell r="K906" t="str">
            <v>PSS</v>
          </cell>
          <cell r="M906" t="str">
            <v>DEL</v>
          </cell>
          <cell r="N906" t="str">
            <v>Capital</v>
          </cell>
          <cell r="Q906" t="str">
            <v>no</v>
          </cell>
          <cell r="X906" t="str">
            <v xml:space="preserve"> </v>
          </cell>
          <cell r="Y906">
            <v>20050</v>
          </cell>
          <cell r="Z906">
            <v>40050</v>
          </cell>
        </row>
        <row r="907">
          <cell r="B907" t="str">
            <v>E10</v>
          </cell>
          <cell r="F907">
            <v>2</v>
          </cell>
          <cell r="G907">
            <v>110201</v>
          </cell>
          <cell r="K907" t="str">
            <v>PSS</v>
          </cell>
          <cell r="M907" t="str">
            <v>DEL</v>
          </cell>
          <cell r="N907" t="str">
            <v>Capital</v>
          </cell>
          <cell r="Q907" t="str">
            <v>no</v>
          </cell>
          <cell r="X907" t="str">
            <v xml:space="preserve"> </v>
          </cell>
          <cell r="Y907">
            <v>-140</v>
          </cell>
          <cell r="Z907">
            <v>-140</v>
          </cell>
        </row>
        <row r="908">
          <cell r="B908" t="str">
            <v>E10</v>
          </cell>
          <cell r="F908">
            <v>6</v>
          </cell>
          <cell r="G908">
            <v>110101</v>
          </cell>
          <cell r="K908">
            <v>0</v>
          </cell>
          <cell r="M908" t="str">
            <v>DEL</v>
          </cell>
          <cell r="N908" t="str">
            <v>Capital</v>
          </cell>
          <cell r="Q908" t="str">
            <v>no</v>
          </cell>
          <cell r="X908" t="str">
            <v xml:space="preserve"> </v>
          </cell>
          <cell r="Y908" t="str">
            <v xml:space="preserve"> </v>
          </cell>
          <cell r="Z908" t="str">
            <v xml:space="preserve"> </v>
          </cell>
        </row>
        <row r="909">
          <cell r="B909" t="str">
            <v>E10</v>
          </cell>
          <cell r="F909">
            <v>6</v>
          </cell>
          <cell r="G909">
            <v>110101</v>
          </cell>
          <cell r="K909">
            <v>0</v>
          </cell>
          <cell r="M909" t="str">
            <v>DEL</v>
          </cell>
          <cell r="N909" t="str">
            <v>Capital</v>
          </cell>
          <cell r="Q909" t="str">
            <v>no</v>
          </cell>
          <cell r="X909" t="str">
            <v xml:space="preserve"> </v>
          </cell>
          <cell r="Y909" t="str">
            <v xml:space="preserve"> </v>
          </cell>
          <cell r="Z909" t="str">
            <v xml:space="preserve"> </v>
          </cell>
        </row>
        <row r="910">
          <cell r="B910" t="str">
            <v>E10</v>
          </cell>
          <cell r="F910">
            <v>6</v>
          </cell>
          <cell r="G910">
            <v>110201</v>
          </cell>
          <cell r="K910" t="str">
            <v>PSS</v>
          </cell>
          <cell r="M910" t="str">
            <v>DEL</v>
          </cell>
          <cell r="N910" t="str">
            <v>Capital</v>
          </cell>
          <cell r="Q910" t="str">
            <v>no</v>
          </cell>
          <cell r="X910" t="str">
            <v xml:space="preserve"> </v>
          </cell>
          <cell r="Y910" t="str">
            <v xml:space="preserve"> </v>
          </cell>
          <cell r="Z910" t="str">
            <v xml:space="preserve"> </v>
          </cell>
        </row>
        <row r="911">
          <cell r="B911" t="str">
            <v>E11</v>
          </cell>
          <cell r="F911">
            <v>1</v>
          </cell>
          <cell r="G911">
            <v>110101</v>
          </cell>
          <cell r="K911">
            <v>0</v>
          </cell>
          <cell r="M911" t="str">
            <v>DEL</v>
          </cell>
          <cell r="N911" t="str">
            <v>Capital</v>
          </cell>
          <cell r="Q911" t="str">
            <v>no</v>
          </cell>
          <cell r="X911">
            <v>-37720</v>
          </cell>
          <cell r="Y911" t="str">
            <v xml:space="preserve"> </v>
          </cell>
          <cell r="Z911" t="str">
            <v xml:space="preserve"> </v>
          </cell>
        </row>
        <row r="912">
          <cell r="B912" t="str">
            <v>E11</v>
          </cell>
          <cell r="F912">
            <v>1</v>
          </cell>
          <cell r="G912">
            <v>110401</v>
          </cell>
          <cell r="K912">
            <v>0</v>
          </cell>
          <cell r="M912" t="str">
            <v>DEL</v>
          </cell>
          <cell r="N912" t="str">
            <v>Capital</v>
          </cell>
          <cell r="Q912" t="str">
            <v>no</v>
          </cell>
          <cell r="X912">
            <v>-1</v>
          </cell>
          <cell r="Y912" t="str">
            <v xml:space="preserve"> </v>
          </cell>
          <cell r="Z912" t="str">
            <v xml:space="preserve"> </v>
          </cell>
        </row>
        <row r="913">
          <cell r="B913" t="str">
            <v>E11</v>
          </cell>
          <cell r="F913">
            <v>1</v>
          </cell>
          <cell r="G913">
            <v>110701</v>
          </cell>
          <cell r="K913">
            <v>0</v>
          </cell>
          <cell r="M913" t="str">
            <v>DEL</v>
          </cell>
          <cell r="N913" t="str">
            <v>Capital</v>
          </cell>
          <cell r="Q913" t="str">
            <v>no</v>
          </cell>
          <cell r="X913" t="str">
            <v xml:space="preserve"> </v>
          </cell>
          <cell r="Y913" t="str">
            <v xml:space="preserve"> </v>
          </cell>
          <cell r="Z913" t="str">
            <v xml:space="preserve"> </v>
          </cell>
        </row>
        <row r="914">
          <cell r="B914" t="str">
            <v>E11</v>
          </cell>
          <cell r="F914">
            <v>6</v>
          </cell>
          <cell r="G914">
            <v>110101</v>
          </cell>
          <cell r="K914">
            <v>0</v>
          </cell>
          <cell r="M914" t="str">
            <v>DEL</v>
          </cell>
          <cell r="N914" t="str">
            <v>Capital</v>
          </cell>
          <cell r="Q914" t="str">
            <v>no</v>
          </cell>
          <cell r="X914">
            <v>-60000</v>
          </cell>
          <cell r="Y914" t="str">
            <v xml:space="preserve"> </v>
          </cell>
          <cell r="Z914" t="str">
            <v xml:space="preserve"> </v>
          </cell>
        </row>
        <row r="915">
          <cell r="B915" t="str">
            <v>E11</v>
          </cell>
          <cell r="F915">
            <v>4</v>
          </cell>
          <cell r="G915">
            <v>110101</v>
          </cell>
          <cell r="K915">
            <v>0</v>
          </cell>
          <cell r="M915" t="str">
            <v>DEL</v>
          </cell>
          <cell r="N915" t="str">
            <v>Capital</v>
          </cell>
          <cell r="Q915" t="str">
            <v>no</v>
          </cell>
          <cell r="X915" t="str">
            <v xml:space="preserve"> </v>
          </cell>
          <cell r="Y915" t="str">
            <v xml:space="preserve"> </v>
          </cell>
          <cell r="Z915" t="str">
            <v xml:space="preserve"> </v>
          </cell>
        </row>
        <row r="916">
          <cell r="B916" t="str">
            <v>D40</v>
          </cell>
          <cell r="F916">
            <v>6</v>
          </cell>
          <cell r="G916">
            <v>180700</v>
          </cell>
          <cell r="K916">
            <v>0</v>
          </cell>
          <cell r="M916" t="str">
            <v>AME</v>
          </cell>
          <cell r="N916" t="str">
            <v>Resource</v>
          </cell>
          <cell r="Q916" t="str">
            <v>yes</v>
          </cell>
          <cell r="X916" t="str">
            <v xml:space="preserve"> </v>
          </cell>
          <cell r="Y916" t="str">
            <v xml:space="preserve"> </v>
          </cell>
          <cell r="Z916" t="str">
            <v xml:space="preserve"> </v>
          </cell>
        </row>
        <row r="917">
          <cell r="B917" t="str">
            <v>D40</v>
          </cell>
          <cell r="F917">
            <v>2</v>
          </cell>
          <cell r="G917">
            <v>180700</v>
          </cell>
          <cell r="K917">
            <v>0</v>
          </cell>
          <cell r="M917" t="str">
            <v>AME</v>
          </cell>
          <cell r="N917" t="str">
            <v>Resource</v>
          </cell>
          <cell r="Q917" t="str">
            <v>yes</v>
          </cell>
          <cell r="X917" t="str">
            <v xml:space="preserve"> </v>
          </cell>
          <cell r="Y917" t="str">
            <v xml:space="preserve"> </v>
          </cell>
          <cell r="Z917" t="str">
            <v xml:space="preserve"> </v>
          </cell>
        </row>
        <row r="918">
          <cell r="B918" t="str">
            <v>D40</v>
          </cell>
          <cell r="F918">
            <v>5</v>
          </cell>
          <cell r="G918">
            <v>180700</v>
          </cell>
          <cell r="K918">
            <v>0</v>
          </cell>
          <cell r="M918" t="str">
            <v>AME</v>
          </cell>
          <cell r="N918" t="str">
            <v>Resource</v>
          </cell>
          <cell r="Q918" t="str">
            <v>yes</v>
          </cell>
          <cell r="X918" t="str">
            <v xml:space="preserve"> </v>
          </cell>
          <cell r="Y918" t="str">
            <v xml:space="preserve"> </v>
          </cell>
          <cell r="Z918" t="str">
            <v xml:space="preserve"> </v>
          </cell>
        </row>
        <row r="919">
          <cell r="B919" t="str">
            <v>D40</v>
          </cell>
          <cell r="F919">
            <v>5</v>
          </cell>
          <cell r="G919">
            <v>180700</v>
          </cell>
          <cell r="K919">
            <v>0</v>
          </cell>
          <cell r="M919" t="str">
            <v>AME</v>
          </cell>
          <cell r="N919" t="str">
            <v>Resource</v>
          </cell>
          <cell r="Q919" t="str">
            <v>yes</v>
          </cell>
          <cell r="X919">
            <v>611290</v>
          </cell>
          <cell r="Y919" t="str">
            <v xml:space="preserve"> </v>
          </cell>
          <cell r="Z919" t="str">
            <v xml:space="preserve"> </v>
          </cell>
        </row>
        <row r="920">
          <cell r="B920" t="str">
            <v>E11</v>
          </cell>
          <cell r="F920">
            <v>2</v>
          </cell>
          <cell r="G920">
            <v>110101</v>
          </cell>
          <cell r="K920">
            <v>0</v>
          </cell>
          <cell r="M920" t="str">
            <v>DEL</v>
          </cell>
          <cell r="N920" t="str">
            <v>Capital</v>
          </cell>
          <cell r="Q920" t="str">
            <v>no</v>
          </cell>
          <cell r="X920" t="str">
            <v xml:space="preserve"> </v>
          </cell>
          <cell r="Y920">
            <v>-37720</v>
          </cell>
          <cell r="Z920">
            <v>-37720</v>
          </cell>
        </row>
        <row r="921">
          <cell r="B921" t="str">
            <v>E11</v>
          </cell>
          <cell r="F921">
            <v>2</v>
          </cell>
          <cell r="G921">
            <v>110401</v>
          </cell>
          <cell r="K921">
            <v>0</v>
          </cell>
          <cell r="M921" t="str">
            <v>DEL</v>
          </cell>
          <cell r="N921" t="str">
            <v>Capital</v>
          </cell>
          <cell r="Q921" t="str">
            <v>no</v>
          </cell>
          <cell r="X921" t="str">
            <v xml:space="preserve"> </v>
          </cell>
          <cell r="Y921">
            <v>-1</v>
          </cell>
          <cell r="Z921">
            <v>-1</v>
          </cell>
        </row>
        <row r="922">
          <cell r="B922" t="str">
            <v>E11</v>
          </cell>
          <cell r="F922">
            <v>6</v>
          </cell>
          <cell r="G922">
            <v>110101</v>
          </cell>
          <cell r="K922">
            <v>0</v>
          </cell>
          <cell r="M922" t="str">
            <v>DEL</v>
          </cell>
          <cell r="N922" t="str">
            <v>Capital</v>
          </cell>
          <cell r="Q922" t="str">
            <v>no</v>
          </cell>
          <cell r="X922" t="str">
            <v xml:space="preserve"> </v>
          </cell>
          <cell r="Y922" t="str">
            <v xml:space="preserve"> </v>
          </cell>
          <cell r="Z922" t="str">
            <v xml:space="preserve"> </v>
          </cell>
        </row>
        <row r="923">
          <cell r="B923" t="str">
            <v>E15</v>
          </cell>
          <cell r="F923">
            <v>1</v>
          </cell>
          <cell r="G923">
            <v>110101</v>
          </cell>
          <cell r="K923">
            <v>0</v>
          </cell>
          <cell r="M923" t="str">
            <v>DEL</v>
          </cell>
          <cell r="N923" t="str">
            <v>Capital</v>
          </cell>
          <cell r="Q923" t="str">
            <v>no</v>
          </cell>
          <cell r="X923">
            <v>2453703</v>
          </cell>
          <cell r="Y923" t="str">
            <v xml:space="preserve"> </v>
          </cell>
          <cell r="Z923" t="str">
            <v xml:space="preserve"> </v>
          </cell>
        </row>
        <row r="924">
          <cell r="B924" t="str">
            <v>E15</v>
          </cell>
          <cell r="F924">
            <v>1</v>
          </cell>
          <cell r="G924">
            <v>110201</v>
          </cell>
          <cell r="K924" t="str">
            <v>PSS</v>
          </cell>
          <cell r="M924" t="str">
            <v>DEL</v>
          </cell>
          <cell r="N924" t="str">
            <v>Capital</v>
          </cell>
          <cell r="Q924" t="str">
            <v>no</v>
          </cell>
          <cell r="X924" t="str">
            <v xml:space="preserve"> </v>
          </cell>
          <cell r="Y924" t="str">
            <v xml:space="preserve"> </v>
          </cell>
          <cell r="Z924" t="str">
            <v xml:space="preserve"> </v>
          </cell>
        </row>
        <row r="925">
          <cell r="B925" t="str">
            <v>E15</v>
          </cell>
          <cell r="F925">
            <v>1</v>
          </cell>
          <cell r="G925">
            <v>110302</v>
          </cell>
          <cell r="K925">
            <v>0</v>
          </cell>
          <cell r="M925" t="str">
            <v>DEL</v>
          </cell>
          <cell r="N925" t="str">
            <v>Capital</v>
          </cell>
          <cell r="Q925" t="str">
            <v>no</v>
          </cell>
          <cell r="X925" t="str">
            <v xml:space="preserve"> </v>
          </cell>
          <cell r="Y925" t="str">
            <v xml:space="preserve"> </v>
          </cell>
          <cell r="Z925" t="str">
            <v xml:space="preserve"> </v>
          </cell>
        </row>
        <row r="926">
          <cell r="B926" t="str">
            <v>E15</v>
          </cell>
          <cell r="F926">
            <v>1</v>
          </cell>
          <cell r="G926">
            <v>110401</v>
          </cell>
          <cell r="K926">
            <v>0</v>
          </cell>
          <cell r="M926" t="str">
            <v>DEL</v>
          </cell>
          <cell r="N926" t="str">
            <v>Capital</v>
          </cell>
          <cell r="Q926" t="str">
            <v>no</v>
          </cell>
          <cell r="X926">
            <v>16940</v>
          </cell>
          <cell r="Y926" t="str">
            <v xml:space="preserve"> </v>
          </cell>
          <cell r="Z926" t="str">
            <v xml:space="preserve"> </v>
          </cell>
        </row>
        <row r="927">
          <cell r="B927" t="str">
            <v>E15</v>
          </cell>
          <cell r="F927">
            <v>1</v>
          </cell>
          <cell r="G927">
            <v>110405</v>
          </cell>
          <cell r="K927">
            <v>0</v>
          </cell>
          <cell r="M927" t="str">
            <v>DEL</v>
          </cell>
          <cell r="N927" t="str">
            <v>Capital</v>
          </cell>
          <cell r="Q927" t="str">
            <v>no</v>
          </cell>
          <cell r="X927" t="str">
            <v xml:space="preserve"> </v>
          </cell>
          <cell r="Y927" t="str">
            <v xml:space="preserve"> </v>
          </cell>
          <cell r="Z927" t="str">
            <v xml:space="preserve"> </v>
          </cell>
        </row>
        <row r="928">
          <cell r="B928" t="str">
            <v>E15</v>
          </cell>
          <cell r="F928">
            <v>1</v>
          </cell>
          <cell r="G928">
            <v>110407</v>
          </cell>
          <cell r="K928">
            <v>0</v>
          </cell>
          <cell r="M928" t="str">
            <v>DEL</v>
          </cell>
          <cell r="N928" t="str">
            <v>Capital</v>
          </cell>
          <cell r="Q928" t="str">
            <v>no</v>
          </cell>
          <cell r="X928">
            <v>200</v>
          </cell>
          <cell r="Y928" t="str">
            <v xml:space="preserve"> </v>
          </cell>
          <cell r="Z928" t="str">
            <v xml:space="preserve"> </v>
          </cell>
        </row>
        <row r="929">
          <cell r="B929" t="str">
            <v>E15</v>
          </cell>
          <cell r="F929">
            <v>1</v>
          </cell>
          <cell r="G929">
            <v>110408</v>
          </cell>
          <cell r="K929">
            <v>0</v>
          </cell>
          <cell r="M929" t="str">
            <v>DEL</v>
          </cell>
          <cell r="N929" t="str">
            <v>Capital</v>
          </cell>
          <cell r="Q929" t="str">
            <v>no</v>
          </cell>
          <cell r="X929" t="str">
            <v xml:space="preserve"> </v>
          </cell>
          <cell r="Y929" t="str">
            <v xml:space="preserve"> </v>
          </cell>
          <cell r="Z929" t="str">
            <v xml:space="preserve"> </v>
          </cell>
        </row>
        <row r="930">
          <cell r="B930" t="str">
            <v>E15</v>
          </cell>
          <cell r="F930">
            <v>1</v>
          </cell>
          <cell r="G930">
            <v>110101</v>
          </cell>
          <cell r="K930">
            <v>0</v>
          </cell>
          <cell r="M930" t="str">
            <v>DEL</v>
          </cell>
          <cell r="N930" t="str">
            <v>Capital</v>
          </cell>
          <cell r="Q930" t="str">
            <v>no</v>
          </cell>
          <cell r="X930" t="str">
            <v xml:space="preserve"> </v>
          </cell>
          <cell r="Y930" t="str">
            <v xml:space="preserve"> </v>
          </cell>
          <cell r="Z930" t="str">
            <v xml:space="preserve"> </v>
          </cell>
        </row>
        <row r="931">
          <cell r="B931" t="str">
            <v>E15</v>
          </cell>
          <cell r="F931">
            <v>1</v>
          </cell>
          <cell r="G931">
            <v>110101</v>
          </cell>
          <cell r="K931">
            <v>0</v>
          </cell>
          <cell r="M931" t="str">
            <v>DEL</v>
          </cell>
          <cell r="N931" t="str">
            <v>Capital</v>
          </cell>
          <cell r="Q931" t="str">
            <v>no</v>
          </cell>
          <cell r="X931">
            <v>144</v>
          </cell>
          <cell r="Y931" t="str">
            <v xml:space="preserve"> </v>
          </cell>
          <cell r="Z931" t="str">
            <v xml:space="preserve"> </v>
          </cell>
        </row>
        <row r="932">
          <cell r="B932" t="str">
            <v>E15</v>
          </cell>
          <cell r="F932">
            <v>1</v>
          </cell>
          <cell r="G932">
            <v>110101</v>
          </cell>
          <cell r="K932">
            <v>0</v>
          </cell>
          <cell r="M932" t="str">
            <v>DEL</v>
          </cell>
          <cell r="N932" t="str">
            <v>Capital</v>
          </cell>
          <cell r="Q932" t="str">
            <v>no</v>
          </cell>
          <cell r="X932">
            <v>12000</v>
          </cell>
          <cell r="Y932" t="str">
            <v xml:space="preserve"> </v>
          </cell>
          <cell r="Z932" t="str">
            <v xml:space="preserve"> </v>
          </cell>
        </row>
        <row r="933">
          <cell r="B933" t="str">
            <v>E15</v>
          </cell>
          <cell r="F933">
            <v>1</v>
          </cell>
          <cell r="G933">
            <v>110201</v>
          </cell>
          <cell r="K933" t="str">
            <v>PSS</v>
          </cell>
          <cell r="M933" t="str">
            <v>DEL</v>
          </cell>
          <cell r="N933" t="str">
            <v>Capital</v>
          </cell>
          <cell r="Q933" t="str">
            <v>no</v>
          </cell>
          <cell r="X933">
            <v>3165</v>
          </cell>
          <cell r="Y933" t="str">
            <v xml:space="preserve"> </v>
          </cell>
          <cell r="Z933" t="str">
            <v xml:space="preserve"> </v>
          </cell>
        </row>
        <row r="934">
          <cell r="B934" t="str">
            <v>E15</v>
          </cell>
          <cell r="F934">
            <v>1</v>
          </cell>
          <cell r="G934">
            <v>110306</v>
          </cell>
          <cell r="K934">
            <v>0</v>
          </cell>
          <cell r="M934" t="str">
            <v>DEL</v>
          </cell>
          <cell r="N934" t="str">
            <v>Capital</v>
          </cell>
          <cell r="Q934" t="str">
            <v>no</v>
          </cell>
          <cell r="X934">
            <v>5067</v>
          </cell>
          <cell r="Y934" t="str">
            <v xml:space="preserve"> </v>
          </cell>
          <cell r="Z934" t="str">
            <v xml:space="preserve"> </v>
          </cell>
        </row>
        <row r="935">
          <cell r="B935" t="str">
            <v>E15</v>
          </cell>
          <cell r="F935">
            <v>1</v>
          </cell>
          <cell r="G935">
            <v>110701</v>
          </cell>
          <cell r="K935">
            <v>0</v>
          </cell>
          <cell r="M935" t="str">
            <v>DEL</v>
          </cell>
          <cell r="N935" t="str">
            <v>Capital</v>
          </cell>
          <cell r="Q935" t="str">
            <v>no</v>
          </cell>
          <cell r="X935" t="str">
            <v xml:space="preserve"> </v>
          </cell>
          <cell r="Y935" t="str">
            <v xml:space="preserve"> </v>
          </cell>
          <cell r="Z935" t="str">
            <v xml:space="preserve"> </v>
          </cell>
        </row>
        <row r="936">
          <cell r="B936" t="str">
            <v>E15</v>
          </cell>
          <cell r="F936">
            <v>1</v>
          </cell>
          <cell r="G936">
            <v>110701</v>
          </cell>
          <cell r="K936">
            <v>0</v>
          </cell>
          <cell r="M936" t="str">
            <v>DEL</v>
          </cell>
          <cell r="N936" t="str">
            <v>Capital</v>
          </cell>
          <cell r="Q936" t="str">
            <v>no</v>
          </cell>
          <cell r="X936" t="str">
            <v xml:space="preserve"> </v>
          </cell>
          <cell r="Y936" t="str">
            <v xml:space="preserve"> </v>
          </cell>
          <cell r="Z936" t="str">
            <v xml:space="preserve"> </v>
          </cell>
        </row>
        <row r="937">
          <cell r="B937" t="str">
            <v>E15</v>
          </cell>
          <cell r="F937">
            <v>6</v>
          </cell>
          <cell r="G937">
            <v>110101</v>
          </cell>
          <cell r="K937">
            <v>0</v>
          </cell>
          <cell r="M937" t="str">
            <v>DEL</v>
          </cell>
          <cell r="N937" t="str">
            <v>Capital</v>
          </cell>
          <cell r="Q937" t="str">
            <v>no</v>
          </cell>
          <cell r="X937">
            <v>-1552652</v>
          </cell>
          <cell r="Y937" t="str">
            <v xml:space="preserve"> </v>
          </cell>
          <cell r="Z937" t="str">
            <v xml:space="preserve"> </v>
          </cell>
        </row>
        <row r="938">
          <cell r="B938" t="str">
            <v>E15</v>
          </cell>
          <cell r="F938">
            <v>6</v>
          </cell>
          <cell r="G938">
            <v>110101</v>
          </cell>
          <cell r="K938">
            <v>0</v>
          </cell>
          <cell r="M938" t="str">
            <v>DEL</v>
          </cell>
          <cell r="N938" t="str">
            <v>Capital</v>
          </cell>
          <cell r="Q938" t="str">
            <v>no</v>
          </cell>
          <cell r="X938">
            <v>-144</v>
          </cell>
          <cell r="Y938" t="str">
            <v xml:space="preserve"> </v>
          </cell>
          <cell r="Z938" t="str">
            <v xml:space="preserve"> </v>
          </cell>
        </row>
        <row r="939">
          <cell r="B939" t="str">
            <v>E15</v>
          </cell>
          <cell r="F939">
            <v>6</v>
          </cell>
          <cell r="G939">
            <v>110401</v>
          </cell>
          <cell r="K939">
            <v>0</v>
          </cell>
          <cell r="M939" t="str">
            <v>DEL</v>
          </cell>
          <cell r="N939" t="str">
            <v>Capital</v>
          </cell>
          <cell r="Q939" t="str">
            <v>no</v>
          </cell>
          <cell r="X939">
            <v>256</v>
          </cell>
          <cell r="Y939">
            <v>256</v>
          </cell>
          <cell r="Z939">
            <v>256</v>
          </cell>
        </row>
        <row r="940">
          <cell r="B940" t="str">
            <v>E15</v>
          </cell>
          <cell r="F940">
            <v>6</v>
          </cell>
          <cell r="G940">
            <v>110401</v>
          </cell>
          <cell r="K940">
            <v>0</v>
          </cell>
          <cell r="M940" t="str">
            <v>DEL</v>
          </cell>
          <cell r="N940" t="str">
            <v>Capital</v>
          </cell>
          <cell r="Q940" t="str">
            <v>no</v>
          </cell>
          <cell r="X940">
            <v>-130</v>
          </cell>
          <cell r="Y940">
            <v>-200</v>
          </cell>
          <cell r="Z940">
            <v>-200</v>
          </cell>
        </row>
        <row r="941">
          <cell r="B941" t="str">
            <v>E15</v>
          </cell>
          <cell r="F941">
            <v>6</v>
          </cell>
          <cell r="G941">
            <v>110407</v>
          </cell>
          <cell r="K941">
            <v>0</v>
          </cell>
          <cell r="M941" t="str">
            <v>DEL</v>
          </cell>
          <cell r="N941" t="str">
            <v>Capital</v>
          </cell>
          <cell r="Q941" t="str">
            <v>no</v>
          </cell>
          <cell r="X941">
            <v>130</v>
          </cell>
          <cell r="Y941">
            <v>200</v>
          </cell>
          <cell r="Z941">
            <v>200</v>
          </cell>
        </row>
        <row r="942">
          <cell r="B942" t="str">
            <v>D40</v>
          </cell>
          <cell r="F942">
            <v>5</v>
          </cell>
          <cell r="G942">
            <v>180700</v>
          </cell>
          <cell r="K942">
            <v>0</v>
          </cell>
          <cell r="M942" t="str">
            <v>AME</v>
          </cell>
          <cell r="N942" t="str">
            <v>Resource</v>
          </cell>
          <cell r="Q942" t="str">
            <v>yes</v>
          </cell>
          <cell r="X942">
            <v>-611290</v>
          </cell>
          <cell r="Y942" t="str">
            <v xml:space="preserve"> </v>
          </cell>
          <cell r="Z942" t="str">
            <v xml:space="preserve"> </v>
          </cell>
        </row>
        <row r="943">
          <cell r="B943" t="str">
            <v>D40</v>
          </cell>
          <cell r="F943">
            <v>6</v>
          </cell>
          <cell r="G943">
            <v>180700</v>
          </cell>
          <cell r="K943">
            <v>0</v>
          </cell>
          <cell r="M943" t="str">
            <v>AME</v>
          </cell>
          <cell r="N943" t="str">
            <v>Resource</v>
          </cell>
          <cell r="Q943" t="str">
            <v>yes</v>
          </cell>
          <cell r="X943" t="str">
            <v xml:space="preserve"> </v>
          </cell>
          <cell r="Y943" t="str">
            <v xml:space="preserve"> </v>
          </cell>
          <cell r="Z943" t="str">
            <v xml:space="preserve"> </v>
          </cell>
        </row>
        <row r="944">
          <cell r="B944" t="str">
            <v>D40</v>
          </cell>
          <cell r="F944">
            <v>6</v>
          </cell>
          <cell r="G944">
            <v>180700</v>
          </cell>
          <cell r="K944">
            <v>0</v>
          </cell>
          <cell r="M944" t="str">
            <v>AME</v>
          </cell>
          <cell r="N944" t="str">
            <v>Resource</v>
          </cell>
          <cell r="Q944" t="str">
            <v>yes</v>
          </cell>
          <cell r="X944" t="str">
            <v xml:space="preserve"> </v>
          </cell>
          <cell r="Y944" t="str">
            <v xml:space="preserve"> </v>
          </cell>
          <cell r="Z944" t="str">
            <v xml:space="preserve"> </v>
          </cell>
        </row>
        <row r="945">
          <cell r="B945" t="str">
            <v>E15</v>
          </cell>
          <cell r="F945">
            <v>6</v>
          </cell>
          <cell r="G945">
            <v>110101</v>
          </cell>
          <cell r="K945">
            <v>0</v>
          </cell>
          <cell r="M945" t="str">
            <v>DEL</v>
          </cell>
          <cell r="N945" t="str">
            <v>Capital</v>
          </cell>
          <cell r="Q945" t="str">
            <v>no</v>
          </cell>
          <cell r="X945">
            <v>14469</v>
          </cell>
          <cell r="Y945" t="str">
            <v xml:space="preserve"> </v>
          </cell>
          <cell r="Z945" t="str">
            <v xml:space="preserve"> </v>
          </cell>
        </row>
        <row r="946">
          <cell r="B946" t="str">
            <v>E15</v>
          </cell>
          <cell r="F946">
            <v>6</v>
          </cell>
          <cell r="G946">
            <v>110201</v>
          </cell>
          <cell r="K946" t="str">
            <v>PSS</v>
          </cell>
          <cell r="M946" t="str">
            <v>DEL</v>
          </cell>
          <cell r="N946" t="str">
            <v>Capital</v>
          </cell>
          <cell r="Q946" t="str">
            <v>no</v>
          </cell>
          <cell r="X946">
            <v>50</v>
          </cell>
          <cell r="Y946" t="str">
            <v xml:space="preserve"> </v>
          </cell>
          <cell r="Z946" t="str">
            <v xml:space="preserve"> </v>
          </cell>
        </row>
        <row r="947">
          <cell r="B947" t="str">
            <v>D40</v>
          </cell>
          <cell r="F947">
            <v>12</v>
          </cell>
          <cell r="G947">
            <v>180700</v>
          </cell>
          <cell r="K947">
            <v>0</v>
          </cell>
          <cell r="M947" t="str">
            <v>AME</v>
          </cell>
          <cell r="N947" t="str">
            <v>Resource</v>
          </cell>
          <cell r="Q947" t="str">
            <v>yes</v>
          </cell>
          <cell r="X947" t="str">
            <v xml:space="preserve"> </v>
          </cell>
          <cell r="Y947">
            <v>323552</v>
          </cell>
          <cell r="Z947">
            <v>341395</v>
          </cell>
        </row>
        <row r="948">
          <cell r="B948" t="str">
            <v>E15</v>
          </cell>
          <cell r="F948">
            <v>6</v>
          </cell>
          <cell r="G948">
            <v>110401</v>
          </cell>
          <cell r="K948">
            <v>0</v>
          </cell>
          <cell r="M948" t="str">
            <v>DEL</v>
          </cell>
          <cell r="N948" t="str">
            <v>Capital</v>
          </cell>
          <cell r="Q948" t="str">
            <v>no</v>
          </cell>
          <cell r="X948">
            <v>2409</v>
          </cell>
          <cell r="Y948" t="str">
            <v xml:space="preserve"> </v>
          </cell>
          <cell r="Z948" t="str">
            <v xml:space="preserve"> </v>
          </cell>
        </row>
        <row r="949">
          <cell r="B949" t="str">
            <v>L21</v>
          </cell>
          <cell r="F949">
            <v>4</v>
          </cell>
          <cell r="G949">
            <v>110302</v>
          </cell>
          <cell r="K949">
            <v>0</v>
          </cell>
          <cell r="M949" t="str">
            <v>DEL</v>
          </cell>
          <cell r="N949" t="str">
            <v>Resource</v>
          </cell>
          <cell r="Q949" t="str">
            <v>no</v>
          </cell>
          <cell r="X949" t="str">
            <v xml:space="preserve"> </v>
          </cell>
          <cell r="Y949" t="str">
            <v xml:space="preserve"> </v>
          </cell>
          <cell r="Z949" t="str">
            <v xml:space="preserve"> </v>
          </cell>
        </row>
        <row r="950">
          <cell r="B950" t="str">
            <v>L21</v>
          </cell>
          <cell r="F950">
            <v>4</v>
          </cell>
          <cell r="G950">
            <v>110302</v>
          </cell>
          <cell r="K950">
            <v>0</v>
          </cell>
          <cell r="M950" t="str">
            <v>DEL</v>
          </cell>
          <cell r="N950" t="str">
            <v>Resource</v>
          </cell>
          <cell r="Q950" t="str">
            <v>no</v>
          </cell>
          <cell r="X950" t="str">
            <v xml:space="preserve"> </v>
          </cell>
          <cell r="Y950" t="str">
            <v xml:space="preserve"> </v>
          </cell>
          <cell r="Z950" t="str">
            <v xml:space="preserve"> </v>
          </cell>
        </row>
        <row r="951">
          <cell r="B951" t="str">
            <v>E05</v>
          </cell>
          <cell r="F951">
            <v>9</v>
          </cell>
          <cell r="G951">
            <v>110101</v>
          </cell>
          <cell r="K951">
            <v>0</v>
          </cell>
          <cell r="M951" t="str">
            <v>DEL</v>
          </cell>
          <cell r="N951" t="str">
            <v>Capital</v>
          </cell>
          <cell r="Q951" t="str">
            <v>no</v>
          </cell>
          <cell r="X951" t="str">
            <v xml:space="preserve"> </v>
          </cell>
          <cell r="Y951" t="str">
            <v xml:space="preserve"> </v>
          </cell>
          <cell r="Z951" t="str">
            <v xml:space="preserve"> </v>
          </cell>
        </row>
        <row r="952">
          <cell r="B952" t="str">
            <v>D40</v>
          </cell>
          <cell r="F952">
            <v>12</v>
          </cell>
          <cell r="G952">
            <v>180700</v>
          </cell>
          <cell r="K952">
            <v>0</v>
          </cell>
          <cell r="M952" t="str">
            <v>AME</v>
          </cell>
          <cell r="N952" t="str">
            <v>Resource</v>
          </cell>
          <cell r="Q952" t="str">
            <v>yes</v>
          </cell>
          <cell r="X952" t="str">
            <v xml:space="preserve"> </v>
          </cell>
          <cell r="Y952">
            <v>-7916</v>
          </cell>
          <cell r="Z952">
            <v>22282</v>
          </cell>
        </row>
        <row r="953">
          <cell r="B953" t="str">
            <v>E05</v>
          </cell>
          <cell r="F953">
            <v>9</v>
          </cell>
          <cell r="G953">
            <v>110701</v>
          </cell>
          <cell r="K953">
            <v>0</v>
          </cell>
          <cell r="M953" t="str">
            <v>DEL</v>
          </cell>
          <cell r="N953" t="str">
            <v>Capital</v>
          </cell>
          <cell r="Q953" t="str">
            <v>no</v>
          </cell>
          <cell r="X953" t="str">
            <v xml:space="preserve"> </v>
          </cell>
          <cell r="Y953" t="str">
            <v xml:space="preserve"> </v>
          </cell>
          <cell r="Z953" t="str">
            <v xml:space="preserve"> </v>
          </cell>
        </row>
        <row r="954">
          <cell r="B954" t="str">
            <v>E15</v>
          </cell>
          <cell r="F954">
            <v>4</v>
          </cell>
          <cell r="G954">
            <v>110201</v>
          </cell>
          <cell r="K954" t="str">
            <v>PSS</v>
          </cell>
          <cell r="M954" t="str">
            <v>DEL</v>
          </cell>
          <cell r="N954" t="str">
            <v>Capital</v>
          </cell>
          <cell r="Q954" t="str">
            <v>no</v>
          </cell>
          <cell r="X954" t="str">
            <v xml:space="preserve"> </v>
          </cell>
          <cell r="Y954" t="str">
            <v xml:space="preserve"> </v>
          </cell>
          <cell r="Z954" t="str">
            <v xml:space="preserve"> </v>
          </cell>
        </row>
        <row r="955">
          <cell r="B955" t="str">
            <v>E05</v>
          </cell>
          <cell r="F955">
            <v>9</v>
          </cell>
          <cell r="G955">
            <v>110701</v>
          </cell>
          <cell r="K955">
            <v>0</v>
          </cell>
          <cell r="M955" t="str">
            <v>DEL</v>
          </cell>
          <cell r="N955" t="str">
            <v>Capital</v>
          </cell>
          <cell r="Q955" t="str">
            <v>no</v>
          </cell>
          <cell r="X955" t="str">
            <v xml:space="preserve"> </v>
          </cell>
          <cell r="Y955" t="str">
            <v xml:space="preserve"> </v>
          </cell>
          <cell r="Z955" t="str">
            <v xml:space="preserve"> </v>
          </cell>
        </row>
        <row r="956">
          <cell r="B956" t="str">
            <v>L21</v>
          </cell>
          <cell r="F956">
            <v>2</v>
          </cell>
          <cell r="G956">
            <v>110302</v>
          </cell>
          <cell r="K956">
            <v>0</v>
          </cell>
          <cell r="M956" t="str">
            <v>DEL</v>
          </cell>
          <cell r="N956" t="str">
            <v>Resource</v>
          </cell>
          <cell r="Q956" t="str">
            <v>no</v>
          </cell>
          <cell r="X956" t="str">
            <v xml:space="preserve"> </v>
          </cell>
          <cell r="Y956">
            <v>-1125</v>
          </cell>
          <cell r="Z956">
            <v>-1125</v>
          </cell>
        </row>
        <row r="957">
          <cell r="B957" t="str">
            <v>D20</v>
          </cell>
          <cell r="F957">
            <v>12</v>
          </cell>
          <cell r="G957">
            <v>110301</v>
          </cell>
          <cell r="K957">
            <v>0</v>
          </cell>
          <cell r="M957" t="str">
            <v>DEL</v>
          </cell>
          <cell r="N957" t="str">
            <v>Resource</v>
          </cell>
          <cell r="Q957" t="str">
            <v>yes</v>
          </cell>
          <cell r="X957">
            <v>-1500</v>
          </cell>
          <cell r="Y957" t="str">
            <v xml:space="preserve"> </v>
          </cell>
          <cell r="Z957" t="str">
            <v xml:space="preserve"> </v>
          </cell>
        </row>
        <row r="958">
          <cell r="B958" t="str">
            <v>E06</v>
          </cell>
          <cell r="F958">
            <v>9</v>
          </cell>
          <cell r="G958">
            <v>110101</v>
          </cell>
          <cell r="K958">
            <v>0</v>
          </cell>
          <cell r="M958" t="str">
            <v>DEL</v>
          </cell>
          <cell r="N958" t="str">
            <v>Capital</v>
          </cell>
          <cell r="Q958" t="str">
            <v>no</v>
          </cell>
          <cell r="X958" t="str">
            <v xml:space="preserve"> </v>
          </cell>
          <cell r="Y958" t="str">
            <v xml:space="preserve"> </v>
          </cell>
          <cell r="Z958" t="str">
            <v xml:space="preserve"> </v>
          </cell>
        </row>
        <row r="959">
          <cell r="B959" t="str">
            <v>L21</v>
          </cell>
          <cell r="F959">
            <v>4</v>
          </cell>
          <cell r="G959">
            <v>110302</v>
          </cell>
          <cell r="K959">
            <v>0</v>
          </cell>
          <cell r="M959" t="str">
            <v>DEL</v>
          </cell>
          <cell r="N959" t="str">
            <v>Resource</v>
          </cell>
          <cell r="Q959" t="str">
            <v>no</v>
          </cell>
          <cell r="X959">
            <v>-1125</v>
          </cell>
          <cell r="Y959" t="str">
            <v xml:space="preserve"> </v>
          </cell>
          <cell r="Z959" t="str">
            <v xml:space="preserve"> </v>
          </cell>
        </row>
        <row r="960">
          <cell r="B960" t="str">
            <v>E10</v>
          </cell>
          <cell r="F960">
            <v>9</v>
          </cell>
          <cell r="G960">
            <v>110101</v>
          </cell>
          <cell r="K960">
            <v>0</v>
          </cell>
          <cell r="M960" t="str">
            <v>DEL</v>
          </cell>
          <cell r="N960" t="str">
            <v>Capital</v>
          </cell>
          <cell r="Q960" t="str">
            <v>no</v>
          </cell>
          <cell r="X960" t="str">
            <v xml:space="preserve"> </v>
          </cell>
          <cell r="Y960" t="str">
            <v xml:space="preserve"> </v>
          </cell>
          <cell r="Z960" t="str">
            <v xml:space="preserve"> </v>
          </cell>
        </row>
        <row r="961">
          <cell r="B961" t="str">
            <v>E10</v>
          </cell>
          <cell r="F961">
            <v>9</v>
          </cell>
          <cell r="G961">
            <v>110101</v>
          </cell>
          <cell r="K961">
            <v>0</v>
          </cell>
          <cell r="M961" t="str">
            <v>DEL</v>
          </cell>
          <cell r="N961" t="str">
            <v>Capital</v>
          </cell>
          <cell r="Q961" t="str">
            <v>no</v>
          </cell>
          <cell r="X961" t="str">
            <v xml:space="preserve"> </v>
          </cell>
          <cell r="Y961" t="str">
            <v xml:space="preserve"> </v>
          </cell>
          <cell r="Z961" t="str">
            <v xml:space="preserve"> </v>
          </cell>
        </row>
        <row r="962">
          <cell r="B962" t="str">
            <v>E15</v>
          </cell>
          <cell r="F962">
            <v>2</v>
          </cell>
          <cell r="G962">
            <v>110101</v>
          </cell>
          <cell r="K962">
            <v>0</v>
          </cell>
          <cell r="M962" t="str">
            <v>DEL</v>
          </cell>
          <cell r="N962" t="str">
            <v>Capital</v>
          </cell>
          <cell r="Q962" t="str">
            <v>no</v>
          </cell>
          <cell r="X962" t="str">
            <v xml:space="preserve"> </v>
          </cell>
          <cell r="Y962">
            <v>2453703</v>
          </cell>
          <cell r="Z962">
            <v>2453703</v>
          </cell>
        </row>
        <row r="963">
          <cell r="B963" t="str">
            <v>E15</v>
          </cell>
          <cell r="F963">
            <v>2</v>
          </cell>
          <cell r="G963">
            <v>110401</v>
          </cell>
          <cell r="K963">
            <v>0</v>
          </cell>
          <cell r="M963" t="str">
            <v>DEL</v>
          </cell>
          <cell r="N963" t="str">
            <v>Capital</v>
          </cell>
          <cell r="Q963" t="str">
            <v>no</v>
          </cell>
          <cell r="X963" t="str">
            <v xml:space="preserve"> </v>
          </cell>
          <cell r="Y963">
            <v>16940</v>
          </cell>
          <cell r="Z963">
            <v>16940</v>
          </cell>
        </row>
        <row r="964">
          <cell r="B964" t="str">
            <v>E15</v>
          </cell>
          <cell r="F964">
            <v>2</v>
          </cell>
          <cell r="G964">
            <v>110401</v>
          </cell>
          <cell r="K964">
            <v>0</v>
          </cell>
          <cell r="M964" t="str">
            <v>DEL</v>
          </cell>
          <cell r="N964" t="str">
            <v>Capital</v>
          </cell>
          <cell r="Q964" t="str">
            <v>no</v>
          </cell>
          <cell r="X964" t="str">
            <v xml:space="preserve"> </v>
          </cell>
          <cell r="Y964">
            <v>850</v>
          </cell>
          <cell r="Z964">
            <v>850</v>
          </cell>
        </row>
        <row r="965">
          <cell r="B965" t="str">
            <v>E15</v>
          </cell>
          <cell r="F965">
            <v>2</v>
          </cell>
          <cell r="G965">
            <v>110407</v>
          </cell>
          <cell r="K965">
            <v>0</v>
          </cell>
          <cell r="M965" t="str">
            <v>DEL</v>
          </cell>
          <cell r="N965" t="str">
            <v>Capital</v>
          </cell>
          <cell r="Q965" t="str">
            <v>no</v>
          </cell>
          <cell r="X965" t="str">
            <v xml:space="preserve"> </v>
          </cell>
          <cell r="Y965">
            <v>100</v>
          </cell>
          <cell r="Z965">
            <v>100</v>
          </cell>
        </row>
        <row r="966">
          <cell r="B966" t="str">
            <v>E15</v>
          </cell>
          <cell r="F966">
            <v>2</v>
          </cell>
          <cell r="G966">
            <v>110101</v>
          </cell>
          <cell r="K966">
            <v>0</v>
          </cell>
          <cell r="M966" t="str">
            <v>DEL</v>
          </cell>
          <cell r="N966" t="str">
            <v>Capital</v>
          </cell>
          <cell r="Q966" t="str">
            <v>no</v>
          </cell>
          <cell r="X966" t="str">
            <v xml:space="preserve"> </v>
          </cell>
          <cell r="Y966">
            <v>12000</v>
          </cell>
          <cell r="Z966">
            <v>12000</v>
          </cell>
        </row>
        <row r="967">
          <cell r="B967" t="str">
            <v>E15</v>
          </cell>
          <cell r="F967">
            <v>2</v>
          </cell>
          <cell r="G967">
            <v>110201</v>
          </cell>
          <cell r="K967" t="str">
            <v>PSS</v>
          </cell>
          <cell r="M967" t="str">
            <v>DEL</v>
          </cell>
          <cell r="N967" t="str">
            <v>Capital</v>
          </cell>
          <cell r="Q967" t="str">
            <v>no</v>
          </cell>
          <cell r="X967" t="str">
            <v xml:space="preserve"> </v>
          </cell>
          <cell r="Y967">
            <v>3165</v>
          </cell>
          <cell r="Z967">
            <v>3165</v>
          </cell>
        </row>
        <row r="968">
          <cell r="B968" t="str">
            <v>E15</v>
          </cell>
          <cell r="F968">
            <v>2</v>
          </cell>
          <cell r="G968">
            <v>110306</v>
          </cell>
          <cell r="K968">
            <v>0</v>
          </cell>
          <cell r="M968" t="str">
            <v>DEL</v>
          </cell>
          <cell r="N968" t="str">
            <v>Capital</v>
          </cell>
          <cell r="Q968" t="str">
            <v>no</v>
          </cell>
          <cell r="X968" t="str">
            <v xml:space="preserve"> </v>
          </cell>
          <cell r="Y968">
            <v>5067</v>
          </cell>
          <cell r="Z968">
            <v>5067</v>
          </cell>
        </row>
        <row r="969">
          <cell r="B969" t="str">
            <v>E15</v>
          </cell>
          <cell r="F969">
            <v>6</v>
          </cell>
          <cell r="G969">
            <v>110401</v>
          </cell>
          <cell r="K969">
            <v>0</v>
          </cell>
          <cell r="M969" t="str">
            <v>DEL</v>
          </cell>
          <cell r="N969" t="str">
            <v>Capital</v>
          </cell>
          <cell r="Q969" t="str">
            <v>no</v>
          </cell>
          <cell r="X969" t="str">
            <v xml:space="preserve"> </v>
          </cell>
          <cell r="Y969" t="str">
            <v xml:space="preserve"> </v>
          </cell>
          <cell r="Z969" t="str">
            <v xml:space="preserve"> </v>
          </cell>
        </row>
        <row r="970">
          <cell r="B970" t="str">
            <v>E15</v>
          </cell>
          <cell r="F970">
            <v>6</v>
          </cell>
          <cell r="G970">
            <v>110401</v>
          </cell>
          <cell r="K970">
            <v>0</v>
          </cell>
          <cell r="M970" t="str">
            <v>DEL</v>
          </cell>
          <cell r="N970" t="str">
            <v>Capital</v>
          </cell>
          <cell r="Q970" t="str">
            <v>no</v>
          </cell>
          <cell r="X970" t="str">
            <v xml:space="preserve"> </v>
          </cell>
          <cell r="Y970" t="str">
            <v xml:space="preserve"> </v>
          </cell>
          <cell r="Z970" t="str">
            <v xml:space="preserve"> </v>
          </cell>
        </row>
        <row r="971">
          <cell r="B971" t="str">
            <v>E15</v>
          </cell>
          <cell r="F971">
            <v>6</v>
          </cell>
          <cell r="G971">
            <v>110101</v>
          </cell>
          <cell r="K971">
            <v>0</v>
          </cell>
          <cell r="M971" t="str">
            <v>DEL</v>
          </cell>
          <cell r="N971" t="str">
            <v>Capital</v>
          </cell>
          <cell r="Q971" t="str">
            <v>no</v>
          </cell>
          <cell r="X971" t="str">
            <v xml:space="preserve"> </v>
          </cell>
          <cell r="Y971" t="str">
            <v xml:space="preserve"> </v>
          </cell>
          <cell r="Z971" t="str">
            <v xml:space="preserve"> </v>
          </cell>
        </row>
        <row r="972">
          <cell r="B972" t="str">
            <v>E15</v>
          </cell>
          <cell r="F972">
            <v>3</v>
          </cell>
          <cell r="G972">
            <v>110407</v>
          </cell>
          <cell r="K972">
            <v>0</v>
          </cell>
          <cell r="M972" t="str">
            <v>DEL</v>
          </cell>
          <cell r="N972" t="str">
            <v>Capital</v>
          </cell>
          <cell r="Q972" t="str">
            <v>no</v>
          </cell>
          <cell r="X972" t="str">
            <v xml:space="preserve"> </v>
          </cell>
          <cell r="Y972" t="str">
            <v xml:space="preserve"> </v>
          </cell>
          <cell r="Z972" t="str">
            <v xml:space="preserve"> </v>
          </cell>
        </row>
        <row r="973">
          <cell r="B973" t="str">
            <v>E15</v>
          </cell>
          <cell r="F973">
            <v>3</v>
          </cell>
          <cell r="G973">
            <v>110401</v>
          </cell>
          <cell r="K973">
            <v>0</v>
          </cell>
          <cell r="M973" t="str">
            <v>DEL</v>
          </cell>
          <cell r="N973" t="str">
            <v>Capital</v>
          </cell>
          <cell r="Q973" t="str">
            <v>no</v>
          </cell>
          <cell r="X973" t="str">
            <v xml:space="preserve"> </v>
          </cell>
          <cell r="Y973" t="str">
            <v xml:space="preserve"> </v>
          </cell>
          <cell r="Z973" t="str">
            <v xml:space="preserve"> </v>
          </cell>
        </row>
        <row r="974">
          <cell r="B974" t="str">
            <v>L21</v>
          </cell>
          <cell r="F974">
            <v>9</v>
          </cell>
          <cell r="G974">
            <v>110101</v>
          </cell>
          <cell r="K974">
            <v>0</v>
          </cell>
          <cell r="M974" t="str">
            <v>DEL</v>
          </cell>
          <cell r="N974" t="str">
            <v>Resource</v>
          </cell>
          <cell r="Q974" t="str">
            <v>no</v>
          </cell>
          <cell r="X974" t="str">
            <v xml:space="preserve"> </v>
          </cell>
          <cell r="Y974" t="str">
            <v xml:space="preserve"> </v>
          </cell>
          <cell r="Z974" t="str">
            <v xml:space="preserve"> </v>
          </cell>
        </row>
        <row r="975">
          <cell r="B975" t="str">
            <v>E15</v>
          </cell>
          <cell r="F975">
            <v>3</v>
          </cell>
          <cell r="G975">
            <v>110202</v>
          </cell>
          <cell r="K975" t="str">
            <v>PSS</v>
          </cell>
          <cell r="M975" t="str">
            <v>non-budget</v>
          </cell>
          <cell r="N975" t="str">
            <v>non-budget</v>
          </cell>
          <cell r="Q975" t="str">
            <v>no</v>
          </cell>
          <cell r="X975" t="str">
            <v xml:space="preserve"> </v>
          </cell>
          <cell r="Y975" t="str">
            <v xml:space="preserve"> </v>
          </cell>
          <cell r="Z975" t="str">
            <v xml:space="preserve"> </v>
          </cell>
        </row>
        <row r="976">
          <cell r="B976" t="str">
            <v>E16</v>
          </cell>
          <cell r="F976">
            <v>1</v>
          </cell>
          <cell r="G976">
            <v>110101</v>
          </cell>
          <cell r="K976">
            <v>0</v>
          </cell>
          <cell r="M976" t="str">
            <v>DEL</v>
          </cell>
          <cell r="N976" t="str">
            <v>Capital</v>
          </cell>
          <cell r="Q976" t="str">
            <v>no</v>
          </cell>
          <cell r="X976">
            <v>-280</v>
          </cell>
          <cell r="Y976" t="str">
            <v xml:space="preserve"> </v>
          </cell>
          <cell r="Z976" t="str">
            <v xml:space="preserve"> </v>
          </cell>
        </row>
        <row r="977">
          <cell r="B977" t="str">
            <v>E16</v>
          </cell>
          <cell r="F977">
            <v>1</v>
          </cell>
          <cell r="G977">
            <v>110701</v>
          </cell>
          <cell r="K977">
            <v>0</v>
          </cell>
          <cell r="M977" t="str">
            <v>DEL</v>
          </cell>
          <cell r="N977" t="str">
            <v>Capital</v>
          </cell>
          <cell r="Q977" t="str">
            <v>no</v>
          </cell>
          <cell r="X977" t="str">
            <v xml:space="preserve"> </v>
          </cell>
          <cell r="Y977" t="str">
            <v xml:space="preserve"> </v>
          </cell>
          <cell r="Z977" t="str">
            <v xml:space="preserve"> </v>
          </cell>
        </row>
        <row r="978">
          <cell r="B978" t="str">
            <v>E10</v>
          </cell>
          <cell r="F978">
            <v>9</v>
          </cell>
          <cell r="G978">
            <v>110101</v>
          </cell>
          <cell r="K978">
            <v>0</v>
          </cell>
          <cell r="M978" t="str">
            <v>non-budget</v>
          </cell>
          <cell r="N978" t="str">
            <v>non-budget</v>
          </cell>
          <cell r="Q978" t="str">
            <v>no</v>
          </cell>
          <cell r="X978" t="str">
            <v xml:space="preserve"> </v>
          </cell>
          <cell r="Y978" t="str">
            <v xml:space="preserve"> </v>
          </cell>
          <cell r="Z978" t="str">
            <v xml:space="preserve"> </v>
          </cell>
        </row>
        <row r="979">
          <cell r="B979" t="str">
            <v>E10</v>
          </cell>
          <cell r="F979">
            <v>9</v>
          </cell>
          <cell r="G979">
            <v>110202</v>
          </cell>
          <cell r="K979" t="str">
            <v>PSS</v>
          </cell>
          <cell r="M979" t="str">
            <v>non-budget</v>
          </cell>
          <cell r="N979" t="str">
            <v>non-budget</v>
          </cell>
          <cell r="Q979" t="str">
            <v>no</v>
          </cell>
          <cell r="X979" t="str">
            <v xml:space="preserve"> </v>
          </cell>
          <cell r="Y979" t="str">
            <v xml:space="preserve"> </v>
          </cell>
          <cell r="Z979" t="str">
            <v xml:space="preserve"> </v>
          </cell>
        </row>
        <row r="980">
          <cell r="B980" t="str">
            <v>E16</v>
          </cell>
          <cell r="F980">
            <v>2</v>
          </cell>
          <cell r="G980">
            <v>110101</v>
          </cell>
          <cell r="K980">
            <v>0</v>
          </cell>
          <cell r="M980" t="str">
            <v>DEL</v>
          </cell>
          <cell r="N980" t="str">
            <v>Capital</v>
          </cell>
          <cell r="Q980" t="str">
            <v>no</v>
          </cell>
          <cell r="X980" t="str">
            <v xml:space="preserve"> </v>
          </cell>
          <cell r="Y980">
            <v>-280</v>
          </cell>
          <cell r="Z980">
            <v>-280</v>
          </cell>
        </row>
        <row r="981">
          <cell r="B981" t="str">
            <v>G50</v>
          </cell>
          <cell r="F981">
            <v>1</v>
          </cell>
          <cell r="G981">
            <v>110701</v>
          </cell>
          <cell r="K981">
            <v>0</v>
          </cell>
          <cell r="M981" t="str">
            <v>DEL</v>
          </cell>
          <cell r="N981" t="str">
            <v>Capital</v>
          </cell>
          <cell r="Q981" t="str">
            <v>no</v>
          </cell>
          <cell r="X981" t="str">
            <v xml:space="preserve"> </v>
          </cell>
          <cell r="Y981" t="str">
            <v xml:space="preserve"> </v>
          </cell>
          <cell r="Z981" t="str">
            <v xml:space="preserve"> </v>
          </cell>
        </row>
        <row r="982">
          <cell r="B982" t="str">
            <v>G50</v>
          </cell>
          <cell r="F982">
            <v>1</v>
          </cell>
          <cell r="G982">
            <v>110701</v>
          </cell>
          <cell r="K982">
            <v>0</v>
          </cell>
          <cell r="M982" t="str">
            <v>DEL</v>
          </cell>
          <cell r="N982" t="str">
            <v>Capital</v>
          </cell>
          <cell r="Q982" t="str">
            <v>no</v>
          </cell>
          <cell r="X982" t="str">
            <v xml:space="preserve"> </v>
          </cell>
          <cell r="Y982" t="str">
            <v xml:space="preserve"> </v>
          </cell>
          <cell r="Z982" t="str">
            <v xml:space="preserve"> </v>
          </cell>
        </row>
        <row r="983">
          <cell r="B983" t="str">
            <v>K90</v>
          </cell>
          <cell r="F983">
            <v>1</v>
          </cell>
          <cell r="G983">
            <v>110111</v>
          </cell>
          <cell r="K983">
            <v>0</v>
          </cell>
          <cell r="M983" t="str">
            <v>DEL</v>
          </cell>
          <cell r="N983" t="str">
            <v>Capital</v>
          </cell>
          <cell r="Q983" t="str">
            <v>no</v>
          </cell>
          <cell r="X983">
            <v>200000</v>
          </cell>
          <cell r="Y983" t="str">
            <v xml:space="preserve"> </v>
          </cell>
          <cell r="Z983" t="str">
            <v xml:space="preserve"> </v>
          </cell>
        </row>
        <row r="984">
          <cell r="B984" t="str">
            <v>K90</v>
          </cell>
          <cell r="F984">
            <v>1</v>
          </cell>
          <cell r="G984">
            <v>110401</v>
          </cell>
          <cell r="K984">
            <v>0</v>
          </cell>
          <cell r="M984" t="str">
            <v>DEL</v>
          </cell>
          <cell r="N984" t="str">
            <v>Capital</v>
          </cell>
          <cell r="Q984" t="str">
            <v>no</v>
          </cell>
          <cell r="X984">
            <v>2409</v>
          </cell>
          <cell r="Y984" t="str">
            <v xml:space="preserve"> </v>
          </cell>
          <cell r="Z984" t="str">
            <v xml:space="preserve"> </v>
          </cell>
        </row>
        <row r="985">
          <cell r="B985" t="str">
            <v>K90</v>
          </cell>
          <cell r="F985">
            <v>6</v>
          </cell>
          <cell r="G985">
            <v>110111</v>
          </cell>
          <cell r="K985">
            <v>0</v>
          </cell>
          <cell r="M985" t="str">
            <v>DEL</v>
          </cell>
          <cell r="N985" t="str">
            <v>Capital</v>
          </cell>
          <cell r="Q985" t="str">
            <v>no</v>
          </cell>
          <cell r="X985" t="str">
            <v xml:space="preserve"> </v>
          </cell>
          <cell r="Y985" t="str">
            <v xml:space="preserve"> </v>
          </cell>
          <cell r="Z985" t="str">
            <v xml:space="preserve"> </v>
          </cell>
        </row>
        <row r="986">
          <cell r="B986" t="str">
            <v>K90</v>
          </cell>
          <cell r="F986">
            <v>6</v>
          </cell>
          <cell r="G986">
            <v>110401</v>
          </cell>
          <cell r="K986">
            <v>0</v>
          </cell>
          <cell r="M986" t="str">
            <v>DEL</v>
          </cell>
          <cell r="N986" t="str">
            <v>Capital</v>
          </cell>
          <cell r="Q986" t="str">
            <v>no</v>
          </cell>
          <cell r="X986">
            <v>-2409</v>
          </cell>
          <cell r="Y986" t="str">
            <v xml:space="preserve"> </v>
          </cell>
          <cell r="Z986" t="str">
            <v xml:space="preserve"> </v>
          </cell>
        </row>
        <row r="987">
          <cell r="B987" t="str">
            <v>K90</v>
          </cell>
          <cell r="F987">
            <v>2</v>
          </cell>
          <cell r="G987">
            <v>110111</v>
          </cell>
          <cell r="K987">
            <v>0</v>
          </cell>
          <cell r="M987" t="str">
            <v>DEL</v>
          </cell>
          <cell r="N987" t="str">
            <v>Capital</v>
          </cell>
          <cell r="Q987" t="str">
            <v>no</v>
          </cell>
          <cell r="X987" t="str">
            <v xml:space="preserve"> </v>
          </cell>
          <cell r="Y987">
            <v>200000</v>
          </cell>
          <cell r="Z987">
            <v>200000</v>
          </cell>
        </row>
        <row r="988">
          <cell r="B988" t="str">
            <v>K90</v>
          </cell>
          <cell r="F988">
            <v>2</v>
          </cell>
          <cell r="G988">
            <v>110401</v>
          </cell>
          <cell r="K988">
            <v>0</v>
          </cell>
          <cell r="M988" t="str">
            <v>DEL</v>
          </cell>
          <cell r="N988" t="str">
            <v>Capital</v>
          </cell>
          <cell r="Q988" t="str">
            <v>no</v>
          </cell>
          <cell r="X988" t="str">
            <v xml:space="preserve"> </v>
          </cell>
          <cell r="Y988">
            <v>2409</v>
          </cell>
          <cell r="Z988">
            <v>2409</v>
          </cell>
        </row>
        <row r="989">
          <cell r="B989" t="str">
            <v>N10</v>
          </cell>
          <cell r="F989">
            <v>1</v>
          </cell>
          <cell r="G989">
            <v>110101</v>
          </cell>
          <cell r="K989">
            <v>0</v>
          </cell>
          <cell r="M989" t="str">
            <v>DEL</v>
          </cell>
          <cell r="N989" t="str">
            <v>Capital</v>
          </cell>
          <cell r="Q989" t="str">
            <v>no</v>
          </cell>
          <cell r="X989" t="str">
            <v xml:space="preserve"> </v>
          </cell>
          <cell r="Y989" t="str">
            <v xml:space="preserve"> </v>
          </cell>
          <cell r="Z989" t="str">
            <v xml:space="preserve"> </v>
          </cell>
        </row>
        <row r="990">
          <cell r="B990" t="str">
            <v>N10</v>
          </cell>
          <cell r="F990">
            <v>1</v>
          </cell>
          <cell r="G990">
            <v>110222</v>
          </cell>
          <cell r="K990" t="str">
            <v>PSS</v>
          </cell>
          <cell r="M990" t="str">
            <v>DEL</v>
          </cell>
          <cell r="N990" t="str">
            <v>Capital</v>
          </cell>
          <cell r="Q990" t="str">
            <v>no</v>
          </cell>
          <cell r="X990">
            <v>25000</v>
          </cell>
          <cell r="Y990" t="str">
            <v xml:space="preserve"> </v>
          </cell>
          <cell r="Z990" t="str">
            <v xml:space="preserve"> </v>
          </cell>
        </row>
        <row r="991">
          <cell r="B991" t="str">
            <v>N10</v>
          </cell>
          <cell r="F991">
            <v>1</v>
          </cell>
          <cell r="G991">
            <v>110311</v>
          </cell>
          <cell r="K991">
            <v>0</v>
          </cell>
          <cell r="M991" t="str">
            <v>DEL</v>
          </cell>
          <cell r="N991" t="str">
            <v>Capital</v>
          </cell>
          <cell r="Q991" t="str">
            <v>no</v>
          </cell>
          <cell r="X991" t="str">
            <v xml:space="preserve"> </v>
          </cell>
          <cell r="Y991" t="str">
            <v xml:space="preserve"> </v>
          </cell>
          <cell r="Z991" t="str">
            <v xml:space="preserve"> </v>
          </cell>
        </row>
        <row r="992">
          <cell r="B992" t="str">
            <v>N10</v>
          </cell>
          <cell r="F992">
            <v>4</v>
          </cell>
          <cell r="G992">
            <v>110237</v>
          </cell>
          <cell r="K992" t="str">
            <v>PSS</v>
          </cell>
          <cell r="M992" t="str">
            <v>DEL</v>
          </cell>
          <cell r="N992" t="str">
            <v>Capital</v>
          </cell>
          <cell r="Q992" t="str">
            <v>no</v>
          </cell>
          <cell r="X992" t="str">
            <v xml:space="preserve"> </v>
          </cell>
          <cell r="Y992">
            <v>20000</v>
          </cell>
          <cell r="Z992">
            <v>40000</v>
          </cell>
        </row>
        <row r="993">
          <cell r="B993" t="str">
            <v>N10</v>
          </cell>
          <cell r="F993">
            <v>6</v>
          </cell>
          <cell r="G993">
            <v>110101</v>
          </cell>
          <cell r="K993">
            <v>0</v>
          </cell>
          <cell r="M993" t="str">
            <v>DEL</v>
          </cell>
          <cell r="N993" t="str">
            <v>Capital</v>
          </cell>
          <cell r="Q993" t="str">
            <v>no</v>
          </cell>
          <cell r="X993">
            <v>100000</v>
          </cell>
          <cell r="Y993">
            <v>100000</v>
          </cell>
          <cell r="Z993">
            <v>100000</v>
          </cell>
        </row>
        <row r="994">
          <cell r="B994" t="str">
            <v>E10</v>
          </cell>
          <cell r="F994">
            <v>9</v>
          </cell>
          <cell r="G994">
            <v>110202</v>
          </cell>
          <cell r="K994" t="str">
            <v>PSS</v>
          </cell>
          <cell r="M994" t="str">
            <v>non-budget</v>
          </cell>
          <cell r="N994" t="str">
            <v>non-budget</v>
          </cell>
          <cell r="Q994" t="str">
            <v>no</v>
          </cell>
          <cell r="X994" t="str">
            <v xml:space="preserve"> </v>
          </cell>
          <cell r="Y994" t="str">
            <v xml:space="preserve"> </v>
          </cell>
          <cell r="Z994" t="str">
            <v xml:space="preserve"> </v>
          </cell>
        </row>
        <row r="995">
          <cell r="B995" t="str">
            <v>L21</v>
          </cell>
          <cell r="F995">
            <v>9</v>
          </cell>
          <cell r="G995">
            <v>110302</v>
          </cell>
          <cell r="K995">
            <v>0</v>
          </cell>
          <cell r="M995" t="str">
            <v>DEL</v>
          </cell>
          <cell r="N995" t="str">
            <v>Resource</v>
          </cell>
          <cell r="Q995" t="str">
            <v>no</v>
          </cell>
          <cell r="X995" t="str">
            <v xml:space="preserve"> </v>
          </cell>
          <cell r="Y995" t="str">
            <v xml:space="preserve"> </v>
          </cell>
          <cell r="Z995" t="str">
            <v xml:space="preserve"> </v>
          </cell>
        </row>
        <row r="996">
          <cell r="B996" t="str">
            <v>L40</v>
          </cell>
          <cell r="F996">
            <v>1</v>
          </cell>
          <cell r="G996">
            <v>180700</v>
          </cell>
          <cell r="K996">
            <v>0</v>
          </cell>
          <cell r="M996" t="str">
            <v>AME</v>
          </cell>
          <cell r="N996" t="str">
            <v>Resource</v>
          </cell>
          <cell r="Q996" t="str">
            <v>no</v>
          </cell>
          <cell r="X996">
            <v>6448705</v>
          </cell>
          <cell r="Y996" t="str">
            <v xml:space="preserve"> </v>
          </cell>
          <cell r="Z996" t="str">
            <v xml:space="preserve"> </v>
          </cell>
        </row>
        <row r="997">
          <cell r="B997" t="str">
            <v>L40</v>
          </cell>
          <cell r="F997">
            <v>2</v>
          </cell>
          <cell r="G997">
            <v>180700</v>
          </cell>
          <cell r="K997">
            <v>0</v>
          </cell>
          <cell r="M997" t="str">
            <v>AME</v>
          </cell>
          <cell r="N997" t="str">
            <v>Resource</v>
          </cell>
          <cell r="Q997" t="str">
            <v>no</v>
          </cell>
          <cell r="X997" t="str">
            <v xml:space="preserve"> </v>
          </cell>
          <cell r="Y997">
            <v>-7214873</v>
          </cell>
          <cell r="Z997">
            <v>-7864212</v>
          </cell>
        </row>
        <row r="998">
          <cell r="B998" t="str">
            <v>N10</v>
          </cell>
          <cell r="F998">
            <v>2</v>
          </cell>
          <cell r="G998">
            <v>110222</v>
          </cell>
          <cell r="K998" t="str">
            <v>PSS</v>
          </cell>
          <cell r="M998" t="str">
            <v>DEL</v>
          </cell>
          <cell r="N998" t="str">
            <v>Capital</v>
          </cell>
          <cell r="Q998" t="str">
            <v>no</v>
          </cell>
          <cell r="X998" t="str">
            <v xml:space="preserve"> </v>
          </cell>
          <cell r="Y998">
            <v>25000</v>
          </cell>
          <cell r="Z998">
            <v>25000</v>
          </cell>
        </row>
        <row r="999">
          <cell r="B999" t="str">
            <v>N10</v>
          </cell>
          <cell r="F999">
            <v>6</v>
          </cell>
          <cell r="G999">
            <v>110101</v>
          </cell>
          <cell r="K999">
            <v>0</v>
          </cell>
          <cell r="M999" t="str">
            <v>DEL</v>
          </cell>
          <cell r="N999" t="str">
            <v>Capital</v>
          </cell>
          <cell r="Q999" t="str">
            <v>no</v>
          </cell>
          <cell r="X999" t="str">
            <v xml:space="preserve"> </v>
          </cell>
          <cell r="Y999" t="str">
            <v xml:space="preserve"> </v>
          </cell>
          <cell r="Z999" t="str">
            <v xml:space="preserve"> </v>
          </cell>
        </row>
        <row r="1000">
          <cell r="B1000" t="str">
            <v>N40</v>
          </cell>
          <cell r="F1000">
            <v>1</v>
          </cell>
          <cell r="G1000">
            <v>110601</v>
          </cell>
          <cell r="K1000" t="str">
            <v>PSS</v>
          </cell>
          <cell r="M1000" t="str">
            <v>DEL</v>
          </cell>
          <cell r="N1000" t="str">
            <v>Capital</v>
          </cell>
          <cell r="Q1000" t="str">
            <v>no</v>
          </cell>
          <cell r="X1000">
            <v>53420</v>
          </cell>
          <cell r="Y1000" t="str">
            <v xml:space="preserve"> </v>
          </cell>
          <cell r="Z1000" t="str">
            <v xml:space="preserve"> </v>
          </cell>
        </row>
        <row r="1001">
          <cell r="B1001" t="str">
            <v>E11</v>
          </cell>
          <cell r="F1001">
            <v>9</v>
          </cell>
          <cell r="G1001">
            <v>110101</v>
          </cell>
          <cell r="K1001">
            <v>0</v>
          </cell>
          <cell r="M1001" t="str">
            <v>DEL</v>
          </cell>
          <cell r="N1001" t="str">
            <v>Capital</v>
          </cell>
          <cell r="Q1001" t="str">
            <v>no</v>
          </cell>
          <cell r="X1001" t="str">
            <v xml:space="preserve"> </v>
          </cell>
          <cell r="Y1001" t="str">
            <v xml:space="preserve"> </v>
          </cell>
          <cell r="Z1001" t="str">
            <v xml:space="preserve"> </v>
          </cell>
        </row>
        <row r="1002">
          <cell r="B1002" t="str">
            <v>N40</v>
          </cell>
          <cell r="F1002">
            <v>2</v>
          </cell>
          <cell r="G1002">
            <v>110601</v>
          </cell>
          <cell r="K1002" t="str">
            <v>PSS</v>
          </cell>
          <cell r="M1002" t="str">
            <v>DEL</v>
          </cell>
          <cell r="N1002" t="str">
            <v>Capital</v>
          </cell>
          <cell r="Q1002" t="str">
            <v>no</v>
          </cell>
          <cell r="X1002" t="str">
            <v xml:space="preserve"> </v>
          </cell>
          <cell r="Y1002">
            <v>53420</v>
          </cell>
          <cell r="Z1002">
            <v>53420</v>
          </cell>
        </row>
        <row r="1003">
          <cell r="B1003" t="str">
            <v>N40</v>
          </cell>
          <cell r="F1003">
            <v>6</v>
          </cell>
          <cell r="G1003">
            <v>110601</v>
          </cell>
          <cell r="K1003" t="str">
            <v>PSS</v>
          </cell>
          <cell r="M1003" t="str">
            <v>DEL</v>
          </cell>
          <cell r="N1003" t="str">
            <v>Capital</v>
          </cell>
          <cell r="Q1003" t="str">
            <v>no</v>
          </cell>
          <cell r="X1003" t="str">
            <v xml:space="preserve"> </v>
          </cell>
          <cell r="Y1003" t="str">
            <v xml:space="preserve"> </v>
          </cell>
          <cell r="Z1003" t="str">
            <v xml:space="preserve"> </v>
          </cell>
        </row>
        <row r="1004">
          <cell r="B1004" t="str">
            <v>E15</v>
          </cell>
          <cell r="F1004">
            <v>1</v>
          </cell>
          <cell r="G1004">
            <v>110702</v>
          </cell>
          <cell r="K1004">
            <v>0</v>
          </cell>
          <cell r="M1004" t="str">
            <v>AME</v>
          </cell>
          <cell r="N1004" t="str">
            <v>Capital</v>
          </cell>
          <cell r="Q1004" t="str">
            <v>no</v>
          </cell>
          <cell r="X1004" t="str">
            <v xml:space="preserve"> </v>
          </cell>
          <cell r="Y1004" t="str">
            <v xml:space="preserve"> </v>
          </cell>
          <cell r="Z1004" t="str">
            <v xml:space="preserve"> </v>
          </cell>
        </row>
        <row r="1005">
          <cell r="B1005" t="str">
            <v>E11</v>
          </cell>
          <cell r="F1005">
            <v>9</v>
          </cell>
          <cell r="G1005">
            <v>110101</v>
          </cell>
          <cell r="K1005">
            <v>0</v>
          </cell>
          <cell r="M1005" t="str">
            <v>DEL</v>
          </cell>
          <cell r="N1005" t="str">
            <v>Capital</v>
          </cell>
          <cell r="Q1005" t="str">
            <v>no</v>
          </cell>
          <cell r="X1005" t="str">
            <v xml:space="preserve"> </v>
          </cell>
          <cell r="Y1005" t="str">
            <v xml:space="preserve"> </v>
          </cell>
          <cell r="Z1005" t="str">
            <v xml:space="preserve"> </v>
          </cell>
        </row>
        <row r="1006">
          <cell r="B1006" t="str">
            <v>E15</v>
          </cell>
          <cell r="F1006">
            <v>6</v>
          </cell>
          <cell r="G1006">
            <v>110702</v>
          </cell>
          <cell r="K1006">
            <v>0</v>
          </cell>
          <cell r="M1006" t="str">
            <v>AME</v>
          </cell>
          <cell r="N1006" t="str">
            <v>Capital</v>
          </cell>
          <cell r="Q1006" t="str">
            <v>no</v>
          </cell>
          <cell r="X1006">
            <v>500000</v>
          </cell>
          <cell r="Y1006" t="str">
            <v xml:space="preserve"> </v>
          </cell>
          <cell r="Z1006" t="str">
            <v xml:space="preserve"> </v>
          </cell>
        </row>
        <row r="1007">
          <cell r="B1007" t="str">
            <v>H10</v>
          </cell>
          <cell r="F1007">
            <v>1</v>
          </cell>
          <cell r="G1007">
            <v>110801</v>
          </cell>
          <cell r="K1007">
            <v>0</v>
          </cell>
          <cell r="M1007" t="str">
            <v>AME</v>
          </cell>
          <cell r="N1007" t="str">
            <v>Capital</v>
          </cell>
          <cell r="Q1007" t="str">
            <v>no</v>
          </cell>
          <cell r="X1007" t="str">
            <v xml:space="preserve"> </v>
          </cell>
          <cell r="Y1007" t="str">
            <v xml:space="preserve"> </v>
          </cell>
          <cell r="Z1007" t="str">
            <v xml:space="preserve"> </v>
          </cell>
        </row>
        <row r="1008">
          <cell r="B1008" t="str">
            <v>H10</v>
          </cell>
          <cell r="F1008">
            <v>4</v>
          </cell>
          <cell r="G1008">
            <v>110801</v>
          </cell>
          <cell r="K1008">
            <v>0</v>
          </cell>
          <cell r="M1008" t="str">
            <v>AME</v>
          </cell>
          <cell r="N1008" t="str">
            <v>Capital</v>
          </cell>
          <cell r="Q1008" t="str">
            <v>no</v>
          </cell>
          <cell r="X1008">
            <v>128856</v>
          </cell>
          <cell r="Y1008" t="str">
            <v xml:space="preserve"> </v>
          </cell>
          <cell r="Z1008" t="str">
            <v xml:space="preserve"> </v>
          </cell>
        </row>
        <row r="1009">
          <cell r="B1009" t="str">
            <v>H10</v>
          </cell>
          <cell r="F1009">
            <v>6</v>
          </cell>
          <cell r="G1009">
            <v>110801</v>
          </cell>
          <cell r="K1009">
            <v>0</v>
          </cell>
          <cell r="M1009" t="str">
            <v>AME</v>
          </cell>
          <cell r="N1009" t="str">
            <v>Capital</v>
          </cell>
          <cell r="Q1009" t="str">
            <v>no</v>
          </cell>
          <cell r="X1009">
            <v>228101</v>
          </cell>
          <cell r="Y1009" t="str">
            <v xml:space="preserve"> </v>
          </cell>
          <cell r="Z1009" t="str">
            <v xml:space="preserve"> </v>
          </cell>
        </row>
        <row r="1010">
          <cell r="B1010" t="str">
            <v>E11</v>
          </cell>
          <cell r="F1010">
            <v>9</v>
          </cell>
          <cell r="G1010">
            <v>110401</v>
          </cell>
          <cell r="K1010">
            <v>0</v>
          </cell>
          <cell r="M1010" t="str">
            <v>DEL</v>
          </cell>
          <cell r="N1010" t="str">
            <v>Capital</v>
          </cell>
          <cell r="Q1010" t="str">
            <v>no</v>
          </cell>
          <cell r="X1010" t="str">
            <v xml:space="preserve"> </v>
          </cell>
          <cell r="Y1010" t="str">
            <v xml:space="preserve"> </v>
          </cell>
          <cell r="Z1010" t="str">
            <v xml:space="preserve"> </v>
          </cell>
        </row>
        <row r="1011">
          <cell r="B1011" t="str">
            <v>L40</v>
          </cell>
          <cell r="F1011">
            <v>2</v>
          </cell>
          <cell r="G1011">
            <v>180700</v>
          </cell>
          <cell r="K1011">
            <v>0</v>
          </cell>
          <cell r="M1011" t="str">
            <v>AME</v>
          </cell>
          <cell r="N1011" t="str">
            <v>Resource</v>
          </cell>
          <cell r="Q1011" t="str">
            <v>no</v>
          </cell>
          <cell r="X1011">
            <v>170445</v>
          </cell>
          <cell r="Y1011">
            <v>7214873</v>
          </cell>
          <cell r="Z1011">
            <v>7864212</v>
          </cell>
        </row>
        <row r="1012">
          <cell r="B1012" t="str">
            <v>L40</v>
          </cell>
          <cell r="F1012">
            <v>2</v>
          </cell>
          <cell r="G1012">
            <v>180700</v>
          </cell>
          <cell r="K1012">
            <v>0</v>
          </cell>
          <cell r="M1012" t="str">
            <v>AME</v>
          </cell>
          <cell r="N1012" t="str">
            <v>Resource</v>
          </cell>
          <cell r="Q1012" t="str">
            <v>no</v>
          </cell>
          <cell r="X1012">
            <v>-1019150</v>
          </cell>
          <cell r="Y1012">
            <v>5750000</v>
          </cell>
          <cell r="Z1012">
            <v>5900000</v>
          </cell>
        </row>
        <row r="1013">
          <cell r="B1013" t="str">
            <v>L40</v>
          </cell>
          <cell r="F1013">
            <v>5</v>
          </cell>
          <cell r="G1013">
            <v>180700</v>
          </cell>
          <cell r="K1013">
            <v>0</v>
          </cell>
          <cell r="M1013" t="str">
            <v>AME</v>
          </cell>
          <cell r="N1013" t="str">
            <v>Resource</v>
          </cell>
          <cell r="Q1013" t="str">
            <v>no</v>
          </cell>
          <cell r="X1013">
            <v>1309924</v>
          </cell>
          <cell r="Y1013">
            <v>1657750</v>
          </cell>
          <cell r="Z1013">
            <v>1733951</v>
          </cell>
        </row>
        <row r="1014">
          <cell r="B1014" t="str">
            <v>L40</v>
          </cell>
          <cell r="F1014">
            <v>6</v>
          </cell>
          <cell r="G1014">
            <v>180700</v>
          </cell>
          <cell r="K1014">
            <v>0</v>
          </cell>
          <cell r="M1014" t="str">
            <v>AME</v>
          </cell>
          <cell r="N1014" t="str">
            <v>Resource</v>
          </cell>
          <cell r="Q1014" t="str">
            <v>no</v>
          </cell>
          <cell r="X1014">
            <v>93355</v>
          </cell>
          <cell r="Y1014">
            <v>97127</v>
          </cell>
          <cell r="Z1014">
            <v>101166</v>
          </cell>
        </row>
        <row r="1015">
          <cell r="B1015" t="str">
            <v>L40</v>
          </cell>
          <cell r="F1015">
            <v>6</v>
          </cell>
          <cell r="G1015">
            <v>180700</v>
          </cell>
          <cell r="K1015">
            <v>0</v>
          </cell>
          <cell r="M1015" t="str">
            <v>AME</v>
          </cell>
          <cell r="N1015" t="str">
            <v>Resource</v>
          </cell>
          <cell r="Q1015" t="str">
            <v>no</v>
          </cell>
          <cell r="X1015">
            <v>20000</v>
          </cell>
          <cell r="Y1015" t="str">
            <v xml:space="preserve"> </v>
          </cell>
          <cell r="Z1015" t="str">
            <v xml:space="preserve"> </v>
          </cell>
        </row>
        <row r="1016">
          <cell r="B1016" t="str">
            <v>E15</v>
          </cell>
          <cell r="F1016">
            <v>12</v>
          </cell>
          <cell r="G1016">
            <v>110407</v>
          </cell>
          <cell r="K1016">
            <v>0</v>
          </cell>
          <cell r="M1016" t="str">
            <v>DEL</v>
          </cell>
          <cell r="N1016" t="str">
            <v>Capital</v>
          </cell>
          <cell r="Q1016" t="str">
            <v>no</v>
          </cell>
          <cell r="X1016">
            <v>355</v>
          </cell>
          <cell r="Y1016" t="str">
            <v xml:space="preserve"> </v>
          </cell>
          <cell r="Z1016" t="str">
            <v xml:space="preserve"> </v>
          </cell>
        </row>
        <row r="1017">
          <cell r="B1017" t="str">
            <v>L40</v>
          </cell>
          <cell r="F1017">
            <v>6</v>
          </cell>
          <cell r="G1017">
            <v>180700</v>
          </cell>
          <cell r="K1017">
            <v>0</v>
          </cell>
          <cell r="M1017" t="str">
            <v>AME</v>
          </cell>
          <cell r="N1017" t="str">
            <v>Resource</v>
          </cell>
          <cell r="Q1017" t="str">
            <v>no</v>
          </cell>
          <cell r="X1017">
            <v>-40000</v>
          </cell>
          <cell r="Y1017" t="str">
            <v xml:space="preserve"> </v>
          </cell>
          <cell r="Z1017" t="str">
            <v xml:space="preserve"> </v>
          </cell>
        </row>
        <row r="1018">
          <cell r="B1018" t="str">
            <v>L40</v>
          </cell>
          <cell r="F1018">
            <v>6</v>
          </cell>
          <cell r="G1018">
            <v>180700</v>
          </cell>
          <cell r="K1018">
            <v>0</v>
          </cell>
          <cell r="M1018" t="str">
            <v>AME</v>
          </cell>
          <cell r="N1018" t="str">
            <v>Resource</v>
          </cell>
          <cell r="Q1018" t="str">
            <v>no</v>
          </cell>
          <cell r="X1018">
            <v>223323</v>
          </cell>
          <cell r="Y1018">
            <v>679422</v>
          </cell>
          <cell r="Z1018">
            <v>1214535</v>
          </cell>
        </row>
        <row r="1019">
          <cell r="B1019" t="str">
            <v>L40</v>
          </cell>
          <cell r="F1019">
            <v>6</v>
          </cell>
          <cell r="G1019">
            <v>180700</v>
          </cell>
          <cell r="K1019">
            <v>0</v>
          </cell>
          <cell r="M1019" t="str">
            <v>AME</v>
          </cell>
          <cell r="N1019" t="str">
            <v>Resource</v>
          </cell>
          <cell r="Q1019" t="str">
            <v>no</v>
          </cell>
          <cell r="X1019">
            <v>8507054</v>
          </cell>
          <cell r="Y1019">
            <v>9289300</v>
          </cell>
          <cell r="Z1019">
            <v>1012631</v>
          </cell>
        </row>
        <row r="1020">
          <cell r="B1020" t="str">
            <v>L40</v>
          </cell>
          <cell r="F1020">
            <v>6</v>
          </cell>
          <cell r="G1020">
            <v>180700</v>
          </cell>
          <cell r="K1020">
            <v>0</v>
          </cell>
          <cell r="M1020" t="str">
            <v>AME</v>
          </cell>
          <cell r="N1020" t="str">
            <v>Resource</v>
          </cell>
          <cell r="Q1020" t="str">
            <v>no</v>
          </cell>
          <cell r="X1020">
            <v>-8507054</v>
          </cell>
          <cell r="Y1020">
            <v>-9289300</v>
          </cell>
          <cell r="Z1020">
            <v>-10126318</v>
          </cell>
        </row>
        <row r="1021">
          <cell r="B1021" t="str">
            <v>L40</v>
          </cell>
          <cell r="F1021">
            <v>6</v>
          </cell>
          <cell r="G1021">
            <v>180700</v>
          </cell>
          <cell r="K1021">
            <v>0</v>
          </cell>
          <cell r="M1021" t="str">
            <v>AME</v>
          </cell>
          <cell r="N1021" t="str">
            <v>Resource</v>
          </cell>
          <cell r="Q1021" t="str">
            <v>no</v>
          </cell>
          <cell r="X1021" t="str">
            <v xml:space="preserve"> </v>
          </cell>
          <cell r="Y1021" t="str">
            <v xml:space="preserve"> </v>
          </cell>
          <cell r="Z1021">
            <v>10126318</v>
          </cell>
        </row>
        <row r="1022">
          <cell r="B1022" t="str">
            <v>D40</v>
          </cell>
          <cell r="F1022">
            <v>12</v>
          </cell>
          <cell r="G1022">
            <v>180700</v>
          </cell>
          <cell r="K1022">
            <v>0</v>
          </cell>
          <cell r="M1022" t="str">
            <v>AME</v>
          </cell>
          <cell r="N1022" t="str">
            <v>Resource</v>
          </cell>
          <cell r="Q1022" t="str">
            <v>yes</v>
          </cell>
          <cell r="X1022" t="str">
            <v xml:space="preserve"> </v>
          </cell>
          <cell r="Y1022" t="str">
            <v xml:space="preserve"> </v>
          </cell>
          <cell r="Z1022" t="str">
            <v xml:space="preserve"> </v>
          </cell>
        </row>
        <row r="1023">
          <cell r="B1023" t="str">
            <v>D40</v>
          </cell>
          <cell r="F1023">
            <v>12</v>
          </cell>
          <cell r="G1023">
            <v>180700</v>
          </cell>
          <cell r="K1023">
            <v>0</v>
          </cell>
          <cell r="M1023" t="str">
            <v>AME</v>
          </cell>
          <cell r="N1023" t="str">
            <v>Resource</v>
          </cell>
          <cell r="Q1023" t="str">
            <v>yes</v>
          </cell>
          <cell r="X1023" t="str">
            <v xml:space="preserve"> </v>
          </cell>
          <cell r="Y1023" t="str">
            <v xml:space="preserve"> </v>
          </cell>
          <cell r="Z1023" t="str">
            <v xml:space="preserve"> </v>
          </cell>
        </row>
        <row r="1024">
          <cell r="B1024" t="str">
            <v>L40</v>
          </cell>
          <cell r="F1024">
            <v>6</v>
          </cell>
          <cell r="G1024">
            <v>180700</v>
          </cell>
          <cell r="K1024">
            <v>0</v>
          </cell>
          <cell r="M1024" t="str">
            <v>AME</v>
          </cell>
          <cell r="N1024" t="str">
            <v>Resource</v>
          </cell>
          <cell r="Q1024" t="str">
            <v>no</v>
          </cell>
          <cell r="X1024" t="str">
            <v xml:space="preserve"> </v>
          </cell>
          <cell r="Y1024" t="str">
            <v xml:space="preserve"> </v>
          </cell>
          <cell r="Z1024">
            <v>-1012631</v>
          </cell>
        </row>
        <row r="1025">
          <cell r="B1025" t="str">
            <v>D40</v>
          </cell>
          <cell r="F1025">
            <v>1</v>
          </cell>
          <cell r="G1025">
            <v>180700</v>
          </cell>
          <cell r="K1025">
            <v>0</v>
          </cell>
          <cell r="M1025" t="str">
            <v>non-budget</v>
          </cell>
          <cell r="N1025" t="str">
            <v>non-budget</v>
          </cell>
          <cell r="Q1025" t="str">
            <v>yes</v>
          </cell>
          <cell r="X1025">
            <v>-300</v>
          </cell>
          <cell r="Y1025" t="str">
            <v xml:space="preserve"> </v>
          </cell>
          <cell r="Z1025" t="str">
            <v xml:space="preserve"> </v>
          </cell>
        </row>
        <row r="1026">
          <cell r="B1026" t="str">
            <v>D40</v>
          </cell>
          <cell r="F1026">
            <v>6</v>
          </cell>
          <cell r="G1026">
            <v>180700</v>
          </cell>
          <cell r="K1026">
            <v>0</v>
          </cell>
          <cell r="M1026" t="str">
            <v>non-budget</v>
          </cell>
          <cell r="N1026" t="str">
            <v>non-budget</v>
          </cell>
          <cell r="Q1026" t="str">
            <v>yes</v>
          </cell>
          <cell r="X1026">
            <v>-300</v>
          </cell>
          <cell r="Y1026" t="str">
            <v xml:space="preserve"> </v>
          </cell>
          <cell r="Z1026" t="str">
            <v xml:space="preserve"> </v>
          </cell>
        </row>
        <row r="1027">
          <cell r="B1027" t="str">
            <v>D40</v>
          </cell>
          <cell r="F1027">
            <v>6</v>
          </cell>
          <cell r="G1027">
            <v>180700</v>
          </cell>
          <cell r="K1027">
            <v>0</v>
          </cell>
          <cell r="M1027" t="str">
            <v>non-budget</v>
          </cell>
          <cell r="N1027" t="str">
            <v>non-budget</v>
          </cell>
          <cell r="Q1027" t="str">
            <v>yes</v>
          </cell>
          <cell r="X1027">
            <v>300</v>
          </cell>
          <cell r="Y1027" t="str">
            <v xml:space="preserve"> </v>
          </cell>
          <cell r="Z1027" t="str">
            <v xml:space="preserve"> </v>
          </cell>
        </row>
        <row r="1028">
          <cell r="B1028" t="str">
            <v>D40</v>
          </cell>
          <cell r="F1028">
            <v>6</v>
          </cell>
          <cell r="G1028">
            <v>180700</v>
          </cell>
          <cell r="K1028">
            <v>0</v>
          </cell>
          <cell r="M1028" t="str">
            <v>non-budget</v>
          </cell>
          <cell r="N1028" t="str">
            <v>non-budget</v>
          </cell>
          <cell r="Q1028" t="str">
            <v>yes</v>
          </cell>
          <cell r="X1028" t="str">
            <v xml:space="preserve"> </v>
          </cell>
          <cell r="Y1028" t="str">
            <v xml:space="preserve"> </v>
          </cell>
          <cell r="Z1028" t="str">
            <v xml:space="preserve"> </v>
          </cell>
        </row>
        <row r="1029">
          <cell r="B1029" t="str">
            <v>D40</v>
          </cell>
          <cell r="F1029">
            <v>12</v>
          </cell>
          <cell r="G1029">
            <v>180700</v>
          </cell>
          <cell r="K1029">
            <v>0</v>
          </cell>
          <cell r="M1029" t="str">
            <v>non-budget</v>
          </cell>
          <cell r="N1029" t="str">
            <v>non-budget</v>
          </cell>
          <cell r="Q1029" t="str">
            <v>yes</v>
          </cell>
          <cell r="X1029" t="str">
            <v xml:space="preserve"> </v>
          </cell>
          <cell r="Y1029" t="str">
            <v xml:space="preserve"> </v>
          </cell>
          <cell r="Z1029" t="str">
            <v xml:space="preserve"> </v>
          </cell>
        </row>
        <row r="1030">
          <cell r="B1030" t="str">
            <v>L40</v>
          </cell>
          <cell r="F1030">
            <v>6</v>
          </cell>
          <cell r="G1030">
            <v>180700</v>
          </cell>
          <cell r="K1030">
            <v>0</v>
          </cell>
          <cell r="M1030" t="str">
            <v>AME</v>
          </cell>
          <cell r="N1030" t="str">
            <v>Resource</v>
          </cell>
          <cell r="Q1030" t="str">
            <v>no</v>
          </cell>
          <cell r="X1030">
            <v>206905</v>
          </cell>
          <cell r="Y1030">
            <v>263578</v>
          </cell>
          <cell r="Z1030">
            <v>310343</v>
          </cell>
        </row>
        <row r="1031">
          <cell r="B1031" t="str">
            <v>D40</v>
          </cell>
          <cell r="F1031">
            <v>12</v>
          </cell>
          <cell r="G1031">
            <v>180701</v>
          </cell>
          <cell r="K1031">
            <v>0</v>
          </cell>
          <cell r="M1031" t="str">
            <v>AME</v>
          </cell>
          <cell r="N1031" t="str">
            <v>Resource</v>
          </cell>
          <cell r="Q1031" t="str">
            <v>yes</v>
          </cell>
          <cell r="X1031" t="str">
            <v xml:space="preserve"> </v>
          </cell>
          <cell r="Y1031">
            <v>-80000</v>
          </cell>
          <cell r="Z1031">
            <v>-80000</v>
          </cell>
        </row>
        <row r="1032">
          <cell r="B1032" t="str">
            <v>E15</v>
          </cell>
          <cell r="F1032">
            <v>9</v>
          </cell>
          <cell r="G1032">
            <v>110101</v>
          </cell>
          <cell r="K1032">
            <v>0</v>
          </cell>
          <cell r="M1032" t="str">
            <v>DEL</v>
          </cell>
          <cell r="N1032" t="str">
            <v>Capital</v>
          </cell>
          <cell r="Q1032" t="str">
            <v>no</v>
          </cell>
          <cell r="X1032" t="str">
            <v xml:space="preserve"> </v>
          </cell>
          <cell r="Y1032" t="str">
            <v xml:space="preserve"> </v>
          </cell>
          <cell r="Z1032" t="str">
            <v xml:space="preserve"> </v>
          </cell>
        </row>
        <row r="1033">
          <cell r="B1033" t="str">
            <v>L40</v>
          </cell>
          <cell r="F1033">
            <v>2</v>
          </cell>
          <cell r="G1033">
            <v>180700</v>
          </cell>
          <cell r="K1033">
            <v>0</v>
          </cell>
          <cell r="M1033" t="str">
            <v>AME</v>
          </cell>
          <cell r="N1033" t="str">
            <v>Resource</v>
          </cell>
          <cell r="Q1033" t="str">
            <v>no</v>
          </cell>
          <cell r="X1033" t="str">
            <v xml:space="preserve"> </v>
          </cell>
          <cell r="Y1033" t="str">
            <v xml:space="preserve"> </v>
          </cell>
          <cell r="Z1033" t="str">
            <v xml:space="preserve"> </v>
          </cell>
        </row>
        <row r="1034">
          <cell r="B1034" t="str">
            <v>L40</v>
          </cell>
          <cell r="F1034">
            <v>2</v>
          </cell>
          <cell r="G1034">
            <v>180700</v>
          </cell>
          <cell r="K1034">
            <v>0</v>
          </cell>
          <cell r="M1034" t="str">
            <v>AME</v>
          </cell>
          <cell r="N1034" t="str">
            <v>Resource</v>
          </cell>
          <cell r="Q1034" t="str">
            <v>no</v>
          </cell>
          <cell r="X1034" t="str">
            <v xml:space="preserve"> </v>
          </cell>
          <cell r="Y1034" t="str">
            <v xml:space="preserve"> </v>
          </cell>
          <cell r="Z1034" t="str">
            <v xml:space="preserve"> </v>
          </cell>
        </row>
        <row r="1035">
          <cell r="B1035" t="str">
            <v>L40</v>
          </cell>
          <cell r="F1035">
            <v>5</v>
          </cell>
          <cell r="G1035">
            <v>180700</v>
          </cell>
          <cell r="K1035">
            <v>0</v>
          </cell>
          <cell r="M1035" t="str">
            <v>AME</v>
          </cell>
          <cell r="N1035" t="str">
            <v>Resource</v>
          </cell>
          <cell r="Q1035" t="str">
            <v>no</v>
          </cell>
          <cell r="X1035" t="str">
            <v xml:space="preserve"> </v>
          </cell>
          <cell r="Y1035" t="str">
            <v xml:space="preserve"> </v>
          </cell>
          <cell r="Z1035" t="str">
            <v xml:space="preserve"> </v>
          </cell>
        </row>
        <row r="1036">
          <cell r="B1036" t="str">
            <v>L40</v>
          </cell>
          <cell r="F1036">
            <v>6</v>
          </cell>
          <cell r="G1036">
            <v>180700</v>
          </cell>
          <cell r="K1036">
            <v>0</v>
          </cell>
          <cell r="M1036" t="str">
            <v>AME</v>
          </cell>
          <cell r="N1036" t="str">
            <v>Resource</v>
          </cell>
          <cell r="Q1036" t="str">
            <v>no</v>
          </cell>
          <cell r="X1036" t="str">
            <v xml:space="preserve"> </v>
          </cell>
          <cell r="Y1036" t="str">
            <v xml:space="preserve"> </v>
          </cell>
          <cell r="Z1036" t="str">
            <v xml:space="preserve"> </v>
          </cell>
        </row>
        <row r="1037">
          <cell r="B1037" t="str">
            <v>L40</v>
          </cell>
          <cell r="F1037">
            <v>5</v>
          </cell>
          <cell r="G1037">
            <v>180700</v>
          </cell>
          <cell r="K1037">
            <v>0</v>
          </cell>
          <cell r="M1037" t="str">
            <v>AME</v>
          </cell>
          <cell r="N1037" t="str">
            <v>Resource</v>
          </cell>
          <cell r="Q1037" t="str">
            <v>no</v>
          </cell>
          <cell r="X1037">
            <v>-305645</v>
          </cell>
          <cell r="Y1037">
            <v>-35202</v>
          </cell>
          <cell r="Z1037">
            <v>-36258</v>
          </cell>
        </row>
        <row r="1038">
          <cell r="B1038" t="str">
            <v>L40</v>
          </cell>
          <cell r="F1038">
            <v>5</v>
          </cell>
          <cell r="G1038">
            <v>180700</v>
          </cell>
          <cell r="K1038">
            <v>0</v>
          </cell>
          <cell r="M1038" t="str">
            <v>AME</v>
          </cell>
          <cell r="N1038" t="str">
            <v>Resource</v>
          </cell>
          <cell r="Q1038" t="str">
            <v>no</v>
          </cell>
          <cell r="X1038">
            <v>611290</v>
          </cell>
          <cell r="Y1038" t="str">
            <v xml:space="preserve"> </v>
          </cell>
          <cell r="Z1038" t="str">
            <v xml:space="preserve"> </v>
          </cell>
        </row>
        <row r="1039">
          <cell r="B1039" t="str">
            <v>E15</v>
          </cell>
          <cell r="F1039">
            <v>9</v>
          </cell>
          <cell r="G1039">
            <v>110101</v>
          </cell>
          <cell r="K1039">
            <v>0</v>
          </cell>
          <cell r="M1039" t="str">
            <v>DEL</v>
          </cell>
          <cell r="N1039" t="str">
            <v>Capital</v>
          </cell>
          <cell r="Q1039" t="str">
            <v>no</v>
          </cell>
          <cell r="X1039" t="str">
            <v xml:space="preserve"> </v>
          </cell>
          <cell r="Y1039" t="str">
            <v xml:space="preserve"> </v>
          </cell>
          <cell r="Z1039" t="str">
            <v xml:space="preserve"> </v>
          </cell>
        </row>
        <row r="1040">
          <cell r="B1040" t="str">
            <v>E15</v>
          </cell>
          <cell r="F1040">
            <v>9</v>
          </cell>
          <cell r="G1040">
            <v>110401</v>
          </cell>
          <cell r="K1040">
            <v>0</v>
          </cell>
          <cell r="M1040" t="str">
            <v>DEL</v>
          </cell>
          <cell r="N1040" t="str">
            <v>Capital</v>
          </cell>
          <cell r="Q1040" t="str">
            <v>no</v>
          </cell>
          <cell r="X1040" t="str">
            <v xml:space="preserve"> </v>
          </cell>
          <cell r="Y1040" t="str">
            <v xml:space="preserve"> </v>
          </cell>
          <cell r="Z1040" t="str">
            <v xml:space="preserve"> </v>
          </cell>
        </row>
        <row r="1041">
          <cell r="B1041" t="str">
            <v>L40</v>
          </cell>
          <cell r="F1041">
            <v>6</v>
          </cell>
          <cell r="G1041">
            <v>180700</v>
          </cell>
          <cell r="K1041">
            <v>0</v>
          </cell>
          <cell r="M1041" t="str">
            <v>AME</v>
          </cell>
          <cell r="N1041" t="str">
            <v>Resource</v>
          </cell>
          <cell r="Q1041" t="str">
            <v>no</v>
          </cell>
          <cell r="X1041">
            <v>787902</v>
          </cell>
          <cell r="Y1041">
            <v>876625</v>
          </cell>
          <cell r="Z1041">
            <v>902581</v>
          </cell>
        </row>
        <row r="1042">
          <cell r="B1042" t="str">
            <v>L40</v>
          </cell>
          <cell r="F1042">
            <v>6</v>
          </cell>
          <cell r="G1042">
            <v>180700</v>
          </cell>
          <cell r="K1042">
            <v>0</v>
          </cell>
          <cell r="M1042" t="str">
            <v>AME</v>
          </cell>
          <cell r="N1042" t="str">
            <v>Resource</v>
          </cell>
          <cell r="Q1042" t="str">
            <v>no</v>
          </cell>
          <cell r="X1042" t="str">
            <v xml:space="preserve"> </v>
          </cell>
          <cell r="Y1042" t="str">
            <v xml:space="preserve"> </v>
          </cell>
          <cell r="Z1042" t="str">
            <v xml:space="preserve"> </v>
          </cell>
        </row>
        <row r="1043">
          <cell r="B1043" t="str">
            <v>L40</v>
          </cell>
          <cell r="F1043">
            <v>6</v>
          </cell>
          <cell r="G1043">
            <v>180700</v>
          </cell>
          <cell r="K1043">
            <v>0</v>
          </cell>
          <cell r="M1043" t="str">
            <v>AME</v>
          </cell>
          <cell r="N1043" t="str">
            <v>Resource</v>
          </cell>
          <cell r="Q1043" t="str">
            <v>no</v>
          </cell>
          <cell r="X1043" t="str">
            <v xml:space="preserve"> </v>
          </cell>
          <cell r="Y1043" t="str">
            <v xml:space="preserve"> </v>
          </cell>
          <cell r="Z1043" t="str">
            <v xml:space="preserve"> </v>
          </cell>
        </row>
        <row r="1044">
          <cell r="B1044" t="str">
            <v>L40</v>
          </cell>
          <cell r="F1044">
            <v>12</v>
          </cell>
          <cell r="G1044">
            <v>180700</v>
          </cell>
          <cell r="K1044">
            <v>0</v>
          </cell>
          <cell r="M1044" t="str">
            <v>AME</v>
          </cell>
          <cell r="N1044" t="str">
            <v>Resource</v>
          </cell>
          <cell r="Q1044" t="str">
            <v>no</v>
          </cell>
          <cell r="X1044" t="str">
            <v xml:space="preserve"> </v>
          </cell>
          <cell r="Y1044">
            <v>-943625</v>
          </cell>
          <cell r="Z1044">
            <v>-854068</v>
          </cell>
        </row>
        <row r="1045">
          <cell r="B1045" t="str">
            <v>E15</v>
          </cell>
          <cell r="F1045">
            <v>9</v>
          </cell>
          <cell r="G1045">
            <v>110407</v>
          </cell>
          <cell r="K1045">
            <v>0</v>
          </cell>
          <cell r="M1045" t="str">
            <v>DEL</v>
          </cell>
          <cell r="N1045" t="str">
            <v>Capital</v>
          </cell>
          <cell r="Q1045" t="str">
            <v>no</v>
          </cell>
          <cell r="X1045" t="str">
            <v xml:space="preserve"> </v>
          </cell>
          <cell r="Y1045" t="str">
            <v xml:space="preserve"> </v>
          </cell>
          <cell r="Z1045" t="str">
            <v xml:space="preserve"> </v>
          </cell>
        </row>
        <row r="1046">
          <cell r="B1046" t="str">
            <v>L40</v>
          </cell>
          <cell r="F1046">
            <v>12</v>
          </cell>
          <cell r="G1046">
            <v>180700</v>
          </cell>
          <cell r="K1046">
            <v>0</v>
          </cell>
          <cell r="M1046" t="str">
            <v>AME</v>
          </cell>
          <cell r="N1046" t="str">
            <v>Resource</v>
          </cell>
          <cell r="Q1046" t="str">
            <v>no</v>
          </cell>
          <cell r="X1046" t="str">
            <v xml:space="preserve"> </v>
          </cell>
          <cell r="Y1046" t="str">
            <v xml:space="preserve"> </v>
          </cell>
          <cell r="Z1046" t="str">
            <v xml:space="preserve"> </v>
          </cell>
        </row>
        <row r="1047">
          <cell r="B1047" t="str">
            <v>L45</v>
          </cell>
          <cell r="F1047">
            <v>1</v>
          </cell>
          <cell r="G1047">
            <v>180700</v>
          </cell>
          <cell r="K1047">
            <v>0</v>
          </cell>
          <cell r="M1047" t="str">
            <v>AME</v>
          </cell>
          <cell r="N1047" t="str">
            <v>Resource</v>
          </cell>
          <cell r="Q1047" t="str">
            <v>no</v>
          </cell>
          <cell r="X1047">
            <v>6691882</v>
          </cell>
          <cell r="Y1047" t="str">
            <v xml:space="preserve"> </v>
          </cell>
          <cell r="Z1047" t="str">
            <v xml:space="preserve"> </v>
          </cell>
        </row>
        <row r="1048">
          <cell r="B1048" t="str">
            <v>L45</v>
          </cell>
          <cell r="F1048">
            <v>2</v>
          </cell>
          <cell r="G1048">
            <v>180700</v>
          </cell>
          <cell r="K1048">
            <v>0</v>
          </cell>
          <cell r="M1048" t="str">
            <v>AME</v>
          </cell>
          <cell r="N1048" t="str">
            <v>Resource</v>
          </cell>
          <cell r="Q1048" t="str">
            <v>no</v>
          </cell>
          <cell r="X1048" t="str">
            <v xml:space="preserve"> </v>
          </cell>
          <cell r="Y1048" t="str">
            <v xml:space="preserve"> </v>
          </cell>
          <cell r="Z1048" t="str">
            <v xml:space="preserve"> </v>
          </cell>
        </row>
        <row r="1049">
          <cell r="B1049" t="str">
            <v>L45</v>
          </cell>
          <cell r="F1049">
            <v>2</v>
          </cell>
          <cell r="G1049">
            <v>180700</v>
          </cell>
          <cell r="K1049">
            <v>0</v>
          </cell>
          <cell r="M1049" t="str">
            <v>AME</v>
          </cell>
          <cell r="N1049" t="str">
            <v>Resource</v>
          </cell>
          <cell r="Q1049" t="str">
            <v>no</v>
          </cell>
          <cell r="X1049">
            <v>-45546</v>
          </cell>
          <cell r="Y1049">
            <v>7193549</v>
          </cell>
          <cell r="Z1049">
            <v>7786955</v>
          </cell>
        </row>
        <row r="1050">
          <cell r="B1050" t="str">
            <v>L45</v>
          </cell>
          <cell r="F1050">
            <v>5</v>
          </cell>
          <cell r="G1050">
            <v>180700</v>
          </cell>
          <cell r="K1050">
            <v>0</v>
          </cell>
          <cell r="M1050" t="str">
            <v>AME</v>
          </cell>
          <cell r="N1050" t="str">
            <v>Resource</v>
          </cell>
          <cell r="Q1050" t="str">
            <v>no</v>
          </cell>
          <cell r="X1050">
            <v>1646782</v>
          </cell>
          <cell r="Y1050">
            <v>1847053</v>
          </cell>
          <cell r="Z1050">
            <v>2050847</v>
          </cell>
        </row>
        <row r="1051">
          <cell r="B1051" t="str">
            <v>L45</v>
          </cell>
          <cell r="F1051">
            <v>5</v>
          </cell>
          <cell r="G1051">
            <v>180700</v>
          </cell>
          <cell r="K1051">
            <v>0</v>
          </cell>
          <cell r="M1051" t="str">
            <v>AME</v>
          </cell>
          <cell r="N1051" t="str">
            <v>Resource</v>
          </cell>
          <cell r="Q1051" t="str">
            <v>no</v>
          </cell>
          <cell r="X1051" t="str">
            <v xml:space="preserve"> </v>
          </cell>
          <cell r="Y1051" t="str">
            <v xml:space="preserve"> </v>
          </cell>
          <cell r="Z1051" t="str">
            <v xml:space="preserve"> </v>
          </cell>
        </row>
        <row r="1052">
          <cell r="B1052" t="str">
            <v>L45</v>
          </cell>
          <cell r="F1052">
            <v>5</v>
          </cell>
          <cell r="G1052">
            <v>180700</v>
          </cell>
          <cell r="K1052">
            <v>0</v>
          </cell>
          <cell r="M1052" t="str">
            <v>AME</v>
          </cell>
          <cell r="N1052" t="str">
            <v>Resource</v>
          </cell>
          <cell r="Q1052" t="str">
            <v>no</v>
          </cell>
          <cell r="X1052" t="str">
            <v xml:space="preserve"> </v>
          </cell>
          <cell r="Y1052" t="str">
            <v xml:space="preserve"> </v>
          </cell>
          <cell r="Z1052" t="str">
            <v xml:space="preserve"> </v>
          </cell>
        </row>
        <row r="1053">
          <cell r="B1053" t="str">
            <v>L45</v>
          </cell>
          <cell r="F1053">
            <v>6</v>
          </cell>
          <cell r="G1053">
            <v>180700</v>
          </cell>
          <cell r="K1053">
            <v>0</v>
          </cell>
          <cell r="M1053" t="str">
            <v>AME</v>
          </cell>
          <cell r="N1053" t="str">
            <v>Resource</v>
          </cell>
          <cell r="Q1053" t="str">
            <v>no</v>
          </cell>
          <cell r="X1053">
            <v>1334674</v>
          </cell>
          <cell r="Y1053">
            <v>1528479</v>
          </cell>
          <cell r="Z1053">
            <v>1740748</v>
          </cell>
        </row>
        <row r="1054">
          <cell r="B1054" t="str">
            <v>L45</v>
          </cell>
          <cell r="F1054">
            <v>6</v>
          </cell>
          <cell r="G1054">
            <v>180700</v>
          </cell>
          <cell r="K1054">
            <v>0</v>
          </cell>
          <cell r="M1054" t="str">
            <v>AME</v>
          </cell>
          <cell r="N1054" t="str">
            <v>Resource</v>
          </cell>
          <cell r="Q1054" t="str">
            <v>no</v>
          </cell>
          <cell r="X1054">
            <v>180000</v>
          </cell>
          <cell r="Y1054" t="str">
            <v xml:space="preserve"> </v>
          </cell>
          <cell r="Z1054" t="str">
            <v xml:space="preserve"> </v>
          </cell>
        </row>
        <row r="1055">
          <cell r="B1055" t="str">
            <v>L45</v>
          </cell>
          <cell r="F1055">
            <v>6</v>
          </cell>
          <cell r="G1055">
            <v>180700</v>
          </cell>
          <cell r="K1055">
            <v>0</v>
          </cell>
          <cell r="M1055" t="str">
            <v>AME</v>
          </cell>
          <cell r="N1055" t="str">
            <v>Resource</v>
          </cell>
          <cell r="Q1055" t="str">
            <v>no</v>
          </cell>
          <cell r="X1055">
            <v>20000</v>
          </cell>
          <cell r="Y1055" t="str">
            <v xml:space="preserve"> </v>
          </cell>
          <cell r="Z1055" t="str">
            <v xml:space="preserve"> </v>
          </cell>
        </row>
        <row r="1056">
          <cell r="B1056" t="str">
            <v>L45</v>
          </cell>
          <cell r="F1056">
            <v>6</v>
          </cell>
          <cell r="G1056">
            <v>180700</v>
          </cell>
          <cell r="K1056">
            <v>0</v>
          </cell>
          <cell r="M1056" t="str">
            <v>AME</v>
          </cell>
          <cell r="N1056" t="str">
            <v>Resource</v>
          </cell>
          <cell r="Q1056" t="str">
            <v>no</v>
          </cell>
          <cell r="X1056">
            <v>7629</v>
          </cell>
          <cell r="Y1056">
            <v>238621</v>
          </cell>
          <cell r="Z1056">
            <v>298413</v>
          </cell>
        </row>
        <row r="1057">
          <cell r="B1057" t="str">
            <v>L45</v>
          </cell>
          <cell r="F1057">
            <v>6</v>
          </cell>
          <cell r="G1057">
            <v>180700</v>
          </cell>
          <cell r="K1057">
            <v>0</v>
          </cell>
          <cell r="M1057" t="str">
            <v>AME</v>
          </cell>
          <cell r="N1057" t="str">
            <v>Resource</v>
          </cell>
          <cell r="Q1057" t="str">
            <v>no</v>
          </cell>
          <cell r="X1057">
            <v>7166396</v>
          </cell>
          <cell r="Y1057">
            <v>7813979</v>
          </cell>
          <cell r="Z1057">
            <v>8529321</v>
          </cell>
        </row>
        <row r="1058">
          <cell r="B1058" t="str">
            <v>L45</v>
          </cell>
          <cell r="F1058">
            <v>6</v>
          </cell>
          <cell r="G1058">
            <v>180700</v>
          </cell>
          <cell r="K1058">
            <v>0</v>
          </cell>
          <cell r="M1058" t="str">
            <v>AME</v>
          </cell>
          <cell r="N1058" t="str">
            <v>Resource</v>
          </cell>
          <cell r="Q1058" t="str">
            <v>no</v>
          </cell>
          <cell r="X1058">
            <v>-7166396</v>
          </cell>
          <cell r="Y1058">
            <v>-7813979</v>
          </cell>
          <cell r="Z1058">
            <v>-8529321</v>
          </cell>
        </row>
        <row r="1059">
          <cell r="B1059" t="str">
            <v>D40</v>
          </cell>
          <cell r="F1059">
            <v>12</v>
          </cell>
          <cell r="G1059">
            <v>180701</v>
          </cell>
          <cell r="K1059">
            <v>0</v>
          </cell>
          <cell r="M1059" t="str">
            <v>AME</v>
          </cell>
          <cell r="N1059" t="str">
            <v>Resource</v>
          </cell>
          <cell r="Q1059" t="str">
            <v>yes</v>
          </cell>
          <cell r="X1059" t="str">
            <v xml:space="preserve"> </v>
          </cell>
          <cell r="Y1059">
            <v>53933</v>
          </cell>
          <cell r="Z1059">
            <v>57170</v>
          </cell>
        </row>
        <row r="1060">
          <cell r="B1060" t="str">
            <v>D40</v>
          </cell>
          <cell r="F1060">
            <v>12</v>
          </cell>
          <cell r="G1060">
            <v>180701</v>
          </cell>
          <cell r="K1060">
            <v>0</v>
          </cell>
          <cell r="M1060" t="str">
            <v>AME</v>
          </cell>
          <cell r="N1060" t="str">
            <v>Resource</v>
          </cell>
          <cell r="Q1060" t="str">
            <v>yes</v>
          </cell>
          <cell r="X1060" t="str">
            <v xml:space="preserve"> </v>
          </cell>
          <cell r="Y1060">
            <v>16067</v>
          </cell>
          <cell r="Z1060">
            <v>12830</v>
          </cell>
        </row>
        <row r="1061">
          <cell r="B1061" t="str">
            <v>D40</v>
          </cell>
          <cell r="F1061">
            <v>12</v>
          </cell>
          <cell r="G1061">
            <v>180701</v>
          </cell>
          <cell r="K1061">
            <v>0</v>
          </cell>
          <cell r="M1061" t="str">
            <v>AME</v>
          </cell>
          <cell r="N1061" t="str">
            <v>Resource</v>
          </cell>
          <cell r="Q1061" t="str">
            <v>yes</v>
          </cell>
          <cell r="X1061" t="str">
            <v xml:space="preserve"> </v>
          </cell>
          <cell r="Y1061">
            <v>-16067</v>
          </cell>
          <cell r="Z1061">
            <v>-12830</v>
          </cell>
        </row>
        <row r="1062">
          <cell r="B1062" t="str">
            <v>D40</v>
          </cell>
          <cell r="F1062">
            <v>12</v>
          </cell>
          <cell r="G1062">
            <v>180701</v>
          </cell>
          <cell r="K1062">
            <v>0</v>
          </cell>
          <cell r="M1062" t="str">
            <v>AME</v>
          </cell>
          <cell r="N1062" t="str">
            <v>Resource</v>
          </cell>
          <cell r="Q1062" t="str">
            <v>yes</v>
          </cell>
          <cell r="X1062" t="str">
            <v xml:space="preserve"> </v>
          </cell>
          <cell r="Y1062" t="str">
            <v xml:space="preserve"> </v>
          </cell>
          <cell r="Z1062" t="str">
            <v xml:space="preserve"> </v>
          </cell>
        </row>
        <row r="1063">
          <cell r="B1063" t="str">
            <v>D40</v>
          </cell>
          <cell r="F1063">
            <v>12</v>
          </cell>
          <cell r="G1063">
            <v>180701</v>
          </cell>
          <cell r="K1063">
            <v>0</v>
          </cell>
          <cell r="M1063" t="str">
            <v>AME</v>
          </cell>
          <cell r="N1063" t="str">
            <v>Resource</v>
          </cell>
          <cell r="Q1063" t="str">
            <v>yes</v>
          </cell>
          <cell r="X1063" t="str">
            <v xml:space="preserve"> </v>
          </cell>
          <cell r="Y1063" t="str">
            <v xml:space="preserve"> </v>
          </cell>
          <cell r="Z1063" t="str">
            <v xml:space="preserve"> </v>
          </cell>
        </row>
        <row r="1064">
          <cell r="B1064" t="str">
            <v>D40</v>
          </cell>
          <cell r="F1064">
            <v>12</v>
          </cell>
          <cell r="G1064">
            <v>180701</v>
          </cell>
          <cell r="K1064">
            <v>0</v>
          </cell>
          <cell r="M1064" t="str">
            <v>AME</v>
          </cell>
          <cell r="N1064" t="str">
            <v>Resource</v>
          </cell>
          <cell r="Q1064" t="str">
            <v>yes</v>
          </cell>
          <cell r="X1064" t="str">
            <v xml:space="preserve"> </v>
          </cell>
          <cell r="Y1064" t="str">
            <v xml:space="preserve"> </v>
          </cell>
          <cell r="Z1064" t="str">
            <v xml:space="preserve"> </v>
          </cell>
        </row>
        <row r="1065">
          <cell r="B1065" t="str">
            <v>D40</v>
          </cell>
          <cell r="F1065">
            <v>12</v>
          </cell>
          <cell r="G1065">
            <v>180701</v>
          </cell>
          <cell r="K1065">
            <v>0</v>
          </cell>
          <cell r="M1065" t="str">
            <v>AME</v>
          </cell>
          <cell r="N1065" t="str">
            <v>Resource</v>
          </cell>
          <cell r="Q1065" t="str">
            <v>yes</v>
          </cell>
          <cell r="X1065" t="str">
            <v xml:space="preserve"> </v>
          </cell>
          <cell r="Y1065" t="str">
            <v xml:space="preserve"> </v>
          </cell>
          <cell r="Z1065" t="str">
            <v xml:space="preserve"> </v>
          </cell>
        </row>
        <row r="1066">
          <cell r="B1066" t="str">
            <v>L45</v>
          </cell>
          <cell r="F1066">
            <v>6</v>
          </cell>
          <cell r="G1066">
            <v>180700</v>
          </cell>
          <cell r="K1066">
            <v>0</v>
          </cell>
          <cell r="M1066" t="str">
            <v>AME</v>
          </cell>
          <cell r="N1066" t="str">
            <v>Resource</v>
          </cell>
          <cell r="Q1066" t="str">
            <v>no</v>
          </cell>
          <cell r="X1066">
            <v>5446</v>
          </cell>
          <cell r="Y1066">
            <v>18340</v>
          </cell>
          <cell r="Z1066">
            <v>34710</v>
          </cell>
        </row>
        <row r="1067">
          <cell r="B1067" t="str">
            <v>L45</v>
          </cell>
          <cell r="F1067">
            <v>2</v>
          </cell>
          <cell r="G1067">
            <v>180700</v>
          </cell>
          <cell r="K1067">
            <v>0</v>
          </cell>
          <cell r="M1067" t="str">
            <v>AME</v>
          </cell>
          <cell r="N1067" t="str">
            <v>Resource</v>
          </cell>
          <cell r="Q1067" t="str">
            <v>no</v>
          </cell>
          <cell r="X1067" t="str">
            <v xml:space="preserve"> </v>
          </cell>
          <cell r="Y1067" t="str">
            <v xml:space="preserve"> </v>
          </cell>
          <cell r="Z1067" t="str">
            <v xml:space="preserve"> </v>
          </cell>
        </row>
        <row r="1068">
          <cell r="B1068" t="str">
            <v>L45</v>
          </cell>
          <cell r="F1068">
            <v>5</v>
          </cell>
          <cell r="G1068">
            <v>180700</v>
          </cell>
          <cell r="K1068">
            <v>0</v>
          </cell>
          <cell r="M1068" t="str">
            <v>AME</v>
          </cell>
          <cell r="N1068" t="str">
            <v>Resource</v>
          </cell>
          <cell r="Q1068" t="str">
            <v>no</v>
          </cell>
          <cell r="X1068" t="str">
            <v xml:space="preserve"> </v>
          </cell>
          <cell r="Y1068" t="str">
            <v xml:space="preserve"> </v>
          </cell>
          <cell r="Z1068" t="str">
            <v xml:space="preserve"> </v>
          </cell>
        </row>
        <row r="1069">
          <cell r="B1069" t="str">
            <v>L45</v>
          </cell>
          <cell r="F1069">
            <v>6</v>
          </cell>
          <cell r="G1069">
            <v>180700</v>
          </cell>
          <cell r="K1069">
            <v>0</v>
          </cell>
          <cell r="M1069" t="str">
            <v>AME</v>
          </cell>
          <cell r="N1069" t="str">
            <v>Resource</v>
          </cell>
          <cell r="Q1069" t="str">
            <v>no</v>
          </cell>
          <cell r="X1069" t="str">
            <v xml:space="preserve"> </v>
          </cell>
          <cell r="Y1069" t="str">
            <v xml:space="preserve"> </v>
          </cell>
          <cell r="Z1069" t="str">
            <v xml:space="preserve"> </v>
          </cell>
        </row>
        <row r="1070">
          <cell r="B1070" t="str">
            <v>L45</v>
          </cell>
          <cell r="F1070">
            <v>6</v>
          </cell>
          <cell r="G1070">
            <v>180700</v>
          </cell>
          <cell r="K1070">
            <v>0</v>
          </cell>
          <cell r="M1070" t="str">
            <v>AME</v>
          </cell>
          <cell r="N1070" t="str">
            <v>Resource</v>
          </cell>
          <cell r="Q1070" t="str">
            <v>no</v>
          </cell>
          <cell r="X1070" t="str">
            <v xml:space="preserve"> </v>
          </cell>
          <cell r="Y1070" t="str">
            <v xml:space="preserve"> </v>
          </cell>
          <cell r="Z1070" t="str">
            <v xml:space="preserve"> </v>
          </cell>
        </row>
        <row r="1071">
          <cell r="B1071" t="str">
            <v>L45</v>
          </cell>
          <cell r="F1071">
            <v>5</v>
          </cell>
          <cell r="G1071">
            <v>180700</v>
          </cell>
          <cell r="K1071">
            <v>0</v>
          </cell>
          <cell r="M1071" t="str">
            <v>AME</v>
          </cell>
          <cell r="N1071" t="str">
            <v>Resource</v>
          </cell>
          <cell r="Q1071" t="str">
            <v>no</v>
          </cell>
          <cell r="X1071">
            <v>-1334674</v>
          </cell>
          <cell r="Y1071">
            <v>-1528479</v>
          </cell>
          <cell r="Z1071">
            <v>-1740748</v>
          </cell>
        </row>
        <row r="1072">
          <cell r="B1072" t="str">
            <v>L45</v>
          </cell>
          <cell r="F1072">
            <v>6</v>
          </cell>
          <cell r="G1072">
            <v>180700</v>
          </cell>
          <cell r="K1072">
            <v>0</v>
          </cell>
          <cell r="M1072" t="str">
            <v>AME</v>
          </cell>
          <cell r="N1072" t="str">
            <v>Resource</v>
          </cell>
          <cell r="Q1072" t="str">
            <v>no</v>
          </cell>
          <cell r="X1072">
            <v>-1339797</v>
          </cell>
          <cell r="Y1072">
            <v>-1483584</v>
          </cell>
          <cell r="Z1072">
            <v>-1641604</v>
          </cell>
        </row>
        <row r="1073">
          <cell r="B1073" t="str">
            <v>D40</v>
          </cell>
          <cell r="F1073">
            <v>12</v>
          </cell>
          <cell r="G1073">
            <v>180702</v>
          </cell>
          <cell r="K1073">
            <v>0</v>
          </cell>
          <cell r="M1073" t="str">
            <v>AME</v>
          </cell>
          <cell r="N1073" t="str">
            <v>Resource</v>
          </cell>
          <cell r="Q1073" t="str">
            <v>yes</v>
          </cell>
          <cell r="X1073" t="str">
            <v xml:space="preserve"> </v>
          </cell>
          <cell r="Y1073">
            <v>70000</v>
          </cell>
          <cell r="Z1073">
            <v>70000</v>
          </cell>
        </row>
        <row r="1074">
          <cell r="B1074" t="str">
            <v>D40</v>
          </cell>
          <cell r="F1074">
            <v>12</v>
          </cell>
          <cell r="G1074">
            <v>180702</v>
          </cell>
          <cell r="K1074">
            <v>0</v>
          </cell>
          <cell r="M1074" t="str">
            <v>AME</v>
          </cell>
          <cell r="N1074" t="str">
            <v>Resource</v>
          </cell>
          <cell r="Q1074" t="str">
            <v>yes</v>
          </cell>
          <cell r="X1074" t="str">
            <v xml:space="preserve"> </v>
          </cell>
          <cell r="Y1074">
            <v>-70000</v>
          </cell>
          <cell r="Z1074">
            <v>-70000</v>
          </cell>
        </row>
        <row r="1075">
          <cell r="B1075" t="str">
            <v>E15</v>
          </cell>
          <cell r="F1075">
            <v>9</v>
          </cell>
          <cell r="G1075">
            <v>110101</v>
          </cell>
          <cell r="K1075">
            <v>0</v>
          </cell>
          <cell r="M1075" t="str">
            <v>DEL</v>
          </cell>
          <cell r="N1075" t="str">
            <v>Capital</v>
          </cell>
          <cell r="Q1075" t="str">
            <v>no</v>
          </cell>
          <cell r="X1075" t="str">
            <v xml:space="preserve"> </v>
          </cell>
          <cell r="Y1075" t="str">
            <v xml:space="preserve"> </v>
          </cell>
          <cell r="Z1075" t="str">
            <v xml:space="preserve"> </v>
          </cell>
        </row>
        <row r="1076">
          <cell r="B1076" t="str">
            <v>D40</v>
          </cell>
          <cell r="F1076">
            <v>12</v>
          </cell>
          <cell r="G1076">
            <v>180702</v>
          </cell>
          <cell r="K1076">
            <v>0</v>
          </cell>
          <cell r="M1076" t="str">
            <v>AME</v>
          </cell>
          <cell r="N1076" t="str">
            <v>Resource</v>
          </cell>
          <cell r="Q1076" t="str">
            <v>yes</v>
          </cell>
          <cell r="X1076" t="str">
            <v xml:space="preserve"> </v>
          </cell>
          <cell r="Y1076" t="str">
            <v xml:space="preserve"> </v>
          </cell>
          <cell r="Z1076" t="str">
            <v xml:space="preserve"> </v>
          </cell>
        </row>
        <row r="1077">
          <cell r="B1077" t="str">
            <v>E15</v>
          </cell>
          <cell r="F1077">
            <v>9</v>
          </cell>
          <cell r="G1077">
            <v>110201</v>
          </cell>
          <cell r="K1077" t="str">
            <v>PSS</v>
          </cell>
          <cell r="M1077" t="str">
            <v>DEL</v>
          </cell>
          <cell r="N1077" t="str">
            <v>Capital</v>
          </cell>
          <cell r="Q1077" t="str">
            <v>no</v>
          </cell>
          <cell r="X1077" t="str">
            <v xml:space="preserve"> </v>
          </cell>
          <cell r="Y1077" t="str">
            <v xml:space="preserve"> </v>
          </cell>
          <cell r="Z1077" t="str">
            <v xml:space="preserve"> </v>
          </cell>
        </row>
        <row r="1078">
          <cell r="B1078" t="str">
            <v>E15</v>
          </cell>
          <cell r="F1078">
            <v>9</v>
          </cell>
          <cell r="G1078">
            <v>110201</v>
          </cell>
          <cell r="K1078" t="str">
            <v>PSS</v>
          </cell>
          <cell r="M1078" t="str">
            <v>DEL</v>
          </cell>
          <cell r="N1078" t="str">
            <v>Capital</v>
          </cell>
          <cell r="Q1078" t="str">
            <v>no</v>
          </cell>
          <cell r="X1078" t="str">
            <v xml:space="preserve"> </v>
          </cell>
          <cell r="Y1078" t="str">
            <v xml:space="preserve"> </v>
          </cell>
          <cell r="Z1078" t="str">
            <v xml:space="preserve"> </v>
          </cell>
        </row>
        <row r="1079">
          <cell r="B1079" t="str">
            <v>D40</v>
          </cell>
          <cell r="F1079">
            <v>12</v>
          </cell>
          <cell r="G1079">
            <v>180702</v>
          </cell>
          <cell r="K1079">
            <v>0</v>
          </cell>
          <cell r="M1079" t="str">
            <v>AME</v>
          </cell>
          <cell r="N1079" t="str">
            <v>Resource</v>
          </cell>
          <cell r="Q1079" t="str">
            <v>yes</v>
          </cell>
          <cell r="X1079" t="str">
            <v xml:space="preserve"> </v>
          </cell>
          <cell r="Y1079" t="str">
            <v xml:space="preserve"> </v>
          </cell>
          <cell r="Z1079" t="str">
            <v xml:space="preserve"> </v>
          </cell>
        </row>
        <row r="1080">
          <cell r="B1080" t="str">
            <v>D40</v>
          </cell>
          <cell r="F1080">
            <v>12</v>
          </cell>
          <cell r="G1080">
            <v>180702</v>
          </cell>
          <cell r="K1080">
            <v>0</v>
          </cell>
          <cell r="M1080" t="str">
            <v>AME</v>
          </cell>
          <cell r="N1080" t="str">
            <v>Resource</v>
          </cell>
          <cell r="Q1080" t="str">
            <v>yes</v>
          </cell>
          <cell r="X1080" t="str">
            <v xml:space="preserve"> </v>
          </cell>
          <cell r="Y1080" t="str">
            <v xml:space="preserve"> </v>
          </cell>
          <cell r="Z1080" t="str">
            <v xml:space="preserve"> </v>
          </cell>
        </row>
        <row r="1081">
          <cell r="B1081" t="str">
            <v>D40</v>
          </cell>
          <cell r="F1081">
            <v>12</v>
          </cell>
          <cell r="G1081">
            <v>180702</v>
          </cell>
          <cell r="K1081">
            <v>0</v>
          </cell>
          <cell r="M1081" t="str">
            <v>AME</v>
          </cell>
          <cell r="N1081" t="str">
            <v>Resource</v>
          </cell>
          <cell r="Q1081" t="str">
            <v>yes</v>
          </cell>
          <cell r="X1081" t="str">
            <v xml:space="preserve"> </v>
          </cell>
          <cell r="Y1081" t="str">
            <v xml:space="preserve"> </v>
          </cell>
          <cell r="Z1081" t="str">
            <v xml:space="preserve"> </v>
          </cell>
        </row>
        <row r="1082">
          <cell r="B1082" t="str">
            <v>D90</v>
          </cell>
          <cell r="F1082">
            <v>1</v>
          </cell>
          <cell r="G1082">
            <v>110111</v>
          </cell>
          <cell r="K1082">
            <v>0</v>
          </cell>
          <cell r="M1082" t="str">
            <v>DEL</v>
          </cell>
          <cell r="N1082" t="str">
            <v>Resource</v>
          </cell>
          <cell r="Q1082" t="str">
            <v>yes</v>
          </cell>
          <cell r="X1082">
            <v>500000</v>
          </cell>
          <cell r="Y1082" t="str">
            <v xml:space="preserve"> </v>
          </cell>
          <cell r="Z1082" t="str">
            <v xml:space="preserve"> </v>
          </cell>
        </row>
        <row r="1083">
          <cell r="B1083" t="str">
            <v>D90</v>
          </cell>
          <cell r="F1083">
            <v>6</v>
          </cell>
          <cell r="G1083">
            <v>110111</v>
          </cell>
          <cell r="K1083">
            <v>0</v>
          </cell>
          <cell r="M1083" t="str">
            <v>DEL</v>
          </cell>
          <cell r="N1083" t="str">
            <v>Resource</v>
          </cell>
          <cell r="Q1083" t="str">
            <v>yes</v>
          </cell>
          <cell r="X1083">
            <v>-200000</v>
          </cell>
          <cell r="Y1083" t="str">
            <v xml:space="preserve"> </v>
          </cell>
          <cell r="Z1083" t="str">
            <v xml:space="preserve"> </v>
          </cell>
        </row>
        <row r="1084">
          <cell r="B1084" t="str">
            <v>D90</v>
          </cell>
          <cell r="F1084">
            <v>6</v>
          </cell>
          <cell r="G1084">
            <v>110111</v>
          </cell>
          <cell r="K1084">
            <v>0</v>
          </cell>
          <cell r="M1084" t="str">
            <v>DEL</v>
          </cell>
          <cell r="N1084" t="str">
            <v>Resource</v>
          </cell>
          <cell r="Q1084" t="str">
            <v>yes</v>
          </cell>
          <cell r="X1084" t="str">
            <v xml:space="preserve"> </v>
          </cell>
          <cell r="Y1084" t="str">
            <v xml:space="preserve"> </v>
          </cell>
          <cell r="Z1084" t="str">
            <v xml:space="preserve"> </v>
          </cell>
        </row>
        <row r="1085">
          <cell r="B1085" t="str">
            <v>E15</v>
          </cell>
          <cell r="F1085">
            <v>3</v>
          </cell>
          <cell r="G1085">
            <v>110202</v>
          </cell>
          <cell r="K1085" t="str">
            <v>PSS</v>
          </cell>
          <cell r="M1085" t="str">
            <v>non-budget</v>
          </cell>
          <cell r="N1085" t="str">
            <v>non-budget</v>
          </cell>
          <cell r="Q1085" t="str">
            <v>no</v>
          </cell>
          <cell r="X1085" t="str">
            <v xml:space="preserve"> </v>
          </cell>
          <cell r="Y1085" t="str">
            <v xml:space="preserve"> </v>
          </cell>
          <cell r="Z1085" t="str">
            <v xml:space="preserve"> </v>
          </cell>
        </row>
        <row r="1086">
          <cell r="B1086" t="str">
            <v>D90</v>
          </cell>
          <cell r="F1086">
            <v>2</v>
          </cell>
          <cell r="G1086">
            <v>110111</v>
          </cell>
          <cell r="K1086">
            <v>0</v>
          </cell>
          <cell r="M1086" t="str">
            <v>DEL</v>
          </cell>
          <cell r="N1086" t="str">
            <v>Resource</v>
          </cell>
          <cell r="Q1086" t="str">
            <v>yes</v>
          </cell>
          <cell r="X1086" t="str">
            <v xml:space="preserve"> </v>
          </cell>
          <cell r="Y1086">
            <v>500000</v>
          </cell>
          <cell r="Z1086">
            <v>500000</v>
          </cell>
        </row>
        <row r="1087">
          <cell r="B1087" t="str">
            <v>E15</v>
          </cell>
          <cell r="F1087">
            <v>3</v>
          </cell>
          <cell r="G1087">
            <v>110203</v>
          </cell>
          <cell r="K1087" t="str">
            <v>PSS</v>
          </cell>
          <cell r="M1087" t="str">
            <v>non-budget</v>
          </cell>
          <cell r="N1087" t="str">
            <v>non-budget</v>
          </cell>
          <cell r="Q1087" t="str">
            <v>no</v>
          </cell>
          <cell r="X1087" t="str">
            <v xml:space="preserve"> </v>
          </cell>
          <cell r="Y1087" t="str">
            <v xml:space="preserve"> </v>
          </cell>
          <cell r="Z1087" t="str">
            <v xml:space="preserve"> </v>
          </cell>
        </row>
        <row r="1088">
          <cell r="B1088" t="str">
            <v>E15</v>
          </cell>
          <cell r="F1088">
            <v>9</v>
          </cell>
          <cell r="G1088">
            <v>110306</v>
          </cell>
          <cell r="K1088">
            <v>0</v>
          </cell>
          <cell r="M1088" t="str">
            <v>DEL</v>
          </cell>
          <cell r="N1088" t="str">
            <v>Capital</v>
          </cell>
          <cell r="Q1088" t="str">
            <v>no</v>
          </cell>
          <cell r="X1088" t="str">
            <v xml:space="preserve"> </v>
          </cell>
          <cell r="Y1088" t="str">
            <v xml:space="preserve"> </v>
          </cell>
          <cell r="Z1088" t="str">
            <v xml:space="preserve"> </v>
          </cell>
        </row>
        <row r="1089">
          <cell r="B1089" t="str">
            <v>D90</v>
          </cell>
          <cell r="F1089">
            <v>12</v>
          </cell>
          <cell r="G1089">
            <v>110111</v>
          </cell>
          <cell r="K1089">
            <v>0</v>
          </cell>
          <cell r="M1089" t="str">
            <v>DEL</v>
          </cell>
          <cell r="N1089" t="str">
            <v>Resource</v>
          </cell>
          <cell r="Q1089" t="str">
            <v>yes</v>
          </cell>
          <cell r="X1089">
            <v>-200000</v>
          </cell>
          <cell r="Y1089" t="str">
            <v xml:space="preserve"> </v>
          </cell>
          <cell r="Z1089" t="str">
            <v xml:space="preserve"> </v>
          </cell>
        </row>
        <row r="1090">
          <cell r="B1090" t="str">
            <v>D90</v>
          </cell>
          <cell r="F1090">
            <v>1</v>
          </cell>
          <cell r="G1090">
            <v>110401</v>
          </cell>
          <cell r="K1090">
            <v>0</v>
          </cell>
          <cell r="M1090" t="str">
            <v>DEL</v>
          </cell>
          <cell r="N1090" t="str">
            <v>Resource</v>
          </cell>
          <cell r="Q1090" t="str">
            <v>yes</v>
          </cell>
          <cell r="X1090">
            <v>3012</v>
          </cell>
          <cell r="Y1090" t="str">
            <v xml:space="preserve"> </v>
          </cell>
          <cell r="Z1090" t="str">
            <v xml:space="preserve"> </v>
          </cell>
        </row>
        <row r="1091">
          <cell r="B1091" t="str">
            <v>D90</v>
          </cell>
          <cell r="F1091">
            <v>6</v>
          </cell>
          <cell r="G1091">
            <v>110401</v>
          </cell>
          <cell r="K1091">
            <v>0</v>
          </cell>
          <cell r="M1091" t="str">
            <v>DEL</v>
          </cell>
          <cell r="N1091" t="str">
            <v>Resource</v>
          </cell>
          <cell r="Q1091" t="str">
            <v>yes</v>
          </cell>
          <cell r="X1091" t="str">
            <v xml:space="preserve"> </v>
          </cell>
          <cell r="Y1091" t="str">
            <v xml:space="preserve"> </v>
          </cell>
          <cell r="Z1091" t="str">
            <v xml:space="preserve"> </v>
          </cell>
        </row>
        <row r="1092">
          <cell r="B1092" t="str">
            <v>D90</v>
          </cell>
          <cell r="F1092">
            <v>6</v>
          </cell>
          <cell r="G1092">
            <v>110401</v>
          </cell>
          <cell r="K1092">
            <v>0</v>
          </cell>
          <cell r="M1092" t="str">
            <v>DEL</v>
          </cell>
          <cell r="N1092" t="str">
            <v>Resource</v>
          </cell>
          <cell r="Q1092" t="str">
            <v>yes</v>
          </cell>
          <cell r="X1092">
            <v>-3012</v>
          </cell>
          <cell r="Y1092" t="str">
            <v xml:space="preserve"> </v>
          </cell>
          <cell r="Z1092" t="str">
            <v xml:space="preserve"> </v>
          </cell>
        </row>
        <row r="1093">
          <cell r="B1093" t="str">
            <v>D90</v>
          </cell>
          <cell r="F1093">
            <v>2</v>
          </cell>
          <cell r="G1093">
            <v>110401</v>
          </cell>
          <cell r="K1093">
            <v>0</v>
          </cell>
          <cell r="M1093" t="str">
            <v>DEL</v>
          </cell>
          <cell r="N1093" t="str">
            <v>Resource</v>
          </cell>
          <cell r="Q1093" t="str">
            <v>yes</v>
          </cell>
          <cell r="X1093" t="str">
            <v xml:space="preserve"> </v>
          </cell>
          <cell r="Y1093">
            <v>3012</v>
          </cell>
          <cell r="Z1093">
            <v>3012</v>
          </cell>
        </row>
        <row r="1094">
          <cell r="B1094" t="str">
            <v>E05</v>
          </cell>
          <cell r="F1094">
            <v>12</v>
          </cell>
          <cell r="G1094">
            <v>110701</v>
          </cell>
          <cell r="K1094">
            <v>0</v>
          </cell>
          <cell r="M1094" t="str">
            <v>DEL</v>
          </cell>
          <cell r="N1094" t="str">
            <v>Capital</v>
          </cell>
          <cell r="Q1094" t="str">
            <v>no</v>
          </cell>
          <cell r="X1094" t="str">
            <v xml:space="preserve"> </v>
          </cell>
          <cell r="Y1094" t="str">
            <v xml:space="preserve"> </v>
          </cell>
          <cell r="Z1094" t="str">
            <v xml:space="preserve"> </v>
          </cell>
        </row>
        <row r="1095">
          <cell r="B1095" t="str">
            <v>E05</v>
          </cell>
          <cell r="F1095">
            <v>12</v>
          </cell>
          <cell r="G1095">
            <v>110701</v>
          </cell>
          <cell r="K1095">
            <v>0</v>
          </cell>
          <cell r="M1095" t="str">
            <v>DEL</v>
          </cell>
          <cell r="N1095" t="str">
            <v>Capital</v>
          </cell>
          <cell r="Q1095" t="str">
            <v>no</v>
          </cell>
          <cell r="X1095">
            <v>593945</v>
          </cell>
          <cell r="Y1095" t="str">
            <v xml:space="preserve"> </v>
          </cell>
          <cell r="Z1095" t="str">
            <v xml:space="preserve"> </v>
          </cell>
          <cell r="AA1095" t="str">
            <v>R</v>
          </cell>
        </row>
        <row r="1096">
          <cell r="B1096" t="str">
            <v>E15</v>
          </cell>
          <cell r="F1096">
            <v>9</v>
          </cell>
          <cell r="G1096">
            <v>110306</v>
          </cell>
          <cell r="K1096">
            <v>0</v>
          </cell>
          <cell r="M1096" t="str">
            <v>DEL</v>
          </cell>
          <cell r="N1096" t="str">
            <v>Capital</v>
          </cell>
          <cell r="Q1096" t="str">
            <v>no</v>
          </cell>
          <cell r="X1096" t="str">
            <v xml:space="preserve"> </v>
          </cell>
          <cell r="Y1096" t="str">
            <v xml:space="preserve"> </v>
          </cell>
          <cell r="Z1096" t="str">
            <v xml:space="preserve"> </v>
          </cell>
        </row>
        <row r="1097">
          <cell r="B1097" t="str">
            <v>K40</v>
          </cell>
          <cell r="F1097">
            <v>12</v>
          </cell>
          <cell r="G1097">
            <v>110402</v>
          </cell>
          <cell r="K1097">
            <v>0</v>
          </cell>
          <cell r="M1097" t="str">
            <v>DEL</v>
          </cell>
          <cell r="N1097" t="str">
            <v>Resource</v>
          </cell>
          <cell r="Q1097" t="str">
            <v>yes</v>
          </cell>
          <cell r="X1097" t="str">
            <v xml:space="preserve"> </v>
          </cell>
          <cell r="Y1097" t="str">
            <v xml:space="preserve"> </v>
          </cell>
          <cell r="Z1097" t="str">
            <v xml:space="preserve"> </v>
          </cell>
        </row>
        <row r="1098">
          <cell r="B1098" t="str">
            <v>K40</v>
          </cell>
          <cell r="F1098">
            <v>1</v>
          </cell>
          <cell r="G1098">
            <v>110402</v>
          </cell>
          <cell r="K1098">
            <v>0</v>
          </cell>
          <cell r="M1098" t="str">
            <v>DEL</v>
          </cell>
          <cell r="N1098" t="str">
            <v>Resource</v>
          </cell>
          <cell r="Q1098" t="str">
            <v>yes</v>
          </cell>
          <cell r="X1098">
            <v>-13</v>
          </cell>
          <cell r="Y1098" t="str">
            <v xml:space="preserve"> </v>
          </cell>
          <cell r="Z1098" t="str">
            <v xml:space="preserve"> </v>
          </cell>
        </row>
        <row r="1099">
          <cell r="B1099" t="str">
            <v>K40</v>
          </cell>
          <cell r="F1099">
            <v>1</v>
          </cell>
          <cell r="G1099">
            <v>110403</v>
          </cell>
          <cell r="K1099">
            <v>0</v>
          </cell>
          <cell r="M1099" t="str">
            <v>DEL</v>
          </cell>
          <cell r="N1099" t="str">
            <v>Resource</v>
          </cell>
          <cell r="Q1099" t="str">
            <v>yes</v>
          </cell>
          <cell r="X1099" t="str">
            <v xml:space="preserve"> </v>
          </cell>
          <cell r="Y1099" t="str">
            <v xml:space="preserve"> </v>
          </cell>
          <cell r="Z1099" t="str">
            <v xml:space="preserve"> </v>
          </cell>
        </row>
        <row r="1100">
          <cell r="B1100" t="str">
            <v>K40</v>
          </cell>
          <cell r="F1100">
            <v>12</v>
          </cell>
          <cell r="G1100">
            <v>110701</v>
          </cell>
          <cell r="K1100">
            <v>0</v>
          </cell>
          <cell r="M1100" t="str">
            <v>non-budget</v>
          </cell>
          <cell r="N1100" t="str">
            <v>non-budget</v>
          </cell>
          <cell r="Q1100" t="str">
            <v>yes</v>
          </cell>
          <cell r="X1100">
            <v>-420</v>
          </cell>
          <cell r="Y1100" t="str">
            <v xml:space="preserve"> </v>
          </cell>
          <cell r="Z1100" t="str">
            <v xml:space="preserve"> </v>
          </cell>
        </row>
        <row r="1101">
          <cell r="B1101" t="str">
            <v>K40</v>
          </cell>
          <cell r="F1101">
            <v>1</v>
          </cell>
          <cell r="G1101">
            <v>110701</v>
          </cell>
          <cell r="K1101">
            <v>0</v>
          </cell>
          <cell r="M1101" t="str">
            <v>non-budget</v>
          </cell>
          <cell r="N1101" t="str">
            <v>non-budget</v>
          </cell>
          <cell r="Q1101" t="str">
            <v>yes</v>
          </cell>
          <cell r="X1101">
            <v>-919696</v>
          </cell>
          <cell r="Y1101" t="str">
            <v xml:space="preserve"> </v>
          </cell>
          <cell r="Z1101" t="str">
            <v xml:space="preserve"> </v>
          </cell>
        </row>
        <row r="1102">
          <cell r="B1102" t="str">
            <v>G20</v>
          </cell>
          <cell r="F1102">
            <v>3</v>
          </cell>
          <cell r="G1102">
            <v>110101</v>
          </cell>
          <cell r="K1102">
            <v>0</v>
          </cell>
          <cell r="M1102" t="str">
            <v>DEL</v>
          </cell>
          <cell r="N1102" t="str">
            <v>Resource</v>
          </cell>
          <cell r="Q1102" t="str">
            <v>no</v>
          </cell>
          <cell r="X1102">
            <v>126000</v>
          </cell>
          <cell r="Y1102" t="str">
            <v xml:space="preserve"> </v>
          </cell>
          <cell r="Z1102" t="str">
            <v xml:space="preserve"> </v>
          </cell>
        </row>
        <row r="1103">
          <cell r="B1103" t="str">
            <v>K40</v>
          </cell>
          <cell r="F1103">
            <v>6</v>
          </cell>
          <cell r="G1103">
            <v>110701</v>
          </cell>
          <cell r="K1103">
            <v>0</v>
          </cell>
          <cell r="M1103" t="str">
            <v>non-budget</v>
          </cell>
          <cell r="N1103" t="str">
            <v>non-budget</v>
          </cell>
          <cell r="Q1103" t="str">
            <v>yes</v>
          </cell>
          <cell r="X1103">
            <v>-138496</v>
          </cell>
          <cell r="Y1103">
            <v>-138496</v>
          </cell>
          <cell r="Z1103">
            <v>-138496</v>
          </cell>
        </row>
        <row r="1104">
          <cell r="B1104" t="str">
            <v>K40</v>
          </cell>
          <cell r="F1104">
            <v>6</v>
          </cell>
          <cell r="G1104">
            <v>110701</v>
          </cell>
          <cell r="K1104">
            <v>0</v>
          </cell>
          <cell r="M1104" t="str">
            <v>non-budget</v>
          </cell>
          <cell r="N1104" t="str">
            <v>non-budget</v>
          </cell>
          <cell r="Q1104" t="str">
            <v>yes</v>
          </cell>
          <cell r="X1104" t="str">
            <v xml:space="preserve"> </v>
          </cell>
          <cell r="Y1104">
            <v>-919696</v>
          </cell>
          <cell r="Z1104">
            <v>-919696</v>
          </cell>
        </row>
        <row r="1105">
          <cell r="B1105" t="str">
            <v>K40</v>
          </cell>
          <cell r="F1105">
            <v>4</v>
          </cell>
          <cell r="G1105">
            <v>110701</v>
          </cell>
          <cell r="K1105">
            <v>0</v>
          </cell>
          <cell r="M1105" t="str">
            <v>non-budget</v>
          </cell>
          <cell r="N1105" t="str">
            <v>non-budget</v>
          </cell>
          <cell r="Q1105" t="str">
            <v>yes</v>
          </cell>
          <cell r="X1105" t="str">
            <v xml:space="preserve"> </v>
          </cell>
          <cell r="Y1105" t="str">
            <v xml:space="preserve"> </v>
          </cell>
          <cell r="Z1105" t="str">
            <v xml:space="preserve"> </v>
          </cell>
        </row>
        <row r="1106">
          <cell r="B1106" t="str">
            <v>K40</v>
          </cell>
          <cell r="F1106">
            <v>8</v>
          </cell>
          <cell r="G1106">
            <v>110701</v>
          </cell>
          <cell r="K1106">
            <v>0</v>
          </cell>
          <cell r="M1106" t="str">
            <v>non-budget</v>
          </cell>
          <cell r="N1106" t="str">
            <v>non-budget</v>
          </cell>
          <cell r="Q1106" t="str">
            <v>yes</v>
          </cell>
          <cell r="X1106" t="str">
            <v xml:space="preserve"> </v>
          </cell>
          <cell r="Y1106" t="str">
            <v xml:space="preserve"> </v>
          </cell>
          <cell r="Z1106" t="str">
            <v xml:space="preserve"> </v>
          </cell>
        </row>
        <row r="1107">
          <cell r="B1107" t="str">
            <v>M10</v>
          </cell>
          <cell r="F1107">
            <v>1</v>
          </cell>
          <cell r="G1107">
            <v>110101</v>
          </cell>
          <cell r="K1107">
            <v>0</v>
          </cell>
          <cell r="M1107" t="str">
            <v>DEL</v>
          </cell>
          <cell r="N1107" t="str">
            <v>Resource</v>
          </cell>
          <cell r="Q1107" t="str">
            <v>yes</v>
          </cell>
          <cell r="X1107">
            <v>448788</v>
          </cell>
          <cell r="Y1107" t="str">
            <v xml:space="preserve"> </v>
          </cell>
          <cell r="Z1107" t="str">
            <v xml:space="preserve"> </v>
          </cell>
        </row>
        <row r="1108">
          <cell r="B1108" t="str">
            <v>M10</v>
          </cell>
          <cell r="F1108">
            <v>6</v>
          </cell>
          <cell r="G1108">
            <v>110101</v>
          </cell>
          <cell r="K1108">
            <v>0</v>
          </cell>
          <cell r="M1108" t="str">
            <v>DEL</v>
          </cell>
          <cell r="N1108" t="str">
            <v>Resource</v>
          </cell>
          <cell r="Q1108" t="str">
            <v>yes</v>
          </cell>
          <cell r="X1108">
            <v>-100000</v>
          </cell>
          <cell r="Y1108">
            <v>-100000</v>
          </cell>
          <cell r="Z1108">
            <v>-100000</v>
          </cell>
        </row>
        <row r="1109">
          <cell r="B1109" t="str">
            <v>M10</v>
          </cell>
          <cell r="F1109">
            <v>4</v>
          </cell>
          <cell r="G1109">
            <v>110101</v>
          </cell>
          <cell r="K1109">
            <v>0</v>
          </cell>
          <cell r="M1109" t="str">
            <v>DEL</v>
          </cell>
          <cell r="N1109" t="str">
            <v>Resource</v>
          </cell>
          <cell r="Q1109" t="str">
            <v>yes</v>
          </cell>
          <cell r="X1109" t="str">
            <v xml:space="preserve"> </v>
          </cell>
          <cell r="Y1109" t="str">
            <v xml:space="preserve"> </v>
          </cell>
          <cell r="Z1109" t="str">
            <v xml:space="preserve"> </v>
          </cell>
        </row>
        <row r="1110">
          <cell r="B1110" t="str">
            <v>M10</v>
          </cell>
          <cell r="F1110">
            <v>2</v>
          </cell>
          <cell r="G1110">
            <v>110101</v>
          </cell>
          <cell r="K1110">
            <v>0</v>
          </cell>
          <cell r="M1110" t="str">
            <v>DEL</v>
          </cell>
          <cell r="N1110" t="str">
            <v>Resource</v>
          </cell>
          <cell r="Q1110" t="str">
            <v>yes</v>
          </cell>
          <cell r="X1110" t="str">
            <v xml:space="preserve"> </v>
          </cell>
          <cell r="Y1110">
            <v>448788</v>
          </cell>
          <cell r="Z1110">
            <v>448788</v>
          </cell>
        </row>
        <row r="1111">
          <cell r="B1111" t="str">
            <v>M10</v>
          </cell>
          <cell r="F1111">
            <v>6</v>
          </cell>
          <cell r="G1111">
            <v>110101</v>
          </cell>
          <cell r="K1111">
            <v>0</v>
          </cell>
          <cell r="M1111" t="str">
            <v>DEL</v>
          </cell>
          <cell r="N1111" t="str">
            <v>Resource</v>
          </cell>
          <cell r="Q1111" t="str">
            <v>yes</v>
          </cell>
          <cell r="X1111" t="str">
            <v xml:space="preserve"> </v>
          </cell>
          <cell r="Y1111" t="str">
            <v xml:space="preserve"> </v>
          </cell>
          <cell r="Z1111" t="str">
            <v xml:space="preserve"> </v>
          </cell>
        </row>
        <row r="1112">
          <cell r="B1112" t="str">
            <v>L45</v>
          </cell>
          <cell r="F1112">
            <v>6</v>
          </cell>
          <cell r="G1112">
            <v>180700</v>
          </cell>
          <cell r="K1112">
            <v>0</v>
          </cell>
          <cell r="M1112" t="str">
            <v>AME</v>
          </cell>
          <cell r="N1112" t="str">
            <v>Resource</v>
          </cell>
          <cell r="Q1112" t="str">
            <v>no</v>
          </cell>
          <cell r="X1112" t="str">
            <v xml:space="preserve"> </v>
          </cell>
          <cell r="Y1112" t="str">
            <v xml:space="preserve"> </v>
          </cell>
          <cell r="Z1112" t="str">
            <v xml:space="preserve"> </v>
          </cell>
        </row>
        <row r="1113">
          <cell r="B1113" t="str">
            <v>E15</v>
          </cell>
          <cell r="F1113">
            <v>9</v>
          </cell>
          <cell r="G1113">
            <v>110202</v>
          </cell>
          <cell r="K1113" t="str">
            <v>PSS</v>
          </cell>
          <cell r="M1113" t="str">
            <v>non-budget</v>
          </cell>
          <cell r="N1113" t="str">
            <v>non-budget</v>
          </cell>
          <cell r="Q1113" t="str">
            <v>no</v>
          </cell>
          <cell r="X1113" t="str">
            <v xml:space="preserve"> </v>
          </cell>
          <cell r="Y1113" t="str">
            <v xml:space="preserve"> </v>
          </cell>
          <cell r="Z1113" t="str">
            <v xml:space="preserve"> </v>
          </cell>
        </row>
        <row r="1114">
          <cell r="B1114" t="str">
            <v>L45</v>
          </cell>
          <cell r="F1114">
            <v>6</v>
          </cell>
          <cell r="G1114">
            <v>180700</v>
          </cell>
          <cell r="K1114">
            <v>0</v>
          </cell>
          <cell r="M1114" t="str">
            <v>AME</v>
          </cell>
          <cell r="N1114" t="str">
            <v>Resource</v>
          </cell>
          <cell r="Q1114" t="str">
            <v>no</v>
          </cell>
          <cell r="X1114" t="str">
            <v xml:space="preserve"> </v>
          </cell>
          <cell r="Y1114" t="str">
            <v xml:space="preserve"> </v>
          </cell>
          <cell r="Z1114" t="str">
            <v xml:space="preserve"> </v>
          </cell>
        </row>
        <row r="1115">
          <cell r="B1115" t="str">
            <v>L45</v>
          </cell>
          <cell r="F1115">
            <v>12</v>
          </cell>
          <cell r="G1115">
            <v>180700</v>
          </cell>
          <cell r="K1115">
            <v>0</v>
          </cell>
          <cell r="M1115" t="str">
            <v>AME</v>
          </cell>
          <cell r="N1115" t="str">
            <v>Resource</v>
          </cell>
          <cell r="Q1115" t="str">
            <v>no</v>
          </cell>
          <cell r="X1115" t="str">
            <v xml:space="preserve"> </v>
          </cell>
          <cell r="Y1115">
            <v>751696</v>
          </cell>
          <cell r="Z1115">
            <v>586909</v>
          </cell>
        </row>
        <row r="1116">
          <cell r="B1116" t="str">
            <v>L45</v>
          </cell>
          <cell r="F1116">
            <v>12</v>
          </cell>
          <cell r="G1116">
            <v>180700</v>
          </cell>
          <cell r="K1116">
            <v>0</v>
          </cell>
          <cell r="M1116" t="str">
            <v>AME</v>
          </cell>
          <cell r="N1116" t="str">
            <v>Resource</v>
          </cell>
          <cell r="Q1116" t="str">
            <v>no</v>
          </cell>
          <cell r="X1116" t="str">
            <v xml:space="preserve"> </v>
          </cell>
          <cell r="Y1116" t="str">
            <v xml:space="preserve"> </v>
          </cell>
          <cell r="Z1116" t="str">
            <v xml:space="preserve"> </v>
          </cell>
        </row>
        <row r="1117">
          <cell r="B1117" t="str">
            <v>H35</v>
          </cell>
          <cell r="F1117">
            <v>12</v>
          </cell>
          <cell r="G1117">
            <v>110701</v>
          </cell>
          <cell r="K1117">
            <v>0</v>
          </cell>
          <cell r="M1117" t="str">
            <v>non-budget</v>
          </cell>
          <cell r="N1117" t="str">
            <v>non-budget</v>
          </cell>
          <cell r="Q1117" t="str">
            <v>no</v>
          </cell>
          <cell r="X1117">
            <v>593945</v>
          </cell>
          <cell r="Y1117" t="str">
            <v xml:space="preserve"> </v>
          </cell>
          <cell r="Z1117" t="str">
            <v xml:space="preserve"> </v>
          </cell>
          <cell r="AA1117" t="str">
            <v>R</v>
          </cell>
        </row>
        <row r="1118">
          <cell r="B1118" t="str">
            <v>L45</v>
          </cell>
          <cell r="F1118">
            <v>5</v>
          </cell>
          <cell r="G1118">
            <v>180700</v>
          </cell>
          <cell r="K1118">
            <v>0</v>
          </cell>
          <cell r="M1118" t="str">
            <v>non-budget</v>
          </cell>
          <cell r="N1118" t="str">
            <v>non-budget</v>
          </cell>
          <cell r="Q1118" t="str">
            <v>no</v>
          </cell>
          <cell r="X1118">
            <v>16700000</v>
          </cell>
          <cell r="Y1118" t="str">
            <v xml:space="preserve"> </v>
          </cell>
          <cell r="Z1118" t="str">
            <v xml:space="preserve"> </v>
          </cell>
        </row>
        <row r="1119">
          <cell r="B1119" t="str">
            <v>L46</v>
          </cell>
          <cell r="F1119">
            <v>1</v>
          </cell>
          <cell r="G1119">
            <v>180700</v>
          </cell>
          <cell r="K1119">
            <v>0</v>
          </cell>
          <cell r="M1119" t="str">
            <v>AME</v>
          </cell>
          <cell r="N1119" t="str">
            <v>Resource</v>
          </cell>
          <cell r="Q1119" t="str">
            <v>no</v>
          </cell>
          <cell r="X1119">
            <v>-4207157</v>
          </cell>
          <cell r="Y1119" t="str">
            <v xml:space="preserve"> </v>
          </cell>
          <cell r="Z1119" t="str">
            <v xml:space="preserve"> </v>
          </cell>
        </row>
        <row r="1120">
          <cell r="B1120" t="str">
            <v>E16</v>
          </cell>
          <cell r="F1120">
            <v>9</v>
          </cell>
          <cell r="G1120">
            <v>110101</v>
          </cell>
          <cell r="K1120">
            <v>0</v>
          </cell>
          <cell r="M1120" t="str">
            <v>DEL</v>
          </cell>
          <cell r="N1120" t="str">
            <v>Capital</v>
          </cell>
          <cell r="Q1120" t="str">
            <v>no</v>
          </cell>
          <cell r="X1120" t="str">
            <v xml:space="preserve"> </v>
          </cell>
          <cell r="Y1120" t="str">
            <v xml:space="preserve"> </v>
          </cell>
          <cell r="Z1120" t="str">
            <v xml:space="preserve"> </v>
          </cell>
        </row>
        <row r="1121">
          <cell r="B1121" t="str">
            <v>H35</v>
          </cell>
          <cell r="F1121">
            <v>12</v>
          </cell>
          <cell r="G1121">
            <v>110701</v>
          </cell>
          <cell r="K1121">
            <v>0</v>
          </cell>
          <cell r="M1121" t="str">
            <v>non-budget</v>
          </cell>
          <cell r="N1121" t="str">
            <v>non-budget</v>
          </cell>
          <cell r="Q1121" t="str">
            <v>no</v>
          </cell>
          <cell r="X1121" t="str">
            <v xml:space="preserve"> </v>
          </cell>
          <cell r="Y1121" t="str">
            <v xml:space="preserve"> </v>
          </cell>
          <cell r="Z1121" t="str">
            <v xml:space="preserve"> </v>
          </cell>
        </row>
        <row r="1122">
          <cell r="B1122" t="str">
            <v>L46</v>
          </cell>
          <cell r="F1122">
            <v>2</v>
          </cell>
          <cell r="G1122">
            <v>180700</v>
          </cell>
          <cell r="K1122">
            <v>0</v>
          </cell>
          <cell r="M1122" t="str">
            <v>AME</v>
          </cell>
          <cell r="N1122" t="str">
            <v>Resource</v>
          </cell>
          <cell r="Q1122" t="str">
            <v>no</v>
          </cell>
          <cell r="X1122">
            <v>61899</v>
          </cell>
          <cell r="Y1122">
            <v>-4518331</v>
          </cell>
          <cell r="Z1122">
            <v>-4924981</v>
          </cell>
        </row>
        <row r="1123">
          <cell r="B1123" t="str">
            <v>L46</v>
          </cell>
          <cell r="F1123">
            <v>5</v>
          </cell>
          <cell r="G1123">
            <v>180700</v>
          </cell>
          <cell r="K1123">
            <v>0</v>
          </cell>
          <cell r="M1123" t="str">
            <v>AME</v>
          </cell>
          <cell r="N1123" t="str">
            <v>Resource</v>
          </cell>
          <cell r="Q1123" t="str">
            <v>no</v>
          </cell>
          <cell r="X1123" t="str">
            <v xml:space="preserve"> </v>
          </cell>
          <cell r="Y1123" t="str">
            <v xml:space="preserve"> </v>
          </cell>
          <cell r="Z1123" t="str">
            <v xml:space="preserve"> </v>
          </cell>
        </row>
        <row r="1124">
          <cell r="B1124" t="str">
            <v>L46</v>
          </cell>
          <cell r="F1124">
            <v>5</v>
          </cell>
          <cell r="G1124">
            <v>180700</v>
          </cell>
          <cell r="K1124">
            <v>0</v>
          </cell>
          <cell r="M1124" t="str">
            <v>AME</v>
          </cell>
          <cell r="N1124" t="str">
            <v>Resource</v>
          </cell>
          <cell r="Q1124" t="str">
            <v>no</v>
          </cell>
          <cell r="X1124">
            <v>793499</v>
          </cell>
          <cell r="Y1124" t="str">
            <v xml:space="preserve"> </v>
          </cell>
          <cell r="Z1124" t="str">
            <v xml:space="preserve"> </v>
          </cell>
        </row>
        <row r="1125">
          <cell r="B1125" t="str">
            <v>L46</v>
          </cell>
          <cell r="F1125">
            <v>5</v>
          </cell>
          <cell r="G1125">
            <v>180700</v>
          </cell>
          <cell r="K1125">
            <v>0</v>
          </cell>
          <cell r="M1125" t="str">
            <v>AME</v>
          </cell>
          <cell r="N1125" t="str">
            <v>Resource</v>
          </cell>
          <cell r="Q1125" t="str">
            <v>no</v>
          </cell>
          <cell r="X1125" t="str">
            <v xml:space="preserve"> </v>
          </cell>
          <cell r="Y1125">
            <v>998984</v>
          </cell>
          <cell r="Z1125" t="str">
            <v xml:space="preserve"> </v>
          </cell>
        </row>
        <row r="1126">
          <cell r="B1126" t="str">
            <v>L46</v>
          </cell>
          <cell r="F1126">
            <v>5</v>
          </cell>
          <cell r="G1126">
            <v>180700</v>
          </cell>
          <cell r="K1126">
            <v>0</v>
          </cell>
          <cell r="M1126" t="str">
            <v>AME</v>
          </cell>
          <cell r="N1126" t="str">
            <v>Resource</v>
          </cell>
          <cell r="Q1126" t="str">
            <v>no</v>
          </cell>
          <cell r="X1126" t="str">
            <v xml:space="preserve"> </v>
          </cell>
          <cell r="Y1126" t="str">
            <v xml:space="preserve"> </v>
          </cell>
          <cell r="Z1126">
            <v>1229667</v>
          </cell>
        </row>
        <row r="1127">
          <cell r="B1127" t="str">
            <v>G20</v>
          </cell>
          <cell r="F1127">
            <v>9</v>
          </cell>
          <cell r="G1127">
            <v>110101</v>
          </cell>
          <cell r="K1127">
            <v>0</v>
          </cell>
          <cell r="M1127" t="str">
            <v>DEL</v>
          </cell>
          <cell r="N1127" t="str">
            <v>Resource</v>
          </cell>
          <cell r="Q1127" t="str">
            <v>no</v>
          </cell>
          <cell r="X1127" t="str">
            <v xml:space="preserve"> </v>
          </cell>
          <cell r="Y1127" t="str">
            <v xml:space="preserve"> </v>
          </cell>
          <cell r="Z1127" t="str">
            <v xml:space="preserve"> </v>
          </cell>
        </row>
        <row r="1128">
          <cell r="B1128" t="str">
            <v>G20</v>
          </cell>
          <cell r="F1128">
            <v>9</v>
          </cell>
          <cell r="G1128">
            <v>110102</v>
          </cell>
          <cell r="K1128">
            <v>0</v>
          </cell>
          <cell r="M1128" t="str">
            <v>DEL</v>
          </cell>
          <cell r="N1128" t="str">
            <v>Resource</v>
          </cell>
          <cell r="Q1128" t="str">
            <v>no</v>
          </cell>
          <cell r="X1128" t="str">
            <v xml:space="preserve"> </v>
          </cell>
          <cell r="Y1128" t="str">
            <v xml:space="preserve"> </v>
          </cell>
          <cell r="Z1128" t="str">
            <v xml:space="preserve"> </v>
          </cell>
        </row>
        <row r="1129">
          <cell r="B1129" t="str">
            <v>G20</v>
          </cell>
          <cell r="F1129">
            <v>9</v>
          </cell>
          <cell r="G1129">
            <v>110202</v>
          </cell>
          <cell r="K1129" t="str">
            <v>PSS</v>
          </cell>
          <cell r="M1129" t="str">
            <v>non-budget</v>
          </cell>
          <cell r="N1129" t="str">
            <v>non-budget</v>
          </cell>
          <cell r="Q1129" t="str">
            <v>no</v>
          </cell>
          <cell r="X1129" t="str">
            <v xml:space="preserve"> </v>
          </cell>
          <cell r="Y1129" t="str">
            <v xml:space="preserve"> </v>
          </cell>
          <cell r="Z1129" t="str">
            <v xml:space="preserve"> </v>
          </cell>
        </row>
        <row r="1130">
          <cell r="B1130" t="str">
            <v>L46</v>
          </cell>
          <cell r="F1130">
            <v>6</v>
          </cell>
          <cell r="G1130">
            <v>180700</v>
          </cell>
          <cell r="K1130">
            <v>0</v>
          </cell>
          <cell r="M1130" t="str">
            <v>AME</v>
          </cell>
          <cell r="N1130" t="str">
            <v>Resource</v>
          </cell>
          <cell r="Q1130" t="str">
            <v>no</v>
          </cell>
          <cell r="X1130">
            <v>365241</v>
          </cell>
          <cell r="Y1130">
            <v>383503</v>
          </cell>
          <cell r="Z1130">
            <v>402678</v>
          </cell>
        </row>
        <row r="1131">
          <cell r="B1131" t="str">
            <v>L46</v>
          </cell>
          <cell r="F1131">
            <v>6</v>
          </cell>
          <cell r="G1131">
            <v>180700</v>
          </cell>
          <cell r="K1131">
            <v>0</v>
          </cell>
          <cell r="M1131" t="str">
            <v>AME</v>
          </cell>
          <cell r="N1131" t="str">
            <v>Resource</v>
          </cell>
          <cell r="Q1131" t="str">
            <v>no</v>
          </cell>
          <cell r="X1131">
            <v>-730482</v>
          </cell>
          <cell r="Y1131">
            <v>-767006</v>
          </cell>
          <cell r="Z1131">
            <v>-805356</v>
          </cell>
        </row>
        <row r="1132">
          <cell r="B1132" t="str">
            <v>L46</v>
          </cell>
          <cell r="F1132">
            <v>6</v>
          </cell>
          <cell r="G1132">
            <v>180700</v>
          </cell>
          <cell r="K1132">
            <v>0</v>
          </cell>
          <cell r="M1132" t="str">
            <v>AME</v>
          </cell>
          <cell r="N1132" t="str">
            <v>Resource</v>
          </cell>
          <cell r="Q1132" t="str">
            <v>no</v>
          </cell>
          <cell r="X1132">
            <v>-61425</v>
          </cell>
          <cell r="Y1132">
            <v>-64496</v>
          </cell>
          <cell r="Z1132">
            <v>-67721</v>
          </cell>
        </row>
        <row r="1133">
          <cell r="B1133" t="str">
            <v>L46</v>
          </cell>
          <cell r="F1133">
            <v>6</v>
          </cell>
          <cell r="G1133">
            <v>180700</v>
          </cell>
          <cell r="K1133">
            <v>0</v>
          </cell>
          <cell r="M1133" t="str">
            <v>AME</v>
          </cell>
          <cell r="N1133" t="str">
            <v>Resource</v>
          </cell>
          <cell r="Q1133" t="str">
            <v>no</v>
          </cell>
          <cell r="X1133">
            <v>-3778425</v>
          </cell>
          <cell r="Y1133">
            <v>-3967346</v>
          </cell>
          <cell r="Z1133">
            <v>-4165713</v>
          </cell>
        </row>
        <row r="1134">
          <cell r="B1134" t="str">
            <v>M10</v>
          </cell>
          <cell r="F1134">
            <v>12</v>
          </cell>
          <cell r="G1134">
            <v>110101</v>
          </cell>
          <cell r="K1134">
            <v>0</v>
          </cell>
          <cell r="M1134" t="str">
            <v>DEL</v>
          </cell>
          <cell r="N1134" t="str">
            <v>Resource</v>
          </cell>
          <cell r="Q1134" t="str">
            <v>yes</v>
          </cell>
          <cell r="X1134" t="str">
            <v xml:space="preserve"> </v>
          </cell>
          <cell r="Y1134" t="str">
            <v xml:space="preserve"> </v>
          </cell>
          <cell r="Z1134" t="str">
            <v xml:space="preserve"> </v>
          </cell>
        </row>
        <row r="1135">
          <cell r="B1135" t="str">
            <v>G45</v>
          </cell>
          <cell r="F1135">
            <v>9</v>
          </cell>
          <cell r="G1135">
            <v>110702</v>
          </cell>
          <cell r="K1135">
            <v>0</v>
          </cell>
          <cell r="M1135" t="str">
            <v>non-budget</v>
          </cell>
          <cell r="N1135" t="str">
            <v>non-budget</v>
          </cell>
          <cell r="Q1135" t="str">
            <v>no</v>
          </cell>
          <cell r="X1135" t="str">
            <v xml:space="preserve"> </v>
          </cell>
          <cell r="Y1135" t="str">
            <v xml:space="preserve"> </v>
          </cell>
          <cell r="Z1135" t="str">
            <v xml:space="preserve"> </v>
          </cell>
        </row>
        <row r="1136">
          <cell r="B1136" t="str">
            <v>M10</v>
          </cell>
          <cell r="F1136">
            <v>1</v>
          </cell>
          <cell r="G1136">
            <v>110204</v>
          </cell>
          <cell r="K1136" t="str">
            <v>PSS</v>
          </cell>
          <cell r="M1136" t="str">
            <v>DEL</v>
          </cell>
          <cell r="N1136" t="str">
            <v>Resource</v>
          </cell>
          <cell r="Q1136" t="str">
            <v>yes</v>
          </cell>
          <cell r="X1136" t="str">
            <v xml:space="preserve"> </v>
          </cell>
          <cell r="Y1136" t="str">
            <v xml:space="preserve"> </v>
          </cell>
          <cell r="Z1136" t="str">
            <v xml:space="preserve"> </v>
          </cell>
        </row>
        <row r="1137">
          <cell r="B1137" t="str">
            <v>L46</v>
          </cell>
          <cell r="F1137">
            <v>6</v>
          </cell>
          <cell r="G1137">
            <v>180700</v>
          </cell>
          <cell r="K1137">
            <v>0</v>
          </cell>
          <cell r="M1137" t="str">
            <v>AME</v>
          </cell>
          <cell r="N1137" t="str">
            <v>Resource</v>
          </cell>
          <cell r="Q1137" t="str">
            <v>no</v>
          </cell>
          <cell r="X1137">
            <v>3778425</v>
          </cell>
          <cell r="Y1137">
            <v>3967346</v>
          </cell>
          <cell r="Z1137">
            <v>4165713</v>
          </cell>
        </row>
        <row r="1138">
          <cell r="B1138" t="str">
            <v>L46</v>
          </cell>
          <cell r="F1138">
            <v>2</v>
          </cell>
          <cell r="G1138">
            <v>180700</v>
          </cell>
          <cell r="K1138">
            <v>0</v>
          </cell>
          <cell r="M1138" t="str">
            <v>AME</v>
          </cell>
          <cell r="N1138" t="str">
            <v>Resource</v>
          </cell>
          <cell r="Q1138" t="str">
            <v>no</v>
          </cell>
          <cell r="X1138" t="str">
            <v xml:space="preserve"> </v>
          </cell>
          <cell r="Y1138" t="str">
            <v xml:space="preserve"> </v>
          </cell>
          <cell r="Z1138" t="str">
            <v xml:space="preserve"> </v>
          </cell>
        </row>
        <row r="1139">
          <cell r="B1139" t="str">
            <v>L46</v>
          </cell>
          <cell r="F1139">
            <v>5</v>
          </cell>
          <cell r="G1139">
            <v>180700</v>
          </cell>
          <cell r="K1139">
            <v>0</v>
          </cell>
          <cell r="M1139" t="str">
            <v>AME</v>
          </cell>
          <cell r="N1139" t="str">
            <v>Resource</v>
          </cell>
          <cell r="Q1139" t="str">
            <v>no</v>
          </cell>
          <cell r="X1139" t="str">
            <v xml:space="preserve"> </v>
          </cell>
          <cell r="Y1139" t="str">
            <v xml:space="preserve"> </v>
          </cell>
          <cell r="Z1139" t="str">
            <v xml:space="preserve"> </v>
          </cell>
        </row>
        <row r="1140">
          <cell r="B1140" t="str">
            <v>M10</v>
          </cell>
          <cell r="F1140">
            <v>8</v>
          </cell>
          <cell r="G1140">
            <v>110204</v>
          </cell>
          <cell r="K1140" t="str">
            <v>PSS</v>
          </cell>
          <cell r="M1140" t="str">
            <v>DEL</v>
          </cell>
          <cell r="N1140" t="str">
            <v>Resource</v>
          </cell>
          <cell r="Q1140" t="str">
            <v>yes</v>
          </cell>
          <cell r="X1140" t="str">
            <v xml:space="preserve"> </v>
          </cell>
          <cell r="Y1140" t="str">
            <v xml:space="preserve"> </v>
          </cell>
          <cell r="Z1140" t="str">
            <v xml:space="preserve"> </v>
          </cell>
        </row>
        <row r="1141">
          <cell r="B1141" t="str">
            <v>M10</v>
          </cell>
          <cell r="F1141">
            <v>1</v>
          </cell>
          <cell r="G1141">
            <v>110205</v>
          </cell>
          <cell r="K1141" t="str">
            <v>PSS</v>
          </cell>
          <cell r="M1141" t="str">
            <v>DEL</v>
          </cell>
          <cell r="N1141" t="str">
            <v>Resource</v>
          </cell>
          <cell r="Q1141" t="str">
            <v>yes</v>
          </cell>
          <cell r="X1141">
            <v>16500</v>
          </cell>
          <cell r="Y1141" t="str">
            <v xml:space="preserve"> </v>
          </cell>
          <cell r="Z1141" t="str">
            <v xml:space="preserve"> </v>
          </cell>
        </row>
        <row r="1142">
          <cell r="B1142" t="str">
            <v>M10</v>
          </cell>
          <cell r="F1142">
            <v>2</v>
          </cell>
          <cell r="G1142">
            <v>110205</v>
          </cell>
          <cell r="K1142" t="str">
            <v>PSS</v>
          </cell>
          <cell r="M1142" t="str">
            <v>DEL</v>
          </cell>
          <cell r="N1142" t="str">
            <v>Resource</v>
          </cell>
          <cell r="Q1142" t="str">
            <v>yes</v>
          </cell>
          <cell r="X1142" t="str">
            <v xml:space="preserve"> </v>
          </cell>
          <cell r="Y1142" t="str">
            <v xml:space="preserve"> </v>
          </cell>
          <cell r="Z1142" t="str">
            <v xml:space="preserve"> </v>
          </cell>
        </row>
        <row r="1143">
          <cell r="B1143" t="str">
            <v>H10</v>
          </cell>
          <cell r="F1143">
            <v>9</v>
          </cell>
          <cell r="G1143">
            <v>110801</v>
          </cell>
          <cell r="K1143">
            <v>0</v>
          </cell>
          <cell r="M1143" t="str">
            <v>AME</v>
          </cell>
          <cell r="N1143" t="str">
            <v>Capital</v>
          </cell>
          <cell r="Q1143" t="str">
            <v>no</v>
          </cell>
          <cell r="X1143" t="str">
            <v xml:space="preserve"> </v>
          </cell>
          <cell r="Y1143" t="str">
            <v xml:space="preserve"> </v>
          </cell>
          <cell r="Z1143" t="str">
            <v xml:space="preserve"> </v>
          </cell>
        </row>
        <row r="1144">
          <cell r="B1144" t="str">
            <v>M10</v>
          </cell>
          <cell r="F1144">
            <v>8</v>
          </cell>
          <cell r="G1144">
            <v>110205</v>
          </cell>
          <cell r="K1144" t="str">
            <v>PSS</v>
          </cell>
          <cell r="M1144" t="str">
            <v>DEL</v>
          </cell>
          <cell r="N1144" t="str">
            <v>Resource</v>
          </cell>
          <cell r="Q1144" t="str">
            <v>yes</v>
          </cell>
          <cell r="X1144" t="str">
            <v xml:space="preserve"> </v>
          </cell>
          <cell r="Y1144" t="str">
            <v xml:space="preserve"> </v>
          </cell>
          <cell r="Z1144" t="str">
            <v xml:space="preserve"> </v>
          </cell>
        </row>
        <row r="1145">
          <cell r="B1145" t="str">
            <v>M10</v>
          </cell>
          <cell r="F1145">
            <v>2</v>
          </cell>
          <cell r="G1145">
            <v>110205</v>
          </cell>
          <cell r="K1145" t="str">
            <v>PSS</v>
          </cell>
          <cell r="M1145" t="str">
            <v>DEL</v>
          </cell>
          <cell r="N1145" t="str">
            <v>Resource</v>
          </cell>
          <cell r="Q1145" t="str">
            <v>yes</v>
          </cell>
          <cell r="X1145" t="str">
            <v xml:space="preserve"> </v>
          </cell>
          <cell r="Y1145">
            <v>16500</v>
          </cell>
          <cell r="Z1145">
            <v>16500</v>
          </cell>
        </row>
        <row r="1146">
          <cell r="B1146" t="str">
            <v>M10</v>
          </cell>
          <cell r="F1146">
            <v>1</v>
          </cell>
          <cell r="G1146">
            <v>110206</v>
          </cell>
          <cell r="K1146" t="str">
            <v>PSS</v>
          </cell>
          <cell r="M1146" t="str">
            <v>DEL</v>
          </cell>
          <cell r="N1146" t="str">
            <v>Resource</v>
          </cell>
          <cell r="Q1146" t="str">
            <v>yes</v>
          </cell>
          <cell r="X1146" t="str">
            <v xml:space="preserve"> </v>
          </cell>
          <cell r="Y1146" t="str">
            <v xml:space="preserve"> </v>
          </cell>
          <cell r="Z1146" t="str">
            <v xml:space="preserve"> </v>
          </cell>
        </row>
        <row r="1147">
          <cell r="B1147" t="str">
            <v>M10</v>
          </cell>
          <cell r="F1147">
            <v>1</v>
          </cell>
          <cell r="G1147">
            <v>110207</v>
          </cell>
          <cell r="K1147" t="str">
            <v>PSS</v>
          </cell>
          <cell r="M1147" t="str">
            <v>DEL</v>
          </cell>
          <cell r="N1147" t="str">
            <v>Resource</v>
          </cell>
          <cell r="Q1147" t="str">
            <v>yes</v>
          </cell>
          <cell r="X1147">
            <v>133500</v>
          </cell>
          <cell r="Y1147" t="str">
            <v xml:space="preserve"> </v>
          </cell>
          <cell r="Z1147" t="str">
            <v xml:space="preserve"> </v>
          </cell>
        </row>
        <row r="1148">
          <cell r="B1148" t="str">
            <v>M10</v>
          </cell>
          <cell r="F1148">
            <v>4</v>
          </cell>
          <cell r="G1148">
            <v>110207</v>
          </cell>
          <cell r="K1148" t="str">
            <v>PSS</v>
          </cell>
          <cell r="M1148" t="str">
            <v>DEL</v>
          </cell>
          <cell r="N1148" t="str">
            <v>Resource</v>
          </cell>
          <cell r="Q1148" t="str">
            <v>yes</v>
          </cell>
          <cell r="X1148">
            <v>-550</v>
          </cell>
          <cell r="Y1148">
            <v>-500</v>
          </cell>
          <cell r="Z1148">
            <v>-500</v>
          </cell>
        </row>
        <row r="1149">
          <cell r="B1149" t="str">
            <v>M10</v>
          </cell>
          <cell r="F1149">
            <v>2</v>
          </cell>
          <cell r="G1149">
            <v>110207</v>
          </cell>
          <cell r="K1149" t="str">
            <v>PSS</v>
          </cell>
          <cell r="M1149" t="str">
            <v>DEL</v>
          </cell>
          <cell r="N1149" t="str">
            <v>Resource</v>
          </cell>
          <cell r="Q1149" t="str">
            <v>yes</v>
          </cell>
          <cell r="X1149" t="str">
            <v xml:space="preserve"> </v>
          </cell>
          <cell r="Y1149" t="str">
            <v xml:space="preserve"> </v>
          </cell>
          <cell r="Z1149" t="str">
            <v xml:space="preserve"> </v>
          </cell>
        </row>
        <row r="1150">
          <cell r="B1150" t="str">
            <v>M10</v>
          </cell>
          <cell r="F1150">
            <v>8</v>
          </cell>
          <cell r="G1150">
            <v>110207</v>
          </cell>
          <cell r="K1150" t="str">
            <v>PSS</v>
          </cell>
          <cell r="M1150" t="str">
            <v>DEL</v>
          </cell>
          <cell r="N1150" t="str">
            <v>Resource</v>
          </cell>
          <cell r="Q1150" t="str">
            <v>yes</v>
          </cell>
          <cell r="X1150" t="str">
            <v xml:space="preserve"> </v>
          </cell>
          <cell r="Y1150" t="str">
            <v xml:space="preserve"> </v>
          </cell>
          <cell r="Z1150" t="str">
            <v xml:space="preserve"> </v>
          </cell>
        </row>
        <row r="1151">
          <cell r="B1151" t="str">
            <v>M10</v>
          </cell>
          <cell r="F1151">
            <v>2</v>
          </cell>
          <cell r="G1151">
            <v>110207</v>
          </cell>
          <cell r="K1151" t="str">
            <v>PSS</v>
          </cell>
          <cell r="M1151" t="str">
            <v>DEL</v>
          </cell>
          <cell r="N1151" t="str">
            <v>Resource</v>
          </cell>
          <cell r="Q1151" t="str">
            <v>yes</v>
          </cell>
          <cell r="X1151" t="str">
            <v xml:space="preserve"> </v>
          </cell>
          <cell r="Y1151">
            <v>133500</v>
          </cell>
          <cell r="Z1151">
            <v>133500</v>
          </cell>
        </row>
        <row r="1152">
          <cell r="B1152" t="str">
            <v>M10</v>
          </cell>
          <cell r="F1152">
            <v>1</v>
          </cell>
          <cell r="G1152">
            <v>110212</v>
          </cell>
          <cell r="K1152" t="str">
            <v>PSS</v>
          </cell>
          <cell r="M1152" t="str">
            <v>DEL</v>
          </cell>
          <cell r="N1152" t="str">
            <v>Resource</v>
          </cell>
          <cell r="Q1152" t="str">
            <v>yes</v>
          </cell>
          <cell r="X1152" t="str">
            <v xml:space="preserve"> </v>
          </cell>
          <cell r="Y1152" t="str">
            <v xml:space="preserve"> </v>
          </cell>
          <cell r="Z1152" t="str">
            <v xml:space="preserve"> </v>
          </cell>
        </row>
        <row r="1153">
          <cell r="B1153" t="str">
            <v>E15</v>
          </cell>
          <cell r="F1153">
            <v>12</v>
          </cell>
          <cell r="G1153">
            <v>110702</v>
          </cell>
          <cell r="K1153">
            <v>0</v>
          </cell>
          <cell r="M1153" t="str">
            <v>AME</v>
          </cell>
          <cell r="N1153" t="str">
            <v>Capital</v>
          </cell>
          <cell r="Q1153" t="str">
            <v>no</v>
          </cell>
          <cell r="X1153" t="str">
            <v xml:space="preserve"> </v>
          </cell>
          <cell r="Y1153" t="str">
            <v xml:space="preserve"> </v>
          </cell>
          <cell r="Z1153" t="str">
            <v xml:space="preserve"> </v>
          </cell>
        </row>
        <row r="1154">
          <cell r="B1154" t="str">
            <v>H35</v>
          </cell>
          <cell r="F1154">
            <v>12</v>
          </cell>
          <cell r="G1154">
            <v>110702</v>
          </cell>
          <cell r="K1154">
            <v>0</v>
          </cell>
          <cell r="M1154" t="str">
            <v>non-budget</v>
          </cell>
          <cell r="N1154" t="str">
            <v>non-budget</v>
          </cell>
          <cell r="Q1154" t="str">
            <v>no</v>
          </cell>
          <cell r="X1154" t="str">
            <v xml:space="preserve"> </v>
          </cell>
          <cell r="Y1154" t="str">
            <v xml:space="preserve"> </v>
          </cell>
          <cell r="Z1154" t="str">
            <v xml:space="preserve"> </v>
          </cell>
        </row>
        <row r="1155">
          <cell r="B1155" t="str">
            <v>H35</v>
          </cell>
          <cell r="F1155">
            <v>9</v>
          </cell>
          <cell r="G1155">
            <v>110701</v>
          </cell>
          <cell r="K1155">
            <v>0</v>
          </cell>
          <cell r="M1155" t="str">
            <v>non-budget</v>
          </cell>
          <cell r="N1155" t="str">
            <v>non-budget</v>
          </cell>
          <cell r="Q1155" t="str">
            <v>no</v>
          </cell>
          <cell r="X1155" t="str">
            <v xml:space="preserve"> </v>
          </cell>
          <cell r="Y1155" t="str">
            <v xml:space="preserve"> </v>
          </cell>
          <cell r="Z1155" t="str">
            <v xml:space="preserve"> </v>
          </cell>
        </row>
        <row r="1156">
          <cell r="B1156" t="str">
            <v>M10</v>
          </cell>
          <cell r="F1156">
            <v>1</v>
          </cell>
          <cell r="G1156">
            <v>110213</v>
          </cell>
          <cell r="K1156" t="str">
            <v>PSS</v>
          </cell>
          <cell r="M1156" t="str">
            <v>DEL</v>
          </cell>
          <cell r="N1156" t="str">
            <v>Resource</v>
          </cell>
          <cell r="Q1156" t="str">
            <v>yes</v>
          </cell>
          <cell r="X1156" t="str">
            <v xml:space="preserve"> </v>
          </cell>
          <cell r="Y1156" t="str">
            <v xml:space="preserve"> </v>
          </cell>
          <cell r="Z1156" t="str">
            <v xml:space="preserve"> </v>
          </cell>
        </row>
        <row r="1157">
          <cell r="B1157" t="str">
            <v>M10</v>
          </cell>
          <cell r="F1157">
            <v>1</v>
          </cell>
          <cell r="G1157">
            <v>110214</v>
          </cell>
          <cell r="K1157" t="str">
            <v>PSS</v>
          </cell>
          <cell r="M1157" t="str">
            <v>DEL</v>
          </cell>
          <cell r="N1157" t="str">
            <v>Resource</v>
          </cell>
          <cell r="Q1157" t="str">
            <v>yes</v>
          </cell>
          <cell r="X1157" t="str">
            <v xml:space="preserve"> </v>
          </cell>
          <cell r="Y1157" t="str">
            <v xml:space="preserve"> </v>
          </cell>
          <cell r="Z1157" t="str">
            <v xml:space="preserve"> </v>
          </cell>
        </row>
        <row r="1158">
          <cell r="B1158" t="str">
            <v>M10</v>
          </cell>
          <cell r="F1158">
            <v>1</v>
          </cell>
          <cell r="G1158">
            <v>110215</v>
          </cell>
          <cell r="K1158" t="str">
            <v>PSS</v>
          </cell>
          <cell r="M1158" t="str">
            <v>DEL</v>
          </cell>
          <cell r="N1158" t="str">
            <v>Resource</v>
          </cell>
          <cell r="Q1158" t="str">
            <v>yes</v>
          </cell>
          <cell r="X1158" t="str">
            <v xml:space="preserve"> </v>
          </cell>
          <cell r="Y1158" t="str">
            <v xml:space="preserve"> </v>
          </cell>
          <cell r="Z1158" t="str">
            <v xml:space="preserve"> </v>
          </cell>
        </row>
        <row r="1159">
          <cell r="B1159" t="str">
            <v>M10</v>
          </cell>
          <cell r="F1159">
            <v>1</v>
          </cell>
          <cell r="G1159">
            <v>110216</v>
          </cell>
          <cell r="K1159" t="str">
            <v>PSS</v>
          </cell>
          <cell r="M1159" t="str">
            <v>DEL</v>
          </cell>
          <cell r="N1159" t="str">
            <v>Resource</v>
          </cell>
          <cell r="Q1159" t="str">
            <v>yes</v>
          </cell>
          <cell r="X1159">
            <v>1000</v>
          </cell>
          <cell r="Y1159" t="str">
            <v xml:space="preserve"> </v>
          </cell>
          <cell r="Z1159" t="str">
            <v xml:space="preserve"> </v>
          </cell>
        </row>
        <row r="1160">
          <cell r="B1160" t="str">
            <v>M10</v>
          </cell>
          <cell r="F1160">
            <v>4</v>
          </cell>
          <cell r="G1160">
            <v>110216</v>
          </cell>
          <cell r="K1160" t="str">
            <v>PSS</v>
          </cell>
          <cell r="M1160" t="str">
            <v>DEL</v>
          </cell>
          <cell r="N1160" t="str">
            <v>Resource</v>
          </cell>
          <cell r="Q1160" t="str">
            <v>yes</v>
          </cell>
          <cell r="X1160" t="str">
            <v xml:space="preserve"> </v>
          </cell>
          <cell r="Y1160">
            <v>-1000</v>
          </cell>
          <cell r="Z1160">
            <v>-1000</v>
          </cell>
        </row>
        <row r="1161">
          <cell r="B1161" t="str">
            <v>M10</v>
          </cell>
          <cell r="F1161">
            <v>2</v>
          </cell>
          <cell r="G1161">
            <v>110216</v>
          </cell>
          <cell r="K1161" t="str">
            <v>PSS</v>
          </cell>
          <cell r="M1161" t="str">
            <v>DEL</v>
          </cell>
          <cell r="N1161" t="str">
            <v>Resource</v>
          </cell>
          <cell r="Q1161" t="str">
            <v>yes</v>
          </cell>
          <cell r="X1161" t="str">
            <v xml:space="preserve"> </v>
          </cell>
          <cell r="Y1161" t="str">
            <v xml:space="preserve"> </v>
          </cell>
          <cell r="Z1161" t="str">
            <v xml:space="preserve"> </v>
          </cell>
        </row>
        <row r="1162">
          <cell r="B1162" t="str">
            <v>M10</v>
          </cell>
          <cell r="F1162">
            <v>2</v>
          </cell>
          <cell r="G1162">
            <v>110216</v>
          </cell>
          <cell r="K1162" t="str">
            <v>PSS</v>
          </cell>
          <cell r="M1162" t="str">
            <v>DEL</v>
          </cell>
          <cell r="N1162" t="str">
            <v>Resource</v>
          </cell>
          <cell r="Q1162" t="str">
            <v>yes</v>
          </cell>
          <cell r="X1162" t="str">
            <v xml:space="preserve"> </v>
          </cell>
          <cell r="Y1162">
            <v>1000</v>
          </cell>
          <cell r="Z1162">
            <v>1000</v>
          </cell>
        </row>
        <row r="1163">
          <cell r="B1163" t="str">
            <v>H35</v>
          </cell>
          <cell r="F1163">
            <v>9</v>
          </cell>
          <cell r="G1163">
            <v>110701</v>
          </cell>
          <cell r="K1163">
            <v>0</v>
          </cell>
          <cell r="M1163" t="str">
            <v>non-budget</v>
          </cell>
          <cell r="N1163" t="str">
            <v>non-budget</v>
          </cell>
          <cell r="Q1163" t="str">
            <v>no</v>
          </cell>
          <cell r="X1163" t="str">
            <v xml:space="preserve"> </v>
          </cell>
          <cell r="Y1163" t="str">
            <v xml:space="preserve"> </v>
          </cell>
          <cell r="Z1163" t="str">
            <v xml:space="preserve"> </v>
          </cell>
        </row>
        <row r="1164">
          <cell r="B1164" t="str">
            <v>H35</v>
          </cell>
          <cell r="F1164">
            <v>9</v>
          </cell>
          <cell r="G1164">
            <v>110701</v>
          </cell>
          <cell r="K1164">
            <v>0</v>
          </cell>
          <cell r="M1164" t="str">
            <v>non-budget</v>
          </cell>
          <cell r="N1164" t="str">
            <v>non-budget</v>
          </cell>
          <cell r="Q1164" t="str">
            <v>no</v>
          </cell>
          <cell r="X1164" t="str">
            <v xml:space="preserve"> </v>
          </cell>
          <cell r="Y1164" t="str">
            <v xml:space="preserve"> </v>
          </cell>
          <cell r="Z1164" t="str">
            <v xml:space="preserve"> </v>
          </cell>
        </row>
        <row r="1165">
          <cell r="B1165" t="str">
            <v>L46</v>
          </cell>
          <cell r="F1165">
            <v>6</v>
          </cell>
          <cell r="G1165">
            <v>180700</v>
          </cell>
          <cell r="K1165">
            <v>0</v>
          </cell>
          <cell r="M1165" t="str">
            <v>AME</v>
          </cell>
          <cell r="N1165" t="str">
            <v>Resource</v>
          </cell>
          <cell r="Q1165" t="str">
            <v>no</v>
          </cell>
          <cell r="X1165" t="str">
            <v xml:space="preserve"> </v>
          </cell>
          <cell r="Y1165" t="str">
            <v xml:space="preserve"> </v>
          </cell>
          <cell r="Z1165" t="str">
            <v xml:space="preserve"> </v>
          </cell>
        </row>
        <row r="1166">
          <cell r="B1166" t="str">
            <v>M10</v>
          </cell>
          <cell r="F1166">
            <v>4</v>
          </cell>
          <cell r="G1166">
            <v>110216</v>
          </cell>
          <cell r="K1166" t="str">
            <v>PSS</v>
          </cell>
          <cell r="M1166" t="str">
            <v>DEL</v>
          </cell>
          <cell r="N1166" t="str">
            <v>Resource</v>
          </cell>
          <cell r="Q1166" t="str">
            <v>yes</v>
          </cell>
          <cell r="X1166">
            <v>-1000</v>
          </cell>
          <cell r="Y1166" t="str">
            <v xml:space="preserve"> </v>
          </cell>
          <cell r="Z1166" t="str">
            <v xml:space="preserve"> </v>
          </cell>
        </row>
        <row r="1167">
          <cell r="B1167" t="str">
            <v>M10</v>
          </cell>
          <cell r="F1167">
            <v>6</v>
          </cell>
          <cell r="G1167">
            <v>110216</v>
          </cell>
          <cell r="K1167" t="str">
            <v>PSS</v>
          </cell>
          <cell r="M1167" t="str">
            <v>DEL</v>
          </cell>
          <cell r="N1167" t="str">
            <v>Resource</v>
          </cell>
          <cell r="Q1167" t="str">
            <v>yes</v>
          </cell>
          <cell r="X1167" t="str">
            <v xml:space="preserve"> </v>
          </cell>
          <cell r="Y1167" t="str">
            <v xml:space="preserve"> </v>
          </cell>
          <cell r="Z1167" t="str">
            <v xml:space="preserve"> </v>
          </cell>
        </row>
        <row r="1168">
          <cell r="B1168" t="str">
            <v>M10</v>
          </cell>
          <cell r="F1168">
            <v>1</v>
          </cell>
          <cell r="G1168">
            <v>110217</v>
          </cell>
          <cell r="K1168" t="str">
            <v>PSS</v>
          </cell>
          <cell r="M1168" t="str">
            <v>DEL</v>
          </cell>
          <cell r="N1168" t="str">
            <v>Resource</v>
          </cell>
          <cell r="Q1168" t="str">
            <v>yes</v>
          </cell>
          <cell r="X1168">
            <v>185000</v>
          </cell>
          <cell r="Y1168" t="str">
            <v xml:space="preserve"> </v>
          </cell>
          <cell r="Z1168" t="str">
            <v xml:space="preserve"> </v>
          </cell>
        </row>
        <row r="1169">
          <cell r="B1169" t="str">
            <v>M10</v>
          </cell>
          <cell r="F1169">
            <v>2</v>
          </cell>
          <cell r="G1169">
            <v>110217</v>
          </cell>
          <cell r="K1169" t="str">
            <v>PSS</v>
          </cell>
          <cell r="M1169" t="str">
            <v>DEL</v>
          </cell>
          <cell r="N1169" t="str">
            <v>Resource</v>
          </cell>
          <cell r="Q1169" t="str">
            <v>yes</v>
          </cell>
          <cell r="X1169" t="str">
            <v xml:space="preserve"> </v>
          </cell>
          <cell r="Y1169" t="str">
            <v xml:space="preserve"> </v>
          </cell>
          <cell r="Z1169" t="str">
            <v xml:space="preserve"> </v>
          </cell>
        </row>
        <row r="1170">
          <cell r="B1170" t="str">
            <v>M10</v>
          </cell>
          <cell r="F1170">
            <v>8</v>
          </cell>
          <cell r="G1170">
            <v>110217</v>
          </cell>
          <cell r="K1170" t="str">
            <v>PSS</v>
          </cell>
          <cell r="M1170" t="str">
            <v>DEL</v>
          </cell>
          <cell r="N1170" t="str">
            <v>Resource</v>
          </cell>
          <cell r="Q1170" t="str">
            <v>yes</v>
          </cell>
          <cell r="X1170" t="str">
            <v xml:space="preserve"> </v>
          </cell>
          <cell r="Y1170" t="str">
            <v xml:space="preserve"> </v>
          </cell>
          <cell r="Z1170" t="str">
            <v xml:space="preserve"> </v>
          </cell>
        </row>
        <row r="1171">
          <cell r="B1171" t="str">
            <v>M10</v>
          </cell>
          <cell r="F1171">
            <v>2</v>
          </cell>
          <cell r="G1171">
            <v>110217</v>
          </cell>
          <cell r="K1171" t="str">
            <v>PSS</v>
          </cell>
          <cell r="M1171" t="str">
            <v>DEL</v>
          </cell>
          <cell r="N1171" t="str">
            <v>Resource</v>
          </cell>
          <cell r="Q1171" t="str">
            <v>yes</v>
          </cell>
          <cell r="X1171" t="str">
            <v xml:space="preserve"> </v>
          </cell>
          <cell r="Y1171">
            <v>185000</v>
          </cell>
          <cell r="Z1171">
            <v>185000</v>
          </cell>
        </row>
        <row r="1172">
          <cell r="B1172" t="str">
            <v>M10</v>
          </cell>
          <cell r="F1172">
            <v>6</v>
          </cell>
          <cell r="G1172">
            <v>110217</v>
          </cell>
          <cell r="K1172" t="str">
            <v>PSS</v>
          </cell>
          <cell r="M1172" t="str">
            <v>DEL</v>
          </cell>
          <cell r="N1172" t="str">
            <v>Resource</v>
          </cell>
          <cell r="Q1172" t="str">
            <v>yes</v>
          </cell>
          <cell r="X1172" t="str">
            <v xml:space="preserve"> </v>
          </cell>
          <cell r="Y1172" t="str">
            <v xml:space="preserve"> </v>
          </cell>
          <cell r="Z1172" t="str">
            <v xml:space="preserve"> </v>
          </cell>
        </row>
        <row r="1173">
          <cell r="B1173" t="str">
            <v>M10</v>
          </cell>
          <cell r="F1173">
            <v>1</v>
          </cell>
          <cell r="G1173">
            <v>110219</v>
          </cell>
          <cell r="K1173" t="str">
            <v>PSS</v>
          </cell>
          <cell r="M1173" t="str">
            <v>DEL</v>
          </cell>
          <cell r="N1173" t="str">
            <v>Resource</v>
          </cell>
          <cell r="Q1173" t="str">
            <v>yes</v>
          </cell>
          <cell r="X1173" t="str">
            <v xml:space="preserve"> </v>
          </cell>
          <cell r="Y1173" t="str">
            <v xml:space="preserve"> </v>
          </cell>
          <cell r="Z1173" t="str">
            <v xml:space="preserve"> </v>
          </cell>
        </row>
        <row r="1174">
          <cell r="B1174" t="str">
            <v>M10</v>
          </cell>
          <cell r="F1174">
            <v>1</v>
          </cell>
          <cell r="G1174">
            <v>110220</v>
          </cell>
          <cell r="K1174" t="str">
            <v>PSS</v>
          </cell>
          <cell r="M1174" t="str">
            <v>DEL</v>
          </cell>
          <cell r="N1174" t="str">
            <v>Resource</v>
          </cell>
          <cell r="Q1174" t="str">
            <v>yes</v>
          </cell>
          <cell r="X1174" t="str">
            <v xml:space="preserve"> </v>
          </cell>
          <cell r="Y1174" t="str">
            <v xml:space="preserve"> </v>
          </cell>
          <cell r="Z1174" t="str">
            <v xml:space="preserve"> </v>
          </cell>
        </row>
        <row r="1175">
          <cell r="B1175" t="str">
            <v>M10</v>
          </cell>
          <cell r="F1175">
            <v>1</v>
          </cell>
          <cell r="G1175">
            <v>110221</v>
          </cell>
          <cell r="K1175" t="str">
            <v>PSS</v>
          </cell>
          <cell r="M1175" t="str">
            <v>DEL</v>
          </cell>
          <cell r="N1175" t="str">
            <v>Resource</v>
          </cell>
          <cell r="Q1175" t="str">
            <v>yes</v>
          </cell>
          <cell r="X1175" t="str">
            <v xml:space="preserve"> </v>
          </cell>
          <cell r="Y1175" t="str">
            <v xml:space="preserve"> </v>
          </cell>
          <cell r="Z1175" t="str">
            <v xml:space="preserve"> </v>
          </cell>
        </row>
        <row r="1176">
          <cell r="B1176" t="str">
            <v>M10</v>
          </cell>
          <cell r="F1176">
            <v>2</v>
          </cell>
          <cell r="G1176">
            <v>110221</v>
          </cell>
          <cell r="K1176" t="str">
            <v>PSS</v>
          </cell>
          <cell r="M1176" t="str">
            <v>DEL</v>
          </cell>
          <cell r="N1176" t="str">
            <v>Resource</v>
          </cell>
          <cell r="Q1176" t="str">
            <v>yes</v>
          </cell>
          <cell r="X1176" t="str">
            <v xml:space="preserve"> </v>
          </cell>
          <cell r="Y1176" t="str">
            <v xml:space="preserve"> </v>
          </cell>
          <cell r="Z1176" t="str">
            <v xml:space="preserve"> </v>
          </cell>
        </row>
        <row r="1177">
          <cell r="B1177" t="str">
            <v>M10</v>
          </cell>
          <cell r="F1177">
            <v>1</v>
          </cell>
          <cell r="G1177">
            <v>110223</v>
          </cell>
          <cell r="K1177" t="str">
            <v>PSS</v>
          </cell>
          <cell r="M1177" t="str">
            <v>DEL</v>
          </cell>
          <cell r="N1177" t="str">
            <v>Resource</v>
          </cell>
          <cell r="Q1177" t="str">
            <v>yes</v>
          </cell>
          <cell r="X1177" t="str">
            <v xml:space="preserve"> </v>
          </cell>
          <cell r="Y1177" t="str">
            <v xml:space="preserve"> </v>
          </cell>
          <cell r="Z1177" t="str">
            <v xml:space="preserve"> </v>
          </cell>
        </row>
        <row r="1178">
          <cell r="B1178" t="str">
            <v>H10</v>
          </cell>
          <cell r="F1178">
            <v>12</v>
          </cell>
          <cell r="G1178">
            <v>110801</v>
          </cell>
          <cell r="K1178">
            <v>0</v>
          </cell>
          <cell r="M1178" t="str">
            <v>AME</v>
          </cell>
          <cell r="N1178" t="str">
            <v>Capital</v>
          </cell>
          <cell r="Q1178" t="str">
            <v>no</v>
          </cell>
          <cell r="X1178">
            <v>19043</v>
          </cell>
          <cell r="Y1178" t="str">
            <v xml:space="preserve"> </v>
          </cell>
          <cell r="Z1178" t="str">
            <v xml:space="preserve"> </v>
          </cell>
        </row>
        <row r="1179">
          <cell r="B1179" t="str">
            <v>M10</v>
          </cell>
          <cell r="F1179">
            <v>2</v>
          </cell>
          <cell r="G1179">
            <v>110223</v>
          </cell>
          <cell r="K1179" t="str">
            <v>PSS</v>
          </cell>
          <cell r="M1179" t="str">
            <v>DEL</v>
          </cell>
          <cell r="N1179" t="str">
            <v>Resource</v>
          </cell>
          <cell r="Q1179" t="str">
            <v>yes</v>
          </cell>
          <cell r="X1179" t="str">
            <v xml:space="preserve"> </v>
          </cell>
          <cell r="Y1179" t="str">
            <v xml:space="preserve"> </v>
          </cell>
          <cell r="Z1179" t="str">
            <v xml:space="preserve"> </v>
          </cell>
        </row>
        <row r="1180">
          <cell r="B1180" t="str">
            <v>M10</v>
          </cell>
          <cell r="F1180">
            <v>1</v>
          </cell>
          <cell r="G1180">
            <v>110224</v>
          </cell>
          <cell r="K1180" t="str">
            <v>PSS</v>
          </cell>
          <cell r="M1180" t="str">
            <v>DEL</v>
          </cell>
          <cell r="N1180" t="str">
            <v>Resource</v>
          </cell>
          <cell r="Q1180" t="str">
            <v>yes</v>
          </cell>
          <cell r="X1180">
            <v>4500</v>
          </cell>
          <cell r="Y1180" t="str">
            <v xml:space="preserve"> </v>
          </cell>
          <cell r="Z1180" t="str">
            <v xml:space="preserve"> </v>
          </cell>
        </row>
        <row r="1181">
          <cell r="B1181" t="str">
            <v>L46</v>
          </cell>
          <cell r="F1181">
            <v>12</v>
          </cell>
          <cell r="G1181">
            <v>180700</v>
          </cell>
          <cell r="K1181">
            <v>0</v>
          </cell>
          <cell r="M1181" t="str">
            <v>AME</v>
          </cell>
          <cell r="N1181" t="str">
            <v>Resource</v>
          </cell>
          <cell r="Q1181" t="str">
            <v>no</v>
          </cell>
          <cell r="X1181" t="str">
            <v xml:space="preserve"> </v>
          </cell>
          <cell r="Y1181">
            <v>7916</v>
          </cell>
          <cell r="Z1181">
            <v>-22282</v>
          </cell>
        </row>
        <row r="1182">
          <cell r="B1182" t="str">
            <v>M10</v>
          </cell>
          <cell r="F1182">
            <v>2</v>
          </cell>
          <cell r="G1182">
            <v>110224</v>
          </cell>
          <cell r="K1182" t="str">
            <v>PSS</v>
          </cell>
          <cell r="M1182" t="str">
            <v>DEL</v>
          </cell>
          <cell r="N1182" t="str">
            <v>Resource</v>
          </cell>
          <cell r="Q1182" t="str">
            <v>yes</v>
          </cell>
          <cell r="X1182" t="str">
            <v xml:space="preserve"> </v>
          </cell>
          <cell r="Y1182">
            <v>4500</v>
          </cell>
          <cell r="Z1182">
            <v>4500</v>
          </cell>
        </row>
        <row r="1183">
          <cell r="B1183" t="str">
            <v>M10</v>
          </cell>
          <cell r="F1183">
            <v>4</v>
          </cell>
          <cell r="G1183">
            <v>110224</v>
          </cell>
          <cell r="K1183" t="str">
            <v>PSS</v>
          </cell>
          <cell r="M1183" t="str">
            <v>DEL</v>
          </cell>
          <cell r="N1183" t="str">
            <v>Resource</v>
          </cell>
          <cell r="Q1183" t="str">
            <v>yes</v>
          </cell>
          <cell r="X1183" t="str">
            <v xml:space="preserve"> </v>
          </cell>
          <cell r="Y1183" t="str">
            <v xml:space="preserve"> </v>
          </cell>
          <cell r="Z1183" t="str">
            <v xml:space="preserve"> </v>
          </cell>
        </row>
        <row r="1184">
          <cell r="B1184" t="str">
            <v>M10</v>
          </cell>
          <cell r="F1184">
            <v>1</v>
          </cell>
          <cell r="G1184">
            <v>110225</v>
          </cell>
          <cell r="K1184" t="str">
            <v>PSS</v>
          </cell>
          <cell r="M1184" t="str">
            <v>DEL</v>
          </cell>
          <cell r="N1184" t="str">
            <v>Resource</v>
          </cell>
          <cell r="Q1184" t="str">
            <v>yes</v>
          </cell>
          <cell r="X1184" t="str">
            <v xml:space="preserve"> </v>
          </cell>
          <cell r="Y1184" t="str">
            <v xml:space="preserve"> </v>
          </cell>
          <cell r="Z1184" t="str">
            <v xml:space="preserve"> </v>
          </cell>
        </row>
        <row r="1185">
          <cell r="B1185" t="str">
            <v>M10</v>
          </cell>
          <cell r="F1185">
            <v>1</v>
          </cell>
          <cell r="G1185">
            <v>110227</v>
          </cell>
          <cell r="K1185" t="str">
            <v>PSS</v>
          </cell>
          <cell r="M1185" t="str">
            <v>DEL</v>
          </cell>
          <cell r="N1185" t="str">
            <v>Resource</v>
          </cell>
          <cell r="Q1185" t="str">
            <v>yes</v>
          </cell>
          <cell r="X1185">
            <v>133775</v>
          </cell>
          <cell r="Y1185" t="str">
            <v xml:space="preserve"> </v>
          </cell>
          <cell r="Z1185" t="str">
            <v xml:space="preserve"> </v>
          </cell>
        </row>
        <row r="1186">
          <cell r="B1186" t="str">
            <v>M10</v>
          </cell>
          <cell r="F1186">
            <v>4</v>
          </cell>
          <cell r="G1186">
            <v>110227</v>
          </cell>
          <cell r="K1186" t="str">
            <v>PSS</v>
          </cell>
          <cell r="M1186" t="str">
            <v>DEL</v>
          </cell>
          <cell r="N1186" t="str">
            <v>Resource</v>
          </cell>
          <cell r="Q1186" t="str">
            <v>yes</v>
          </cell>
          <cell r="X1186">
            <v>214455</v>
          </cell>
          <cell r="Y1186">
            <v>163790</v>
          </cell>
          <cell r="Z1186">
            <v>141473</v>
          </cell>
        </row>
        <row r="1187">
          <cell r="B1187" t="str">
            <v>M10</v>
          </cell>
          <cell r="F1187">
            <v>2</v>
          </cell>
          <cell r="G1187">
            <v>110227</v>
          </cell>
          <cell r="K1187" t="str">
            <v>PSS</v>
          </cell>
          <cell r="M1187" t="str">
            <v>DEL</v>
          </cell>
          <cell r="N1187" t="str">
            <v>Resource</v>
          </cell>
          <cell r="Q1187" t="str">
            <v>yes</v>
          </cell>
          <cell r="X1187" t="str">
            <v xml:space="preserve"> </v>
          </cell>
          <cell r="Y1187" t="str">
            <v xml:space="preserve"> </v>
          </cell>
          <cell r="Z1187" t="str">
            <v xml:space="preserve"> </v>
          </cell>
        </row>
        <row r="1188">
          <cell r="B1188" t="str">
            <v>M10</v>
          </cell>
          <cell r="F1188">
            <v>8</v>
          </cell>
          <cell r="G1188">
            <v>110227</v>
          </cell>
          <cell r="K1188" t="str">
            <v>PSS</v>
          </cell>
          <cell r="M1188" t="str">
            <v>DEL</v>
          </cell>
          <cell r="N1188" t="str">
            <v>Resource</v>
          </cell>
          <cell r="Q1188" t="str">
            <v>yes</v>
          </cell>
          <cell r="X1188" t="str">
            <v xml:space="preserve"> </v>
          </cell>
          <cell r="Y1188" t="str">
            <v xml:space="preserve"> </v>
          </cell>
          <cell r="Z1188" t="str">
            <v xml:space="preserve"> </v>
          </cell>
        </row>
        <row r="1189">
          <cell r="B1189" t="str">
            <v>M10</v>
          </cell>
          <cell r="F1189">
            <v>2</v>
          </cell>
          <cell r="G1189">
            <v>110227</v>
          </cell>
          <cell r="K1189" t="str">
            <v>PSS</v>
          </cell>
          <cell r="M1189" t="str">
            <v>DEL</v>
          </cell>
          <cell r="N1189" t="str">
            <v>Resource</v>
          </cell>
          <cell r="Q1189" t="str">
            <v>yes</v>
          </cell>
          <cell r="X1189" t="str">
            <v xml:space="preserve"> </v>
          </cell>
          <cell r="Y1189">
            <v>133775</v>
          </cell>
          <cell r="Z1189">
            <v>133775</v>
          </cell>
        </row>
        <row r="1190">
          <cell r="B1190" t="str">
            <v>M10</v>
          </cell>
          <cell r="F1190">
            <v>6</v>
          </cell>
          <cell r="G1190">
            <v>110227</v>
          </cell>
          <cell r="K1190" t="str">
            <v>PSS</v>
          </cell>
          <cell r="M1190" t="str">
            <v>DEL</v>
          </cell>
          <cell r="N1190" t="str">
            <v>Resource</v>
          </cell>
          <cell r="Q1190" t="str">
            <v>yes</v>
          </cell>
          <cell r="X1190" t="str">
            <v xml:space="preserve"> </v>
          </cell>
          <cell r="Y1190" t="str">
            <v xml:space="preserve"> </v>
          </cell>
          <cell r="Z1190" t="str">
            <v xml:space="preserve"> </v>
          </cell>
        </row>
        <row r="1191">
          <cell r="B1191" t="str">
            <v>M10</v>
          </cell>
          <cell r="F1191">
            <v>6</v>
          </cell>
          <cell r="G1191">
            <v>110227</v>
          </cell>
          <cell r="K1191" t="str">
            <v>PSS</v>
          </cell>
          <cell r="M1191" t="str">
            <v>DEL</v>
          </cell>
          <cell r="N1191" t="str">
            <v>Resource</v>
          </cell>
          <cell r="Q1191" t="str">
            <v>yes</v>
          </cell>
          <cell r="X1191" t="str">
            <v xml:space="preserve"> </v>
          </cell>
          <cell r="Y1191" t="str">
            <v xml:space="preserve"> </v>
          </cell>
          <cell r="Z1191" t="str">
            <v xml:space="preserve"> </v>
          </cell>
        </row>
        <row r="1192">
          <cell r="B1192" t="str">
            <v>M10</v>
          </cell>
          <cell r="F1192">
            <v>1</v>
          </cell>
          <cell r="G1192">
            <v>110228</v>
          </cell>
          <cell r="K1192" t="str">
            <v>PSS</v>
          </cell>
          <cell r="M1192" t="str">
            <v>DEL</v>
          </cell>
          <cell r="N1192" t="str">
            <v>Resource</v>
          </cell>
          <cell r="Q1192" t="str">
            <v>yes</v>
          </cell>
          <cell r="X1192">
            <v>428910</v>
          </cell>
          <cell r="Y1192" t="str">
            <v xml:space="preserve"> </v>
          </cell>
          <cell r="Z1192" t="str">
            <v xml:space="preserve"> </v>
          </cell>
        </row>
        <row r="1193">
          <cell r="B1193" t="str">
            <v>M10</v>
          </cell>
          <cell r="F1193">
            <v>4</v>
          </cell>
          <cell r="G1193">
            <v>110228</v>
          </cell>
          <cell r="K1193" t="str">
            <v>PSS</v>
          </cell>
          <cell r="M1193" t="str">
            <v>DEL</v>
          </cell>
          <cell r="N1193" t="str">
            <v>Resource</v>
          </cell>
          <cell r="Q1193" t="str">
            <v>yes</v>
          </cell>
          <cell r="X1193">
            <v>-214455</v>
          </cell>
          <cell r="Y1193">
            <v>-163790</v>
          </cell>
          <cell r="Z1193">
            <v>-141473</v>
          </cell>
        </row>
        <row r="1194">
          <cell r="B1194" t="str">
            <v>L46</v>
          </cell>
          <cell r="F1194">
            <v>12</v>
          </cell>
          <cell r="G1194">
            <v>180700</v>
          </cell>
          <cell r="K1194">
            <v>0</v>
          </cell>
          <cell r="M1194" t="str">
            <v>AME</v>
          </cell>
          <cell r="N1194" t="str">
            <v>Resource</v>
          </cell>
          <cell r="Q1194" t="str">
            <v>no</v>
          </cell>
          <cell r="X1194" t="str">
            <v xml:space="preserve"> </v>
          </cell>
          <cell r="Y1194" t="str">
            <v xml:space="preserve"> </v>
          </cell>
          <cell r="Z1194" t="str">
            <v xml:space="preserve"> </v>
          </cell>
        </row>
        <row r="1195">
          <cell r="B1195" t="str">
            <v>M10</v>
          </cell>
          <cell r="F1195">
            <v>4</v>
          </cell>
          <cell r="G1195">
            <v>110228</v>
          </cell>
          <cell r="K1195" t="str">
            <v>PSS</v>
          </cell>
          <cell r="M1195" t="str">
            <v>DEL</v>
          </cell>
          <cell r="N1195" t="str">
            <v>Resource</v>
          </cell>
          <cell r="Q1195" t="str">
            <v>yes</v>
          </cell>
          <cell r="X1195" t="str">
            <v xml:space="preserve"> </v>
          </cell>
          <cell r="Y1195">
            <v>-30000</v>
          </cell>
          <cell r="Z1195">
            <v>-50000</v>
          </cell>
        </row>
        <row r="1196">
          <cell r="B1196" t="str">
            <v>L46</v>
          </cell>
          <cell r="F1196">
            <v>12</v>
          </cell>
          <cell r="G1196">
            <v>180701</v>
          </cell>
          <cell r="K1196">
            <v>0</v>
          </cell>
          <cell r="M1196" t="str">
            <v>AME</v>
          </cell>
          <cell r="N1196" t="str">
            <v>Resource</v>
          </cell>
          <cell r="Q1196" t="str">
            <v>no</v>
          </cell>
          <cell r="X1196" t="str">
            <v xml:space="preserve"> </v>
          </cell>
          <cell r="Y1196">
            <v>-53933</v>
          </cell>
          <cell r="Z1196">
            <v>-57170</v>
          </cell>
        </row>
        <row r="1197">
          <cell r="B1197" t="str">
            <v>M10</v>
          </cell>
          <cell r="F1197">
            <v>4</v>
          </cell>
          <cell r="G1197">
            <v>110228</v>
          </cell>
          <cell r="K1197" t="str">
            <v>PSS</v>
          </cell>
          <cell r="M1197" t="str">
            <v>DEL</v>
          </cell>
          <cell r="N1197" t="str">
            <v>Resource</v>
          </cell>
          <cell r="Q1197" t="str">
            <v>yes</v>
          </cell>
          <cell r="X1197" t="str">
            <v xml:space="preserve"> </v>
          </cell>
          <cell r="Y1197">
            <v>-20000</v>
          </cell>
          <cell r="Z1197">
            <v>-40000</v>
          </cell>
        </row>
        <row r="1198">
          <cell r="B1198" t="str">
            <v>M10</v>
          </cell>
          <cell r="F1198">
            <v>4</v>
          </cell>
          <cell r="G1198">
            <v>110228</v>
          </cell>
          <cell r="K1198" t="str">
            <v>PSS</v>
          </cell>
          <cell r="M1198" t="str">
            <v>DEL</v>
          </cell>
          <cell r="N1198" t="str">
            <v>Resource</v>
          </cell>
          <cell r="Q1198" t="str">
            <v>yes</v>
          </cell>
          <cell r="X1198" t="str">
            <v xml:space="preserve"> </v>
          </cell>
          <cell r="Y1198">
            <v>-215120</v>
          </cell>
          <cell r="Z1198">
            <v>-197437</v>
          </cell>
        </row>
        <row r="1199">
          <cell r="B1199" t="str">
            <v>M10</v>
          </cell>
          <cell r="F1199">
            <v>8</v>
          </cell>
          <cell r="G1199">
            <v>110228</v>
          </cell>
          <cell r="K1199" t="str">
            <v>PSS</v>
          </cell>
          <cell r="M1199" t="str">
            <v>DEL</v>
          </cell>
          <cell r="N1199" t="str">
            <v>Resource</v>
          </cell>
          <cell r="Q1199" t="str">
            <v>yes</v>
          </cell>
          <cell r="X1199" t="str">
            <v xml:space="preserve"> </v>
          </cell>
          <cell r="Y1199" t="str">
            <v xml:space="preserve"> </v>
          </cell>
          <cell r="Z1199" t="str">
            <v xml:space="preserve"> </v>
          </cell>
        </row>
        <row r="1200">
          <cell r="B1200" t="str">
            <v>M10</v>
          </cell>
          <cell r="F1200">
            <v>2</v>
          </cell>
          <cell r="G1200">
            <v>110228</v>
          </cell>
          <cell r="K1200" t="str">
            <v>PSS</v>
          </cell>
          <cell r="M1200" t="str">
            <v>DEL</v>
          </cell>
          <cell r="N1200" t="str">
            <v>Resource</v>
          </cell>
          <cell r="Q1200" t="str">
            <v>yes</v>
          </cell>
          <cell r="X1200" t="str">
            <v xml:space="preserve"> </v>
          </cell>
          <cell r="Y1200">
            <v>428910</v>
          </cell>
          <cell r="Z1200">
            <v>428910</v>
          </cell>
        </row>
        <row r="1201">
          <cell r="B1201" t="str">
            <v>M10</v>
          </cell>
          <cell r="F1201">
            <v>1</v>
          </cell>
          <cell r="G1201">
            <v>110229</v>
          </cell>
          <cell r="K1201" t="str">
            <v>PSS</v>
          </cell>
          <cell r="M1201" t="str">
            <v>DEL</v>
          </cell>
          <cell r="N1201" t="str">
            <v>Resource</v>
          </cell>
          <cell r="Q1201" t="str">
            <v>yes</v>
          </cell>
          <cell r="X1201">
            <v>94859</v>
          </cell>
          <cell r="Y1201" t="str">
            <v xml:space="preserve"> </v>
          </cell>
          <cell r="Z1201" t="str">
            <v xml:space="preserve"> </v>
          </cell>
        </row>
        <row r="1202">
          <cell r="B1202" t="str">
            <v>M10</v>
          </cell>
          <cell r="F1202">
            <v>2</v>
          </cell>
          <cell r="G1202">
            <v>110229</v>
          </cell>
          <cell r="K1202" t="str">
            <v>PSS</v>
          </cell>
          <cell r="M1202" t="str">
            <v>DEL</v>
          </cell>
          <cell r="N1202" t="str">
            <v>Resource</v>
          </cell>
          <cell r="Q1202" t="str">
            <v>yes</v>
          </cell>
          <cell r="X1202" t="str">
            <v xml:space="preserve"> </v>
          </cell>
          <cell r="Y1202">
            <v>94859</v>
          </cell>
          <cell r="Z1202">
            <v>94859</v>
          </cell>
        </row>
        <row r="1203">
          <cell r="B1203" t="str">
            <v>L46</v>
          </cell>
          <cell r="F1203">
            <v>12</v>
          </cell>
          <cell r="G1203">
            <v>180701</v>
          </cell>
          <cell r="K1203">
            <v>0</v>
          </cell>
          <cell r="M1203" t="str">
            <v>AME</v>
          </cell>
          <cell r="N1203" t="str">
            <v>Resource</v>
          </cell>
          <cell r="Q1203" t="str">
            <v>no</v>
          </cell>
          <cell r="X1203" t="str">
            <v xml:space="preserve"> </v>
          </cell>
          <cell r="Y1203" t="str">
            <v xml:space="preserve"> </v>
          </cell>
          <cell r="Z1203" t="str">
            <v xml:space="preserve"> </v>
          </cell>
        </row>
        <row r="1204">
          <cell r="B1204" t="str">
            <v>G20</v>
          </cell>
          <cell r="F1204">
            <v>3</v>
          </cell>
          <cell r="G1204">
            <v>110101</v>
          </cell>
          <cell r="K1204">
            <v>0</v>
          </cell>
          <cell r="M1204" t="str">
            <v>DEL</v>
          </cell>
          <cell r="N1204" t="str">
            <v>Resource</v>
          </cell>
          <cell r="Q1204" t="str">
            <v>no</v>
          </cell>
          <cell r="X1204" t="str">
            <v xml:space="preserve"> </v>
          </cell>
          <cell r="Y1204" t="str">
            <v xml:space="preserve"> </v>
          </cell>
          <cell r="Z1204" t="str">
            <v xml:space="preserve"> </v>
          </cell>
        </row>
        <row r="1205">
          <cell r="B1205" t="str">
            <v>M10</v>
          </cell>
          <cell r="F1205">
            <v>1</v>
          </cell>
          <cell r="G1205">
            <v>110230</v>
          </cell>
          <cell r="K1205" t="str">
            <v>PSS</v>
          </cell>
          <cell r="M1205" t="str">
            <v>DEL</v>
          </cell>
          <cell r="N1205" t="str">
            <v>Resource</v>
          </cell>
          <cell r="Q1205" t="str">
            <v>yes</v>
          </cell>
          <cell r="X1205">
            <v>100000</v>
          </cell>
          <cell r="Y1205" t="str">
            <v xml:space="preserve"> </v>
          </cell>
          <cell r="Z1205" t="str">
            <v xml:space="preserve"> </v>
          </cell>
        </row>
        <row r="1206">
          <cell r="B1206" t="str">
            <v>M10</v>
          </cell>
          <cell r="F1206">
            <v>2</v>
          </cell>
          <cell r="G1206">
            <v>110230</v>
          </cell>
          <cell r="K1206" t="str">
            <v>PSS</v>
          </cell>
          <cell r="M1206" t="str">
            <v>DEL</v>
          </cell>
          <cell r="N1206" t="str">
            <v>Resource</v>
          </cell>
          <cell r="Q1206" t="str">
            <v>yes</v>
          </cell>
          <cell r="X1206" t="str">
            <v xml:space="preserve"> </v>
          </cell>
          <cell r="Y1206" t="str">
            <v xml:space="preserve"> </v>
          </cell>
          <cell r="Z1206" t="str">
            <v xml:space="preserve"> </v>
          </cell>
        </row>
        <row r="1207">
          <cell r="B1207" t="str">
            <v>M10</v>
          </cell>
          <cell r="F1207">
            <v>8</v>
          </cell>
          <cell r="G1207">
            <v>110230</v>
          </cell>
          <cell r="K1207" t="str">
            <v>PSS</v>
          </cell>
          <cell r="M1207" t="str">
            <v>DEL</v>
          </cell>
          <cell r="N1207" t="str">
            <v>Resource</v>
          </cell>
          <cell r="Q1207" t="str">
            <v>yes</v>
          </cell>
          <cell r="X1207" t="str">
            <v xml:space="preserve"> </v>
          </cell>
          <cell r="Y1207" t="str">
            <v xml:space="preserve"> </v>
          </cell>
          <cell r="Z1207" t="str">
            <v xml:space="preserve"> </v>
          </cell>
        </row>
        <row r="1208">
          <cell r="B1208" t="str">
            <v>M10</v>
          </cell>
          <cell r="F1208">
            <v>2</v>
          </cell>
          <cell r="G1208">
            <v>110230</v>
          </cell>
          <cell r="K1208" t="str">
            <v>PSS</v>
          </cell>
          <cell r="M1208" t="str">
            <v>DEL</v>
          </cell>
          <cell r="N1208" t="str">
            <v>Resource</v>
          </cell>
          <cell r="Q1208" t="str">
            <v>yes</v>
          </cell>
          <cell r="X1208" t="str">
            <v xml:space="preserve"> </v>
          </cell>
          <cell r="Y1208">
            <v>100000</v>
          </cell>
          <cell r="Z1208">
            <v>100000</v>
          </cell>
        </row>
        <row r="1209">
          <cell r="B1209" t="str">
            <v>G20</v>
          </cell>
          <cell r="F1209">
            <v>3</v>
          </cell>
          <cell r="G1209">
            <v>110101</v>
          </cell>
          <cell r="K1209">
            <v>0</v>
          </cell>
          <cell r="M1209" t="str">
            <v>DEL</v>
          </cell>
          <cell r="N1209" t="str">
            <v>Resource</v>
          </cell>
          <cell r="Q1209" t="str">
            <v>no</v>
          </cell>
          <cell r="X1209" t="str">
            <v xml:space="preserve"> </v>
          </cell>
          <cell r="Y1209" t="str">
            <v xml:space="preserve"> </v>
          </cell>
          <cell r="Z1209" t="str">
            <v xml:space="preserve"> </v>
          </cell>
        </row>
        <row r="1210">
          <cell r="B1210" t="str">
            <v>M10</v>
          </cell>
          <cell r="F1210">
            <v>1</v>
          </cell>
          <cell r="G1210">
            <v>110231</v>
          </cell>
          <cell r="K1210" t="str">
            <v>PSS</v>
          </cell>
          <cell r="M1210" t="str">
            <v>DEL</v>
          </cell>
          <cell r="N1210" t="str">
            <v>Resource</v>
          </cell>
          <cell r="Q1210" t="str">
            <v>yes</v>
          </cell>
          <cell r="X1210">
            <v>542000</v>
          </cell>
          <cell r="Y1210" t="str">
            <v xml:space="preserve"> </v>
          </cell>
          <cell r="Z1210" t="str">
            <v xml:space="preserve"> </v>
          </cell>
        </row>
        <row r="1211">
          <cell r="B1211" t="str">
            <v>X11</v>
          </cell>
          <cell r="F1211">
            <v>4</v>
          </cell>
          <cell r="G1211">
            <v>110302</v>
          </cell>
          <cell r="K1211">
            <v>0</v>
          </cell>
          <cell r="M1211" t="str">
            <v>DEL</v>
          </cell>
          <cell r="N1211" t="str">
            <v>Resource</v>
          </cell>
          <cell r="Q1211" t="str">
            <v>no</v>
          </cell>
          <cell r="X1211">
            <v>-32</v>
          </cell>
          <cell r="Y1211">
            <v>-32</v>
          </cell>
          <cell r="Z1211">
            <v>-32</v>
          </cell>
        </row>
        <row r="1212">
          <cell r="B1212" t="str">
            <v>E15</v>
          </cell>
          <cell r="F1212">
            <v>1</v>
          </cell>
          <cell r="G1212">
            <v>110306</v>
          </cell>
          <cell r="K1212">
            <v>0</v>
          </cell>
          <cell r="M1212" t="str">
            <v>DEL</v>
          </cell>
          <cell r="N1212" t="str">
            <v>Capital</v>
          </cell>
          <cell r="Q1212" t="str">
            <v>no</v>
          </cell>
          <cell r="X1212">
            <v>6027</v>
          </cell>
          <cell r="Y1212" t="str">
            <v xml:space="preserve"> </v>
          </cell>
          <cell r="Z1212" t="str">
            <v xml:space="preserve"> </v>
          </cell>
        </row>
        <row r="1213">
          <cell r="B1213" t="str">
            <v>X11</v>
          </cell>
          <cell r="F1213">
            <v>1</v>
          </cell>
          <cell r="G1213">
            <v>110401</v>
          </cell>
          <cell r="K1213">
            <v>0</v>
          </cell>
          <cell r="M1213" t="str">
            <v>DEL</v>
          </cell>
          <cell r="N1213" t="str">
            <v>Resource</v>
          </cell>
          <cell r="Q1213" t="str">
            <v>no</v>
          </cell>
          <cell r="X1213" t="str">
            <v xml:space="preserve"> </v>
          </cell>
          <cell r="Y1213" t="str">
            <v xml:space="preserve"> </v>
          </cell>
          <cell r="Z1213" t="str">
            <v xml:space="preserve"> </v>
          </cell>
        </row>
        <row r="1214">
          <cell r="B1214" t="str">
            <v>E15</v>
          </cell>
          <cell r="F1214">
            <v>2</v>
          </cell>
          <cell r="G1214">
            <v>110306</v>
          </cell>
          <cell r="K1214">
            <v>0</v>
          </cell>
          <cell r="M1214" t="str">
            <v>DEL</v>
          </cell>
          <cell r="N1214" t="str">
            <v>Capital</v>
          </cell>
          <cell r="Q1214" t="str">
            <v>no</v>
          </cell>
          <cell r="X1214" t="str">
            <v xml:space="preserve"> </v>
          </cell>
          <cell r="Y1214">
            <v>6027</v>
          </cell>
          <cell r="Z1214">
            <v>6027</v>
          </cell>
        </row>
        <row r="1215">
          <cell r="B1215" t="str">
            <v>E15</v>
          </cell>
          <cell r="F1215">
            <v>6</v>
          </cell>
          <cell r="G1215">
            <v>110306</v>
          </cell>
          <cell r="K1215">
            <v>0</v>
          </cell>
          <cell r="M1215" t="str">
            <v>DEL</v>
          </cell>
          <cell r="N1215" t="str">
            <v>Capital</v>
          </cell>
          <cell r="Q1215" t="str">
            <v>no</v>
          </cell>
          <cell r="X1215" t="str">
            <v xml:space="preserve"> </v>
          </cell>
          <cell r="Y1215" t="str">
            <v xml:space="preserve"> </v>
          </cell>
          <cell r="Z1215" t="str">
            <v xml:space="preserve"> </v>
          </cell>
        </row>
        <row r="1216">
          <cell r="B1216" t="str">
            <v>H35</v>
          </cell>
          <cell r="F1216">
            <v>1</v>
          </cell>
          <cell r="G1216">
            <v>110402</v>
          </cell>
          <cell r="K1216">
            <v>0</v>
          </cell>
          <cell r="M1216" t="str">
            <v>DEL</v>
          </cell>
          <cell r="N1216" t="str">
            <v>Capital</v>
          </cell>
          <cell r="Q1216" t="str">
            <v>no</v>
          </cell>
          <cell r="X1216" t="str">
            <v xml:space="preserve"> </v>
          </cell>
          <cell r="Y1216" t="str">
            <v xml:space="preserve"> </v>
          </cell>
          <cell r="Z1216" t="str">
            <v xml:space="preserve"> </v>
          </cell>
        </row>
        <row r="1217">
          <cell r="B1217" t="str">
            <v>H35</v>
          </cell>
          <cell r="F1217">
            <v>1</v>
          </cell>
          <cell r="G1217">
            <v>110409</v>
          </cell>
          <cell r="K1217">
            <v>0</v>
          </cell>
          <cell r="M1217" t="str">
            <v>DEL</v>
          </cell>
          <cell r="N1217" t="str">
            <v>Capital</v>
          </cell>
          <cell r="Q1217" t="str">
            <v>no</v>
          </cell>
          <cell r="X1217">
            <v>256</v>
          </cell>
          <cell r="Y1217" t="str">
            <v xml:space="preserve"> </v>
          </cell>
          <cell r="Z1217" t="str">
            <v xml:space="preserve"> </v>
          </cell>
        </row>
        <row r="1218">
          <cell r="B1218" t="str">
            <v>H35</v>
          </cell>
          <cell r="F1218">
            <v>1</v>
          </cell>
          <cell r="G1218">
            <v>110403</v>
          </cell>
          <cell r="K1218">
            <v>0</v>
          </cell>
          <cell r="M1218" t="str">
            <v>DEL</v>
          </cell>
          <cell r="N1218" t="str">
            <v>Capital</v>
          </cell>
          <cell r="Q1218" t="str">
            <v>no</v>
          </cell>
          <cell r="X1218" t="str">
            <v xml:space="preserve"> </v>
          </cell>
          <cell r="Y1218" t="str">
            <v xml:space="preserve"> </v>
          </cell>
          <cell r="Z1218" t="str">
            <v xml:space="preserve"> </v>
          </cell>
        </row>
        <row r="1219">
          <cell r="B1219" t="str">
            <v>H35</v>
          </cell>
          <cell r="F1219">
            <v>1</v>
          </cell>
          <cell r="G1219">
            <v>110403</v>
          </cell>
          <cell r="K1219">
            <v>0</v>
          </cell>
          <cell r="M1219" t="str">
            <v>DEL</v>
          </cell>
          <cell r="N1219" t="str">
            <v>Capital</v>
          </cell>
          <cell r="Q1219" t="str">
            <v>no</v>
          </cell>
          <cell r="X1219" t="str">
            <v xml:space="preserve"> </v>
          </cell>
          <cell r="Y1219" t="str">
            <v xml:space="preserve"> </v>
          </cell>
          <cell r="Z1219" t="str">
            <v xml:space="preserve"> </v>
          </cell>
        </row>
        <row r="1220">
          <cell r="B1220" t="str">
            <v>H35</v>
          </cell>
          <cell r="F1220">
            <v>6</v>
          </cell>
          <cell r="G1220">
            <v>110409</v>
          </cell>
          <cell r="K1220">
            <v>0</v>
          </cell>
          <cell r="M1220" t="str">
            <v>DEL</v>
          </cell>
          <cell r="N1220" t="str">
            <v>Capital</v>
          </cell>
          <cell r="Q1220" t="str">
            <v>no</v>
          </cell>
          <cell r="X1220">
            <v>-256</v>
          </cell>
          <cell r="Y1220">
            <v>-256</v>
          </cell>
          <cell r="Z1220">
            <v>-256</v>
          </cell>
        </row>
        <row r="1221">
          <cell r="B1221" t="str">
            <v>M10</v>
          </cell>
          <cell r="F1221">
            <v>4</v>
          </cell>
          <cell r="G1221">
            <v>110231</v>
          </cell>
          <cell r="K1221" t="str">
            <v>PSS</v>
          </cell>
          <cell r="M1221" t="str">
            <v>DEL</v>
          </cell>
          <cell r="N1221" t="str">
            <v>Resource</v>
          </cell>
          <cell r="Q1221" t="str">
            <v>yes</v>
          </cell>
          <cell r="X1221">
            <v>94857</v>
          </cell>
          <cell r="Y1221" t="str">
            <v xml:space="preserve"> </v>
          </cell>
          <cell r="Z1221" t="str">
            <v xml:space="preserve"> </v>
          </cell>
        </row>
        <row r="1222">
          <cell r="B1222" t="str">
            <v>H35</v>
          </cell>
          <cell r="F1222">
            <v>2</v>
          </cell>
          <cell r="G1222">
            <v>110409</v>
          </cell>
          <cell r="K1222">
            <v>0</v>
          </cell>
          <cell r="M1222" t="str">
            <v>DEL</v>
          </cell>
          <cell r="N1222" t="str">
            <v>Capital</v>
          </cell>
          <cell r="Q1222" t="str">
            <v>no</v>
          </cell>
          <cell r="X1222" t="str">
            <v xml:space="preserve"> </v>
          </cell>
          <cell r="Y1222">
            <v>256</v>
          </cell>
          <cell r="Z1222">
            <v>256</v>
          </cell>
        </row>
        <row r="1223">
          <cell r="B1223" t="str">
            <v>H35</v>
          </cell>
          <cell r="F1223">
            <v>6</v>
          </cell>
          <cell r="G1223">
            <v>110402</v>
          </cell>
          <cell r="K1223">
            <v>0</v>
          </cell>
          <cell r="M1223" t="str">
            <v>DEL</v>
          </cell>
          <cell r="N1223" t="str">
            <v>Capital</v>
          </cell>
          <cell r="Q1223" t="str">
            <v>no</v>
          </cell>
          <cell r="X1223" t="str">
            <v xml:space="preserve"> </v>
          </cell>
          <cell r="Y1223" t="str">
            <v xml:space="preserve"> </v>
          </cell>
          <cell r="Z1223" t="str">
            <v xml:space="preserve"> </v>
          </cell>
        </row>
        <row r="1224">
          <cell r="B1224" t="str">
            <v>H35</v>
          </cell>
          <cell r="F1224">
            <v>6</v>
          </cell>
          <cell r="G1224">
            <v>110409</v>
          </cell>
          <cell r="K1224">
            <v>0</v>
          </cell>
          <cell r="M1224" t="str">
            <v>DEL</v>
          </cell>
          <cell r="N1224" t="str">
            <v>Capital</v>
          </cell>
          <cell r="Q1224" t="str">
            <v>no</v>
          </cell>
          <cell r="X1224" t="str">
            <v xml:space="preserve"> </v>
          </cell>
          <cell r="Y1224" t="str">
            <v xml:space="preserve"> </v>
          </cell>
          <cell r="Z1224" t="str">
            <v xml:space="preserve"> </v>
          </cell>
        </row>
        <row r="1225">
          <cell r="B1225" t="str">
            <v>M10</v>
          </cell>
          <cell r="F1225">
            <v>4</v>
          </cell>
          <cell r="G1225">
            <v>110231</v>
          </cell>
          <cell r="K1225" t="str">
            <v>PSS</v>
          </cell>
          <cell r="M1225" t="str">
            <v>DEL</v>
          </cell>
          <cell r="N1225" t="str">
            <v>Resource</v>
          </cell>
          <cell r="Q1225" t="str">
            <v>yes</v>
          </cell>
          <cell r="X1225">
            <v>246</v>
          </cell>
          <cell r="Y1225" t="str">
            <v xml:space="preserve"> </v>
          </cell>
          <cell r="Z1225" t="str">
            <v xml:space="preserve"> </v>
          </cell>
        </row>
        <row r="1226">
          <cell r="B1226" t="str">
            <v>M10</v>
          </cell>
          <cell r="F1226">
            <v>4</v>
          </cell>
          <cell r="G1226">
            <v>110231</v>
          </cell>
          <cell r="K1226" t="str">
            <v>PSS</v>
          </cell>
          <cell r="M1226" t="str">
            <v>DEL</v>
          </cell>
          <cell r="N1226" t="str">
            <v>Resource</v>
          </cell>
          <cell r="Q1226" t="str">
            <v>yes</v>
          </cell>
          <cell r="X1226">
            <v>4897</v>
          </cell>
          <cell r="Y1226" t="str">
            <v xml:space="preserve"> </v>
          </cell>
          <cell r="Z1226" t="str">
            <v xml:space="preserve"> </v>
          </cell>
        </row>
        <row r="1227">
          <cell r="B1227" t="str">
            <v>M10</v>
          </cell>
          <cell r="F1227">
            <v>2</v>
          </cell>
          <cell r="G1227">
            <v>110231</v>
          </cell>
          <cell r="K1227" t="str">
            <v>PSS</v>
          </cell>
          <cell r="M1227" t="str">
            <v>DEL</v>
          </cell>
          <cell r="N1227" t="str">
            <v>Resource</v>
          </cell>
          <cell r="Q1227" t="str">
            <v>yes</v>
          </cell>
          <cell r="X1227" t="str">
            <v xml:space="preserve"> </v>
          </cell>
          <cell r="Y1227" t="str">
            <v xml:space="preserve"> </v>
          </cell>
          <cell r="Z1227" t="str">
            <v xml:space="preserve"> </v>
          </cell>
        </row>
        <row r="1228">
          <cell r="B1228" t="str">
            <v>M10</v>
          </cell>
          <cell r="F1228">
            <v>8</v>
          </cell>
          <cell r="G1228">
            <v>110231</v>
          </cell>
          <cell r="K1228" t="str">
            <v>PSS</v>
          </cell>
          <cell r="M1228" t="str">
            <v>DEL</v>
          </cell>
          <cell r="N1228" t="str">
            <v>Resource</v>
          </cell>
          <cell r="Q1228" t="str">
            <v>yes</v>
          </cell>
          <cell r="X1228" t="str">
            <v xml:space="preserve"> </v>
          </cell>
          <cell r="Y1228" t="str">
            <v xml:space="preserve"> </v>
          </cell>
          <cell r="Z1228" t="str">
            <v xml:space="preserve"> </v>
          </cell>
        </row>
        <row r="1229">
          <cell r="B1229" t="str">
            <v>M10</v>
          </cell>
          <cell r="F1229">
            <v>2</v>
          </cell>
          <cell r="G1229">
            <v>110231</v>
          </cell>
          <cell r="K1229" t="str">
            <v>PSS</v>
          </cell>
          <cell r="M1229" t="str">
            <v>DEL</v>
          </cell>
          <cell r="N1229" t="str">
            <v>Resource</v>
          </cell>
          <cell r="Q1229" t="str">
            <v>yes</v>
          </cell>
          <cell r="X1229" t="str">
            <v xml:space="preserve"> </v>
          </cell>
          <cell r="Y1229">
            <v>542000</v>
          </cell>
          <cell r="Z1229">
            <v>542000</v>
          </cell>
        </row>
        <row r="1230">
          <cell r="B1230" t="str">
            <v>F55</v>
          </cell>
          <cell r="F1230">
            <v>1</v>
          </cell>
          <cell r="G1230">
            <v>180700</v>
          </cell>
          <cell r="K1230">
            <v>0</v>
          </cell>
          <cell r="M1230" t="str">
            <v>? Non-Rab</v>
          </cell>
          <cell r="N1230" t="str">
            <v>? Non-Rab</v>
          </cell>
          <cell r="Q1230" t="str">
            <v>no</v>
          </cell>
          <cell r="X1230" t="str">
            <v xml:space="preserve"> </v>
          </cell>
          <cell r="Y1230" t="str">
            <v xml:space="preserve"> </v>
          </cell>
          <cell r="Z1230" t="str">
            <v xml:space="preserve"> </v>
          </cell>
        </row>
        <row r="1231">
          <cell r="B1231" t="str">
            <v>F55</v>
          </cell>
          <cell r="F1231">
            <v>1</v>
          </cell>
          <cell r="G1231">
            <v>500000</v>
          </cell>
          <cell r="K1231">
            <v>0</v>
          </cell>
          <cell r="M1231" t="str">
            <v>? Non-Rab</v>
          </cell>
          <cell r="N1231" t="str">
            <v>? Non-Rab</v>
          </cell>
          <cell r="Q1231" t="str">
            <v>no</v>
          </cell>
          <cell r="X1231" t="str">
            <v xml:space="preserve"> </v>
          </cell>
          <cell r="Y1231" t="str">
            <v xml:space="preserve"> </v>
          </cell>
          <cell r="Z1231" t="str">
            <v xml:space="preserve"> </v>
          </cell>
        </row>
        <row r="1232">
          <cell r="B1232" t="str">
            <v>F55</v>
          </cell>
          <cell r="F1232">
            <v>5</v>
          </cell>
          <cell r="G1232">
            <v>180700</v>
          </cell>
          <cell r="K1232">
            <v>0</v>
          </cell>
          <cell r="M1232" t="str">
            <v>? Non-Rab</v>
          </cell>
          <cell r="N1232" t="str">
            <v>? Non-Rab</v>
          </cell>
          <cell r="Q1232" t="str">
            <v>no</v>
          </cell>
          <cell r="X1232">
            <v>-2933098</v>
          </cell>
          <cell r="Y1232">
            <v>-2959095</v>
          </cell>
          <cell r="Z1232">
            <v>-2982772</v>
          </cell>
        </row>
        <row r="1233">
          <cell r="B1233" t="str">
            <v>F55</v>
          </cell>
          <cell r="F1233">
            <v>6</v>
          </cell>
          <cell r="G1233">
            <v>180700</v>
          </cell>
          <cell r="K1233">
            <v>0</v>
          </cell>
          <cell r="M1233" t="str">
            <v>? Non-Rab</v>
          </cell>
          <cell r="N1233" t="str">
            <v>? Non-Rab</v>
          </cell>
          <cell r="Q1233" t="str">
            <v>no</v>
          </cell>
          <cell r="X1233">
            <v>2933098</v>
          </cell>
          <cell r="Y1233">
            <v>2959095</v>
          </cell>
          <cell r="Z1233">
            <v>2982772</v>
          </cell>
        </row>
        <row r="1234">
          <cell r="B1234" t="str">
            <v>F55</v>
          </cell>
          <cell r="F1234">
            <v>6</v>
          </cell>
          <cell r="G1234">
            <v>500000</v>
          </cell>
          <cell r="K1234">
            <v>0</v>
          </cell>
          <cell r="M1234" t="str">
            <v>? Non-Rab</v>
          </cell>
          <cell r="N1234" t="str">
            <v>? Non-Rab</v>
          </cell>
          <cell r="Q1234" t="str">
            <v>no</v>
          </cell>
          <cell r="X1234" t="str">
            <v xml:space="preserve"> </v>
          </cell>
          <cell r="Y1234" t="str">
            <v xml:space="preserve"> </v>
          </cell>
          <cell r="Z1234" t="str">
            <v xml:space="preserve"> </v>
          </cell>
        </row>
        <row r="1235">
          <cell r="B1235" t="str">
            <v>F55</v>
          </cell>
          <cell r="F1235">
            <v>2</v>
          </cell>
          <cell r="G1235">
            <v>180700</v>
          </cell>
          <cell r="K1235">
            <v>0</v>
          </cell>
          <cell r="M1235" t="str">
            <v>? Non-Rab</v>
          </cell>
          <cell r="N1235" t="str">
            <v>? Non-Rab</v>
          </cell>
          <cell r="Q1235" t="str">
            <v>no</v>
          </cell>
          <cell r="X1235" t="str">
            <v xml:space="preserve"> </v>
          </cell>
          <cell r="Y1235" t="str">
            <v xml:space="preserve"> </v>
          </cell>
          <cell r="Z1235" t="str">
            <v xml:space="preserve"> </v>
          </cell>
        </row>
        <row r="1236">
          <cell r="B1236" t="str">
            <v>F55</v>
          </cell>
          <cell r="F1236">
            <v>5</v>
          </cell>
          <cell r="G1236">
            <v>180700</v>
          </cell>
          <cell r="K1236">
            <v>0</v>
          </cell>
          <cell r="M1236" t="str">
            <v>? Non-Rab</v>
          </cell>
          <cell r="N1236" t="str">
            <v>? Non-Rab</v>
          </cell>
          <cell r="Q1236" t="str">
            <v>no</v>
          </cell>
          <cell r="X1236" t="str">
            <v xml:space="preserve"> </v>
          </cell>
          <cell r="Y1236" t="str">
            <v xml:space="preserve"> </v>
          </cell>
          <cell r="Z1236" t="str">
            <v xml:space="preserve"> </v>
          </cell>
        </row>
        <row r="1237">
          <cell r="B1237" t="str">
            <v>F55</v>
          </cell>
          <cell r="F1237">
            <v>6</v>
          </cell>
          <cell r="G1237">
            <v>180700</v>
          </cell>
          <cell r="K1237">
            <v>0</v>
          </cell>
          <cell r="M1237" t="str">
            <v>? Non-Rab</v>
          </cell>
          <cell r="N1237" t="str">
            <v>? Non-Rab</v>
          </cell>
          <cell r="Q1237" t="str">
            <v>no</v>
          </cell>
          <cell r="X1237" t="str">
            <v xml:space="preserve"> </v>
          </cell>
          <cell r="Y1237" t="str">
            <v xml:space="preserve"> </v>
          </cell>
          <cell r="Z1237" t="str">
            <v xml:space="preserve"> </v>
          </cell>
        </row>
        <row r="1238">
          <cell r="B1238" t="str">
            <v>F57</v>
          </cell>
          <cell r="F1238">
            <v>1</v>
          </cell>
          <cell r="G1238">
            <v>180700</v>
          </cell>
          <cell r="K1238">
            <v>0</v>
          </cell>
          <cell r="M1238" t="str">
            <v>? Non-Rab</v>
          </cell>
          <cell r="N1238" t="str">
            <v>? Non-Rab</v>
          </cell>
          <cell r="Q1238" t="str">
            <v>no</v>
          </cell>
          <cell r="X1238">
            <v>-300</v>
          </cell>
          <cell r="Y1238" t="str">
            <v xml:space="preserve"> </v>
          </cell>
          <cell r="Z1238" t="str">
            <v xml:space="preserve"> </v>
          </cell>
        </row>
        <row r="1239">
          <cell r="B1239" t="str">
            <v>F57</v>
          </cell>
          <cell r="F1239">
            <v>6</v>
          </cell>
          <cell r="G1239">
            <v>180700</v>
          </cell>
          <cell r="K1239">
            <v>0</v>
          </cell>
          <cell r="M1239" t="str">
            <v>? Non-Rab</v>
          </cell>
          <cell r="N1239" t="str">
            <v>? Non-Rab</v>
          </cell>
          <cell r="Q1239" t="str">
            <v>no</v>
          </cell>
          <cell r="X1239" t="str">
            <v xml:space="preserve"> </v>
          </cell>
          <cell r="Y1239" t="str">
            <v xml:space="preserve"> </v>
          </cell>
          <cell r="Z1239" t="str">
            <v xml:space="preserve"> </v>
          </cell>
        </row>
        <row r="1240">
          <cell r="B1240" t="str">
            <v>F57</v>
          </cell>
          <cell r="F1240">
            <v>6</v>
          </cell>
          <cell r="G1240">
            <v>180700</v>
          </cell>
          <cell r="K1240">
            <v>0</v>
          </cell>
          <cell r="M1240" t="str">
            <v>? Non-Rab</v>
          </cell>
          <cell r="N1240" t="str">
            <v>? Non-Rab</v>
          </cell>
          <cell r="Q1240" t="str">
            <v>no</v>
          </cell>
          <cell r="X1240" t="str">
            <v xml:space="preserve"> </v>
          </cell>
          <cell r="Y1240" t="str">
            <v xml:space="preserve"> </v>
          </cell>
          <cell r="Z1240" t="str">
            <v xml:space="preserve"> </v>
          </cell>
        </row>
        <row r="1241">
          <cell r="B1241" t="str">
            <v>F57</v>
          </cell>
          <cell r="F1241">
            <v>6</v>
          </cell>
          <cell r="G1241">
            <v>180700</v>
          </cell>
          <cell r="K1241">
            <v>0</v>
          </cell>
          <cell r="M1241" t="str">
            <v>? Non-Rab</v>
          </cell>
          <cell r="N1241" t="str">
            <v>? Non-Rab</v>
          </cell>
          <cell r="Q1241" t="str">
            <v>no</v>
          </cell>
          <cell r="X1241" t="str">
            <v xml:space="preserve"> </v>
          </cell>
          <cell r="Y1241" t="str">
            <v xml:space="preserve"> </v>
          </cell>
          <cell r="Z1241" t="str">
            <v xml:space="preserve"> </v>
          </cell>
        </row>
        <row r="1242">
          <cell r="B1242" t="str">
            <v>G20</v>
          </cell>
          <cell r="F1242">
            <v>3</v>
          </cell>
          <cell r="G1242">
            <v>110202</v>
          </cell>
          <cell r="K1242" t="str">
            <v>PSS</v>
          </cell>
          <cell r="M1242" t="str">
            <v>non-budget</v>
          </cell>
          <cell r="N1242" t="str">
            <v>non-budget</v>
          </cell>
          <cell r="Q1242" t="str">
            <v>no</v>
          </cell>
          <cell r="X1242" t="str">
            <v xml:space="preserve"> </v>
          </cell>
          <cell r="Y1242" t="str">
            <v xml:space="preserve"> </v>
          </cell>
          <cell r="Z1242" t="str">
            <v xml:space="preserve"> </v>
          </cell>
        </row>
        <row r="1243">
          <cell r="B1243" t="str">
            <v>F10</v>
          </cell>
          <cell r="F1243">
            <v>1</v>
          </cell>
          <cell r="G1243">
            <v>500000</v>
          </cell>
          <cell r="K1243">
            <v>0</v>
          </cell>
          <cell r="M1243" t="str">
            <v>? Non-Rab</v>
          </cell>
          <cell r="N1243" t="str">
            <v>? Non-Rab</v>
          </cell>
          <cell r="Q1243" t="str">
            <v>no</v>
          </cell>
          <cell r="X1243" t="str">
            <v xml:space="preserve"> </v>
          </cell>
          <cell r="Y1243" t="str">
            <v xml:space="preserve"> </v>
          </cell>
          <cell r="Z1243" t="str">
            <v xml:space="preserve"> </v>
          </cell>
        </row>
        <row r="1244">
          <cell r="B1244" t="str">
            <v>X11</v>
          </cell>
          <cell r="F1244">
            <v>1</v>
          </cell>
          <cell r="G1244">
            <v>110401</v>
          </cell>
          <cell r="K1244">
            <v>0</v>
          </cell>
          <cell r="M1244" t="str">
            <v>DEL</v>
          </cell>
          <cell r="N1244" t="str">
            <v>Resource</v>
          </cell>
          <cell r="Q1244" t="str">
            <v>no</v>
          </cell>
          <cell r="X1244" t="str">
            <v xml:space="preserve"> </v>
          </cell>
          <cell r="Y1244" t="str">
            <v xml:space="preserve"> </v>
          </cell>
          <cell r="Z1244" t="str">
            <v xml:space="preserve"> </v>
          </cell>
        </row>
        <row r="1245">
          <cell r="B1245" t="str">
            <v>F40</v>
          </cell>
          <cell r="F1245">
            <v>1</v>
          </cell>
          <cell r="G1245">
            <v>180700</v>
          </cell>
          <cell r="K1245">
            <v>0</v>
          </cell>
          <cell r="M1245" t="str">
            <v>? Non-Rab</v>
          </cell>
          <cell r="N1245" t="str">
            <v>? Non-Rab</v>
          </cell>
          <cell r="Q1245" t="str">
            <v>no</v>
          </cell>
          <cell r="X1245" t="str">
            <v xml:space="preserve"> </v>
          </cell>
          <cell r="Y1245" t="str">
            <v xml:space="preserve"> </v>
          </cell>
          <cell r="Z1245" t="str">
            <v xml:space="preserve"> </v>
          </cell>
        </row>
        <row r="1246">
          <cell r="B1246" t="str">
            <v>F40</v>
          </cell>
          <cell r="F1246">
            <v>1</v>
          </cell>
          <cell r="G1246">
            <v>500000</v>
          </cell>
          <cell r="K1246">
            <v>0</v>
          </cell>
          <cell r="M1246" t="str">
            <v>? Non-Rab</v>
          </cell>
          <cell r="N1246" t="str">
            <v>? Non-Rab</v>
          </cell>
          <cell r="Q1246" t="str">
            <v>no</v>
          </cell>
          <cell r="X1246">
            <v>139215</v>
          </cell>
          <cell r="Y1246" t="str">
            <v xml:space="preserve"> </v>
          </cell>
          <cell r="Z1246" t="str">
            <v xml:space="preserve"> </v>
          </cell>
        </row>
        <row r="1247">
          <cell r="B1247" t="str">
            <v>F40</v>
          </cell>
          <cell r="F1247">
            <v>6</v>
          </cell>
          <cell r="G1247">
            <v>500000</v>
          </cell>
          <cell r="K1247">
            <v>0</v>
          </cell>
          <cell r="M1247" t="str">
            <v>? Non-Rab</v>
          </cell>
          <cell r="N1247" t="str">
            <v>? Non-Rab</v>
          </cell>
          <cell r="Q1247" t="str">
            <v>no</v>
          </cell>
          <cell r="X1247" t="str">
            <v xml:space="preserve"> </v>
          </cell>
          <cell r="Y1247" t="str">
            <v xml:space="preserve"> </v>
          </cell>
          <cell r="Z1247" t="str">
            <v xml:space="preserve"> </v>
          </cell>
        </row>
        <row r="1248">
          <cell r="B1248" t="str">
            <v>F40</v>
          </cell>
          <cell r="F1248">
            <v>6</v>
          </cell>
          <cell r="G1248">
            <v>180700</v>
          </cell>
          <cell r="K1248">
            <v>0</v>
          </cell>
          <cell r="M1248" t="str">
            <v>? Non-Rab</v>
          </cell>
          <cell r="N1248" t="str">
            <v>? Non-Rab</v>
          </cell>
          <cell r="Q1248" t="str">
            <v>no</v>
          </cell>
          <cell r="X1248" t="str">
            <v xml:space="preserve"> </v>
          </cell>
          <cell r="Y1248" t="str">
            <v xml:space="preserve"> </v>
          </cell>
          <cell r="Z1248" t="str">
            <v xml:space="preserve"> </v>
          </cell>
        </row>
        <row r="1249">
          <cell r="B1249" t="str">
            <v>M10</v>
          </cell>
          <cell r="F1249">
            <v>1</v>
          </cell>
          <cell r="G1249">
            <v>110232</v>
          </cell>
          <cell r="K1249" t="str">
            <v>PSS</v>
          </cell>
          <cell r="M1249" t="str">
            <v>DEL</v>
          </cell>
          <cell r="N1249" t="str">
            <v>Resource</v>
          </cell>
          <cell r="Q1249" t="str">
            <v>yes</v>
          </cell>
          <cell r="X1249">
            <v>62750</v>
          </cell>
          <cell r="Y1249" t="str">
            <v xml:space="preserve"> </v>
          </cell>
          <cell r="Z1249" t="str">
            <v xml:space="preserve"> </v>
          </cell>
        </row>
        <row r="1250">
          <cell r="B1250" t="str">
            <v>M10</v>
          </cell>
          <cell r="F1250">
            <v>2</v>
          </cell>
          <cell r="G1250">
            <v>110232</v>
          </cell>
          <cell r="K1250" t="str">
            <v>PSS</v>
          </cell>
          <cell r="M1250" t="str">
            <v>DEL</v>
          </cell>
          <cell r="N1250" t="str">
            <v>Resource</v>
          </cell>
          <cell r="Q1250" t="str">
            <v>yes</v>
          </cell>
          <cell r="X1250" t="str">
            <v xml:space="preserve"> </v>
          </cell>
          <cell r="Y1250">
            <v>62750</v>
          </cell>
          <cell r="Z1250">
            <v>62750</v>
          </cell>
        </row>
        <row r="1251">
          <cell r="B1251" t="str">
            <v>F41</v>
          </cell>
          <cell r="F1251">
            <v>1</v>
          </cell>
          <cell r="G1251">
            <v>500000</v>
          </cell>
          <cell r="K1251">
            <v>0</v>
          </cell>
          <cell r="M1251" t="str">
            <v>? Non-Rab</v>
          </cell>
          <cell r="N1251" t="str">
            <v>? Non-Rab</v>
          </cell>
          <cell r="Q1251" t="str">
            <v>no</v>
          </cell>
          <cell r="X1251">
            <v>568</v>
          </cell>
          <cell r="Y1251" t="str">
            <v xml:space="preserve"> </v>
          </cell>
          <cell r="Z1251" t="str">
            <v xml:space="preserve"> </v>
          </cell>
        </row>
        <row r="1252">
          <cell r="B1252" t="str">
            <v>F45</v>
          </cell>
          <cell r="F1252">
            <v>1</v>
          </cell>
          <cell r="G1252">
            <v>180700</v>
          </cell>
          <cell r="K1252">
            <v>0</v>
          </cell>
          <cell r="M1252" t="str">
            <v>? Non-Rab</v>
          </cell>
          <cell r="N1252" t="str">
            <v>? Non-Rab</v>
          </cell>
          <cell r="Q1252" t="str">
            <v>no</v>
          </cell>
          <cell r="X1252">
            <v>2241549</v>
          </cell>
          <cell r="Y1252" t="str">
            <v xml:space="preserve"> </v>
          </cell>
          <cell r="Z1252" t="str">
            <v xml:space="preserve"> </v>
          </cell>
        </row>
        <row r="1253">
          <cell r="B1253" t="str">
            <v>F45</v>
          </cell>
          <cell r="F1253">
            <v>1</v>
          </cell>
          <cell r="G1253">
            <v>500000</v>
          </cell>
          <cell r="K1253">
            <v>0</v>
          </cell>
          <cell r="M1253" t="str">
            <v>? Non-Rab</v>
          </cell>
          <cell r="N1253" t="str">
            <v>? Non-Rab</v>
          </cell>
          <cell r="Q1253" t="str">
            <v>no</v>
          </cell>
          <cell r="X1253">
            <v>-276020</v>
          </cell>
          <cell r="Y1253" t="str">
            <v xml:space="preserve"> </v>
          </cell>
          <cell r="Z1253" t="str">
            <v xml:space="preserve"> </v>
          </cell>
        </row>
        <row r="1254">
          <cell r="B1254" t="str">
            <v>F45</v>
          </cell>
          <cell r="F1254">
            <v>2</v>
          </cell>
          <cell r="G1254">
            <v>180700</v>
          </cell>
          <cell r="K1254">
            <v>0</v>
          </cell>
          <cell r="M1254" t="str">
            <v>? Non-Rab</v>
          </cell>
          <cell r="N1254" t="str">
            <v>? Non-Rab</v>
          </cell>
          <cell r="Q1254" t="str">
            <v>no</v>
          </cell>
          <cell r="X1254">
            <v>232343</v>
          </cell>
          <cell r="Y1254">
            <v>2696542</v>
          </cell>
          <cell r="Z1254">
            <v>2939231</v>
          </cell>
        </row>
        <row r="1255">
          <cell r="B1255" t="str">
            <v>F45</v>
          </cell>
          <cell r="F1255">
            <v>5</v>
          </cell>
          <cell r="G1255">
            <v>180700</v>
          </cell>
          <cell r="K1255">
            <v>0</v>
          </cell>
          <cell r="M1255" t="str">
            <v>? Non-Rab</v>
          </cell>
          <cell r="N1255" t="str">
            <v>? Non-Rab</v>
          </cell>
          <cell r="Q1255" t="str">
            <v>no</v>
          </cell>
          <cell r="X1255">
            <v>-2473892</v>
          </cell>
          <cell r="Y1255">
            <v>-2696542</v>
          </cell>
          <cell r="Z1255">
            <v>-2939231</v>
          </cell>
        </row>
        <row r="1256">
          <cell r="B1256" t="str">
            <v>F45</v>
          </cell>
          <cell r="F1256">
            <v>5</v>
          </cell>
          <cell r="G1256">
            <v>180700</v>
          </cell>
          <cell r="K1256">
            <v>0</v>
          </cell>
          <cell r="M1256" t="str">
            <v>? Non-Rab</v>
          </cell>
          <cell r="N1256" t="str">
            <v>? Non-Rab</v>
          </cell>
          <cell r="Q1256" t="str">
            <v>no</v>
          </cell>
          <cell r="X1256" t="str">
            <v xml:space="preserve"> </v>
          </cell>
          <cell r="Y1256" t="str">
            <v xml:space="preserve"> </v>
          </cell>
          <cell r="Z1256" t="str">
            <v xml:space="preserve"> </v>
          </cell>
        </row>
        <row r="1257">
          <cell r="B1257" t="str">
            <v>F45</v>
          </cell>
          <cell r="F1257">
            <v>6</v>
          </cell>
          <cell r="G1257">
            <v>180700</v>
          </cell>
          <cell r="K1257">
            <v>0</v>
          </cell>
          <cell r="M1257" t="str">
            <v>? Non-Rab</v>
          </cell>
          <cell r="N1257" t="str">
            <v>? Non-Rab</v>
          </cell>
          <cell r="Q1257" t="str">
            <v>no</v>
          </cell>
          <cell r="X1257">
            <v>2669979</v>
          </cell>
          <cell r="Y1257">
            <v>2682038</v>
          </cell>
          <cell r="Z1257">
            <v>2691058</v>
          </cell>
        </row>
        <row r="1258">
          <cell r="B1258" t="str">
            <v>F45</v>
          </cell>
          <cell r="F1258">
            <v>6</v>
          </cell>
          <cell r="G1258">
            <v>180700</v>
          </cell>
          <cell r="K1258">
            <v>0</v>
          </cell>
          <cell r="M1258" t="str">
            <v>? Non-Rab</v>
          </cell>
          <cell r="N1258" t="str">
            <v>? Non-Rab</v>
          </cell>
          <cell r="Q1258" t="str">
            <v>no</v>
          </cell>
          <cell r="X1258">
            <v>-2669979</v>
          </cell>
          <cell r="Y1258" t="str">
            <v xml:space="preserve"> </v>
          </cell>
          <cell r="Z1258" t="str">
            <v xml:space="preserve"> </v>
          </cell>
        </row>
        <row r="1259">
          <cell r="B1259" t="str">
            <v>F45</v>
          </cell>
          <cell r="F1259">
            <v>6</v>
          </cell>
          <cell r="G1259">
            <v>180700</v>
          </cell>
          <cell r="K1259">
            <v>0</v>
          </cell>
          <cell r="M1259" t="str">
            <v>? Non-Rab</v>
          </cell>
          <cell r="N1259" t="str">
            <v>? Non-Rab</v>
          </cell>
          <cell r="Q1259" t="str">
            <v>no</v>
          </cell>
          <cell r="X1259" t="str">
            <v xml:space="preserve"> </v>
          </cell>
          <cell r="Y1259" t="str">
            <v xml:space="preserve"> </v>
          </cell>
          <cell r="Z1259" t="str">
            <v xml:space="preserve"> </v>
          </cell>
        </row>
        <row r="1260">
          <cell r="B1260" t="str">
            <v>F45</v>
          </cell>
          <cell r="F1260">
            <v>6</v>
          </cell>
          <cell r="G1260">
            <v>180700</v>
          </cell>
          <cell r="K1260">
            <v>0</v>
          </cell>
          <cell r="M1260" t="str">
            <v>? Non-Rab</v>
          </cell>
          <cell r="N1260" t="str">
            <v>? Non-Rab</v>
          </cell>
          <cell r="Q1260" t="str">
            <v>no</v>
          </cell>
          <cell r="X1260" t="str">
            <v xml:space="preserve"> </v>
          </cell>
          <cell r="Y1260" t="str">
            <v xml:space="preserve"> </v>
          </cell>
          <cell r="Z1260" t="str">
            <v xml:space="preserve"> </v>
          </cell>
        </row>
        <row r="1261">
          <cell r="B1261" t="str">
            <v>F45</v>
          </cell>
          <cell r="F1261">
            <v>6</v>
          </cell>
          <cell r="G1261">
            <v>500000</v>
          </cell>
          <cell r="K1261">
            <v>0</v>
          </cell>
          <cell r="M1261" t="str">
            <v>? Non-Rab</v>
          </cell>
          <cell r="N1261" t="str">
            <v>? Non-Rab</v>
          </cell>
          <cell r="Q1261" t="str">
            <v>no</v>
          </cell>
          <cell r="X1261" t="str">
            <v xml:space="preserve"> </v>
          </cell>
          <cell r="Y1261" t="str">
            <v xml:space="preserve"> </v>
          </cell>
          <cell r="Z1261" t="str">
            <v xml:space="preserve"> </v>
          </cell>
        </row>
        <row r="1262">
          <cell r="B1262" t="str">
            <v>F45</v>
          </cell>
          <cell r="F1262">
            <v>6</v>
          </cell>
          <cell r="G1262">
            <v>180700</v>
          </cell>
          <cell r="K1262">
            <v>0</v>
          </cell>
          <cell r="M1262" t="str">
            <v>? Non-Rab</v>
          </cell>
          <cell r="N1262" t="str">
            <v>? Non-Rab</v>
          </cell>
          <cell r="Q1262" t="str">
            <v>no</v>
          </cell>
          <cell r="X1262" t="str">
            <v xml:space="preserve"> </v>
          </cell>
          <cell r="Y1262">
            <v>-2682038</v>
          </cell>
          <cell r="Z1262">
            <v>-2691058</v>
          </cell>
        </row>
        <row r="1263">
          <cell r="B1263" t="str">
            <v>F45</v>
          </cell>
          <cell r="F1263">
            <v>2</v>
          </cell>
          <cell r="G1263">
            <v>180700</v>
          </cell>
          <cell r="K1263">
            <v>0</v>
          </cell>
          <cell r="M1263" t="str">
            <v>? Non-Rab</v>
          </cell>
          <cell r="N1263" t="str">
            <v>? Non-Rab</v>
          </cell>
          <cell r="Q1263" t="str">
            <v>no</v>
          </cell>
          <cell r="X1263" t="str">
            <v xml:space="preserve"> </v>
          </cell>
          <cell r="Y1263" t="str">
            <v xml:space="preserve"> </v>
          </cell>
          <cell r="Z1263" t="str">
            <v xml:space="preserve"> </v>
          </cell>
        </row>
        <row r="1264">
          <cell r="B1264" t="str">
            <v>F45</v>
          </cell>
          <cell r="F1264">
            <v>5</v>
          </cell>
          <cell r="G1264">
            <v>180700</v>
          </cell>
          <cell r="K1264">
            <v>0</v>
          </cell>
          <cell r="M1264" t="str">
            <v>? Non-Rab</v>
          </cell>
          <cell r="N1264" t="str">
            <v>? Non-Rab</v>
          </cell>
          <cell r="Q1264" t="str">
            <v>no</v>
          </cell>
          <cell r="X1264" t="str">
            <v xml:space="preserve"> </v>
          </cell>
          <cell r="Y1264" t="str">
            <v xml:space="preserve"> </v>
          </cell>
          <cell r="Z1264" t="str">
            <v xml:space="preserve"> </v>
          </cell>
        </row>
        <row r="1265">
          <cell r="B1265" t="str">
            <v>F45</v>
          </cell>
          <cell r="F1265">
            <v>6</v>
          </cell>
          <cell r="G1265">
            <v>180700</v>
          </cell>
          <cell r="K1265">
            <v>0</v>
          </cell>
          <cell r="M1265" t="str">
            <v>? Non-Rab</v>
          </cell>
          <cell r="N1265" t="str">
            <v>? Non-Rab</v>
          </cell>
          <cell r="Q1265" t="str">
            <v>no</v>
          </cell>
          <cell r="X1265" t="str">
            <v xml:space="preserve"> </v>
          </cell>
          <cell r="Y1265" t="str">
            <v xml:space="preserve"> </v>
          </cell>
          <cell r="Z1265" t="str">
            <v xml:space="preserve"> </v>
          </cell>
        </row>
        <row r="1266">
          <cell r="B1266" t="str">
            <v>F45</v>
          </cell>
          <cell r="F1266">
            <v>6</v>
          </cell>
          <cell r="G1266">
            <v>180700</v>
          </cell>
          <cell r="K1266">
            <v>0</v>
          </cell>
          <cell r="M1266" t="str">
            <v>? Non-Rab</v>
          </cell>
          <cell r="N1266" t="str">
            <v>? Non-Rab</v>
          </cell>
          <cell r="Q1266" t="str">
            <v>no</v>
          </cell>
          <cell r="X1266" t="str">
            <v xml:space="preserve"> </v>
          </cell>
          <cell r="Y1266" t="str">
            <v xml:space="preserve"> </v>
          </cell>
          <cell r="Z1266" t="str">
            <v xml:space="preserve"> </v>
          </cell>
        </row>
        <row r="1267">
          <cell r="B1267" t="str">
            <v>F45</v>
          </cell>
          <cell r="F1267">
            <v>7</v>
          </cell>
          <cell r="G1267">
            <v>180700</v>
          </cell>
          <cell r="K1267">
            <v>0</v>
          </cell>
          <cell r="M1267" t="str">
            <v>? Non-Rab</v>
          </cell>
          <cell r="N1267" t="str">
            <v>? Non-Rab</v>
          </cell>
          <cell r="Q1267" t="str">
            <v>no</v>
          </cell>
          <cell r="X1267" t="str">
            <v xml:space="preserve"> </v>
          </cell>
          <cell r="Y1267" t="str">
            <v xml:space="preserve"> </v>
          </cell>
          <cell r="Z1267" t="str">
            <v xml:space="preserve"> </v>
          </cell>
        </row>
        <row r="1268">
          <cell r="B1268" t="str">
            <v>M10</v>
          </cell>
          <cell r="F1268">
            <v>1</v>
          </cell>
          <cell r="G1268">
            <v>110233</v>
          </cell>
          <cell r="K1268" t="str">
            <v>PSS</v>
          </cell>
          <cell r="M1268" t="str">
            <v>DEL</v>
          </cell>
          <cell r="N1268" t="str">
            <v>Resource</v>
          </cell>
          <cell r="Q1268" t="str">
            <v>yes</v>
          </cell>
          <cell r="X1268">
            <v>90000</v>
          </cell>
          <cell r="Y1268" t="str">
            <v xml:space="preserve"> </v>
          </cell>
          <cell r="Z1268" t="str">
            <v xml:space="preserve"> </v>
          </cell>
        </row>
        <row r="1269">
          <cell r="B1269" t="str">
            <v>X11</v>
          </cell>
          <cell r="F1269">
            <v>4</v>
          </cell>
          <cell r="G1269">
            <v>110401</v>
          </cell>
          <cell r="K1269">
            <v>0</v>
          </cell>
          <cell r="M1269" t="str">
            <v>DEL</v>
          </cell>
          <cell r="N1269" t="str">
            <v>Resource</v>
          </cell>
          <cell r="Q1269" t="str">
            <v>no</v>
          </cell>
          <cell r="X1269" t="str">
            <v xml:space="preserve"> </v>
          </cell>
          <cell r="Y1269" t="str">
            <v xml:space="preserve"> </v>
          </cell>
          <cell r="Z1269" t="str">
            <v xml:space="preserve"> </v>
          </cell>
        </row>
        <row r="1270">
          <cell r="B1270" t="str">
            <v>F45</v>
          </cell>
          <cell r="F1270">
            <v>6</v>
          </cell>
          <cell r="G1270">
            <v>180700</v>
          </cell>
          <cell r="K1270">
            <v>0</v>
          </cell>
          <cell r="M1270" t="str">
            <v>? Non-Rab</v>
          </cell>
          <cell r="N1270" t="str">
            <v>? Non-Rab</v>
          </cell>
          <cell r="Q1270" t="str">
            <v>no</v>
          </cell>
          <cell r="X1270" t="str">
            <v xml:space="preserve"> </v>
          </cell>
          <cell r="Y1270" t="str">
            <v xml:space="preserve"> </v>
          </cell>
          <cell r="Z1270" t="str">
            <v xml:space="preserve"> </v>
          </cell>
        </row>
        <row r="1271">
          <cell r="B1271" t="str">
            <v>F45</v>
          </cell>
          <cell r="F1271">
            <v>6</v>
          </cell>
          <cell r="G1271">
            <v>180700</v>
          </cell>
          <cell r="K1271">
            <v>0</v>
          </cell>
          <cell r="M1271" t="str">
            <v>? Non-Rab</v>
          </cell>
          <cell r="N1271" t="str">
            <v>? Non-Rab</v>
          </cell>
          <cell r="Q1271" t="str">
            <v>no</v>
          </cell>
          <cell r="X1271" t="str">
            <v xml:space="preserve"> </v>
          </cell>
          <cell r="Y1271" t="str">
            <v xml:space="preserve"> </v>
          </cell>
          <cell r="Z1271" t="str">
            <v xml:space="preserve"> </v>
          </cell>
        </row>
        <row r="1272">
          <cell r="B1272" t="str">
            <v>F46</v>
          </cell>
          <cell r="F1272">
            <v>1</v>
          </cell>
          <cell r="G1272">
            <v>500000</v>
          </cell>
          <cell r="K1272">
            <v>0</v>
          </cell>
          <cell r="M1272" t="str">
            <v>? Non-Rab</v>
          </cell>
          <cell r="N1272" t="str">
            <v>? Non-Rab</v>
          </cell>
          <cell r="Q1272" t="str">
            <v>no</v>
          </cell>
          <cell r="X1272">
            <v>-178</v>
          </cell>
          <cell r="Y1272" t="str">
            <v xml:space="preserve"> </v>
          </cell>
          <cell r="Z1272" t="str">
            <v xml:space="preserve"> </v>
          </cell>
        </row>
        <row r="1273">
          <cell r="B1273" t="str">
            <v>F50</v>
          </cell>
          <cell r="F1273">
            <v>6</v>
          </cell>
          <cell r="G1273">
            <v>180700</v>
          </cell>
          <cell r="K1273">
            <v>0</v>
          </cell>
          <cell r="M1273" t="str">
            <v>? Non-Rab</v>
          </cell>
          <cell r="N1273" t="str">
            <v>? Non-Rab</v>
          </cell>
          <cell r="Q1273" t="str">
            <v>no</v>
          </cell>
          <cell r="X1273">
            <v>-2604554</v>
          </cell>
          <cell r="Y1273" t="str">
            <v xml:space="preserve"> </v>
          </cell>
          <cell r="Z1273" t="str">
            <v xml:space="preserve"> </v>
          </cell>
        </row>
        <row r="1274">
          <cell r="B1274" t="str">
            <v>F50</v>
          </cell>
          <cell r="F1274">
            <v>7</v>
          </cell>
          <cell r="G1274">
            <v>180700</v>
          </cell>
          <cell r="K1274">
            <v>0</v>
          </cell>
          <cell r="M1274" t="str">
            <v>? Non-Rab</v>
          </cell>
          <cell r="N1274" t="str">
            <v>? Non-Rab</v>
          </cell>
          <cell r="Q1274" t="str">
            <v>no</v>
          </cell>
          <cell r="X1274">
            <v>3079435</v>
          </cell>
          <cell r="Y1274">
            <v>3526052</v>
          </cell>
          <cell r="Z1274">
            <v>4007662</v>
          </cell>
        </row>
        <row r="1275">
          <cell r="B1275" t="str">
            <v>F50</v>
          </cell>
          <cell r="F1275">
            <v>7</v>
          </cell>
          <cell r="G1275">
            <v>180700</v>
          </cell>
          <cell r="K1275">
            <v>0</v>
          </cell>
          <cell r="M1275" t="str">
            <v>? Non-Rab</v>
          </cell>
          <cell r="N1275" t="str">
            <v>? Non-Rab</v>
          </cell>
          <cell r="Q1275" t="str">
            <v>no</v>
          </cell>
          <cell r="X1275">
            <v>3079435</v>
          </cell>
          <cell r="Y1275">
            <v>3526052</v>
          </cell>
          <cell r="Z1275">
            <v>4007662</v>
          </cell>
        </row>
        <row r="1276">
          <cell r="B1276" t="str">
            <v>X11</v>
          </cell>
          <cell r="F1276">
            <v>4</v>
          </cell>
          <cell r="G1276">
            <v>110401</v>
          </cell>
          <cell r="K1276">
            <v>0</v>
          </cell>
          <cell r="M1276" t="str">
            <v>DEL</v>
          </cell>
          <cell r="N1276" t="str">
            <v>Resource</v>
          </cell>
          <cell r="Q1276" t="str">
            <v>no</v>
          </cell>
          <cell r="X1276" t="str">
            <v xml:space="preserve"> </v>
          </cell>
          <cell r="Y1276" t="str">
            <v xml:space="preserve"> </v>
          </cell>
          <cell r="Z1276" t="str">
            <v xml:space="preserve"> </v>
          </cell>
        </row>
        <row r="1277">
          <cell r="B1277" t="str">
            <v>F50</v>
          </cell>
          <cell r="F1277">
            <v>6</v>
          </cell>
          <cell r="G1277">
            <v>180700</v>
          </cell>
          <cell r="K1277">
            <v>0</v>
          </cell>
          <cell r="M1277" t="str">
            <v>? Non-Rab</v>
          </cell>
          <cell r="N1277" t="str">
            <v>? Non-Rab</v>
          </cell>
          <cell r="Q1277" t="str">
            <v>no</v>
          </cell>
          <cell r="X1277">
            <v>-307568</v>
          </cell>
          <cell r="Y1277">
            <v>-3312910</v>
          </cell>
          <cell r="Z1277">
            <v>-3756703</v>
          </cell>
        </row>
        <row r="1278">
          <cell r="B1278" t="str">
            <v>F50</v>
          </cell>
          <cell r="F1278">
            <v>6</v>
          </cell>
          <cell r="G1278">
            <v>180700</v>
          </cell>
          <cell r="K1278">
            <v>0</v>
          </cell>
          <cell r="M1278" t="str">
            <v>? Non-Rab</v>
          </cell>
          <cell r="N1278" t="str">
            <v>? Non-Rab</v>
          </cell>
          <cell r="Q1278" t="str">
            <v>no</v>
          </cell>
          <cell r="X1278">
            <v>-167313</v>
          </cell>
          <cell r="Y1278">
            <v>-213142</v>
          </cell>
          <cell r="Z1278">
            <v>-250959</v>
          </cell>
        </row>
        <row r="1279">
          <cell r="B1279" t="str">
            <v>F50</v>
          </cell>
          <cell r="F1279">
            <v>6</v>
          </cell>
          <cell r="G1279">
            <v>180700</v>
          </cell>
          <cell r="K1279">
            <v>0</v>
          </cell>
          <cell r="M1279" t="str">
            <v>? Non-Rab</v>
          </cell>
          <cell r="N1279" t="str">
            <v>? Non-Rab</v>
          </cell>
          <cell r="Q1279" t="str">
            <v>no</v>
          </cell>
          <cell r="X1279" t="str">
            <v xml:space="preserve"> </v>
          </cell>
          <cell r="Y1279" t="str">
            <v xml:space="preserve"> </v>
          </cell>
          <cell r="Z1279" t="str">
            <v xml:space="preserve"> </v>
          </cell>
        </row>
        <row r="1280">
          <cell r="B1280" t="str">
            <v>F50</v>
          </cell>
          <cell r="F1280">
            <v>7</v>
          </cell>
          <cell r="G1280">
            <v>180700</v>
          </cell>
          <cell r="K1280">
            <v>0</v>
          </cell>
          <cell r="M1280" t="str">
            <v>? Non-Rab</v>
          </cell>
          <cell r="N1280" t="str">
            <v>? Non-Rab</v>
          </cell>
          <cell r="Q1280" t="str">
            <v>no</v>
          </cell>
          <cell r="X1280" t="str">
            <v xml:space="preserve"> </v>
          </cell>
          <cell r="Y1280" t="str">
            <v xml:space="preserve"> </v>
          </cell>
          <cell r="Z1280" t="str">
            <v xml:space="preserve"> </v>
          </cell>
        </row>
        <row r="1281">
          <cell r="B1281" t="str">
            <v>F50</v>
          </cell>
          <cell r="F1281">
            <v>7</v>
          </cell>
          <cell r="G1281">
            <v>180700</v>
          </cell>
          <cell r="K1281">
            <v>0</v>
          </cell>
          <cell r="M1281" t="str">
            <v>? Non-Rab</v>
          </cell>
          <cell r="N1281" t="str">
            <v>? Non-Rab</v>
          </cell>
          <cell r="Q1281" t="str">
            <v>no</v>
          </cell>
          <cell r="X1281" t="str">
            <v xml:space="preserve"> </v>
          </cell>
          <cell r="Y1281" t="str">
            <v xml:space="preserve"> </v>
          </cell>
          <cell r="Z1281" t="str">
            <v xml:space="preserve"> </v>
          </cell>
        </row>
        <row r="1282">
          <cell r="B1282" t="str">
            <v>X11</v>
          </cell>
          <cell r="F1282">
            <v>1</v>
          </cell>
          <cell r="G1282">
            <v>110406</v>
          </cell>
          <cell r="K1282">
            <v>0</v>
          </cell>
          <cell r="M1282" t="str">
            <v>DEL</v>
          </cell>
          <cell r="N1282" t="str">
            <v>Resource</v>
          </cell>
          <cell r="Q1282" t="str">
            <v>no</v>
          </cell>
          <cell r="X1282">
            <v>32</v>
          </cell>
          <cell r="Y1282" t="str">
            <v xml:space="preserve"> </v>
          </cell>
          <cell r="Z1282" t="str">
            <v xml:space="preserve"> </v>
          </cell>
        </row>
        <row r="1283">
          <cell r="B1283" t="str">
            <v>H35</v>
          </cell>
          <cell r="F1283">
            <v>3</v>
          </cell>
          <cell r="G1283">
            <v>110701</v>
          </cell>
          <cell r="K1283">
            <v>0</v>
          </cell>
          <cell r="M1283" t="str">
            <v>non-budget</v>
          </cell>
          <cell r="N1283" t="str">
            <v>non-budget</v>
          </cell>
          <cell r="Q1283" t="str">
            <v>no</v>
          </cell>
          <cell r="X1283" t="str">
            <v xml:space="preserve"> </v>
          </cell>
          <cell r="Y1283" t="str">
            <v xml:space="preserve"> </v>
          </cell>
          <cell r="Z1283" t="str">
            <v xml:space="preserve"> </v>
          </cell>
        </row>
        <row r="1284">
          <cell r="B1284" t="str">
            <v>M10</v>
          </cell>
          <cell r="F1284">
            <v>4</v>
          </cell>
          <cell r="G1284">
            <v>110233</v>
          </cell>
          <cell r="K1284" t="str">
            <v>PSS</v>
          </cell>
          <cell r="M1284" t="str">
            <v>DEL</v>
          </cell>
          <cell r="N1284" t="str">
            <v>Resource</v>
          </cell>
          <cell r="Q1284" t="str">
            <v>yes</v>
          </cell>
          <cell r="X1284">
            <v>-246</v>
          </cell>
          <cell r="Y1284">
            <v>-1000</v>
          </cell>
          <cell r="Z1284">
            <v>-1000</v>
          </cell>
        </row>
        <row r="1285">
          <cell r="B1285" t="str">
            <v>M10</v>
          </cell>
          <cell r="F1285">
            <v>4</v>
          </cell>
          <cell r="G1285">
            <v>110233</v>
          </cell>
          <cell r="K1285" t="str">
            <v>PSS</v>
          </cell>
          <cell r="M1285" t="str">
            <v>DEL</v>
          </cell>
          <cell r="N1285" t="str">
            <v>Resource</v>
          </cell>
          <cell r="Q1285" t="str">
            <v>yes</v>
          </cell>
          <cell r="X1285">
            <v>-754</v>
          </cell>
          <cell r="Y1285" t="str">
            <v xml:space="preserve"> </v>
          </cell>
          <cell r="Z1285" t="str">
            <v xml:space="preserve"> </v>
          </cell>
        </row>
        <row r="1286">
          <cell r="B1286" t="str">
            <v>H35</v>
          </cell>
          <cell r="F1286">
            <v>3</v>
          </cell>
          <cell r="G1286">
            <v>110701</v>
          </cell>
          <cell r="K1286">
            <v>0</v>
          </cell>
          <cell r="M1286" t="str">
            <v>non-budget</v>
          </cell>
          <cell r="N1286" t="str">
            <v>non-budget</v>
          </cell>
          <cell r="Q1286" t="str">
            <v>no</v>
          </cell>
          <cell r="X1286" t="str">
            <v xml:space="preserve"> </v>
          </cell>
          <cell r="Y1286" t="str">
            <v xml:space="preserve"> </v>
          </cell>
          <cell r="Z1286" t="str">
            <v xml:space="preserve"> </v>
          </cell>
        </row>
        <row r="1287">
          <cell r="B1287" t="str">
            <v>X11</v>
          </cell>
          <cell r="F1287">
            <v>2</v>
          </cell>
          <cell r="G1287">
            <v>110406</v>
          </cell>
          <cell r="K1287">
            <v>0</v>
          </cell>
          <cell r="M1287" t="str">
            <v>DEL</v>
          </cell>
          <cell r="N1287" t="str">
            <v>Resource</v>
          </cell>
          <cell r="Q1287" t="str">
            <v>no</v>
          </cell>
          <cell r="X1287" t="str">
            <v xml:space="preserve"> </v>
          </cell>
          <cell r="Y1287">
            <v>32</v>
          </cell>
          <cell r="Z1287">
            <v>32</v>
          </cell>
        </row>
        <row r="1288">
          <cell r="B1288" t="str">
            <v>M10</v>
          </cell>
          <cell r="F1288">
            <v>5</v>
          </cell>
          <cell r="G1288">
            <v>110233</v>
          </cell>
          <cell r="K1288" t="str">
            <v>PSS</v>
          </cell>
          <cell r="M1288" t="str">
            <v>DEL</v>
          </cell>
          <cell r="N1288" t="str">
            <v>Resource</v>
          </cell>
          <cell r="Q1288" t="str">
            <v>yes</v>
          </cell>
          <cell r="X1288" t="str">
            <v xml:space="preserve"> </v>
          </cell>
          <cell r="Y1288">
            <v>-3000</v>
          </cell>
          <cell r="Z1288">
            <v>-3000</v>
          </cell>
        </row>
        <row r="1289">
          <cell r="B1289" t="str">
            <v>M10</v>
          </cell>
          <cell r="F1289">
            <v>8</v>
          </cell>
          <cell r="G1289">
            <v>110233</v>
          </cell>
          <cell r="K1289" t="str">
            <v>PSS</v>
          </cell>
          <cell r="M1289" t="str">
            <v>DEL</v>
          </cell>
          <cell r="N1289" t="str">
            <v>Resource</v>
          </cell>
          <cell r="Q1289" t="str">
            <v>yes</v>
          </cell>
          <cell r="X1289" t="str">
            <v xml:space="preserve"> </v>
          </cell>
          <cell r="Y1289" t="str">
            <v xml:space="preserve"> </v>
          </cell>
          <cell r="Z1289" t="str">
            <v xml:space="preserve"> </v>
          </cell>
        </row>
        <row r="1290">
          <cell r="B1290" t="str">
            <v>M10</v>
          </cell>
          <cell r="F1290">
            <v>2</v>
          </cell>
          <cell r="G1290">
            <v>110233</v>
          </cell>
          <cell r="K1290" t="str">
            <v>PSS</v>
          </cell>
          <cell r="M1290" t="str">
            <v>DEL</v>
          </cell>
          <cell r="N1290" t="str">
            <v>Resource</v>
          </cell>
          <cell r="Q1290" t="str">
            <v>yes</v>
          </cell>
          <cell r="X1290" t="str">
            <v xml:space="preserve"> </v>
          </cell>
          <cell r="Y1290">
            <v>93000</v>
          </cell>
          <cell r="Z1290">
            <v>93000</v>
          </cell>
        </row>
        <row r="1291">
          <cell r="B1291" t="str">
            <v>K40</v>
          </cell>
          <cell r="F1291">
            <v>3</v>
          </cell>
          <cell r="G1291">
            <v>110701</v>
          </cell>
          <cell r="K1291">
            <v>0</v>
          </cell>
          <cell r="M1291" t="str">
            <v>non-budget</v>
          </cell>
          <cell r="N1291" t="str">
            <v>non-budget</v>
          </cell>
          <cell r="Q1291" t="str">
            <v>yes</v>
          </cell>
          <cell r="X1291" t="str">
            <v xml:space="preserve"> </v>
          </cell>
          <cell r="Y1291" t="str">
            <v xml:space="preserve"> </v>
          </cell>
          <cell r="Z1291" t="str">
            <v xml:space="preserve"> </v>
          </cell>
        </row>
        <row r="1292">
          <cell r="B1292" t="str">
            <v>M10</v>
          </cell>
          <cell r="F1292">
            <v>4</v>
          </cell>
          <cell r="G1292">
            <v>110235</v>
          </cell>
          <cell r="K1292" t="str">
            <v>PSS</v>
          </cell>
          <cell r="M1292" t="str">
            <v>DEL</v>
          </cell>
          <cell r="N1292" t="str">
            <v>Resource</v>
          </cell>
          <cell r="Q1292" t="str">
            <v>yes</v>
          </cell>
          <cell r="X1292" t="str">
            <v xml:space="preserve"> </v>
          </cell>
          <cell r="Y1292">
            <v>30000</v>
          </cell>
          <cell r="Z1292">
            <v>50000</v>
          </cell>
        </row>
        <row r="1293">
          <cell r="B1293" t="str">
            <v>M10</v>
          </cell>
          <cell r="F1293">
            <v>4</v>
          </cell>
          <cell r="G1293">
            <v>110236</v>
          </cell>
          <cell r="K1293" t="str">
            <v>PSS</v>
          </cell>
          <cell r="M1293" t="str">
            <v>DEL</v>
          </cell>
          <cell r="N1293" t="str">
            <v>Resource</v>
          </cell>
          <cell r="Q1293" t="str">
            <v>yes</v>
          </cell>
          <cell r="X1293" t="str">
            <v xml:space="preserve"> </v>
          </cell>
          <cell r="Y1293">
            <v>20000</v>
          </cell>
          <cell r="Z1293">
            <v>40000</v>
          </cell>
        </row>
        <row r="1294">
          <cell r="B1294" t="str">
            <v>M10</v>
          </cell>
          <cell r="F1294">
            <v>12</v>
          </cell>
          <cell r="G1294">
            <v>110204</v>
          </cell>
          <cell r="K1294" t="str">
            <v>PSS</v>
          </cell>
          <cell r="M1294" t="str">
            <v>DEL</v>
          </cell>
          <cell r="N1294" t="str">
            <v>Resource</v>
          </cell>
          <cell r="Q1294" t="str">
            <v>yes</v>
          </cell>
          <cell r="X1294" t="str">
            <v xml:space="preserve"> </v>
          </cell>
          <cell r="Y1294" t="str">
            <v xml:space="preserve"> </v>
          </cell>
          <cell r="Z1294" t="str">
            <v xml:space="preserve"> </v>
          </cell>
        </row>
        <row r="1295">
          <cell r="B1295" t="str">
            <v>M10</v>
          </cell>
          <cell r="F1295">
            <v>12</v>
          </cell>
          <cell r="G1295">
            <v>110207</v>
          </cell>
          <cell r="K1295" t="str">
            <v>PSS</v>
          </cell>
          <cell r="M1295" t="str">
            <v>DEL</v>
          </cell>
          <cell r="N1295" t="str">
            <v>Resource</v>
          </cell>
          <cell r="Q1295" t="str">
            <v>yes</v>
          </cell>
          <cell r="X1295" t="str">
            <v xml:space="preserve"> </v>
          </cell>
          <cell r="Y1295" t="str">
            <v xml:space="preserve"> </v>
          </cell>
          <cell r="Z1295" t="str">
            <v xml:space="preserve"> </v>
          </cell>
        </row>
        <row r="1296">
          <cell r="B1296" t="str">
            <v>M10</v>
          </cell>
          <cell r="F1296">
            <v>12</v>
          </cell>
          <cell r="G1296">
            <v>110224</v>
          </cell>
          <cell r="K1296" t="str">
            <v>PSS</v>
          </cell>
          <cell r="M1296" t="str">
            <v>DEL</v>
          </cell>
          <cell r="N1296" t="str">
            <v>Resource</v>
          </cell>
          <cell r="Q1296" t="str">
            <v>yes</v>
          </cell>
          <cell r="X1296">
            <v>-4500</v>
          </cell>
          <cell r="Y1296" t="str">
            <v xml:space="preserve"> </v>
          </cell>
          <cell r="Z1296" t="str">
            <v xml:space="preserve"> </v>
          </cell>
        </row>
        <row r="1297">
          <cell r="B1297" t="str">
            <v>M10</v>
          </cell>
          <cell r="F1297">
            <v>12</v>
          </cell>
          <cell r="G1297">
            <v>110229</v>
          </cell>
          <cell r="K1297" t="str">
            <v>PSS</v>
          </cell>
          <cell r="M1297" t="str">
            <v>DEL</v>
          </cell>
          <cell r="N1297" t="str">
            <v>Resource</v>
          </cell>
          <cell r="Q1297" t="str">
            <v>yes</v>
          </cell>
          <cell r="X1297" t="str">
            <v xml:space="preserve"> </v>
          </cell>
          <cell r="Y1297" t="str">
            <v xml:space="preserve"> </v>
          </cell>
          <cell r="Z1297" t="str">
            <v xml:space="preserve"> </v>
          </cell>
        </row>
        <row r="1298">
          <cell r="B1298" t="str">
            <v>M10</v>
          </cell>
          <cell r="F1298">
            <v>12</v>
          </cell>
          <cell r="G1298">
            <v>110227</v>
          </cell>
          <cell r="K1298" t="str">
            <v>PSS</v>
          </cell>
          <cell r="M1298" t="str">
            <v>DEL</v>
          </cell>
          <cell r="N1298" t="str">
            <v>Resource</v>
          </cell>
          <cell r="Q1298" t="str">
            <v>yes</v>
          </cell>
          <cell r="X1298">
            <v>-100</v>
          </cell>
          <cell r="Y1298" t="str">
            <v xml:space="preserve"> </v>
          </cell>
          <cell r="Z1298" t="str">
            <v xml:space="preserve"> </v>
          </cell>
        </row>
        <row r="1299">
          <cell r="B1299" t="str">
            <v>M10</v>
          </cell>
          <cell r="F1299">
            <v>12</v>
          </cell>
          <cell r="G1299">
            <v>110230</v>
          </cell>
          <cell r="K1299" t="str">
            <v>PSS</v>
          </cell>
          <cell r="M1299" t="str">
            <v>DEL</v>
          </cell>
          <cell r="N1299" t="str">
            <v>Resource</v>
          </cell>
          <cell r="Q1299" t="str">
            <v>yes</v>
          </cell>
          <cell r="X1299">
            <v>100000</v>
          </cell>
          <cell r="Y1299" t="str">
            <v xml:space="preserve"> </v>
          </cell>
          <cell r="Z1299" t="str">
            <v xml:space="preserve"> </v>
          </cell>
        </row>
        <row r="1300">
          <cell r="B1300" t="str">
            <v>M10</v>
          </cell>
          <cell r="F1300">
            <v>12</v>
          </cell>
          <cell r="G1300">
            <v>110233</v>
          </cell>
          <cell r="K1300" t="str">
            <v>PSS</v>
          </cell>
          <cell r="M1300" t="str">
            <v>DEL</v>
          </cell>
          <cell r="N1300" t="str">
            <v>Resource</v>
          </cell>
          <cell r="Q1300" t="str">
            <v>yes</v>
          </cell>
          <cell r="X1300" t="str">
            <v xml:space="preserve"> </v>
          </cell>
          <cell r="Y1300" t="str">
            <v xml:space="preserve"> </v>
          </cell>
          <cell r="Z1300" t="str">
            <v xml:space="preserve"> </v>
          </cell>
        </row>
        <row r="1301">
          <cell r="B1301" t="str">
            <v>M10</v>
          </cell>
          <cell r="F1301">
            <v>12</v>
          </cell>
          <cell r="G1301">
            <v>110231</v>
          </cell>
          <cell r="K1301" t="str">
            <v>PSS</v>
          </cell>
          <cell r="M1301" t="str">
            <v>DEL</v>
          </cell>
          <cell r="N1301" t="str">
            <v>Resource</v>
          </cell>
          <cell r="Q1301" t="str">
            <v>yes</v>
          </cell>
          <cell r="X1301">
            <v>-100000</v>
          </cell>
          <cell r="Y1301" t="str">
            <v xml:space="preserve"> </v>
          </cell>
          <cell r="Z1301" t="str">
            <v xml:space="preserve"> </v>
          </cell>
        </row>
        <row r="1302">
          <cell r="B1302" t="str">
            <v>M10</v>
          </cell>
          <cell r="F1302">
            <v>1</v>
          </cell>
          <cell r="G1302">
            <v>110311</v>
          </cell>
          <cell r="K1302">
            <v>0</v>
          </cell>
          <cell r="M1302" t="str">
            <v>DEL</v>
          </cell>
          <cell r="N1302" t="str">
            <v>Resource</v>
          </cell>
          <cell r="Q1302" t="str">
            <v>yes</v>
          </cell>
          <cell r="X1302" t="str">
            <v xml:space="preserve"> </v>
          </cell>
          <cell r="Y1302" t="str">
            <v xml:space="preserve"> </v>
          </cell>
          <cell r="Z1302" t="str">
            <v xml:space="preserve"> </v>
          </cell>
        </row>
        <row r="1303">
          <cell r="B1303" t="str">
            <v>X16</v>
          </cell>
          <cell r="F1303">
            <v>12</v>
          </cell>
          <cell r="G1303">
            <v>110101</v>
          </cell>
          <cell r="K1303">
            <v>0</v>
          </cell>
          <cell r="M1303" t="str">
            <v>DEL</v>
          </cell>
          <cell r="N1303" t="str">
            <v>Resource</v>
          </cell>
          <cell r="Q1303" t="str">
            <v>no</v>
          </cell>
        </row>
        <row r="1304">
          <cell r="B1304" t="str">
            <v>L10</v>
          </cell>
          <cell r="F1304">
            <v>12</v>
          </cell>
          <cell r="G1304">
            <v>110301</v>
          </cell>
          <cell r="K1304">
            <v>0</v>
          </cell>
          <cell r="M1304" t="str">
            <v>DEL</v>
          </cell>
          <cell r="N1304" t="str">
            <v>Resource</v>
          </cell>
          <cell r="Q1304" t="str">
            <v>no</v>
          </cell>
          <cell r="X1304" t="str">
            <v xml:space="preserve"> </v>
          </cell>
          <cell r="Y1304" t="str">
            <v xml:space="preserve"> </v>
          </cell>
          <cell r="Z1304" t="str">
            <v xml:space="preserve"> </v>
          </cell>
        </row>
        <row r="1305">
          <cell r="B1305" t="str">
            <v>X16</v>
          </cell>
          <cell r="F1305">
            <v>4</v>
          </cell>
          <cell r="G1305">
            <v>110302</v>
          </cell>
          <cell r="K1305">
            <v>0</v>
          </cell>
          <cell r="M1305" t="str">
            <v>DEL</v>
          </cell>
          <cell r="N1305" t="str">
            <v>Resource</v>
          </cell>
          <cell r="Q1305" t="str">
            <v>no</v>
          </cell>
          <cell r="X1305" t="str">
            <v xml:space="preserve"> </v>
          </cell>
          <cell r="Y1305" t="str">
            <v xml:space="preserve"> </v>
          </cell>
          <cell r="Z1305" t="str">
            <v xml:space="preserve"> </v>
          </cell>
        </row>
        <row r="1306">
          <cell r="B1306" t="str">
            <v>X16</v>
          </cell>
          <cell r="F1306">
            <v>1</v>
          </cell>
          <cell r="G1306">
            <v>110401</v>
          </cell>
          <cell r="K1306">
            <v>0</v>
          </cell>
          <cell r="M1306" t="str">
            <v>DEL</v>
          </cell>
          <cell r="N1306" t="str">
            <v>Resource</v>
          </cell>
          <cell r="Q1306" t="str">
            <v>no</v>
          </cell>
          <cell r="X1306">
            <v>-10</v>
          </cell>
          <cell r="Y1306" t="str">
            <v xml:space="preserve"> </v>
          </cell>
          <cell r="Z1306" t="str">
            <v xml:space="preserve"> </v>
          </cell>
        </row>
        <row r="1307">
          <cell r="B1307" t="str">
            <v>X16</v>
          </cell>
          <cell r="F1307">
            <v>1</v>
          </cell>
          <cell r="G1307">
            <v>110401</v>
          </cell>
          <cell r="K1307">
            <v>0</v>
          </cell>
          <cell r="M1307" t="str">
            <v>DEL</v>
          </cell>
          <cell r="N1307" t="str">
            <v>Resource</v>
          </cell>
          <cell r="Q1307" t="str">
            <v>no</v>
          </cell>
          <cell r="X1307" t="str">
            <v xml:space="preserve"> </v>
          </cell>
          <cell r="Y1307" t="str">
            <v xml:space="preserve"> </v>
          </cell>
          <cell r="Z1307" t="str">
            <v xml:space="preserve"> </v>
          </cell>
        </row>
        <row r="1308">
          <cell r="B1308" t="str">
            <v>X16</v>
          </cell>
          <cell r="F1308">
            <v>4</v>
          </cell>
          <cell r="G1308">
            <v>110401</v>
          </cell>
          <cell r="K1308">
            <v>0</v>
          </cell>
          <cell r="M1308" t="str">
            <v>DEL</v>
          </cell>
          <cell r="N1308" t="str">
            <v>Resource</v>
          </cell>
          <cell r="Q1308" t="str">
            <v>no</v>
          </cell>
          <cell r="X1308" t="str">
            <v xml:space="preserve"> </v>
          </cell>
          <cell r="Y1308" t="str">
            <v xml:space="preserve"> </v>
          </cell>
          <cell r="Z1308" t="str">
            <v xml:space="preserve"> </v>
          </cell>
        </row>
        <row r="1309">
          <cell r="B1309" t="str">
            <v>X16</v>
          </cell>
          <cell r="F1309">
            <v>4</v>
          </cell>
          <cell r="G1309">
            <v>110401</v>
          </cell>
          <cell r="K1309">
            <v>0</v>
          </cell>
          <cell r="M1309" t="str">
            <v>DEL</v>
          </cell>
          <cell r="N1309" t="str">
            <v>Resource</v>
          </cell>
          <cell r="Q1309" t="str">
            <v>no</v>
          </cell>
          <cell r="X1309" t="str">
            <v xml:space="preserve"> </v>
          </cell>
          <cell r="Y1309" t="str">
            <v xml:space="preserve"> </v>
          </cell>
          <cell r="Z1309" t="str">
            <v xml:space="preserve"> </v>
          </cell>
        </row>
        <row r="1310">
          <cell r="B1310" t="str">
            <v>M10</v>
          </cell>
          <cell r="F1310">
            <v>9</v>
          </cell>
          <cell r="G1310">
            <v>110101</v>
          </cell>
          <cell r="K1310">
            <v>0</v>
          </cell>
          <cell r="M1310" t="str">
            <v>DEL</v>
          </cell>
          <cell r="N1310" t="str">
            <v>Resource</v>
          </cell>
          <cell r="Q1310" t="str">
            <v>yes</v>
          </cell>
          <cell r="X1310" t="str">
            <v xml:space="preserve"> </v>
          </cell>
          <cell r="Y1310" t="str">
            <v xml:space="preserve"> </v>
          </cell>
          <cell r="Z1310" t="str">
            <v xml:space="preserve"> </v>
          </cell>
        </row>
        <row r="1311">
          <cell r="B1311" t="str">
            <v>M10</v>
          </cell>
          <cell r="F1311">
            <v>9</v>
          </cell>
          <cell r="G1311">
            <v>110228</v>
          </cell>
          <cell r="K1311" t="str">
            <v>PSS</v>
          </cell>
          <cell r="M1311" t="str">
            <v>DEL</v>
          </cell>
          <cell r="N1311" t="str">
            <v>Resource</v>
          </cell>
          <cell r="Q1311" t="str">
            <v>yes</v>
          </cell>
          <cell r="X1311" t="str">
            <v xml:space="preserve"> </v>
          </cell>
          <cell r="Y1311" t="str">
            <v xml:space="preserve"> </v>
          </cell>
          <cell r="Z1311" t="str">
            <v xml:space="preserve"> </v>
          </cell>
        </row>
        <row r="1312">
          <cell r="B1312" t="str">
            <v>M10</v>
          </cell>
          <cell r="F1312">
            <v>9</v>
          </cell>
          <cell r="G1312">
            <v>110229</v>
          </cell>
          <cell r="K1312" t="str">
            <v>PSS</v>
          </cell>
          <cell r="M1312" t="str">
            <v>DEL</v>
          </cell>
          <cell r="N1312" t="str">
            <v>Resource</v>
          </cell>
          <cell r="Q1312" t="str">
            <v>yes</v>
          </cell>
          <cell r="X1312" t="str">
            <v xml:space="preserve"> </v>
          </cell>
          <cell r="Y1312" t="str">
            <v xml:space="preserve"> </v>
          </cell>
          <cell r="Z1312" t="str">
            <v xml:space="preserve"> </v>
          </cell>
        </row>
        <row r="1313">
          <cell r="B1313" t="str">
            <v>S10</v>
          </cell>
          <cell r="F1313">
            <v>1</v>
          </cell>
          <cell r="G1313">
            <v>110107</v>
          </cell>
          <cell r="K1313">
            <v>0</v>
          </cell>
          <cell r="M1313" t="str">
            <v>DEL</v>
          </cell>
          <cell r="N1313" t="str">
            <v>Resource</v>
          </cell>
          <cell r="Q1313" t="str">
            <v>yes</v>
          </cell>
          <cell r="X1313" t="str">
            <v xml:space="preserve"> </v>
          </cell>
          <cell r="Y1313" t="str">
            <v xml:space="preserve"> </v>
          </cell>
          <cell r="Z1313" t="str">
            <v xml:space="preserve"> </v>
          </cell>
        </row>
        <row r="1314">
          <cell r="B1314" t="str">
            <v>F57</v>
          </cell>
          <cell r="F1314">
            <v>12</v>
          </cell>
          <cell r="G1314">
            <v>180700</v>
          </cell>
          <cell r="K1314">
            <v>0</v>
          </cell>
          <cell r="M1314" t="str">
            <v>? Non-Rab</v>
          </cell>
          <cell r="N1314" t="str">
            <v>? Non-Rab</v>
          </cell>
          <cell r="Q1314" t="str">
            <v>no</v>
          </cell>
          <cell r="X1314" t="str">
            <v xml:space="preserve"> </v>
          </cell>
          <cell r="Y1314" t="str">
            <v xml:space="preserve"> </v>
          </cell>
          <cell r="Z1314" t="str">
            <v xml:space="preserve"> </v>
          </cell>
        </row>
        <row r="1315">
          <cell r="B1315" t="str">
            <v>E10</v>
          </cell>
          <cell r="F1315">
            <v>1</v>
          </cell>
          <cell r="G1315">
            <v>110101</v>
          </cell>
          <cell r="K1315">
            <v>0</v>
          </cell>
          <cell r="M1315" t="str">
            <v>non-budget</v>
          </cell>
          <cell r="N1315" t="str">
            <v>non-budget</v>
          </cell>
          <cell r="Q1315" t="str">
            <v>no</v>
          </cell>
          <cell r="X1315" t="str">
            <v xml:space="preserve"> </v>
          </cell>
          <cell r="Y1315" t="str">
            <v xml:space="preserve"> </v>
          </cell>
          <cell r="Z1315" t="str">
            <v xml:space="preserve"> </v>
          </cell>
        </row>
        <row r="1316">
          <cell r="B1316" t="str">
            <v>E10</v>
          </cell>
          <cell r="F1316">
            <v>1</v>
          </cell>
          <cell r="G1316">
            <v>110202</v>
          </cell>
          <cell r="K1316" t="str">
            <v>PSS</v>
          </cell>
          <cell r="M1316" t="str">
            <v>non-budget</v>
          </cell>
          <cell r="N1316" t="str">
            <v>non-budget</v>
          </cell>
          <cell r="Q1316" t="str">
            <v>no</v>
          </cell>
          <cell r="X1316" t="str">
            <v xml:space="preserve"> </v>
          </cell>
          <cell r="Y1316" t="str">
            <v xml:space="preserve"> </v>
          </cell>
          <cell r="Z1316" t="str">
            <v xml:space="preserve"> </v>
          </cell>
        </row>
        <row r="1317">
          <cell r="B1317" t="str">
            <v>E10</v>
          </cell>
          <cell r="F1317">
            <v>1</v>
          </cell>
          <cell r="G1317">
            <v>110202</v>
          </cell>
          <cell r="K1317" t="str">
            <v>PSS</v>
          </cell>
          <cell r="M1317" t="str">
            <v>non-budget</v>
          </cell>
          <cell r="N1317" t="str">
            <v>non-budget</v>
          </cell>
          <cell r="Q1317" t="str">
            <v>no</v>
          </cell>
          <cell r="X1317" t="str">
            <v xml:space="preserve"> </v>
          </cell>
          <cell r="Y1317" t="str">
            <v xml:space="preserve"> </v>
          </cell>
          <cell r="Z1317" t="str">
            <v xml:space="preserve"> </v>
          </cell>
        </row>
        <row r="1318">
          <cell r="B1318" t="str">
            <v>E10</v>
          </cell>
          <cell r="F1318">
            <v>1</v>
          </cell>
          <cell r="G1318">
            <v>110203</v>
          </cell>
          <cell r="K1318" t="str">
            <v>PSS</v>
          </cell>
          <cell r="M1318" t="str">
            <v>non-budget</v>
          </cell>
          <cell r="N1318" t="str">
            <v>non-budget</v>
          </cell>
          <cell r="Q1318" t="str">
            <v>no</v>
          </cell>
          <cell r="X1318" t="str">
            <v xml:space="preserve"> </v>
          </cell>
          <cell r="Y1318" t="str">
            <v xml:space="preserve"> </v>
          </cell>
          <cell r="Z1318" t="str">
            <v xml:space="preserve"> </v>
          </cell>
        </row>
        <row r="1319">
          <cell r="B1319" t="str">
            <v>L11</v>
          </cell>
          <cell r="F1319">
            <v>3</v>
          </cell>
          <cell r="G1319">
            <v>110101</v>
          </cell>
          <cell r="K1319">
            <v>0</v>
          </cell>
          <cell r="M1319" t="str">
            <v>DEL</v>
          </cell>
          <cell r="N1319" t="str">
            <v>Resource</v>
          </cell>
          <cell r="Q1319" t="str">
            <v>no</v>
          </cell>
          <cell r="X1319">
            <v>807340</v>
          </cell>
          <cell r="Y1319" t="str">
            <v xml:space="preserve"> </v>
          </cell>
          <cell r="Z1319" t="str">
            <v xml:space="preserve"> </v>
          </cell>
        </row>
        <row r="1320">
          <cell r="B1320" t="str">
            <v>L21</v>
          </cell>
          <cell r="F1320">
            <v>3</v>
          </cell>
          <cell r="G1320">
            <v>110101</v>
          </cell>
          <cell r="K1320">
            <v>0</v>
          </cell>
          <cell r="M1320" t="str">
            <v>DEL</v>
          </cell>
          <cell r="N1320" t="str">
            <v>Resource</v>
          </cell>
          <cell r="Q1320" t="str">
            <v>no</v>
          </cell>
          <cell r="X1320">
            <v>-807340</v>
          </cell>
          <cell r="Y1320" t="str">
            <v xml:space="preserve"> </v>
          </cell>
          <cell r="Z1320" t="str">
            <v xml:space="preserve"> </v>
          </cell>
        </row>
        <row r="1321">
          <cell r="B1321" t="str">
            <v>L21</v>
          </cell>
          <cell r="F1321">
            <v>12</v>
          </cell>
          <cell r="G1321">
            <v>110301</v>
          </cell>
          <cell r="K1321">
            <v>0</v>
          </cell>
          <cell r="M1321" t="str">
            <v>DEL</v>
          </cell>
          <cell r="N1321" t="str">
            <v>Resource</v>
          </cell>
          <cell r="Q1321" t="str">
            <v>no</v>
          </cell>
        </row>
        <row r="1322">
          <cell r="B1322" t="str">
            <v>M10</v>
          </cell>
          <cell r="F1322">
            <v>3</v>
          </cell>
          <cell r="G1322">
            <v>110230</v>
          </cell>
          <cell r="K1322" t="str">
            <v>PSS</v>
          </cell>
          <cell r="M1322" t="str">
            <v>DEL</v>
          </cell>
          <cell r="N1322" t="str">
            <v>Resource</v>
          </cell>
          <cell r="Q1322" t="str">
            <v>yes</v>
          </cell>
          <cell r="X1322" t="str">
            <v xml:space="preserve"> </v>
          </cell>
          <cell r="Y1322" t="str">
            <v xml:space="preserve"> </v>
          </cell>
          <cell r="Z1322" t="str">
            <v xml:space="preserve"> </v>
          </cell>
        </row>
        <row r="1323">
          <cell r="B1323" t="str">
            <v>E10</v>
          </cell>
          <cell r="F1323">
            <v>6</v>
          </cell>
          <cell r="G1323">
            <v>110101</v>
          </cell>
          <cell r="K1323">
            <v>0</v>
          </cell>
          <cell r="M1323" t="str">
            <v>non-budget</v>
          </cell>
          <cell r="N1323" t="str">
            <v>non-budget</v>
          </cell>
          <cell r="Q1323" t="str">
            <v>no</v>
          </cell>
          <cell r="X1323" t="str">
            <v xml:space="preserve"> </v>
          </cell>
          <cell r="Y1323" t="str">
            <v xml:space="preserve"> </v>
          </cell>
          <cell r="Z1323" t="str">
            <v xml:space="preserve"> </v>
          </cell>
        </row>
        <row r="1324">
          <cell r="B1324" t="str">
            <v>E10</v>
          </cell>
          <cell r="F1324">
            <v>6</v>
          </cell>
          <cell r="G1324">
            <v>110101</v>
          </cell>
          <cell r="K1324">
            <v>0</v>
          </cell>
          <cell r="M1324" t="str">
            <v>non-budget</v>
          </cell>
          <cell r="N1324" t="str">
            <v>non-budget</v>
          </cell>
          <cell r="Q1324" t="str">
            <v>no</v>
          </cell>
          <cell r="X1324" t="str">
            <v xml:space="preserve"> </v>
          </cell>
          <cell r="Y1324" t="str">
            <v xml:space="preserve"> </v>
          </cell>
          <cell r="Z1324" t="str">
            <v xml:space="preserve"> </v>
          </cell>
        </row>
        <row r="1325">
          <cell r="B1325" t="str">
            <v>E10</v>
          </cell>
          <cell r="F1325">
            <v>6</v>
          </cell>
          <cell r="G1325">
            <v>110101</v>
          </cell>
          <cell r="K1325">
            <v>0</v>
          </cell>
          <cell r="M1325" t="str">
            <v>non-budget</v>
          </cell>
          <cell r="N1325" t="str">
            <v>non-budget</v>
          </cell>
          <cell r="Q1325" t="str">
            <v>no</v>
          </cell>
          <cell r="X1325" t="str">
            <v xml:space="preserve"> </v>
          </cell>
          <cell r="Y1325" t="str">
            <v xml:space="preserve"> </v>
          </cell>
          <cell r="Z1325" t="str">
            <v xml:space="preserve"> </v>
          </cell>
        </row>
        <row r="1326">
          <cell r="B1326" t="str">
            <v>E10</v>
          </cell>
          <cell r="F1326">
            <v>6</v>
          </cell>
          <cell r="G1326">
            <v>110202</v>
          </cell>
          <cell r="K1326" t="str">
            <v>PSS</v>
          </cell>
          <cell r="M1326" t="str">
            <v>non-budget</v>
          </cell>
          <cell r="N1326" t="str">
            <v>non-budget</v>
          </cell>
          <cell r="Q1326" t="str">
            <v>no</v>
          </cell>
          <cell r="X1326" t="str">
            <v xml:space="preserve"> </v>
          </cell>
          <cell r="Y1326" t="str">
            <v xml:space="preserve"> </v>
          </cell>
          <cell r="Z1326" t="str">
            <v xml:space="preserve"> </v>
          </cell>
        </row>
        <row r="1327">
          <cell r="B1327" t="str">
            <v>E10</v>
          </cell>
          <cell r="F1327">
            <v>6</v>
          </cell>
          <cell r="G1327">
            <v>110202</v>
          </cell>
          <cell r="K1327" t="str">
            <v>PSS</v>
          </cell>
          <cell r="M1327" t="str">
            <v>non-budget</v>
          </cell>
          <cell r="N1327" t="str">
            <v>non-budget</v>
          </cell>
          <cell r="Q1327" t="str">
            <v>no</v>
          </cell>
          <cell r="X1327" t="str">
            <v xml:space="preserve"> </v>
          </cell>
          <cell r="Y1327" t="str">
            <v xml:space="preserve"> </v>
          </cell>
          <cell r="Z1327" t="str">
            <v xml:space="preserve"> </v>
          </cell>
        </row>
        <row r="1328">
          <cell r="B1328" t="str">
            <v>X16</v>
          </cell>
          <cell r="F1328">
            <v>4</v>
          </cell>
          <cell r="G1328">
            <v>110401</v>
          </cell>
          <cell r="K1328">
            <v>0</v>
          </cell>
          <cell r="M1328" t="str">
            <v>DEL</v>
          </cell>
          <cell r="N1328" t="str">
            <v>Resource</v>
          </cell>
          <cell r="Q1328" t="str">
            <v>no</v>
          </cell>
          <cell r="X1328" t="str">
            <v xml:space="preserve"> </v>
          </cell>
          <cell r="Y1328" t="str">
            <v xml:space="preserve"> </v>
          </cell>
          <cell r="Z1328" t="str">
            <v xml:space="preserve"> </v>
          </cell>
        </row>
        <row r="1329">
          <cell r="B1329" t="str">
            <v>S10</v>
          </cell>
          <cell r="F1329">
            <v>12</v>
          </cell>
          <cell r="G1329">
            <v>110409</v>
          </cell>
          <cell r="K1329">
            <v>0</v>
          </cell>
          <cell r="M1329" t="str">
            <v>DEL</v>
          </cell>
          <cell r="N1329" t="str">
            <v>Resource</v>
          </cell>
          <cell r="Q1329" t="str">
            <v>yes</v>
          </cell>
          <cell r="X1329">
            <v>15</v>
          </cell>
          <cell r="Y1329" t="str">
            <v xml:space="preserve"> </v>
          </cell>
          <cell r="Z1329" t="str">
            <v xml:space="preserve"> </v>
          </cell>
        </row>
        <row r="1330">
          <cell r="B1330" t="str">
            <v>F40</v>
          </cell>
          <cell r="F1330">
            <v>12</v>
          </cell>
          <cell r="G1330">
            <v>180700</v>
          </cell>
          <cell r="K1330">
            <v>0</v>
          </cell>
          <cell r="M1330" t="str">
            <v>? Non-Rab</v>
          </cell>
          <cell r="N1330" t="str">
            <v>? Non-Rab</v>
          </cell>
          <cell r="Q1330" t="str">
            <v>no</v>
          </cell>
          <cell r="X1330" t="str">
            <v xml:space="preserve"> </v>
          </cell>
          <cell r="Y1330" t="str">
            <v xml:space="preserve"> </v>
          </cell>
          <cell r="Z1330" t="str">
            <v xml:space="preserve"> </v>
          </cell>
        </row>
        <row r="1331">
          <cell r="B1331" t="str">
            <v>F45</v>
          </cell>
          <cell r="F1331">
            <v>12</v>
          </cell>
          <cell r="G1331">
            <v>180700</v>
          </cell>
          <cell r="K1331">
            <v>0</v>
          </cell>
          <cell r="M1331" t="str">
            <v>? Non-Rab</v>
          </cell>
          <cell r="N1331" t="str">
            <v>? Non-Rab</v>
          </cell>
          <cell r="Q1331" t="str">
            <v>no</v>
          </cell>
          <cell r="X1331" t="str">
            <v xml:space="preserve"> </v>
          </cell>
          <cell r="Y1331" t="str">
            <v xml:space="preserve"> </v>
          </cell>
          <cell r="Z1331" t="str">
            <v xml:space="preserve"> </v>
          </cell>
        </row>
        <row r="1332">
          <cell r="B1332" t="str">
            <v>F50</v>
          </cell>
          <cell r="F1332">
            <v>12</v>
          </cell>
          <cell r="G1332">
            <v>180700</v>
          </cell>
          <cell r="K1332">
            <v>0</v>
          </cell>
          <cell r="M1332" t="str">
            <v>? Non-Rab</v>
          </cell>
          <cell r="N1332" t="str">
            <v>? Non-Rab</v>
          </cell>
          <cell r="Q1332" t="str">
            <v>no</v>
          </cell>
          <cell r="X1332" t="str">
            <v xml:space="preserve"> </v>
          </cell>
          <cell r="Y1332">
            <v>-289569</v>
          </cell>
          <cell r="Z1332">
            <v>-340847</v>
          </cell>
        </row>
        <row r="1333">
          <cell r="B1333" t="str">
            <v>F50</v>
          </cell>
          <cell r="F1333">
            <v>12</v>
          </cell>
          <cell r="G1333">
            <v>180700</v>
          </cell>
          <cell r="K1333">
            <v>0</v>
          </cell>
          <cell r="M1333" t="str">
            <v>? Non-Rab</v>
          </cell>
          <cell r="N1333" t="str">
            <v>? Non-Rab</v>
          </cell>
          <cell r="Q1333" t="str">
            <v>no</v>
          </cell>
          <cell r="X1333" t="str">
            <v xml:space="preserve"> </v>
          </cell>
          <cell r="Y1333" t="str">
            <v xml:space="preserve"> </v>
          </cell>
          <cell r="Z1333" t="str">
            <v xml:space="preserve"> </v>
          </cell>
        </row>
        <row r="1334">
          <cell r="B1334" t="str">
            <v>E15</v>
          </cell>
          <cell r="F1334">
            <v>1</v>
          </cell>
          <cell r="G1334">
            <v>110202</v>
          </cell>
          <cell r="K1334" t="str">
            <v>PSS</v>
          </cell>
          <cell r="M1334" t="str">
            <v>non-budget</v>
          </cell>
          <cell r="N1334" t="str">
            <v>non-budget</v>
          </cell>
          <cell r="Q1334" t="str">
            <v>no</v>
          </cell>
          <cell r="X1334" t="str">
            <v xml:space="preserve"> </v>
          </cell>
          <cell r="Y1334" t="str">
            <v xml:space="preserve"> </v>
          </cell>
          <cell r="Z1334" t="str">
            <v xml:space="preserve"> </v>
          </cell>
        </row>
        <row r="1335">
          <cell r="B1335" t="str">
            <v>E15</v>
          </cell>
          <cell r="F1335">
            <v>1</v>
          </cell>
          <cell r="G1335">
            <v>110203</v>
          </cell>
          <cell r="K1335" t="str">
            <v>PSS</v>
          </cell>
          <cell r="M1335" t="str">
            <v>non-budget</v>
          </cell>
          <cell r="N1335" t="str">
            <v>non-budget</v>
          </cell>
          <cell r="Q1335" t="str">
            <v>no</v>
          </cell>
          <cell r="X1335" t="str">
            <v xml:space="preserve"> </v>
          </cell>
          <cell r="Y1335" t="str">
            <v xml:space="preserve"> </v>
          </cell>
          <cell r="Z1335" t="str">
            <v xml:space="preserve"> </v>
          </cell>
        </row>
        <row r="1336">
          <cell r="B1336" t="str">
            <v>M10</v>
          </cell>
          <cell r="F1336">
            <v>3</v>
          </cell>
          <cell r="G1336">
            <v>110231</v>
          </cell>
          <cell r="K1336" t="str">
            <v>PSS</v>
          </cell>
          <cell r="M1336" t="str">
            <v>DEL</v>
          </cell>
          <cell r="N1336" t="str">
            <v>Resource</v>
          </cell>
          <cell r="Q1336" t="str">
            <v>yes</v>
          </cell>
          <cell r="X1336" t="str">
            <v xml:space="preserve"> </v>
          </cell>
          <cell r="Y1336" t="str">
            <v xml:space="preserve"> </v>
          </cell>
          <cell r="Z1336" t="str">
            <v xml:space="preserve"> </v>
          </cell>
        </row>
        <row r="1337">
          <cell r="B1337" t="str">
            <v>M10</v>
          </cell>
          <cell r="F1337">
            <v>3</v>
          </cell>
          <cell r="G1337">
            <v>110233</v>
          </cell>
          <cell r="K1337" t="str">
            <v>PSS</v>
          </cell>
          <cell r="M1337" t="str">
            <v>DEL</v>
          </cell>
          <cell r="N1337" t="str">
            <v>Resource</v>
          </cell>
          <cell r="Q1337" t="str">
            <v>yes</v>
          </cell>
          <cell r="X1337">
            <v>1539</v>
          </cell>
          <cell r="Y1337" t="str">
            <v xml:space="preserve"> </v>
          </cell>
          <cell r="Z1337" t="str">
            <v xml:space="preserve"> </v>
          </cell>
        </row>
        <row r="1338">
          <cell r="B1338" t="str">
            <v>M10</v>
          </cell>
          <cell r="F1338">
            <v>3</v>
          </cell>
          <cell r="G1338">
            <v>110233</v>
          </cell>
          <cell r="K1338" t="str">
            <v>PSS</v>
          </cell>
          <cell r="M1338" t="str">
            <v>DEL</v>
          </cell>
          <cell r="N1338" t="str">
            <v>Resource</v>
          </cell>
          <cell r="Q1338" t="str">
            <v>yes</v>
          </cell>
          <cell r="X1338" t="str">
            <v xml:space="preserve"> </v>
          </cell>
          <cell r="Y1338" t="str">
            <v xml:space="preserve"> </v>
          </cell>
          <cell r="Z1338" t="str">
            <v xml:space="preserve"> </v>
          </cell>
        </row>
        <row r="1339">
          <cell r="B1339" t="str">
            <v>E15</v>
          </cell>
          <cell r="F1339">
            <v>6</v>
          </cell>
          <cell r="G1339">
            <v>110202</v>
          </cell>
          <cell r="K1339" t="str">
            <v>PSS</v>
          </cell>
          <cell r="M1339" t="str">
            <v>non-budget</v>
          </cell>
          <cell r="N1339" t="str">
            <v>non-budget</v>
          </cell>
          <cell r="Q1339" t="str">
            <v>no</v>
          </cell>
          <cell r="X1339" t="str">
            <v xml:space="preserve"> </v>
          </cell>
          <cell r="Y1339" t="str">
            <v xml:space="preserve"> </v>
          </cell>
          <cell r="Z1339" t="str">
            <v xml:space="preserve"> </v>
          </cell>
        </row>
        <row r="1340">
          <cell r="B1340" t="str">
            <v>E15</v>
          </cell>
          <cell r="F1340">
            <v>6</v>
          </cell>
          <cell r="G1340">
            <v>110202</v>
          </cell>
          <cell r="K1340" t="str">
            <v>PSS</v>
          </cell>
          <cell r="M1340" t="str">
            <v>non-budget</v>
          </cell>
          <cell r="N1340" t="str">
            <v>non-budget</v>
          </cell>
          <cell r="Q1340" t="str">
            <v>no</v>
          </cell>
          <cell r="X1340" t="str">
            <v xml:space="preserve"> </v>
          </cell>
          <cell r="Y1340" t="str">
            <v xml:space="preserve"> </v>
          </cell>
          <cell r="Z1340" t="str">
            <v xml:space="preserve"> </v>
          </cell>
        </row>
        <row r="1341">
          <cell r="B1341" t="str">
            <v>S10</v>
          </cell>
          <cell r="F1341">
            <v>1</v>
          </cell>
          <cell r="G1341">
            <v>110409</v>
          </cell>
          <cell r="K1341">
            <v>0</v>
          </cell>
          <cell r="M1341" t="str">
            <v>DEL</v>
          </cell>
          <cell r="N1341" t="str">
            <v>Resource</v>
          </cell>
          <cell r="Q1341" t="str">
            <v>yes</v>
          </cell>
          <cell r="X1341">
            <v>-15</v>
          </cell>
          <cell r="Y1341" t="str">
            <v xml:space="preserve"> </v>
          </cell>
          <cell r="Z1341" t="str">
            <v xml:space="preserve"> </v>
          </cell>
        </row>
        <row r="1342">
          <cell r="B1342" t="str">
            <v>S10</v>
          </cell>
          <cell r="F1342">
            <v>2</v>
          </cell>
          <cell r="G1342">
            <v>110409</v>
          </cell>
          <cell r="K1342">
            <v>0</v>
          </cell>
          <cell r="M1342" t="str">
            <v>DEL</v>
          </cell>
          <cell r="N1342" t="str">
            <v>Resource</v>
          </cell>
          <cell r="Q1342" t="str">
            <v>yes</v>
          </cell>
          <cell r="X1342" t="str">
            <v xml:space="preserve"> </v>
          </cell>
          <cell r="Y1342">
            <v>-15</v>
          </cell>
          <cell r="Z1342">
            <v>-15</v>
          </cell>
        </row>
        <row r="1343">
          <cell r="B1343" t="str">
            <v>G20</v>
          </cell>
          <cell r="F1343">
            <v>1</v>
          </cell>
          <cell r="G1343">
            <v>110202</v>
          </cell>
          <cell r="K1343" t="str">
            <v>PSS</v>
          </cell>
          <cell r="M1343" t="str">
            <v>non-budget</v>
          </cell>
          <cell r="N1343" t="str">
            <v>non-budget</v>
          </cell>
          <cell r="Q1343" t="str">
            <v>no</v>
          </cell>
          <cell r="X1343" t="str">
            <v xml:space="preserve"> </v>
          </cell>
          <cell r="Y1343" t="str">
            <v xml:space="preserve"> </v>
          </cell>
          <cell r="Z1343" t="str">
            <v xml:space="preserve"> </v>
          </cell>
        </row>
        <row r="1344">
          <cell r="B1344" t="str">
            <v>T30</v>
          </cell>
          <cell r="F1344">
            <v>3</v>
          </cell>
          <cell r="G1344">
            <v>110701</v>
          </cell>
          <cell r="K1344">
            <v>0</v>
          </cell>
          <cell r="M1344" t="str">
            <v>DEL</v>
          </cell>
          <cell r="N1344" t="str">
            <v>Resource</v>
          </cell>
          <cell r="Q1344" t="str">
            <v>yes</v>
          </cell>
          <cell r="X1344" t="str">
            <v xml:space="preserve"> </v>
          </cell>
          <cell r="Y1344" t="str">
            <v xml:space="preserve"> </v>
          </cell>
          <cell r="Z1344" t="str">
            <v xml:space="preserve"> </v>
          </cell>
        </row>
        <row r="1345">
          <cell r="B1345" t="str">
            <v>G20</v>
          </cell>
          <cell r="F1345">
            <v>6</v>
          </cell>
          <cell r="G1345">
            <v>110202</v>
          </cell>
          <cell r="K1345" t="str">
            <v>PSS</v>
          </cell>
          <cell r="M1345" t="str">
            <v>non-budget</v>
          </cell>
          <cell r="N1345" t="str">
            <v>non-budget</v>
          </cell>
          <cell r="Q1345" t="str">
            <v>no</v>
          </cell>
          <cell r="X1345" t="str">
            <v xml:space="preserve"> </v>
          </cell>
          <cell r="Y1345" t="str">
            <v xml:space="preserve"> </v>
          </cell>
          <cell r="Z1345" t="str">
            <v xml:space="preserve"> </v>
          </cell>
        </row>
        <row r="1346">
          <cell r="B1346" t="str">
            <v>S10</v>
          </cell>
          <cell r="F1346">
            <v>6</v>
          </cell>
          <cell r="G1346">
            <v>110409</v>
          </cell>
          <cell r="K1346">
            <v>0</v>
          </cell>
          <cell r="M1346" t="str">
            <v>DEL</v>
          </cell>
          <cell r="N1346" t="str">
            <v>Resource</v>
          </cell>
          <cell r="Q1346" t="str">
            <v>yes</v>
          </cell>
          <cell r="X1346" t="str">
            <v xml:space="preserve"> </v>
          </cell>
          <cell r="Y1346" t="str">
            <v xml:space="preserve"> </v>
          </cell>
          <cell r="Z1346" t="str">
            <v xml:space="preserve"> </v>
          </cell>
        </row>
        <row r="1347">
          <cell r="B1347" t="str">
            <v>S10</v>
          </cell>
          <cell r="F1347">
            <v>12</v>
          </cell>
          <cell r="G1347">
            <v>110801</v>
          </cell>
          <cell r="K1347">
            <v>0</v>
          </cell>
          <cell r="M1347" t="str">
            <v>AME</v>
          </cell>
          <cell r="N1347" t="str">
            <v>Resource</v>
          </cell>
          <cell r="Q1347" t="str">
            <v>yes</v>
          </cell>
          <cell r="X1347" t="str">
            <v xml:space="preserve"> </v>
          </cell>
          <cell r="Y1347" t="str">
            <v xml:space="preserve"> </v>
          </cell>
          <cell r="Z1347" t="str">
            <v xml:space="preserve"> </v>
          </cell>
        </row>
        <row r="1348">
          <cell r="B1348" t="str">
            <v>G45</v>
          </cell>
          <cell r="F1348">
            <v>6</v>
          </cell>
          <cell r="G1348">
            <v>110702</v>
          </cell>
          <cell r="K1348">
            <v>0</v>
          </cell>
          <cell r="M1348" t="str">
            <v>non-budget</v>
          </cell>
          <cell r="N1348" t="str">
            <v>non-budget</v>
          </cell>
          <cell r="Q1348" t="str">
            <v>no</v>
          </cell>
          <cell r="X1348" t="str">
            <v xml:space="preserve"> </v>
          </cell>
          <cell r="Y1348" t="str">
            <v xml:space="preserve"> </v>
          </cell>
          <cell r="Z1348" t="str">
            <v xml:space="preserve"> </v>
          </cell>
        </row>
        <row r="1349">
          <cell r="B1349" t="str">
            <v>S20</v>
          </cell>
          <cell r="F1349">
            <v>1</v>
          </cell>
          <cell r="G1349">
            <v>110402</v>
          </cell>
          <cell r="K1349">
            <v>0</v>
          </cell>
          <cell r="M1349" t="str">
            <v>non-budget</v>
          </cell>
          <cell r="N1349" t="str">
            <v>non-budget</v>
          </cell>
          <cell r="Q1349" t="str">
            <v>yes</v>
          </cell>
          <cell r="X1349" t="str">
            <v xml:space="preserve"> </v>
          </cell>
          <cell r="Y1349" t="str">
            <v xml:space="preserve"> </v>
          </cell>
          <cell r="Z1349" t="str">
            <v xml:space="preserve"> </v>
          </cell>
        </row>
        <row r="1350">
          <cell r="B1350" t="str">
            <v>H20</v>
          </cell>
          <cell r="F1350">
            <v>1</v>
          </cell>
          <cell r="G1350">
            <v>110202</v>
          </cell>
          <cell r="K1350" t="str">
            <v>PSS</v>
          </cell>
          <cell r="M1350" t="str">
            <v>non-budget</v>
          </cell>
          <cell r="N1350" t="str">
            <v>non-budget</v>
          </cell>
          <cell r="Q1350" t="str">
            <v>no</v>
          </cell>
          <cell r="X1350" t="str">
            <v xml:space="preserve"> </v>
          </cell>
          <cell r="Y1350" t="str">
            <v xml:space="preserve"> </v>
          </cell>
          <cell r="Z1350" t="str">
            <v xml:space="preserve"> </v>
          </cell>
        </row>
        <row r="1351">
          <cell r="B1351" t="str">
            <v>H20</v>
          </cell>
          <cell r="F1351">
            <v>1</v>
          </cell>
          <cell r="G1351">
            <v>110202</v>
          </cell>
          <cell r="K1351" t="str">
            <v>PSS</v>
          </cell>
          <cell r="M1351" t="str">
            <v>non-budget</v>
          </cell>
          <cell r="N1351" t="str">
            <v>non-budget</v>
          </cell>
          <cell r="Q1351" t="str">
            <v>no</v>
          </cell>
          <cell r="X1351" t="str">
            <v xml:space="preserve"> </v>
          </cell>
          <cell r="Y1351" t="str">
            <v xml:space="preserve"> </v>
          </cell>
          <cell r="Z1351" t="str">
            <v xml:space="preserve"> </v>
          </cell>
        </row>
        <row r="1352">
          <cell r="B1352" t="str">
            <v>H35</v>
          </cell>
          <cell r="F1352">
            <v>1</v>
          </cell>
          <cell r="G1352">
            <v>110701</v>
          </cell>
          <cell r="K1352">
            <v>0</v>
          </cell>
          <cell r="M1352" t="str">
            <v>non-budget</v>
          </cell>
          <cell r="N1352" t="str">
            <v>non-budget</v>
          </cell>
          <cell r="Q1352" t="str">
            <v>no</v>
          </cell>
          <cell r="X1352">
            <v>1492000</v>
          </cell>
          <cell r="Y1352" t="str">
            <v xml:space="preserve"> </v>
          </cell>
          <cell r="Z1352" t="str">
            <v xml:space="preserve"> </v>
          </cell>
        </row>
        <row r="1353">
          <cell r="B1353" t="str">
            <v>H35</v>
          </cell>
          <cell r="F1353">
            <v>1</v>
          </cell>
          <cell r="G1353">
            <v>110701</v>
          </cell>
          <cell r="K1353">
            <v>0</v>
          </cell>
          <cell r="M1353" t="str">
            <v>non-budget</v>
          </cell>
          <cell r="N1353" t="str">
            <v>non-budget</v>
          </cell>
          <cell r="Q1353" t="str">
            <v>no</v>
          </cell>
          <cell r="X1353">
            <v>-1100000</v>
          </cell>
          <cell r="Y1353" t="str">
            <v xml:space="preserve"> </v>
          </cell>
          <cell r="Z1353" t="str">
            <v xml:space="preserve"> </v>
          </cell>
        </row>
        <row r="1354">
          <cell r="B1354" t="str">
            <v>W15</v>
          </cell>
          <cell r="F1354">
            <v>3</v>
          </cell>
          <cell r="G1354">
            <v>110101</v>
          </cell>
          <cell r="K1354">
            <v>0</v>
          </cell>
          <cell r="M1354" t="str">
            <v>non-budget</v>
          </cell>
          <cell r="N1354" t="str">
            <v>non-budget</v>
          </cell>
          <cell r="Q1354" t="str">
            <v>yes</v>
          </cell>
          <cell r="X1354" t="str">
            <v xml:space="preserve"> </v>
          </cell>
          <cell r="Y1354" t="str">
            <v xml:space="preserve"> </v>
          </cell>
          <cell r="Z1354" t="str">
            <v xml:space="preserve"> </v>
          </cell>
        </row>
        <row r="1355">
          <cell r="B1355" t="str">
            <v>W15</v>
          </cell>
          <cell r="F1355">
            <v>3</v>
          </cell>
          <cell r="G1355">
            <v>110306</v>
          </cell>
          <cell r="K1355">
            <v>0</v>
          </cell>
          <cell r="M1355" t="str">
            <v>non-budget</v>
          </cell>
          <cell r="N1355" t="str">
            <v>non-budget</v>
          </cell>
          <cell r="Q1355" t="str">
            <v>yes</v>
          </cell>
          <cell r="X1355" t="str">
            <v xml:space="preserve"> </v>
          </cell>
          <cell r="Y1355" t="str">
            <v xml:space="preserve"> </v>
          </cell>
          <cell r="Z1355" t="str">
            <v xml:space="preserve"> </v>
          </cell>
        </row>
        <row r="1356">
          <cell r="B1356" t="str">
            <v>H35</v>
          </cell>
          <cell r="F1356">
            <v>6</v>
          </cell>
          <cell r="G1356">
            <v>110701</v>
          </cell>
          <cell r="K1356">
            <v>0</v>
          </cell>
          <cell r="M1356" t="str">
            <v>non-budget</v>
          </cell>
          <cell r="N1356" t="str">
            <v>non-budget</v>
          </cell>
          <cell r="Q1356" t="str">
            <v>no</v>
          </cell>
          <cell r="X1356" t="str">
            <v xml:space="preserve"> </v>
          </cell>
          <cell r="Y1356">
            <v>1492000</v>
          </cell>
          <cell r="Z1356">
            <v>1492000</v>
          </cell>
        </row>
        <row r="1357">
          <cell r="B1357" t="str">
            <v>H35</v>
          </cell>
          <cell r="F1357">
            <v>6</v>
          </cell>
          <cell r="G1357">
            <v>110701</v>
          </cell>
          <cell r="K1357">
            <v>0</v>
          </cell>
          <cell r="M1357" t="str">
            <v>non-budget</v>
          </cell>
          <cell r="N1357" t="str">
            <v>non-budget</v>
          </cell>
          <cell r="Q1357" t="str">
            <v>no</v>
          </cell>
          <cell r="X1357" t="str">
            <v xml:space="preserve"> </v>
          </cell>
          <cell r="Y1357" t="str">
            <v xml:space="preserve"> </v>
          </cell>
          <cell r="Z1357" t="str">
            <v xml:space="preserve"> </v>
          </cell>
        </row>
        <row r="1358">
          <cell r="B1358" t="str">
            <v>H35</v>
          </cell>
          <cell r="F1358">
            <v>6</v>
          </cell>
          <cell r="G1358">
            <v>110701</v>
          </cell>
          <cell r="K1358">
            <v>0</v>
          </cell>
          <cell r="M1358" t="str">
            <v>non-budget</v>
          </cell>
          <cell r="N1358" t="str">
            <v>non-budget</v>
          </cell>
          <cell r="Q1358" t="str">
            <v>no</v>
          </cell>
          <cell r="X1358" t="str">
            <v xml:space="preserve"> </v>
          </cell>
          <cell r="Y1358" t="str">
            <v xml:space="preserve"> </v>
          </cell>
          <cell r="Z1358" t="str">
            <v xml:space="preserve"> </v>
          </cell>
        </row>
        <row r="1359">
          <cell r="B1359" t="str">
            <v>H35</v>
          </cell>
          <cell r="F1359">
            <v>6</v>
          </cell>
          <cell r="G1359">
            <v>110701</v>
          </cell>
          <cell r="K1359">
            <v>0</v>
          </cell>
          <cell r="M1359" t="str">
            <v>non-budget</v>
          </cell>
          <cell r="N1359" t="str">
            <v>non-budget</v>
          </cell>
          <cell r="Q1359" t="str">
            <v>no</v>
          </cell>
          <cell r="X1359">
            <v>1227664</v>
          </cell>
          <cell r="Y1359" t="str">
            <v xml:space="preserve"> </v>
          </cell>
          <cell r="Z1359" t="str">
            <v xml:space="preserve"> </v>
          </cell>
        </row>
        <row r="1360">
          <cell r="B1360" t="str">
            <v>H35</v>
          </cell>
          <cell r="F1360">
            <v>6</v>
          </cell>
          <cell r="G1360">
            <v>110701</v>
          </cell>
          <cell r="K1360">
            <v>0</v>
          </cell>
          <cell r="M1360" t="str">
            <v>non-budget</v>
          </cell>
          <cell r="N1360" t="str">
            <v>non-budget</v>
          </cell>
          <cell r="Q1360" t="str">
            <v>no</v>
          </cell>
          <cell r="X1360">
            <v>-500000</v>
          </cell>
          <cell r="Y1360" t="str">
            <v xml:space="preserve"> </v>
          </cell>
          <cell r="Z1360" t="str">
            <v xml:space="preserve"> </v>
          </cell>
        </row>
        <row r="1361">
          <cell r="B1361" t="str">
            <v>H35</v>
          </cell>
          <cell r="F1361">
            <v>6</v>
          </cell>
          <cell r="G1361">
            <v>110701</v>
          </cell>
          <cell r="K1361">
            <v>0</v>
          </cell>
          <cell r="M1361" t="str">
            <v>non-budget</v>
          </cell>
          <cell r="N1361" t="str">
            <v>non-budget</v>
          </cell>
          <cell r="Q1361" t="str">
            <v>no</v>
          </cell>
          <cell r="X1361">
            <v>200000</v>
          </cell>
          <cell r="Y1361" t="str">
            <v xml:space="preserve"> </v>
          </cell>
          <cell r="Z1361" t="str">
            <v xml:space="preserve"> </v>
          </cell>
        </row>
        <row r="1362">
          <cell r="B1362" t="str">
            <v>H35</v>
          </cell>
          <cell r="F1362">
            <v>6</v>
          </cell>
          <cell r="G1362">
            <v>110701</v>
          </cell>
          <cell r="K1362">
            <v>0</v>
          </cell>
          <cell r="M1362" t="str">
            <v>non-budget</v>
          </cell>
          <cell r="N1362" t="str">
            <v>non-budget</v>
          </cell>
          <cell r="Q1362" t="str">
            <v>no</v>
          </cell>
          <cell r="X1362" t="str">
            <v xml:space="preserve"> </v>
          </cell>
          <cell r="Y1362" t="str">
            <v xml:space="preserve"> </v>
          </cell>
          <cell r="Z1362" t="str">
            <v xml:space="preserve"> </v>
          </cell>
        </row>
        <row r="1363">
          <cell r="B1363" t="str">
            <v>H35</v>
          </cell>
          <cell r="F1363">
            <v>6</v>
          </cell>
          <cell r="G1363">
            <v>110701</v>
          </cell>
          <cell r="K1363">
            <v>0</v>
          </cell>
          <cell r="M1363" t="str">
            <v>non-budget</v>
          </cell>
          <cell r="N1363" t="str">
            <v>non-budget</v>
          </cell>
          <cell r="Q1363" t="str">
            <v>no</v>
          </cell>
          <cell r="X1363" t="str">
            <v xml:space="preserve"> </v>
          </cell>
          <cell r="Y1363">
            <v>-1100000</v>
          </cell>
          <cell r="Z1363">
            <v>-1100000</v>
          </cell>
        </row>
        <row r="1364">
          <cell r="B1364" t="str">
            <v>H35</v>
          </cell>
          <cell r="F1364">
            <v>6</v>
          </cell>
          <cell r="G1364">
            <v>110701</v>
          </cell>
          <cell r="K1364">
            <v>0</v>
          </cell>
          <cell r="M1364" t="str">
            <v>non-budget</v>
          </cell>
          <cell r="N1364" t="str">
            <v>non-budget</v>
          </cell>
          <cell r="Q1364" t="str">
            <v>no</v>
          </cell>
          <cell r="X1364">
            <v>-400000</v>
          </cell>
          <cell r="Y1364" t="str">
            <v xml:space="preserve"> </v>
          </cell>
          <cell r="Z1364" t="str">
            <v xml:space="preserve"> </v>
          </cell>
        </row>
        <row r="1365">
          <cell r="B1365" t="str">
            <v>H35</v>
          </cell>
          <cell r="F1365">
            <v>6</v>
          </cell>
          <cell r="G1365">
            <v>110702</v>
          </cell>
          <cell r="K1365">
            <v>0</v>
          </cell>
          <cell r="M1365" t="str">
            <v>non-budget</v>
          </cell>
          <cell r="N1365" t="str">
            <v>non-budget</v>
          </cell>
          <cell r="Q1365" t="str">
            <v>no</v>
          </cell>
          <cell r="X1365" t="str">
            <v xml:space="preserve"> </v>
          </cell>
          <cell r="Y1365" t="str">
            <v xml:space="preserve"> </v>
          </cell>
          <cell r="Z1365" t="str">
            <v xml:space="preserve"> </v>
          </cell>
        </row>
        <row r="1366">
          <cell r="B1366" t="str">
            <v>H35</v>
          </cell>
          <cell r="F1366">
            <v>6</v>
          </cell>
          <cell r="G1366">
            <v>110702</v>
          </cell>
          <cell r="K1366">
            <v>0</v>
          </cell>
          <cell r="M1366" t="str">
            <v>non-budget</v>
          </cell>
          <cell r="N1366" t="str">
            <v>non-budget</v>
          </cell>
          <cell r="Q1366" t="str">
            <v>no</v>
          </cell>
          <cell r="X1366">
            <v>500000</v>
          </cell>
          <cell r="Y1366" t="str">
            <v xml:space="preserve"> </v>
          </cell>
          <cell r="Z1366" t="str">
            <v xml:space="preserve"> </v>
          </cell>
        </row>
        <row r="1367">
          <cell r="B1367" t="str">
            <v>S20</v>
          </cell>
          <cell r="F1367">
            <v>1</v>
          </cell>
          <cell r="G1367">
            <v>110403</v>
          </cell>
          <cell r="K1367">
            <v>0</v>
          </cell>
          <cell r="M1367" t="str">
            <v>non-budget</v>
          </cell>
          <cell r="N1367" t="str">
            <v>non-budget</v>
          </cell>
          <cell r="Q1367" t="str">
            <v>yes</v>
          </cell>
          <cell r="X1367" t="str">
            <v xml:space="preserve"> </v>
          </cell>
          <cell r="Y1367" t="str">
            <v xml:space="preserve"> </v>
          </cell>
          <cell r="Z1367" t="str">
            <v xml:space="preserve"> </v>
          </cell>
        </row>
        <row r="1368">
          <cell r="B1368" t="str">
            <v>H35</v>
          </cell>
          <cell r="F1368">
            <v>4</v>
          </cell>
          <cell r="G1368">
            <v>110701</v>
          </cell>
          <cell r="K1368">
            <v>0</v>
          </cell>
          <cell r="M1368" t="str">
            <v>non-budget</v>
          </cell>
          <cell r="N1368" t="str">
            <v>non-budget</v>
          </cell>
          <cell r="Q1368" t="str">
            <v>no</v>
          </cell>
          <cell r="X1368" t="str">
            <v xml:space="preserve"> </v>
          </cell>
          <cell r="Y1368" t="str">
            <v xml:space="preserve"> </v>
          </cell>
          <cell r="Z1368" t="str">
            <v xml:space="preserve"> </v>
          </cell>
        </row>
        <row r="1369">
          <cell r="B1369" t="str">
            <v>T30</v>
          </cell>
          <cell r="F1369">
            <v>12</v>
          </cell>
          <cell r="G1369">
            <v>110701</v>
          </cell>
          <cell r="K1369">
            <v>0</v>
          </cell>
          <cell r="M1369" t="str">
            <v>DEL</v>
          </cell>
          <cell r="N1369" t="str">
            <v>Resource</v>
          </cell>
          <cell r="Q1369" t="str">
            <v>yes</v>
          </cell>
          <cell r="X1369" t="str">
            <v xml:space="preserve"> </v>
          </cell>
          <cell r="Y1369" t="str">
            <v xml:space="preserve"> </v>
          </cell>
          <cell r="Z1369" t="str">
            <v xml:space="preserve"> </v>
          </cell>
        </row>
        <row r="1370">
          <cell r="B1370" t="str">
            <v>N10</v>
          </cell>
          <cell r="F1370">
            <v>9</v>
          </cell>
          <cell r="G1370">
            <v>110101</v>
          </cell>
          <cell r="K1370">
            <v>0</v>
          </cell>
          <cell r="M1370" t="str">
            <v>DEL</v>
          </cell>
          <cell r="N1370" t="str">
            <v>Capital</v>
          </cell>
          <cell r="Q1370" t="str">
            <v>no</v>
          </cell>
          <cell r="X1370" t="str">
            <v xml:space="preserve"> </v>
          </cell>
          <cell r="Y1370" t="str">
            <v xml:space="preserve"> </v>
          </cell>
          <cell r="Z1370" t="str">
            <v xml:space="preserve"> </v>
          </cell>
        </row>
        <row r="1371">
          <cell r="B1371" t="str">
            <v>N10</v>
          </cell>
          <cell r="F1371">
            <v>9</v>
          </cell>
          <cell r="G1371">
            <v>110222</v>
          </cell>
          <cell r="K1371" t="str">
            <v>PSS</v>
          </cell>
          <cell r="M1371" t="str">
            <v>DEL</v>
          </cell>
          <cell r="N1371" t="str">
            <v>Capital</v>
          </cell>
          <cell r="Q1371" t="str">
            <v>no</v>
          </cell>
          <cell r="X1371" t="str">
            <v xml:space="preserve"> </v>
          </cell>
          <cell r="Y1371" t="str">
            <v xml:space="preserve"> </v>
          </cell>
          <cell r="Z1371" t="str">
            <v xml:space="preserve"> </v>
          </cell>
        </row>
        <row r="1372">
          <cell r="B1372" t="str">
            <v>T30</v>
          </cell>
          <cell r="F1372">
            <v>1</v>
          </cell>
          <cell r="G1372">
            <v>110701</v>
          </cell>
          <cell r="K1372">
            <v>0</v>
          </cell>
          <cell r="M1372" t="str">
            <v>DEL</v>
          </cell>
          <cell r="N1372" t="str">
            <v>Resource</v>
          </cell>
          <cell r="Q1372" t="str">
            <v>yes</v>
          </cell>
          <cell r="X1372">
            <v>-838696</v>
          </cell>
          <cell r="Y1372" t="str">
            <v xml:space="preserve"> </v>
          </cell>
          <cell r="Z1372" t="str">
            <v xml:space="preserve"> </v>
          </cell>
        </row>
        <row r="1373">
          <cell r="B1373" t="str">
            <v>T30</v>
          </cell>
          <cell r="F1373">
            <v>6</v>
          </cell>
          <cell r="G1373">
            <v>110701</v>
          </cell>
          <cell r="K1373">
            <v>0</v>
          </cell>
          <cell r="M1373" t="str">
            <v>DEL</v>
          </cell>
          <cell r="N1373" t="str">
            <v>Resource</v>
          </cell>
          <cell r="Q1373" t="str">
            <v>yes</v>
          </cell>
          <cell r="X1373">
            <v>-138496</v>
          </cell>
          <cell r="Y1373">
            <v>-138496</v>
          </cell>
          <cell r="Z1373">
            <v>-138496</v>
          </cell>
        </row>
        <row r="1374">
          <cell r="B1374" t="str">
            <v>T30</v>
          </cell>
          <cell r="F1374">
            <v>4</v>
          </cell>
          <cell r="G1374">
            <v>110701</v>
          </cell>
          <cell r="K1374">
            <v>0</v>
          </cell>
          <cell r="M1374" t="str">
            <v>DEL</v>
          </cell>
          <cell r="N1374" t="str">
            <v>Resource</v>
          </cell>
          <cell r="Q1374" t="str">
            <v>yes</v>
          </cell>
          <cell r="X1374" t="str">
            <v xml:space="preserve"> </v>
          </cell>
          <cell r="Y1374" t="str">
            <v xml:space="preserve"> </v>
          </cell>
          <cell r="Z1374" t="str">
            <v xml:space="preserve"> </v>
          </cell>
        </row>
        <row r="1375">
          <cell r="B1375" t="str">
            <v>T30</v>
          </cell>
          <cell r="F1375">
            <v>2</v>
          </cell>
          <cell r="G1375">
            <v>110701</v>
          </cell>
          <cell r="K1375">
            <v>0</v>
          </cell>
          <cell r="M1375" t="str">
            <v>DEL</v>
          </cell>
          <cell r="N1375" t="str">
            <v>Resource</v>
          </cell>
          <cell r="Q1375" t="str">
            <v>yes</v>
          </cell>
          <cell r="X1375" t="str">
            <v xml:space="preserve"> </v>
          </cell>
          <cell r="Y1375">
            <v>-838696</v>
          </cell>
          <cell r="Z1375">
            <v>-838696</v>
          </cell>
        </row>
        <row r="1376">
          <cell r="B1376" t="str">
            <v>T30</v>
          </cell>
          <cell r="F1376">
            <v>6</v>
          </cell>
          <cell r="G1376">
            <v>110701</v>
          </cell>
          <cell r="K1376">
            <v>0</v>
          </cell>
          <cell r="M1376" t="str">
            <v>DEL</v>
          </cell>
          <cell r="N1376" t="str">
            <v>Resource</v>
          </cell>
          <cell r="Q1376" t="str">
            <v>yes</v>
          </cell>
          <cell r="X1376" t="str">
            <v xml:space="preserve"> </v>
          </cell>
          <cell r="Y1376" t="str">
            <v xml:space="preserve"> </v>
          </cell>
          <cell r="Z1376" t="str">
            <v xml:space="preserve"> </v>
          </cell>
        </row>
        <row r="1377">
          <cell r="B1377" t="str">
            <v>W15</v>
          </cell>
          <cell r="F1377">
            <v>3</v>
          </cell>
          <cell r="G1377">
            <v>110306</v>
          </cell>
          <cell r="K1377">
            <v>0</v>
          </cell>
          <cell r="M1377" t="str">
            <v>non-budget</v>
          </cell>
          <cell r="N1377" t="str">
            <v>non-budget</v>
          </cell>
          <cell r="Q1377" t="str">
            <v>yes</v>
          </cell>
          <cell r="X1377">
            <v>1291</v>
          </cell>
          <cell r="Y1377" t="str">
            <v xml:space="preserve"> </v>
          </cell>
          <cell r="Z1377" t="str">
            <v xml:space="preserve"> </v>
          </cell>
        </row>
        <row r="1378">
          <cell r="B1378" t="str">
            <v>N40</v>
          </cell>
          <cell r="F1378">
            <v>9</v>
          </cell>
          <cell r="G1378">
            <v>110601</v>
          </cell>
          <cell r="K1378" t="str">
            <v>PSS</v>
          </cell>
          <cell r="M1378" t="str">
            <v>DEL</v>
          </cell>
          <cell r="N1378" t="str">
            <v>Capital</v>
          </cell>
          <cell r="Q1378" t="str">
            <v>no</v>
          </cell>
          <cell r="X1378" t="str">
            <v xml:space="preserve"> </v>
          </cell>
          <cell r="Y1378" t="str">
            <v xml:space="preserve"> </v>
          </cell>
          <cell r="Z1378" t="str">
            <v xml:space="preserve"> </v>
          </cell>
        </row>
        <row r="1379">
          <cell r="B1379" t="str">
            <v>T30</v>
          </cell>
          <cell r="F1379">
            <v>1</v>
          </cell>
          <cell r="G1379">
            <v>110402</v>
          </cell>
          <cell r="K1379">
            <v>0</v>
          </cell>
          <cell r="M1379" t="str">
            <v>non-budget</v>
          </cell>
          <cell r="N1379" t="str">
            <v>non-budget</v>
          </cell>
          <cell r="Q1379" t="str">
            <v>yes</v>
          </cell>
          <cell r="X1379" t="str">
            <v xml:space="preserve"> </v>
          </cell>
          <cell r="Y1379" t="str">
            <v xml:space="preserve"> </v>
          </cell>
          <cell r="Z1379" t="str">
            <v xml:space="preserve"> </v>
          </cell>
        </row>
        <row r="1380">
          <cell r="B1380" t="str">
            <v>T30</v>
          </cell>
          <cell r="F1380">
            <v>1</v>
          </cell>
          <cell r="G1380">
            <v>110403</v>
          </cell>
          <cell r="K1380">
            <v>0</v>
          </cell>
          <cell r="M1380" t="str">
            <v>non-budget</v>
          </cell>
          <cell r="N1380" t="str">
            <v>non-budget</v>
          </cell>
          <cell r="Q1380" t="str">
            <v>yes</v>
          </cell>
          <cell r="X1380" t="str">
            <v xml:space="preserve"> </v>
          </cell>
          <cell r="Y1380" t="str">
            <v xml:space="preserve"> </v>
          </cell>
          <cell r="Z1380" t="str">
            <v xml:space="preserve"> </v>
          </cell>
        </row>
        <row r="1381">
          <cell r="B1381" t="str">
            <v>X16</v>
          </cell>
          <cell r="F1381">
            <v>2</v>
          </cell>
          <cell r="G1381">
            <v>110401</v>
          </cell>
          <cell r="K1381">
            <v>0</v>
          </cell>
          <cell r="M1381" t="str">
            <v>DEL</v>
          </cell>
          <cell r="N1381" t="str">
            <v>Resource</v>
          </cell>
          <cell r="Q1381" t="str">
            <v>no</v>
          </cell>
          <cell r="X1381" t="str">
            <v xml:space="preserve"> </v>
          </cell>
          <cell r="Y1381">
            <v>-10</v>
          </cell>
          <cell r="Z1381">
            <v>-10</v>
          </cell>
        </row>
        <row r="1382">
          <cell r="B1382" t="str">
            <v>T30</v>
          </cell>
          <cell r="F1382">
            <v>9</v>
          </cell>
          <cell r="G1382">
            <v>110701</v>
          </cell>
          <cell r="K1382">
            <v>0</v>
          </cell>
          <cell r="M1382" t="str">
            <v>DEL</v>
          </cell>
          <cell r="N1382" t="str">
            <v>Resource</v>
          </cell>
          <cell r="Q1382" t="str">
            <v>yes</v>
          </cell>
          <cell r="X1382" t="str">
            <v xml:space="preserve"> </v>
          </cell>
          <cell r="Y1382" t="str">
            <v xml:space="preserve"> </v>
          </cell>
          <cell r="Z1382" t="str">
            <v xml:space="preserve"> </v>
          </cell>
        </row>
        <row r="1383">
          <cell r="B1383" t="str">
            <v>W15</v>
          </cell>
          <cell r="F1383">
            <v>12</v>
          </cell>
          <cell r="G1383">
            <v>110101</v>
          </cell>
          <cell r="K1383">
            <v>0</v>
          </cell>
          <cell r="M1383" t="str">
            <v>non-budget</v>
          </cell>
          <cell r="N1383" t="str">
            <v>non-budget</v>
          </cell>
          <cell r="Q1383" t="str">
            <v>yes</v>
          </cell>
          <cell r="X1383">
            <v>12364</v>
          </cell>
          <cell r="Y1383" t="str">
            <v xml:space="preserve"> </v>
          </cell>
          <cell r="Z1383" t="str">
            <v xml:space="preserve"> </v>
          </cell>
        </row>
        <row r="1384">
          <cell r="B1384" t="str">
            <v>S45</v>
          </cell>
          <cell r="F1384">
            <v>1</v>
          </cell>
          <cell r="G1384">
            <v>110106</v>
          </cell>
          <cell r="K1384">
            <v>0</v>
          </cell>
          <cell r="M1384" t="str">
            <v>non-budget</v>
          </cell>
          <cell r="N1384" t="str">
            <v>non-budget</v>
          </cell>
          <cell r="Q1384" t="str">
            <v>no</v>
          </cell>
          <cell r="X1384">
            <v>-13332734</v>
          </cell>
          <cell r="Y1384" t="str">
            <v xml:space="preserve"> </v>
          </cell>
          <cell r="Z1384" t="str">
            <v xml:space="preserve"> </v>
          </cell>
        </row>
        <row r="1385">
          <cell r="B1385" t="str">
            <v>S45</v>
          </cell>
          <cell r="F1385">
            <v>4</v>
          </cell>
          <cell r="G1385">
            <v>110106</v>
          </cell>
          <cell r="K1385">
            <v>0</v>
          </cell>
          <cell r="M1385" t="str">
            <v>non-budget</v>
          </cell>
          <cell r="N1385" t="str">
            <v>non-budget</v>
          </cell>
          <cell r="Q1385" t="str">
            <v>no</v>
          </cell>
          <cell r="X1385" t="str">
            <v xml:space="preserve"> </v>
          </cell>
          <cell r="Y1385">
            <v>-13332734</v>
          </cell>
          <cell r="Z1385">
            <v>-13332734</v>
          </cell>
        </row>
        <row r="1386">
          <cell r="B1386" t="str">
            <v>S45</v>
          </cell>
          <cell r="F1386">
            <v>6</v>
          </cell>
          <cell r="G1386">
            <v>110106</v>
          </cell>
          <cell r="K1386">
            <v>0</v>
          </cell>
          <cell r="M1386" t="str">
            <v>non-budget</v>
          </cell>
          <cell r="N1386" t="str">
            <v>non-budget</v>
          </cell>
          <cell r="Q1386" t="str">
            <v>no</v>
          </cell>
          <cell r="X1386">
            <v>-2446645</v>
          </cell>
          <cell r="Y1386">
            <v>-2446645</v>
          </cell>
          <cell r="Z1386">
            <v>-2446645</v>
          </cell>
        </row>
        <row r="1387">
          <cell r="B1387" t="str">
            <v>S45</v>
          </cell>
          <cell r="F1387">
            <v>4</v>
          </cell>
          <cell r="G1387">
            <v>110106</v>
          </cell>
          <cell r="K1387">
            <v>0</v>
          </cell>
          <cell r="M1387" t="str">
            <v>non-budget</v>
          </cell>
          <cell r="N1387" t="str">
            <v>non-budget</v>
          </cell>
          <cell r="Q1387" t="str">
            <v>no</v>
          </cell>
          <cell r="X1387" t="str">
            <v xml:space="preserve"> </v>
          </cell>
          <cell r="Y1387" t="str">
            <v xml:space="preserve"> </v>
          </cell>
          <cell r="Z1387" t="str">
            <v xml:space="preserve"> </v>
          </cell>
        </row>
        <row r="1388">
          <cell r="B1388" t="str">
            <v>S65</v>
          </cell>
          <cell r="F1388">
            <v>1</v>
          </cell>
          <cell r="G1388">
            <v>110107</v>
          </cell>
          <cell r="K1388">
            <v>0</v>
          </cell>
          <cell r="M1388" t="str">
            <v>non-budget</v>
          </cell>
          <cell r="N1388" t="str">
            <v>non-budget</v>
          </cell>
          <cell r="Q1388" t="str">
            <v>no</v>
          </cell>
          <cell r="X1388" t="str">
            <v xml:space="preserve"> </v>
          </cell>
          <cell r="Y1388" t="str">
            <v xml:space="preserve"> </v>
          </cell>
          <cell r="Z1388" t="str">
            <v xml:space="preserve"> </v>
          </cell>
        </row>
        <row r="1389">
          <cell r="B1389" t="str">
            <v>S65</v>
          </cell>
          <cell r="F1389">
            <v>1</v>
          </cell>
          <cell r="G1389">
            <v>110308</v>
          </cell>
          <cell r="K1389">
            <v>0</v>
          </cell>
          <cell r="M1389" t="str">
            <v>non-budget</v>
          </cell>
          <cell r="N1389" t="str">
            <v>non-budget</v>
          </cell>
          <cell r="Q1389" t="str">
            <v>no</v>
          </cell>
          <cell r="X1389" t="str">
            <v xml:space="preserve"> </v>
          </cell>
          <cell r="Y1389" t="str">
            <v xml:space="preserve"> </v>
          </cell>
          <cell r="Z1389" t="str">
            <v xml:space="preserve"> </v>
          </cell>
        </row>
        <row r="1390">
          <cell r="B1390" t="str">
            <v>S70</v>
          </cell>
          <cell r="F1390">
            <v>1</v>
          </cell>
          <cell r="G1390">
            <v>110107</v>
          </cell>
          <cell r="K1390">
            <v>0</v>
          </cell>
          <cell r="M1390" t="str">
            <v>non-budget</v>
          </cell>
          <cell r="N1390" t="str">
            <v>non-budget</v>
          </cell>
          <cell r="Q1390" t="str">
            <v>no</v>
          </cell>
          <cell r="X1390" t="str">
            <v xml:space="preserve"> </v>
          </cell>
          <cell r="Y1390" t="str">
            <v xml:space="preserve"> </v>
          </cell>
          <cell r="Z1390" t="str">
            <v xml:space="preserve"> </v>
          </cell>
        </row>
        <row r="1391">
          <cell r="B1391" t="str">
            <v>S70</v>
          </cell>
          <cell r="F1391">
            <v>1</v>
          </cell>
          <cell r="G1391">
            <v>110308</v>
          </cell>
          <cell r="K1391">
            <v>0</v>
          </cell>
          <cell r="M1391" t="str">
            <v>non-budget</v>
          </cell>
          <cell r="N1391" t="str">
            <v>non-budget</v>
          </cell>
          <cell r="Q1391" t="str">
            <v>no</v>
          </cell>
          <cell r="X1391" t="str">
            <v xml:space="preserve"> </v>
          </cell>
          <cell r="Y1391" t="str">
            <v xml:space="preserve"> </v>
          </cell>
          <cell r="Z1391" t="str">
            <v xml:space="preserve"> </v>
          </cell>
        </row>
        <row r="1392">
          <cell r="B1392" t="str">
            <v>S70</v>
          </cell>
          <cell r="F1392">
            <v>4</v>
          </cell>
          <cell r="G1392">
            <v>110308</v>
          </cell>
          <cell r="K1392">
            <v>0</v>
          </cell>
          <cell r="M1392" t="str">
            <v>non-budget</v>
          </cell>
          <cell r="N1392" t="str">
            <v>non-budget</v>
          </cell>
          <cell r="Q1392" t="str">
            <v>no</v>
          </cell>
          <cell r="X1392" t="str">
            <v xml:space="preserve"> </v>
          </cell>
          <cell r="Y1392" t="str">
            <v xml:space="preserve"> </v>
          </cell>
          <cell r="Z1392" t="str">
            <v xml:space="preserve"> </v>
          </cell>
        </row>
        <row r="1393">
          <cell r="B1393" t="str">
            <v>W15</v>
          </cell>
          <cell r="F1393">
            <v>12</v>
          </cell>
          <cell r="G1393">
            <v>110101</v>
          </cell>
          <cell r="K1393">
            <v>0</v>
          </cell>
          <cell r="M1393" t="str">
            <v>non-budget</v>
          </cell>
          <cell r="N1393" t="str">
            <v>non-budget</v>
          </cell>
          <cell r="Q1393" t="str">
            <v>yes</v>
          </cell>
          <cell r="X1393" t="str">
            <v xml:space="preserve"> </v>
          </cell>
          <cell r="Y1393" t="str">
            <v xml:space="preserve"> </v>
          </cell>
          <cell r="Z1393" t="str">
            <v xml:space="preserve"> </v>
          </cell>
        </row>
        <row r="1394">
          <cell r="B1394" t="str">
            <v>W15</v>
          </cell>
          <cell r="F1394">
            <v>12</v>
          </cell>
          <cell r="G1394">
            <v>110306</v>
          </cell>
          <cell r="K1394">
            <v>0</v>
          </cell>
          <cell r="M1394" t="str">
            <v>non-budget</v>
          </cell>
          <cell r="N1394" t="str">
            <v>non-budget</v>
          </cell>
          <cell r="Q1394" t="str">
            <v>yes</v>
          </cell>
          <cell r="X1394">
            <v>-774</v>
          </cell>
          <cell r="Y1394" t="str">
            <v xml:space="preserve"> </v>
          </cell>
          <cell r="Z1394" t="str">
            <v xml:space="preserve"> </v>
          </cell>
        </row>
        <row r="1395">
          <cell r="B1395" t="str">
            <v>W15</v>
          </cell>
          <cell r="F1395">
            <v>12</v>
          </cell>
          <cell r="G1395">
            <v>110306</v>
          </cell>
          <cell r="K1395">
            <v>0</v>
          </cell>
          <cell r="M1395" t="str">
            <v>non-budget</v>
          </cell>
          <cell r="N1395" t="str">
            <v>non-budget</v>
          </cell>
          <cell r="Q1395" t="str">
            <v>yes</v>
          </cell>
          <cell r="X1395">
            <v>-442</v>
          </cell>
          <cell r="Y1395" t="str">
            <v xml:space="preserve"> </v>
          </cell>
          <cell r="Z1395" t="str">
            <v xml:space="preserve"> </v>
          </cell>
        </row>
        <row r="1396">
          <cell r="B1396" t="str">
            <v>W15</v>
          </cell>
          <cell r="F1396">
            <v>12</v>
          </cell>
          <cell r="G1396">
            <v>110306</v>
          </cell>
          <cell r="K1396">
            <v>0</v>
          </cell>
          <cell r="M1396" t="str">
            <v>non-budget</v>
          </cell>
          <cell r="N1396" t="str">
            <v>non-budget</v>
          </cell>
          <cell r="Q1396" t="str">
            <v>yes</v>
          </cell>
          <cell r="X1396" t="str">
            <v xml:space="preserve"> </v>
          </cell>
          <cell r="Y1396" t="str">
            <v xml:space="preserve"> </v>
          </cell>
          <cell r="Z1396" t="str">
            <v xml:space="preserve"> </v>
          </cell>
        </row>
        <row r="1397">
          <cell r="B1397" t="str">
            <v>W15</v>
          </cell>
          <cell r="F1397">
            <v>12</v>
          </cell>
          <cell r="G1397">
            <v>110306</v>
          </cell>
          <cell r="K1397">
            <v>0</v>
          </cell>
          <cell r="M1397" t="str">
            <v>non-budget</v>
          </cell>
          <cell r="N1397" t="str">
            <v>non-budget</v>
          </cell>
          <cell r="Q1397" t="str">
            <v>yes</v>
          </cell>
          <cell r="X1397" t="str">
            <v xml:space="preserve"> </v>
          </cell>
          <cell r="Y1397" t="str">
            <v xml:space="preserve"> </v>
          </cell>
          <cell r="Z1397" t="str">
            <v xml:space="preserve"> </v>
          </cell>
        </row>
        <row r="1398">
          <cell r="B1398" t="str">
            <v>W15</v>
          </cell>
          <cell r="F1398">
            <v>12</v>
          </cell>
          <cell r="G1398">
            <v>110901</v>
          </cell>
          <cell r="K1398">
            <v>0</v>
          </cell>
          <cell r="M1398" t="str">
            <v>non-budget</v>
          </cell>
          <cell r="N1398" t="str">
            <v>non-budget</v>
          </cell>
          <cell r="Q1398" t="str">
            <v>yes</v>
          </cell>
          <cell r="X1398">
            <v>5500</v>
          </cell>
          <cell r="Y1398" t="str">
            <v xml:space="preserve"> </v>
          </cell>
          <cell r="Z1398" t="str">
            <v xml:space="preserve"> </v>
          </cell>
        </row>
        <row r="1399">
          <cell r="B1399" t="str">
            <v>W15</v>
          </cell>
          <cell r="F1399">
            <v>12</v>
          </cell>
          <cell r="G1399">
            <v>110901</v>
          </cell>
          <cell r="K1399">
            <v>0</v>
          </cell>
          <cell r="M1399" t="str">
            <v>non-budget</v>
          </cell>
          <cell r="N1399" t="str">
            <v>non-budget</v>
          </cell>
          <cell r="Q1399" t="str">
            <v>yes</v>
          </cell>
          <cell r="X1399" t="str">
            <v xml:space="preserve"> </v>
          </cell>
          <cell r="Y1399" t="str">
            <v xml:space="preserve"> </v>
          </cell>
          <cell r="Z1399" t="str">
            <v xml:space="preserve"> </v>
          </cell>
        </row>
        <row r="1400">
          <cell r="B1400" t="str">
            <v>W15</v>
          </cell>
          <cell r="F1400">
            <v>1</v>
          </cell>
          <cell r="G1400">
            <v>110306</v>
          </cell>
          <cell r="K1400">
            <v>0</v>
          </cell>
          <cell r="M1400" t="str">
            <v>non-budget</v>
          </cell>
          <cell r="N1400" t="str">
            <v>non-budget</v>
          </cell>
          <cell r="Q1400" t="str">
            <v>yes</v>
          </cell>
          <cell r="X1400" t="str">
            <v xml:space="preserve"> </v>
          </cell>
          <cell r="Y1400" t="str">
            <v xml:space="preserve"> </v>
          </cell>
          <cell r="Z1400" t="str">
            <v xml:space="preserve"> </v>
          </cell>
        </row>
        <row r="1401">
          <cell r="B1401" t="str">
            <v>W15</v>
          </cell>
          <cell r="F1401">
            <v>1</v>
          </cell>
          <cell r="G1401">
            <v>110306</v>
          </cell>
          <cell r="K1401">
            <v>0</v>
          </cell>
          <cell r="M1401" t="str">
            <v>non-budget</v>
          </cell>
          <cell r="N1401" t="str">
            <v>non-budget</v>
          </cell>
          <cell r="Q1401" t="str">
            <v>yes</v>
          </cell>
          <cell r="X1401" t="str">
            <v xml:space="preserve"> </v>
          </cell>
          <cell r="Y1401" t="str">
            <v xml:space="preserve"> </v>
          </cell>
          <cell r="Z1401" t="str">
            <v xml:space="preserve"> </v>
          </cell>
        </row>
        <row r="1402">
          <cell r="B1402" t="str">
            <v>W15</v>
          </cell>
          <cell r="F1402">
            <v>1</v>
          </cell>
          <cell r="G1402">
            <v>110306</v>
          </cell>
          <cell r="K1402">
            <v>0</v>
          </cell>
          <cell r="M1402" t="str">
            <v>non-budget</v>
          </cell>
          <cell r="N1402" t="str">
            <v>non-budget</v>
          </cell>
          <cell r="Q1402" t="str">
            <v>yes</v>
          </cell>
          <cell r="X1402" t="str">
            <v xml:space="preserve"> </v>
          </cell>
          <cell r="Y1402" t="str">
            <v xml:space="preserve"> </v>
          </cell>
          <cell r="Z1402" t="str">
            <v xml:space="preserve"> </v>
          </cell>
        </row>
        <row r="1403">
          <cell r="B1403" t="str">
            <v>W15</v>
          </cell>
          <cell r="F1403">
            <v>1</v>
          </cell>
          <cell r="G1403">
            <v>110101</v>
          </cell>
          <cell r="K1403">
            <v>0</v>
          </cell>
          <cell r="M1403" t="str">
            <v>non-budget</v>
          </cell>
          <cell r="N1403" t="str">
            <v>non-budget</v>
          </cell>
          <cell r="Q1403" t="str">
            <v>yes</v>
          </cell>
          <cell r="X1403">
            <v>89338</v>
          </cell>
          <cell r="Y1403" t="str">
            <v xml:space="preserve"> </v>
          </cell>
          <cell r="Z1403" t="str">
            <v xml:space="preserve"> </v>
          </cell>
        </row>
        <row r="1404">
          <cell r="B1404" t="str">
            <v>W15</v>
          </cell>
          <cell r="F1404">
            <v>1</v>
          </cell>
          <cell r="G1404">
            <v>110306</v>
          </cell>
          <cell r="K1404">
            <v>0</v>
          </cell>
          <cell r="M1404" t="str">
            <v>non-budget</v>
          </cell>
          <cell r="N1404" t="str">
            <v>non-budget</v>
          </cell>
          <cell r="Q1404" t="str">
            <v>yes</v>
          </cell>
          <cell r="X1404" t="str">
            <v xml:space="preserve"> </v>
          </cell>
          <cell r="Y1404" t="str">
            <v xml:space="preserve"> </v>
          </cell>
          <cell r="Z1404" t="str">
            <v xml:space="preserve"> </v>
          </cell>
        </row>
        <row r="1405">
          <cell r="B1405" t="str">
            <v>W15</v>
          </cell>
          <cell r="F1405">
            <v>1</v>
          </cell>
          <cell r="G1405">
            <v>110306</v>
          </cell>
          <cell r="K1405">
            <v>0</v>
          </cell>
          <cell r="M1405" t="str">
            <v>non-budget</v>
          </cell>
          <cell r="N1405" t="str">
            <v>non-budget</v>
          </cell>
          <cell r="Q1405" t="str">
            <v>yes</v>
          </cell>
          <cell r="X1405">
            <v>225382</v>
          </cell>
          <cell r="Y1405" t="str">
            <v xml:space="preserve"> </v>
          </cell>
          <cell r="Z1405" t="str">
            <v xml:space="preserve"> </v>
          </cell>
        </row>
        <row r="1406">
          <cell r="B1406" t="str">
            <v>W15</v>
          </cell>
          <cell r="F1406">
            <v>1</v>
          </cell>
          <cell r="G1406">
            <v>110901</v>
          </cell>
          <cell r="K1406">
            <v>0</v>
          </cell>
          <cell r="M1406" t="str">
            <v>non-budget</v>
          </cell>
          <cell r="N1406" t="str">
            <v>non-budget</v>
          </cell>
          <cell r="Q1406" t="str">
            <v>yes</v>
          </cell>
          <cell r="X1406" t="str">
            <v xml:space="preserve"> </v>
          </cell>
          <cell r="Y1406" t="str">
            <v xml:space="preserve"> </v>
          </cell>
          <cell r="Z1406" t="str">
            <v xml:space="preserve"> </v>
          </cell>
        </row>
        <row r="1407">
          <cell r="B1407" t="str">
            <v>W15</v>
          </cell>
          <cell r="F1407">
            <v>3</v>
          </cell>
          <cell r="G1407">
            <v>110901</v>
          </cell>
          <cell r="K1407">
            <v>0</v>
          </cell>
          <cell r="M1407" t="str">
            <v>non-budget</v>
          </cell>
          <cell r="N1407" t="str">
            <v>non-budget</v>
          </cell>
          <cell r="Q1407" t="str">
            <v>yes</v>
          </cell>
          <cell r="X1407" t="str">
            <v xml:space="preserve"> </v>
          </cell>
          <cell r="Y1407" t="str">
            <v xml:space="preserve"> </v>
          </cell>
          <cell r="Z1407" t="str">
            <v xml:space="preserve"> </v>
          </cell>
        </row>
        <row r="1408">
          <cell r="B1408" t="str">
            <v>X11</v>
          </cell>
          <cell r="F1408">
            <v>3</v>
          </cell>
          <cell r="G1408">
            <v>110302</v>
          </cell>
          <cell r="K1408">
            <v>0</v>
          </cell>
          <cell r="M1408" t="str">
            <v>DEL</v>
          </cell>
          <cell r="N1408" t="str">
            <v>Resource</v>
          </cell>
          <cell r="Q1408" t="str">
            <v>no</v>
          </cell>
          <cell r="X1408">
            <v>32</v>
          </cell>
          <cell r="Y1408">
            <v>32</v>
          </cell>
          <cell r="Z1408">
            <v>32</v>
          </cell>
        </row>
        <row r="1409">
          <cell r="B1409" t="str">
            <v>X11</v>
          </cell>
          <cell r="F1409">
            <v>3</v>
          </cell>
          <cell r="G1409">
            <v>110406</v>
          </cell>
          <cell r="K1409">
            <v>0</v>
          </cell>
          <cell r="M1409" t="str">
            <v>DEL</v>
          </cell>
          <cell r="N1409" t="str">
            <v>Resource</v>
          </cell>
          <cell r="Q1409" t="str">
            <v>no</v>
          </cell>
          <cell r="X1409">
            <v>-32</v>
          </cell>
          <cell r="Y1409">
            <v>-32</v>
          </cell>
          <cell r="Z1409">
            <v>-32</v>
          </cell>
        </row>
        <row r="1410">
          <cell r="B1410" t="str">
            <v>X16</v>
          </cell>
          <cell r="F1410">
            <v>3</v>
          </cell>
          <cell r="G1410">
            <v>110302</v>
          </cell>
          <cell r="K1410">
            <v>0</v>
          </cell>
          <cell r="M1410" t="str">
            <v>DEL</v>
          </cell>
          <cell r="N1410" t="str">
            <v>Resource</v>
          </cell>
          <cell r="Q1410" t="str">
            <v>no</v>
          </cell>
          <cell r="X1410" t="str">
            <v xml:space="preserve"> </v>
          </cell>
          <cell r="Y1410" t="str">
            <v xml:space="preserve"> </v>
          </cell>
          <cell r="Z1410" t="str">
            <v xml:space="preserve"> </v>
          </cell>
        </row>
        <row r="1411">
          <cell r="B1411" t="str">
            <v>W15</v>
          </cell>
          <cell r="F1411">
            <v>4</v>
          </cell>
          <cell r="G1411">
            <v>110101</v>
          </cell>
          <cell r="K1411">
            <v>0</v>
          </cell>
          <cell r="M1411" t="str">
            <v>non-budget</v>
          </cell>
          <cell r="N1411" t="str">
            <v>non-budget</v>
          </cell>
          <cell r="Q1411" t="str">
            <v>yes</v>
          </cell>
          <cell r="X1411">
            <v>51367</v>
          </cell>
          <cell r="Y1411">
            <v>140705</v>
          </cell>
          <cell r="Z1411">
            <v>140705</v>
          </cell>
        </row>
        <row r="1412">
          <cell r="B1412" t="str">
            <v>W15</v>
          </cell>
          <cell r="F1412">
            <v>4</v>
          </cell>
          <cell r="G1412">
            <v>110306</v>
          </cell>
          <cell r="K1412">
            <v>0</v>
          </cell>
          <cell r="M1412" t="str">
            <v>non-budget</v>
          </cell>
          <cell r="N1412" t="str">
            <v>non-budget</v>
          </cell>
          <cell r="Q1412" t="str">
            <v>yes</v>
          </cell>
          <cell r="X1412">
            <v>55228</v>
          </cell>
          <cell r="Y1412">
            <v>281901</v>
          </cell>
          <cell r="Z1412">
            <v>281901</v>
          </cell>
        </row>
        <row r="1413">
          <cell r="B1413" t="str">
            <v>W15</v>
          </cell>
          <cell r="F1413">
            <v>4</v>
          </cell>
          <cell r="G1413">
            <v>110901</v>
          </cell>
          <cell r="K1413">
            <v>0</v>
          </cell>
          <cell r="M1413" t="str">
            <v>non-budget</v>
          </cell>
          <cell r="N1413" t="str">
            <v>non-budget</v>
          </cell>
          <cell r="Q1413" t="str">
            <v>yes</v>
          </cell>
          <cell r="X1413">
            <v>16000</v>
          </cell>
          <cell r="Y1413">
            <v>16000</v>
          </cell>
          <cell r="Z1413">
            <v>16000</v>
          </cell>
        </row>
        <row r="1414">
          <cell r="B1414" t="str">
            <v>W15</v>
          </cell>
          <cell r="F1414">
            <v>6</v>
          </cell>
          <cell r="G1414">
            <v>110101</v>
          </cell>
          <cell r="K1414">
            <v>0</v>
          </cell>
          <cell r="M1414" t="str">
            <v>non-budget</v>
          </cell>
          <cell r="N1414" t="str">
            <v>non-budget</v>
          </cell>
          <cell r="Q1414" t="str">
            <v>yes</v>
          </cell>
          <cell r="X1414" t="str">
            <v xml:space="preserve"> </v>
          </cell>
          <cell r="Y1414" t="str">
            <v xml:space="preserve"> </v>
          </cell>
          <cell r="Z1414" t="str">
            <v xml:space="preserve"> </v>
          </cell>
        </row>
        <row r="1415">
          <cell r="B1415" t="str">
            <v>W15</v>
          </cell>
          <cell r="F1415">
            <v>6</v>
          </cell>
          <cell r="G1415">
            <v>110101</v>
          </cell>
          <cell r="K1415">
            <v>0</v>
          </cell>
          <cell r="M1415" t="str">
            <v>non-budget</v>
          </cell>
          <cell r="N1415" t="str">
            <v>non-budget</v>
          </cell>
          <cell r="Q1415" t="str">
            <v>yes</v>
          </cell>
          <cell r="X1415" t="str">
            <v xml:space="preserve"> </v>
          </cell>
          <cell r="Y1415" t="str">
            <v xml:space="preserve"> </v>
          </cell>
          <cell r="Z1415" t="str">
            <v xml:space="preserve"> </v>
          </cell>
        </row>
        <row r="1416">
          <cell r="B1416" t="str">
            <v>X16</v>
          </cell>
          <cell r="F1416">
            <v>1</v>
          </cell>
          <cell r="G1416">
            <v>110406</v>
          </cell>
          <cell r="K1416">
            <v>0</v>
          </cell>
          <cell r="M1416" t="str">
            <v>DEL</v>
          </cell>
          <cell r="N1416" t="str">
            <v>Resource</v>
          </cell>
          <cell r="Q1416" t="str">
            <v>no</v>
          </cell>
          <cell r="X1416" t="str">
            <v xml:space="preserve"> </v>
          </cell>
          <cell r="Y1416" t="str">
            <v xml:space="preserve"> </v>
          </cell>
          <cell r="Z1416" t="str">
            <v xml:space="preserve"> </v>
          </cell>
        </row>
        <row r="1417">
          <cell r="B1417" t="str">
            <v>W15</v>
          </cell>
          <cell r="F1417">
            <v>6</v>
          </cell>
          <cell r="G1417">
            <v>110101</v>
          </cell>
          <cell r="K1417">
            <v>0</v>
          </cell>
          <cell r="M1417" t="str">
            <v>non-budget</v>
          </cell>
          <cell r="N1417" t="str">
            <v>non-budget</v>
          </cell>
          <cell r="Q1417" t="str">
            <v>yes</v>
          </cell>
          <cell r="X1417">
            <v>-23690</v>
          </cell>
          <cell r="Y1417">
            <v>-23690</v>
          </cell>
          <cell r="Z1417">
            <v>-23690</v>
          </cell>
        </row>
        <row r="1418">
          <cell r="B1418" t="str">
            <v>W15</v>
          </cell>
          <cell r="F1418">
            <v>6</v>
          </cell>
          <cell r="G1418">
            <v>110306</v>
          </cell>
          <cell r="K1418">
            <v>0</v>
          </cell>
          <cell r="M1418" t="str">
            <v>non-budget</v>
          </cell>
          <cell r="N1418" t="str">
            <v>non-budget</v>
          </cell>
          <cell r="Q1418" t="str">
            <v>yes</v>
          </cell>
          <cell r="X1418" t="str">
            <v xml:space="preserve"> </v>
          </cell>
          <cell r="Y1418" t="str">
            <v xml:space="preserve"> </v>
          </cell>
          <cell r="Z1418" t="str">
            <v xml:space="preserve"> </v>
          </cell>
        </row>
        <row r="1419">
          <cell r="B1419" t="str">
            <v>W15</v>
          </cell>
          <cell r="F1419">
            <v>6</v>
          </cell>
          <cell r="G1419">
            <v>110306</v>
          </cell>
          <cell r="K1419">
            <v>0</v>
          </cell>
          <cell r="M1419" t="str">
            <v>non-budget</v>
          </cell>
          <cell r="N1419" t="str">
            <v>non-budget</v>
          </cell>
          <cell r="Q1419" t="str">
            <v>yes</v>
          </cell>
          <cell r="X1419" t="str">
            <v xml:space="preserve"> </v>
          </cell>
          <cell r="Y1419" t="str">
            <v xml:space="preserve"> </v>
          </cell>
          <cell r="Z1419" t="str">
            <v xml:space="preserve"> </v>
          </cell>
        </row>
        <row r="1420">
          <cell r="B1420" t="str">
            <v>W15</v>
          </cell>
          <cell r="F1420">
            <v>6</v>
          </cell>
          <cell r="G1420">
            <v>110306</v>
          </cell>
          <cell r="K1420">
            <v>0</v>
          </cell>
          <cell r="M1420" t="str">
            <v>non-budget</v>
          </cell>
          <cell r="N1420" t="str">
            <v>non-budget</v>
          </cell>
          <cell r="Q1420" t="str">
            <v>yes</v>
          </cell>
          <cell r="X1420">
            <v>-39290</v>
          </cell>
          <cell r="Y1420">
            <v>-39290</v>
          </cell>
          <cell r="Z1420">
            <v>-39290</v>
          </cell>
        </row>
        <row r="1421">
          <cell r="B1421" t="str">
            <v>W15</v>
          </cell>
          <cell r="F1421">
            <v>6</v>
          </cell>
          <cell r="G1421">
            <v>110306</v>
          </cell>
          <cell r="K1421">
            <v>0</v>
          </cell>
          <cell r="M1421" t="str">
            <v>non-budget</v>
          </cell>
          <cell r="N1421" t="str">
            <v>non-budget</v>
          </cell>
          <cell r="Q1421" t="str">
            <v>yes</v>
          </cell>
          <cell r="X1421">
            <v>500</v>
          </cell>
          <cell r="Y1421">
            <v>500</v>
          </cell>
          <cell r="Z1421" t="str">
            <v xml:space="preserve"> </v>
          </cell>
        </row>
        <row r="1422">
          <cell r="B1422" t="str">
            <v>X16</v>
          </cell>
          <cell r="F1422">
            <v>3</v>
          </cell>
          <cell r="G1422">
            <v>110406</v>
          </cell>
          <cell r="K1422">
            <v>0</v>
          </cell>
          <cell r="M1422" t="str">
            <v>DEL</v>
          </cell>
          <cell r="N1422" t="str">
            <v>Resource</v>
          </cell>
          <cell r="Q1422" t="str">
            <v>no</v>
          </cell>
          <cell r="X1422" t="str">
            <v xml:space="preserve"> </v>
          </cell>
          <cell r="Y1422" t="str">
            <v xml:space="preserve"> </v>
          </cell>
          <cell r="Z1422" t="str">
            <v xml:space="preserve"> </v>
          </cell>
        </row>
        <row r="1423">
          <cell r="B1423" t="str">
            <v>W15</v>
          </cell>
          <cell r="F1423">
            <v>6</v>
          </cell>
          <cell r="G1423">
            <v>110306</v>
          </cell>
          <cell r="K1423">
            <v>0</v>
          </cell>
          <cell r="M1423" t="str">
            <v>non-budget</v>
          </cell>
          <cell r="N1423" t="str">
            <v>non-budget</v>
          </cell>
          <cell r="Q1423" t="str">
            <v>yes</v>
          </cell>
          <cell r="X1423">
            <v>-997</v>
          </cell>
          <cell r="Y1423" t="str">
            <v xml:space="preserve"> </v>
          </cell>
          <cell r="Z1423" t="str">
            <v xml:space="preserve"> </v>
          </cell>
        </row>
        <row r="1424">
          <cell r="B1424" t="str">
            <v>W15</v>
          </cell>
          <cell r="F1424">
            <v>6</v>
          </cell>
          <cell r="G1424">
            <v>110901</v>
          </cell>
          <cell r="K1424">
            <v>0</v>
          </cell>
          <cell r="M1424" t="str">
            <v>non-budget</v>
          </cell>
          <cell r="N1424" t="str">
            <v>non-budget</v>
          </cell>
          <cell r="Q1424" t="str">
            <v>yes</v>
          </cell>
          <cell r="X1424">
            <v>-6000</v>
          </cell>
          <cell r="Y1424">
            <v>-6000</v>
          </cell>
          <cell r="Z1424">
            <v>-6000</v>
          </cell>
        </row>
        <row r="1425">
          <cell r="B1425" t="str">
            <v>W15</v>
          </cell>
          <cell r="F1425">
            <v>2</v>
          </cell>
          <cell r="G1425">
            <v>110306</v>
          </cell>
          <cell r="K1425">
            <v>0</v>
          </cell>
          <cell r="M1425" t="str">
            <v>non-budget</v>
          </cell>
          <cell r="N1425" t="str">
            <v>non-budget</v>
          </cell>
          <cell r="Q1425" t="str">
            <v>yes</v>
          </cell>
          <cell r="X1425" t="str">
            <v xml:space="preserve"> </v>
          </cell>
          <cell r="Y1425" t="str">
            <v xml:space="preserve"> </v>
          </cell>
          <cell r="Z1425" t="str">
            <v xml:space="preserve"> </v>
          </cell>
        </row>
        <row r="1426">
          <cell r="B1426" t="str">
            <v>W15</v>
          </cell>
          <cell r="F1426">
            <v>2</v>
          </cell>
          <cell r="G1426">
            <v>110306</v>
          </cell>
          <cell r="K1426">
            <v>0</v>
          </cell>
          <cell r="M1426" t="str">
            <v>non-budget</v>
          </cell>
          <cell r="N1426" t="str">
            <v>non-budget</v>
          </cell>
          <cell r="Q1426" t="str">
            <v>yes</v>
          </cell>
          <cell r="X1426" t="str">
            <v xml:space="preserve"> </v>
          </cell>
          <cell r="Y1426" t="str">
            <v xml:space="preserve"> </v>
          </cell>
          <cell r="Z1426" t="str">
            <v xml:space="preserve"> </v>
          </cell>
        </row>
        <row r="1427">
          <cell r="B1427" t="str">
            <v>W15</v>
          </cell>
          <cell r="F1427">
            <v>4</v>
          </cell>
          <cell r="G1427">
            <v>110101</v>
          </cell>
          <cell r="K1427">
            <v>0</v>
          </cell>
          <cell r="M1427" t="str">
            <v>non-budget</v>
          </cell>
          <cell r="N1427" t="str">
            <v>non-budget</v>
          </cell>
          <cell r="Q1427" t="str">
            <v>yes</v>
          </cell>
          <cell r="X1427" t="str">
            <v xml:space="preserve"> </v>
          </cell>
          <cell r="Y1427" t="str">
            <v xml:space="preserve"> </v>
          </cell>
          <cell r="Z1427" t="str">
            <v xml:space="preserve"> </v>
          </cell>
        </row>
        <row r="1428">
          <cell r="B1428" t="str">
            <v>Z10</v>
          </cell>
          <cell r="F1428">
            <v>1</v>
          </cell>
          <cell r="G1428">
            <v>110112</v>
          </cell>
          <cell r="K1428">
            <v>0</v>
          </cell>
          <cell r="M1428" t="str">
            <v>non-budget</v>
          </cell>
          <cell r="N1428" t="str">
            <v>non-budget</v>
          </cell>
          <cell r="Q1428" t="str">
            <v>no</v>
          </cell>
          <cell r="X1428" t="str">
            <v xml:space="preserve"> </v>
          </cell>
          <cell r="Y1428" t="str">
            <v xml:space="preserve"> </v>
          </cell>
          <cell r="Z1428" t="str">
            <v xml:space="preserve"> </v>
          </cell>
        </row>
        <row r="1429">
          <cell r="B1429" t="str">
            <v>Z10</v>
          </cell>
          <cell r="F1429">
            <v>1</v>
          </cell>
          <cell r="G1429">
            <v>110234</v>
          </cell>
          <cell r="K1429" t="str">
            <v>PSS</v>
          </cell>
          <cell r="M1429" t="str">
            <v>non-budget</v>
          </cell>
          <cell r="N1429" t="str">
            <v>non-budget</v>
          </cell>
          <cell r="Q1429" t="str">
            <v>no</v>
          </cell>
          <cell r="X1429" t="str">
            <v xml:space="preserve"> </v>
          </cell>
          <cell r="Y1429" t="str">
            <v xml:space="preserve"> </v>
          </cell>
          <cell r="Z1429" t="str">
            <v xml:space="preserve"> </v>
          </cell>
        </row>
        <row r="1430">
          <cell r="B1430" t="str">
            <v>Z10</v>
          </cell>
          <cell r="F1430">
            <v>2</v>
          </cell>
          <cell r="G1430">
            <v>110234</v>
          </cell>
          <cell r="K1430" t="str">
            <v>PSS</v>
          </cell>
          <cell r="M1430" t="str">
            <v>non-budget</v>
          </cell>
          <cell r="N1430" t="str">
            <v>non-budget</v>
          </cell>
          <cell r="Q1430" t="str">
            <v>no</v>
          </cell>
          <cell r="X1430" t="str">
            <v xml:space="preserve"> </v>
          </cell>
          <cell r="Y1430" t="str">
            <v xml:space="preserve"> </v>
          </cell>
          <cell r="Z1430" t="str">
            <v xml:space="preserve"> </v>
          </cell>
        </row>
        <row r="1431">
          <cell r="B1431" t="str">
            <v>W15</v>
          </cell>
          <cell r="F1431">
            <v>8</v>
          </cell>
          <cell r="G1431">
            <v>110306</v>
          </cell>
          <cell r="K1431">
            <v>0</v>
          </cell>
          <cell r="M1431" t="str">
            <v>non-budget</v>
          </cell>
          <cell r="N1431" t="str">
            <v>non-budget</v>
          </cell>
          <cell r="Q1431" t="str">
            <v>yes</v>
          </cell>
          <cell r="X1431" t="str">
            <v xml:space="preserve"> </v>
          </cell>
          <cell r="Y1431" t="str">
            <v xml:space="preserve"> </v>
          </cell>
          <cell r="Z1431" t="str">
            <v xml:space="preserve"> </v>
          </cell>
        </row>
        <row r="1432">
          <cell r="B1432" t="str">
            <v>W15</v>
          </cell>
          <cell r="F1432">
            <v>8</v>
          </cell>
          <cell r="G1432">
            <v>110901</v>
          </cell>
          <cell r="K1432">
            <v>0</v>
          </cell>
          <cell r="M1432" t="str">
            <v>non-budget</v>
          </cell>
          <cell r="N1432" t="str">
            <v>non-budget</v>
          </cell>
          <cell r="Q1432" t="str">
            <v>yes</v>
          </cell>
          <cell r="X1432" t="str">
            <v xml:space="preserve"> </v>
          </cell>
          <cell r="Y1432" t="str">
            <v xml:space="preserve"> </v>
          </cell>
          <cell r="Z1432" t="str">
            <v xml:space="preserve"> </v>
          </cell>
        </row>
        <row r="1433">
          <cell r="B1433" t="str">
            <v>W15</v>
          </cell>
          <cell r="F1433">
            <v>9</v>
          </cell>
          <cell r="G1433">
            <v>110101</v>
          </cell>
          <cell r="K1433">
            <v>0</v>
          </cell>
          <cell r="M1433" t="str">
            <v>non-budget</v>
          </cell>
          <cell r="N1433" t="str">
            <v>non-budget</v>
          </cell>
          <cell r="Q1433" t="str">
            <v>yes</v>
          </cell>
          <cell r="X1433" t="str">
            <v xml:space="preserve"> </v>
          </cell>
          <cell r="Y1433" t="str">
            <v xml:space="preserve"> </v>
          </cell>
          <cell r="Z1433" t="str">
            <v xml:space="preserve"> </v>
          </cell>
        </row>
        <row r="1434">
          <cell r="B1434" t="str">
            <v>W15</v>
          </cell>
          <cell r="F1434">
            <v>9</v>
          </cell>
          <cell r="G1434">
            <v>110101</v>
          </cell>
          <cell r="K1434">
            <v>0</v>
          </cell>
          <cell r="M1434" t="str">
            <v>non-budget</v>
          </cell>
          <cell r="N1434" t="str">
            <v>non-budget</v>
          </cell>
          <cell r="Q1434" t="str">
            <v>yes</v>
          </cell>
          <cell r="X1434" t="str">
            <v xml:space="preserve"> </v>
          </cell>
          <cell r="Y1434" t="str">
            <v xml:space="preserve"> </v>
          </cell>
          <cell r="Z1434" t="str">
            <v xml:space="preserve"> </v>
          </cell>
        </row>
        <row r="1435">
          <cell r="B1435" t="str">
            <v>F40</v>
          </cell>
          <cell r="F1435">
            <v>12</v>
          </cell>
          <cell r="G1435">
            <v>180702</v>
          </cell>
          <cell r="K1435">
            <v>0</v>
          </cell>
          <cell r="M1435" t="str">
            <v>? Non-Rab</v>
          </cell>
          <cell r="N1435" t="str">
            <v>? Non-Rab</v>
          </cell>
          <cell r="Q1435" t="str">
            <v>no</v>
          </cell>
          <cell r="X1435" t="str">
            <v xml:space="preserve"> </v>
          </cell>
          <cell r="Y1435" t="str">
            <v xml:space="preserve"> </v>
          </cell>
          <cell r="Z1435" t="str">
            <v xml:space="preserve"> </v>
          </cell>
        </row>
        <row r="1436">
          <cell r="B1436" t="str">
            <v>F45</v>
          </cell>
          <cell r="F1436">
            <v>12</v>
          </cell>
          <cell r="G1436">
            <v>180702</v>
          </cell>
          <cell r="K1436">
            <v>0</v>
          </cell>
          <cell r="M1436" t="str">
            <v>? Non-Rab</v>
          </cell>
          <cell r="N1436" t="str">
            <v>? Non-Rab</v>
          </cell>
          <cell r="Q1436" t="str">
            <v>no</v>
          </cell>
          <cell r="X1436" t="str">
            <v xml:space="preserve"> </v>
          </cell>
          <cell r="Y1436" t="str">
            <v xml:space="preserve"> </v>
          </cell>
          <cell r="Z1436"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nciliation"/>
      <sheetName val="Quick Gap Analysis"/>
      <sheetName val="IT Pay Costing"/>
      <sheetName val="Non Pay"/>
      <sheetName val="Unique"/>
      <sheetName val="Data"/>
      <sheetName val="Exclusions"/>
      <sheetName val="Budgeting Codes"/>
      <sheetName val="Defaults"/>
      <sheetName val="Baseline WF 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QUICK HELP"/>
      <sheetName val="GUIDANCE"/>
      <sheetName val="ALL DATA PCTs"/>
      <sheetName val="ALL DATA StHAs"/>
      <sheetName val="ALL DATA SHA RESERVE"/>
      <sheetName val="ALL DATA ON OFF VOTE"/>
      <sheetName val="ALL DATA Both"/>
      <sheetName val="Validation Errors A"/>
      <sheetName val="Validation Errors B"/>
      <sheetName val="RRL"/>
      <sheetName val="Rev Cash"/>
      <sheetName val="CRL"/>
      <sheetName val="Cap Cash"/>
      <sheetName val="Cap to Rev"/>
      <sheetName val="ON OFF VOTE"/>
      <sheetName val="RRL &amp; Rev Cash"/>
      <sheetName val="CRL &amp; Cap Cash"/>
      <sheetName val="RRL &amp; Rev Cash FINAL"/>
      <sheetName val="CRL &amp; Cap Cash FINAL"/>
      <sheetName val="ON OFF VOTE FINAL"/>
      <sheetName val="Cap To Rev FINAL"/>
      <sheetName val="SHA Reserve FINAL"/>
      <sheetName val="No Match Errors Rev"/>
      <sheetName val="No Match Errors Cap"/>
      <sheetName val="No Match Errors Cap To Rev"/>
      <sheetName val="No Match Errors ON OFF"/>
      <sheetName val="VISTA REVENUE NON RECURRENT"/>
      <sheetName val="VISTA REVENUE RECURRENT"/>
      <sheetName val="VISTA CAPITAL"/>
      <sheetName val="VISTA CAP TO REV"/>
      <sheetName val="VISTA SHA RESERVE"/>
      <sheetName val="VISTA ON OFF VOTE"/>
      <sheetName val="TBSheet"/>
      <sheetName val="Mapping"/>
      <sheetName val="Data"/>
      <sheetName val="Input"/>
      <sheetName val="Period"/>
      <sheetName val="Report"/>
      <sheetName val="Balance Errors"/>
      <sheetName val="Budgeting Codes"/>
      <sheetName val="PERSONS"/>
      <sheetName val="M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 summary"/>
      <sheetName val="Accenture P&amp;L"/>
      <sheetName val="DBD Summary"/>
      <sheetName val="Services summary"/>
      <sheetName val="HW_SW PRICING"/>
      <sheetName val="Day rate Summary Sheet"/>
      <sheetName val="Competitive assessment"/>
      <sheetName val="Sheet2"/>
      <sheetName val="Sheet3"/>
      <sheetName val="WK10 Cap Bal Det"/>
      <sheetName val="WK11 GAAP IS Detail"/>
      <sheetName val="WK2 Bill-Exp Inputs"/>
      <sheetName val="WK16 Seat Capital Costs"/>
      <sheetName val="WK1 Key Assumpt"/>
      <sheetName val="3 TCB Summ"/>
      <sheetName val="5 ACN Mgt View"/>
      <sheetName val="6 ACN Mgt Fcst"/>
      <sheetName val="WK12 GAAP BS Detail"/>
      <sheetName val="WK3 Rev Rec Inputs"/>
      <sheetName val="WK5 Tax Cash Pay Inputs"/>
      <sheetName val="WK7 TCB Inputs"/>
      <sheetName val="WK9 Affil Share Inputs"/>
      <sheetName val="WK13 EVA Detail"/>
      <sheetName val="2 Fin Analysis"/>
      <sheetName val="WK14 Yr 1-3 Metrics Source Info"/>
      <sheetName val="WK15 DSO Calc"/>
      <sheetName val="WK4 Cap Ex Inputs"/>
      <sheetName val="WK6 Risk Adj Inputs"/>
      <sheetName val="WK8 Term Provisions"/>
      <sheetName val="ALL DATA StHAs"/>
      <sheetName val="RefDEx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Report"/>
      <sheetName val="Bubble Data"/>
      <sheetName val="Bubble Chart"/>
      <sheetName val="Cover Sheet"/>
      <sheetName val="Business with DH &amp; Group Bodies"/>
      <sheetName val="PCAccess"/>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new pcts"/>
      <sheetName val="old to new"/>
      <sheetName val="match"/>
      <sheetName val="PCAccess"/>
      <sheetName val="Fron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bble Chart"/>
      <sheetName val="Bubble Data"/>
      <sheetName val="Revenue Bubble DA"/>
      <sheetName val="Capital DA"/>
      <sheetName val="Accenture P&amp;L"/>
      <sheetName val="List"/>
      <sheetName val="Defaults"/>
      <sheetName val="#REF"/>
      <sheetName val="Input Table (TB)"/>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Parliamentary Controls Summary"/>
      <sheetName val="HMT Budget Controls Summary"/>
      <sheetName val="COInS Econ Cat Summary"/>
      <sheetName val="Cascade Schedule"/>
      <sheetName val="DHF Cascade Coding"/>
      <sheetName val="Estimate Controls Summary"/>
      <sheetName val="Budget Controls Summary"/>
      <sheetName val="Econ Cat Summary"/>
      <sheetName val="Controls Summary"/>
      <sheetName val="In Year RLAs"/>
      <sheetName val="Final Schedule"/>
      <sheetName val="Budgeting Codes"/>
      <sheetName val="Data"/>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DE"/>
      <sheetName val="Cascade Detail"/>
      <sheetName val="Budgeting Codes"/>
      <sheetName val="Journal 1"/>
      <sheetName val="DHF Cascade Coding"/>
      <sheetName val="Event 12 with ERO changes"/>
      <sheetName val="Cover Sheet"/>
      <sheetName val="Business with DH &amp; Group Bodi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Notes on Functionality"/>
      <sheetName val="Guidance"/>
      <sheetName val="Operating Cost Statement"/>
      <sheetName val="Balance Sheet"/>
      <sheetName val="Cash Flow Statement"/>
      <sheetName val="Notes to the Account"/>
      <sheetName val="Business with DH &amp; Group Bodies"/>
      <sheetName val="Validation Summary"/>
      <sheetName val="Bodies within RA Boundary"/>
      <sheetName val="qryNew"/>
      <sheetName val="Front"/>
      <sheetName val="Budgeting Codes"/>
    </sheetNames>
    <sheetDataSet>
      <sheetData sheetId="0" refreshError="1"/>
      <sheetData sheetId="1"/>
      <sheetData sheetId="2"/>
      <sheetData sheetId="3"/>
      <sheetData sheetId="4"/>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Intro"/>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Page 42"/>
      <sheetName val="Page 43"/>
      <sheetName val="Page 44"/>
      <sheetName val="Page 45"/>
      <sheetName val="Page 46"/>
      <sheetName val="Cover Sheet"/>
      <sheetName val="Business with DH &amp; Group Bodies"/>
    </sheetNames>
    <sheetDataSet>
      <sheetData sheetId="0">
        <row r="58">
          <cell r="B58" t="str">
            <v>Sumacc_Final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HA Summary - Transitional"/>
      <sheetName val="SHA Summary"/>
      <sheetName val="SHAs"/>
      <sheetName val="PCTs"/>
      <sheetName val="TRUSTs"/>
      <sheetName val="April Bott Lines"/>
      <sheetName val="Mar06"/>
      <sheetName val="Defaults"/>
      <sheetName val="Accenture P&amp;L"/>
      <sheetName val="Cover Sheet"/>
    </sheetNames>
    <sheetDataSet>
      <sheetData sheetId="0" refreshError="1">
        <row r="18">
          <cell r="L18" t="str">
            <v>2006/2007P01</v>
          </cell>
        </row>
        <row r="21">
          <cell r="C21">
            <v>4</v>
          </cell>
          <cell r="F21">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5 (2)"/>
      <sheetName val="COINS base data"/>
      <sheetName val="COINS Information profiles "/>
      <sheetName val="COINS DAR 08-06-09"/>
      <sheetName val="Dispo Controls Explained"/>
      <sheetName val="Annual Report Tables"/>
      <sheetName val="Overall position summary"/>
      <sheetName val="Reported Pos Explained"/>
      <sheetName val="Non-cash Comparison (2)"/>
      <sheetName val="Note 2 Significant Variations"/>
      <sheetName val="PHS change"/>
      <sheetName val="Note 2 Rec"/>
      <sheetName val="Note 2"/>
      <sheetName val="Parly Funding"/>
      <sheetName val="Backing sheet 2 - Parly funding"/>
      <sheetName val="Overall Rev Rec"/>
      <sheetName val="Overall Cap Rec"/>
      <sheetName val="Cost of Capital"/>
      <sheetName val="ALB draft accounts "/>
      <sheetName val="2008-9 Resource Acc Template"/>
      <sheetName val="NAO Cost of Capital Calc"/>
      <sheetName val="Sheet1"/>
      <sheetName val="RD table"/>
      <sheetName val="NHS Trust &amp; FT Summary Q3"/>
      <sheetName val="RD 2008-09 ANNEX 2"/>
      <sheetName val="Economic Categories Summary"/>
      <sheetName val="M12 Dispo Controls Explaine (2)"/>
      <sheetName val="M12 Dispo Controls Explained"/>
      <sheetName val="DISPO MONTHLY CONTROL M11"/>
      <sheetName val="DISPO MONTHLY CONTROL"/>
      <sheetName val="RA Narrative"/>
      <sheetName val="RA Narrative working"/>
      <sheetName val="RA Summary"/>
      <sheetName val="Resource Account Tables"/>
      <sheetName val="Tab1 "/>
      <sheetName val="Tab2"/>
      <sheetName val="Tab3"/>
      <sheetName val="Tab4"/>
      <sheetName val="Tab4a"/>
      <sheetName val="Tab5"/>
      <sheetName val="New Tab6"/>
      <sheetName val="Tab7"/>
      <sheetName val="Tab8"/>
      <sheetName val="RD Growth"/>
      <sheetName val="OVERALL M10 SUMMARY &amp; VARIANCES"/>
      <sheetName val="Spring Estimate 2008-09"/>
      <sheetName val="2008-9 Difference"/>
      <sheetName val="Dispo Reported Pos Explained"/>
      <sheetName val="Analysis"/>
      <sheetName val="NDPB"/>
      <sheetName val="GFC"/>
      <sheetName val="GFC Adjustments "/>
      <sheetName val="NHS"/>
      <sheetName val="PDC"/>
      <sheetName val="PDC Issues &amp; Repayments"/>
      <sheetName val="GFC FSG - NIC TDR EEA WF"/>
      <sheetName val="RDEL Graph"/>
      <sheetName val="RDEL by Sector"/>
      <sheetName val="RDEL Sector Graph"/>
      <sheetName val="CDEL by Sector"/>
      <sheetName val="CDEL Sector Graph"/>
      <sheetName val="Goods and services profile"/>
      <sheetName val=" M12 RfR1 ALBs ALB05 Consol"/>
      <sheetName val="M12 RfR2 PSS CSCI &amp; GSCC Consol"/>
      <sheetName val="M12 RfR2 Other Bodies ALB05 Con"/>
      <sheetName val="M12 CA RfR1 ALBs ALB08 Conso"/>
      <sheetName val="M12 CA RfR2 PSS CSCI &amp; GSCC Con"/>
      <sheetName val="M12 CAP RfR2 Other Bod ALB08 Co"/>
      <sheetName val="EYF tables"/>
      <sheetName val="EYF form"/>
      <sheetName val="PW Expl"/>
      <sheetName val="Growth Calcs"/>
      <sheetName val="Front"/>
      <sheetName val="Disclosure Amend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HA Summary"/>
      <sheetName val="SHAs"/>
      <sheetName val="PCTs"/>
      <sheetName val="TRUSTs"/>
      <sheetName val="DATA"/>
      <sheetName val="PlanBottLinesQuery"/>
      <sheetName val="PlanPivot"/>
      <sheetName val="Cover Sheet"/>
      <sheetName val="Business with DH &amp; Group Bodies"/>
    </sheetNames>
    <sheetDataSet>
      <sheetData sheetId="0" refreshError="1"/>
      <sheetData sheetId="1"/>
      <sheetData sheetId="2"/>
      <sheetData sheetId="3"/>
      <sheetData sheetId="4" refreshError="1"/>
      <sheetData sheetId="5"/>
      <sheetData sheetId="6"/>
      <sheetData sheetId="7"/>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PCT01"/>
      <sheetName val="PCT02"/>
      <sheetName val="PCT03"/>
      <sheetName val="PCT04"/>
      <sheetName val="PCT04a"/>
      <sheetName val="PCT05"/>
      <sheetName val="PCT06"/>
      <sheetName val="PCT07"/>
      <sheetName val="PCT08"/>
      <sheetName val="PCT09"/>
      <sheetName val="PCT10"/>
      <sheetName val="PCT11"/>
      <sheetName val="PCT12"/>
      <sheetName val="PCT13"/>
      <sheetName val="PCT14"/>
      <sheetName val="PCT15"/>
      <sheetName val="PCT16"/>
      <sheetName val="PCT17"/>
      <sheetName val="PCT18"/>
      <sheetName val="PCT19"/>
      <sheetName val="PCT20"/>
      <sheetName val="PCT21"/>
      <sheetName val="PCT24"/>
      <sheetName val="PCT25"/>
      <sheetName val="NHS BT"/>
      <sheetName val="CHRE"/>
      <sheetName val="CQC"/>
      <sheetName val="HFEA"/>
      <sheetName val="HPA"/>
      <sheetName val="HTA"/>
      <sheetName val="NHSi"/>
      <sheetName val="MHRA"/>
      <sheetName val="NIBSC"/>
      <sheetName val="NICE"/>
      <sheetName val="NPSA"/>
      <sheetName val="NTA"/>
      <sheetName val="NHS PROF"/>
    </sheetNames>
    <sheetDataSet>
      <sheetData sheetId="0">
        <row r="59">
          <cell r="B59" t="str">
            <v>Sumacc_Draft_Res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Neighbours"/>
      <sheetName val="152PCTto100HA"/>
      <sheetName val="2006PCTs"/>
      <sheetName val="2005PCTs"/>
      <sheetName val="2004PCTsNew"/>
      <sheetName val="2004PCTsOld"/>
      <sheetName val="2002PCTs"/>
      <sheetName val="SHAs"/>
      <sheetName val="HAs"/>
      <sheetName val="ROs"/>
      <sheetName val="Trusts"/>
      <sheetName val="LA"/>
      <sheetName val="NewRegions100HAs"/>
      <sheetName val="95HACodes"/>
      <sheetName val="Prisons"/>
      <sheetName val="PCTsToTVRegions"/>
      <sheetName val="Timeline"/>
      <sheetName val="new pcts"/>
      <sheetName val="6.2 LDP Efficiency"/>
      <sheetName val="PCAccess"/>
      <sheetName val="ETR"/>
      <sheetName val="2008Orgs"/>
      <sheetName val="2010PCTs"/>
      <sheetName val="2008PCTs"/>
      <sheetName val="Benchmark"/>
      <sheetName val="LAD2008"/>
      <sheetName val="LAD2009"/>
      <sheetName val="Age"/>
      <sheetName val="Summary"/>
      <sheetName val="CurrentTrusts"/>
      <sheetName val="Budgeting Codes"/>
      <sheetName val="Accenture 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refreshError="1"/>
      <sheetData sheetId="29"/>
      <sheetData sheetId="30" refreshError="1"/>
      <sheetData sheetId="3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age 1"/>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Page 40"/>
      <sheetName val="Page 41"/>
      <sheetName val="Page 42"/>
      <sheetName val="Page 43"/>
      <sheetName val="Page 44"/>
      <sheetName val="Page 45"/>
      <sheetName val="Page 46"/>
      <sheetName val="P99 Adjustments"/>
      <sheetName val="P98 Adjustments"/>
      <sheetName val="P50 Adjustments"/>
      <sheetName val="P49 Adjustments"/>
      <sheetName val="P98 AoB Resub"/>
      <sheetName val="5P1 Audited File"/>
      <sheetName val="DrCr Elimination"/>
      <sheetName val="Expenditure"/>
      <sheetName val="Income"/>
      <sheetName val="Collated 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2008"/>
      <sheetName val="missing returns"/>
      <sheetName val="Annex A"/>
      <sheetName val="TRUSTs"/>
      <sheetName val="Collated data"/>
      <sheetName val="Cover Sheet"/>
      <sheetName val="Business with DH &amp; Group Bodies"/>
      <sheetName val="new pcts"/>
    </sheetNames>
    <sheetDataSet>
      <sheetData sheetId="0" refreshError="1">
        <row r="41">
          <cell r="C41">
            <v>114</v>
          </cell>
          <cell r="D41">
            <v>250</v>
          </cell>
          <cell r="F41">
            <v>151</v>
          </cell>
          <cell r="G41">
            <v>250</v>
          </cell>
        </row>
        <row r="42">
          <cell r="C42">
            <v>119.5</v>
          </cell>
          <cell r="D42">
            <v>265.5</v>
          </cell>
          <cell r="F42">
            <v>155</v>
          </cell>
          <cell r="G42">
            <v>265.5</v>
          </cell>
        </row>
        <row r="43">
          <cell r="C43">
            <v>0.95397489539748959</v>
          </cell>
          <cell r="D43">
            <v>0.94161958568738224</v>
          </cell>
          <cell r="E43">
            <v>1</v>
          </cell>
          <cell r="F43">
            <v>0.97419354838709682</v>
          </cell>
          <cell r="G43">
            <v>0.94161958568738224</v>
          </cell>
          <cell r="H43">
            <v>1</v>
          </cell>
        </row>
        <row r="46">
          <cell r="D46">
            <v>260</v>
          </cell>
          <cell r="F46">
            <v>153</v>
          </cell>
          <cell r="G46">
            <v>260</v>
          </cell>
        </row>
        <row r="47">
          <cell r="D47">
            <v>271</v>
          </cell>
          <cell r="F47">
            <v>157</v>
          </cell>
          <cell r="G47">
            <v>271</v>
          </cell>
        </row>
        <row r="48">
          <cell r="C48">
            <v>1</v>
          </cell>
          <cell r="D48">
            <v>0.95940959409594095</v>
          </cell>
          <cell r="E48">
            <v>1</v>
          </cell>
          <cell r="F48">
            <v>0.97452229299363058</v>
          </cell>
          <cell r="G48">
            <v>0.95940959409594095</v>
          </cell>
          <cell r="H48">
            <v>1</v>
          </cell>
        </row>
      </sheetData>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Narrative (2008-09"/>
      <sheetName val="Sheet5"/>
      <sheetName val="RA Narrative"/>
      <sheetName val="RA Narrative working"/>
      <sheetName val="RA Summary"/>
      <sheetName val="Resource Account Tables"/>
      <sheetName val="Tab1 "/>
      <sheetName val="Tab2"/>
      <sheetName val="Tab3"/>
      <sheetName val="Tab4"/>
      <sheetName val="Tab4a"/>
      <sheetName val="Tab5"/>
      <sheetName val="Tab6"/>
      <sheetName val="Tab7"/>
      <sheetName val="briefing tables"/>
      <sheetName val="Resource Account BL Positio (2)"/>
      <sheetName val="All Sectors 23 June"/>
      <sheetName val="RD Growth"/>
      <sheetName val="All sectors"/>
      <sheetName val="26 May 2010 Journals"/>
      <sheetName val="Resource Account BL Position"/>
      <sheetName val="CS Note 2 reattributed 18.05.10"/>
      <sheetName val="Sheet3"/>
      <sheetName val="REVENUE"/>
      <sheetName val="NHS "/>
      <sheetName val="DH "/>
      <sheetName val="DH BMS"/>
      <sheetName val="Sheet4"/>
      <sheetName val="RA Changes"/>
      <sheetName val="PHS change"/>
      <sheetName val="ALB changes"/>
      <sheetName val="DH Other"/>
      <sheetName val="GF"/>
      <sheetName val="Revenue Dispo"/>
      <sheetName val="Revenue Dispo (2)"/>
      <sheetName val="VIREMENT PROFORMA"/>
      <sheetName val="PG Note 24.3"/>
      <sheetName val="CAPITAL"/>
      <sheetName val="Sheet1"/>
      <sheetName val="CDEL"/>
      <sheetName val="Capital Reconciliation"/>
      <sheetName val="2. Overall Dispo"/>
      <sheetName val="Stage 3a"/>
      <sheetName val="NAO Cost of Capital Calc"/>
      <sheetName val="Accounts Rec Revised"/>
      <sheetName val="Journals 17 May"/>
      <sheetName val="NHS  (original)"/>
      <sheetName val="Parly funding"/>
      <sheetName val="CMIC update"/>
      <sheetName val="Sheet1 (2)"/>
      <sheetName val="DOH breakdown"/>
      <sheetName val="REC"/>
      <sheetName val="Note 4 Rec"/>
      <sheetName val="Sheet2"/>
      <sheetName val="DHF Cascade Coding"/>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3 &amp; 5.4"/>
      <sheetName val="Table 5.6"/>
      <sheetName val="#REF"/>
      <sheetName val="Table 5.2"/>
      <sheetName val="Table 5.5 "/>
      <sheetName val="Table 5.15"/>
      <sheetName val="Table 5.16"/>
      <sheetName val="Table 5.17"/>
      <sheetName val="Table 5.18"/>
      <sheetName val="Table 5.19"/>
      <sheetName val="Table 5.20"/>
      <sheetName val="Table 5.5"/>
      <sheetName val="Table 5.7"/>
      <sheetName val="Table 5.8"/>
      <sheetName val="Table 5.9"/>
      <sheetName val="Table 5.10"/>
      <sheetName val="Table 5.11"/>
      <sheetName val="Table 5.12"/>
      <sheetName val="Table 5.13"/>
      <sheetName val="Table 5.14"/>
      <sheetName val="2003HCHS"/>
      <sheetName val="PERSONS"/>
      <sheetName val="Annex"/>
      <sheetName val="Front"/>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Narrative (2008-09"/>
      <sheetName val="Sheet5"/>
      <sheetName val="RA Narrative"/>
      <sheetName val="RA Narrative working"/>
      <sheetName val="RA Summary"/>
      <sheetName val="Resource Account Tables"/>
      <sheetName val="Tab1 "/>
      <sheetName val="Tab2"/>
      <sheetName val="Tab3"/>
      <sheetName val="Tab4"/>
      <sheetName val="Tab4a"/>
      <sheetName val="Tab5"/>
      <sheetName val="Tab6"/>
      <sheetName val="Tab7"/>
      <sheetName val="briefing tables"/>
      <sheetName val="Resource Account BL Positio (2)"/>
      <sheetName val="All Sectors 23 June"/>
      <sheetName val="RD Growth"/>
      <sheetName val="All sectors"/>
      <sheetName val="26 May 2010 Journals"/>
      <sheetName val="Resource Account BL Position"/>
      <sheetName val="CS Note 2 reattributed 18.05.10"/>
      <sheetName val="Sheet3"/>
      <sheetName val="REVENUE"/>
      <sheetName val="NHS "/>
      <sheetName val="DH "/>
      <sheetName val="DH BMS"/>
      <sheetName val="Sheet4"/>
      <sheetName val="RA Changes"/>
      <sheetName val="PHS change"/>
      <sheetName val="ALB changes"/>
      <sheetName val="DH Other"/>
      <sheetName val="GF"/>
      <sheetName val="Revenue Dispo"/>
      <sheetName val="Revenue Dispo (2)"/>
      <sheetName val="VIREMENT PROFORMA"/>
      <sheetName val="PG Note 24.3"/>
      <sheetName val="CAPITAL"/>
      <sheetName val="Sheet1"/>
      <sheetName val="CDEL"/>
      <sheetName val="Capital Reconciliation"/>
      <sheetName val="2. Overall Dispo"/>
      <sheetName val="Stage 3a"/>
      <sheetName val="NAO Cost of Capital Calc"/>
      <sheetName val="Accounts Rec Revised"/>
      <sheetName val="Journals 17 May"/>
      <sheetName val="NHS  (original)"/>
      <sheetName val="Parly funding"/>
      <sheetName val="CMIC update"/>
      <sheetName val="Sheet1 (2)"/>
      <sheetName val="DOH breakdown"/>
      <sheetName val="REC"/>
      <sheetName val="Note 4 Rec"/>
      <sheetName val="Sheet2"/>
      <sheetName val="DHF Cascade Co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Notes on Functionality"/>
      <sheetName val="Guidance"/>
      <sheetName val="Operating Cost Statement"/>
      <sheetName val="Balance Sheet"/>
      <sheetName val="Cash Flow Statement"/>
      <sheetName val="Notes to the Account"/>
      <sheetName val="Business with DH &amp; Group Bodies"/>
      <sheetName val="Validation Summary"/>
      <sheetName val="Journal"/>
      <sheetName val="Bodies within RA Boundary"/>
      <sheetName val="Report"/>
      <sheetName val="Dnurse"/>
      <sheetName val="#REF"/>
      <sheetName val="ComPsy"/>
      <sheetName val="qryNew"/>
      <sheetName val="DHF Cascade Coding"/>
      <sheetName val="Budgeting Codes"/>
      <sheetName val="Annex"/>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ar Cash"/>
      <sheetName val="Programme"/>
      <sheetName val="Non Cash"/>
      <sheetName val="CODE"/>
      <sheetName val="Capital"/>
      <sheetName val="Exclusions"/>
      <sheetName val="Pivot Tables"/>
      <sheetName val="Profile"/>
      <sheetName val="4. Cascade Coding"/>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ar Cash 2009-10"/>
      <sheetName val="Risks &amp; Pressures"/>
      <sheetName val="Notes, Actions etc"/>
      <sheetName val="Non Cash 2009-10"/>
      <sheetName val="Capital 2009-10"/>
      <sheetName val="Headcount 2009-10"/>
      <sheetName val="AC"/>
      <sheetName val="CHRE"/>
      <sheetName val="CQC"/>
      <sheetName val="CQC (incl income)"/>
      <sheetName val="GSCC"/>
      <sheetName val="HFEA"/>
      <sheetName val="HPA"/>
      <sheetName val="HTA"/>
      <sheetName val="IC"/>
      <sheetName val="MHRA"/>
      <sheetName val="NIBSC"/>
      <sheetName val="NHS BSA"/>
      <sheetName val="NHS BT"/>
      <sheetName val="NHS PASA"/>
      <sheetName val="NHS PROF"/>
      <sheetName val="NHSi"/>
      <sheetName val="NHSLA"/>
      <sheetName val="NICE"/>
      <sheetName val="NPSA"/>
      <sheetName val="NTA"/>
      <sheetName val="PMETB"/>
      <sheetName val="MONITOR"/>
      <sheetName val="Summary "/>
      <sheetName val="Pressures 1"/>
      <sheetName val="Revised Pressures"/>
      <sheetName val="Overview"/>
      <sheetName val="Reconciliation"/>
      <sheetName val="Cluster C trail"/>
      <sheetName val="Rec base comp"/>
      <sheetName val="Status of issue"/>
      <sheetName val="4. Cascade Coding"/>
      <sheetName val="Exclu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70 target"/>
      <sheetName val="DG reconciliation"/>
      <sheetName val="Near cash by DG"/>
      <sheetName val="Check spend"/>
      <sheetName val="near cash profile by DG"/>
      <sheetName val="Prog Rev By DG"/>
      <sheetName val="Prog Rev Non Cash"/>
      <sheetName val="Prog Rev Near Cash Expanded"/>
      <sheetName val="near cash profiles expand"/>
      <sheetName val="Exclusions"/>
      <sheetName val="CODE"/>
      <sheetName val="Key"/>
      <sheetName val="Report"/>
      <sheetName val="two"/>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HA Summary"/>
      <sheetName val="SHAs"/>
      <sheetName val="PCTs"/>
      <sheetName val="TRUSTs"/>
      <sheetName val="PlanBottLinesQuery"/>
      <sheetName val="PlanPivot"/>
      <sheetName val="Report"/>
      <sheetName val="List"/>
    </sheetNames>
    <sheetDataSet>
      <sheetData sheetId="0"/>
      <sheetData sheetId="1"/>
      <sheetData sheetId="2"/>
      <sheetData sheetId="3"/>
      <sheetData sheetId="4" refreshError="1">
        <row r="5">
          <cell r="U5">
            <v>0</v>
          </cell>
        </row>
        <row r="11">
          <cell r="U11">
            <v>3</v>
          </cell>
        </row>
        <row r="36">
          <cell r="U36">
            <v>3</v>
          </cell>
        </row>
        <row r="43">
          <cell r="U43">
            <v>4</v>
          </cell>
        </row>
        <row r="44">
          <cell r="U44">
            <v>1</v>
          </cell>
        </row>
        <row r="49">
          <cell r="U49">
            <v>4</v>
          </cell>
        </row>
        <row r="103">
          <cell r="U103">
            <v>4</v>
          </cell>
        </row>
        <row r="132">
          <cell r="U132">
            <v>1</v>
          </cell>
        </row>
        <row r="155">
          <cell r="U155">
            <v>2</v>
          </cell>
        </row>
        <row r="164">
          <cell r="U164">
            <v>1</v>
          </cell>
        </row>
        <row r="170">
          <cell r="U170">
            <v>2</v>
          </cell>
        </row>
        <row r="179">
          <cell r="U179">
            <v>3</v>
          </cell>
        </row>
      </sheetData>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bill Status"/>
      <sheetName val="DDRB pay metrics"/>
      <sheetName val="NHSPRB pay metrics"/>
      <sheetName val="pay metric assumptions"/>
      <sheetName val="Interactive inputs &amp; results"/>
      <sheetName val="Annex results (pay metrics)"/>
      <sheetName val="Drift outputs"/>
      <sheetName val="Calculations"/>
      <sheetName val="On-costs"/>
      <sheetName val="WF scenarios"/>
      <sheetName val="Baseline &amp; default assumptions"/>
      <sheetName val="M&amp;D settlement"/>
      <sheetName val="drift calc"/>
      <sheetName val="CSR pay table"/>
      <sheetName val="pay metrics for HMT"/>
      <sheetName val="Developer notes"/>
      <sheetName val="Baseline WF scenarios"/>
      <sheetName val="2. Overall Dispo"/>
      <sheetName val="Cover Sheet"/>
      <sheetName val="Business with DH &amp; Group Bodies"/>
      <sheetName val="#REF"/>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icy - Table 1"/>
      <sheetName val="Notes"/>
      <sheetName val="Table 2"/>
      <sheetName val="Table 3"/>
      <sheetName val="Table 4"/>
      <sheetName val="#REF"/>
      <sheetName val="Baseline WF scenarios"/>
      <sheetName val="DHF Cascade Coding"/>
      <sheetName val="TRUSTs"/>
    </sheetNames>
    <sheetDataSet>
      <sheetData sheetId="0" refreshError="1"/>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tro"/>
      <sheetName val="Scenario Data"/>
    </sheet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Errors"/>
      <sheetName val="Disclosure Amendments"/>
      <sheetName val="Operating Cost Statement"/>
      <sheetName val="Notes on Functionality"/>
      <sheetName val="Guidance"/>
      <sheetName val="Cash Flow Statement"/>
      <sheetName val="Notes to the Account"/>
      <sheetName val="Business with DH &amp; Group Bodies"/>
      <sheetName val="Validation Summary"/>
      <sheetName val="Bodies within RA Boundary"/>
      <sheetName val="Cover Sheet"/>
      <sheetName val="10.06"/>
      <sheetName val="Intro"/>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Net WP"/>
      <sheetName val="Intro"/>
      <sheetName val="Exclusions"/>
      <sheetName val="Data Sheet"/>
      <sheetName val="#RE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Key Messages"/>
      <sheetName val="Other Messages"/>
      <sheetName val="SHA_lookup_table"/>
      <sheetName val="Update"/>
      <sheetName val="TLAssign"/>
      <sheetName val="CommentClose"/>
      <sheetName val="DataIn"/>
      <sheetName val="TrajIn"/>
      <sheetName val="Org_Lookup_Table"/>
      <sheetName val="KeyPrioritiesTimeseries"/>
      <sheetName val="AllIndicatorsTimeseries"/>
      <sheetName val="KeyPrioritiesOrgComparison"/>
      <sheetName val="AllIndicatorsOrgComparison"/>
      <sheetName val="Provider Breakdown"/>
      <sheetName val="AmbulancePerformance"/>
      <sheetName val="AmbFeeder"/>
      <sheetName val="Months"/>
      <sheetName val="Mar06"/>
      <sheetName val="Apr06"/>
      <sheetName val="May06"/>
      <sheetName val="Jun06"/>
      <sheetName val="Jul06"/>
      <sheetName val="Aug06"/>
      <sheetName val="Sep06"/>
      <sheetName val="Oct06"/>
      <sheetName val="Nov06"/>
      <sheetName val="Dec06"/>
      <sheetName val="Jan07"/>
      <sheetName val="Feb07"/>
      <sheetName val="Mar07"/>
      <sheetName val="#REF"/>
      <sheetName val="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7">
          <cell r="A7" t="str">
            <v>EN</v>
          </cell>
          <cell r="C7">
            <v>0.75443947914473886</v>
          </cell>
          <cell r="D7">
            <v>0.86405707085943462</v>
          </cell>
          <cell r="E7">
            <v>0.97474180164262747</v>
          </cell>
          <cell r="F7">
            <v>0.99936250971243312</v>
          </cell>
          <cell r="G7">
            <v>0.99936444295136118</v>
          </cell>
          <cell r="H7">
            <v>126</v>
          </cell>
          <cell r="J7">
            <v>905</v>
          </cell>
          <cell r="K7">
            <v>13934.016492205306</v>
          </cell>
          <cell r="L7">
            <v>188722.45671740017</v>
          </cell>
          <cell r="M7">
            <v>784548</v>
          </cell>
          <cell r="N7">
            <v>199</v>
          </cell>
          <cell r="Q7">
            <v>0.99586898873980023</v>
          </cell>
          <cell r="R7">
            <v>0.992781106872342</v>
          </cell>
          <cell r="S7">
            <v>69208</v>
          </cell>
          <cell r="T7">
            <v>8.4127713473708274E-2</v>
          </cell>
          <cell r="V7">
            <v>179628</v>
          </cell>
          <cell r="W7">
            <v>0.55742450711255298</v>
          </cell>
          <cell r="X7">
            <v>0.99915418076365392</v>
          </cell>
          <cell r="Y7">
            <v>0.99201232384321336</v>
          </cell>
          <cell r="Z7">
            <v>0.92916603602240044</v>
          </cell>
          <cell r="AA7">
            <v>0</v>
          </cell>
          <cell r="AB7">
            <v>0.95780650160250769</v>
          </cell>
          <cell r="AC7">
            <v>0.5916849015317287</v>
          </cell>
          <cell r="AD7">
            <v>8051</v>
          </cell>
          <cell r="AE7">
            <v>83804</v>
          </cell>
          <cell r="AF7">
            <v>0.78432280921435216</v>
          </cell>
          <cell r="AG7">
            <v>2.2571522551086146E-2</v>
          </cell>
          <cell r="AH7">
            <v>613</v>
          </cell>
          <cell r="AI7">
            <v>1145.6400000000001</v>
          </cell>
          <cell r="AJ7">
            <v>45186</v>
          </cell>
          <cell r="AK7">
            <v>817.70999801158939</v>
          </cell>
          <cell r="AL7">
            <v>0.15765148442853347</v>
          </cell>
          <cell r="AM7">
            <v>0.28548181855563665</v>
          </cell>
          <cell r="AN7">
            <v>0.51450790746307673</v>
          </cell>
          <cell r="AO7">
            <v>-512090.08753999998</v>
          </cell>
          <cell r="AQ7">
            <v>9657322.9000000004</v>
          </cell>
          <cell r="AR7">
            <v>-2.6570233475411431E-3</v>
          </cell>
          <cell r="AS7">
            <v>4911889</v>
          </cell>
          <cell r="AT7">
            <v>1.201987829106832E-2</v>
          </cell>
          <cell r="AU7">
            <v>8054778</v>
          </cell>
          <cell r="AV7">
            <v>4.0990738391453174E-3</v>
          </cell>
          <cell r="AW7">
            <v>5684431</v>
          </cell>
          <cell r="AX7">
            <v>2.0549178257356582E-2</v>
          </cell>
          <cell r="AY7">
            <v>0.70326933337743047</v>
          </cell>
          <cell r="AZ7">
            <v>4677745.6399999997</v>
          </cell>
          <cell r="BA7">
            <v>4.3446019756844922E-2</v>
          </cell>
          <cell r="BB7">
            <v>93780.460763953888</v>
          </cell>
          <cell r="BC7">
            <v>5415.9999950319998</v>
          </cell>
          <cell r="BD7">
            <v>176095.10249400701</v>
          </cell>
          <cell r="BE7">
            <v>738.99999207999997</v>
          </cell>
          <cell r="BF7">
            <v>311644.96411148389</v>
          </cell>
          <cell r="BG7">
            <v>1443.9999998129997</v>
          </cell>
          <cell r="BH7">
            <v>101314</v>
          </cell>
          <cell r="BI7">
            <v>62629</v>
          </cell>
          <cell r="BJ7">
            <v>9818</v>
          </cell>
        </row>
        <row r="8">
          <cell r="A8" t="str">
            <v>Q30</v>
          </cell>
          <cell r="C8">
            <v>0.79778526721232546</v>
          </cell>
          <cell r="D8">
            <v>0.96495720242885363</v>
          </cell>
          <cell r="E8">
            <v>0.98907373392810283</v>
          </cell>
          <cell r="F8">
            <v>1</v>
          </cell>
          <cell r="G8">
            <v>1</v>
          </cell>
          <cell r="H8">
            <v>0</v>
          </cell>
          <cell r="J8">
            <v>0</v>
          </cell>
          <cell r="K8">
            <v>1107.0415000009998</v>
          </cell>
          <cell r="L8">
            <v>3571.2990000039999</v>
          </cell>
          <cell r="M8">
            <v>37052</v>
          </cell>
          <cell r="N8">
            <v>0</v>
          </cell>
          <cell r="Q8">
            <v>1</v>
          </cell>
          <cell r="R8">
            <v>0.99308862280985621</v>
          </cell>
          <cell r="S8">
            <v>6789</v>
          </cell>
          <cell r="T8">
            <v>0.15134761575673808</v>
          </cell>
          <cell r="U8" t="str">
            <v/>
          </cell>
          <cell r="V8">
            <v>11239</v>
          </cell>
          <cell r="W8">
            <v>0.53273731264790958</v>
          </cell>
          <cell r="X8">
            <v>0.99968253968253973</v>
          </cell>
          <cell r="Y8">
            <v>0.98987854251012142</v>
          </cell>
          <cell r="Z8">
            <v>0.93028846153846156</v>
          </cell>
          <cell r="AA8">
            <v>0</v>
          </cell>
          <cell r="AB8">
            <v>0.96664716208308954</v>
          </cell>
          <cell r="AC8">
            <v>0.61184210526315785</v>
          </cell>
          <cell r="AD8">
            <v>904</v>
          </cell>
          <cell r="AE8">
            <v>8651</v>
          </cell>
          <cell r="AF8">
            <v>0.88086106643572926</v>
          </cell>
          <cell r="AG8">
            <v>6.6886481394253412E-3</v>
          </cell>
          <cell r="AH8" t="str">
            <v/>
          </cell>
          <cell r="AI8">
            <v>84</v>
          </cell>
          <cell r="AJ8">
            <v>2967</v>
          </cell>
          <cell r="AK8">
            <v>1145.1072908586077</v>
          </cell>
          <cell r="AL8">
            <v>0.23519882179675994</v>
          </cell>
          <cell r="AM8">
            <v>0.2804816419422681</v>
          </cell>
          <cell r="AN8">
            <v>0.39130434782608697</v>
          </cell>
          <cell r="AO8">
            <v>19703</v>
          </cell>
          <cell r="AQ8">
            <v>501759</v>
          </cell>
          <cell r="AR8" t="str">
            <v/>
          </cell>
          <cell r="AS8">
            <v>288413</v>
          </cell>
          <cell r="AT8" t="str">
            <v/>
          </cell>
          <cell r="AU8">
            <v>438484</v>
          </cell>
          <cell r="AV8" t="str">
            <v/>
          </cell>
          <cell r="AW8">
            <v>356736</v>
          </cell>
          <cell r="AX8" t="str">
            <v/>
          </cell>
          <cell r="AY8" t="str">
            <v/>
          </cell>
          <cell r="AZ8">
            <v>308851</v>
          </cell>
          <cell r="BA8" t="str">
            <v/>
          </cell>
          <cell r="BB8">
            <v>6257.0319014509996</v>
          </cell>
          <cell r="BC8">
            <v>2122</v>
          </cell>
          <cell r="BD8">
            <v>10922.161201774001</v>
          </cell>
          <cell r="BE8">
            <v>0</v>
          </cell>
          <cell r="BF8">
            <v>20689.186104044999</v>
          </cell>
          <cell r="BG8">
            <v>1</v>
          </cell>
          <cell r="BH8">
            <v>4074</v>
          </cell>
          <cell r="BI8">
            <v>3371</v>
          </cell>
          <cell r="BJ8">
            <v>300</v>
          </cell>
        </row>
        <row r="9">
          <cell r="A9" t="str">
            <v>Q31</v>
          </cell>
          <cell r="C9">
            <v>0.73143531382027172</v>
          </cell>
          <cell r="D9">
            <v>0.84200859224207703</v>
          </cell>
          <cell r="E9">
            <v>0.97363312897783272</v>
          </cell>
          <cell r="F9">
            <v>1</v>
          </cell>
          <cell r="G9">
            <v>0.99877512370987387</v>
          </cell>
          <cell r="H9">
            <v>58</v>
          </cell>
          <cell r="J9">
            <v>1</v>
          </cell>
          <cell r="K9">
            <v>1343.5533005069999</v>
          </cell>
          <cell r="L9">
            <v>22529.380367035999</v>
          </cell>
          <cell r="M9">
            <v>115422</v>
          </cell>
          <cell r="N9">
            <v>28</v>
          </cell>
          <cell r="Q9">
            <v>0.99609075043630013</v>
          </cell>
          <cell r="R9">
            <v>0.99418961432399888</v>
          </cell>
          <cell r="S9">
            <v>10644</v>
          </cell>
          <cell r="T9">
            <v>8.3404508733025656E-2</v>
          </cell>
          <cell r="U9" t="str">
            <v/>
          </cell>
          <cell r="V9">
            <v>37204</v>
          </cell>
          <cell r="W9">
            <v>0.62307630327934893</v>
          </cell>
          <cell r="X9">
            <v>0.99932157394843957</v>
          </cell>
          <cell r="Y9">
            <v>0.99428320140721194</v>
          </cell>
          <cell r="Z9">
            <v>0.89383561643835618</v>
          </cell>
          <cell r="AA9">
            <v>0</v>
          </cell>
          <cell r="AB9">
            <v>0.98818316100443127</v>
          </cell>
          <cell r="AC9">
            <v>0.67832167832167833</v>
          </cell>
          <cell r="AD9">
            <v>1039</v>
          </cell>
          <cell r="AE9">
            <v>9232</v>
          </cell>
          <cell r="AF9">
            <v>0.80857658652303976</v>
          </cell>
          <cell r="AG9">
            <v>1.5860378907561978E-2</v>
          </cell>
          <cell r="AH9" t="str">
            <v/>
          </cell>
          <cell r="AI9">
            <v>208.05</v>
          </cell>
          <cell r="AJ9">
            <v>6726</v>
          </cell>
          <cell r="AK9">
            <v>986.86571383874116</v>
          </cell>
          <cell r="AL9">
            <v>0.2079100145137881</v>
          </cell>
          <cell r="AM9">
            <v>0.28830149720180248</v>
          </cell>
          <cell r="AN9">
            <v>0.41914387633769323</v>
          </cell>
          <cell r="AO9">
            <v>57654.048999999999</v>
          </cell>
          <cell r="AQ9">
            <v>1510615</v>
          </cell>
          <cell r="AR9" t="str">
            <v/>
          </cell>
          <cell r="AS9">
            <v>851611</v>
          </cell>
          <cell r="AT9" t="str">
            <v/>
          </cell>
          <cell r="AU9">
            <v>1211442</v>
          </cell>
          <cell r="AV9" t="str">
            <v/>
          </cell>
          <cell r="AW9">
            <v>757965</v>
          </cell>
          <cell r="AX9" t="str">
            <v/>
          </cell>
          <cell r="AY9" t="str">
            <v/>
          </cell>
          <cell r="AZ9">
            <v>763374</v>
          </cell>
          <cell r="BA9" t="str">
            <v/>
          </cell>
          <cell r="BB9">
            <v>12431.801208495001</v>
          </cell>
          <cell r="BC9">
            <v>673.63999863999993</v>
          </cell>
          <cell r="BD9">
            <v>26198.430549224002</v>
          </cell>
          <cell r="BE9">
            <v>17.660000069999999</v>
          </cell>
          <cell r="BF9">
            <v>41184.650599651999</v>
          </cell>
          <cell r="BG9">
            <v>334</v>
          </cell>
          <cell r="BH9">
            <v>19472</v>
          </cell>
          <cell r="BI9">
            <v>12076</v>
          </cell>
          <cell r="BJ9">
            <v>2599</v>
          </cell>
        </row>
        <row r="10">
          <cell r="A10" t="str">
            <v>Q32</v>
          </cell>
          <cell r="C10">
            <v>0.72065350015510288</v>
          </cell>
          <cell r="D10">
            <v>0.87754634373544471</v>
          </cell>
          <cell r="E10">
            <v>0.97654363776280462</v>
          </cell>
          <cell r="F10">
            <v>0.99765927563588142</v>
          </cell>
          <cell r="G10">
            <v>1</v>
          </cell>
          <cell r="H10">
            <v>1</v>
          </cell>
          <cell r="J10">
            <v>19</v>
          </cell>
          <cell r="K10">
            <v>1332.677200012</v>
          </cell>
          <cell r="L10">
            <v>17404.697763660002</v>
          </cell>
          <cell r="M10">
            <v>81465</v>
          </cell>
          <cell r="N10">
            <v>4</v>
          </cell>
          <cell r="Q10">
            <v>0.97667589763177998</v>
          </cell>
          <cell r="R10">
            <v>0.99025119289200902</v>
          </cell>
          <cell r="S10">
            <v>6998</v>
          </cell>
          <cell r="T10">
            <v>8.499423088601446E-2</v>
          </cell>
          <cell r="U10" t="str">
            <v/>
          </cell>
          <cell r="V10">
            <v>25646</v>
          </cell>
          <cell r="W10">
            <v>0.61842274540074615</v>
          </cell>
          <cell r="X10">
            <v>0.99978156400174745</v>
          </cell>
          <cell r="Y10">
            <v>0.97269624573378843</v>
          </cell>
          <cell r="Z10">
            <v>0.87133550488599354</v>
          </cell>
          <cell r="AA10">
            <v>0</v>
          </cell>
          <cell r="AB10">
            <v>0.98680241327300156</v>
          </cell>
          <cell r="AC10">
            <v>0.59143968871595332</v>
          </cell>
          <cell r="AD10">
            <v>855</v>
          </cell>
          <cell r="AE10">
            <v>7548</v>
          </cell>
          <cell r="AF10">
            <v>0.86223894697397518</v>
          </cell>
          <cell r="AG10">
            <v>1.3546585777808418E-2</v>
          </cell>
          <cell r="AH10" t="str">
            <v/>
          </cell>
          <cell r="AI10">
            <v>120.5</v>
          </cell>
          <cell r="AJ10">
            <v>5491</v>
          </cell>
          <cell r="AK10">
            <v>740.6684328107392</v>
          </cell>
          <cell r="AL10">
            <v>0.1823017408123791</v>
          </cell>
          <cell r="AM10">
            <v>0.27445923429841385</v>
          </cell>
          <cell r="AN10">
            <v>0.38295964125560539</v>
          </cell>
          <cell r="AO10">
            <v>36392.199999999997</v>
          </cell>
          <cell r="AQ10">
            <v>951977</v>
          </cell>
          <cell r="AR10" t="str">
            <v/>
          </cell>
          <cell r="AS10">
            <v>493477</v>
          </cell>
          <cell r="AT10" t="str">
            <v/>
          </cell>
          <cell r="AU10">
            <v>809686</v>
          </cell>
          <cell r="AV10" t="str">
            <v/>
          </cell>
          <cell r="AW10">
            <v>657696</v>
          </cell>
          <cell r="AX10" t="str">
            <v/>
          </cell>
          <cell r="AY10" t="str">
            <v/>
          </cell>
          <cell r="AZ10">
            <v>511915</v>
          </cell>
          <cell r="BA10" t="str">
            <v/>
          </cell>
          <cell r="BB10">
            <v>8052.6441026909988</v>
          </cell>
          <cell r="BC10">
            <v>221</v>
          </cell>
          <cell r="BD10">
            <v>15245.320172705</v>
          </cell>
          <cell r="BE10">
            <v>52</v>
          </cell>
          <cell r="BF10">
            <v>30415.496234892002</v>
          </cell>
          <cell r="BG10">
            <v>537</v>
          </cell>
          <cell r="BH10">
            <v>15034</v>
          </cell>
          <cell r="BI10">
            <v>8828</v>
          </cell>
          <cell r="BJ10">
            <v>3162</v>
          </cell>
        </row>
        <row r="11">
          <cell r="A11" t="str">
            <v>Q33</v>
          </cell>
          <cell r="C11">
            <v>0.76276664511958636</v>
          </cell>
          <cell r="D11">
            <v>0.87299055098785128</v>
          </cell>
          <cell r="E11">
            <v>0.97316753318018212</v>
          </cell>
          <cell r="F11">
            <v>1</v>
          </cell>
          <cell r="G11">
            <v>1</v>
          </cell>
          <cell r="H11">
            <v>0</v>
          </cell>
          <cell r="J11">
            <v>1</v>
          </cell>
          <cell r="K11">
            <v>226.83979874900001</v>
          </cell>
          <cell r="L11">
            <v>12590.146157200999</v>
          </cell>
          <cell r="M11">
            <v>59622</v>
          </cell>
          <cell r="N11">
            <v>0</v>
          </cell>
          <cell r="Q11">
            <v>0.99954839157923991</v>
          </cell>
          <cell r="R11">
            <v>0.99112868563569156</v>
          </cell>
          <cell r="S11">
            <v>6573</v>
          </cell>
          <cell r="T11">
            <v>0.11076098678889189</v>
          </cell>
          <cell r="U11" t="str">
            <v/>
          </cell>
          <cell r="V11">
            <v>13855</v>
          </cell>
          <cell r="W11">
            <v>0.54531891085415884</v>
          </cell>
          <cell r="X11">
            <v>0.99787032654992902</v>
          </cell>
          <cell r="Y11">
            <v>0.9866071428571429</v>
          </cell>
          <cell r="Z11">
            <v>0.93843843843843844</v>
          </cell>
          <cell r="AA11">
            <v>0</v>
          </cell>
          <cell r="AB11">
            <v>0.99335232668565998</v>
          </cell>
          <cell r="AC11">
            <v>0.44976076555023925</v>
          </cell>
          <cell r="AD11">
            <v>852</v>
          </cell>
          <cell r="AE11">
            <v>6539</v>
          </cell>
          <cell r="AF11">
            <v>0.86362626884406946</v>
          </cell>
          <cell r="AG11">
            <v>2.3394131641554322E-2</v>
          </cell>
          <cell r="AH11" t="str">
            <v/>
          </cell>
          <cell r="AI11">
            <v>100.35</v>
          </cell>
          <cell r="AJ11">
            <v>3600</v>
          </cell>
          <cell r="AK11">
            <v>846.56556198325404</v>
          </cell>
          <cell r="AL11">
            <v>0.17462533742902356</v>
          </cell>
          <cell r="AM11">
            <v>0.30363547086401488</v>
          </cell>
          <cell r="AN11">
            <v>0.52857142857142858</v>
          </cell>
          <cell r="AO11">
            <v>-11226.797999999992</v>
          </cell>
          <cell r="AQ11">
            <v>793503.9</v>
          </cell>
          <cell r="AR11" t="str">
            <v/>
          </cell>
          <cell r="AS11">
            <v>399443</v>
          </cell>
          <cell r="AT11" t="str">
            <v/>
          </cell>
          <cell r="AU11">
            <v>632186</v>
          </cell>
          <cell r="AV11" t="str">
            <v/>
          </cell>
          <cell r="AW11">
            <v>531516</v>
          </cell>
          <cell r="AX11" t="str">
            <v/>
          </cell>
          <cell r="AY11" t="str">
            <v/>
          </cell>
          <cell r="AZ11">
            <v>389975.64</v>
          </cell>
          <cell r="BA11" t="str">
            <v/>
          </cell>
          <cell r="BB11">
            <v>6723.496180264</v>
          </cell>
          <cell r="BC11">
            <v>77.160000640000007</v>
          </cell>
          <cell r="BD11">
            <v>11192.386040965001</v>
          </cell>
          <cell r="BE11">
            <v>0.33999999199999997</v>
          </cell>
          <cell r="BF11">
            <v>22973.182945854001</v>
          </cell>
          <cell r="BG11">
            <v>0</v>
          </cell>
          <cell r="BH11">
            <v>12619</v>
          </cell>
          <cell r="BI11">
            <v>9022</v>
          </cell>
          <cell r="BJ11">
            <v>1612</v>
          </cell>
        </row>
        <row r="12">
          <cell r="A12" t="str">
            <v>Q34</v>
          </cell>
          <cell r="C12">
            <v>0.74887054996686953</v>
          </cell>
          <cell r="D12">
            <v>0.89886160903916401</v>
          </cell>
          <cell r="E12">
            <v>0.97768328608748822</v>
          </cell>
          <cell r="F12">
            <v>0.99578311725997104</v>
          </cell>
          <cell r="G12">
            <v>0.99928939148123852</v>
          </cell>
          <cell r="H12">
            <v>50</v>
          </cell>
          <cell r="J12">
            <v>10</v>
          </cell>
          <cell r="K12">
            <v>861.72079956700009</v>
          </cell>
          <cell r="L12">
            <v>23238.229618908998</v>
          </cell>
          <cell r="M12">
            <v>78920</v>
          </cell>
          <cell r="N12">
            <v>15</v>
          </cell>
          <cell r="Q12">
            <v>0.99942264866796804</v>
          </cell>
          <cell r="R12">
            <v>0.99843168679526073</v>
          </cell>
          <cell r="S12">
            <v>9481</v>
          </cell>
          <cell r="T12">
            <v>0.10226954026708088</v>
          </cell>
          <cell r="U12" t="str">
            <v/>
          </cell>
          <cell r="V12">
            <v>19140</v>
          </cell>
          <cell r="W12">
            <v>0.57988077496274215</v>
          </cell>
          <cell r="X12">
            <v>0.99965493443754316</v>
          </cell>
          <cell r="Y12">
            <v>0.99778147531891292</v>
          </cell>
          <cell r="Z12">
            <v>0.95803183791606372</v>
          </cell>
          <cell r="AA12">
            <v>0</v>
          </cell>
          <cell r="AB12">
            <v>0.95313115399763682</v>
          </cell>
          <cell r="AC12">
            <v>0.63424124513618674</v>
          </cell>
          <cell r="AD12">
            <v>1199</v>
          </cell>
          <cell r="AE12">
            <v>10067</v>
          </cell>
          <cell r="AF12">
            <v>0.78232822801222346</v>
          </cell>
          <cell r="AG12">
            <v>2.7679339411663513E-2</v>
          </cell>
          <cell r="AH12" t="str">
            <v/>
          </cell>
          <cell r="AI12">
            <v>129</v>
          </cell>
          <cell r="AJ12">
            <v>5469</v>
          </cell>
          <cell r="AK12">
            <v>897.10645334764888</v>
          </cell>
          <cell r="AL12">
            <v>0.16381578947368422</v>
          </cell>
          <cell r="AM12">
            <v>0.30391361565399305</v>
          </cell>
          <cell r="AN12">
            <v>0.36148007590132825</v>
          </cell>
          <cell r="AO12">
            <v>-36045.47898</v>
          </cell>
          <cell r="AQ12">
            <v>1090901</v>
          </cell>
          <cell r="AR12" t="str">
            <v/>
          </cell>
          <cell r="AS12">
            <v>543644</v>
          </cell>
          <cell r="AT12" t="str">
            <v/>
          </cell>
          <cell r="AU12">
            <v>912321</v>
          </cell>
          <cell r="AV12" t="str">
            <v/>
          </cell>
          <cell r="AW12">
            <v>605048</v>
          </cell>
          <cell r="AX12" t="str">
            <v/>
          </cell>
          <cell r="AY12" t="str">
            <v/>
          </cell>
          <cell r="AZ12">
            <v>487016</v>
          </cell>
          <cell r="BA12" t="str">
            <v/>
          </cell>
          <cell r="BB12">
            <v>11182.847901903</v>
          </cell>
          <cell r="BC12">
            <v>442</v>
          </cell>
          <cell r="BD12">
            <v>21404.993496937997</v>
          </cell>
          <cell r="BE12">
            <v>0.99999998299999993</v>
          </cell>
          <cell r="BF12">
            <v>34461.329099138005</v>
          </cell>
          <cell r="BG12">
            <v>96</v>
          </cell>
          <cell r="BH12">
            <v>5069</v>
          </cell>
          <cell r="BI12">
            <v>4825</v>
          </cell>
          <cell r="BJ12">
            <v>587</v>
          </cell>
        </row>
        <row r="13">
          <cell r="A13" t="str">
            <v>Q35</v>
          </cell>
          <cell r="C13">
            <v>0.77001639137561473</v>
          </cell>
          <cell r="D13">
            <v>0.95831180701824104</v>
          </cell>
          <cell r="E13">
            <v>0.97416536221098826</v>
          </cell>
          <cell r="F13">
            <v>1</v>
          </cell>
          <cell r="G13">
            <v>0.9985364625907609</v>
          </cell>
          <cell r="H13">
            <v>2</v>
          </cell>
          <cell r="J13">
            <v>4</v>
          </cell>
          <cell r="K13">
            <v>1486.1061029289999</v>
          </cell>
          <cell r="L13">
            <v>10152.61825252</v>
          </cell>
          <cell r="M13">
            <v>93751</v>
          </cell>
          <cell r="N13">
            <v>9</v>
          </cell>
          <cell r="Q13">
            <v>0.99684123025768911</v>
          </cell>
          <cell r="R13">
            <v>0.98807511519670266</v>
          </cell>
          <cell r="S13">
            <v>3317</v>
          </cell>
          <cell r="T13">
            <v>4.0490228390766714E-2</v>
          </cell>
          <cell r="U13" t="str">
            <v/>
          </cell>
          <cell r="V13">
            <v>13173</v>
          </cell>
          <cell r="W13">
            <v>0.61352554589781638</v>
          </cell>
          <cell r="X13">
            <v>0.99956868665085186</v>
          </cell>
          <cell r="Y13">
            <v>0.99506308283049916</v>
          </cell>
          <cell r="Z13">
            <v>0.94468704512372637</v>
          </cell>
          <cell r="AA13">
            <v>0</v>
          </cell>
          <cell r="AB13">
            <v>0.88222878851836217</v>
          </cell>
          <cell r="AC13">
            <v>0.56902356902356899</v>
          </cell>
          <cell r="AD13">
            <v>597</v>
          </cell>
          <cell r="AE13">
            <v>8031</v>
          </cell>
          <cell r="AF13">
            <v>0.82326030861595711</v>
          </cell>
          <cell r="AG13">
            <v>2.8288989378483544E-2</v>
          </cell>
          <cell r="AH13" t="str">
            <v/>
          </cell>
          <cell r="AI13">
            <v>109.8</v>
          </cell>
          <cell r="AJ13">
            <v>5195</v>
          </cell>
          <cell r="AK13">
            <v>688.63333377793867</v>
          </cell>
          <cell r="AL13">
            <v>0.14871393132262697</v>
          </cell>
          <cell r="AM13">
            <v>0.24964564724087557</v>
          </cell>
          <cell r="AN13">
            <v>0.47392438070404175</v>
          </cell>
          <cell r="AO13">
            <v>-214302</v>
          </cell>
          <cell r="AQ13">
            <v>968367</v>
          </cell>
          <cell r="AR13" t="str">
            <v/>
          </cell>
          <cell r="AS13">
            <v>492675</v>
          </cell>
          <cell r="AT13" t="str">
            <v/>
          </cell>
          <cell r="AU13">
            <v>855314</v>
          </cell>
          <cell r="AV13" t="str">
            <v/>
          </cell>
          <cell r="AW13">
            <v>615411</v>
          </cell>
          <cell r="AX13" t="str">
            <v/>
          </cell>
          <cell r="AY13" t="str">
            <v/>
          </cell>
          <cell r="AZ13">
            <v>447959</v>
          </cell>
          <cell r="BA13" t="str">
            <v/>
          </cell>
          <cell r="BB13">
            <v>10415.168380413001</v>
          </cell>
          <cell r="BC13">
            <v>496.52527299100001</v>
          </cell>
          <cell r="BD13">
            <v>18149.514523354999</v>
          </cell>
          <cell r="BE13">
            <v>66.759999809999997</v>
          </cell>
          <cell r="BF13">
            <v>33541.055453872999</v>
          </cell>
          <cell r="BG13">
            <v>132.68999999799999</v>
          </cell>
          <cell r="BH13">
            <v>6365</v>
          </cell>
          <cell r="BI13">
            <v>4319</v>
          </cell>
          <cell r="BJ13">
            <v>88</v>
          </cell>
        </row>
        <row r="14">
          <cell r="A14" t="str">
            <v>Q36</v>
          </cell>
          <cell r="C14">
            <v>0.77898331046366909</v>
          </cell>
          <cell r="D14">
            <v>0.69826101001399798</v>
          </cell>
          <cell r="E14">
            <v>0.97142235029730861</v>
          </cell>
          <cell r="F14">
            <v>1</v>
          </cell>
          <cell r="G14">
            <v>1</v>
          </cell>
          <cell r="H14">
            <v>5</v>
          </cell>
          <cell r="J14">
            <v>67</v>
          </cell>
          <cell r="K14">
            <v>2856.7561196750003</v>
          </cell>
          <cell r="L14">
            <v>22046.864480761004</v>
          </cell>
          <cell r="M14">
            <v>124488</v>
          </cell>
          <cell r="N14">
            <v>2</v>
          </cell>
          <cell r="Q14">
            <v>0.99879358878612057</v>
          </cell>
          <cell r="R14">
            <v>0.98830259998978398</v>
          </cell>
          <cell r="S14">
            <v>9440</v>
          </cell>
          <cell r="T14">
            <v>6.834240704274297E-2</v>
          </cell>
          <cell r="U14" t="str">
            <v/>
          </cell>
          <cell r="V14">
            <v>34101</v>
          </cell>
          <cell r="W14">
            <v>0.5022880632901574</v>
          </cell>
          <cell r="X14">
            <v>0.99918150194393285</v>
          </cell>
          <cell r="Y14">
            <v>0.99475829935934768</v>
          </cell>
          <cell r="Z14">
            <v>0.95375722543352603</v>
          </cell>
          <cell r="AA14">
            <v>0</v>
          </cell>
          <cell r="AB14">
            <v>0.97189781021897814</v>
          </cell>
          <cell r="AC14">
            <v>0.46017699115044253</v>
          </cell>
          <cell r="AD14">
            <v>1236</v>
          </cell>
          <cell r="AE14">
            <v>16903</v>
          </cell>
          <cell r="AF14">
            <v>0.74205097806757558</v>
          </cell>
          <cell r="AG14">
            <v>2.2134072793742771E-2</v>
          </cell>
          <cell r="AH14" t="str">
            <v/>
          </cell>
          <cell r="AI14">
            <v>109.7</v>
          </cell>
          <cell r="AJ14">
            <v>4404</v>
          </cell>
          <cell r="AK14">
            <v>795.28309325165344</v>
          </cell>
          <cell r="AL14">
            <v>9.3624353819643888E-2</v>
          </cell>
          <cell r="AM14">
            <v>0.332520568074473</v>
          </cell>
          <cell r="AN14">
            <v>0.66862252025705504</v>
          </cell>
          <cell r="AO14">
            <v>-168394.46299999999</v>
          </cell>
          <cell r="AQ14">
            <v>1471873</v>
          </cell>
          <cell r="AR14" t="str">
            <v/>
          </cell>
          <cell r="AS14">
            <v>757568</v>
          </cell>
          <cell r="AT14" t="str">
            <v/>
          </cell>
          <cell r="AU14">
            <v>1188844</v>
          </cell>
          <cell r="AV14" t="str">
            <v/>
          </cell>
          <cell r="AW14">
            <v>715120</v>
          </cell>
          <cell r="AX14" t="str">
            <v/>
          </cell>
          <cell r="AY14" t="str">
            <v/>
          </cell>
          <cell r="AZ14">
            <v>608141</v>
          </cell>
          <cell r="BA14" t="str">
            <v/>
          </cell>
          <cell r="BB14">
            <v>13573.527408695001</v>
          </cell>
          <cell r="BC14">
            <v>379.97487124100002</v>
          </cell>
          <cell r="BD14">
            <v>23629.325043274002</v>
          </cell>
          <cell r="BE14">
            <v>39.58000011</v>
          </cell>
          <cell r="BF14">
            <v>46886.322859453001</v>
          </cell>
          <cell r="BG14">
            <v>10.359999870999999</v>
          </cell>
          <cell r="BH14">
            <v>6782</v>
          </cell>
          <cell r="BI14">
            <v>1244</v>
          </cell>
          <cell r="BJ14">
            <v>48</v>
          </cell>
        </row>
        <row r="15">
          <cell r="A15" t="str">
            <v>Q37</v>
          </cell>
          <cell r="C15">
            <v>0.75990895534102509</v>
          </cell>
          <cell r="D15">
            <v>0.9351596600045945</v>
          </cell>
          <cell r="E15">
            <v>0.97196720010962145</v>
          </cell>
          <cell r="F15">
            <v>0.99775173522527283</v>
          </cell>
          <cell r="G15">
            <v>0.99924337951402953</v>
          </cell>
          <cell r="H15">
            <v>2</v>
          </cell>
          <cell r="J15">
            <v>30</v>
          </cell>
          <cell r="K15">
            <v>1817.8416885776001</v>
          </cell>
          <cell r="L15">
            <v>31143.710316891498</v>
          </cell>
          <cell r="M15">
            <v>60509</v>
          </cell>
          <cell r="N15">
            <v>7</v>
          </cell>
          <cell r="Q15">
            <v>0.99896860986547087</v>
          </cell>
          <cell r="R15">
            <v>0.99782974863954388</v>
          </cell>
          <cell r="S15">
            <v>2154</v>
          </cell>
          <cell r="T15">
            <v>3.47144998307789E-2</v>
          </cell>
          <cell r="U15" t="str">
            <v/>
          </cell>
          <cell r="V15">
            <v>9177</v>
          </cell>
          <cell r="W15">
            <v>0.51790048543689315</v>
          </cell>
          <cell r="X15">
            <v>0.9985415653864852</v>
          </cell>
          <cell r="Y15">
            <v>0.99415631848064279</v>
          </cell>
          <cell r="Z15">
            <v>0.90909090909090906</v>
          </cell>
          <cell r="AA15">
            <v>0</v>
          </cell>
          <cell r="AB15">
            <v>0.95253915519696253</v>
          </cell>
          <cell r="AC15">
            <v>0.64880952380952372</v>
          </cell>
          <cell r="AD15">
            <v>301</v>
          </cell>
          <cell r="AE15">
            <v>4674</v>
          </cell>
          <cell r="AF15">
            <v>0.62251217922663038</v>
          </cell>
          <cell r="AG15">
            <v>3.251505576710146E-2</v>
          </cell>
          <cell r="AH15" t="str">
            <v/>
          </cell>
          <cell r="AI15">
            <v>110.58</v>
          </cell>
          <cell r="AJ15">
            <v>4461</v>
          </cell>
          <cell r="AK15">
            <v>679.48632248193292</v>
          </cell>
          <cell r="AL15">
            <v>0.14656154183092424</v>
          </cell>
          <cell r="AM15">
            <v>0.21471611786024108</v>
          </cell>
          <cell r="AN15">
            <v>0.43814919735599622</v>
          </cell>
          <cell r="AO15">
            <v>-89202.537619999988</v>
          </cell>
          <cell r="AQ15">
            <v>766230</v>
          </cell>
          <cell r="AR15" t="str">
            <v/>
          </cell>
          <cell r="AS15">
            <v>352393</v>
          </cell>
          <cell r="AT15" t="str">
            <v/>
          </cell>
          <cell r="AU15">
            <v>628883</v>
          </cell>
          <cell r="AV15" t="str">
            <v/>
          </cell>
          <cell r="AW15">
            <v>398924</v>
          </cell>
          <cell r="AX15" t="str">
            <v/>
          </cell>
          <cell r="AY15" t="str">
            <v/>
          </cell>
          <cell r="AZ15">
            <v>349521</v>
          </cell>
          <cell r="BA15" t="str">
            <v/>
          </cell>
          <cell r="BB15">
            <v>8076.9334891959998</v>
          </cell>
          <cell r="BC15">
            <v>603.99999188200002</v>
          </cell>
          <cell r="BD15">
            <v>16172.273611293</v>
          </cell>
          <cell r="BE15">
            <v>432.079992242</v>
          </cell>
          <cell r="BF15">
            <v>26175.360163001998</v>
          </cell>
          <cell r="BG15">
            <v>73.909999944000006</v>
          </cell>
          <cell r="BH15">
            <v>12246</v>
          </cell>
          <cell r="BI15">
            <v>8099</v>
          </cell>
          <cell r="BJ15">
            <v>95</v>
          </cell>
        </row>
        <row r="16">
          <cell r="A16" t="str">
            <v>Q38</v>
          </cell>
          <cell r="C16">
            <v>0.76720502005966462</v>
          </cell>
          <cell r="D16">
            <v>0.9227005870841487</v>
          </cell>
          <cell r="E16">
            <v>0.97581681529654585</v>
          </cell>
          <cell r="F16">
            <v>0.99194568671124472</v>
          </cell>
          <cell r="G16">
            <v>0.98773683676077695</v>
          </cell>
          <cell r="H16">
            <v>1</v>
          </cell>
          <cell r="J16">
            <v>191</v>
          </cell>
          <cell r="K16">
            <v>641.91227592900009</v>
          </cell>
          <cell r="L16">
            <v>15689.779260242003</v>
          </cell>
          <cell r="M16">
            <v>53077</v>
          </cell>
          <cell r="N16">
            <v>118</v>
          </cell>
          <cell r="Q16">
            <v>1</v>
          </cell>
          <cell r="R16">
            <v>0.99934737681737429</v>
          </cell>
          <cell r="S16">
            <v>7716</v>
          </cell>
          <cell r="T16">
            <v>0.14275670675300647</v>
          </cell>
          <cell r="U16" t="str">
            <v/>
          </cell>
          <cell r="V16">
            <v>9729</v>
          </cell>
          <cell r="W16">
            <v>0.51004811774695724</v>
          </cell>
          <cell r="X16">
            <v>0.99920170303352851</v>
          </cell>
          <cell r="Y16">
            <v>0.99596448748991118</v>
          </cell>
          <cell r="Z16">
            <v>0.94938917975567194</v>
          </cell>
          <cell r="AA16">
            <v>0</v>
          </cell>
          <cell r="AB16">
            <v>0.92953586497890295</v>
          </cell>
          <cell r="AC16">
            <v>0.51034482758620692</v>
          </cell>
          <cell r="AD16">
            <v>192</v>
          </cell>
          <cell r="AE16">
            <v>5019</v>
          </cell>
          <cell r="AF16">
            <v>0.67753286651139988</v>
          </cell>
          <cell r="AG16">
            <v>3.1419493565262045E-2</v>
          </cell>
          <cell r="AH16" t="str">
            <v/>
          </cell>
          <cell r="AI16">
            <v>61.06</v>
          </cell>
          <cell r="AJ16">
            <v>3115</v>
          </cell>
          <cell r="AK16">
            <v>732.24036168140924</v>
          </cell>
          <cell r="AL16">
            <v>0.1322499551086371</v>
          </cell>
          <cell r="AM16">
            <v>0.29362476366771878</v>
          </cell>
          <cell r="AN16">
            <v>0.5863539445628998</v>
          </cell>
          <cell r="AO16">
            <v>-57804.058940000003</v>
          </cell>
          <cell r="AQ16">
            <v>652854</v>
          </cell>
          <cell r="AR16" t="str">
            <v/>
          </cell>
          <cell r="AS16">
            <v>314106</v>
          </cell>
          <cell r="AT16" t="str">
            <v/>
          </cell>
          <cell r="AU16">
            <v>564803</v>
          </cell>
          <cell r="AV16" t="str">
            <v/>
          </cell>
          <cell r="AW16">
            <v>404131</v>
          </cell>
          <cell r="AX16" t="str">
            <v/>
          </cell>
          <cell r="AY16" t="str">
            <v/>
          </cell>
          <cell r="AZ16">
            <v>332435</v>
          </cell>
          <cell r="BA16" t="str">
            <v/>
          </cell>
          <cell r="BB16">
            <v>7372.2088623919999</v>
          </cell>
          <cell r="BC16">
            <v>26.699859638</v>
          </cell>
          <cell r="BD16">
            <v>13690.159397988999</v>
          </cell>
          <cell r="BE16">
            <v>5.5799998759999996</v>
          </cell>
          <cell r="BF16">
            <v>27033.706983853001</v>
          </cell>
          <cell r="BG16">
            <v>2.04</v>
          </cell>
          <cell r="BH16">
            <v>7091</v>
          </cell>
          <cell r="BI16">
            <v>5822</v>
          </cell>
          <cell r="BJ16">
            <v>705</v>
          </cell>
        </row>
        <row r="17">
          <cell r="A17" t="str">
            <v>Q39</v>
          </cell>
          <cell r="C17">
            <v>0.74489608239838145</v>
          </cell>
          <cell r="D17">
            <v>0.84542110723380182</v>
          </cell>
          <cell r="E17">
            <v>0.97408639163517785</v>
          </cell>
          <cell r="F17">
            <v>0.99801494945806701</v>
          </cell>
          <cell r="G17">
            <v>0.99551243198287875</v>
          </cell>
          <cell r="H17">
            <v>7</v>
          </cell>
          <cell r="J17">
            <v>582</v>
          </cell>
          <cell r="K17">
            <v>2259.5677062587001</v>
          </cell>
          <cell r="L17">
            <v>30355.731500175698</v>
          </cell>
          <cell r="M17">
            <v>80242</v>
          </cell>
          <cell r="N17">
            <v>16</v>
          </cell>
          <cell r="Q17">
            <v>0.99996887353316521</v>
          </cell>
          <cell r="R17">
            <v>0.99203400772238393</v>
          </cell>
          <cell r="S17">
            <v>6096</v>
          </cell>
          <cell r="T17">
            <v>7.654060569534428E-2</v>
          </cell>
          <cell r="U17" t="str">
            <v/>
          </cell>
          <cell r="V17">
            <v>19456</v>
          </cell>
          <cell r="W17">
            <v>0.60271079035381092</v>
          </cell>
          <cell r="X17">
            <v>0.99879081015719473</v>
          </cell>
          <cell r="Y17">
            <v>0.9940347071583514</v>
          </cell>
          <cell r="Z17">
            <v>0.94166666666666665</v>
          </cell>
          <cell r="AA17">
            <v>0</v>
          </cell>
          <cell r="AB17">
            <v>0.92497499166388797</v>
          </cell>
          <cell r="AC17">
            <v>0.61092150170648463</v>
          </cell>
          <cell r="AD17">
            <v>876</v>
          </cell>
          <cell r="AE17">
            <v>7140</v>
          </cell>
          <cell r="AF17">
            <v>0.77877198224819333</v>
          </cell>
          <cell r="AG17">
            <v>2.9579354738336477E-2</v>
          </cell>
          <cell r="AH17" t="str">
            <v/>
          </cell>
          <cell r="AI17">
            <v>112.6</v>
          </cell>
          <cell r="AJ17">
            <v>3758</v>
          </cell>
          <cell r="AK17">
            <v>747.47148004606481</v>
          </cell>
          <cell r="AL17">
            <v>0.16479131753251935</v>
          </cell>
          <cell r="AM17">
            <v>0.27356906033272482</v>
          </cell>
          <cell r="AN17">
            <v>0.51571164510166356</v>
          </cell>
          <cell r="AO17">
            <v>-48864</v>
          </cell>
          <cell r="AQ17">
            <v>949243</v>
          </cell>
          <cell r="AR17" t="str">
            <v/>
          </cell>
          <cell r="AS17">
            <v>418559</v>
          </cell>
          <cell r="AT17" t="str">
            <v/>
          </cell>
          <cell r="AU17">
            <v>812815</v>
          </cell>
          <cell r="AV17" t="str">
            <v/>
          </cell>
          <cell r="AW17">
            <v>641884</v>
          </cell>
          <cell r="AX17" t="str">
            <v/>
          </cell>
          <cell r="AY17" t="str">
            <v/>
          </cell>
          <cell r="AZ17">
            <v>478558</v>
          </cell>
          <cell r="BA17" t="str">
            <v/>
          </cell>
          <cell r="BB17">
            <v>9694.8013284539993</v>
          </cell>
          <cell r="BC17">
            <v>373</v>
          </cell>
          <cell r="BD17">
            <v>19490.538456490001</v>
          </cell>
          <cell r="BE17">
            <v>123.999999997</v>
          </cell>
          <cell r="BF17">
            <v>28284.673667722</v>
          </cell>
          <cell r="BG17">
            <v>257</v>
          </cell>
          <cell r="BH17">
            <v>12562</v>
          </cell>
          <cell r="BI17">
            <v>5023</v>
          </cell>
          <cell r="BJ17">
            <v>622</v>
          </cell>
        </row>
        <row r="18">
          <cell r="A18" t="str">
            <v>5A1</v>
          </cell>
          <cell r="B18" t="str">
            <v>Q17</v>
          </cell>
          <cell r="C18" t="str">
            <v/>
          </cell>
          <cell r="D18" t="str">
            <v/>
          </cell>
          <cell r="E18">
            <v>0.99939975990396157</v>
          </cell>
          <cell r="F18">
            <v>0.93396839846543989</v>
          </cell>
          <cell r="G18">
            <v>1</v>
          </cell>
          <cell r="H18">
            <v>0</v>
          </cell>
          <cell r="J18">
            <v>18</v>
          </cell>
          <cell r="K18">
            <v>50.046585700000001</v>
          </cell>
          <cell r="L18">
            <v>695.63440702299999</v>
          </cell>
          <cell r="M18">
            <v>770</v>
          </cell>
          <cell r="N18">
            <v>1</v>
          </cell>
          <cell r="Q18">
            <v>1</v>
          </cell>
          <cell r="R18">
            <v>1</v>
          </cell>
          <cell r="S18">
            <v>169</v>
          </cell>
          <cell r="X18">
            <v>1</v>
          </cell>
          <cell r="Y18">
            <v>1</v>
          </cell>
          <cell r="Z18">
            <v>1</v>
          </cell>
          <cell r="AA18">
            <v>0</v>
          </cell>
          <cell r="AB18" t="str">
            <v/>
          </cell>
          <cell r="AD18">
            <v>0</v>
          </cell>
          <cell r="AE18">
            <v>102</v>
          </cell>
          <cell r="AF18">
            <v>0.28041333959605447</v>
          </cell>
          <cell r="AG18">
            <v>0</v>
          </cell>
          <cell r="AH18" t="str">
            <v/>
          </cell>
          <cell r="AI18">
            <v>0</v>
          </cell>
          <cell r="AJ18">
            <v>0</v>
          </cell>
          <cell r="AK18">
            <v>875.33550986877049</v>
          </cell>
          <cell r="AL18">
            <v>0.1487603305785124</v>
          </cell>
          <cell r="AM18">
            <v>0.18943410497530891</v>
          </cell>
          <cell r="AN18">
            <v>0.61538461538461542</v>
          </cell>
          <cell r="AO18">
            <v>358</v>
          </cell>
          <cell r="AQ18">
            <v>32404</v>
          </cell>
          <cell r="AR18" t="str">
            <v/>
          </cell>
          <cell r="AS18">
            <v>16731</v>
          </cell>
          <cell r="AU18">
            <v>28187</v>
          </cell>
          <cell r="AV18" t="str">
            <v/>
          </cell>
          <cell r="AW18">
            <v>24663</v>
          </cell>
          <cell r="AX18" t="str">
            <v/>
          </cell>
          <cell r="AY18" t="str">
            <v/>
          </cell>
          <cell r="AZ18">
            <v>15935</v>
          </cell>
          <cell r="BA18" t="str">
            <v/>
          </cell>
          <cell r="BB18">
            <v>329.32297802099998</v>
          </cell>
          <cell r="BC18">
            <v>11</v>
          </cell>
          <cell r="BD18">
            <v>1010.890512003</v>
          </cell>
          <cell r="BE18" t="str">
            <v/>
          </cell>
          <cell r="BF18">
            <v>1707.4190632060001</v>
          </cell>
          <cell r="BG18" t="str">
            <v/>
          </cell>
          <cell r="BH18">
            <v>544</v>
          </cell>
          <cell r="BI18">
            <v>544</v>
          </cell>
          <cell r="BJ18">
            <v>0</v>
          </cell>
        </row>
        <row r="19">
          <cell r="A19" t="str">
            <v>5A2</v>
          </cell>
          <cell r="B19" t="str">
            <v>Q01</v>
          </cell>
          <cell r="C19" t="str">
            <v/>
          </cell>
          <cell r="D19" t="str">
            <v/>
          </cell>
          <cell r="E19" t="str">
            <v/>
          </cell>
          <cell r="F19">
            <v>1</v>
          </cell>
          <cell r="G19">
            <v>1</v>
          </cell>
          <cell r="H19">
            <v>0</v>
          </cell>
          <cell r="J19">
            <v>0</v>
          </cell>
          <cell r="K19">
            <v>121.027300001</v>
          </cell>
          <cell r="L19">
            <v>117.318112345</v>
          </cell>
          <cell r="M19" t="str">
            <v/>
          </cell>
          <cell r="N19">
            <v>0</v>
          </cell>
          <cell r="Q19" t="str">
            <v/>
          </cell>
          <cell r="R19" t="str">
            <v/>
          </cell>
          <cell r="S19">
            <v>123</v>
          </cell>
          <cell r="X19">
            <v>1</v>
          </cell>
          <cell r="Y19">
            <v>0.95081967213114749</v>
          </cell>
          <cell r="Z19">
            <v>0.75</v>
          </cell>
          <cell r="AA19">
            <v>0</v>
          </cell>
          <cell r="AB19" t="str">
            <v/>
          </cell>
          <cell r="AD19">
            <v>84</v>
          </cell>
          <cell r="AE19">
            <v>186</v>
          </cell>
          <cell r="AF19">
            <v>0.84326097930338217</v>
          </cell>
          <cell r="AG19">
            <v>0</v>
          </cell>
          <cell r="AH19" t="str">
            <v/>
          </cell>
          <cell r="AI19">
            <v>6</v>
          </cell>
          <cell r="AJ19">
            <v>383</v>
          </cell>
          <cell r="AK19">
            <v>810.33100446684227</v>
          </cell>
          <cell r="AL19">
            <v>0.2</v>
          </cell>
          <cell r="AM19">
            <v>0.30480026545246741</v>
          </cell>
          <cell r="AN19">
            <v>0.30645161290322581</v>
          </cell>
          <cell r="AO19">
            <v>-1336</v>
          </cell>
          <cell r="AQ19">
            <v>19754</v>
          </cell>
          <cell r="AR19" t="str">
            <v/>
          </cell>
          <cell r="AS19">
            <v>7719</v>
          </cell>
          <cell r="AU19">
            <v>18895</v>
          </cell>
          <cell r="AV19" t="str">
            <v/>
          </cell>
          <cell r="AW19">
            <v>15577</v>
          </cell>
          <cell r="AX19" t="str">
            <v/>
          </cell>
          <cell r="AY19" t="str">
            <v/>
          </cell>
          <cell r="AZ19">
            <v>10991</v>
          </cell>
          <cell r="BA19" t="str">
            <v/>
          </cell>
          <cell r="BB19">
            <v>322.786544144</v>
          </cell>
          <cell r="BC19" t="str">
            <v/>
          </cell>
          <cell r="BD19">
            <v>343.29294848500001</v>
          </cell>
          <cell r="BE19" t="str">
            <v/>
          </cell>
          <cell r="BF19">
            <v>769.51410059199998</v>
          </cell>
          <cell r="BG19" t="str">
            <v/>
          </cell>
          <cell r="BH19">
            <v>95</v>
          </cell>
          <cell r="BI19">
            <v>95</v>
          </cell>
          <cell r="BJ19">
            <v>0</v>
          </cell>
        </row>
        <row r="20">
          <cell r="A20" t="str">
            <v>5A3</v>
          </cell>
          <cell r="B20" t="str">
            <v>Q20</v>
          </cell>
          <cell r="C20" t="str">
            <v/>
          </cell>
          <cell r="D20" t="str">
            <v/>
          </cell>
          <cell r="E20" t="str">
            <v/>
          </cell>
          <cell r="F20">
            <v>1</v>
          </cell>
          <cell r="G20">
            <v>1</v>
          </cell>
          <cell r="H20">
            <v>0</v>
          </cell>
          <cell r="J20">
            <v>0</v>
          </cell>
          <cell r="K20">
            <v>15.006</v>
          </cell>
          <cell r="L20">
            <v>972.46056125899997</v>
          </cell>
          <cell r="M20" t="str">
            <v/>
          </cell>
          <cell r="N20">
            <v>0</v>
          </cell>
          <cell r="Q20" t="str">
            <v/>
          </cell>
          <cell r="R20" t="str">
            <v/>
          </cell>
          <cell r="S20">
            <v>30</v>
          </cell>
          <cell r="X20">
            <v>1</v>
          </cell>
          <cell r="Y20">
            <v>1</v>
          </cell>
          <cell r="Z20">
            <v>0.97619047619047616</v>
          </cell>
          <cell r="AA20">
            <v>0</v>
          </cell>
          <cell r="AB20" t="str">
            <v/>
          </cell>
          <cell r="AD20">
            <v>0</v>
          </cell>
          <cell r="AE20">
            <v>111</v>
          </cell>
          <cell r="AF20">
            <v>0.14987455433777896</v>
          </cell>
          <cell r="AG20">
            <v>0</v>
          </cell>
          <cell r="AH20" t="str">
            <v/>
          </cell>
          <cell r="AI20">
            <v>7</v>
          </cell>
          <cell r="AJ20">
            <v>300</v>
          </cell>
          <cell r="AK20">
            <v>632.35338825890017</v>
          </cell>
          <cell r="AL20">
            <v>0.11784511784511785</v>
          </cell>
          <cell r="AM20">
            <v>0.32047130635444748</v>
          </cell>
          <cell r="AN20">
            <v>0.33333333333333331</v>
          </cell>
          <cell r="AO20">
            <v>145</v>
          </cell>
          <cell r="AQ20">
            <v>38621</v>
          </cell>
          <cell r="AR20" t="str">
            <v/>
          </cell>
          <cell r="AS20">
            <v>18018</v>
          </cell>
          <cell r="AU20">
            <v>33216</v>
          </cell>
          <cell r="AV20" t="str">
            <v/>
          </cell>
          <cell r="AW20">
            <v>28332</v>
          </cell>
          <cell r="AX20" t="str">
            <v/>
          </cell>
          <cell r="AY20" t="str">
            <v/>
          </cell>
          <cell r="AZ20">
            <v>19762</v>
          </cell>
          <cell r="BA20" t="str">
            <v/>
          </cell>
          <cell r="BB20">
            <v>553.09319999800005</v>
          </cell>
          <cell r="BC20">
            <v>19</v>
          </cell>
          <cell r="BD20">
            <v>1151.096999998</v>
          </cell>
          <cell r="BE20" t="str">
            <v/>
          </cell>
          <cell r="BF20">
            <v>1607.141499996</v>
          </cell>
          <cell r="BG20" t="str">
            <v/>
          </cell>
          <cell r="BH20">
            <v>170</v>
          </cell>
          <cell r="BI20">
            <v>210</v>
          </cell>
          <cell r="BJ20">
            <v>0</v>
          </cell>
        </row>
        <row r="21">
          <cell r="A21" t="str">
            <v>5A4</v>
          </cell>
          <cell r="B21" t="str">
            <v>Q06</v>
          </cell>
          <cell r="C21" t="str">
            <v/>
          </cell>
          <cell r="D21" t="str">
            <v/>
          </cell>
          <cell r="E21" t="str">
            <v/>
          </cell>
          <cell r="F21">
            <v>1</v>
          </cell>
          <cell r="G21">
            <v>1</v>
          </cell>
          <cell r="H21">
            <v>0</v>
          </cell>
          <cell r="J21">
            <v>0</v>
          </cell>
          <cell r="K21">
            <v>63.877800983999997</v>
          </cell>
          <cell r="L21">
            <v>1188.5428440319999</v>
          </cell>
          <cell r="M21" t="str">
            <v/>
          </cell>
          <cell r="N21">
            <v>0</v>
          </cell>
          <cell r="Q21" t="str">
            <v/>
          </cell>
          <cell r="R21">
            <v>1</v>
          </cell>
          <cell r="S21">
            <v>310</v>
          </cell>
          <cell r="X21">
            <v>1</v>
          </cell>
          <cell r="Y21">
            <v>1</v>
          </cell>
          <cell r="Z21">
            <v>0.93023255813953487</v>
          </cell>
          <cell r="AA21">
            <v>0</v>
          </cell>
          <cell r="AB21" t="str">
            <v/>
          </cell>
          <cell r="AD21">
            <v>29</v>
          </cell>
          <cell r="AE21">
            <v>318</v>
          </cell>
          <cell r="AF21">
            <v>0.3618984105813049</v>
          </cell>
          <cell r="AG21">
            <v>0</v>
          </cell>
          <cell r="AH21" t="str">
            <v/>
          </cell>
          <cell r="AI21">
            <v>9</v>
          </cell>
          <cell r="AJ21">
            <v>243</v>
          </cell>
          <cell r="AK21">
            <v>742.61249531039653</v>
          </cell>
          <cell r="AL21">
            <v>6.518282988871224E-2</v>
          </cell>
          <cell r="AM21">
            <v>0.31689826875869515</v>
          </cell>
          <cell r="AN21">
            <v>0.62962962962962965</v>
          </cell>
          <cell r="AO21">
            <v>69</v>
          </cell>
          <cell r="AQ21">
            <v>38946</v>
          </cell>
          <cell r="AR21" t="str">
            <v/>
          </cell>
          <cell r="AS21">
            <v>32275</v>
          </cell>
          <cell r="AU21">
            <v>34212</v>
          </cell>
          <cell r="AV21" t="str">
            <v/>
          </cell>
          <cell r="AW21">
            <v>25576</v>
          </cell>
          <cell r="AX21" t="str">
            <v/>
          </cell>
          <cell r="AY21" t="str">
            <v/>
          </cell>
          <cell r="AZ21">
            <v>22116</v>
          </cell>
          <cell r="BA21" t="str">
            <v/>
          </cell>
          <cell r="BB21">
            <v>1108.019957604</v>
          </cell>
          <cell r="BC21">
            <v>1</v>
          </cell>
          <cell r="BD21">
            <v>532.6894149499999</v>
          </cell>
          <cell r="BE21" t="str">
            <v/>
          </cell>
          <cell r="BF21">
            <v>2073.1989480279999</v>
          </cell>
          <cell r="BG21">
            <v>0.20699999999999999</v>
          </cell>
          <cell r="BH21">
            <v>83</v>
          </cell>
          <cell r="BI21">
            <v>0</v>
          </cell>
          <cell r="BJ21">
            <v>0</v>
          </cell>
        </row>
        <row r="22">
          <cell r="A22" t="str">
            <v>5A5</v>
          </cell>
          <cell r="B22" t="str">
            <v>Q08</v>
          </cell>
          <cell r="C22" t="str">
            <v/>
          </cell>
          <cell r="D22" t="str">
            <v/>
          </cell>
          <cell r="E22" t="str">
            <v/>
          </cell>
          <cell r="F22">
            <v>1</v>
          </cell>
          <cell r="G22">
            <v>1</v>
          </cell>
          <cell r="H22">
            <v>1</v>
          </cell>
          <cell r="J22">
            <v>0</v>
          </cell>
          <cell r="K22">
            <v>71.488199977000008</v>
          </cell>
          <cell r="L22">
            <v>327.75269987100006</v>
          </cell>
          <cell r="M22">
            <v>0</v>
          </cell>
          <cell r="N22">
            <v>0</v>
          </cell>
          <cell r="Q22" t="str">
            <v/>
          </cell>
          <cell r="R22" t="str">
            <v/>
          </cell>
          <cell r="S22">
            <v>146</v>
          </cell>
          <cell r="X22">
            <v>1</v>
          </cell>
          <cell r="Y22">
            <v>1</v>
          </cell>
          <cell r="Z22">
            <v>0.91666666666666663</v>
          </cell>
          <cell r="AA22">
            <v>0</v>
          </cell>
          <cell r="AB22" t="str">
            <v/>
          </cell>
          <cell r="AD22">
            <v>0</v>
          </cell>
          <cell r="AE22">
            <v>97</v>
          </cell>
          <cell r="AF22">
            <v>0.87285974499089258</v>
          </cell>
          <cell r="AG22">
            <v>0</v>
          </cell>
          <cell r="AH22" t="str">
            <v/>
          </cell>
          <cell r="AI22">
            <v>4</v>
          </cell>
          <cell r="AJ22">
            <v>90</v>
          </cell>
          <cell r="AK22">
            <v>521.2151482683895</v>
          </cell>
          <cell r="AL22">
            <v>7.2765072765072769E-2</v>
          </cell>
          <cell r="AM22">
            <v>0.24224092953734647</v>
          </cell>
          <cell r="AN22">
            <v>0.52238805970149249</v>
          </cell>
          <cell r="AO22">
            <v>-7916</v>
          </cell>
          <cell r="AQ22">
            <v>29645</v>
          </cell>
          <cell r="AR22" t="str">
            <v/>
          </cell>
          <cell r="AS22">
            <v>16347</v>
          </cell>
          <cell r="AU22">
            <v>25106</v>
          </cell>
          <cell r="AV22" t="str">
            <v/>
          </cell>
          <cell r="AW22">
            <v>16448</v>
          </cell>
          <cell r="AX22" t="str">
            <v/>
          </cell>
          <cell r="AY22" t="str">
            <v/>
          </cell>
          <cell r="AZ22">
            <v>11233</v>
          </cell>
          <cell r="BA22" t="str">
            <v/>
          </cell>
          <cell r="BB22">
            <v>280.73548677799999</v>
          </cell>
          <cell r="BC22" t="str">
            <v/>
          </cell>
          <cell r="BD22">
            <v>635.20050174999983</v>
          </cell>
          <cell r="BE22" t="str">
            <v/>
          </cell>
          <cell r="BF22">
            <v>993.50956420600005</v>
          </cell>
          <cell r="BG22" t="str">
            <v/>
          </cell>
          <cell r="BH22">
            <v>24</v>
          </cell>
          <cell r="BI22">
            <v>20</v>
          </cell>
          <cell r="BJ22">
            <v>9</v>
          </cell>
        </row>
        <row r="23">
          <cell r="A23" t="str">
            <v>5A7</v>
          </cell>
          <cell r="B23" t="str">
            <v>Q07</v>
          </cell>
          <cell r="C23" t="str">
            <v/>
          </cell>
          <cell r="D23" t="str">
            <v/>
          </cell>
          <cell r="E23" t="str">
            <v/>
          </cell>
          <cell r="F23">
            <v>1</v>
          </cell>
          <cell r="G23">
            <v>1</v>
          </cell>
          <cell r="H23">
            <v>0</v>
          </cell>
          <cell r="J23">
            <v>0</v>
          </cell>
          <cell r="K23">
            <v>17.999979015000001</v>
          </cell>
          <cell r="L23">
            <v>1355.9799764569998</v>
          </cell>
          <cell r="M23" t="str">
            <v/>
          </cell>
          <cell r="N23">
            <v>0</v>
          </cell>
          <cell r="Q23" t="str">
            <v/>
          </cell>
          <cell r="R23" t="str">
            <v/>
          </cell>
          <cell r="S23">
            <v>945</v>
          </cell>
          <cell r="X23">
            <v>0.98701298701298701</v>
          </cell>
          <cell r="Y23">
            <v>1</v>
          </cell>
          <cell r="Z23">
            <v>0.92</v>
          </cell>
          <cell r="AA23">
            <v>0</v>
          </cell>
          <cell r="AB23" t="str">
            <v/>
          </cell>
          <cell r="AD23">
            <v>0</v>
          </cell>
          <cell r="AE23">
            <v>560</v>
          </cell>
          <cell r="AF23">
            <v>0.95010001052742399</v>
          </cell>
          <cell r="AG23">
            <v>0</v>
          </cell>
          <cell r="AH23" t="str">
            <v/>
          </cell>
          <cell r="AI23">
            <v>4</v>
          </cell>
          <cell r="AJ23">
            <v>325</v>
          </cell>
          <cell r="AK23">
            <v>564.10384506502805</v>
          </cell>
          <cell r="AL23" t="str">
            <v/>
          </cell>
          <cell r="AM23">
            <v>0.39162202067074459</v>
          </cell>
          <cell r="AN23">
            <v>0.39506172839506171</v>
          </cell>
          <cell r="AO23">
            <v>35</v>
          </cell>
          <cell r="AQ23">
            <v>68336</v>
          </cell>
          <cell r="AR23" t="str">
            <v/>
          </cell>
          <cell r="AS23">
            <v>15896</v>
          </cell>
          <cell r="AU23">
            <v>56666</v>
          </cell>
          <cell r="AV23" t="str">
            <v/>
          </cell>
          <cell r="AW23">
            <v>36075</v>
          </cell>
          <cell r="AX23" t="str">
            <v/>
          </cell>
          <cell r="AY23" t="str">
            <v/>
          </cell>
          <cell r="AZ23">
            <v>24042</v>
          </cell>
          <cell r="BA23" t="str">
            <v/>
          </cell>
          <cell r="BB23">
            <v>128.79564573799999</v>
          </cell>
          <cell r="BC23" t="str">
            <v/>
          </cell>
          <cell r="BD23">
            <v>277.31563548700001</v>
          </cell>
          <cell r="BE23">
            <v>2.9999998999999999E-2</v>
          </cell>
          <cell r="BF23">
            <v>235.38586400099999</v>
          </cell>
          <cell r="BG23">
            <v>0.01</v>
          </cell>
          <cell r="BH23">
            <v>183</v>
          </cell>
          <cell r="BI23">
            <v>0</v>
          </cell>
          <cell r="BJ23">
            <v>0</v>
          </cell>
        </row>
        <row r="24">
          <cell r="A24" t="str">
            <v>5A8</v>
          </cell>
          <cell r="B24" t="str">
            <v>Q07</v>
          </cell>
          <cell r="C24" t="str">
            <v/>
          </cell>
          <cell r="D24" t="str">
            <v/>
          </cell>
          <cell r="E24" t="str">
            <v/>
          </cell>
          <cell r="F24">
            <v>1</v>
          </cell>
          <cell r="G24">
            <v>1</v>
          </cell>
          <cell r="H24">
            <v>0</v>
          </cell>
          <cell r="J24">
            <v>1</v>
          </cell>
          <cell r="K24">
            <v>32.069199919000006</v>
          </cell>
          <cell r="L24">
            <v>481.72420220900005</v>
          </cell>
          <cell r="M24" t="str">
            <v/>
          </cell>
          <cell r="N24">
            <v>0</v>
          </cell>
          <cell r="Q24" t="str">
            <v/>
          </cell>
          <cell r="R24" t="str">
            <v/>
          </cell>
          <cell r="S24">
            <v>675</v>
          </cell>
          <cell r="X24">
            <v>1</v>
          </cell>
          <cell r="Y24">
            <v>1</v>
          </cell>
          <cell r="Z24">
            <v>0.875</v>
          </cell>
          <cell r="AA24">
            <v>0</v>
          </cell>
          <cell r="AB24" t="str">
            <v/>
          </cell>
          <cell r="AD24">
            <v>0</v>
          </cell>
          <cell r="AE24">
            <v>219</v>
          </cell>
          <cell r="AF24">
            <v>0.74874371859296485</v>
          </cell>
          <cell r="AG24">
            <v>0</v>
          </cell>
          <cell r="AH24" t="str">
            <v/>
          </cell>
          <cell r="AI24">
            <v>4</v>
          </cell>
          <cell r="AJ24">
            <v>203</v>
          </cell>
          <cell r="AK24">
            <v>716.73800606384873</v>
          </cell>
          <cell r="AL24">
            <v>0.11543450064850844</v>
          </cell>
          <cell r="AM24">
            <v>0.2645901540864446</v>
          </cell>
          <cell r="AN24">
            <v>0.68354430379746833</v>
          </cell>
          <cell r="AO24">
            <v>223</v>
          </cell>
          <cell r="AQ24">
            <v>44064</v>
          </cell>
          <cell r="AR24" t="str">
            <v/>
          </cell>
          <cell r="AS24">
            <v>24676</v>
          </cell>
          <cell r="AU24">
            <v>31828</v>
          </cell>
          <cell r="AV24" t="str">
            <v/>
          </cell>
          <cell r="AW24">
            <v>27711</v>
          </cell>
          <cell r="AX24" t="str">
            <v/>
          </cell>
          <cell r="AY24" t="str">
            <v/>
          </cell>
          <cell r="AZ24">
            <v>20604</v>
          </cell>
          <cell r="BA24" t="str">
            <v/>
          </cell>
          <cell r="BB24">
            <v>320.74080021399999</v>
          </cell>
          <cell r="BC24" t="str">
            <v/>
          </cell>
          <cell r="BD24">
            <v>503.0828200929999</v>
          </cell>
          <cell r="BE24">
            <v>2.0699999930000001</v>
          </cell>
          <cell r="BF24">
            <v>1186.0293103679999</v>
          </cell>
          <cell r="BG24">
            <v>1.689999998</v>
          </cell>
          <cell r="BH24">
            <v>0</v>
          </cell>
          <cell r="BI24">
            <v>0</v>
          </cell>
          <cell r="BJ24">
            <v>0</v>
          </cell>
        </row>
        <row r="25">
          <cell r="A25" t="str">
            <v>5A9</v>
          </cell>
          <cell r="B25" t="str">
            <v>Q05</v>
          </cell>
          <cell r="C25" t="str">
            <v/>
          </cell>
          <cell r="D25" t="str">
            <v/>
          </cell>
          <cell r="E25">
            <v>0.99943611142438249</v>
          </cell>
          <cell r="F25">
            <v>1</v>
          </cell>
          <cell r="G25">
            <v>1</v>
          </cell>
          <cell r="H25">
            <v>1</v>
          </cell>
          <cell r="J25">
            <v>1</v>
          </cell>
          <cell r="K25">
            <v>166.33485296799998</v>
          </cell>
          <cell r="L25">
            <v>572.32664104600008</v>
          </cell>
          <cell r="M25" t="str">
            <v/>
          </cell>
          <cell r="N25">
            <v>0</v>
          </cell>
          <cell r="Q25" t="str">
            <v/>
          </cell>
          <cell r="R25" t="str">
            <v/>
          </cell>
          <cell r="S25">
            <v>116</v>
          </cell>
          <cell r="X25">
            <v>1</v>
          </cell>
          <cell r="Y25">
            <v>1</v>
          </cell>
          <cell r="Z25">
            <v>0.94444444444444442</v>
          </cell>
          <cell r="AA25">
            <v>0</v>
          </cell>
          <cell r="AB25" t="str">
            <v/>
          </cell>
          <cell r="AD25">
            <v>49</v>
          </cell>
          <cell r="AE25">
            <v>533</v>
          </cell>
          <cell r="AF25">
            <v>0.7342831844160026</v>
          </cell>
          <cell r="AG25">
            <v>0</v>
          </cell>
          <cell r="AH25" t="str">
            <v/>
          </cell>
          <cell r="AI25">
            <v>5</v>
          </cell>
          <cell r="AJ25">
            <v>70</v>
          </cell>
          <cell r="AK25">
            <v>638.81538502659498</v>
          </cell>
          <cell r="AL25">
            <v>0.14264036418816389</v>
          </cell>
          <cell r="AM25">
            <v>0.3540171344123757</v>
          </cell>
          <cell r="AN25">
            <v>0.55462184873949583</v>
          </cell>
          <cell r="AO25">
            <v>541</v>
          </cell>
          <cell r="AQ25">
            <v>69727</v>
          </cell>
          <cell r="AR25" t="str">
            <v/>
          </cell>
          <cell r="AS25">
            <v>22754</v>
          </cell>
          <cell r="AU25">
            <v>56615</v>
          </cell>
          <cell r="AV25" t="str">
            <v/>
          </cell>
          <cell r="AW25">
            <v>29504</v>
          </cell>
          <cell r="AX25" t="str">
            <v/>
          </cell>
          <cell r="AY25" t="str">
            <v/>
          </cell>
          <cell r="AZ25">
            <v>24856</v>
          </cell>
          <cell r="BA25" t="str">
            <v/>
          </cell>
          <cell r="BB25">
            <v>358.31987554599999</v>
          </cell>
          <cell r="BC25">
            <v>16.541067949999999</v>
          </cell>
          <cell r="BD25">
            <v>811.52571669499991</v>
          </cell>
          <cell r="BE25">
            <v>1.0800000430000001</v>
          </cell>
          <cell r="BF25">
            <v>1851.5574035050001</v>
          </cell>
          <cell r="BG25" t="str">
            <v/>
          </cell>
          <cell r="BH25">
            <v>161</v>
          </cell>
          <cell r="BI25">
            <v>69</v>
          </cell>
          <cell r="BJ25">
            <v>0</v>
          </cell>
        </row>
        <row r="26">
          <cell r="A26" t="str">
            <v>5AA</v>
          </cell>
          <cell r="B26" t="str">
            <v>Q14</v>
          </cell>
          <cell r="C26" t="str">
            <v/>
          </cell>
          <cell r="D26" t="str">
            <v/>
          </cell>
          <cell r="E26">
            <v>1</v>
          </cell>
          <cell r="F26">
            <v>1</v>
          </cell>
          <cell r="G26">
            <v>1</v>
          </cell>
          <cell r="H26">
            <v>0</v>
          </cell>
          <cell r="J26">
            <v>0</v>
          </cell>
          <cell r="K26">
            <v>63.710000782999998</v>
          </cell>
          <cell r="L26">
            <v>42</v>
          </cell>
          <cell r="M26" t="str">
            <v/>
          </cell>
          <cell r="N26">
            <v>1</v>
          </cell>
          <cell r="Q26" t="str">
            <v/>
          </cell>
          <cell r="R26" t="str">
            <v/>
          </cell>
          <cell r="S26">
            <v>398</v>
          </cell>
          <cell r="X26">
            <v>1</v>
          </cell>
          <cell r="Y26">
            <v>1</v>
          </cell>
          <cell r="Z26">
            <v>1</v>
          </cell>
          <cell r="AA26">
            <v>0</v>
          </cell>
          <cell r="AB26" t="str">
            <v/>
          </cell>
          <cell r="AD26">
            <v>0</v>
          </cell>
          <cell r="AE26">
            <v>0</v>
          </cell>
          <cell r="AF26">
            <v>0.84137383363112961</v>
          </cell>
          <cell r="AG26">
            <v>0</v>
          </cell>
          <cell r="AH26" t="str">
            <v/>
          </cell>
          <cell r="AI26">
            <v>3</v>
          </cell>
          <cell r="AJ26">
            <v>143</v>
          </cell>
          <cell r="AK26">
            <v>1108.5955187758607</v>
          </cell>
          <cell r="AL26">
            <v>0.27692307692307694</v>
          </cell>
          <cell r="AM26">
            <v>0.26309146112646264</v>
          </cell>
          <cell r="AN26">
            <v>0.24</v>
          </cell>
          <cell r="AO26">
            <v>3339</v>
          </cell>
          <cell r="AQ26">
            <v>36580</v>
          </cell>
          <cell r="AR26" t="str">
            <v/>
          </cell>
          <cell r="AS26">
            <v>21143</v>
          </cell>
          <cell r="AU26">
            <v>24746</v>
          </cell>
          <cell r="AV26" t="str">
            <v/>
          </cell>
          <cell r="AW26">
            <v>16407</v>
          </cell>
          <cell r="AX26" t="str">
            <v/>
          </cell>
          <cell r="AY26" t="str">
            <v/>
          </cell>
          <cell r="AZ26">
            <v>16196</v>
          </cell>
          <cell r="BA26" t="str">
            <v/>
          </cell>
          <cell r="BB26">
            <v>243.1900053</v>
          </cell>
          <cell r="BC26">
            <v>55.360000729999996</v>
          </cell>
          <cell r="BD26">
            <v>522.5100109</v>
          </cell>
          <cell r="BE26">
            <v>4.5900001819999998</v>
          </cell>
          <cell r="BF26">
            <v>554.92001389999996</v>
          </cell>
          <cell r="BG26" t="str">
            <v/>
          </cell>
          <cell r="BH26">
            <v>70</v>
          </cell>
          <cell r="BI26">
            <v>29</v>
          </cell>
          <cell r="BJ26">
            <v>22</v>
          </cell>
        </row>
        <row r="27">
          <cell r="A27" t="str">
            <v>5AC</v>
          </cell>
          <cell r="B27" t="str">
            <v>Q25</v>
          </cell>
          <cell r="C27" t="str">
            <v/>
          </cell>
          <cell r="D27" t="str">
            <v/>
          </cell>
          <cell r="E27" t="str">
            <v/>
          </cell>
          <cell r="F27">
            <v>1</v>
          </cell>
          <cell r="G27">
            <v>1</v>
          </cell>
          <cell r="H27">
            <v>0</v>
          </cell>
          <cell r="J27">
            <v>1</v>
          </cell>
          <cell r="K27">
            <v>11.051999782999999</v>
          </cell>
          <cell r="L27">
            <v>424.56339209599992</v>
          </cell>
          <cell r="M27" t="str">
            <v/>
          </cell>
          <cell r="N27">
            <v>0</v>
          </cell>
          <cell r="Q27" t="str">
            <v/>
          </cell>
          <cell r="R27">
            <v>0</v>
          </cell>
          <cell r="S27">
            <v>145</v>
          </cell>
          <cell r="X27">
            <v>1</v>
          </cell>
          <cell r="Y27">
            <v>1</v>
          </cell>
          <cell r="Z27">
            <v>1</v>
          </cell>
          <cell r="AA27">
            <v>0</v>
          </cell>
          <cell r="AB27" t="str">
            <v/>
          </cell>
          <cell r="AD27">
            <v>16</v>
          </cell>
          <cell r="AE27">
            <v>86</v>
          </cell>
          <cell r="AF27">
            <v>0.86291000841042897</v>
          </cell>
          <cell r="AG27">
            <v>0</v>
          </cell>
          <cell r="AH27" t="str">
            <v/>
          </cell>
          <cell r="AI27">
            <v>2</v>
          </cell>
          <cell r="AJ27">
            <v>55</v>
          </cell>
          <cell r="AK27">
            <v>620.03464548115403</v>
          </cell>
          <cell r="AL27">
            <v>0.13438735177865613</v>
          </cell>
          <cell r="AM27">
            <v>0.33499773036768044</v>
          </cell>
          <cell r="AN27">
            <v>0.2</v>
          </cell>
          <cell r="AO27">
            <v>-4595</v>
          </cell>
          <cell r="AQ27">
            <v>15836</v>
          </cell>
          <cell r="AR27" t="str">
            <v/>
          </cell>
          <cell r="AS27">
            <v>4876</v>
          </cell>
          <cell r="AU27">
            <v>11271</v>
          </cell>
          <cell r="AV27" t="str">
            <v/>
          </cell>
          <cell r="AW27">
            <v>12142</v>
          </cell>
          <cell r="AX27" t="str">
            <v/>
          </cell>
          <cell r="AY27" t="str">
            <v/>
          </cell>
          <cell r="AZ27">
            <v>7090</v>
          </cell>
          <cell r="BA27" t="str">
            <v/>
          </cell>
          <cell r="BB27">
            <v>156.389195761</v>
          </cell>
          <cell r="BC27" t="str">
            <v/>
          </cell>
          <cell r="BD27">
            <v>265.04239245300005</v>
          </cell>
          <cell r="BE27" t="str">
            <v/>
          </cell>
          <cell r="BF27">
            <v>463.41338688299999</v>
          </cell>
          <cell r="BG27" t="str">
            <v/>
          </cell>
          <cell r="BH27">
            <v>354</v>
          </cell>
          <cell r="BI27">
            <v>286</v>
          </cell>
          <cell r="BJ27">
            <v>11</v>
          </cell>
        </row>
        <row r="28">
          <cell r="A28" t="str">
            <v>5AF</v>
          </cell>
          <cell r="B28" t="str">
            <v>Q01</v>
          </cell>
          <cell r="C28" t="str">
            <v/>
          </cell>
          <cell r="D28" t="str">
            <v/>
          </cell>
          <cell r="E28">
            <v>1</v>
          </cell>
          <cell r="F28">
            <v>1</v>
          </cell>
          <cell r="G28">
            <v>1</v>
          </cell>
          <cell r="H28">
            <v>0</v>
          </cell>
          <cell r="J28">
            <v>0</v>
          </cell>
          <cell r="K28">
            <v>6.0202000000000009</v>
          </cell>
          <cell r="L28">
            <v>56.199431996000001</v>
          </cell>
          <cell r="M28" t="str">
            <v/>
          </cell>
          <cell r="N28">
            <v>0</v>
          </cell>
          <cell r="Q28" t="str">
            <v/>
          </cell>
          <cell r="R28" t="str">
            <v/>
          </cell>
          <cell r="S28">
            <v>26</v>
          </cell>
          <cell r="X28">
            <v>1</v>
          </cell>
          <cell r="Y28">
            <v>1</v>
          </cell>
          <cell r="Z28">
            <v>1</v>
          </cell>
          <cell r="AA28">
            <v>0</v>
          </cell>
          <cell r="AB28" t="str">
            <v/>
          </cell>
          <cell r="AD28">
            <v>0</v>
          </cell>
          <cell r="AE28">
            <v>315</v>
          </cell>
          <cell r="AF28">
            <v>0.97505376344086025</v>
          </cell>
          <cell r="AG28">
            <v>0</v>
          </cell>
          <cell r="AH28" t="str">
            <v/>
          </cell>
          <cell r="AI28">
            <v>2.6</v>
          </cell>
          <cell r="AJ28">
            <v>103</v>
          </cell>
          <cell r="AK28">
            <v>698.41859971054134</v>
          </cell>
          <cell r="AL28">
            <v>0.19047619047619047</v>
          </cell>
          <cell r="AM28">
            <v>0.34276175885486931</v>
          </cell>
          <cell r="AN28">
            <v>0.5625</v>
          </cell>
          <cell r="AO28">
            <v>3558</v>
          </cell>
          <cell r="AQ28">
            <v>21283</v>
          </cell>
          <cell r="AR28" t="str">
            <v/>
          </cell>
          <cell r="AS28">
            <v>10485</v>
          </cell>
          <cell r="AU28">
            <v>17347</v>
          </cell>
          <cell r="AV28" t="str">
            <v/>
          </cell>
          <cell r="AW28">
            <v>10763</v>
          </cell>
          <cell r="AX28" t="str">
            <v/>
          </cell>
          <cell r="AY28" t="str">
            <v/>
          </cell>
          <cell r="AZ28">
            <v>9538</v>
          </cell>
          <cell r="BA28" t="str">
            <v/>
          </cell>
          <cell r="BB28">
            <v>194.09084417399998</v>
          </cell>
          <cell r="BC28" t="str">
            <v/>
          </cell>
          <cell r="BD28">
            <v>338.72031080199997</v>
          </cell>
          <cell r="BE28" t="str">
            <v/>
          </cell>
          <cell r="BF28">
            <v>400.69467463299998</v>
          </cell>
          <cell r="BG28" t="str">
            <v/>
          </cell>
          <cell r="BH28">
            <v>5</v>
          </cell>
          <cell r="BI28">
            <v>5</v>
          </cell>
          <cell r="BJ28">
            <v>0</v>
          </cell>
        </row>
        <row r="29">
          <cell r="A29" t="str">
            <v>5AG</v>
          </cell>
          <cell r="B29" t="str">
            <v>Q01</v>
          </cell>
          <cell r="C29" t="str">
            <v/>
          </cell>
          <cell r="D29" t="str">
            <v/>
          </cell>
          <cell r="E29" t="str">
            <v/>
          </cell>
          <cell r="F29">
            <v>1</v>
          </cell>
          <cell r="G29">
            <v>1</v>
          </cell>
          <cell r="H29">
            <v>0</v>
          </cell>
          <cell r="J29">
            <v>1</v>
          </cell>
          <cell r="K29">
            <v>9.0060000000000002</v>
          </cell>
          <cell r="L29">
            <v>45.586490753999996</v>
          </cell>
          <cell r="M29" t="str">
            <v/>
          </cell>
          <cell r="N29">
            <v>0</v>
          </cell>
          <cell r="Q29" t="str">
            <v/>
          </cell>
          <cell r="R29" t="str">
            <v/>
          </cell>
          <cell r="S29">
            <v>13</v>
          </cell>
          <cell r="X29">
            <v>1</v>
          </cell>
          <cell r="Y29">
            <v>1</v>
          </cell>
          <cell r="Z29">
            <v>1</v>
          </cell>
          <cell r="AA29">
            <v>0</v>
          </cell>
          <cell r="AB29" t="str">
            <v/>
          </cell>
          <cell r="AD29">
            <v>0</v>
          </cell>
          <cell r="AE29">
            <v>217</v>
          </cell>
          <cell r="AF29">
            <v>0.97651006711409394</v>
          </cell>
          <cell r="AG29">
            <v>0</v>
          </cell>
          <cell r="AH29" t="str">
            <v/>
          </cell>
          <cell r="AI29">
            <v>1.8</v>
          </cell>
          <cell r="AJ29">
            <v>76</v>
          </cell>
          <cell r="AK29">
            <v>575.36180727144369</v>
          </cell>
          <cell r="AL29">
            <v>0.15686274509803921</v>
          </cell>
          <cell r="AM29">
            <v>0.30793010400565873</v>
          </cell>
          <cell r="AN29">
            <v>0.41176470588235292</v>
          </cell>
          <cell r="AO29">
            <v>69</v>
          </cell>
          <cell r="AQ29">
            <v>18099</v>
          </cell>
          <cell r="AR29" t="str">
            <v/>
          </cell>
          <cell r="AS29">
            <v>8227</v>
          </cell>
          <cell r="AU29">
            <v>14586</v>
          </cell>
          <cell r="AV29" t="str">
            <v/>
          </cell>
          <cell r="AW29">
            <v>9836</v>
          </cell>
          <cell r="AX29" t="str">
            <v/>
          </cell>
          <cell r="AY29" t="str">
            <v/>
          </cell>
          <cell r="AZ29">
            <v>7046</v>
          </cell>
          <cell r="BA29" t="str">
            <v/>
          </cell>
          <cell r="BB29">
            <v>135.97643354100001</v>
          </cell>
          <cell r="BC29" t="str">
            <v/>
          </cell>
          <cell r="BD29">
            <v>329.26575197400001</v>
          </cell>
          <cell r="BE29" t="str">
            <v/>
          </cell>
          <cell r="BF29">
            <v>345.69685079300001</v>
          </cell>
          <cell r="BG29" t="str">
            <v/>
          </cell>
          <cell r="BH29">
            <v>14</v>
          </cell>
          <cell r="BI29">
            <v>15</v>
          </cell>
          <cell r="BJ29">
            <v>0</v>
          </cell>
        </row>
        <row r="30">
          <cell r="A30" t="str">
            <v>5AH</v>
          </cell>
          <cell r="B30" t="str">
            <v>Q03</v>
          </cell>
          <cell r="C30" t="str">
            <v/>
          </cell>
          <cell r="D30" t="str">
            <v/>
          </cell>
          <cell r="E30" t="str">
            <v/>
          </cell>
          <cell r="F30">
            <v>1</v>
          </cell>
          <cell r="G30">
            <v>1</v>
          </cell>
          <cell r="H30">
            <v>0</v>
          </cell>
          <cell r="J30">
            <v>0</v>
          </cell>
          <cell r="K30">
            <v>6.3591999860000001</v>
          </cell>
          <cell r="L30">
            <v>225.07806381699999</v>
          </cell>
          <cell r="M30" t="str">
            <v/>
          </cell>
          <cell r="N30">
            <v>0</v>
          </cell>
          <cell r="Q30" t="str">
            <v/>
          </cell>
          <cell r="R30" t="str">
            <v/>
          </cell>
          <cell r="S30">
            <v>25</v>
          </cell>
          <cell r="X30">
            <v>1</v>
          </cell>
          <cell r="Y30">
            <v>1</v>
          </cell>
          <cell r="Z30">
            <v>0.95652173913043481</v>
          </cell>
          <cell r="AA30">
            <v>0</v>
          </cell>
          <cell r="AB30">
            <v>0.78846153846153844</v>
          </cell>
          <cell r="AD30">
            <v>12</v>
          </cell>
          <cell r="AE30">
            <v>286</v>
          </cell>
          <cell r="AF30">
            <v>0.99297204435420894</v>
          </cell>
          <cell r="AG30">
            <v>0</v>
          </cell>
          <cell r="AH30" t="str">
            <v/>
          </cell>
          <cell r="AI30">
            <v>3</v>
          </cell>
          <cell r="AJ30">
            <v>123</v>
          </cell>
          <cell r="AK30">
            <v>1019.8423013603674</v>
          </cell>
          <cell r="AL30">
            <v>0.23333333333333334</v>
          </cell>
          <cell r="AM30">
            <v>0.27582213750627682</v>
          </cell>
          <cell r="AN30">
            <v>0.5714285714285714</v>
          </cell>
          <cell r="AO30">
            <v>149</v>
          </cell>
          <cell r="AQ30">
            <v>24457</v>
          </cell>
          <cell r="AR30" t="str">
            <v/>
          </cell>
          <cell r="AS30">
            <v>11406</v>
          </cell>
          <cell r="AU30">
            <v>21881</v>
          </cell>
          <cell r="AV30" t="str">
            <v/>
          </cell>
          <cell r="AW30">
            <v>14253</v>
          </cell>
          <cell r="AX30" t="str">
            <v/>
          </cell>
          <cell r="AY30" t="str">
            <v/>
          </cell>
          <cell r="AZ30">
            <v>13209</v>
          </cell>
          <cell r="BA30" t="str">
            <v/>
          </cell>
          <cell r="BB30">
            <v>333.74528295900001</v>
          </cell>
          <cell r="BC30" t="str">
            <v/>
          </cell>
          <cell r="BD30">
            <v>491.43251484699999</v>
          </cell>
          <cell r="BE30" t="str">
            <v/>
          </cell>
          <cell r="BF30">
            <v>864.40376614099989</v>
          </cell>
          <cell r="BG30">
            <v>8.0999997000000004E-2</v>
          </cell>
          <cell r="BH30">
            <v>71</v>
          </cell>
          <cell r="BI30">
            <v>94</v>
          </cell>
          <cell r="BJ30">
            <v>0</v>
          </cell>
        </row>
        <row r="31">
          <cell r="A31" t="str">
            <v>5AJ</v>
          </cell>
          <cell r="B31" t="str">
            <v>Q03</v>
          </cell>
          <cell r="C31" t="str">
            <v/>
          </cell>
          <cell r="D31" t="str">
            <v/>
          </cell>
          <cell r="E31" t="str">
            <v/>
          </cell>
          <cell r="F31">
            <v>1</v>
          </cell>
          <cell r="G31">
            <v>1</v>
          </cell>
          <cell r="H31">
            <v>0</v>
          </cell>
          <cell r="J31">
            <v>0</v>
          </cell>
          <cell r="K31">
            <v>9.6532000629999999</v>
          </cell>
          <cell r="L31">
            <v>229.10479190600003</v>
          </cell>
          <cell r="M31" t="str">
            <v/>
          </cell>
          <cell r="N31">
            <v>0</v>
          </cell>
          <cell r="Q31" t="str">
            <v/>
          </cell>
          <cell r="R31" t="str">
            <v/>
          </cell>
          <cell r="S31">
            <v>1</v>
          </cell>
          <cell r="X31">
            <v>1</v>
          </cell>
          <cell r="Y31">
            <v>1</v>
          </cell>
          <cell r="Z31">
            <v>1</v>
          </cell>
          <cell r="AA31">
            <v>0</v>
          </cell>
          <cell r="AB31" t="str">
            <v/>
          </cell>
          <cell r="AD31">
            <v>12</v>
          </cell>
          <cell r="AE31">
            <v>196</v>
          </cell>
          <cell r="AF31">
            <v>0.80183727034120733</v>
          </cell>
          <cell r="AG31">
            <v>0</v>
          </cell>
          <cell r="AH31" t="str">
            <v/>
          </cell>
          <cell r="AI31">
            <v>4</v>
          </cell>
          <cell r="AJ31">
            <v>105</v>
          </cell>
          <cell r="AK31">
            <v>683.32462529837824</v>
          </cell>
          <cell r="AL31">
            <v>0.16165413533834586</v>
          </cell>
          <cell r="AM31">
            <v>0.27960826826802443</v>
          </cell>
          <cell r="AN31">
            <v>0.6470588235294118</v>
          </cell>
          <cell r="AO31">
            <v>2702</v>
          </cell>
          <cell r="AQ31">
            <v>20512</v>
          </cell>
          <cell r="AR31" t="str">
            <v/>
          </cell>
          <cell r="AS31">
            <v>10044</v>
          </cell>
          <cell r="AU31">
            <v>15053</v>
          </cell>
          <cell r="AV31" t="str">
            <v/>
          </cell>
          <cell r="AW31">
            <v>13113</v>
          </cell>
          <cell r="AX31" t="str">
            <v/>
          </cell>
          <cell r="AY31" t="str">
            <v/>
          </cell>
          <cell r="AZ31">
            <v>8769</v>
          </cell>
          <cell r="BA31" t="str">
            <v/>
          </cell>
          <cell r="BB31">
            <v>171.15828197600001</v>
          </cell>
          <cell r="BC31" t="str">
            <v/>
          </cell>
          <cell r="BD31">
            <v>272.04899867199998</v>
          </cell>
          <cell r="BE31" t="str">
            <v/>
          </cell>
          <cell r="BF31">
            <v>455.06643308499997</v>
          </cell>
          <cell r="BG31">
            <v>106.063000002</v>
          </cell>
          <cell r="BH31">
            <v>125</v>
          </cell>
          <cell r="BI31">
            <v>120</v>
          </cell>
          <cell r="BJ31">
            <v>0</v>
          </cell>
        </row>
        <row r="32">
          <cell r="A32" t="str">
            <v>5AK</v>
          </cell>
          <cell r="B32" t="str">
            <v>Q03</v>
          </cell>
          <cell r="C32" t="str">
            <v/>
          </cell>
          <cell r="D32" t="str">
            <v/>
          </cell>
          <cell r="E32" t="str">
            <v/>
          </cell>
          <cell r="F32">
            <v>1</v>
          </cell>
          <cell r="G32">
            <v>1</v>
          </cell>
          <cell r="H32">
            <v>0</v>
          </cell>
          <cell r="J32">
            <v>1</v>
          </cell>
          <cell r="K32">
            <v>84.356600017000005</v>
          </cell>
          <cell r="L32">
            <v>297.00710013299999</v>
          </cell>
          <cell r="M32" t="str">
            <v/>
          </cell>
          <cell r="N32">
            <v>0</v>
          </cell>
          <cell r="Q32" t="str">
            <v/>
          </cell>
          <cell r="R32" t="str">
            <v/>
          </cell>
          <cell r="S32">
            <v>90</v>
          </cell>
          <cell r="X32">
            <v>1</v>
          </cell>
          <cell r="Y32">
            <v>0.98648648648648651</v>
          </cell>
          <cell r="Z32">
            <v>0.86956521739130432</v>
          </cell>
          <cell r="AA32">
            <v>0</v>
          </cell>
          <cell r="AB32" t="str">
            <v/>
          </cell>
          <cell r="AD32">
            <v>25</v>
          </cell>
          <cell r="AE32">
            <v>500</v>
          </cell>
          <cell r="AF32">
            <v>0.82763361402302804</v>
          </cell>
          <cell r="AG32">
            <v>0</v>
          </cell>
          <cell r="AH32" t="str">
            <v/>
          </cell>
          <cell r="AI32">
            <v>3</v>
          </cell>
          <cell r="AJ32">
            <v>158</v>
          </cell>
          <cell r="AK32">
            <v>908.9208319042126</v>
          </cell>
          <cell r="AL32">
            <v>0.19556451612903225</v>
          </cell>
          <cell r="AM32">
            <v>0.2320090788495012</v>
          </cell>
          <cell r="AN32">
            <v>0.36956521739130432</v>
          </cell>
          <cell r="AO32">
            <v>3977</v>
          </cell>
          <cell r="AQ32">
            <v>39580</v>
          </cell>
          <cell r="AR32" t="str">
            <v/>
          </cell>
          <cell r="AS32">
            <v>17172</v>
          </cell>
          <cell r="AU32">
            <v>31020</v>
          </cell>
          <cell r="AV32" t="str">
            <v/>
          </cell>
          <cell r="AW32">
            <v>20683</v>
          </cell>
          <cell r="AX32" t="str">
            <v/>
          </cell>
          <cell r="AY32" t="str">
            <v/>
          </cell>
          <cell r="AZ32">
            <v>14140</v>
          </cell>
          <cell r="BA32" t="str">
            <v/>
          </cell>
          <cell r="BB32">
            <v>330.15902041499999</v>
          </cell>
          <cell r="BC32">
            <v>37</v>
          </cell>
          <cell r="BD32">
            <v>544.12789869000005</v>
          </cell>
          <cell r="BE32">
            <v>35.369999813</v>
          </cell>
          <cell r="BF32">
            <v>1420.0567797799999</v>
          </cell>
          <cell r="BG32">
            <v>0.13200000200000001</v>
          </cell>
          <cell r="BH32">
            <v>107</v>
          </cell>
          <cell r="BI32">
            <v>107</v>
          </cell>
          <cell r="BJ32">
            <v>0</v>
          </cell>
        </row>
        <row r="33">
          <cell r="A33" t="str">
            <v>5AL</v>
          </cell>
          <cell r="B33" t="str">
            <v>Q24</v>
          </cell>
          <cell r="C33" t="str">
            <v/>
          </cell>
          <cell r="D33" t="str">
            <v/>
          </cell>
          <cell r="E33" t="str">
            <v/>
          </cell>
          <cell r="F33">
            <v>1</v>
          </cell>
          <cell r="G33">
            <v>1</v>
          </cell>
          <cell r="H33">
            <v>0</v>
          </cell>
          <cell r="J33">
            <v>0</v>
          </cell>
          <cell r="K33">
            <v>6.2250001140000002</v>
          </cell>
          <cell r="L33">
            <v>83.650700305000001</v>
          </cell>
          <cell r="M33" t="str">
            <v/>
          </cell>
          <cell r="N33">
            <v>0</v>
          </cell>
          <cell r="Q33" t="str">
            <v/>
          </cell>
          <cell r="R33" t="str">
            <v/>
          </cell>
          <cell r="S33">
            <v>51</v>
          </cell>
          <cell r="X33">
            <v>1</v>
          </cell>
          <cell r="Y33">
            <v>1</v>
          </cell>
          <cell r="Z33">
            <v>0.9375</v>
          </cell>
          <cell r="AA33">
            <v>0</v>
          </cell>
          <cell r="AB33" t="str">
            <v/>
          </cell>
          <cell r="AD33">
            <v>27</v>
          </cell>
          <cell r="AE33">
            <v>142</v>
          </cell>
          <cell r="AF33">
            <v>0.89645913743916761</v>
          </cell>
          <cell r="AG33">
            <v>0</v>
          </cell>
          <cell r="AH33" t="str">
            <v/>
          </cell>
          <cell r="AI33">
            <v>4.5</v>
          </cell>
          <cell r="AJ33">
            <v>83</v>
          </cell>
          <cell r="AK33">
            <v>1795.9417443953525</v>
          </cell>
          <cell r="AL33">
            <v>0.15584415584415584</v>
          </cell>
          <cell r="AM33">
            <v>0.25266373514861951</v>
          </cell>
          <cell r="AN33">
            <v>0.25</v>
          </cell>
          <cell r="AO33">
            <v>1169</v>
          </cell>
          <cell r="AQ33">
            <v>23357.599999999999</v>
          </cell>
          <cell r="AR33" t="str">
            <v/>
          </cell>
          <cell r="AS33">
            <v>10830</v>
          </cell>
          <cell r="AU33">
            <v>19579.099999999999</v>
          </cell>
          <cell r="AV33" t="str">
            <v/>
          </cell>
          <cell r="AW33">
            <v>15495</v>
          </cell>
          <cell r="AX33" t="str">
            <v/>
          </cell>
          <cell r="AY33" t="str">
            <v/>
          </cell>
          <cell r="AZ33">
            <v>12168.6</v>
          </cell>
          <cell r="BA33" t="str">
            <v/>
          </cell>
          <cell r="BB33">
            <v>260.71900562799999</v>
          </cell>
          <cell r="BC33">
            <v>1</v>
          </cell>
          <cell r="BD33">
            <v>443.03300959300003</v>
          </cell>
          <cell r="BE33" t="str">
            <v/>
          </cell>
          <cell r="BF33">
            <v>1047.5030222820001</v>
          </cell>
          <cell r="BG33" t="str">
            <v/>
          </cell>
          <cell r="BH33">
            <v>279</v>
          </cell>
          <cell r="BI33">
            <v>172</v>
          </cell>
          <cell r="BJ33">
            <v>107</v>
          </cell>
        </row>
        <row r="34">
          <cell r="A34" t="str">
            <v>5AM</v>
          </cell>
          <cell r="B34" t="str">
            <v>Q24</v>
          </cell>
          <cell r="C34" t="str">
            <v/>
          </cell>
          <cell r="D34" t="str">
            <v/>
          </cell>
          <cell r="E34" t="str">
            <v/>
          </cell>
          <cell r="F34">
            <v>1</v>
          </cell>
          <cell r="G34">
            <v>1</v>
          </cell>
          <cell r="H34">
            <v>0</v>
          </cell>
          <cell r="J34">
            <v>0</v>
          </cell>
          <cell r="K34">
            <v>0.51709998899999998</v>
          </cell>
          <cell r="L34">
            <v>87.447499764</v>
          </cell>
          <cell r="M34" t="str">
            <v/>
          </cell>
          <cell r="N34">
            <v>0</v>
          </cell>
          <cell r="Q34" t="str">
            <v/>
          </cell>
          <cell r="R34">
            <v>1</v>
          </cell>
          <cell r="S34">
            <v>607</v>
          </cell>
          <cell r="X34">
            <v>1</v>
          </cell>
          <cell r="Y34">
            <v>1</v>
          </cell>
          <cell r="Z34">
            <v>1</v>
          </cell>
          <cell r="AA34">
            <v>0</v>
          </cell>
          <cell r="AB34" t="str">
            <v/>
          </cell>
          <cell r="AD34">
            <v>21</v>
          </cell>
          <cell r="AE34">
            <v>167</v>
          </cell>
          <cell r="AF34">
            <v>0.87848235606261604</v>
          </cell>
          <cell r="AG34">
            <v>0</v>
          </cell>
          <cell r="AH34" t="str">
            <v/>
          </cell>
          <cell r="AI34">
            <v>2</v>
          </cell>
          <cell r="AJ34">
            <v>76</v>
          </cell>
          <cell r="AK34">
            <v>989.63776236102899</v>
          </cell>
          <cell r="AL34">
            <v>0.24444444444444444</v>
          </cell>
          <cell r="AM34">
            <v>0.40532366263402325</v>
          </cell>
          <cell r="AN34">
            <v>0.30769230769230771</v>
          </cell>
          <cell r="AO34">
            <v>305</v>
          </cell>
          <cell r="AQ34">
            <v>20164</v>
          </cell>
          <cell r="AR34" t="str">
            <v/>
          </cell>
          <cell r="AS34">
            <v>11076</v>
          </cell>
          <cell r="AU34">
            <v>15454</v>
          </cell>
          <cell r="AV34" t="str">
            <v/>
          </cell>
          <cell r="AW34">
            <v>13486</v>
          </cell>
          <cell r="AX34" t="str">
            <v/>
          </cell>
          <cell r="AY34" t="str">
            <v/>
          </cell>
          <cell r="AZ34">
            <v>11739.2</v>
          </cell>
          <cell r="BA34" t="str">
            <v/>
          </cell>
          <cell r="BB34">
            <v>134.71779966</v>
          </cell>
          <cell r="BC34" t="str">
            <v/>
          </cell>
          <cell r="BD34">
            <v>203.21779935199999</v>
          </cell>
          <cell r="BE34" t="str">
            <v/>
          </cell>
          <cell r="BF34">
            <v>561.54129857199996</v>
          </cell>
          <cell r="BG34" t="str">
            <v/>
          </cell>
          <cell r="BH34">
            <v>48</v>
          </cell>
          <cell r="BI34">
            <v>36</v>
          </cell>
          <cell r="BJ34">
            <v>12</v>
          </cell>
        </row>
        <row r="35">
          <cell r="A35" t="str">
            <v>5AN</v>
          </cell>
          <cell r="B35" t="str">
            <v>Q11</v>
          </cell>
          <cell r="C35" t="str">
            <v/>
          </cell>
          <cell r="D35" t="str">
            <v/>
          </cell>
          <cell r="E35" t="str">
            <v/>
          </cell>
          <cell r="F35">
            <v>1</v>
          </cell>
          <cell r="G35">
            <v>1</v>
          </cell>
          <cell r="H35">
            <v>0</v>
          </cell>
          <cell r="J35">
            <v>1</v>
          </cell>
          <cell r="K35">
            <v>18.016099999999998</v>
          </cell>
          <cell r="L35">
            <v>213.12129999800001</v>
          </cell>
          <cell r="M35" t="str">
            <v/>
          </cell>
          <cell r="N35">
            <v>0</v>
          </cell>
          <cell r="Q35" t="str">
            <v/>
          </cell>
          <cell r="R35" t="str">
            <v/>
          </cell>
          <cell r="S35">
            <v>517</v>
          </cell>
          <cell r="X35">
            <v>1</v>
          </cell>
          <cell r="Y35">
            <v>1</v>
          </cell>
          <cell r="Z35">
            <v>0.95</v>
          </cell>
          <cell r="AA35">
            <v>0</v>
          </cell>
          <cell r="AB35" t="str">
            <v/>
          </cell>
          <cell r="AD35">
            <v>4</v>
          </cell>
          <cell r="AE35">
            <v>254</v>
          </cell>
          <cell r="AF35">
            <v>0.42113029364025378</v>
          </cell>
          <cell r="AG35">
            <v>0</v>
          </cell>
          <cell r="AH35" t="str">
            <v/>
          </cell>
          <cell r="AI35">
            <v>6</v>
          </cell>
          <cell r="AJ35">
            <v>100</v>
          </cell>
          <cell r="AK35">
            <v>602.50061601316281</v>
          </cell>
          <cell r="AL35">
            <v>0.34368530020703936</v>
          </cell>
          <cell r="AM35">
            <v>0.22702555313181677</v>
          </cell>
          <cell r="AN35">
            <v>0.65714285714285714</v>
          </cell>
          <cell r="AO35">
            <v>0</v>
          </cell>
          <cell r="AQ35">
            <v>26651</v>
          </cell>
          <cell r="AR35" t="str">
            <v/>
          </cell>
          <cell r="AS35">
            <v>17001</v>
          </cell>
          <cell r="AU35">
            <v>24326</v>
          </cell>
          <cell r="AV35" t="str">
            <v/>
          </cell>
          <cell r="AW35">
            <v>23404</v>
          </cell>
          <cell r="AX35" t="str">
            <v/>
          </cell>
          <cell r="AY35" t="str">
            <v/>
          </cell>
          <cell r="AZ35">
            <v>14029</v>
          </cell>
          <cell r="BA35" t="str">
            <v/>
          </cell>
          <cell r="BB35">
            <v>327.29819999300003</v>
          </cell>
          <cell r="BC35" t="str">
            <v/>
          </cell>
          <cell r="BD35">
            <v>635.5602999859999</v>
          </cell>
          <cell r="BE35" t="str">
            <v/>
          </cell>
          <cell r="BF35">
            <v>1849.1556999699999</v>
          </cell>
          <cell r="BG35" t="str">
            <v/>
          </cell>
          <cell r="BH35">
            <v>278</v>
          </cell>
          <cell r="BI35">
            <v>217</v>
          </cell>
          <cell r="BJ35">
            <v>0</v>
          </cell>
        </row>
        <row r="36">
          <cell r="A36" t="str">
            <v>5AP</v>
          </cell>
          <cell r="B36" t="str">
            <v>Q24</v>
          </cell>
          <cell r="C36" t="str">
            <v/>
          </cell>
          <cell r="D36" t="str">
            <v/>
          </cell>
          <cell r="E36" t="str">
            <v/>
          </cell>
          <cell r="F36">
            <v>1</v>
          </cell>
          <cell r="G36">
            <v>1</v>
          </cell>
          <cell r="H36">
            <v>0</v>
          </cell>
          <cell r="J36">
            <v>0</v>
          </cell>
          <cell r="K36">
            <v>4.0173999780000003</v>
          </cell>
          <cell r="L36">
            <v>101.998899544</v>
          </cell>
          <cell r="M36">
            <v>0</v>
          </cell>
          <cell r="N36">
            <v>0</v>
          </cell>
          <cell r="Q36" t="str">
            <v/>
          </cell>
          <cell r="R36">
            <v>1</v>
          </cell>
          <cell r="S36">
            <v>290</v>
          </cell>
          <cell r="X36">
            <v>1</v>
          </cell>
          <cell r="Y36">
            <v>0.98076923076923073</v>
          </cell>
          <cell r="Z36">
            <v>0.86956521739130432</v>
          </cell>
          <cell r="AA36">
            <v>0</v>
          </cell>
          <cell r="AB36" t="str">
            <v/>
          </cell>
          <cell r="AD36">
            <v>17</v>
          </cell>
          <cell r="AE36">
            <v>111</v>
          </cell>
          <cell r="AF36">
            <v>0.82751586582048953</v>
          </cell>
          <cell r="AG36">
            <v>0</v>
          </cell>
          <cell r="AH36" t="str">
            <v/>
          </cell>
          <cell r="AI36">
            <v>4</v>
          </cell>
          <cell r="AJ36">
            <v>174</v>
          </cell>
          <cell r="AK36">
            <v>1016.0699182407669</v>
          </cell>
          <cell r="AL36">
            <v>0.21374045801526717</v>
          </cell>
          <cell r="AM36">
            <v>0.30142546865445036</v>
          </cell>
          <cell r="AN36">
            <v>0.60869565217391308</v>
          </cell>
          <cell r="AO36">
            <v>2231</v>
          </cell>
          <cell r="AQ36">
            <v>24901</v>
          </cell>
          <cell r="AR36" t="str">
            <v/>
          </cell>
          <cell r="AS36">
            <v>12734</v>
          </cell>
          <cell r="AU36">
            <v>19365</v>
          </cell>
          <cell r="AV36" t="str">
            <v/>
          </cell>
          <cell r="AW36">
            <v>17056</v>
          </cell>
          <cell r="AX36" t="str">
            <v/>
          </cell>
          <cell r="AY36" t="str">
            <v/>
          </cell>
          <cell r="AZ36">
            <v>11097</v>
          </cell>
          <cell r="BA36" t="str">
            <v/>
          </cell>
          <cell r="BB36">
            <v>107.178099915</v>
          </cell>
          <cell r="BC36" t="str">
            <v/>
          </cell>
          <cell r="BD36">
            <v>227.83010062299999</v>
          </cell>
          <cell r="BE36" t="str">
            <v/>
          </cell>
          <cell r="BF36">
            <v>463.212102824</v>
          </cell>
          <cell r="BG36" t="str">
            <v/>
          </cell>
          <cell r="BH36">
            <v>268</v>
          </cell>
          <cell r="BI36">
            <v>243</v>
          </cell>
          <cell r="BJ36">
            <v>11</v>
          </cell>
        </row>
        <row r="37">
          <cell r="A37" t="str">
            <v>5AT</v>
          </cell>
          <cell r="B37" t="str">
            <v>Q04</v>
          </cell>
          <cell r="C37" t="str">
            <v/>
          </cell>
          <cell r="D37" t="str">
            <v/>
          </cell>
          <cell r="E37" t="str">
            <v/>
          </cell>
          <cell r="F37">
            <v>1</v>
          </cell>
          <cell r="G37">
            <v>1</v>
          </cell>
          <cell r="H37">
            <v>0</v>
          </cell>
          <cell r="J37">
            <v>0</v>
          </cell>
          <cell r="K37">
            <v>66.126408061999996</v>
          </cell>
          <cell r="L37">
            <v>422.89406686699994</v>
          </cell>
          <cell r="M37" t="str">
            <v/>
          </cell>
          <cell r="N37">
            <v>1</v>
          </cell>
          <cell r="Q37" t="str">
            <v/>
          </cell>
          <cell r="R37" t="str">
            <v/>
          </cell>
          <cell r="S37">
            <v>8</v>
          </cell>
          <cell r="X37">
            <v>1</v>
          </cell>
          <cell r="Y37">
            <v>0.9850746268656716</v>
          </cell>
          <cell r="Z37">
            <v>0.95</v>
          </cell>
          <cell r="AA37">
            <v>0</v>
          </cell>
          <cell r="AB37" t="str">
            <v/>
          </cell>
          <cell r="AD37">
            <v>4</v>
          </cell>
          <cell r="AE37">
            <v>150</v>
          </cell>
          <cell r="AF37">
            <v>0.94887125038655806</v>
          </cell>
          <cell r="AG37">
            <v>0</v>
          </cell>
          <cell r="AH37" t="str">
            <v/>
          </cell>
          <cell r="AI37">
            <v>0.5</v>
          </cell>
          <cell r="AJ37">
            <v>23</v>
          </cell>
          <cell r="AK37">
            <v>942.32315010944899</v>
          </cell>
          <cell r="AL37">
            <v>0.18437900128040974</v>
          </cell>
          <cell r="AM37">
            <v>0.36759253268567504</v>
          </cell>
          <cell r="AN37">
            <v>0.63157894736842102</v>
          </cell>
          <cell r="AO37">
            <v>-36506</v>
          </cell>
          <cell r="AQ37">
            <v>43283</v>
          </cell>
          <cell r="AR37" t="str">
            <v/>
          </cell>
          <cell r="AS37">
            <v>17616</v>
          </cell>
          <cell r="AU37">
            <v>39762</v>
          </cell>
          <cell r="AV37" t="str">
            <v/>
          </cell>
          <cell r="AW37">
            <v>26319</v>
          </cell>
          <cell r="AX37" t="str">
            <v/>
          </cell>
          <cell r="AY37" t="str">
            <v/>
          </cell>
          <cell r="AZ37">
            <v>22393</v>
          </cell>
          <cell r="BA37" t="str">
            <v/>
          </cell>
          <cell r="BB37">
            <v>320.68271828099995</v>
          </cell>
          <cell r="BC37">
            <v>13.727483362000001</v>
          </cell>
          <cell r="BD37">
            <v>390.49409891699997</v>
          </cell>
          <cell r="BE37" t="str">
            <v/>
          </cell>
          <cell r="BF37">
            <v>1625.5119853179999</v>
          </cell>
          <cell r="BG37" t="str">
            <v/>
          </cell>
          <cell r="BH37">
            <v>119</v>
          </cell>
          <cell r="BI37">
            <v>12</v>
          </cell>
          <cell r="BJ37">
            <v>0</v>
          </cell>
        </row>
        <row r="38">
          <cell r="A38" t="str">
            <v>5AW</v>
          </cell>
          <cell r="B38" t="str">
            <v>Q12</v>
          </cell>
          <cell r="C38" t="str">
            <v/>
          </cell>
          <cell r="D38" t="str">
            <v/>
          </cell>
          <cell r="E38" t="str">
            <v/>
          </cell>
          <cell r="F38">
            <v>1</v>
          </cell>
          <cell r="G38">
            <v>1</v>
          </cell>
          <cell r="H38">
            <v>0</v>
          </cell>
          <cell r="J38">
            <v>0</v>
          </cell>
          <cell r="K38">
            <v>11</v>
          </cell>
          <cell r="L38">
            <v>480.21000011199999</v>
          </cell>
          <cell r="M38" t="str">
            <v/>
          </cell>
          <cell r="N38">
            <v>0</v>
          </cell>
          <cell r="Q38" t="str">
            <v/>
          </cell>
          <cell r="R38" t="str">
            <v/>
          </cell>
          <cell r="S38">
            <v>1</v>
          </cell>
          <cell r="X38">
            <v>1</v>
          </cell>
          <cell r="Y38">
            <v>0.95833333333333337</v>
          </cell>
          <cell r="Z38">
            <v>0.96</v>
          </cell>
          <cell r="AA38">
            <v>0</v>
          </cell>
          <cell r="AB38" t="str">
            <v/>
          </cell>
          <cell r="AD38">
            <v>11</v>
          </cell>
          <cell r="AE38">
            <v>129</v>
          </cell>
          <cell r="AF38">
            <v>0.96848341232227486</v>
          </cell>
          <cell r="AG38">
            <v>0</v>
          </cell>
          <cell r="AH38" t="str">
            <v/>
          </cell>
          <cell r="AI38">
            <v>2</v>
          </cell>
          <cell r="AJ38">
            <v>214</v>
          </cell>
          <cell r="AK38">
            <v>888.64232398628201</v>
          </cell>
          <cell r="AL38">
            <v>0.11594202898550725</v>
          </cell>
          <cell r="AM38">
            <v>0.24754041350220438</v>
          </cell>
          <cell r="AN38">
            <v>0.55000000000000004</v>
          </cell>
          <cell r="AO38">
            <v>105</v>
          </cell>
          <cell r="AQ38">
            <v>15013</v>
          </cell>
          <cell r="AR38" t="str">
            <v/>
          </cell>
          <cell r="AS38">
            <v>6452</v>
          </cell>
          <cell r="AU38">
            <v>11647</v>
          </cell>
          <cell r="AV38" t="str">
            <v/>
          </cell>
          <cell r="AW38">
            <v>17979</v>
          </cell>
          <cell r="AX38" t="str">
            <v/>
          </cell>
          <cell r="AY38" t="str">
            <v/>
          </cell>
          <cell r="AZ38">
            <v>12348</v>
          </cell>
          <cell r="BA38" t="str">
            <v/>
          </cell>
          <cell r="BB38">
            <v>130.76570057999999</v>
          </cell>
          <cell r="BC38" t="str">
            <v/>
          </cell>
          <cell r="BD38">
            <v>384.77060179</v>
          </cell>
          <cell r="BE38" t="str">
            <v/>
          </cell>
          <cell r="BF38">
            <v>801.49120300000004</v>
          </cell>
          <cell r="BG38" t="str">
            <v/>
          </cell>
          <cell r="BH38">
            <v>554</v>
          </cell>
          <cell r="BI38">
            <v>0</v>
          </cell>
          <cell r="BJ38">
            <v>554</v>
          </cell>
        </row>
        <row r="39">
          <cell r="A39" t="str">
            <v>5C1</v>
          </cell>
          <cell r="B39" t="str">
            <v>Q05</v>
          </cell>
          <cell r="C39" t="str">
            <v/>
          </cell>
          <cell r="D39" t="str">
            <v/>
          </cell>
          <cell r="E39" t="str">
            <v/>
          </cell>
          <cell r="F39">
            <v>1</v>
          </cell>
          <cell r="G39">
            <v>1</v>
          </cell>
          <cell r="H39">
            <v>0</v>
          </cell>
          <cell r="J39">
            <v>0</v>
          </cell>
          <cell r="K39">
            <v>70.35289985899999</v>
          </cell>
          <cell r="L39">
            <v>722.51539969400062</v>
          </cell>
          <cell r="M39" t="str">
            <v/>
          </cell>
          <cell r="N39">
            <v>0</v>
          </cell>
          <cell r="Q39" t="str">
            <v/>
          </cell>
          <cell r="R39" t="str">
            <v/>
          </cell>
          <cell r="S39">
            <v>69</v>
          </cell>
          <cell r="X39">
            <v>0.99248120300751874</v>
          </cell>
          <cell r="Y39">
            <v>0.98611111111111116</v>
          </cell>
          <cell r="Z39">
            <v>0.8125</v>
          </cell>
          <cell r="AA39">
            <v>0</v>
          </cell>
          <cell r="AB39" t="str">
            <v/>
          </cell>
          <cell r="AD39">
            <v>0</v>
          </cell>
          <cell r="AE39">
            <v>384</v>
          </cell>
          <cell r="AF39">
            <v>0.54266502509707359</v>
          </cell>
          <cell r="AG39">
            <v>0</v>
          </cell>
          <cell r="AH39" t="str">
            <v/>
          </cell>
          <cell r="AI39">
            <v>3</v>
          </cell>
          <cell r="AJ39">
            <v>56</v>
          </cell>
          <cell r="AK39">
            <v>477.7701655067969</v>
          </cell>
          <cell r="AL39">
            <v>0.2041942604856512</v>
          </cell>
          <cell r="AM39">
            <v>0.36844292045541377</v>
          </cell>
          <cell r="AN39">
            <v>0.68421052631578949</v>
          </cell>
          <cell r="AO39">
            <v>459</v>
          </cell>
          <cell r="AQ39">
            <v>54054</v>
          </cell>
          <cell r="AR39" t="str">
            <v/>
          </cell>
          <cell r="AS39">
            <v>35654</v>
          </cell>
          <cell r="AU39">
            <v>44342</v>
          </cell>
          <cell r="AV39" t="str">
            <v/>
          </cell>
          <cell r="AW39">
            <v>29018</v>
          </cell>
          <cell r="AX39" t="str">
            <v/>
          </cell>
          <cell r="AY39" t="str">
            <v/>
          </cell>
          <cell r="AZ39">
            <v>21539</v>
          </cell>
          <cell r="BA39" t="str">
            <v/>
          </cell>
          <cell r="BB39">
            <v>185.94590959600001</v>
          </cell>
          <cell r="BC39" t="str">
            <v/>
          </cell>
          <cell r="BD39">
            <v>495.28072279899999</v>
          </cell>
          <cell r="BE39">
            <v>5.9999998999999998E-2</v>
          </cell>
          <cell r="BF39">
            <v>653.33350558100005</v>
          </cell>
          <cell r="BG39">
            <v>8.0999997000000004E-2</v>
          </cell>
          <cell r="BH39">
            <v>481</v>
          </cell>
          <cell r="BI39">
            <v>481</v>
          </cell>
          <cell r="BJ39">
            <v>0</v>
          </cell>
        </row>
        <row r="40">
          <cell r="A40" t="str">
            <v>5C2</v>
          </cell>
          <cell r="B40" t="str">
            <v>Q06</v>
          </cell>
          <cell r="C40" t="str">
            <v/>
          </cell>
          <cell r="D40" t="str">
            <v/>
          </cell>
          <cell r="E40" t="str">
            <v/>
          </cell>
          <cell r="F40">
            <v>1</v>
          </cell>
          <cell r="G40">
            <v>1</v>
          </cell>
          <cell r="H40">
            <v>0</v>
          </cell>
          <cell r="J40">
            <v>0</v>
          </cell>
          <cell r="K40">
            <v>38.187800001999996</v>
          </cell>
          <cell r="L40">
            <v>639.41530001300032</v>
          </cell>
          <cell r="M40" t="str">
            <v/>
          </cell>
          <cell r="N40">
            <v>0</v>
          </cell>
          <cell r="Q40" t="str">
            <v/>
          </cell>
          <cell r="R40">
            <v>0.44186046511627908</v>
          </cell>
          <cell r="S40">
            <v>180</v>
          </cell>
          <cell r="X40">
            <v>1</v>
          </cell>
          <cell r="Y40">
            <v>1</v>
          </cell>
          <cell r="Z40">
            <v>1</v>
          </cell>
          <cell r="AA40">
            <v>0</v>
          </cell>
          <cell r="AB40" t="str">
            <v/>
          </cell>
          <cell r="AD40">
            <v>0</v>
          </cell>
          <cell r="AE40">
            <v>394</v>
          </cell>
          <cell r="AF40">
            <v>0.48480704952901854</v>
          </cell>
          <cell r="AG40">
            <v>0</v>
          </cell>
          <cell r="AH40" t="str">
            <v/>
          </cell>
          <cell r="AI40">
            <v>3</v>
          </cell>
          <cell r="AJ40">
            <v>31</v>
          </cell>
          <cell r="AK40">
            <v>1168.4186344948866</v>
          </cell>
          <cell r="AL40">
            <v>0.11060606060606061</v>
          </cell>
          <cell r="AM40">
            <v>0.34743713733075438</v>
          </cell>
          <cell r="AN40">
            <v>0.66666666666666663</v>
          </cell>
          <cell r="AO40">
            <v>1583</v>
          </cell>
          <cell r="AQ40">
            <v>29627</v>
          </cell>
          <cell r="AR40" t="str">
            <v/>
          </cell>
          <cell r="AS40">
            <v>21276</v>
          </cell>
          <cell r="AU40">
            <v>22335</v>
          </cell>
          <cell r="AV40" t="str">
            <v/>
          </cell>
          <cell r="AW40">
            <v>15618</v>
          </cell>
          <cell r="AX40" t="str">
            <v/>
          </cell>
          <cell r="AY40" t="str">
            <v/>
          </cell>
          <cell r="AZ40">
            <v>17081</v>
          </cell>
          <cell r="BA40" t="str">
            <v/>
          </cell>
          <cell r="BB40">
            <v>631.15869132399996</v>
          </cell>
          <cell r="BC40" t="str">
            <v/>
          </cell>
          <cell r="BD40">
            <v>353.27190178499995</v>
          </cell>
          <cell r="BE40" t="str">
            <v/>
          </cell>
          <cell r="BF40">
            <v>1255.592516492</v>
          </cell>
          <cell r="BG40">
            <v>0.20699999999999999</v>
          </cell>
          <cell r="BH40">
            <v>31</v>
          </cell>
          <cell r="BI40">
            <v>0</v>
          </cell>
          <cell r="BJ40">
            <v>0</v>
          </cell>
        </row>
        <row r="41">
          <cell r="A41" t="str">
            <v>5C3</v>
          </cell>
          <cell r="B41" t="str">
            <v>Q06</v>
          </cell>
          <cell r="C41" t="str">
            <v/>
          </cell>
          <cell r="D41" t="str">
            <v/>
          </cell>
          <cell r="E41" t="str">
            <v/>
          </cell>
          <cell r="F41">
            <v>1</v>
          </cell>
          <cell r="G41">
            <v>1</v>
          </cell>
          <cell r="H41">
            <v>0</v>
          </cell>
          <cell r="J41">
            <v>0</v>
          </cell>
          <cell r="K41">
            <v>17.423899789</v>
          </cell>
          <cell r="L41">
            <v>156.59339801699994</v>
          </cell>
          <cell r="M41" t="str">
            <v/>
          </cell>
          <cell r="N41">
            <v>0</v>
          </cell>
          <cell r="Q41" t="str">
            <v/>
          </cell>
          <cell r="R41" t="str">
            <v/>
          </cell>
          <cell r="S41">
            <v>206</v>
          </cell>
          <cell r="X41">
            <v>1</v>
          </cell>
          <cell r="Y41">
            <v>1</v>
          </cell>
          <cell r="Z41">
            <v>1</v>
          </cell>
          <cell r="AA41">
            <v>0</v>
          </cell>
          <cell r="AB41" t="str">
            <v/>
          </cell>
          <cell r="AD41">
            <v>61</v>
          </cell>
          <cell r="AE41">
            <v>598</v>
          </cell>
          <cell r="AF41">
            <v>0.36130081300813011</v>
          </cell>
          <cell r="AG41">
            <v>0</v>
          </cell>
          <cell r="AH41" t="str">
            <v/>
          </cell>
          <cell r="AI41">
            <v>6</v>
          </cell>
          <cell r="AJ41">
            <v>156</v>
          </cell>
          <cell r="AK41">
            <v>1128.1752241772235</v>
          </cell>
          <cell r="AL41" t="str">
            <v/>
          </cell>
          <cell r="AM41">
            <v>0.51227964138208926</v>
          </cell>
          <cell r="AN41">
            <v>0.74594594594594599</v>
          </cell>
          <cell r="AO41">
            <v>4315.7000000000098</v>
          </cell>
          <cell r="AQ41">
            <v>50244</v>
          </cell>
          <cell r="AR41" t="str">
            <v/>
          </cell>
          <cell r="AS41">
            <v>33649</v>
          </cell>
          <cell r="AU41">
            <v>40041</v>
          </cell>
          <cell r="AV41" t="str">
            <v/>
          </cell>
          <cell r="AW41">
            <v>28284</v>
          </cell>
          <cell r="AX41" t="str">
            <v/>
          </cell>
          <cell r="AY41" t="str">
            <v/>
          </cell>
          <cell r="AZ41">
            <v>20355</v>
          </cell>
          <cell r="BA41" t="str">
            <v/>
          </cell>
          <cell r="BB41">
            <v>497.85153610999998</v>
          </cell>
          <cell r="BC41" t="str">
            <v/>
          </cell>
          <cell r="BD41">
            <v>866.85454806000007</v>
          </cell>
          <cell r="BE41" t="str">
            <v/>
          </cell>
          <cell r="BF41">
            <v>1858.235339605</v>
          </cell>
          <cell r="BG41">
            <v>1.232999951</v>
          </cell>
          <cell r="BH41">
            <v>0</v>
          </cell>
          <cell r="BI41">
            <v>0</v>
          </cell>
          <cell r="BJ41">
            <v>0</v>
          </cell>
        </row>
        <row r="42">
          <cell r="A42" t="str">
            <v>5C4</v>
          </cell>
          <cell r="B42" t="str">
            <v>Q06</v>
          </cell>
          <cell r="C42" t="str">
            <v/>
          </cell>
          <cell r="D42" t="str">
            <v/>
          </cell>
          <cell r="E42" t="str">
            <v/>
          </cell>
          <cell r="F42">
            <v>1</v>
          </cell>
          <cell r="G42">
            <v>1</v>
          </cell>
          <cell r="H42">
            <v>0</v>
          </cell>
          <cell r="J42">
            <v>0</v>
          </cell>
          <cell r="K42">
            <v>20.500999703000002</v>
          </cell>
          <cell r="L42">
            <v>230.06249720899996</v>
          </cell>
          <cell r="M42" t="str">
            <v/>
          </cell>
          <cell r="N42">
            <v>0</v>
          </cell>
          <cell r="Q42">
            <v>1</v>
          </cell>
          <cell r="R42">
            <v>0.80620155038759689</v>
          </cell>
          <cell r="S42">
            <v>641</v>
          </cell>
          <cell r="X42">
            <v>1</v>
          </cell>
          <cell r="Y42">
            <v>1</v>
          </cell>
          <cell r="Z42">
            <v>1</v>
          </cell>
          <cell r="AA42">
            <v>0</v>
          </cell>
          <cell r="AB42" t="str">
            <v/>
          </cell>
          <cell r="AD42">
            <v>135</v>
          </cell>
          <cell r="AE42">
            <v>771</v>
          </cell>
          <cell r="AF42">
            <v>0.94127063531765887</v>
          </cell>
          <cell r="AG42">
            <v>0</v>
          </cell>
          <cell r="AH42" t="str">
            <v/>
          </cell>
          <cell r="AI42">
            <v>0</v>
          </cell>
          <cell r="AJ42">
            <v>274</v>
          </cell>
          <cell r="AK42">
            <v>966.98170509487602</v>
          </cell>
          <cell r="AL42">
            <v>4.8048048048048048E-2</v>
          </cell>
          <cell r="AM42">
            <v>0.56776723563862785</v>
          </cell>
          <cell r="AN42">
            <v>0.84251968503937003</v>
          </cell>
          <cell r="AO42">
            <v>627</v>
          </cell>
          <cell r="AQ42">
            <v>44527</v>
          </cell>
          <cell r="AR42" t="str">
            <v/>
          </cell>
          <cell r="AS42">
            <v>31453</v>
          </cell>
          <cell r="AU42">
            <v>35772</v>
          </cell>
          <cell r="AV42" t="str">
            <v/>
          </cell>
          <cell r="AW42">
            <v>19320</v>
          </cell>
          <cell r="AX42" t="str">
            <v/>
          </cell>
          <cell r="AY42" t="str">
            <v/>
          </cell>
          <cell r="AZ42">
            <v>20466</v>
          </cell>
          <cell r="BA42" t="str">
            <v/>
          </cell>
          <cell r="BB42">
            <v>481.54885375900005</v>
          </cell>
          <cell r="BC42" t="str">
            <v/>
          </cell>
          <cell r="BD42">
            <v>826.60802451800009</v>
          </cell>
          <cell r="BE42" t="str">
            <v/>
          </cell>
          <cell r="BF42">
            <v>1274.424501896</v>
          </cell>
          <cell r="BG42">
            <v>4.4639999269999997</v>
          </cell>
          <cell r="BH42">
            <v>0</v>
          </cell>
          <cell r="BI42">
            <v>0</v>
          </cell>
          <cell r="BJ42">
            <v>0</v>
          </cell>
        </row>
        <row r="43">
          <cell r="A43" t="str">
            <v>5C5</v>
          </cell>
          <cell r="B43" t="str">
            <v>Q06</v>
          </cell>
          <cell r="C43" t="str">
            <v/>
          </cell>
          <cell r="D43" t="str">
            <v/>
          </cell>
          <cell r="E43" t="str">
            <v/>
          </cell>
          <cell r="F43">
            <v>1</v>
          </cell>
          <cell r="G43">
            <v>1</v>
          </cell>
          <cell r="H43">
            <v>0</v>
          </cell>
          <cell r="J43">
            <v>0</v>
          </cell>
          <cell r="K43">
            <v>8.0194999000000013</v>
          </cell>
          <cell r="L43">
            <v>207.14599903699997</v>
          </cell>
          <cell r="M43" t="str">
            <v/>
          </cell>
          <cell r="N43">
            <v>0</v>
          </cell>
          <cell r="Q43">
            <v>1</v>
          </cell>
          <cell r="R43">
            <v>0.24</v>
          </cell>
          <cell r="S43">
            <v>486</v>
          </cell>
          <cell r="X43">
            <v>1</v>
          </cell>
          <cell r="Y43">
            <v>0.98</v>
          </cell>
          <cell r="Z43">
            <v>1</v>
          </cell>
          <cell r="AA43">
            <v>0</v>
          </cell>
          <cell r="AB43" t="str">
            <v/>
          </cell>
          <cell r="AD43">
            <v>44</v>
          </cell>
          <cell r="AE43">
            <v>616</v>
          </cell>
          <cell r="AF43">
            <v>0.84365454040544297</v>
          </cell>
          <cell r="AG43">
            <v>0</v>
          </cell>
          <cell r="AH43" t="str">
            <v/>
          </cell>
          <cell r="AI43">
            <v>8.1999999999999993</v>
          </cell>
          <cell r="AJ43">
            <v>0</v>
          </cell>
          <cell r="AK43">
            <v>872.03872406965627</v>
          </cell>
          <cell r="AL43" t="str">
            <v/>
          </cell>
          <cell r="AM43">
            <v>0.58939076975622251</v>
          </cell>
          <cell r="AN43">
            <v>0.75182481751824815</v>
          </cell>
          <cell r="AO43">
            <v>62</v>
          </cell>
          <cell r="AQ43">
            <v>59345</v>
          </cell>
          <cell r="AR43" t="str">
            <v/>
          </cell>
          <cell r="AS43">
            <v>34031</v>
          </cell>
          <cell r="AU43">
            <v>34495</v>
          </cell>
          <cell r="AV43" t="str">
            <v/>
          </cell>
          <cell r="AW43">
            <v>22671</v>
          </cell>
          <cell r="AX43" t="str">
            <v/>
          </cell>
          <cell r="AY43" t="str">
            <v/>
          </cell>
          <cell r="AZ43">
            <v>22354</v>
          </cell>
          <cell r="BA43" t="str">
            <v/>
          </cell>
          <cell r="BB43">
            <v>512.98305907099996</v>
          </cell>
          <cell r="BC43" t="str">
            <v/>
          </cell>
          <cell r="BD43">
            <v>1027.3624812620001</v>
          </cell>
          <cell r="BE43" t="str">
            <v/>
          </cell>
          <cell r="BF43">
            <v>1848.0951332449999</v>
          </cell>
          <cell r="BG43">
            <v>1.178999975</v>
          </cell>
          <cell r="BH43">
            <v>0</v>
          </cell>
          <cell r="BI43">
            <v>0</v>
          </cell>
          <cell r="BJ43">
            <v>0</v>
          </cell>
        </row>
        <row r="44">
          <cell r="A44" t="str">
            <v>5C9</v>
          </cell>
          <cell r="B44" t="str">
            <v>Q05</v>
          </cell>
          <cell r="C44" t="str">
            <v/>
          </cell>
          <cell r="D44" t="str">
            <v/>
          </cell>
          <cell r="E44" t="str">
            <v/>
          </cell>
          <cell r="F44">
            <v>1</v>
          </cell>
          <cell r="G44">
            <v>1</v>
          </cell>
          <cell r="H44">
            <v>0</v>
          </cell>
          <cell r="J44">
            <v>0</v>
          </cell>
          <cell r="K44">
            <v>243.42680410000003</v>
          </cell>
          <cell r="L44">
            <v>1169.9563051239998</v>
          </cell>
          <cell r="M44" t="str">
            <v/>
          </cell>
          <cell r="N44">
            <v>0</v>
          </cell>
          <cell r="Q44" t="str">
            <v/>
          </cell>
          <cell r="R44">
            <v>1</v>
          </cell>
          <cell r="S44">
            <v>278</v>
          </cell>
          <cell r="X44">
            <v>1</v>
          </cell>
          <cell r="Y44">
            <v>1</v>
          </cell>
          <cell r="Z44">
            <v>1</v>
          </cell>
          <cell r="AA44">
            <v>0</v>
          </cell>
          <cell r="AB44" t="str">
            <v/>
          </cell>
          <cell r="AD44">
            <v>0</v>
          </cell>
          <cell r="AE44">
            <v>624</v>
          </cell>
          <cell r="AF44">
            <v>0.43356788079470199</v>
          </cell>
          <cell r="AG44">
            <v>0</v>
          </cell>
          <cell r="AH44" t="str">
            <v/>
          </cell>
          <cell r="AI44">
            <v>8</v>
          </cell>
          <cell r="AJ44">
            <v>321</v>
          </cell>
          <cell r="AK44">
            <v>1562.6561268332759</v>
          </cell>
          <cell r="AL44">
            <v>0.11226611226611227</v>
          </cell>
          <cell r="AM44">
            <v>0.30026232174857331</v>
          </cell>
          <cell r="AN44">
            <v>0.7142857142857143</v>
          </cell>
          <cell r="AO44">
            <v>161</v>
          </cell>
          <cell r="AQ44">
            <v>53521</v>
          </cell>
          <cell r="AR44" t="str">
            <v/>
          </cell>
          <cell r="AS44">
            <v>40354</v>
          </cell>
          <cell r="AU44">
            <v>41800</v>
          </cell>
          <cell r="AV44" t="str">
            <v/>
          </cell>
          <cell r="AW44">
            <v>21837</v>
          </cell>
          <cell r="AX44" t="str">
            <v/>
          </cell>
          <cell r="AY44" t="str">
            <v/>
          </cell>
          <cell r="AZ44">
            <v>17902</v>
          </cell>
          <cell r="BA44" t="str">
            <v/>
          </cell>
          <cell r="BB44">
            <v>424.20216693600003</v>
          </cell>
          <cell r="BC44">
            <v>1</v>
          </cell>
          <cell r="BD44">
            <v>1134.8121650640001</v>
          </cell>
          <cell r="BE44">
            <v>1.0800000430000001</v>
          </cell>
          <cell r="BF44">
            <v>2626.9359818250005</v>
          </cell>
          <cell r="BG44">
            <v>9.8999999000000005E-2</v>
          </cell>
          <cell r="BH44">
            <v>243</v>
          </cell>
          <cell r="BI44">
            <v>243</v>
          </cell>
          <cell r="BJ44">
            <v>0</v>
          </cell>
        </row>
        <row r="45">
          <cell r="A45" t="str">
            <v>5CC</v>
          </cell>
          <cell r="B45" t="str">
            <v>Q13</v>
          </cell>
          <cell r="C45" t="str">
            <v/>
          </cell>
          <cell r="D45" t="str">
            <v/>
          </cell>
          <cell r="E45" t="str">
            <v/>
          </cell>
          <cell r="F45">
            <v>1</v>
          </cell>
          <cell r="G45">
            <v>1</v>
          </cell>
          <cell r="H45">
            <v>0</v>
          </cell>
          <cell r="J45">
            <v>0</v>
          </cell>
          <cell r="K45">
            <v>11.39651224</v>
          </cell>
          <cell r="L45">
            <v>323.17930380299998</v>
          </cell>
          <cell r="M45" t="str">
            <v/>
          </cell>
          <cell r="N45">
            <v>0</v>
          </cell>
          <cell r="Q45" t="str">
            <v/>
          </cell>
          <cell r="R45" t="str">
            <v/>
          </cell>
          <cell r="S45">
            <v>43</v>
          </cell>
          <cell r="X45">
            <v>1</v>
          </cell>
          <cell r="Y45">
            <v>1</v>
          </cell>
          <cell r="Z45">
            <v>0.93333333333333335</v>
          </cell>
          <cell r="AA45">
            <v>0</v>
          </cell>
          <cell r="AB45" t="str">
            <v/>
          </cell>
          <cell r="AD45">
            <v>27</v>
          </cell>
          <cell r="AE45">
            <v>306</v>
          </cell>
          <cell r="AF45">
            <v>0.52062926684476107</v>
          </cell>
          <cell r="AG45">
            <v>0</v>
          </cell>
          <cell r="AH45" t="str">
            <v/>
          </cell>
          <cell r="AI45">
            <v>4</v>
          </cell>
          <cell r="AJ45">
            <v>58</v>
          </cell>
          <cell r="AK45">
            <v>1675.1211387038156</v>
          </cell>
          <cell r="AL45">
            <v>0.21718750000000001</v>
          </cell>
          <cell r="AM45">
            <v>0.20346052441950169</v>
          </cell>
          <cell r="AN45">
            <v>0.45</v>
          </cell>
          <cell r="AO45">
            <v>2112</v>
          </cell>
          <cell r="AQ45">
            <v>27628</v>
          </cell>
          <cell r="AR45" t="str">
            <v/>
          </cell>
          <cell r="AS45">
            <v>14192</v>
          </cell>
          <cell r="AU45">
            <v>21580</v>
          </cell>
          <cell r="AV45" t="str">
            <v/>
          </cell>
          <cell r="AW45">
            <v>17639</v>
          </cell>
          <cell r="AX45" t="str">
            <v/>
          </cell>
          <cell r="AY45" t="str">
            <v/>
          </cell>
          <cell r="AZ45">
            <v>16678</v>
          </cell>
          <cell r="BA45" t="str">
            <v/>
          </cell>
          <cell r="BB45">
            <v>250.12813799200001</v>
          </cell>
          <cell r="BC45">
            <v>6</v>
          </cell>
          <cell r="BD45">
            <v>485.13686395799994</v>
          </cell>
          <cell r="BE45" t="str">
            <v/>
          </cell>
          <cell r="BF45">
            <v>672.49607194099997</v>
          </cell>
          <cell r="BG45" t="str">
            <v/>
          </cell>
          <cell r="BH45">
            <v>828</v>
          </cell>
          <cell r="BI45">
            <v>828</v>
          </cell>
          <cell r="BJ45">
            <v>35</v>
          </cell>
        </row>
        <row r="46">
          <cell r="A46" t="str">
            <v>5CD</v>
          </cell>
          <cell r="B46" t="str">
            <v>Q22</v>
          </cell>
          <cell r="C46" t="str">
            <v/>
          </cell>
          <cell r="D46" t="str">
            <v/>
          </cell>
          <cell r="E46">
            <v>0.9991742361684558</v>
          </cell>
          <cell r="F46">
            <v>1</v>
          </cell>
          <cell r="G46">
            <v>1</v>
          </cell>
          <cell r="H46">
            <v>0</v>
          </cell>
          <cell r="J46">
            <v>9</v>
          </cell>
          <cell r="K46">
            <v>10.989000025000001</v>
          </cell>
          <cell r="L46">
            <v>207.80430272999999</v>
          </cell>
          <cell r="M46">
            <v>13</v>
          </cell>
          <cell r="N46">
            <v>0</v>
          </cell>
          <cell r="Q46">
            <v>1</v>
          </cell>
          <cell r="R46">
            <v>1</v>
          </cell>
          <cell r="S46">
            <v>243</v>
          </cell>
          <cell r="X46">
            <v>1</v>
          </cell>
          <cell r="Y46">
            <v>1</v>
          </cell>
          <cell r="Z46">
            <v>1</v>
          </cell>
          <cell r="AA46">
            <v>0</v>
          </cell>
          <cell r="AB46" t="str">
            <v/>
          </cell>
          <cell r="AD46">
            <v>29</v>
          </cell>
          <cell r="AE46">
            <v>225</v>
          </cell>
          <cell r="AF46">
            <v>1</v>
          </cell>
          <cell r="AG46">
            <v>0</v>
          </cell>
          <cell r="AH46" t="str">
            <v/>
          </cell>
          <cell r="AI46">
            <v>3</v>
          </cell>
          <cell r="AJ46">
            <v>50</v>
          </cell>
          <cell r="AK46">
            <v>750.63232614430626</v>
          </cell>
          <cell r="AL46">
            <v>0.15720524017467249</v>
          </cell>
          <cell r="AM46">
            <v>0.29958489121794685</v>
          </cell>
          <cell r="AN46">
            <v>0.5</v>
          </cell>
          <cell r="AO46">
            <v>6</v>
          </cell>
          <cell r="AQ46">
            <v>20468</v>
          </cell>
          <cell r="AR46" t="str">
            <v/>
          </cell>
          <cell r="AS46">
            <v>5529</v>
          </cell>
          <cell r="AU46">
            <v>16439</v>
          </cell>
          <cell r="AV46" t="str">
            <v/>
          </cell>
          <cell r="AW46">
            <v>12132</v>
          </cell>
          <cell r="AX46" t="str">
            <v/>
          </cell>
          <cell r="AY46" t="str">
            <v/>
          </cell>
          <cell r="AZ46">
            <v>7856</v>
          </cell>
          <cell r="BA46" t="str">
            <v/>
          </cell>
          <cell r="BB46">
            <v>180.374001948</v>
          </cell>
          <cell r="BC46">
            <v>2</v>
          </cell>
          <cell r="BD46">
            <v>301.36000399800002</v>
          </cell>
          <cell r="BE46" t="str">
            <v/>
          </cell>
          <cell r="BF46">
            <v>443.13470499599998</v>
          </cell>
          <cell r="BG46">
            <v>6</v>
          </cell>
          <cell r="BH46">
            <v>832</v>
          </cell>
          <cell r="BI46">
            <v>3</v>
          </cell>
          <cell r="BJ46">
            <v>3</v>
          </cell>
        </row>
        <row r="47">
          <cell r="A47" t="str">
            <v>5CE</v>
          </cell>
          <cell r="B47" t="str">
            <v>Q22</v>
          </cell>
          <cell r="C47" t="str">
            <v/>
          </cell>
          <cell r="D47" t="str">
            <v/>
          </cell>
          <cell r="E47" t="str">
            <v/>
          </cell>
          <cell r="F47">
            <v>1</v>
          </cell>
          <cell r="G47">
            <v>1</v>
          </cell>
          <cell r="H47">
            <v>0</v>
          </cell>
          <cell r="J47">
            <v>10</v>
          </cell>
          <cell r="K47">
            <v>16.0045</v>
          </cell>
          <cell r="L47">
            <v>24.579337412000001</v>
          </cell>
          <cell r="M47" t="str">
            <v/>
          </cell>
          <cell r="N47">
            <v>0</v>
          </cell>
          <cell r="Q47" t="str">
            <v/>
          </cell>
          <cell r="R47" t="str">
            <v/>
          </cell>
          <cell r="S47">
            <v>692</v>
          </cell>
          <cell r="X47">
            <v>1</v>
          </cell>
          <cell r="Y47">
            <v>0.97368421052631582</v>
          </cell>
          <cell r="Z47">
            <v>0.96</v>
          </cell>
          <cell r="AA47">
            <v>0</v>
          </cell>
          <cell r="AB47" t="str">
            <v/>
          </cell>
          <cell r="AD47">
            <v>38</v>
          </cell>
          <cell r="AE47">
            <v>270</v>
          </cell>
          <cell r="AF47">
            <v>0.86024791985056881</v>
          </cell>
          <cell r="AG47">
            <v>0</v>
          </cell>
          <cell r="AH47" t="str">
            <v/>
          </cell>
          <cell r="AI47">
            <v>4</v>
          </cell>
          <cell r="AJ47">
            <v>64</v>
          </cell>
          <cell r="AK47">
            <v>840.33613445378148</v>
          </cell>
          <cell r="AL47" t="str">
            <v/>
          </cell>
          <cell r="AM47">
            <v>0.31399574744017011</v>
          </cell>
          <cell r="AN47">
            <v>0.87368421052631584</v>
          </cell>
          <cell r="AO47">
            <v>35</v>
          </cell>
          <cell r="AQ47">
            <v>38533</v>
          </cell>
          <cell r="AR47" t="str">
            <v/>
          </cell>
          <cell r="AS47">
            <v>22533</v>
          </cell>
          <cell r="AU47">
            <v>33914</v>
          </cell>
          <cell r="AV47" t="str">
            <v/>
          </cell>
          <cell r="AW47">
            <v>26553</v>
          </cell>
          <cell r="AX47" t="str">
            <v/>
          </cell>
          <cell r="AY47" t="str">
            <v/>
          </cell>
          <cell r="AZ47">
            <v>18900</v>
          </cell>
          <cell r="BA47" t="str">
            <v/>
          </cell>
          <cell r="BB47">
            <v>464.349199994</v>
          </cell>
          <cell r="BC47">
            <v>69</v>
          </cell>
          <cell r="BD47">
            <v>508.72449998799999</v>
          </cell>
          <cell r="BE47" t="str">
            <v/>
          </cell>
          <cell r="BF47">
            <v>1376.901799985</v>
          </cell>
          <cell r="BG47">
            <v>33</v>
          </cell>
          <cell r="BH47">
            <v>457</v>
          </cell>
          <cell r="BI47">
            <v>324</v>
          </cell>
          <cell r="BJ47">
            <v>20</v>
          </cell>
        </row>
        <row r="48">
          <cell r="A48" t="str">
            <v>5CF</v>
          </cell>
          <cell r="B48" t="str">
            <v>Q12</v>
          </cell>
          <cell r="C48" t="str">
            <v/>
          </cell>
          <cell r="D48" t="str">
            <v/>
          </cell>
          <cell r="E48" t="str">
            <v/>
          </cell>
          <cell r="F48">
            <v>0.98023063145254885</v>
          </cell>
          <cell r="G48">
            <v>1</v>
          </cell>
          <cell r="H48">
            <v>0</v>
          </cell>
          <cell r="J48">
            <v>0</v>
          </cell>
          <cell r="K48">
            <v>11</v>
          </cell>
          <cell r="L48">
            <v>34.439998860999999</v>
          </cell>
          <cell r="M48" t="str">
            <v/>
          </cell>
          <cell r="N48">
            <v>0</v>
          </cell>
          <cell r="Q48" t="str">
            <v/>
          </cell>
          <cell r="R48" t="str">
            <v/>
          </cell>
          <cell r="S48">
            <v>52</v>
          </cell>
          <cell r="X48">
            <v>1</v>
          </cell>
          <cell r="Y48">
            <v>1</v>
          </cell>
          <cell r="Z48">
            <v>0.8</v>
          </cell>
          <cell r="AA48">
            <v>0</v>
          </cell>
          <cell r="AB48" t="str">
            <v/>
          </cell>
          <cell r="AD48">
            <v>9</v>
          </cell>
          <cell r="AE48">
            <v>129</v>
          </cell>
          <cell r="AF48">
            <v>0.70936490850376754</v>
          </cell>
          <cell r="AG48">
            <v>0</v>
          </cell>
          <cell r="AH48" t="str">
            <v/>
          </cell>
          <cell r="AI48">
            <v>4</v>
          </cell>
          <cell r="AJ48">
            <v>103</v>
          </cell>
          <cell r="AK48">
            <v>577.8561976179974</v>
          </cell>
          <cell r="AL48">
            <v>8.1180811808118078E-2</v>
          </cell>
          <cell r="AM48" t="str">
            <v/>
          </cell>
          <cell r="AN48">
            <v>0.77777777777777779</v>
          </cell>
          <cell r="AO48">
            <v>19</v>
          </cell>
          <cell r="AQ48">
            <v>21787</v>
          </cell>
          <cell r="AR48" t="str">
            <v/>
          </cell>
          <cell r="AS48">
            <v>8413</v>
          </cell>
          <cell r="AU48">
            <v>19715</v>
          </cell>
          <cell r="AV48" t="str">
            <v/>
          </cell>
          <cell r="AW48">
            <v>14309</v>
          </cell>
          <cell r="AX48" t="str">
            <v/>
          </cell>
          <cell r="AY48" t="str">
            <v/>
          </cell>
          <cell r="AZ48">
            <v>14464</v>
          </cell>
          <cell r="BA48" t="str">
            <v/>
          </cell>
          <cell r="BB48">
            <v>260.05479409999998</v>
          </cell>
          <cell r="BC48">
            <v>76</v>
          </cell>
          <cell r="BD48">
            <v>553.21838200000002</v>
          </cell>
          <cell r="BE48">
            <v>4</v>
          </cell>
          <cell r="BF48">
            <v>967.23676969999997</v>
          </cell>
          <cell r="BG48">
            <v>43</v>
          </cell>
          <cell r="BH48">
            <v>51</v>
          </cell>
          <cell r="BI48">
            <v>51</v>
          </cell>
          <cell r="BJ48">
            <v>0</v>
          </cell>
        </row>
        <row r="49">
          <cell r="A49" t="str">
            <v>5CG</v>
          </cell>
          <cell r="B49" t="str">
            <v>Q12</v>
          </cell>
          <cell r="C49" t="str">
            <v/>
          </cell>
          <cell r="D49" t="str">
            <v/>
          </cell>
          <cell r="E49" t="str">
            <v/>
          </cell>
          <cell r="F49">
            <v>1</v>
          </cell>
          <cell r="G49">
            <v>1</v>
          </cell>
          <cell r="H49">
            <v>0</v>
          </cell>
          <cell r="J49">
            <v>0</v>
          </cell>
          <cell r="K49">
            <v>6</v>
          </cell>
          <cell r="L49">
            <v>35.910001281999996</v>
          </cell>
          <cell r="M49">
            <v>4</v>
          </cell>
          <cell r="N49">
            <v>0</v>
          </cell>
          <cell r="Q49" t="str">
            <v/>
          </cell>
          <cell r="R49">
            <v>0</v>
          </cell>
          <cell r="S49">
            <v>1259</v>
          </cell>
          <cell r="X49">
            <v>1</v>
          </cell>
          <cell r="Y49">
            <v>0.98245614035087714</v>
          </cell>
          <cell r="Z49">
            <v>0.84</v>
          </cell>
          <cell r="AA49">
            <v>0</v>
          </cell>
          <cell r="AB49" t="str">
            <v/>
          </cell>
          <cell r="AD49">
            <v>22</v>
          </cell>
          <cell r="AE49">
            <v>149</v>
          </cell>
          <cell r="AF49">
            <v>1</v>
          </cell>
          <cell r="AG49">
            <v>0</v>
          </cell>
          <cell r="AH49" t="str">
            <v/>
          </cell>
          <cell r="AI49">
            <v>5</v>
          </cell>
          <cell r="AJ49">
            <v>335</v>
          </cell>
          <cell r="AK49">
            <v>1056.405484550754</v>
          </cell>
          <cell r="AL49">
            <v>0.23647294589178355</v>
          </cell>
          <cell r="AM49">
            <v>0.28524970963995355</v>
          </cell>
          <cell r="AN49">
            <v>0.56666666666666665</v>
          </cell>
          <cell r="AO49">
            <v>155</v>
          </cell>
          <cell r="AQ49">
            <v>20410</v>
          </cell>
          <cell r="AR49" t="str">
            <v/>
          </cell>
          <cell r="AS49">
            <v>8988</v>
          </cell>
          <cell r="AU49">
            <v>19470</v>
          </cell>
          <cell r="AV49" t="str">
            <v/>
          </cell>
          <cell r="AW49">
            <v>18233</v>
          </cell>
          <cell r="AX49" t="str">
            <v/>
          </cell>
          <cell r="AY49" t="str">
            <v/>
          </cell>
          <cell r="AZ49">
            <v>14316</v>
          </cell>
          <cell r="BA49" t="str">
            <v/>
          </cell>
          <cell r="BB49">
            <v>203.14470660000001</v>
          </cell>
          <cell r="BC49" t="str">
            <v/>
          </cell>
          <cell r="BD49">
            <v>545.95262030000004</v>
          </cell>
          <cell r="BE49" t="str">
            <v/>
          </cell>
          <cell r="BF49">
            <v>900.35523409999996</v>
          </cell>
          <cell r="BG49" t="str">
            <v/>
          </cell>
          <cell r="BH49">
            <v>14</v>
          </cell>
          <cell r="BI49">
            <v>14</v>
          </cell>
          <cell r="BJ49">
            <v>14</v>
          </cell>
        </row>
        <row r="50">
          <cell r="A50" t="str">
            <v>5CH</v>
          </cell>
          <cell r="B50" t="str">
            <v>Q12</v>
          </cell>
          <cell r="C50" t="str">
            <v/>
          </cell>
          <cell r="D50" t="str">
            <v/>
          </cell>
          <cell r="E50" t="str">
            <v/>
          </cell>
          <cell r="F50">
            <v>1</v>
          </cell>
          <cell r="G50">
            <v>1</v>
          </cell>
          <cell r="H50">
            <v>0</v>
          </cell>
          <cell r="J50">
            <v>0</v>
          </cell>
          <cell r="K50">
            <v>7.0141999999999998</v>
          </cell>
          <cell r="L50">
            <v>23.166199404999993</v>
          </cell>
          <cell r="M50" t="str">
            <v/>
          </cell>
          <cell r="N50">
            <v>0</v>
          </cell>
          <cell r="Q50" t="str">
            <v/>
          </cell>
          <cell r="R50" t="str">
            <v/>
          </cell>
          <cell r="S50">
            <v>103</v>
          </cell>
          <cell r="X50">
            <v>1</v>
          </cell>
          <cell r="Y50">
            <v>0.95454545454545459</v>
          </cell>
          <cell r="Z50">
            <v>0.88888888888888884</v>
          </cell>
          <cell r="AA50">
            <v>0</v>
          </cell>
          <cell r="AB50" t="str">
            <v/>
          </cell>
          <cell r="AD50">
            <v>9</v>
          </cell>
          <cell r="AE50">
            <v>132</v>
          </cell>
          <cell r="AF50">
            <v>0.91764705882352937</v>
          </cell>
          <cell r="AG50">
            <v>0</v>
          </cell>
          <cell r="AH50" t="str">
            <v/>
          </cell>
          <cell r="AI50">
            <v>3</v>
          </cell>
          <cell r="AJ50">
            <v>223</v>
          </cell>
          <cell r="AK50">
            <v>951.02434119569318</v>
          </cell>
          <cell r="AL50">
            <v>0.16730038022813687</v>
          </cell>
          <cell r="AM50">
            <v>0.32639590396457485</v>
          </cell>
          <cell r="AN50">
            <v>0.5</v>
          </cell>
          <cell r="AO50">
            <v>131</v>
          </cell>
          <cell r="AQ50">
            <v>13262</v>
          </cell>
          <cell r="AR50" t="str">
            <v/>
          </cell>
          <cell r="AS50">
            <v>5587</v>
          </cell>
          <cell r="AU50">
            <v>12569</v>
          </cell>
          <cell r="AV50" t="str">
            <v/>
          </cell>
          <cell r="AW50">
            <v>11816</v>
          </cell>
          <cell r="AX50" t="str">
            <v/>
          </cell>
          <cell r="AY50" t="str">
            <v/>
          </cell>
          <cell r="AZ50">
            <v>8943</v>
          </cell>
          <cell r="BA50" t="str">
            <v/>
          </cell>
          <cell r="BB50">
            <v>120.20319689600001</v>
          </cell>
          <cell r="BC50" t="str">
            <v/>
          </cell>
          <cell r="BD50">
            <v>356.11399059399997</v>
          </cell>
          <cell r="BE50" t="str">
            <v/>
          </cell>
          <cell r="BF50">
            <v>598.95438408700011</v>
          </cell>
          <cell r="BG50" t="str">
            <v/>
          </cell>
          <cell r="BH50">
            <v>1529</v>
          </cell>
          <cell r="BI50">
            <v>1411</v>
          </cell>
          <cell r="BJ50">
            <v>0</v>
          </cell>
        </row>
        <row r="51">
          <cell r="A51" t="str">
            <v>5CK</v>
          </cell>
          <cell r="B51" t="str">
            <v>Q23</v>
          </cell>
          <cell r="C51" t="str">
            <v/>
          </cell>
          <cell r="D51" t="str">
            <v/>
          </cell>
          <cell r="E51" t="str">
            <v/>
          </cell>
          <cell r="F51">
            <v>1</v>
          </cell>
          <cell r="G51">
            <v>1</v>
          </cell>
          <cell r="H51">
            <v>0</v>
          </cell>
          <cell r="J51">
            <v>1</v>
          </cell>
          <cell r="K51">
            <v>3.556</v>
          </cell>
          <cell r="L51">
            <v>36.712000000000003</v>
          </cell>
          <cell r="M51">
            <v>0</v>
          </cell>
          <cell r="N51">
            <v>0</v>
          </cell>
          <cell r="Q51" t="str">
            <v/>
          </cell>
          <cell r="R51" t="str">
            <v/>
          </cell>
          <cell r="S51">
            <v>142</v>
          </cell>
          <cell r="X51">
            <v>1</v>
          </cell>
          <cell r="Y51">
            <v>1</v>
          </cell>
          <cell r="Z51">
            <v>1</v>
          </cell>
          <cell r="AA51">
            <v>0</v>
          </cell>
          <cell r="AB51" t="str">
            <v/>
          </cell>
          <cell r="AD51">
            <v>21</v>
          </cell>
          <cell r="AE51">
            <v>90</v>
          </cell>
          <cell r="AF51">
            <v>1</v>
          </cell>
          <cell r="AG51">
            <v>0</v>
          </cell>
          <cell r="AH51" t="str">
            <v/>
          </cell>
          <cell r="AI51">
            <v>1</v>
          </cell>
          <cell r="AJ51">
            <v>15</v>
          </cell>
          <cell r="AK51">
            <v>1103.3224848896677</v>
          </cell>
          <cell r="AL51">
            <v>0.27490039840637448</v>
          </cell>
          <cell r="AM51">
            <v>0.27850445947146063</v>
          </cell>
          <cell r="AN51">
            <v>0.25</v>
          </cell>
          <cell r="AO51">
            <v>1335</v>
          </cell>
          <cell r="AQ51">
            <v>21878</v>
          </cell>
          <cell r="AR51" t="str">
            <v/>
          </cell>
          <cell r="AS51">
            <v>12315</v>
          </cell>
          <cell r="AU51">
            <v>17556</v>
          </cell>
          <cell r="AV51" t="str">
            <v/>
          </cell>
          <cell r="AW51">
            <v>15396</v>
          </cell>
          <cell r="AX51" t="str">
            <v/>
          </cell>
          <cell r="AY51" t="str">
            <v/>
          </cell>
          <cell r="AZ51">
            <v>10160</v>
          </cell>
          <cell r="BA51" t="str">
            <v/>
          </cell>
          <cell r="BB51">
            <v>101.84</v>
          </cell>
          <cell r="BC51" t="str">
            <v/>
          </cell>
          <cell r="BD51">
            <v>14.71</v>
          </cell>
          <cell r="BE51" t="str">
            <v/>
          </cell>
          <cell r="BF51">
            <v>36.26</v>
          </cell>
          <cell r="BG51" t="str">
            <v/>
          </cell>
          <cell r="BH51">
            <v>265</v>
          </cell>
          <cell r="BI51">
            <v>265</v>
          </cell>
          <cell r="BJ51">
            <v>0</v>
          </cell>
        </row>
        <row r="52">
          <cell r="A52" t="str">
            <v>5CL</v>
          </cell>
          <cell r="B52" t="str">
            <v>Q14</v>
          </cell>
          <cell r="C52" t="str">
            <v/>
          </cell>
          <cell r="D52" t="str">
            <v/>
          </cell>
          <cell r="E52">
            <v>1</v>
          </cell>
          <cell r="F52">
            <v>1</v>
          </cell>
          <cell r="G52">
            <v>1</v>
          </cell>
          <cell r="H52">
            <v>0</v>
          </cell>
          <cell r="J52">
            <v>0</v>
          </cell>
          <cell r="K52">
            <v>150.65000005499999</v>
          </cell>
          <cell r="L52">
            <v>57</v>
          </cell>
          <cell r="M52" t="str">
            <v/>
          </cell>
          <cell r="N52">
            <v>0</v>
          </cell>
          <cell r="Q52" t="str">
            <v/>
          </cell>
          <cell r="R52" t="str">
            <v/>
          </cell>
          <cell r="S52">
            <v>521</v>
          </cell>
          <cell r="X52">
            <v>1</v>
          </cell>
          <cell r="Y52">
            <v>1</v>
          </cell>
          <cell r="Z52">
            <v>1</v>
          </cell>
          <cell r="AA52">
            <v>0</v>
          </cell>
          <cell r="AB52" t="str">
            <v/>
          </cell>
          <cell r="AD52">
            <v>0</v>
          </cell>
          <cell r="AE52">
            <v>239</v>
          </cell>
          <cell r="AF52">
            <v>0.80873892085212251</v>
          </cell>
          <cell r="AG52">
            <v>0</v>
          </cell>
          <cell r="AH52" t="str">
            <v/>
          </cell>
          <cell r="AI52">
            <v>3</v>
          </cell>
          <cell r="AJ52">
            <v>280</v>
          </cell>
          <cell r="AK52">
            <v>1203.3895726521732</v>
          </cell>
          <cell r="AL52">
            <v>0.19409937888198758</v>
          </cell>
          <cell r="AM52">
            <v>0.31150219667732687</v>
          </cell>
          <cell r="AN52">
            <v>0.47058823529411764</v>
          </cell>
          <cell r="AO52">
            <v>160.5</v>
          </cell>
          <cell r="AQ52">
            <v>43294</v>
          </cell>
          <cell r="AR52" t="str">
            <v/>
          </cell>
          <cell r="AS52">
            <v>44259</v>
          </cell>
          <cell r="AU52">
            <v>30178</v>
          </cell>
          <cell r="AV52" t="str">
            <v/>
          </cell>
          <cell r="AW52">
            <v>14030</v>
          </cell>
          <cell r="AX52" t="str">
            <v/>
          </cell>
          <cell r="AY52" t="str">
            <v/>
          </cell>
          <cell r="AZ52">
            <v>20480</v>
          </cell>
          <cell r="BA52" t="str">
            <v/>
          </cell>
          <cell r="BB52">
            <v>224.85000037</v>
          </cell>
          <cell r="BC52">
            <v>3.4000000510000001</v>
          </cell>
          <cell r="BD52">
            <v>681.65000075</v>
          </cell>
          <cell r="BE52">
            <v>0.85000001300000005</v>
          </cell>
          <cell r="BF52">
            <v>640.80000097000004</v>
          </cell>
          <cell r="BG52" t="str">
            <v/>
          </cell>
          <cell r="BH52">
            <v>55</v>
          </cell>
          <cell r="BI52">
            <v>9</v>
          </cell>
          <cell r="BJ52">
            <v>9</v>
          </cell>
        </row>
        <row r="53">
          <cell r="A53" t="str">
            <v>5CM</v>
          </cell>
          <cell r="B53" t="str">
            <v>Q18</v>
          </cell>
          <cell r="C53" t="str">
            <v/>
          </cell>
          <cell r="D53" t="str">
            <v/>
          </cell>
          <cell r="E53" t="str">
            <v/>
          </cell>
          <cell r="F53">
            <v>1</v>
          </cell>
          <cell r="G53">
            <v>1</v>
          </cell>
          <cell r="H53">
            <v>0</v>
          </cell>
          <cell r="J53">
            <v>0</v>
          </cell>
          <cell r="K53">
            <v>70.444599992999997</v>
          </cell>
          <cell r="L53">
            <v>189.893099213</v>
          </cell>
          <cell r="M53" t="str">
            <v/>
          </cell>
          <cell r="N53">
            <v>0</v>
          </cell>
          <cell r="Q53" t="str">
            <v/>
          </cell>
          <cell r="R53">
            <v>0</v>
          </cell>
          <cell r="S53">
            <v>16</v>
          </cell>
          <cell r="X53">
            <v>1</v>
          </cell>
          <cell r="Y53">
            <v>1</v>
          </cell>
          <cell r="Z53">
            <v>0.9642857142857143</v>
          </cell>
          <cell r="AA53">
            <v>0</v>
          </cell>
          <cell r="AB53" t="str">
            <v/>
          </cell>
          <cell r="AD53">
            <v>3</v>
          </cell>
          <cell r="AE53">
            <v>243</v>
          </cell>
          <cell r="AF53">
            <v>0.74107038294882299</v>
          </cell>
          <cell r="AG53">
            <v>0</v>
          </cell>
          <cell r="AH53" t="str">
            <v/>
          </cell>
          <cell r="AI53">
            <v>13</v>
          </cell>
          <cell r="AJ53">
            <v>409</v>
          </cell>
          <cell r="AK53">
            <v>535.02494525588645</v>
          </cell>
          <cell r="AL53">
            <v>0.21875</v>
          </cell>
          <cell r="AM53">
            <v>0.26386245255707397</v>
          </cell>
          <cell r="AN53">
            <v>0.12962962962962962</v>
          </cell>
          <cell r="AO53">
            <v>-4316</v>
          </cell>
          <cell r="AQ53">
            <v>35904</v>
          </cell>
          <cell r="AR53" t="str">
            <v/>
          </cell>
          <cell r="AS53">
            <v>16150</v>
          </cell>
          <cell r="AU53">
            <v>35369</v>
          </cell>
          <cell r="AV53" t="str">
            <v/>
          </cell>
          <cell r="AW53">
            <v>20123</v>
          </cell>
          <cell r="AX53" t="str">
            <v/>
          </cell>
          <cell r="AY53" t="str">
            <v/>
          </cell>
          <cell r="AZ53">
            <v>18421</v>
          </cell>
          <cell r="BA53" t="str">
            <v/>
          </cell>
          <cell r="BB53">
            <v>404.41412758000001</v>
          </cell>
          <cell r="BC53">
            <v>82</v>
          </cell>
          <cell r="BD53">
            <v>697.79449027800001</v>
          </cell>
          <cell r="BE53">
            <v>4.0299999990000002</v>
          </cell>
          <cell r="BF53">
            <v>1432.1177677850001</v>
          </cell>
          <cell r="BG53">
            <v>6.01</v>
          </cell>
          <cell r="BH53">
            <v>217</v>
          </cell>
          <cell r="BI53">
            <v>217</v>
          </cell>
          <cell r="BJ53">
            <v>0</v>
          </cell>
        </row>
        <row r="54">
          <cell r="A54" t="str">
            <v>5CN</v>
          </cell>
          <cell r="B54" t="str">
            <v>Q28</v>
          </cell>
          <cell r="C54" t="str">
            <v/>
          </cell>
          <cell r="D54" t="str">
            <v/>
          </cell>
          <cell r="E54">
            <v>1</v>
          </cell>
          <cell r="F54">
            <v>1</v>
          </cell>
          <cell r="G54">
            <v>1</v>
          </cell>
          <cell r="H54">
            <v>0</v>
          </cell>
          <cell r="J54">
            <v>1</v>
          </cell>
          <cell r="K54">
            <v>10.012</v>
          </cell>
          <cell r="L54">
            <v>517.36343497199994</v>
          </cell>
          <cell r="M54" t="str">
            <v/>
          </cell>
          <cell r="N54">
            <v>0</v>
          </cell>
          <cell r="Q54" t="str">
            <v/>
          </cell>
          <cell r="R54">
            <v>1</v>
          </cell>
          <cell r="S54">
            <v>159</v>
          </cell>
          <cell r="X54">
            <v>1</v>
          </cell>
          <cell r="Y54">
            <v>0.98630136986301364</v>
          </cell>
          <cell r="Z54">
            <v>1</v>
          </cell>
          <cell r="AA54">
            <v>0</v>
          </cell>
          <cell r="AB54" t="str">
            <v/>
          </cell>
          <cell r="AD54">
            <v>14</v>
          </cell>
          <cell r="AE54">
            <v>333</v>
          </cell>
          <cell r="AF54">
            <v>0.54334612923864367</v>
          </cell>
          <cell r="AG54">
            <v>0</v>
          </cell>
          <cell r="AH54" t="str">
            <v/>
          </cell>
          <cell r="AI54">
            <v>2</v>
          </cell>
          <cell r="AJ54">
            <v>120</v>
          </cell>
          <cell r="AK54">
            <v>807.10361745499767</v>
          </cell>
          <cell r="AL54" t="str">
            <v/>
          </cell>
          <cell r="AM54">
            <v>0.28428603790681872</v>
          </cell>
          <cell r="AN54">
            <v>0.31428571428571428</v>
          </cell>
          <cell r="AO54">
            <v>0</v>
          </cell>
          <cell r="AQ54">
            <v>30281</v>
          </cell>
          <cell r="AR54" t="str">
            <v/>
          </cell>
          <cell r="AS54">
            <v>10842</v>
          </cell>
          <cell r="AU54">
            <v>27540</v>
          </cell>
          <cell r="AV54" t="str">
            <v/>
          </cell>
          <cell r="AW54">
            <v>17698</v>
          </cell>
          <cell r="AX54" t="str">
            <v/>
          </cell>
          <cell r="AY54" t="str">
            <v/>
          </cell>
          <cell r="AZ54">
            <v>13568</v>
          </cell>
          <cell r="BA54" t="str">
            <v/>
          </cell>
          <cell r="BB54">
            <v>301.18639999499999</v>
          </cell>
          <cell r="BC54">
            <v>6</v>
          </cell>
          <cell r="BD54">
            <v>491.19399999500001</v>
          </cell>
          <cell r="BE54" t="str">
            <v/>
          </cell>
          <cell r="BF54">
            <v>457.28299999299998</v>
          </cell>
          <cell r="BG54" t="str">
            <v/>
          </cell>
          <cell r="BH54">
            <v>245</v>
          </cell>
          <cell r="BI54">
            <v>120</v>
          </cell>
          <cell r="BJ54">
            <v>118</v>
          </cell>
        </row>
        <row r="55">
          <cell r="A55" t="str">
            <v>5CP</v>
          </cell>
          <cell r="B55" t="str">
            <v>Q02</v>
          </cell>
          <cell r="C55" t="str">
            <v/>
          </cell>
          <cell r="D55" t="str">
            <v/>
          </cell>
          <cell r="E55" t="str">
            <v/>
          </cell>
          <cell r="F55">
            <v>1</v>
          </cell>
          <cell r="G55">
            <v>1</v>
          </cell>
          <cell r="H55">
            <v>0</v>
          </cell>
          <cell r="J55">
            <v>0</v>
          </cell>
          <cell r="K55">
            <v>57.324266677000004</v>
          </cell>
          <cell r="L55">
            <v>125.156219515</v>
          </cell>
          <cell r="M55" t="str">
            <v/>
          </cell>
          <cell r="N55">
            <v>1</v>
          </cell>
          <cell r="Q55" t="str">
            <v/>
          </cell>
          <cell r="R55" t="str">
            <v/>
          </cell>
          <cell r="S55">
            <v>24</v>
          </cell>
          <cell r="X55">
            <v>1</v>
          </cell>
          <cell r="Y55">
            <v>1</v>
          </cell>
          <cell r="Z55">
            <v>1</v>
          </cell>
          <cell r="AA55">
            <v>0</v>
          </cell>
          <cell r="AB55" t="str">
            <v/>
          </cell>
          <cell r="AD55">
            <v>2</v>
          </cell>
          <cell r="AE55">
            <v>38</v>
          </cell>
          <cell r="AF55">
            <v>0.89983948635634026</v>
          </cell>
          <cell r="AG55">
            <v>0</v>
          </cell>
          <cell r="AH55" t="str">
            <v/>
          </cell>
          <cell r="AI55">
            <v>1</v>
          </cell>
          <cell r="AJ55">
            <v>1</v>
          </cell>
          <cell r="AK55">
            <v>762.09231433273078</v>
          </cell>
          <cell r="AL55">
            <v>0.11020408163265306</v>
          </cell>
          <cell r="AM55">
            <v>0.27727985659870041</v>
          </cell>
          <cell r="AN55">
            <v>0.39130434782608697</v>
          </cell>
          <cell r="AO55">
            <v>-9353</v>
          </cell>
          <cell r="AQ55">
            <v>14712</v>
          </cell>
          <cell r="AR55" t="str">
            <v/>
          </cell>
          <cell r="AS55">
            <v>5448</v>
          </cell>
          <cell r="AU55">
            <v>13906</v>
          </cell>
          <cell r="AV55" t="str">
            <v/>
          </cell>
          <cell r="AW55">
            <v>9229</v>
          </cell>
          <cell r="AX55" t="str">
            <v/>
          </cell>
          <cell r="AY55" t="str">
            <v/>
          </cell>
          <cell r="AZ55">
            <v>8035</v>
          </cell>
          <cell r="BA55" t="str">
            <v/>
          </cell>
          <cell r="BB55">
            <v>169.00872171700001</v>
          </cell>
          <cell r="BC55">
            <v>4.8127602930000002</v>
          </cell>
          <cell r="BD55">
            <v>397.84764518399999</v>
          </cell>
          <cell r="BE55">
            <v>0.32999999800000002</v>
          </cell>
          <cell r="BF55">
            <v>837.872662279</v>
          </cell>
          <cell r="BG55" t="str">
            <v/>
          </cell>
          <cell r="BH55">
            <v>82</v>
          </cell>
          <cell r="BI55">
            <v>1</v>
          </cell>
          <cell r="BJ55">
            <v>0</v>
          </cell>
        </row>
        <row r="56">
          <cell r="A56" t="str">
            <v>5CQ</v>
          </cell>
          <cell r="B56" t="str">
            <v>Q16</v>
          </cell>
          <cell r="C56" t="str">
            <v/>
          </cell>
          <cell r="D56" t="str">
            <v/>
          </cell>
          <cell r="E56" t="str">
            <v/>
          </cell>
          <cell r="F56">
            <v>1</v>
          </cell>
          <cell r="G56">
            <v>1</v>
          </cell>
          <cell r="H56">
            <v>0</v>
          </cell>
          <cell r="J56">
            <v>0</v>
          </cell>
          <cell r="K56">
            <v>94.051701590999983</v>
          </cell>
          <cell r="L56">
            <v>244.10130198900001</v>
          </cell>
          <cell r="M56" t="str">
            <v/>
          </cell>
          <cell r="N56">
            <v>2</v>
          </cell>
          <cell r="Q56" t="str">
            <v/>
          </cell>
          <cell r="R56">
            <v>1</v>
          </cell>
          <cell r="S56">
            <v>26</v>
          </cell>
          <cell r="X56">
            <v>1</v>
          </cell>
          <cell r="Y56">
            <v>0.98412698412698407</v>
          </cell>
          <cell r="Z56">
            <v>0.91891891891891897</v>
          </cell>
          <cell r="AA56">
            <v>0</v>
          </cell>
          <cell r="AB56" t="str">
            <v/>
          </cell>
          <cell r="AD56">
            <v>10</v>
          </cell>
          <cell r="AE56">
            <v>386</v>
          </cell>
          <cell r="AF56">
            <v>0.99781181619256021</v>
          </cell>
          <cell r="AG56">
            <v>0</v>
          </cell>
          <cell r="AH56" t="str">
            <v/>
          </cell>
          <cell r="AI56">
            <v>3</v>
          </cell>
          <cell r="AJ56">
            <v>112</v>
          </cell>
          <cell r="AK56">
            <v>757.70312182961834</v>
          </cell>
          <cell r="AL56">
            <v>0.14243323442136499</v>
          </cell>
          <cell r="AM56">
            <v>0.25670211172682345</v>
          </cell>
          <cell r="AN56">
            <v>0.31372549019607843</v>
          </cell>
          <cell r="AO56">
            <v>-2347</v>
          </cell>
          <cell r="AQ56">
            <v>26832</v>
          </cell>
          <cell r="AR56" t="str">
            <v/>
          </cell>
          <cell r="AS56">
            <v>15462</v>
          </cell>
          <cell r="AU56">
            <v>22523</v>
          </cell>
          <cell r="AV56" t="str">
            <v/>
          </cell>
          <cell r="AW56">
            <v>21031</v>
          </cell>
          <cell r="AX56" t="str">
            <v/>
          </cell>
          <cell r="AY56" t="str">
            <v/>
          </cell>
          <cell r="AZ56">
            <v>22755</v>
          </cell>
          <cell r="BA56" t="str">
            <v/>
          </cell>
          <cell r="BB56">
            <v>558.17634409999994</v>
          </cell>
          <cell r="BC56" t="str">
            <v/>
          </cell>
          <cell r="BD56">
            <v>632.00946903400006</v>
          </cell>
          <cell r="BE56" t="str">
            <v/>
          </cell>
          <cell r="BF56">
            <v>2692.1309915500001</v>
          </cell>
          <cell r="BG56" t="str">
            <v/>
          </cell>
          <cell r="BH56">
            <v>1558</v>
          </cell>
          <cell r="BI56">
            <v>1377</v>
          </cell>
          <cell r="BJ56">
            <v>344</v>
          </cell>
        </row>
        <row r="57">
          <cell r="A57" t="str">
            <v>5CR</v>
          </cell>
          <cell r="B57" t="str">
            <v>Q14</v>
          </cell>
          <cell r="C57" t="str">
            <v/>
          </cell>
          <cell r="D57" t="str">
            <v/>
          </cell>
          <cell r="E57">
            <v>1</v>
          </cell>
          <cell r="F57">
            <v>1</v>
          </cell>
          <cell r="G57">
            <v>1</v>
          </cell>
          <cell r="H57">
            <v>0</v>
          </cell>
          <cell r="J57">
            <v>0</v>
          </cell>
          <cell r="K57">
            <v>61.459999967999998</v>
          </cell>
          <cell r="L57">
            <v>138</v>
          </cell>
          <cell r="M57" t="str">
            <v/>
          </cell>
          <cell r="N57">
            <v>0</v>
          </cell>
          <cell r="Q57" t="str">
            <v/>
          </cell>
          <cell r="R57" t="str">
            <v/>
          </cell>
          <cell r="S57">
            <v>382</v>
          </cell>
          <cell r="X57">
            <v>1</v>
          </cell>
          <cell r="Y57">
            <v>1</v>
          </cell>
          <cell r="Z57">
            <v>0.73684210526315785</v>
          </cell>
          <cell r="AA57">
            <v>0</v>
          </cell>
          <cell r="AB57" t="str">
            <v/>
          </cell>
          <cell r="AD57">
            <v>0</v>
          </cell>
          <cell r="AE57">
            <v>209</v>
          </cell>
          <cell r="AF57">
            <v>0.40283267457180499</v>
          </cell>
          <cell r="AG57">
            <v>0</v>
          </cell>
          <cell r="AH57" t="str">
            <v/>
          </cell>
          <cell r="AI57">
            <v>2.8</v>
          </cell>
          <cell r="AJ57">
            <v>304</v>
          </cell>
          <cell r="AK57">
            <v>1723.3946845597332</v>
          </cell>
          <cell r="AL57">
            <v>0.28205128205128205</v>
          </cell>
          <cell r="AM57">
            <v>0.27796423425714045</v>
          </cell>
          <cell r="AN57">
            <v>0.39436619718309857</v>
          </cell>
          <cell r="AO57">
            <v>3</v>
          </cell>
          <cell r="AQ57">
            <v>39573</v>
          </cell>
          <cell r="AR57" t="str">
            <v/>
          </cell>
          <cell r="AS57">
            <v>25762</v>
          </cell>
          <cell r="AU57">
            <v>28088</v>
          </cell>
          <cell r="AV57" t="str">
            <v/>
          </cell>
          <cell r="AW57">
            <v>21928</v>
          </cell>
          <cell r="AX57" t="str">
            <v/>
          </cell>
          <cell r="AY57" t="str">
            <v/>
          </cell>
          <cell r="AZ57">
            <v>20870</v>
          </cell>
          <cell r="BA57" t="str">
            <v/>
          </cell>
          <cell r="BB57">
            <v>207.93999977800001</v>
          </cell>
          <cell r="BC57">
            <v>1.3599999700000001</v>
          </cell>
          <cell r="BD57">
            <v>815.25999954999997</v>
          </cell>
          <cell r="BE57">
            <v>0.33999999199999997</v>
          </cell>
          <cell r="BF57">
            <v>907.91999942000007</v>
          </cell>
          <cell r="BG57" t="str">
            <v/>
          </cell>
          <cell r="BH57">
            <v>12</v>
          </cell>
          <cell r="BI57">
            <v>285</v>
          </cell>
          <cell r="BJ57">
            <v>99</v>
          </cell>
        </row>
        <row r="58">
          <cell r="A58" t="str">
            <v>5CV</v>
          </cell>
          <cell r="B58" t="str">
            <v>Q21</v>
          </cell>
          <cell r="C58" t="str">
            <v/>
          </cell>
          <cell r="D58" t="str">
            <v/>
          </cell>
          <cell r="E58">
            <v>1</v>
          </cell>
          <cell r="F58">
            <v>1</v>
          </cell>
          <cell r="G58">
            <v>1</v>
          </cell>
          <cell r="H58">
            <v>0</v>
          </cell>
          <cell r="J58">
            <v>9</v>
          </cell>
          <cell r="K58">
            <v>55.471300018999997</v>
          </cell>
          <cell r="L58">
            <v>1149.2993012460001</v>
          </cell>
          <cell r="M58" t="str">
            <v/>
          </cell>
          <cell r="N58">
            <v>3</v>
          </cell>
          <cell r="Q58" t="str">
            <v/>
          </cell>
          <cell r="R58" t="str">
            <v/>
          </cell>
          <cell r="S58">
            <v>99</v>
          </cell>
          <cell r="X58">
            <v>1</v>
          </cell>
          <cell r="Y58">
            <v>1</v>
          </cell>
          <cell r="Z58">
            <v>0.90909090909090906</v>
          </cell>
          <cell r="AA58">
            <v>0</v>
          </cell>
          <cell r="AB58" t="str">
            <v/>
          </cell>
          <cell r="AD58">
            <v>20</v>
          </cell>
          <cell r="AE58">
            <v>175</v>
          </cell>
          <cell r="AF58">
            <v>0.96503102086858428</v>
          </cell>
          <cell r="AG58">
            <v>0</v>
          </cell>
          <cell r="AH58" t="str">
            <v/>
          </cell>
          <cell r="AI58">
            <v>4</v>
          </cell>
          <cell r="AJ58">
            <v>115</v>
          </cell>
          <cell r="AK58">
            <v>588.64191130408483</v>
          </cell>
          <cell r="AL58">
            <v>0.1201923076923077</v>
          </cell>
          <cell r="AM58">
            <v>0.32177246903113965</v>
          </cell>
          <cell r="AN58">
            <v>0.21428571428571427</v>
          </cell>
          <cell r="AO58">
            <v>226</v>
          </cell>
          <cell r="AQ58">
            <v>18283</v>
          </cell>
          <cell r="AR58" t="str">
            <v/>
          </cell>
          <cell r="AS58">
            <v>5977</v>
          </cell>
          <cell r="AU58">
            <v>16226</v>
          </cell>
          <cell r="AV58" t="str">
            <v/>
          </cell>
          <cell r="AW58">
            <v>11000</v>
          </cell>
          <cell r="AX58" t="str">
            <v/>
          </cell>
          <cell r="AY58" t="str">
            <v/>
          </cell>
          <cell r="AZ58">
            <v>8861</v>
          </cell>
          <cell r="BA58" t="str">
            <v/>
          </cell>
          <cell r="BB58">
            <v>150.919501231</v>
          </cell>
          <cell r="BC58">
            <v>0.18000000699999999</v>
          </cell>
          <cell r="BD58">
            <v>360.78360441699999</v>
          </cell>
          <cell r="BE58">
            <v>5.220000207</v>
          </cell>
          <cell r="BF58">
            <v>584.74680583600002</v>
          </cell>
          <cell r="BG58">
            <v>130</v>
          </cell>
          <cell r="BH58">
            <v>11</v>
          </cell>
          <cell r="BI58">
            <v>16</v>
          </cell>
          <cell r="BJ58">
            <v>8</v>
          </cell>
        </row>
        <row r="59">
          <cell r="A59" t="str">
            <v>5CX</v>
          </cell>
          <cell r="B59" t="str">
            <v>Q14</v>
          </cell>
          <cell r="C59" t="str">
            <v/>
          </cell>
          <cell r="D59" t="str">
            <v/>
          </cell>
          <cell r="E59" t="str">
            <v/>
          </cell>
          <cell r="F59">
            <v>1</v>
          </cell>
          <cell r="G59">
            <v>1</v>
          </cell>
          <cell r="H59">
            <v>0</v>
          </cell>
          <cell r="J59">
            <v>0</v>
          </cell>
          <cell r="K59">
            <v>21.000000313000001</v>
          </cell>
          <cell r="L59">
            <v>66.500002315999993</v>
          </cell>
          <cell r="M59" t="str">
            <v/>
          </cell>
          <cell r="N59">
            <v>0</v>
          </cell>
          <cell r="Q59" t="str">
            <v/>
          </cell>
          <cell r="R59" t="str">
            <v/>
          </cell>
          <cell r="S59">
            <v>13</v>
          </cell>
          <cell r="X59">
            <v>1</v>
          </cell>
          <cell r="Y59">
            <v>1</v>
          </cell>
          <cell r="Z59">
            <v>0.83333333333333337</v>
          </cell>
          <cell r="AA59">
            <v>0</v>
          </cell>
          <cell r="AB59" t="str">
            <v/>
          </cell>
          <cell r="AD59">
            <v>0</v>
          </cell>
          <cell r="AE59">
            <v>87</v>
          </cell>
          <cell r="AF59">
            <v>0.8</v>
          </cell>
          <cell r="AG59">
            <v>0</v>
          </cell>
          <cell r="AH59" t="str">
            <v/>
          </cell>
          <cell r="AI59">
            <v>1.5</v>
          </cell>
          <cell r="AJ59">
            <v>5</v>
          </cell>
          <cell r="AK59">
            <v>667.24216726755697</v>
          </cell>
          <cell r="AL59">
            <v>0.11142061281337047</v>
          </cell>
          <cell r="AM59">
            <v>0.22307097666659886</v>
          </cell>
          <cell r="AN59">
            <v>0.17241379310344829</v>
          </cell>
          <cell r="AO59">
            <v>483</v>
          </cell>
          <cell r="AQ59">
            <v>31096</v>
          </cell>
          <cell r="AR59" t="str">
            <v/>
          </cell>
          <cell r="AS59">
            <v>15027</v>
          </cell>
          <cell r="AU59">
            <v>23379</v>
          </cell>
          <cell r="AV59" t="str">
            <v/>
          </cell>
          <cell r="AW59">
            <v>15424</v>
          </cell>
          <cell r="AX59" t="str">
            <v/>
          </cell>
          <cell r="AY59" t="str">
            <v/>
          </cell>
          <cell r="AZ59">
            <v>9715</v>
          </cell>
          <cell r="BA59" t="str">
            <v/>
          </cell>
          <cell r="BB59">
            <v>223.00000460000001</v>
          </cell>
          <cell r="BC59">
            <v>14.6000002</v>
          </cell>
          <cell r="BD59">
            <v>460.40000859999998</v>
          </cell>
          <cell r="BE59">
            <v>3.4000000510000001</v>
          </cell>
          <cell r="BF59">
            <v>578.70001419999994</v>
          </cell>
          <cell r="BG59" t="str">
            <v/>
          </cell>
          <cell r="BH59">
            <v>156</v>
          </cell>
          <cell r="BI59">
            <v>0</v>
          </cell>
          <cell r="BJ59">
            <v>0</v>
          </cell>
        </row>
        <row r="60">
          <cell r="A60" t="str">
            <v>5CY</v>
          </cell>
          <cell r="B60" t="str">
            <v>Q01</v>
          </cell>
          <cell r="C60" t="str">
            <v/>
          </cell>
          <cell r="D60" t="str">
            <v/>
          </cell>
          <cell r="E60" t="str">
            <v/>
          </cell>
          <cell r="F60">
            <v>1</v>
          </cell>
          <cell r="G60">
            <v>1</v>
          </cell>
          <cell r="H60">
            <v>0</v>
          </cell>
          <cell r="J60">
            <v>0</v>
          </cell>
          <cell r="K60">
            <v>2.0262000000000002</v>
          </cell>
          <cell r="L60">
            <v>451.57221858799994</v>
          </cell>
          <cell r="M60" t="str">
            <v/>
          </cell>
          <cell r="N60">
            <v>0</v>
          </cell>
          <cell r="Q60" t="str">
            <v/>
          </cell>
          <cell r="R60" t="str">
            <v/>
          </cell>
          <cell r="S60">
            <v>384</v>
          </cell>
          <cell r="X60">
            <v>0.99350649350649356</v>
          </cell>
          <cell r="Y60">
            <v>0.9838709677419355</v>
          </cell>
          <cell r="Z60">
            <v>1</v>
          </cell>
          <cell r="AA60">
            <v>0</v>
          </cell>
          <cell r="AB60" t="str">
            <v/>
          </cell>
          <cell r="AD60">
            <v>9</v>
          </cell>
          <cell r="AE60">
            <v>183</v>
          </cell>
          <cell r="AF60">
            <v>0.76145645853523469</v>
          </cell>
          <cell r="AG60">
            <v>0</v>
          </cell>
          <cell r="AH60" t="str">
            <v/>
          </cell>
          <cell r="AI60">
            <v>2</v>
          </cell>
          <cell r="AJ60">
            <v>29</v>
          </cell>
          <cell r="AK60">
            <v>684.51691489123209</v>
          </cell>
          <cell r="AL60" t="str">
            <v/>
          </cell>
          <cell r="AM60">
            <v>0.25061407311082212</v>
          </cell>
          <cell r="AN60">
            <v>0.56000000000000005</v>
          </cell>
          <cell r="AO60">
            <v>-813</v>
          </cell>
          <cell r="AQ60">
            <v>26374</v>
          </cell>
          <cell r="AR60" t="str">
            <v/>
          </cell>
          <cell r="AS60">
            <v>14486</v>
          </cell>
          <cell r="AU60">
            <v>21451</v>
          </cell>
          <cell r="AV60" t="str">
            <v/>
          </cell>
          <cell r="AW60">
            <v>21577</v>
          </cell>
          <cell r="AX60" t="str">
            <v/>
          </cell>
          <cell r="AY60" t="str">
            <v/>
          </cell>
          <cell r="AZ60">
            <v>15339</v>
          </cell>
          <cell r="BA60" t="str">
            <v/>
          </cell>
          <cell r="BB60">
            <v>423.20885912099999</v>
          </cell>
          <cell r="BC60">
            <v>107.2000027</v>
          </cell>
          <cell r="BD60">
            <v>455.89335989099999</v>
          </cell>
          <cell r="BE60" t="str">
            <v/>
          </cell>
          <cell r="BF60">
            <v>557.93653682499996</v>
          </cell>
          <cell r="BG60" t="str">
            <v/>
          </cell>
          <cell r="BH60">
            <v>446</v>
          </cell>
          <cell r="BI60">
            <v>419</v>
          </cell>
          <cell r="BJ60">
            <v>20</v>
          </cell>
        </row>
        <row r="61">
          <cell r="A61" t="str">
            <v>5D1</v>
          </cell>
          <cell r="B61" t="str">
            <v>Q27</v>
          </cell>
          <cell r="C61" t="str">
            <v/>
          </cell>
          <cell r="D61" t="str">
            <v/>
          </cell>
          <cell r="E61" t="str">
            <v/>
          </cell>
          <cell r="F61">
            <v>1</v>
          </cell>
          <cell r="G61">
            <v>1</v>
          </cell>
          <cell r="H61">
            <v>0</v>
          </cell>
          <cell r="J61">
            <v>0</v>
          </cell>
          <cell r="K61">
            <v>45.016100000000002</v>
          </cell>
          <cell r="L61">
            <v>106.46409017000001</v>
          </cell>
          <cell r="M61" t="str">
            <v/>
          </cell>
          <cell r="N61">
            <v>0</v>
          </cell>
          <cell r="Q61" t="str">
            <v/>
          </cell>
          <cell r="R61">
            <v>1</v>
          </cell>
          <cell r="S61">
            <v>663</v>
          </cell>
          <cell r="X61">
            <v>1</v>
          </cell>
          <cell r="Y61">
            <v>1</v>
          </cell>
          <cell r="Z61">
            <v>1</v>
          </cell>
          <cell r="AA61">
            <v>0</v>
          </cell>
          <cell r="AB61" t="str">
            <v/>
          </cell>
          <cell r="AD61">
            <v>2</v>
          </cell>
          <cell r="AE61">
            <v>236</v>
          </cell>
          <cell r="AF61">
            <v>0.80705059203444562</v>
          </cell>
          <cell r="AG61">
            <v>0</v>
          </cell>
          <cell r="AH61" t="str">
            <v/>
          </cell>
          <cell r="AI61">
            <v>6</v>
          </cell>
          <cell r="AJ61">
            <v>111</v>
          </cell>
          <cell r="AK61">
            <v>727.6461710907804</v>
          </cell>
          <cell r="AL61">
            <v>0.18697478991596639</v>
          </cell>
          <cell r="AM61">
            <v>0.33755436093807029</v>
          </cell>
          <cell r="AN61">
            <v>0.60869565217391308</v>
          </cell>
          <cell r="AO61">
            <v>345</v>
          </cell>
          <cell r="AQ61">
            <v>46680</v>
          </cell>
          <cell r="AR61" t="str">
            <v/>
          </cell>
          <cell r="AS61">
            <v>37858</v>
          </cell>
          <cell r="AU61">
            <v>35616</v>
          </cell>
          <cell r="AV61" t="str">
            <v/>
          </cell>
          <cell r="AW61">
            <v>22453</v>
          </cell>
          <cell r="AX61" t="str">
            <v/>
          </cell>
          <cell r="AY61" t="str">
            <v/>
          </cell>
          <cell r="AZ61">
            <v>15796</v>
          </cell>
          <cell r="BA61" t="str">
            <v/>
          </cell>
          <cell r="BB61">
            <v>465.42079016600002</v>
          </cell>
          <cell r="BC61" t="str">
            <v/>
          </cell>
          <cell r="BD61">
            <v>753.60208849000003</v>
          </cell>
          <cell r="BE61" t="str">
            <v/>
          </cell>
          <cell r="BF61">
            <v>962.945832881</v>
          </cell>
          <cell r="BG61" t="str">
            <v/>
          </cell>
          <cell r="BH61">
            <v>0</v>
          </cell>
          <cell r="BI61">
            <v>0</v>
          </cell>
          <cell r="BJ61">
            <v>0</v>
          </cell>
        </row>
        <row r="62">
          <cell r="A62" t="str">
            <v>5D2</v>
          </cell>
          <cell r="B62" t="str">
            <v>Q24</v>
          </cell>
          <cell r="C62" t="str">
            <v/>
          </cell>
          <cell r="D62" t="str">
            <v/>
          </cell>
          <cell r="E62">
            <v>1</v>
          </cell>
          <cell r="F62">
            <v>1</v>
          </cell>
          <cell r="G62">
            <v>1</v>
          </cell>
          <cell r="H62">
            <v>0</v>
          </cell>
          <cell r="J62">
            <v>0</v>
          </cell>
          <cell r="K62">
            <v>47.0152</v>
          </cell>
          <cell r="L62">
            <v>2874.9731999820001</v>
          </cell>
          <cell r="M62" t="str">
            <v/>
          </cell>
          <cell r="N62">
            <v>0</v>
          </cell>
          <cell r="Q62" t="str">
            <v/>
          </cell>
          <cell r="R62" t="str">
            <v/>
          </cell>
          <cell r="S62">
            <v>1008</v>
          </cell>
          <cell r="X62">
            <v>1</v>
          </cell>
          <cell r="Y62">
            <v>0.97701149425287359</v>
          </cell>
          <cell r="Z62">
            <v>0.70833333333333337</v>
          </cell>
          <cell r="AA62">
            <v>0</v>
          </cell>
          <cell r="AB62" t="str">
            <v/>
          </cell>
          <cell r="AD62">
            <v>99</v>
          </cell>
          <cell r="AE62">
            <v>181</v>
          </cell>
          <cell r="AF62">
            <v>0.92562286272594041</v>
          </cell>
          <cell r="AG62">
            <v>0</v>
          </cell>
          <cell r="AH62" t="str">
            <v/>
          </cell>
          <cell r="AI62">
            <v>7</v>
          </cell>
          <cell r="AJ62">
            <v>241</v>
          </cell>
          <cell r="AK62">
            <v>811.54096106644329</v>
          </cell>
          <cell r="AL62">
            <v>0.16363636363636364</v>
          </cell>
          <cell r="AM62">
            <v>0.33425792613052036</v>
          </cell>
          <cell r="AN62">
            <v>0.47222222222222221</v>
          </cell>
          <cell r="AO62">
            <v>6</v>
          </cell>
          <cell r="AQ62">
            <v>41290</v>
          </cell>
          <cell r="AR62" t="str">
            <v/>
          </cell>
          <cell r="AS62">
            <v>14286</v>
          </cell>
          <cell r="AU62">
            <v>33703</v>
          </cell>
          <cell r="AV62" t="str">
            <v/>
          </cell>
          <cell r="AW62">
            <v>28374</v>
          </cell>
          <cell r="AX62" t="str">
            <v/>
          </cell>
          <cell r="AY62" t="str">
            <v/>
          </cell>
          <cell r="AZ62">
            <v>20449</v>
          </cell>
          <cell r="BA62" t="str">
            <v/>
          </cell>
          <cell r="BB62">
            <v>364.08449992300001</v>
          </cell>
          <cell r="BC62" t="str">
            <v/>
          </cell>
          <cell r="BD62">
            <v>1221.6798997779999</v>
          </cell>
          <cell r="BE62" t="str">
            <v/>
          </cell>
          <cell r="BF62">
            <v>1716.3563993539999</v>
          </cell>
          <cell r="BG62" t="str">
            <v/>
          </cell>
          <cell r="BH62">
            <v>1681</v>
          </cell>
          <cell r="BI62">
            <v>1656</v>
          </cell>
          <cell r="BJ62">
            <v>25</v>
          </cell>
        </row>
        <row r="63">
          <cell r="A63" t="str">
            <v>5D3</v>
          </cell>
          <cell r="B63" t="str">
            <v>Q24</v>
          </cell>
          <cell r="C63" t="str">
            <v/>
          </cell>
          <cell r="D63" t="str">
            <v/>
          </cell>
          <cell r="E63" t="str">
            <v/>
          </cell>
          <cell r="F63">
            <v>1</v>
          </cell>
          <cell r="G63">
            <v>1</v>
          </cell>
          <cell r="H63">
            <v>0</v>
          </cell>
          <cell r="J63">
            <v>0</v>
          </cell>
          <cell r="K63">
            <v>3.5097999889999993</v>
          </cell>
          <cell r="L63">
            <v>840.591300413</v>
          </cell>
          <cell r="M63" t="str">
            <v/>
          </cell>
          <cell r="N63">
            <v>0</v>
          </cell>
          <cell r="Q63" t="str">
            <v/>
          </cell>
          <cell r="R63" t="str">
            <v/>
          </cell>
          <cell r="S63">
            <v>141</v>
          </cell>
          <cell r="X63">
            <v>1</v>
          </cell>
          <cell r="Y63">
            <v>0.98648648648648651</v>
          </cell>
          <cell r="Z63">
            <v>0.90625</v>
          </cell>
          <cell r="AA63">
            <v>0</v>
          </cell>
          <cell r="AB63" t="str">
            <v/>
          </cell>
          <cell r="AD63">
            <v>24</v>
          </cell>
          <cell r="AE63">
            <v>420</v>
          </cell>
          <cell r="AF63">
            <v>0.85970102771722201</v>
          </cell>
          <cell r="AG63">
            <v>0</v>
          </cell>
          <cell r="AH63" t="str">
            <v/>
          </cell>
          <cell r="AI63">
            <v>2</v>
          </cell>
          <cell r="AJ63">
            <v>28</v>
          </cell>
          <cell r="AK63">
            <v>824.60329411089845</v>
          </cell>
          <cell r="AL63">
            <v>0.17842323651452283</v>
          </cell>
          <cell r="AM63">
            <v>0.36999813111281848</v>
          </cell>
          <cell r="AN63">
            <v>0.38709677419354838</v>
          </cell>
          <cell r="AO63">
            <v>39</v>
          </cell>
          <cell r="AQ63">
            <v>34786</v>
          </cell>
          <cell r="AR63" t="str">
            <v/>
          </cell>
          <cell r="AS63">
            <v>14963</v>
          </cell>
          <cell r="AU63">
            <v>30072</v>
          </cell>
          <cell r="AV63" t="str">
            <v/>
          </cell>
          <cell r="AW63">
            <v>23116</v>
          </cell>
          <cell r="AX63" t="str">
            <v/>
          </cell>
          <cell r="AY63" t="str">
            <v/>
          </cell>
          <cell r="AZ63">
            <v>14814</v>
          </cell>
          <cell r="BA63" t="str">
            <v/>
          </cell>
          <cell r="BB63">
            <v>261.00019968699996</v>
          </cell>
          <cell r="BC63" t="str">
            <v/>
          </cell>
          <cell r="BD63">
            <v>652.63559940100004</v>
          </cell>
          <cell r="BE63" t="str">
            <v/>
          </cell>
          <cell r="BF63">
            <v>976.20609905600008</v>
          </cell>
          <cell r="BG63" t="str">
            <v/>
          </cell>
          <cell r="BH63">
            <v>66</v>
          </cell>
          <cell r="BI63">
            <v>66</v>
          </cell>
          <cell r="BJ63">
            <v>66</v>
          </cell>
        </row>
        <row r="64">
          <cell r="A64" t="str">
            <v>5D4</v>
          </cell>
          <cell r="B64" t="str">
            <v>Q13</v>
          </cell>
          <cell r="C64" t="str">
            <v/>
          </cell>
          <cell r="D64" t="str">
            <v/>
          </cell>
          <cell r="E64" t="str">
            <v/>
          </cell>
          <cell r="F64">
            <v>1</v>
          </cell>
          <cell r="G64">
            <v>1</v>
          </cell>
          <cell r="H64">
            <v>0</v>
          </cell>
          <cell r="J64">
            <v>0</v>
          </cell>
          <cell r="K64">
            <v>6</v>
          </cell>
          <cell r="L64">
            <v>49.090166625999991</v>
          </cell>
          <cell r="M64" t="str">
            <v/>
          </cell>
          <cell r="N64">
            <v>8</v>
          </cell>
          <cell r="Q64" t="str">
            <v/>
          </cell>
          <cell r="R64" t="str">
            <v/>
          </cell>
          <cell r="S64">
            <v>372</v>
          </cell>
          <cell r="X64">
            <v>1</v>
          </cell>
          <cell r="Y64">
            <v>0.97142857142857142</v>
          </cell>
          <cell r="Z64">
            <v>0.95238095238095233</v>
          </cell>
          <cell r="AA64">
            <v>0</v>
          </cell>
          <cell r="AB64" t="str">
            <v/>
          </cell>
          <cell r="AD64">
            <v>0</v>
          </cell>
          <cell r="AE64">
            <v>56</v>
          </cell>
          <cell r="AF64">
            <v>0.72109962406015038</v>
          </cell>
          <cell r="AG64">
            <v>0</v>
          </cell>
          <cell r="AH64" t="str">
            <v/>
          </cell>
          <cell r="AI64">
            <v>1.6</v>
          </cell>
          <cell r="AJ64">
            <v>1</v>
          </cell>
          <cell r="AK64">
            <v>676.26275844019892</v>
          </cell>
          <cell r="AL64" t="str">
            <v/>
          </cell>
          <cell r="AM64">
            <v>0.29197305610371854</v>
          </cell>
          <cell r="AN64">
            <v>0.15</v>
          </cell>
          <cell r="AO64">
            <v>86</v>
          </cell>
          <cell r="AQ64">
            <v>22557</v>
          </cell>
          <cell r="AR64" t="str">
            <v/>
          </cell>
          <cell r="AS64">
            <v>7081</v>
          </cell>
          <cell r="AU64">
            <v>17601</v>
          </cell>
          <cell r="AV64" t="str">
            <v/>
          </cell>
          <cell r="AW64">
            <v>13188</v>
          </cell>
          <cell r="AX64" t="str">
            <v/>
          </cell>
          <cell r="AY64" t="str">
            <v/>
          </cell>
          <cell r="AZ64">
            <v>11095</v>
          </cell>
          <cell r="BA64" t="str">
            <v/>
          </cell>
          <cell r="BB64">
            <v>223.14255862599998</v>
          </cell>
          <cell r="BC64">
            <v>76</v>
          </cell>
          <cell r="BD64">
            <v>359.24153046599997</v>
          </cell>
          <cell r="BE64" t="str">
            <v/>
          </cell>
          <cell r="BF64">
            <v>655.44979200500006</v>
          </cell>
          <cell r="BG64" t="str">
            <v/>
          </cell>
          <cell r="BH64">
            <v>267</v>
          </cell>
          <cell r="BI64">
            <v>39</v>
          </cell>
          <cell r="BJ64">
            <v>2</v>
          </cell>
        </row>
        <row r="65">
          <cell r="A65" t="str">
            <v>5D5</v>
          </cell>
          <cell r="B65" t="str">
            <v>Q13</v>
          </cell>
          <cell r="C65" t="str">
            <v/>
          </cell>
          <cell r="D65" t="str">
            <v/>
          </cell>
          <cell r="E65">
            <v>1</v>
          </cell>
          <cell r="F65">
            <v>1</v>
          </cell>
          <cell r="G65">
            <v>1</v>
          </cell>
          <cell r="H65">
            <v>0</v>
          </cell>
          <cell r="J65">
            <v>0</v>
          </cell>
          <cell r="K65">
            <v>1</v>
          </cell>
          <cell r="L65">
            <v>31.564971399999997</v>
          </cell>
          <cell r="M65" t="str">
            <v/>
          </cell>
          <cell r="N65">
            <v>4</v>
          </cell>
          <cell r="Q65" t="str">
            <v/>
          </cell>
          <cell r="R65" t="str">
            <v/>
          </cell>
          <cell r="S65">
            <v>728</v>
          </cell>
          <cell r="X65">
            <v>1</v>
          </cell>
          <cell r="Y65">
            <v>0.94444444444444442</v>
          </cell>
          <cell r="Z65">
            <v>1</v>
          </cell>
          <cell r="AA65">
            <v>0</v>
          </cell>
          <cell r="AB65" t="str">
            <v/>
          </cell>
          <cell r="AD65">
            <v>0</v>
          </cell>
          <cell r="AE65">
            <v>121</v>
          </cell>
          <cell r="AF65">
            <v>0.70256991685563119</v>
          </cell>
          <cell r="AG65">
            <v>0</v>
          </cell>
          <cell r="AH65" t="str">
            <v/>
          </cell>
          <cell r="AI65">
            <v>0</v>
          </cell>
          <cell r="AJ65">
            <v>0</v>
          </cell>
          <cell r="AK65">
            <v>643.16260901774592</v>
          </cell>
          <cell r="AL65" t="str">
            <v/>
          </cell>
          <cell r="AM65">
            <v>0.23394422027481024</v>
          </cell>
          <cell r="AN65">
            <v>0.25</v>
          </cell>
          <cell r="AO65">
            <v>47</v>
          </cell>
          <cell r="AQ65">
            <v>14002</v>
          </cell>
          <cell r="AR65" t="str">
            <v/>
          </cell>
          <cell r="AS65">
            <v>3831</v>
          </cell>
          <cell r="AU65">
            <v>10480</v>
          </cell>
          <cell r="AV65" t="str">
            <v/>
          </cell>
          <cell r="AW65">
            <v>8176</v>
          </cell>
          <cell r="AX65" t="str">
            <v/>
          </cell>
          <cell r="AY65" t="str">
            <v/>
          </cell>
          <cell r="AZ65">
            <v>6530</v>
          </cell>
          <cell r="BA65" t="str">
            <v/>
          </cell>
          <cell r="BB65">
            <v>133.948971597</v>
          </cell>
          <cell r="BC65">
            <v>42</v>
          </cell>
          <cell r="BD65">
            <v>211.20732735800001</v>
          </cell>
          <cell r="BE65" t="str">
            <v/>
          </cell>
          <cell r="BF65">
            <v>373.06195683599998</v>
          </cell>
          <cell r="BG65" t="str">
            <v/>
          </cell>
          <cell r="BH65">
            <v>146</v>
          </cell>
          <cell r="BI65">
            <v>20</v>
          </cell>
          <cell r="BJ65">
            <v>0</v>
          </cell>
        </row>
        <row r="66">
          <cell r="A66" t="str">
            <v>5D6</v>
          </cell>
          <cell r="B66" t="str">
            <v>Q13</v>
          </cell>
          <cell r="C66" t="str">
            <v/>
          </cell>
          <cell r="D66" t="str">
            <v/>
          </cell>
          <cell r="E66">
            <v>1</v>
          </cell>
          <cell r="F66">
            <v>1</v>
          </cell>
          <cell r="G66">
            <v>1</v>
          </cell>
          <cell r="H66">
            <v>0</v>
          </cell>
          <cell r="J66">
            <v>0</v>
          </cell>
          <cell r="K66">
            <v>11</v>
          </cell>
          <cell r="L66">
            <v>90.272543911000014</v>
          </cell>
          <cell r="M66" t="str">
            <v/>
          </cell>
          <cell r="N66">
            <v>4</v>
          </cell>
          <cell r="Q66" t="str">
            <v/>
          </cell>
          <cell r="R66" t="str">
            <v/>
          </cell>
          <cell r="S66">
            <v>496</v>
          </cell>
          <cell r="X66">
            <v>1</v>
          </cell>
          <cell r="Y66">
            <v>1</v>
          </cell>
          <cell r="Z66">
            <v>0.9375</v>
          </cell>
          <cell r="AA66">
            <v>0</v>
          </cell>
          <cell r="AB66" t="str">
            <v/>
          </cell>
          <cell r="AD66">
            <v>10</v>
          </cell>
          <cell r="AE66">
            <v>133</v>
          </cell>
          <cell r="AF66">
            <v>0.921394677119868</v>
          </cell>
          <cell r="AG66">
            <v>0</v>
          </cell>
          <cell r="AH66" t="str">
            <v/>
          </cell>
          <cell r="AI66">
            <v>3.6</v>
          </cell>
          <cell r="AJ66">
            <v>31</v>
          </cell>
          <cell r="AK66">
            <v>786.19118613932892</v>
          </cell>
          <cell r="AL66" t="str">
            <v/>
          </cell>
          <cell r="AM66">
            <v>0.27665082492948495</v>
          </cell>
          <cell r="AN66">
            <v>0.53125</v>
          </cell>
          <cell r="AO66">
            <v>103</v>
          </cell>
          <cell r="AQ66">
            <v>24685</v>
          </cell>
          <cell r="AR66" t="str">
            <v/>
          </cell>
          <cell r="AS66">
            <v>8128</v>
          </cell>
          <cell r="AU66">
            <v>20071</v>
          </cell>
          <cell r="AV66" t="str">
            <v/>
          </cell>
          <cell r="AW66">
            <v>16870</v>
          </cell>
          <cell r="AX66" t="str">
            <v/>
          </cell>
          <cell r="AY66" t="str">
            <v/>
          </cell>
          <cell r="AZ66">
            <v>13974</v>
          </cell>
          <cell r="BA66" t="str">
            <v/>
          </cell>
          <cell r="BB66">
            <v>312.48082457499999</v>
          </cell>
          <cell r="BC66">
            <v>96</v>
          </cell>
          <cell r="BD66">
            <v>487.82824249800001</v>
          </cell>
          <cell r="BE66" t="str">
            <v/>
          </cell>
          <cell r="BF66">
            <v>875.29096867199996</v>
          </cell>
          <cell r="BG66" t="str">
            <v/>
          </cell>
          <cell r="BH66">
            <v>314</v>
          </cell>
          <cell r="BI66">
            <v>46</v>
          </cell>
          <cell r="BJ66">
            <v>0</v>
          </cell>
        </row>
        <row r="67">
          <cell r="A67" t="str">
            <v>5D7</v>
          </cell>
          <cell r="B67" t="str">
            <v>Q09</v>
          </cell>
          <cell r="C67" t="str">
            <v/>
          </cell>
          <cell r="D67" t="str">
            <v/>
          </cell>
          <cell r="E67" t="str">
            <v/>
          </cell>
          <cell r="F67">
            <v>1</v>
          </cell>
          <cell r="G67">
            <v>1</v>
          </cell>
          <cell r="H67">
            <v>0</v>
          </cell>
          <cell r="J67">
            <v>0</v>
          </cell>
          <cell r="K67">
            <v>45.020200000000003</v>
          </cell>
          <cell r="L67">
            <v>253.139699998</v>
          </cell>
          <cell r="M67" t="str">
            <v/>
          </cell>
          <cell r="N67">
            <v>0</v>
          </cell>
          <cell r="Q67" t="str">
            <v/>
          </cell>
          <cell r="R67">
            <v>1</v>
          </cell>
          <cell r="S67">
            <v>870</v>
          </cell>
          <cell r="X67">
            <v>1</v>
          </cell>
          <cell r="Y67">
            <v>0.98969072164948457</v>
          </cell>
          <cell r="Z67">
            <v>0.97142857142857142</v>
          </cell>
          <cell r="AA67">
            <v>0</v>
          </cell>
          <cell r="AB67" t="str">
            <v/>
          </cell>
          <cell r="AD67">
            <v>166</v>
          </cell>
          <cell r="AE67">
            <v>814</v>
          </cell>
          <cell r="AF67">
            <v>0.98712494402149575</v>
          </cell>
          <cell r="AG67">
            <v>0</v>
          </cell>
          <cell r="AH67" t="str">
            <v/>
          </cell>
          <cell r="AI67">
            <v>3</v>
          </cell>
          <cell r="AJ67">
            <v>284</v>
          </cell>
          <cell r="AK67">
            <v>1054.2900873323131</v>
          </cell>
          <cell r="AL67">
            <v>0.22721437740693196</v>
          </cell>
          <cell r="AM67">
            <v>0.27937027684509441</v>
          </cell>
          <cell r="AN67">
            <v>0.35632183908045978</v>
          </cell>
          <cell r="AO67">
            <v>46</v>
          </cell>
          <cell r="AQ67">
            <v>53952</v>
          </cell>
          <cell r="AR67" t="str">
            <v/>
          </cell>
          <cell r="AS67">
            <v>36524</v>
          </cell>
          <cell r="AU67">
            <v>47569</v>
          </cell>
          <cell r="AV67" t="str">
            <v/>
          </cell>
          <cell r="AW67">
            <v>38817</v>
          </cell>
          <cell r="AX67" t="str">
            <v/>
          </cell>
          <cell r="AY67" t="str">
            <v/>
          </cell>
          <cell r="AZ67">
            <v>35169</v>
          </cell>
          <cell r="BA67" t="str">
            <v/>
          </cell>
          <cell r="BB67">
            <v>717.19139986000005</v>
          </cell>
          <cell r="BC67">
            <v>148</v>
          </cell>
          <cell r="BD67">
            <v>1101.3765998280001</v>
          </cell>
          <cell r="BE67" t="str">
            <v/>
          </cell>
          <cell r="BF67">
            <v>1969.3962996130001</v>
          </cell>
          <cell r="BG67" t="str">
            <v/>
          </cell>
          <cell r="BH67">
            <v>379</v>
          </cell>
          <cell r="BI67">
            <v>379</v>
          </cell>
          <cell r="BJ67">
            <v>0</v>
          </cell>
        </row>
        <row r="68">
          <cell r="A68" t="str">
            <v>5D8</v>
          </cell>
          <cell r="B68" t="str">
            <v>Q09</v>
          </cell>
          <cell r="C68" t="str">
            <v/>
          </cell>
          <cell r="D68" t="str">
            <v/>
          </cell>
          <cell r="E68" t="str">
            <v/>
          </cell>
          <cell r="F68">
            <v>1</v>
          </cell>
          <cell r="G68">
            <v>1</v>
          </cell>
          <cell r="H68">
            <v>0</v>
          </cell>
          <cell r="J68">
            <v>0</v>
          </cell>
          <cell r="K68">
            <v>138</v>
          </cell>
          <cell r="L68">
            <v>649</v>
          </cell>
          <cell r="M68" t="str">
            <v/>
          </cell>
          <cell r="N68">
            <v>0</v>
          </cell>
          <cell r="Q68" t="str">
            <v/>
          </cell>
          <cell r="R68" t="str">
            <v/>
          </cell>
          <cell r="S68">
            <v>328</v>
          </cell>
          <cell r="X68">
            <v>1</v>
          </cell>
          <cell r="Y68">
            <v>0.9885057471264368</v>
          </cell>
          <cell r="Z68">
            <v>0.93023255813953487</v>
          </cell>
          <cell r="AA68">
            <v>0</v>
          </cell>
          <cell r="AB68" t="str">
            <v/>
          </cell>
          <cell r="AD68">
            <v>78</v>
          </cell>
          <cell r="AE68">
            <v>528</v>
          </cell>
          <cell r="AF68">
            <v>0.75535672239227691</v>
          </cell>
          <cell r="AG68">
            <v>0</v>
          </cell>
          <cell r="AH68" t="str">
            <v/>
          </cell>
          <cell r="AI68">
            <v>4</v>
          </cell>
          <cell r="AJ68">
            <v>53</v>
          </cell>
          <cell r="AK68">
            <v>1227.8510353353252</v>
          </cell>
          <cell r="AL68">
            <v>0.24015009380863039</v>
          </cell>
          <cell r="AM68">
            <v>0.25064902489496454</v>
          </cell>
          <cell r="AN68">
            <v>0.31578947368421051</v>
          </cell>
          <cell r="AO68">
            <v>209</v>
          </cell>
          <cell r="AQ68">
            <v>44470</v>
          </cell>
          <cell r="AR68" t="str">
            <v/>
          </cell>
          <cell r="AS68">
            <v>25298</v>
          </cell>
          <cell r="AU68">
            <v>39204</v>
          </cell>
          <cell r="AV68" t="str">
            <v/>
          </cell>
          <cell r="AW68">
            <v>33162</v>
          </cell>
          <cell r="AX68" t="str">
            <v/>
          </cell>
          <cell r="AY68" t="str">
            <v/>
          </cell>
          <cell r="AZ68">
            <v>27090</v>
          </cell>
          <cell r="BA68" t="str">
            <v/>
          </cell>
          <cell r="BB68">
            <v>596.29680000899998</v>
          </cell>
          <cell r="BC68">
            <v>386</v>
          </cell>
          <cell r="BD68">
            <v>761.02480001100002</v>
          </cell>
          <cell r="BE68" t="str">
            <v/>
          </cell>
          <cell r="BF68">
            <v>1495.1624000249999</v>
          </cell>
          <cell r="BG68" t="str">
            <v/>
          </cell>
          <cell r="BH68">
            <v>541</v>
          </cell>
          <cell r="BI68">
            <v>541</v>
          </cell>
          <cell r="BJ68">
            <v>0</v>
          </cell>
        </row>
        <row r="69">
          <cell r="A69" t="str">
            <v>5D9</v>
          </cell>
          <cell r="B69" t="str">
            <v>Q10</v>
          </cell>
          <cell r="C69" t="str">
            <v/>
          </cell>
          <cell r="D69" t="str">
            <v/>
          </cell>
          <cell r="E69" t="str">
            <v/>
          </cell>
          <cell r="F69">
            <v>1</v>
          </cell>
          <cell r="G69">
            <v>1</v>
          </cell>
          <cell r="H69">
            <v>0</v>
          </cell>
          <cell r="J69">
            <v>0</v>
          </cell>
          <cell r="K69">
            <v>89</v>
          </cell>
          <cell r="L69">
            <v>384</v>
          </cell>
          <cell r="M69" t="str">
            <v/>
          </cell>
          <cell r="N69">
            <v>0</v>
          </cell>
          <cell r="Q69" t="str">
            <v/>
          </cell>
          <cell r="R69" t="str">
            <v/>
          </cell>
          <cell r="S69">
            <v>9</v>
          </cell>
          <cell r="X69">
            <v>1</v>
          </cell>
          <cell r="Y69">
            <v>0.97058823529411764</v>
          </cell>
          <cell r="Z69">
            <v>0.92307692307692313</v>
          </cell>
          <cell r="AA69">
            <v>0</v>
          </cell>
          <cell r="AB69" t="str">
            <v/>
          </cell>
          <cell r="AD69">
            <v>42</v>
          </cell>
          <cell r="AE69">
            <v>281</v>
          </cell>
          <cell r="AF69">
            <v>0.84482758620689657</v>
          </cell>
          <cell r="AG69">
            <v>0</v>
          </cell>
          <cell r="AH69" t="str">
            <v/>
          </cell>
          <cell r="AI69">
            <v>7</v>
          </cell>
          <cell r="AJ69">
            <v>235</v>
          </cell>
          <cell r="AK69">
            <v>1865.0637604628953</v>
          </cell>
          <cell r="AL69">
            <v>0.27301587301587299</v>
          </cell>
          <cell r="AM69" t="str">
            <v/>
          </cell>
          <cell r="AN69">
            <v>0.26315789473684209</v>
          </cell>
          <cell r="AO69">
            <v>-5984</v>
          </cell>
          <cell r="AQ69">
            <v>16787</v>
          </cell>
          <cell r="AR69" t="str">
            <v/>
          </cell>
          <cell r="AS69">
            <v>7282</v>
          </cell>
          <cell r="AU69">
            <v>14534</v>
          </cell>
          <cell r="AV69" t="str">
            <v/>
          </cell>
          <cell r="AW69">
            <v>12848</v>
          </cell>
          <cell r="AX69" t="str">
            <v/>
          </cell>
          <cell r="AY69" t="str">
            <v/>
          </cell>
          <cell r="AZ69">
            <v>10849</v>
          </cell>
          <cell r="BA69" t="str">
            <v/>
          </cell>
          <cell r="BB69">
            <v>229.06339999799999</v>
          </cell>
          <cell r="BC69">
            <v>181</v>
          </cell>
          <cell r="BD69">
            <v>397.07739999800003</v>
          </cell>
          <cell r="BE69" t="str">
            <v/>
          </cell>
          <cell r="BF69">
            <v>762.17619999600004</v>
          </cell>
          <cell r="BG69" t="str">
            <v/>
          </cell>
          <cell r="BH69">
            <v>49</v>
          </cell>
          <cell r="BI69">
            <v>19</v>
          </cell>
          <cell r="BJ69">
            <v>0</v>
          </cell>
        </row>
        <row r="70">
          <cell r="A70" t="str">
            <v>5DC</v>
          </cell>
          <cell r="B70" t="str">
            <v>Q03</v>
          </cell>
          <cell r="C70" t="str">
            <v/>
          </cell>
          <cell r="D70" t="str">
            <v/>
          </cell>
          <cell r="E70">
            <v>1</v>
          </cell>
          <cell r="F70">
            <v>1</v>
          </cell>
          <cell r="G70">
            <v>1</v>
          </cell>
          <cell r="H70">
            <v>0</v>
          </cell>
          <cell r="J70">
            <v>0</v>
          </cell>
          <cell r="K70">
            <v>6.917999977</v>
          </cell>
          <cell r="L70">
            <v>154.465332381</v>
          </cell>
          <cell r="M70" t="str">
            <v/>
          </cell>
          <cell r="N70">
            <v>0</v>
          </cell>
          <cell r="Q70" t="str">
            <v/>
          </cell>
          <cell r="R70" t="str">
            <v/>
          </cell>
          <cell r="S70" t="str">
            <v/>
          </cell>
          <cell r="X70">
            <v>1</v>
          </cell>
          <cell r="Y70">
            <v>1</v>
          </cell>
          <cell r="Z70">
            <v>1</v>
          </cell>
          <cell r="AA70">
            <v>0</v>
          </cell>
          <cell r="AB70" t="str">
            <v/>
          </cell>
          <cell r="AD70">
            <v>7</v>
          </cell>
          <cell r="AE70">
            <v>209</v>
          </cell>
          <cell r="AF70">
            <v>0.9093949528732137</v>
          </cell>
          <cell r="AG70">
            <v>0</v>
          </cell>
          <cell r="AH70" t="str">
            <v/>
          </cell>
          <cell r="AI70">
            <v>1</v>
          </cell>
          <cell r="AJ70">
            <v>94</v>
          </cell>
          <cell r="AK70">
            <v>937.1231135304281</v>
          </cell>
          <cell r="AL70">
            <v>0.21900826446280991</v>
          </cell>
          <cell r="AM70">
            <v>0.28423674498428081</v>
          </cell>
          <cell r="AN70">
            <v>0.5714285714285714</v>
          </cell>
          <cell r="AO70">
            <v>-615</v>
          </cell>
          <cell r="AQ70">
            <v>17892</v>
          </cell>
          <cell r="AR70" t="str">
            <v/>
          </cell>
          <cell r="AS70">
            <v>8459</v>
          </cell>
          <cell r="AU70">
            <v>13271</v>
          </cell>
          <cell r="AV70" t="str">
            <v/>
          </cell>
          <cell r="AW70">
            <v>12199</v>
          </cell>
          <cell r="AX70" t="str">
            <v/>
          </cell>
          <cell r="AY70" t="str">
            <v/>
          </cell>
          <cell r="AZ70">
            <v>7457</v>
          </cell>
          <cell r="BA70" t="str">
            <v/>
          </cell>
          <cell r="BB70">
            <v>198.26394184700001</v>
          </cell>
          <cell r="BC70" t="str">
            <v/>
          </cell>
          <cell r="BD70">
            <v>263.38470822400001</v>
          </cell>
          <cell r="BE70" t="str">
            <v/>
          </cell>
          <cell r="BF70">
            <v>462.00826933900004</v>
          </cell>
          <cell r="BG70" t="str">
            <v/>
          </cell>
          <cell r="BH70">
            <v>69</v>
          </cell>
          <cell r="BI70">
            <v>66</v>
          </cell>
          <cell r="BJ70">
            <v>0</v>
          </cell>
        </row>
        <row r="71">
          <cell r="A71" t="str">
            <v>5DD</v>
          </cell>
          <cell r="B71" t="str">
            <v>Q13</v>
          </cell>
          <cell r="C71" t="str">
            <v/>
          </cell>
          <cell r="D71" t="str">
            <v/>
          </cell>
          <cell r="E71" t="str">
            <v/>
          </cell>
          <cell r="F71">
            <v>1</v>
          </cell>
          <cell r="G71">
            <v>1</v>
          </cell>
          <cell r="H71">
            <v>0</v>
          </cell>
          <cell r="J71">
            <v>0</v>
          </cell>
          <cell r="K71">
            <v>9.750199984</v>
          </cell>
          <cell r="L71">
            <v>1036.8677861759998</v>
          </cell>
          <cell r="M71" t="str">
            <v/>
          </cell>
          <cell r="N71">
            <v>0</v>
          </cell>
          <cell r="Q71" t="str">
            <v/>
          </cell>
          <cell r="R71">
            <v>0.97058823529411764</v>
          </cell>
          <cell r="S71">
            <v>277</v>
          </cell>
          <cell r="X71">
            <v>0.99694189602446481</v>
          </cell>
          <cell r="Y71">
            <v>0.9907407407407407</v>
          </cell>
          <cell r="Z71">
            <v>0.81578947368421051</v>
          </cell>
          <cell r="AA71">
            <v>0</v>
          </cell>
          <cell r="AB71" t="str">
            <v/>
          </cell>
          <cell r="AD71">
            <v>3</v>
          </cell>
          <cell r="AE71">
            <v>589</v>
          </cell>
          <cell r="AF71">
            <v>0.71177583566087033</v>
          </cell>
          <cell r="AG71">
            <v>0</v>
          </cell>
          <cell r="AH71" t="str">
            <v/>
          </cell>
          <cell r="AI71">
            <v>1</v>
          </cell>
          <cell r="AJ71">
            <v>30</v>
          </cell>
          <cell r="AK71">
            <v>740.17174820767343</v>
          </cell>
          <cell r="AL71" t="str">
            <v/>
          </cell>
          <cell r="AM71">
            <v>0.29406859252542261</v>
          </cell>
          <cell r="AN71">
            <v>0.26</v>
          </cell>
          <cell r="AO71">
            <v>104</v>
          </cell>
          <cell r="AQ71">
            <v>65426</v>
          </cell>
          <cell r="AR71" t="str">
            <v/>
          </cell>
          <cell r="AS71">
            <v>30705</v>
          </cell>
          <cell r="AU71">
            <v>54070</v>
          </cell>
          <cell r="AV71" t="str">
            <v/>
          </cell>
          <cell r="AW71">
            <v>30723</v>
          </cell>
          <cell r="AX71" t="str">
            <v/>
          </cell>
          <cell r="AY71" t="str">
            <v/>
          </cell>
          <cell r="AZ71">
            <v>31342</v>
          </cell>
          <cell r="BA71" t="str">
            <v/>
          </cell>
          <cell r="BB71">
            <v>667.9988524800001</v>
          </cell>
          <cell r="BC71">
            <v>1.679999985</v>
          </cell>
          <cell r="BD71">
            <v>1330.935612754</v>
          </cell>
          <cell r="BE71">
            <v>0.16999999599999999</v>
          </cell>
          <cell r="BF71">
            <v>2064.0322666789998</v>
          </cell>
          <cell r="BG71" t="str">
            <v/>
          </cell>
          <cell r="BH71">
            <v>530</v>
          </cell>
          <cell r="BI71">
            <v>530</v>
          </cell>
          <cell r="BJ71">
            <v>156</v>
          </cell>
        </row>
        <row r="72">
          <cell r="A72" t="str">
            <v>5DF</v>
          </cell>
          <cell r="B72" t="str">
            <v>Q17</v>
          </cell>
          <cell r="C72" t="str">
            <v/>
          </cell>
          <cell r="D72" t="str">
            <v/>
          </cell>
          <cell r="E72" t="str">
            <v/>
          </cell>
          <cell r="F72">
            <v>1</v>
          </cell>
          <cell r="G72">
            <v>1</v>
          </cell>
          <cell r="H72">
            <v>0</v>
          </cell>
          <cell r="J72">
            <v>13</v>
          </cell>
          <cell r="K72">
            <v>16.120148412000002</v>
          </cell>
          <cell r="L72">
            <v>803.12826260400004</v>
          </cell>
          <cell r="M72" t="str">
            <v/>
          </cell>
          <cell r="N72">
            <v>0</v>
          </cell>
          <cell r="Q72" t="str">
            <v/>
          </cell>
          <cell r="R72" t="str">
            <v/>
          </cell>
          <cell r="S72">
            <v>428</v>
          </cell>
          <cell r="X72">
            <v>1</v>
          </cell>
          <cell r="Y72">
            <v>1</v>
          </cell>
          <cell r="Z72">
            <v>0.95833333333333337</v>
          </cell>
          <cell r="AA72">
            <v>0</v>
          </cell>
          <cell r="AB72" t="str">
            <v/>
          </cell>
          <cell r="AD72">
            <v>0</v>
          </cell>
          <cell r="AE72">
            <v>315</v>
          </cell>
          <cell r="AF72">
            <v>2.3321333542025355E-2</v>
          </cell>
          <cell r="AG72">
            <v>0</v>
          </cell>
          <cell r="AH72" t="str">
            <v/>
          </cell>
          <cell r="AI72">
            <v>0</v>
          </cell>
          <cell r="AJ72">
            <v>125</v>
          </cell>
          <cell r="AK72">
            <v>582.20773171867722</v>
          </cell>
          <cell r="AL72">
            <v>0.14566284779050737</v>
          </cell>
          <cell r="AM72">
            <v>0.29609109879926127</v>
          </cell>
          <cell r="AN72">
            <v>0.56862745098039214</v>
          </cell>
          <cell r="AO72">
            <v>-4375</v>
          </cell>
          <cell r="AQ72">
            <v>37378</v>
          </cell>
          <cell r="AR72" t="str">
            <v/>
          </cell>
          <cell r="AS72">
            <v>23957</v>
          </cell>
          <cell r="AU72">
            <v>29647</v>
          </cell>
          <cell r="AV72" t="str">
            <v/>
          </cell>
          <cell r="AW72">
            <v>23050</v>
          </cell>
          <cell r="AX72" t="str">
            <v/>
          </cell>
          <cell r="AY72" t="str">
            <v/>
          </cell>
          <cell r="AZ72">
            <v>15066</v>
          </cell>
          <cell r="BA72" t="str">
            <v/>
          </cell>
          <cell r="BB72">
            <v>378.69616704700002</v>
          </cell>
          <cell r="BC72" t="str">
            <v/>
          </cell>
          <cell r="BD72">
            <v>761.12608995999994</v>
          </cell>
          <cell r="BE72" t="str">
            <v/>
          </cell>
          <cell r="BF72">
            <v>925.65178318000005</v>
          </cell>
          <cell r="BG72" t="str">
            <v/>
          </cell>
          <cell r="BH72">
            <v>132</v>
          </cell>
          <cell r="BI72">
            <v>132</v>
          </cell>
          <cell r="BJ72">
            <v>0</v>
          </cell>
        </row>
        <row r="73">
          <cell r="A73" t="str">
            <v>5DG</v>
          </cell>
          <cell r="B73" t="str">
            <v>Q17</v>
          </cell>
          <cell r="C73" t="str">
            <v/>
          </cell>
          <cell r="D73" t="str">
            <v/>
          </cell>
          <cell r="E73" t="str">
            <v/>
          </cell>
          <cell r="F73">
            <v>1</v>
          </cell>
          <cell r="G73">
            <v>1</v>
          </cell>
          <cell r="H73">
            <v>1</v>
          </cell>
          <cell r="J73">
            <v>14</v>
          </cell>
          <cell r="K73">
            <v>67.109137709999999</v>
          </cell>
          <cell r="L73">
            <v>248.62113043200003</v>
          </cell>
          <cell r="M73" t="str">
            <v/>
          </cell>
          <cell r="N73">
            <v>0</v>
          </cell>
          <cell r="Q73" t="str">
            <v/>
          </cell>
          <cell r="R73" t="str">
            <v/>
          </cell>
          <cell r="S73">
            <v>313</v>
          </cell>
          <cell r="X73">
            <v>1</v>
          </cell>
          <cell r="Y73">
            <v>0.9821428571428571</v>
          </cell>
          <cell r="Z73">
            <v>0.96153846153846156</v>
          </cell>
          <cell r="AA73">
            <v>0</v>
          </cell>
          <cell r="AB73" t="str">
            <v/>
          </cell>
          <cell r="AD73">
            <v>0</v>
          </cell>
          <cell r="AE73">
            <v>251</v>
          </cell>
          <cell r="AF73">
            <v>0.8581754248876734</v>
          </cell>
          <cell r="AG73">
            <v>0</v>
          </cell>
          <cell r="AH73" t="str">
            <v/>
          </cell>
          <cell r="AI73">
            <v>2</v>
          </cell>
          <cell r="AJ73">
            <v>168</v>
          </cell>
          <cell r="AK73">
            <v>1003.5641414097187</v>
          </cell>
          <cell r="AL73">
            <v>0.25566343042071199</v>
          </cell>
          <cell r="AM73">
            <v>0.38020282102103259</v>
          </cell>
          <cell r="AN73">
            <v>0.30303030303030304</v>
          </cell>
          <cell r="AO73">
            <v>-6555</v>
          </cell>
          <cell r="AQ73">
            <v>29499</v>
          </cell>
          <cell r="AR73" t="str">
            <v/>
          </cell>
          <cell r="AS73">
            <v>18106</v>
          </cell>
          <cell r="AU73">
            <v>25156</v>
          </cell>
          <cell r="AV73" t="str">
            <v/>
          </cell>
          <cell r="AW73">
            <v>13629</v>
          </cell>
          <cell r="AX73" t="str">
            <v/>
          </cell>
          <cell r="AY73" t="str">
            <v/>
          </cell>
          <cell r="AZ73">
            <v>11950</v>
          </cell>
          <cell r="BA73" t="str">
            <v/>
          </cell>
          <cell r="BB73">
            <v>280.85772640699997</v>
          </cell>
          <cell r="BC73">
            <v>1</v>
          </cell>
          <cell r="BD73">
            <v>405.47608548599999</v>
          </cell>
          <cell r="BE73" t="str">
            <v/>
          </cell>
          <cell r="BF73">
            <v>789.37800836600002</v>
          </cell>
          <cell r="BG73" t="str">
            <v/>
          </cell>
          <cell r="BH73">
            <v>64</v>
          </cell>
          <cell r="BI73">
            <v>0</v>
          </cell>
          <cell r="BJ73">
            <v>0</v>
          </cell>
        </row>
        <row r="74">
          <cell r="A74" t="str">
            <v>5DH</v>
          </cell>
          <cell r="B74" t="str">
            <v>Q20</v>
          </cell>
          <cell r="C74" t="str">
            <v/>
          </cell>
          <cell r="D74" t="str">
            <v/>
          </cell>
          <cell r="E74">
            <v>0.99952651515151514</v>
          </cell>
          <cell r="F74">
            <v>1</v>
          </cell>
          <cell r="G74">
            <v>1</v>
          </cell>
          <cell r="H74">
            <v>0</v>
          </cell>
          <cell r="J74">
            <v>2</v>
          </cell>
          <cell r="K74">
            <v>3.0360729887</v>
          </cell>
          <cell r="L74">
            <v>1745.0868640427002</v>
          </cell>
          <cell r="M74">
            <v>74</v>
          </cell>
          <cell r="N74">
            <v>0</v>
          </cell>
          <cell r="Q74">
            <v>1</v>
          </cell>
          <cell r="R74">
            <v>1</v>
          </cell>
          <cell r="S74">
            <v>15</v>
          </cell>
          <cell r="X74">
            <v>0.98275862068965514</v>
          </cell>
          <cell r="Y74">
            <v>1</v>
          </cell>
          <cell r="Z74">
            <v>0.90909090909090906</v>
          </cell>
          <cell r="AA74">
            <v>0</v>
          </cell>
          <cell r="AB74" t="str">
            <v/>
          </cell>
          <cell r="AD74">
            <v>4</v>
          </cell>
          <cell r="AE74">
            <v>93</v>
          </cell>
          <cell r="AF74">
            <v>0.67949020533396276</v>
          </cell>
          <cell r="AG74">
            <v>0</v>
          </cell>
          <cell r="AH74" t="str">
            <v/>
          </cell>
          <cell r="AI74">
            <v>0</v>
          </cell>
          <cell r="AJ74">
            <v>0</v>
          </cell>
          <cell r="AK74">
            <v>657.64807214875611</v>
          </cell>
          <cell r="AL74" t="str">
            <v/>
          </cell>
          <cell r="AM74">
            <v>0.29249854410003406</v>
          </cell>
          <cell r="AN74">
            <v>0.54838709677419351</v>
          </cell>
          <cell r="AO74">
            <v>-9735</v>
          </cell>
          <cell r="AQ74">
            <v>23522</v>
          </cell>
          <cell r="AR74" t="str">
            <v/>
          </cell>
          <cell r="AS74">
            <v>9567</v>
          </cell>
          <cell r="AU74">
            <v>18590</v>
          </cell>
          <cell r="AV74" t="str">
            <v/>
          </cell>
          <cell r="AW74">
            <v>11353</v>
          </cell>
          <cell r="AX74" t="str">
            <v/>
          </cell>
          <cell r="AY74" t="str">
            <v/>
          </cell>
          <cell r="AZ74">
            <v>10074</v>
          </cell>
          <cell r="BA74" t="str">
            <v/>
          </cell>
          <cell r="BB74">
            <v>177.40341406900001</v>
          </cell>
          <cell r="BC74" t="str">
            <v/>
          </cell>
          <cell r="BD74">
            <v>360.65810609799996</v>
          </cell>
          <cell r="BE74" t="str">
            <v/>
          </cell>
          <cell r="BF74">
            <v>495.41820299</v>
          </cell>
          <cell r="BG74" t="str">
            <v/>
          </cell>
          <cell r="BH74">
            <v>351</v>
          </cell>
          <cell r="BI74">
            <v>0</v>
          </cell>
          <cell r="BJ74">
            <v>0</v>
          </cell>
        </row>
        <row r="75">
          <cell r="A75" t="str">
            <v>5DJ</v>
          </cell>
          <cell r="B75" t="str">
            <v>Q20</v>
          </cell>
          <cell r="C75" t="str">
            <v/>
          </cell>
          <cell r="D75" t="str">
            <v/>
          </cell>
          <cell r="E75" t="str">
            <v/>
          </cell>
          <cell r="F75">
            <v>1</v>
          </cell>
          <cell r="G75">
            <v>1</v>
          </cell>
          <cell r="H75">
            <v>0</v>
          </cell>
          <cell r="J75">
            <v>9</v>
          </cell>
          <cell r="K75">
            <v>13.025214088999999</v>
          </cell>
          <cell r="L75">
            <v>169.50405352600001</v>
          </cell>
          <cell r="M75" t="str">
            <v/>
          </cell>
          <cell r="N75">
            <v>0</v>
          </cell>
          <cell r="Q75" t="str">
            <v/>
          </cell>
          <cell r="R75" t="str">
            <v/>
          </cell>
          <cell r="S75">
            <v>43</v>
          </cell>
          <cell r="X75">
            <v>1</v>
          </cell>
          <cell r="Y75">
            <v>1</v>
          </cell>
          <cell r="Z75">
            <v>0.95238095238095233</v>
          </cell>
          <cell r="AA75">
            <v>0</v>
          </cell>
          <cell r="AB75" t="str">
            <v/>
          </cell>
          <cell r="AD75">
            <v>1</v>
          </cell>
          <cell r="AE75">
            <v>165</v>
          </cell>
          <cell r="AF75">
            <v>1</v>
          </cell>
          <cell r="AG75">
            <v>0</v>
          </cell>
          <cell r="AH75" t="str">
            <v/>
          </cell>
          <cell r="AI75">
            <v>0</v>
          </cell>
          <cell r="AJ75">
            <v>0</v>
          </cell>
          <cell r="AK75">
            <v>923.50638583677028</v>
          </cell>
          <cell r="AL75">
            <v>0.13945578231292516</v>
          </cell>
          <cell r="AM75">
            <v>0.28669551169805352</v>
          </cell>
          <cell r="AN75">
            <v>0.68181818181818177</v>
          </cell>
          <cell r="AO75">
            <v>-5846</v>
          </cell>
          <cell r="AQ75">
            <v>24477</v>
          </cell>
          <cell r="AR75" t="str">
            <v/>
          </cell>
          <cell r="AS75">
            <v>10048</v>
          </cell>
          <cell r="AU75">
            <v>20303</v>
          </cell>
          <cell r="AV75" t="str">
            <v/>
          </cell>
          <cell r="AW75">
            <v>13658</v>
          </cell>
          <cell r="AX75" t="str">
            <v/>
          </cell>
          <cell r="AY75" t="str">
            <v/>
          </cell>
          <cell r="AZ75">
            <v>10133</v>
          </cell>
          <cell r="BA75" t="str">
            <v/>
          </cell>
          <cell r="BB75">
            <v>336.55501423499999</v>
          </cell>
          <cell r="BC75" t="str">
            <v/>
          </cell>
          <cell r="BD75">
            <v>542.24399368900004</v>
          </cell>
          <cell r="BE75" t="str">
            <v/>
          </cell>
          <cell r="BF75">
            <v>942.20620982499997</v>
          </cell>
          <cell r="BG75" t="str">
            <v/>
          </cell>
          <cell r="BH75">
            <v>3</v>
          </cell>
          <cell r="BI75">
            <v>20</v>
          </cell>
          <cell r="BJ75">
            <v>20</v>
          </cell>
        </row>
        <row r="76">
          <cell r="A76" t="str">
            <v>5DK</v>
          </cell>
          <cell r="B76" t="str">
            <v>Q16</v>
          </cell>
          <cell r="C76" t="str">
            <v/>
          </cell>
          <cell r="D76" t="str">
            <v/>
          </cell>
          <cell r="E76">
            <v>1</v>
          </cell>
          <cell r="F76">
            <v>1</v>
          </cell>
          <cell r="G76">
            <v>1</v>
          </cell>
          <cell r="H76">
            <v>0</v>
          </cell>
          <cell r="J76">
            <v>2</v>
          </cell>
          <cell r="K76">
            <v>2.0333000009999997</v>
          </cell>
          <cell r="L76">
            <v>30.626299979999999</v>
          </cell>
          <cell r="M76">
            <v>433</v>
          </cell>
          <cell r="N76">
            <v>1</v>
          </cell>
          <cell r="Q76">
            <v>1</v>
          </cell>
          <cell r="R76">
            <v>1</v>
          </cell>
          <cell r="S76">
            <v>150</v>
          </cell>
          <cell r="X76">
            <v>1</v>
          </cell>
          <cell r="Y76">
            <v>1</v>
          </cell>
          <cell r="Z76">
            <v>1</v>
          </cell>
          <cell r="AA76">
            <v>0</v>
          </cell>
          <cell r="AB76" t="str">
            <v/>
          </cell>
          <cell r="AD76">
            <v>12</v>
          </cell>
          <cell r="AE76">
            <v>289</v>
          </cell>
          <cell r="AF76">
            <v>0.79855072463768118</v>
          </cell>
          <cell r="AG76">
            <v>0</v>
          </cell>
          <cell r="AH76" t="str">
            <v/>
          </cell>
          <cell r="AI76">
            <v>2</v>
          </cell>
          <cell r="AJ76">
            <v>50</v>
          </cell>
          <cell r="AK76">
            <v>673.91188535506899</v>
          </cell>
          <cell r="AL76">
            <v>0.20666666666666667</v>
          </cell>
          <cell r="AM76">
            <v>0.29050348185123559</v>
          </cell>
          <cell r="AN76">
            <v>0.69230769230769229</v>
          </cell>
          <cell r="AO76">
            <v>0</v>
          </cell>
          <cell r="AQ76">
            <v>14961</v>
          </cell>
          <cell r="AR76" t="str">
            <v/>
          </cell>
          <cell r="AS76">
            <v>5660</v>
          </cell>
          <cell r="AU76">
            <v>13088</v>
          </cell>
          <cell r="AV76" t="str">
            <v/>
          </cell>
          <cell r="AW76">
            <v>8476</v>
          </cell>
          <cell r="AX76" t="str">
            <v/>
          </cell>
          <cell r="AY76" t="str">
            <v/>
          </cell>
          <cell r="AZ76">
            <v>6390</v>
          </cell>
          <cell r="BA76" t="str">
            <v/>
          </cell>
          <cell r="BB76">
            <v>215.77589890599998</v>
          </cell>
          <cell r="BC76" t="str">
            <v/>
          </cell>
          <cell r="BD76">
            <v>272.97759871200003</v>
          </cell>
          <cell r="BE76" t="str">
            <v/>
          </cell>
          <cell r="BF76">
            <v>387.72979802899999</v>
          </cell>
          <cell r="BG76" t="str">
            <v/>
          </cell>
          <cell r="BH76">
            <v>136</v>
          </cell>
          <cell r="BI76">
            <v>0</v>
          </cell>
          <cell r="BJ76">
            <v>0</v>
          </cell>
        </row>
        <row r="77">
          <cell r="A77" t="str">
            <v>5DL</v>
          </cell>
          <cell r="B77" t="str">
            <v>Q16</v>
          </cell>
          <cell r="C77" t="str">
            <v/>
          </cell>
          <cell r="D77" t="str">
            <v/>
          </cell>
          <cell r="E77" t="str">
            <v/>
          </cell>
          <cell r="F77">
            <v>1</v>
          </cell>
          <cell r="G77">
            <v>1</v>
          </cell>
          <cell r="H77">
            <v>0</v>
          </cell>
          <cell r="J77">
            <v>0</v>
          </cell>
          <cell r="K77">
            <v>8.1921186000000007E-2</v>
          </cell>
          <cell r="L77">
            <v>37.704442214000011</v>
          </cell>
          <cell r="M77" t="str">
            <v/>
          </cell>
          <cell r="N77">
            <v>3</v>
          </cell>
          <cell r="Q77" t="str">
            <v/>
          </cell>
          <cell r="R77" t="str">
            <v/>
          </cell>
          <cell r="S77">
            <v>308</v>
          </cell>
          <cell r="X77">
            <v>1</v>
          </cell>
          <cell r="Y77">
            <v>0.967741935483871</v>
          </cell>
          <cell r="Z77">
            <v>0.96</v>
          </cell>
          <cell r="AA77">
            <v>0</v>
          </cell>
          <cell r="AB77" t="str">
            <v/>
          </cell>
          <cell r="AD77">
            <v>15</v>
          </cell>
          <cell r="AE77">
            <v>416</v>
          </cell>
          <cell r="AF77">
            <v>0.86037673496364842</v>
          </cell>
          <cell r="AG77">
            <v>0</v>
          </cell>
          <cell r="AH77" t="str">
            <v/>
          </cell>
          <cell r="AI77">
            <v>3</v>
          </cell>
          <cell r="AJ77">
            <v>105</v>
          </cell>
          <cell r="AK77">
            <v>696.92842322330978</v>
          </cell>
          <cell r="AL77">
            <v>0.16913946587537093</v>
          </cell>
          <cell r="AM77">
            <v>0.30061826919198614</v>
          </cell>
          <cell r="AN77">
            <v>0.78947368421052633</v>
          </cell>
          <cell r="AO77">
            <v>0</v>
          </cell>
          <cell r="AQ77">
            <v>28706</v>
          </cell>
          <cell r="AR77" t="str">
            <v/>
          </cell>
          <cell r="AS77">
            <v>12522</v>
          </cell>
          <cell r="AU77">
            <v>24611</v>
          </cell>
          <cell r="AV77" t="str">
            <v/>
          </cell>
          <cell r="AW77">
            <v>17290</v>
          </cell>
          <cell r="AX77" t="str">
            <v/>
          </cell>
          <cell r="AY77" t="str">
            <v/>
          </cell>
          <cell r="AZ77">
            <v>13940</v>
          </cell>
          <cell r="BA77" t="str">
            <v/>
          </cell>
          <cell r="BB77">
            <v>409.709983894</v>
          </cell>
          <cell r="BC77" t="str">
            <v/>
          </cell>
          <cell r="BD77">
            <v>517.01372732300001</v>
          </cell>
          <cell r="BE77" t="str">
            <v/>
          </cell>
          <cell r="BF77">
            <v>721.36044111499996</v>
          </cell>
          <cell r="BG77" t="str">
            <v/>
          </cell>
          <cell r="BH77">
            <v>348</v>
          </cell>
          <cell r="BI77">
            <v>0</v>
          </cell>
          <cell r="BJ77">
            <v>0</v>
          </cell>
        </row>
        <row r="78">
          <cell r="A78" t="str">
            <v>5DM</v>
          </cell>
          <cell r="B78" t="str">
            <v>Q16</v>
          </cell>
          <cell r="C78" t="str">
            <v/>
          </cell>
          <cell r="D78" t="str">
            <v/>
          </cell>
          <cell r="E78">
            <v>1</v>
          </cell>
          <cell r="F78">
            <v>1</v>
          </cell>
          <cell r="G78">
            <v>1</v>
          </cell>
          <cell r="H78">
            <v>0</v>
          </cell>
          <cell r="J78">
            <v>0</v>
          </cell>
          <cell r="K78">
            <v>1.5068814850000001</v>
          </cell>
          <cell r="L78">
            <v>90.788400564</v>
          </cell>
          <cell r="M78" t="str">
            <v/>
          </cell>
          <cell r="N78">
            <v>1</v>
          </cell>
          <cell r="Q78" t="str">
            <v/>
          </cell>
          <cell r="R78" t="str">
            <v/>
          </cell>
          <cell r="S78">
            <v>81</v>
          </cell>
          <cell r="X78">
            <v>0.98969072164948457</v>
          </cell>
          <cell r="Y78">
            <v>1</v>
          </cell>
          <cell r="Z78">
            <v>1</v>
          </cell>
          <cell r="AA78">
            <v>0</v>
          </cell>
          <cell r="AB78" t="str">
            <v/>
          </cell>
          <cell r="AD78">
            <v>20</v>
          </cell>
          <cell r="AE78">
            <v>335</v>
          </cell>
          <cell r="AF78">
            <v>0.76637137397950317</v>
          </cell>
          <cell r="AG78">
            <v>0</v>
          </cell>
          <cell r="AH78" t="str">
            <v/>
          </cell>
          <cell r="AI78">
            <v>2</v>
          </cell>
          <cell r="AJ78">
            <v>34</v>
          </cell>
          <cell r="AK78">
            <v>721.7321571772253</v>
          </cell>
          <cell r="AL78" t="str">
            <v/>
          </cell>
          <cell r="AM78">
            <v>0.26999816158579448</v>
          </cell>
          <cell r="AN78">
            <v>0.72307692307692306</v>
          </cell>
          <cell r="AO78">
            <v>-3159</v>
          </cell>
          <cell r="AQ78">
            <v>21582</v>
          </cell>
          <cell r="AR78" t="str">
            <v/>
          </cell>
          <cell r="AS78">
            <v>8598</v>
          </cell>
          <cell r="AU78">
            <v>18686</v>
          </cell>
          <cell r="AV78" t="str">
            <v/>
          </cell>
          <cell r="AW78">
            <v>13757</v>
          </cell>
          <cell r="AX78" t="str">
            <v/>
          </cell>
          <cell r="AY78" t="str">
            <v/>
          </cell>
          <cell r="AZ78">
            <v>11100</v>
          </cell>
          <cell r="BA78" t="str">
            <v/>
          </cell>
          <cell r="BB78">
            <v>257.824126949</v>
          </cell>
          <cell r="BC78">
            <v>0.103900732</v>
          </cell>
          <cell r="BD78">
            <v>410.365958869</v>
          </cell>
          <cell r="BE78" t="str">
            <v/>
          </cell>
          <cell r="BF78">
            <v>1077.8494316450001</v>
          </cell>
          <cell r="BG78" t="str">
            <v/>
          </cell>
          <cell r="BH78">
            <v>27</v>
          </cell>
          <cell r="BI78">
            <v>0</v>
          </cell>
          <cell r="BJ78">
            <v>0</v>
          </cell>
        </row>
        <row r="79">
          <cell r="A79" t="str">
            <v>5DN</v>
          </cell>
          <cell r="B79" t="str">
            <v>Q16</v>
          </cell>
          <cell r="C79" t="str">
            <v/>
          </cell>
          <cell r="D79" t="str">
            <v/>
          </cell>
          <cell r="E79" t="str">
            <v/>
          </cell>
          <cell r="F79">
            <v>1</v>
          </cell>
          <cell r="G79">
            <v>1</v>
          </cell>
          <cell r="H79">
            <v>0</v>
          </cell>
          <cell r="J79">
            <v>0</v>
          </cell>
          <cell r="K79">
            <v>4.1999999000000003E-2</v>
          </cell>
          <cell r="L79">
            <v>23.009499931000001</v>
          </cell>
          <cell r="M79" t="str">
            <v/>
          </cell>
          <cell r="N79">
            <v>1</v>
          </cell>
          <cell r="Q79" t="str">
            <v/>
          </cell>
          <cell r="R79" t="str">
            <v/>
          </cell>
          <cell r="S79">
            <v>104</v>
          </cell>
          <cell r="X79">
            <v>1</v>
          </cell>
          <cell r="Y79">
            <v>1</v>
          </cell>
          <cell r="Z79">
            <v>1</v>
          </cell>
          <cell r="AA79">
            <v>0</v>
          </cell>
          <cell r="AB79" t="str">
            <v/>
          </cell>
          <cell r="AD79">
            <v>23</v>
          </cell>
          <cell r="AE79">
            <v>278</v>
          </cell>
          <cell r="AF79">
            <v>0.86030982905982911</v>
          </cell>
          <cell r="AG79">
            <v>0</v>
          </cell>
          <cell r="AH79" t="str">
            <v/>
          </cell>
          <cell r="AI79">
            <v>2</v>
          </cell>
          <cell r="AJ79">
            <v>70</v>
          </cell>
          <cell r="AK79">
            <v>609.82635174059749</v>
          </cell>
          <cell r="AL79">
            <v>0.12727272727272726</v>
          </cell>
          <cell r="AM79">
            <v>0.26060421382552673</v>
          </cell>
          <cell r="AN79">
            <v>0.83333333333333337</v>
          </cell>
          <cell r="AO79">
            <v>0</v>
          </cell>
          <cell r="AQ79">
            <v>17284</v>
          </cell>
          <cell r="AR79" t="str">
            <v/>
          </cell>
          <cell r="AS79">
            <v>7050</v>
          </cell>
          <cell r="AU79">
            <v>16763</v>
          </cell>
          <cell r="AV79" t="str">
            <v/>
          </cell>
          <cell r="AW79">
            <v>13449</v>
          </cell>
          <cell r="AX79" t="str">
            <v/>
          </cell>
          <cell r="AY79" t="str">
            <v/>
          </cell>
          <cell r="AZ79">
            <v>8584</v>
          </cell>
          <cell r="BA79" t="str">
            <v/>
          </cell>
          <cell r="BB79">
            <v>319.65239997700002</v>
          </cell>
          <cell r="BC79" t="str">
            <v/>
          </cell>
          <cell r="BD79">
            <v>357.428999976</v>
          </cell>
          <cell r="BE79" t="str">
            <v/>
          </cell>
          <cell r="BF79">
            <v>519.99049996500003</v>
          </cell>
          <cell r="BG79" t="str">
            <v/>
          </cell>
          <cell r="BH79">
            <v>232</v>
          </cell>
          <cell r="BI79">
            <v>0</v>
          </cell>
          <cell r="BJ79">
            <v>0</v>
          </cell>
        </row>
        <row r="80">
          <cell r="A80" t="str">
            <v>5DP</v>
          </cell>
          <cell r="B80" t="str">
            <v>Q16</v>
          </cell>
          <cell r="C80" t="str">
            <v/>
          </cell>
          <cell r="D80" t="str">
            <v/>
          </cell>
          <cell r="E80">
            <v>1</v>
          </cell>
          <cell r="F80">
            <v>1</v>
          </cell>
          <cell r="G80">
            <v>1</v>
          </cell>
          <cell r="H80">
            <v>0</v>
          </cell>
          <cell r="J80">
            <v>0</v>
          </cell>
          <cell r="K80">
            <v>10.602800014</v>
          </cell>
          <cell r="L80">
            <v>673.63199170600001</v>
          </cell>
          <cell r="M80" t="str">
            <v/>
          </cell>
          <cell r="N80">
            <v>7</v>
          </cell>
          <cell r="Q80" t="str">
            <v/>
          </cell>
          <cell r="R80">
            <v>1</v>
          </cell>
          <cell r="S80">
            <v>29</v>
          </cell>
          <cell r="X80">
            <v>1</v>
          </cell>
          <cell r="Y80">
            <v>1</v>
          </cell>
          <cell r="Z80">
            <v>0.91304347826086951</v>
          </cell>
          <cell r="AA80">
            <v>0</v>
          </cell>
          <cell r="AB80" t="str">
            <v/>
          </cell>
          <cell r="AD80">
            <v>16</v>
          </cell>
          <cell r="AE80">
            <v>86</v>
          </cell>
          <cell r="AF80">
            <v>0.9376918909156583</v>
          </cell>
          <cell r="AG80">
            <v>0</v>
          </cell>
          <cell r="AH80" t="str">
            <v/>
          </cell>
          <cell r="AI80">
            <v>6</v>
          </cell>
          <cell r="AJ80">
            <v>113</v>
          </cell>
          <cell r="AK80">
            <v>547.7831007959079</v>
          </cell>
          <cell r="AL80">
            <v>5.5248618784530384E-2</v>
          </cell>
          <cell r="AM80">
            <v>0.26138348511313486</v>
          </cell>
          <cell r="AN80">
            <v>0.42105263157894735</v>
          </cell>
          <cell r="AO80">
            <v>-8470</v>
          </cell>
          <cell r="AQ80">
            <v>32208</v>
          </cell>
          <cell r="AR80" t="str">
            <v/>
          </cell>
          <cell r="AS80">
            <v>11210</v>
          </cell>
          <cell r="AU80">
            <v>27035</v>
          </cell>
          <cell r="AV80" t="str">
            <v/>
          </cell>
          <cell r="AW80">
            <v>20843</v>
          </cell>
          <cell r="AX80" t="str">
            <v/>
          </cell>
          <cell r="AY80" t="str">
            <v/>
          </cell>
          <cell r="AZ80">
            <v>15068</v>
          </cell>
          <cell r="BA80" t="str">
            <v/>
          </cell>
          <cell r="BB80">
            <v>383.36016159500002</v>
          </cell>
          <cell r="BC80" t="str">
            <v/>
          </cell>
          <cell r="BD80">
            <v>790.08766401399998</v>
          </cell>
          <cell r="BE80" t="str">
            <v/>
          </cell>
          <cell r="BF80">
            <v>1433.1056452470002</v>
          </cell>
          <cell r="BG80" t="str">
            <v/>
          </cell>
          <cell r="BH80">
            <v>292</v>
          </cell>
          <cell r="BI80">
            <v>292</v>
          </cell>
          <cell r="BJ80">
            <v>0</v>
          </cell>
        </row>
        <row r="81">
          <cell r="A81" t="str">
            <v>5DQ</v>
          </cell>
          <cell r="B81" t="str">
            <v>Q26</v>
          </cell>
          <cell r="C81" t="str">
            <v/>
          </cell>
          <cell r="D81" t="str">
            <v/>
          </cell>
          <cell r="E81">
            <v>0.99948489010989006</v>
          </cell>
          <cell r="F81">
            <v>1</v>
          </cell>
          <cell r="G81">
            <v>1</v>
          </cell>
          <cell r="H81">
            <v>0</v>
          </cell>
          <cell r="J81">
            <v>4</v>
          </cell>
          <cell r="K81">
            <v>25.578299782999999</v>
          </cell>
          <cell r="L81">
            <v>312.181939091</v>
          </cell>
          <cell r="M81">
            <v>544</v>
          </cell>
          <cell r="N81">
            <v>0</v>
          </cell>
          <cell r="Q81">
            <v>1</v>
          </cell>
          <cell r="R81">
            <v>1</v>
          </cell>
          <cell r="S81">
            <v>272</v>
          </cell>
          <cell r="X81">
            <v>1</v>
          </cell>
          <cell r="Y81">
            <v>1</v>
          </cell>
          <cell r="Z81">
            <v>1</v>
          </cell>
          <cell r="AA81">
            <v>0</v>
          </cell>
          <cell r="AB81" t="str">
            <v/>
          </cell>
          <cell r="AD81">
            <v>54</v>
          </cell>
          <cell r="AE81">
            <v>136</v>
          </cell>
          <cell r="AF81">
            <v>0.53338391502276172</v>
          </cell>
          <cell r="AG81">
            <v>0</v>
          </cell>
          <cell r="AH81" t="str">
            <v/>
          </cell>
          <cell r="AI81">
            <v>2</v>
          </cell>
          <cell r="AJ81">
            <v>45</v>
          </cell>
          <cell r="AK81">
            <v>861.65943156687683</v>
          </cell>
          <cell r="AL81">
            <v>0.13350125944584382</v>
          </cell>
          <cell r="AM81">
            <v>0.28854588816063775</v>
          </cell>
          <cell r="AN81">
            <v>0.55172413793103448</v>
          </cell>
          <cell r="AO81">
            <v>-4243</v>
          </cell>
          <cell r="AQ81">
            <v>36540</v>
          </cell>
          <cell r="AR81" t="str">
            <v/>
          </cell>
          <cell r="AS81">
            <v>15817</v>
          </cell>
          <cell r="AU81">
            <v>27951</v>
          </cell>
          <cell r="AV81" t="str">
            <v/>
          </cell>
          <cell r="AW81">
            <v>17766</v>
          </cell>
          <cell r="AX81" t="str">
            <v/>
          </cell>
          <cell r="AY81" t="str">
            <v/>
          </cell>
          <cell r="AZ81">
            <v>11967</v>
          </cell>
          <cell r="BA81" t="str">
            <v/>
          </cell>
          <cell r="BB81">
            <v>237.81970589299996</v>
          </cell>
          <cell r="BC81">
            <v>22</v>
          </cell>
          <cell r="BD81">
            <v>405.63140201000004</v>
          </cell>
          <cell r="BE81">
            <v>0.28999999199999998</v>
          </cell>
          <cell r="BF81">
            <v>989.78112961900001</v>
          </cell>
          <cell r="BG81" t="str">
            <v/>
          </cell>
          <cell r="BH81">
            <v>10</v>
          </cell>
          <cell r="BI81">
            <v>5</v>
          </cell>
          <cell r="BJ81">
            <v>3</v>
          </cell>
        </row>
        <row r="82">
          <cell r="A82" t="str">
            <v>5DR</v>
          </cell>
          <cell r="B82" t="str">
            <v>Q28</v>
          </cell>
          <cell r="C82" t="str">
            <v/>
          </cell>
          <cell r="D82" t="str">
            <v/>
          </cell>
          <cell r="E82" t="str">
            <v/>
          </cell>
          <cell r="F82">
            <v>1</v>
          </cell>
          <cell r="G82">
            <v>1</v>
          </cell>
          <cell r="H82">
            <v>0</v>
          </cell>
          <cell r="J82">
            <v>0</v>
          </cell>
          <cell r="K82">
            <v>23.006</v>
          </cell>
          <cell r="L82">
            <v>111.732950594</v>
          </cell>
          <cell r="M82" t="str">
            <v/>
          </cell>
          <cell r="N82">
            <v>1</v>
          </cell>
          <cell r="Q82" t="str">
            <v/>
          </cell>
          <cell r="R82" t="str">
            <v/>
          </cell>
          <cell r="S82">
            <v>2</v>
          </cell>
          <cell r="X82">
            <v>1</v>
          </cell>
          <cell r="Y82">
            <v>0.97674418604651159</v>
          </cell>
          <cell r="Z82">
            <v>0.90476190476190477</v>
          </cell>
          <cell r="AA82">
            <v>0</v>
          </cell>
          <cell r="AB82" t="str">
            <v/>
          </cell>
          <cell r="AD82">
            <v>29</v>
          </cell>
          <cell r="AE82">
            <v>144</v>
          </cell>
          <cell r="AF82">
            <v>0.87033071615512725</v>
          </cell>
          <cell r="AG82">
            <v>0</v>
          </cell>
          <cell r="AH82" t="str">
            <v/>
          </cell>
          <cell r="AI82">
            <v>3</v>
          </cell>
          <cell r="AJ82">
            <v>48</v>
          </cell>
          <cell r="AK82">
            <v>1031.8736967530533</v>
          </cell>
          <cell r="AL82">
            <v>0.22821576763485477</v>
          </cell>
          <cell r="AM82">
            <v>0.33815816077736416</v>
          </cell>
          <cell r="AN82">
            <v>0.66666666666666663</v>
          </cell>
          <cell r="AO82">
            <v>17</v>
          </cell>
          <cell r="AQ82">
            <v>20557</v>
          </cell>
          <cell r="AR82" t="str">
            <v/>
          </cell>
          <cell r="AS82">
            <v>7316</v>
          </cell>
          <cell r="AU82">
            <v>16757</v>
          </cell>
          <cell r="AV82" t="str">
            <v/>
          </cell>
          <cell r="AW82">
            <v>12662</v>
          </cell>
          <cell r="AX82" t="str">
            <v/>
          </cell>
          <cell r="AY82" t="str">
            <v/>
          </cell>
          <cell r="AZ82">
            <v>8181</v>
          </cell>
          <cell r="BA82" t="str">
            <v/>
          </cell>
          <cell r="BB82">
            <v>171.96291609799999</v>
          </cell>
          <cell r="BC82" t="str">
            <v/>
          </cell>
          <cell r="BD82">
            <v>478.77715545799998</v>
          </cell>
          <cell r="BE82" t="str">
            <v/>
          </cell>
          <cell r="BF82">
            <v>896.96443325899997</v>
          </cell>
          <cell r="BG82" t="str">
            <v/>
          </cell>
          <cell r="BH82">
            <v>441</v>
          </cell>
          <cell r="BI82">
            <v>441</v>
          </cell>
          <cell r="BJ82">
            <v>0</v>
          </cell>
        </row>
        <row r="83">
          <cell r="A83" t="str">
            <v>5DT</v>
          </cell>
          <cell r="B83" t="str">
            <v>Q16</v>
          </cell>
          <cell r="C83" t="str">
            <v/>
          </cell>
          <cell r="D83" t="str">
            <v/>
          </cell>
          <cell r="E83">
            <v>0.99537037037037035</v>
          </cell>
          <cell r="F83">
            <v>1</v>
          </cell>
          <cell r="G83">
            <v>1</v>
          </cell>
          <cell r="H83">
            <v>0</v>
          </cell>
          <cell r="J83">
            <v>1</v>
          </cell>
          <cell r="K83">
            <v>23.014199999999999</v>
          </cell>
          <cell r="L83">
            <v>352.10619999800002</v>
          </cell>
          <cell r="M83" t="str">
            <v/>
          </cell>
          <cell r="N83">
            <v>11</v>
          </cell>
          <cell r="Q83" t="str">
            <v/>
          </cell>
          <cell r="R83" t="str">
            <v/>
          </cell>
          <cell r="S83" t="str">
            <v/>
          </cell>
          <cell r="X83">
            <v>1</v>
          </cell>
          <cell r="Y83">
            <v>1</v>
          </cell>
          <cell r="Z83">
            <v>1</v>
          </cell>
          <cell r="AA83">
            <v>0</v>
          </cell>
          <cell r="AB83" t="str">
            <v/>
          </cell>
          <cell r="AD83">
            <v>0</v>
          </cell>
          <cell r="AE83">
            <v>77</v>
          </cell>
          <cell r="AF83">
            <v>0.76623376623376627</v>
          </cell>
          <cell r="AG83">
            <v>0</v>
          </cell>
          <cell r="AH83" t="str">
            <v/>
          </cell>
          <cell r="AI83">
            <v>1</v>
          </cell>
          <cell r="AJ83">
            <v>48</v>
          </cell>
          <cell r="AK83">
            <v>828.06071292742797</v>
          </cell>
          <cell r="AL83">
            <v>0.10276679841897234</v>
          </cell>
          <cell r="AM83">
            <v>0.28485172598202424</v>
          </cell>
          <cell r="AN83">
            <v>0.27272727272727271</v>
          </cell>
          <cell r="AO83">
            <v>-573</v>
          </cell>
          <cell r="AQ83">
            <v>10616</v>
          </cell>
          <cell r="AR83" t="str">
            <v/>
          </cell>
          <cell r="AS83">
            <v>6148</v>
          </cell>
          <cell r="AU83">
            <v>9942</v>
          </cell>
          <cell r="AV83" t="str">
            <v/>
          </cell>
          <cell r="AW83">
            <v>7700</v>
          </cell>
          <cell r="AX83" t="str">
            <v/>
          </cell>
          <cell r="AY83" t="str">
            <v/>
          </cell>
          <cell r="AZ83">
            <v>5906</v>
          </cell>
          <cell r="BA83" t="str">
            <v/>
          </cell>
          <cell r="BB83">
            <v>122.15299999600001</v>
          </cell>
          <cell r="BC83" t="str">
            <v/>
          </cell>
          <cell r="BD83">
            <v>255.24239999400001</v>
          </cell>
          <cell r="BE83" t="str">
            <v/>
          </cell>
          <cell r="BF83">
            <v>390.511199987</v>
          </cell>
          <cell r="BG83" t="str">
            <v/>
          </cell>
          <cell r="BH83">
            <v>61</v>
          </cell>
          <cell r="BI83">
            <v>0</v>
          </cell>
          <cell r="BJ83">
            <v>0</v>
          </cell>
        </row>
        <row r="84">
          <cell r="A84" t="str">
            <v>5DV</v>
          </cell>
          <cell r="B84" t="str">
            <v>Q16</v>
          </cell>
          <cell r="C84" t="str">
            <v/>
          </cell>
          <cell r="D84" t="str">
            <v/>
          </cell>
          <cell r="E84">
            <v>1</v>
          </cell>
          <cell r="F84">
            <v>1</v>
          </cell>
          <cell r="G84">
            <v>1</v>
          </cell>
          <cell r="H84">
            <v>0</v>
          </cell>
          <cell r="J84">
            <v>0</v>
          </cell>
          <cell r="K84">
            <v>20.026199999999999</v>
          </cell>
          <cell r="L84">
            <v>725.17319999599999</v>
          </cell>
          <cell r="M84" t="str">
            <v/>
          </cell>
          <cell r="N84">
            <v>10</v>
          </cell>
          <cell r="Q84" t="str">
            <v/>
          </cell>
          <cell r="R84" t="str">
            <v/>
          </cell>
          <cell r="S84">
            <v>3865</v>
          </cell>
          <cell r="X84">
            <v>1</v>
          </cell>
          <cell r="Y84">
            <v>1</v>
          </cell>
          <cell r="Z84">
            <v>1</v>
          </cell>
          <cell r="AA84">
            <v>0</v>
          </cell>
          <cell r="AB84" t="str">
            <v/>
          </cell>
          <cell r="AD84">
            <v>0</v>
          </cell>
          <cell r="AE84">
            <v>215</v>
          </cell>
          <cell r="AF84">
            <v>0.70253323300727366</v>
          </cell>
          <cell r="AG84">
            <v>0</v>
          </cell>
          <cell r="AH84" t="str">
            <v/>
          </cell>
          <cell r="AI84">
            <v>3</v>
          </cell>
          <cell r="AJ84">
            <v>86</v>
          </cell>
          <cell r="AK84">
            <v>601.62902628656059</v>
          </cell>
          <cell r="AL84">
            <v>0.1</v>
          </cell>
          <cell r="AM84">
            <v>0.25802502857952186</v>
          </cell>
          <cell r="AN84">
            <v>0.33333333333333331</v>
          </cell>
          <cell r="AO84">
            <v>-3395</v>
          </cell>
          <cell r="AQ84">
            <v>17939</v>
          </cell>
          <cell r="AR84" t="str">
            <v/>
          </cell>
          <cell r="AS84">
            <v>10269</v>
          </cell>
          <cell r="AU84">
            <v>16512</v>
          </cell>
          <cell r="AV84" t="str">
            <v/>
          </cell>
          <cell r="AW84">
            <v>14532</v>
          </cell>
          <cell r="AX84" t="str">
            <v/>
          </cell>
          <cell r="AY84" t="str">
            <v/>
          </cell>
          <cell r="AZ84">
            <v>11139</v>
          </cell>
          <cell r="BA84" t="str">
            <v/>
          </cell>
          <cell r="BB84">
            <v>190.33939999099999</v>
          </cell>
          <cell r="BC84" t="str">
            <v/>
          </cell>
          <cell r="BD84">
            <v>508.43639998899999</v>
          </cell>
          <cell r="BE84" t="str">
            <v/>
          </cell>
          <cell r="BF84">
            <v>787.79419998000003</v>
          </cell>
          <cell r="BG84" t="str">
            <v/>
          </cell>
          <cell r="BH84">
            <v>38</v>
          </cell>
          <cell r="BI84">
            <v>0</v>
          </cell>
          <cell r="BJ84">
            <v>0</v>
          </cell>
        </row>
        <row r="85">
          <cell r="A85" t="str">
            <v>5DW</v>
          </cell>
          <cell r="B85" t="str">
            <v>Q16</v>
          </cell>
          <cell r="C85" t="str">
            <v/>
          </cell>
          <cell r="D85" t="str">
            <v/>
          </cell>
          <cell r="E85" t="str">
            <v/>
          </cell>
          <cell r="F85">
            <v>1</v>
          </cell>
          <cell r="G85">
            <v>1</v>
          </cell>
          <cell r="H85">
            <v>0</v>
          </cell>
          <cell r="J85">
            <v>0</v>
          </cell>
          <cell r="K85">
            <v>31.027300001</v>
          </cell>
          <cell r="L85">
            <v>821.19280000599997</v>
          </cell>
          <cell r="M85" t="str">
            <v/>
          </cell>
          <cell r="N85">
            <v>28</v>
          </cell>
          <cell r="Q85" t="str">
            <v/>
          </cell>
          <cell r="R85" t="str">
            <v/>
          </cell>
          <cell r="S85" t="str">
            <v/>
          </cell>
          <cell r="X85">
            <v>1</v>
          </cell>
          <cell r="Y85">
            <v>1</v>
          </cell>
          <cell r="Z85">
            <v>1</v>
          </cell>
          <cell r="AA85">
            <v>0</v>
          </cell>
          <cell r="AB85" t="str">
            <v/>
          </cell>
          <cell r="AD85">
            <v>0</v>
          </cell>
          <cell r="AE85">
            <v>192</v>
          </cell>
          <cell r="AF85">
            <v>0.75166527893422153</v>
          </cell>
          <cell r="AG85">
            <v>0</v>
          </cell>
          <cell r="AH85" t="str">
            <v/>
          </cell>
          <cell r="AI85">
            <v>3.9</v>
          </cell>
          <cell r="AJ85">
            <v>203</v>
          </cell>
          <cell r="AK85">
            <v>588.59507105594537</v>
          </cell>
          <cell r="AL85">
            <v>0.11411992263056092</v>
          </cell>
          <cell r="AM85">
            <v>0.24164852488551911</v>
          </cell>
          <cell r="AN85">
            <v>0.33333333333333331</v>
          </cell>
          <cell r="AO85">
            <v>263</v>
          </cell>
          <cell r="AQ85">
            <v>24911</v>
          </cell>
          <cell r="AR85" t="str">
            <v/>
          </cell>
          <cell r="AS85">
            <v>15822</v>
          </cell>
          <cell r="AU85">
            <v>22257</v>
          </cell>
          <cell r="AV85" t="str">
            <v/>
          </cell>
          <cell r="AW85">
            <v>14171</v>
          </cell>
          <cell r="AX85" t="str">
            <v/>
          </cell>
          <cell r="AY85" t="str">
            <v/>
          </cell>
          <cell r="AZ85">
            <v>13977</v>
          </cell>
          <cell r="BA85" t="str">
            <v/>
          </cell>
          <cell r="BB85">
            <v>224.32270000899999</v>
          </cell>
          <cell r="BC85" t="str">
            <v/>
          </cell>
          <cell r="BD85">
            <v>469.46060001500001</v>
          </cell>
          <cell r="BE85" t="str">
            <v/>
          </cell>
          <cell r="BF85">
            <v>751.90830003200006</v>
          </cell>
          <cell r="BG85" t="str">
            <v/>
          </cell>
          <cell r="BH85">
            <v>8</v>
          </cell>
          <cell r="BI85">
            <v>0</v>
          </cell>
          <cell r="BJ85">
            <v>0</v>
          </cell>
        </row>
        <row r="86">
          <cell r="A86" t="str">
            <v>5DX</v>
          </cell>
          <cell r="B86" t="str">
            <v>Q16</v>
          </cell>
          <cell r="C86" t="str">
            <v/>
          </cell>
          <cell r="D86" t="str">
            <v/>
          </cell>
          <cell r="E86">
            <v>1</v>
          </cell>
          <cell r="F86">
            <v>1</v>
          </cell>
          <cell r="G86">
            <v>1</v>
          </cell>
          <cell r="H86">
            <v>0</v>
          </cell>
          <cell r="J86">
            <v>0</v>
          </cell>
          <cell r="K86">
            <v>4.0322000009999996</v>
          </cell>
          <cell r="L86">
            <v>184.306699936</v>
          </cell>
          <cell r="M86" t="str">
            <v/>
          </cell>
          <cell r="N86">
            <v>7</v>
          </cell>
          <cell r="Q86" t="str">
            <v/>
          </cell>
          <cell r="R86" t="str">
            <v/>
          </cell>
          <cell r="S86" t="str">
            <v/>
          </cell>
          <cell r="X86">
            <v>1</v>
          </cell>
          <cell r="Y86">
            <v>1</v>
          </cell>
          <cell r="Z86">
            <v>1</v>
          </cell>
          <cell r="AA86">
            <v>0</v>
          </cell>
          <cell r="AB86" t="str">
            <v/>
          </cell>
          <cell r="AD86">
            <v>0</v>
          </cell>
          <cell r="AE86">
            <v>41</v>
          </cell>
          <cell r="AF86">
            <v>0.80539058931018725</v>
          </cell>
          <cell r="AG86">
            <v>0</v>
          </cell>
          <cell r="AH86" t="str">
            <v/>
          </cell>
          <cell r="AI86">
            <v>2</v>
          </cell>
          <cell r="AJ86">
            <v>40</v>
          </cell>
          <cell r="AK86">
            <v>694.42109156942536</v>
          </cell>
          <cell r="AL86">
            <v>8.7155963302752298E-2</v>
          </cell>
          <cell r="AM86">
            <v>0.24695170993790819</v>
          </cell>
          <cell r="AN86">
            <v>0.63636363636363635</v>
          </cell>
          <cell r="AO86">
            <v>59</v>
          </cell>
          <cell r="AQ86">
            <v>11478</v>
          </cell>
          <cell r="AR86" t="str">
            <v/>
          </cell>
          <cell r="AS86">
            <v>5221</v>
          </cell>
          <cell r="AU86">
            <v>10359</v>
          </cell>
          <cell r="AV86" t="str">
            <v/>
          </cell>
          <cell r="AW86">
            <v>7562</v>
          </cell>
          <cell r="AX86" t="str">
            <v/>
          </cell>
          <cell r="AY86" t="str">
            <v/>
          </cell>
          <cell r="AZ86">
            <v>5822</v>
          </cell>
          <cell r="BA86" t="str">
            <v/>
          </cell>
          <cell r="BB86">
            <v>157.67259709900003</v>
          </cell>
          <cell r="BC86" t="str">
            <v/>
          </cell>
          <cell r="BD86">
            <v>259.18839640800002</v>
          </cell>
          <cell r="BE86" t="str">
            <v/>
          </cell>
          <cell r="BF86">
            <v>377.55569460700002</v>
          </cell>
          <cell r="BG86" t="str">
            <v/>
          </cell>
          <cell r="BH86">
            <v>5</v>
          </cell>
          <cell r="BI86">
            <v>0</v>
          </cell>
          <cell r="BJ86">
            <v>0</v>
          </cell>
        </row>
        <row r="87">
          <cell r="A87" t="str">
            <v>5DY</v>
          </cell>
          <cell r="B87" t="str">
            <v>Q16</v>
          </cell>
          <cell r="C87" t="str">
            <v/>
          </cell>
          <cell r="D87" t="str">
            <v/>
          </cell>
          <cell r="E87">
            <v>0.99903660886319845</v>
          </cell>
          <cell r="F87">
            <v>1</v>
          </cell>
          <cell r="G87">
            <v>1</v>
          </cell>
          <cell r="H87">
            <v>0</v>
          </cell>
          <cell r="J87">
            <v>0</v>
          </cell>
          <cell r="K87">
            <v>39.032200001</v>
          </cell>
          <cell r="L87">
            <v>1123.3590809510001</v>
          </cell>
          <cell r="M87" t="str">
            <v/>
          </cell>
          <cell r="N87">
            <v>39</v>
          </cell>
          <cell r="Q87" t="str">
            <v/>
          </cell>
          <cell r="R87" t="str">
            <v/>
          </cell>
          <cell r="S87" t="str">
            <v/>
          </cell>
          <cell r="X87">
            <v>1</v>
          </cell>
          <cell r="Y87">
            <v>1</v>
          </cell>
          <cell r="Z87">
            <v>1</v>
          </cell>
          <cell r="AA87">
            <v>0</v>
          </cell>
          <cell r="AB87" t="str">
            <v/>
          </cell>
          <cell r="AD87">
            <v>0</v>
          </cell>
          <cell r="AE87">
            <v>126</v>
          </cell>
          <cell r="AF87">
            <v>0.75778321108394453</v>
          </cell>
          <cell r="AG87">
            <v>0</v>
          </cell>
          <cell r="AH87" t="str">
            <v/>
          </cell>
          <cell r="AI87">
            <v>3</v>
          </cell>
          <cell r="AJ87">
            <v>100</v>
          </cell>
          <cell r="AK87">
            <v>689.24394747640542</v>
          </cell>
          <cell r="AL87">
            <v>0.11478260869565217</v>
          </cell>
          <cell r="AM87">
            <v>0.20884346125223094</v>
          </cell>
          <cell r="AN87">
            <v>0.52380952380952384</v>
          </cell>
          <cell r="AO87">
            <v>-2834</v>
          </cell>
          <cell r="AQ87">
            <v>29596</v>
          </cell>
          <cell r="AR87" t="str">
            <v/>
          </cell>
          <cell r="AS87">
            <v>17094</v>
          </cell>
          <cell r="AU87">
            <v>27240</v>
          </cell>
          <cell r="AV87" t="str">
            <v/>
          </cell>
          <cell r="AW87">
            <v>19621</v>
          </cell>
          <cell r="AX87" t="str">
            <v/>
          </cell>
          <cell r="AY87" t="str">
            <v/>
          </cell>
          <cell r="AZ87">
            <v>15506</v>
          </cell>
          <cell r="BA87" t="str">
            <v/>
          </cell>
          <cell r="BB87">
            <v>341.432600009</v>
          </cell>
          <cell r="BC87" t="str">
            <v/>
          </cell>
          <cell r="BD87">
            <v>648.53340000799994</v>
          </cell>
          <cell r="BE87" t="str">
            <v/>
          </cell>
          <cell r="BF87">
            <v>936.93570000700004</v>
          </cell>
          <cell r="BG87" t="str">
            <v/>
          </cell>
          <cell r="BH87">
            <v>76</v>
          </cell>
          <cell r="BI87">
            <v>0</v>
          </cell>
          <cell r="BJ87">
            <v>0</v>
          </cell>
        </row>
        <row r="88">
          <cell r="A88" t="str">
            <v>5E1</v>
          </cell>
          <cell r="B88" t="str">
            <v>Q10</v>
          </cell>
          <cell r="C88" t="str">
            <v/>
          </cell>
          <cell r="D88" t="str">
            <v/>
          </cell>
          <cell r="E88" t="str">
            <v/>
          </cell>
          <cell r="F88">
            <v>1</v>
          </cell>
          <cell r="G88">
            <v>1</v>
          </cell>
          <cell r="H88">
            <v>0</v>
          </cell>
          <cell r="J88">
            <v>0</v>
          </cell>
          <cell r="K88">
            <v>152.02130000099999</v>
          </cell>
          <cell r="L88">
            <v>264.15930000599997</v>
          </cell>
          <cell r="M88" t="str">
            <v/>
          </cell>
          <cell r="N88">
            <v>0</v>
          </cell>
          <cell r="Q88" t="str">
            <v/>
          </cell>
          <cell r="R88" t="str">
            <v/>
          </cell>
          <cell r="S88">
            <v>68</v>
          </cell>
          <cell r="X88">
            <v>1</v>
          </cell>
          <cell r="Y88">
            <v>1</v>
          </cell>
          <cell r="Z88">
            <v>0.8928571428571429</v>
          </cell>
          <cell r="AA88">
            <v>0</v>
          </cell>
          <cell r="AB88" t="str">
            <v/>
          </cell>
          <cell r="AD88">
            <v>36</v>
          </cell>
          <cell r="AE88">
            <v>327</v>
          </cell>
          <cell r="AF88">
            <v>0.88802642444260937</v>
          </cell>
          <cell r="AG88">
            <v>0</v>
          </cell>
          <cell r="AH88" t="str">
            <v/>
          </cell>
          <cell r="AI88">
            <v>5</v>
          </cell>
          <cell r="AJ88">
            <v>362</v>
          </cell>
          <cell r="AK88">
            <v>1046.6293272150617</v>
          </cell>
          <cell r="AL88">
            <v>0.17261904761904762</v>
          </cell>
          <cell r="AM88" t="str">
            <v/>
          </cell>
          <cell r="AN88">
            <v>0.17391304347826086</v>
          </cell>
          <cell r="AO88">
            <v>435</v>
          </cell>
          <cell r="AQ88">
            <v>32393</v>
          </cell>
          <cell r="AR88" t="str">
            <v/>
          </cell>
          <cell r="AS88">
            <v>17458</v>
          </cell>
          <cell r="AU88">
            <v>28586</v>
          </cell>
          <cell r="AV88" t="str">
            <v/>
          </cell>
          <cell r="AW88">
            <v>23273</v>
          </cell>
          <cell r="AX88" t="str">
            <v/>
          </cell>
          <cell r="AY88" t="str">
            <v/>
          </cell>
          <cell r="AZ88">
            <v>20461</v>
          </cell>
          <cell r="BA88" t="str">
            <v/>
          </cell>
          <cell r="BB88">
            <v>397.29290000899999</v>
          </cell>
          <cell r="BC88">
            <v>289</v>
          </cell>
          <cell r="BD88">
            <v>875.44100001499999</v>
          </cell>
          <cell r="BE88" t="str">
            <v/>
          </cell>
          <cell r="BF88">
            <v>1317.9430000319999</v>
          </cell>
          <cell r="BG88" t="str">
            <v/>
          </cell>
          <cell r="BH88">
            <v>223</v>
          </cell>
          <cell r="BI88">
            <v>257</v>
          </cell>
          <cell r="BJ88">
            <v>46</v>
          </cell>
        </row>
        <row r="89">
          <cell r="A89" t="str">
            <v>5E2</v>
          </cell>
          <cell r="B89" t="str">
            <v>Q11</v>
          </cell>
          <cell r="C89" t="str">
            <v/>
          </cell>
          <cell r="D89" t="str">
            <v/>
          </cell>
          <cell r="E89">
            <v>1</v>
          </cell>
          <cell r="F89">
            <v>1</v>
          </cell>
          <cell r="G89">
            <v>1</v>
          </cell>
          <cell r="H89">
            <v>0</v>
          </cell>
          <cell r="J89">
            <v>1</v>
          </cell>
          <cell r="K89">
            <v>68</v>
          </cell>
          <cell r="L89">
            <v>866.07408853900006</v>
          </cell>
          <cell r="M89" t="str">
            <v/>
          </cell>
          <cell r="N89">
            <v>0</v>
          </cell>
          <cell r="Q89" t="str">
            <v/>
          </cell>
          <cell r="R89" t="str">
            <v/>
          </cell>
          <cell r="S89">
            <v>59</v>
          </cell>
          <cell r="X89">
            <v>1</v>
          </cell>
          <cell r="Y89">
            <v>0.9732142857142857</v>
          </cell>
          <cell r="Z89">
            <v>0.93548387096774188</v>
          </cell>
          <cell r="AA89">
            <v>0</v>
          </cell>
          <cell r="AB89" t="str">
            <v/>
          </cell>
          <cell r="AD89">
            <v>94</v>
          </cell>
          <cell r="AE89">
            <v>254</v>
          </cell>
          <cell r="AF89">
            <v>0.88212761300207942</v>
          </cell>
          <cell r="AG89">
            <v>0</v>
          </cell>
          <cell r="AH89" t="str">
            <v/>
          </cell>
          <cell r="AI89">
            <v>5</v>
          </cell>
          <cell r="AJ89">
            <v>242</v>
          </cell>
          <cell r="AK89">
            <v>540.64992367553964</v>
          </cell>
          <cell r="AL89">
            <v>0.23510466988727857</v>
          </cell>
          <cell r="AM89" t="str">
            <v/>
          </cell>
          <cell r="AN89">
            <v>0.34426229508196721</v>
          </cell>
          <cell r="AO89">
            <v>-23651</v>
          </cell>
          <cell r="AQ89">
            <v>57619</v>
          </cell>
          <cell r="AR89" t="str">
            <v/>
          </cell>
          <cell r="AS89">
            <v>31191</v>
          </cell>
          <cell r="AU89">
            <v>46496</v>
          </cell>
          <cell r="AV89" t="str">
            <v/>
          </cell>
          <cell r="AW89">
            <v>35226</v>
          </cell>
          <cell r="AX89" t="str">
            <v/>
          </cell>
          <cell r="AY89" t="str">
            <v/>
          </cell>
          <cell r="AZ89">
            <v>24680</v>
          </cell>
          <cell r="BA89" t="str">
            <v/>
          </cell>
          <cell r="BB89">
            <v>446.32256855200001</v>
          </cell>
          <cell r="BC89" t="str">
            <v/>
          </cell>
          <cell r="BD89">
            <v>637.97724543300001</v>
          </cell>
          <cell r="BE89" t="str">
            <v/>
          </cell>
          <cell r="BF89">
            <v>1766.64594883</v>
          </cell>
          <cell r="BG89" t="str">
            <v/>
          </cell>
          <cell r="BH89">
            <v>323</v>
          </cell>
          <cell r="BI89">
            <v>0</v>
          </cell>
          <cell r="BJ89">
            <v>0</v>
          </cell>
        </row>
        <row r="90">
          <cell r="A90" t="str">
            <v>5E3</v>
          </cell>
          <cell r="B90" t="str">
            <v>Q11</v>
          </cell>
          <cell r="C90" t="str">
            <v/>
          </cell>
          <cell r="D90" t="str">
            <v/>
          </cell>
          <cell r="E90" t="str">
            <v/>
          </cell>
          <cell r="F90">
            <v>1</v>
          </cell>
          <cell r="G90">
            <v>1</v>
          </cell>
          <cell r="H90">
            <v>0</v>
          </cell>
          <cell r="J90">
            <v>0</v>
          </cell>
          <cell r="K90">
            <v>64</v>
          </cell>
          <cell r="L90">
            <v>1399.02</v>
          </cell>
          <cell r="M90">
            <v>19</v>
          </cell>
          <cell r="N90">
            <v>0</v>
          </cell>
          <cell r="Q90">
            <v>1</v>
          </cell>
          <cell r="R90">
            <v>1</v>
          </cell>
          <cell r="S90">
            <v>50</v>
          </cell>
          <cell r="X90">
            <v>1</v>
          </cell>
          <cell r="Y90">
            <v>0.98</v>
          </cell>
          <cell r="Z90">
            <v>0.72222222222222221</v>
          </cell>
          <cell r="AA90">
            <v>0</v>
          </cell>
          <cell r="AB90" t="str">
            <v/>
          </cell>
          <cell r="AD90">
            <v>30</v>
          </cell>
          <cell r="AE90">
            <v>267</v>
          </cell>
          <cell r="AF90">
            <v>0.9368191721132898</v>
          </cell>
          <cell r="AG90">
            <v>0</v>
          </cell>
          <cell r="AH90" t="str">
            <v/>
          </cell>
          <cell r="AI90">
            <v>0</v>
          </cell>
          <cell r="AJ90">
            <v>0</v>
          </cell>
          <cell r="AK90">
            <v>548.1180346253592</v>
          </cell>
          <cell r="AL90">
            <v>0.12834224598930483</v>
          </cell>
          <cell r="AM90">
            <v>0.30143577472010941</v>
          </cell>
          <cell r="AN90">
            <v>0.54166666666666663</v>
          </cell>
          <cell r="AO90">
            <v>0</v>
          </cell>
          <cell r="AQ90">
            <v>28814</v>
          </cell>
          <cell r="AR90" t="str">
            <v/>
          </cell>
          <cell r="AS90">
            <v>12759</v>
          </cell>
          <cell r="AU90">
            <v>22243</v>
          </cell>
          <cell r="AV90" t="str">
            <v/>
          </cell>
          <cell r="AW90">
            <v>21418</v>
          </cell>
          <cell r="AX90" t="str">
            <v/>
          </cell>
          <cell r="AY90" t="str">
            <v/>
          </cell>
          <cell r="AZ90">
            <v>12359</v>
          </cell>
          <cell r="BA90" t="str">
            <v/>
          </cell>
          <cell r="BB90">
            <v>458.103399997</v>
          </cell>
          <cell r="BC90">
            <v>6</v>
          </cell>
          <cell r="BD90">
            <v>595.31719999200004</v>
          </cell>
          <cell r="BE90" t="str">
            <v/>
          </cell>
          <cell r="BF90">
            <v>1067.5343999859999</v>
          </cell>
          <cell r="BG90">
            <v>73</v>
          </cell>
          <cell r="BH90">
            <v>646</v>
          </cell>
          <cell r="BI90">
            <v>360</v>
          </cell>
          <cell r="BJ90">
            <v>0</v>
          </cell>
        </row>
        <row r="91">
          <cell r="A91" t="str">
            <v>5E4</v>
          </cell>
          <cell r="B91" t="str">
            <v>Q11</v>
          </cell>
          <cell r="C91" t="str">
            <v/>
          </cell>
          <cell r="D91" t="str">
            <v/>
          </cell>
          <cell r="E91">
            <v>1</v>
          </cell>
          <cell r="F91">
            <v>1</v>
          </cell>
          <cell r="G91">
            <v>1</v>
          </cell>
          <cell r="H91">
            <v>0</v>
          </cell>
          <cell r="J91">
            <v>0</v>
          </cell>
          <cell r="K91">
            <v>48.300000011999998</v>
          </cell>
          <cell r="L91">
            <v>1027.7400060700002</v>
          </cell>
          <cell r="M91">
            <v>1</v>
          </cell>
          <cell r="N91">
            <v>0</v>
          </cell>
          <cell r="Q91">
            <v>1</v>
          </cell>
          <cell r="R91">
            <v>1</v>
          </cell>
          <cell r="S91">
            <v>27</v>
          </cell>
          <cell r="X91">
            <v>1</v>
          </cell>
          <cell r="Y91">
            <v>1</v>
          </cell>
          <cell r="Z91">
            <v>0.77272727272727271</v>
          </cell>
          <cell r="AA91">
            <v>0</v>
          </cell>
          <cell r="AB91" t="str">
            <v/>
          </cell>
          <cell r="AD91">
            <v>24</v>
          </cell>
          <cell r="AE91">
            <v>331</v>
          </cell>
          <cell r="AF91">
            <v>0.94911846582121873</v>
          </cell>
          <cell r="AG91">
            <v>0</v>
          </cell>
          <cell r="AH91" t="str">
            <v/>
          </cell>
          <cell r="AI91">
            <v>0</v>
          </cell>
          <cell r="AJ91">
            <v>0</v>
          </cell>
          <cell r="AK91">
            <v>632.05893807607424</v>
          </cell>
          <cell r="AL91">
            <v>0.19266055045871561</v>
          </cell>
          <cell r="AM91">
            <v>0.30143720986004763</v>
          </cell>
          <cell r="AN91">
            <v>0.39130434782608697</v>
          </cell>
          <cell r="AO91">
            <v>-11540</v>
          </cell>
          <cell r="AQ91">
            <v>32434</v>
          </cell>
          <cell r="AR91" t="str">
            <v/>
          </cell>
          <cell r="AS91">
            <v>12269</v>
          </cell>
          <cell r="AU91">
            <v>25124</v>
          </cell>
          <cell r="AV91" t="str">
            <v/>
          </cell>
          <cell r="AW91">
            <v>20483</v>
          </cell>
          <cell r="AX91" t="str">
            <v/>
          </cell>
          <cell r="AY91" t="str">
            <v/>
          </cell>
          <cell r="AZ91">
            <v>15138</v>
          </cell>
          <cell r="BA91" t="str">
            <v/>
          </cell>
          <cell r="BB91">
            <v>403.20679999499998</v>
          </cell>
          <cell r="BC91" t="str">
            <v/>
          </cell>
          <cell r="BD91">
            <v>563.63439998399997</v>
          </cell>
          <cell r="BE91" t="str">
            <v/>
          </cell>
          <cell r="BF91">
            <v>1140.0687999730001</v>
          </cell>
          <cell r="BG91" t="str">
            <v/>
          </cell>
          <cell r="BH91">
            <v>565</v>
          </cell>
          <cell r="BI91">
            <v>297</v>
          </cell>
          <cell r="BJ91">
            <v>0</v>
          </cell>
        </row>
        <row r="92">
          <cell r="A92" t="str">
            <v>5E5</v>
          </cell>
          <cell r="B92" t="str">
            <v>Q11</v>
          </cell>
          <cell r="C92" t="str">
            <v/>
          </cell>
          <cell r="D92" t="str">
            <v/>
          </cell>
          <cell r="E92">
            <v>0.99837662337662336</v>
          </cell>
          <cell r="F92">
            <v>1</v>
          </cell>
          <cell r="G92">
            <v>1</v>
          </cell>
          <cell r="H92">
            <v>0</v>
          </cell>
          <cell r="J92">
            <v>0</v>
          </cell>
          <cell r="K92">
            <v>74</v>
          </cell>
          <cell r="L92">
            <v>1072</v>
          </cell>
          <cell r="M92" t="str">
            <v/>
          </cell>
          <cell r="N92">
            <v>0</v>
          </cell>
          <cell r="Q92" t="str">
            <v/>
          </cell>
          <cell r="R92">
            <v>1</v>
          </cell>
          <cell r="S92">
            <v>168</v>
          </cell>
          <cell r="X92">
            <v>1</v>
          </cell>
          <cell r="Y92">
            <v>0.93333333333333335</v>
          </cell>
          <cell r="Z92">
            <v>0.6</v>
          </cell>
          <cell r="AA92">
            <v>0</v>
          </cell>
          <cell r="AB92" t="str">
            <v/>
          </cell>
          <cell r="AD92">
            <v>26</v>
          </cell>
          <cell r="AE92">
            <v>503</v>
          </cell>
          <cell r="AF92">
            <v>0.97030185004868552</v>
          </cell>
          <cell r="AG92">
            <v>0</v>
          </cell>
          <cell r="AH92" t="str">
            <v/>
          </cell>
          <cell r="AI92">
            <v>3</v>
          </cell>
          <cell r="AJ92">
            <v>39</v>
          </cell>
          <cell r="AK92">
            <v>1045.6486322447372</v>
          </cell>
          <cell r="AL92" t="str">
            <v/>
          </cell>
          <cell r="AM92">
            <v>4.0611536094258334E-2</v>
          </cell>
          <cell r="AN92">
            <v>0.7142857142857143</v>
          </cell>
          <cell r="AO92">
            <v>97</v>
          </cell>
          <cell r="AQ92">
            <v>24333</v>
          </cell>
          <cell r="AR92" t="str">
            <v/>
          </cell>
          <cell r="AS92">
            <v>10574</v>
          </cell>
          <cell r="AU92">
            <v>18978</v>
          </cell>
          <cell r="AV92" t="str">
            <v/>
          </cell>
          <cell r="AW92">
            <v>15085</v>
          </cell>
          <cell r="AX92" t="str">
            <v/>
          </cell>
          <cell r="AY92" t="str">
            <v/>
          </cell>
          <cell r="AZ92">
            <v>13449</v>
          </cell>
          <cell r="BA92" t="str">
            <v/>
          </cell>
          <cell r="BB92">
            <v>390</v>
          </cell>
          <cell r="BC92" t="str">
            <v/>
          </cell>
          <cell r="BD92">
            <v>516</v>
          </cell>
          <cell r="BE92" t="str">
            <v/>
          </cell>
          <cell r="BF92">
            <v>922</v>
          </cell>
          <cell r="BG92" t="str">
            <v/>
          </cell>
          <cell r="BH92">
            <v>777</v>
          </cell>
          <cell r="BI92">
            <v>0</v>
          </cell>
          <cell r="BJ92">
            <v>0</v>
          </cell>
        </row>
        <row r="93">
          <cell r="A93" t="str">
            <v>5E6</v>
          </cell>
          <cell r="B93" t="str">
            <v>Q11</v>
          </cell>
          <cell r="C93" t="str">
            <v/>
          </cell>
          <cell r="D93" t="str">
            <v/>
          </cell>
          <cell r="E93" t="str">
            <v/>
          </cell>
          <cell r="F93">
            <v>1</v>
          </cell>
          <cell r="G93">
            <v>1</v>
          </cell>
          <cell r="H93">
            <v>1</v>
          </cell>
          <cell r="J93">
            <v>0</v>
          </cell>
          <cell r="K93">
            <v>97</v>
          </cell>
          <cell r="L93">
            <v>308.01</v>
          </cell>
          <cell r="M93" t="str">
            <v/>
          </cell>
          <cell r="N93">
            <v>0</v>
          </cell>
          <cell r="Q93" t="str">
            <v/>
          </cell>
          <cell r="R93">
            <v>1</v>
          </cell>
          <cell r="S93">
            <v>37</v>
          </cell>
          <cell r="X93">
            <v>1</v>
          </cell>
          <cell r="Y93">
            <v>0.9838709677419355</v>
          </cell>
          <cell r="Z93">
            <v>0.85</v>
          </cell>
          <cell r="AA93">
            <v>0</v>
          </cell>
          <cell r="AB93" t="str">
            <v/>
          </cell>
          <cell r="AD93">
            <v>49</v>
          </cell>
          <cell r="AE93">
            <v>811</v>
          </cell>
          <cell r="AF93">
            <v>0.98241406874500403</v>
          </cell>
          <cell r="AG93">
            <v>0</v>
          </cell>
          <cell r="AH93" t="str">
            <v/>
          </cell>
          <cell r="AI93">
            <v>7</v>
          </cell>
          <cell r="AJ93">
            <v>215</v>
          </cell>
          <cell r="AK93">
            <v>1133.4952612277943</v>
          </cell>
          <cell r="AL93">
            <v>0.23542600896860988</v>
          </cell>
          <cell r="AM93">
            <v>4.241799482962736E-2</v>
          </cell>
          <cell r="AN93">
            <v>0.4</v>
          </cell>
          <cell r="AO93">
            <v>14</v>
          </cell>
          <cell r="AQ93">
            <v>32554</v>
          </cell>
          <cell r="AR93" t="str">
            <v/>
          </cell>
          <cell r="AS93">
            <v>14115</v>
          </cell>
          <cell r="AU93">
            <v>26941</v>
          </cell>
          <cell r="AV93" t="str">
            <v/>
          </cell>
          <cell r="AW93">
            <v>21015</v>
          </cell>
          <cell r="AX93" t="str">
            <v/>
          </cell>
          <cell r="AY93" t="str">
            <v/>
          </cell>
          <cell r="AZ93">
            <v>18476</v>
          </cell>
          <cell r="BA93" t="str">
            <v/>
          </cell>
          <cell r="BB93">
            <v>534.05169999899999</v>
          </cell>
          <cell r="BC93" t="str">
            <v/>
          </cell>
          <cell r="BD93">
            <v>643.15859999600002</v>
          </cell>
          <cell r="BE93" t="str">
            <v/>
          </cell>
          <cell r="BF93">
            <v>1254.2671999930001</v>
          </cell>
          <cell r="BG93" t="str">
            <v/>
          </cell>
          <cell r="BH93">
            <v>982</v>
          </cell>
          <cell r="BI93">
            <v>0</v>
          </cell>
          <cell r="BJ93">
            <v>0</v>
          </cell>
        </row>
        <row r="94">
          <cell r="A94" t="str">
            <v>5E7</v>
          </cell>
          <cell r="B94" t="str">
            <v>Q12</v>
          </cell>
          <cell r="C94" t="str">
            <v/>
          </cell>
          <cell r="D94" t="str">
            <v/>
          </cell>
          <cell r="E94">
            <v>1</v>
          </cell>
          <cell r="F94">
            <v>1</v>
          </cell>
          <cell r="G94">
            <v>1</v>
          </cell>
          <cell r="H94">
            <v>0</v>
          </cell>
          <cell r="J94">
            <v>0</v>
          </cell>
          <cell r="K94">
            <v>26</v>
          </cell>
          <cell r="L94">
            <v>2081.260014209</v>
          </cell>
          <cell r="M94" t="str">
            <v/>
          </cell>
          <cell r="N94">
            <v>0</v>
          </cell>
          <cell r="Q94" t="str">
            <v/>
          </cell>
          <cell r="R94" t="str">
            <v/>
          </cell>
          <cell r="S94">
            <v>141</v>
          </cell>
          <cell r="X94">
            <v>1</v>
          </cell>
          <cell r="Y94">
            <v>0.91666666666666663</v>
          </cell>
          <cell r="Z94">
            <v>0.76470588235294112</v>
          </cell>
          <cell r="AA94">
            <v>0</v>
          </cell>
          <cell r="AB94" t="str">
            <v/>
          </cell>
          <cell r="AD94">
            <v>0</v>
          </cell>
          <cell r="AE94">
            <v>122</v>
          </cell>
          <cell r="AF94">
            <v>0.83295347901863526</v>
          </cell>
          <cell r="AG94">
            <v>0</v>
          </cell>
          <cell r="AH94" t="str">
            <v/>
          </cell>
          <cell r="AI94">
            <v>5</v>
          </cell>
          <cell r="AJ94">
            <v>122</v>
          </cell>
          <cell r="AK94">
            <v>752.15412360804964</v>
          </cell>
          <cell r="AL94">
            <v>0.25052631578947371</v>
          </cell>
          <cell r="AM94">
            <v>0.30937791580208057</v>
          </cell>
          <cell r="AN94">
            <v>0.35714285714285715</v>
          </cell>
          <cell r="AO94">
            <v>78</v>
          </cell>
          <cell r="AQ94">
            <v>26099</v>
          </cell>
          <cell r="AR94" t="str">
            <v/>
          </cell>
          <cell r="AS94">
            <v>13495</v>
          </cell>
          <cell r="AU94">
            <v>24796</v>
          </cell>
          <cell r="AV94" t="str">
            <v/>
          </cell>
          <cell r="AW94">
            <v>23910</v>
          </cell>
          <cell r="AX94" t="str">
            <v/>
          </cell>
          <cell r="AY94" t="str">
            <v/>
          </cell>
          <cell r="AZ94">
            <v>19959</v>
          </cell>
          <cell r="BA94" t="str">
            <v/>
          </cell>
          <cell r="BB94">
            <v>299.41359999000002</v>
          </cell>
          <cell r="BC94" t="str">
            <v/>
          </cell>
          <cell r="BD94">
            <v>483.268799968</v>
          </cell>
          <cell r="BE94" t="str">
            <v/>
          </cell>
          <cell r="BF94">
            <v>1045.1375999459999</v>
          </cell>
          <cell r="BG94" t="str">
            <v/>
          </cell>
          <cell r="BH94">
            <v>829</v>
          </cell>
          <cell r="BI94">
            <v>570</v>
          </cell>
          <cell r="BJ94">
            <v>276</v>
          </cell>
        </row>
        <row r="95">
          <cell r="A95" t="str">
            <v>5E8</v>
          </cell>
          <cell r="B95" t="str">
            <v>Q12</v>
          </cell>
          <cell r="C95" t="str">
            <v/>
          </cell>
          <cell r="D95" t="str">
            <v/>
          </cell>
          <cell r="E95">
            <v>1</v>
          </cell>
          <cell r="F95">
            <v>1</v>
          </cell>
          <cell r="G95">
            <v>0.92759887893383275</v>
          </cell>
          <cell r="H95">
            <v>0</v>
          </cell>
          <cell r="J95">
            <v>1</v>
          </cell>
          <cell r="K95">
            <v>12</v>
          </cell>
          <cell r="L95">
            <v>2155.2700142089998</v>
          </cell>
          <cell r="M95" t="str">
            <v/>
          </cell>
          <cell r="N95">
            <v>0</v>
          </cell>
          <cell r="Q95" t="str">
            <v/>
          </cell>
          <cell r="R95" t="str">
            <v/>
          </cell>
          <cell r="S95">
            <v>247</v>
          </cell>
          <cell r="X95">
            <v>1</v>
          </cell>
          <cell r="Y95">
            <v>1</v>
          </cell>
          <cell r="Z95">
            <v>0.76923076923076927</v>
          </cell>
          <cell r="AA95">
            <v>0</v>
          </cell>
          <cell r="AB95" t="str">
            <v/>
          </cell>
          <cell r="AD95">
            <v>0</v>
          </cell>
          <cell r="AE95">
            <v>158</v>
          </cell>
          <cell r="AF95">
            <v>0.95587403356590606</v>
          </cell>
          <cell r="AG95">
            <v>0</v>
          </cell>
          <cell r="AH95" t="str">
            <v/>
          </cell>
          <cell r="AI95">
            <v>3.2</v>
          </cell>
          <cell r="AJ95">
            <v>234</v>
          </cell>
          <cell r="AK95">
            <v>497.33025624430496</v>
          </cell>
          <cell r="AL95">
            <v>0.23249299719887956</v>
          </cell>
          <cell r="AM95">
            <v>0.31042918637855349</v>
          </cell>
          <cell r="AN95">
            <v>0.15384615384615385</v>
          </cell>
          <cell r="AO95">
            <v>9</v>
          </cell>
          <cell r="AQ95">
            <v>22942</v>
          </cell>
          <cell r="AR95" t="str">
            <v/>
          </cell>
          <cell r="AS95">
            <v>9895</v>
          </cell>
          <cell r="AU95">
            <v>21702</v>
          </cell>
          <cell r="AV95" t="str">
            <v/>
          </cell>
          <cell r="AW95">
            <v>18592</v>
          </cell>
          <cell r="AX95" t="str">
            <v/>
          </cell>
          <cell r="AY95" t="str">
            <v/>
          </cell>
          <cell r="AZ95">
            <v>15365</v>
          </cell>
          <cell r="BA95" t="str">
            <v/>
          </cell>
          <cell r="BB95">
            <v>295.46529999199998</v>
          </cell>
          <cell r="BC95" t="str">
            <v/>
          </cell>
          <cell r="BD95">
            <v>1003.427399975</v>
          </cell>
          <cell r="BE95" t="str">
            <v/>
          </cell>
          <cell r="BF95">
            <v>1891.404799959</v>
          </cell>
          <cell r="BG95" t="str">
            <v/>
          </cell>
          <cell r="BH95">
            <v>530</v>
          </cell>
          <cell r="BI95">
            <v>519</v>
          </cell>
          <cell r="BJ95">
            <v>11</v>
          </cell>
        </row>
        <row r="96">
          <cell r="A96" t="str">
            <v>5E9</v>
          </cell>
          <cell r="B96" t="str">
            <v>Q17</v>
          </cell>
          <cell r="C96" t="str">
            <v/>
          </cell>
          <cell r="D96" t="str">
            <v/>
          </cell>
          <cell r="E96" t="str">
            <v/>
          </cell>
          <cell r="F96">
            <v>1</v>
          </cell>
          <cell r="G96">
            <v>1</v>
          </cell>
          <cell r="H96">
            <v>0</v>
          </cell>
          <cell r="J96">
            <v>28</v>
          </cell>
          <cell r="K96">
            <v>33.926581343000002</v>
          </cell>
          <cell r="L96">
            <v>966.8321242159999</v>
          </cell>
          <cell r="M96" t="str">
            <v/>
          </cell>
          <cell r="N96">
            <v>2</v>
          </cell>
          <cell r="Q96" t="str">
            <v/>
          </cell>
          <cell r="R96" t="str">
            <v/>
          </cell>
          <cell r="S96">
            <v>192</v>
          </cell>
          <cell r="X96">
            <v>1</v>
          </cell>
          <cell r="Y96">
            <v>1</v>
          </cell>
          <cell r="Z96">
            <v>0.88888888888888884</v>
          </cell>
          <cell r="AA96">
            <v>0</v>
          </cell>
          <cell r="AB96" t="str">
            <v/>
          </cell>
          <cell r="AD96">
            <v>0</v>
          </cell>
          <cell r="AE96">
            <v>41</v>
          </cell>
          <cell r="AF96">
            <v>0.704454253611557</v>
          </cell>
          <cell r="AG96">
            <v>0</v>
          </cell>
          <cell r="AH96" t="str">
            <v/>
          </cell>
          <cell r="AI96">
            <v>2</v>
          </cell>
          <cell r="AJ96">
            <v>140</v>
          </cell>
          <cell r="AK96">
            <v>506.38931826288876</v>
          </cell>
          <cell r="AL96">
            <v>0.117096018735363</v>
          </cell>
          <cell r="AM96">
            <v>0.87787548206059329</v>
          </cell>
          <cell r="AN96">
            <v>0.6875</v>
          </cell>
          <cell r="AO96">
            <v>1423</v>
          </cell>
          <cell r="AQ96">
            <v>28228</v>
          </cell>
          <cell r="AR96" t="str">
            <v/>
          </cell>
          <cell r="AS96">
            <v>11126</v>
          </cell>
          <cell r="AU96">
            <v>26608</v>
          </cell>
          <cell r="AV96" t="str">
            <v/>
          </cell>
          <cell r="AW96">
            <v>15377</v>
          </cell>
          <cell r="AX96" t="str">
            <v/>
          </cell>
          <cell r="AY96" t="str">
            <v/>
          </cell>
          <cell r="AZ96">
            <v>14705</v>
          </cell>
          <cell r="BA96" t="str">
            <v/>
          </cell>
          <cell r="BB96">
            <v>299.72966533599998</v>
          </cell>
          <cell r="BC96" t="str">
            <v/>
          </cell>
          <cell r="BD96">
            <v>695.20698766199996</v>
          </cell>
          <cell r="BE96" t="str">
            <v/>
          </cell>
          <cell r="BF96">
            <v>1131.3876882889999</v>
          </cell>
          <cell r="BG96" t="str">
            <v/>
          </cell>
          <cell r="BH96">
            <v>414</v>
          </cell>
          <cell r="BI96">
            <v>411</v>
          </cell>
          <cell r="BJ96">
            <v>351</v>
          </cell>
        </row>
        <row r="97">
          <cell r="A97" t="str">
            <v>5EA</v>
          </cell>
          <cell r="B97" t="str">
            <v>Q24</v>
          </cell>
          <cell r="C97" t="str">
            <v/>
          </cell>
          <cell r="D97" t="str">
            <v/>
          </cell>
          <cell r="E97" t="str">
            <v/>
          </cell>
          <cell r="F97">
            <v>1</v>
          </cell>
          <cell r="G97">
            <v>1</v>
          </cell>
          <cell r="H97">
            <v>0</v>
          </cell>
          <cell r="J97">
            <v>0</v>
          </cell>
          <cell r="K97">
            <v>3.5682000010000001</v>
          </cell>
          <cell r="L97">
            <v>203.86580062300001</v>
          </cell>
          <cell r="M97" t="str">
            <v/>
          </cell>
          <cell r="N97">
            <v>0</v>
          </cell>
          <cell r="Q97" t="str">
            <v/>
          </cell>
          <cell r="R97">
            <v>0</v>
          </cell>
          <cell r="S97">
            <v>179</v>
          </cell>
          <cell r="X97">
            <v>1</v>
          </cell>
          <cell r="Y97">
            <v>1</v>
          </cell>
          <cell r="Z97">
            <v>1</v>
          </cell>
          <cell r="AA97">
            <v>0</v>
          </cell>
          <cell r="AB97" t="str">
            <v/>
          </cell>
          <cell r="AD97">
            <v>30</v>
          </cell>
          <cell r="AE97">
            <v>169</v>
          </cell>
          <cell r="AF97">
            <v>0.96424037240795601</v>
          </cell>
          <cell r="AG97">
            <v>0</v>
          </cell>
          <cell r="AH97" t="str">
            <v/>
          </cell>
          <cell r="AI97">
            <v>4</v>
          </cell>
          <cell r="AJ97">
            <v>39</v>
          </cell>
          <cell r="AK97">
            <v>1143.2588426816635</v>
          </cell>
          <cell r="AL97" t="str">
            <v/>
          </cell>
          <cell r="AM97">
            <v>0.35999668336827639</v>
          </cell>
          <cell r="AN97">
            <v>7.6923076923076927E-2</v>
          </cell>
          <cell r="AO97">
            <v>583</v>
          </cell>
          <cell r="AQ97">
            <v>22812.799999999999</v>
          </cell>
          <cell r="AR97" t="str">
            <v/>
          </cell>
          <cell r="AS97">
            <v>9709</v>
          </cell>
          <cell r="AU97">
            <v>19436.400000000001</v>
          </cell>
          <cell r="AV97" t="str">
            <v/>
          </cell>
          <cell r="AW97">
            <v>16430</v>
          </cell>
          <cell r="AX97" t="str">
            <v/>
          </cell>
          <cell r="AY97" t="str">
            <v/>
          </cell>
          <cell r="AZ97">
            <v>11744</v>
          </cell>
          <cell r="BA97" t="str">
            <v/>
          </cell>
          <cell r="BB97">
            <v>243.65700483099999</v>
          </cell>
          <cell r="BC97" t="str">
            <v/>
          </cell>
          <cell r="BD97">
            <v>346.55990695200001</v>
          </cell>
          <cell r="BE97" t="str">
            <v/>
          </cell>
          <cell r="BF97">
            <v>737.82991461499989</v>
          </cell>
          <cell r="BG97" t="str">
            <v/>
          </cell>
          <cell r="BH97">
            <v>122</v>
          </cell>
          <cell r="BI97">
            <v>131</v>
          </cell>
          <cell r="BJ97">
            <v>16</v>
          </cell>
        </row>
        <row r="98">
          <cell r="A98" t="str">
            <v>5EC</v>
          </cell>
          <cell r="B98" t="str">
            <v>Q24</v>
          </cell>
          <cell r="C98" t="str">
            <v/>
          </cell>
          <cell r="D98" t="str">
            <v/>
          </cell>
          <cell r="E98" t="str">
            <v/>
          </cell>
          <cell r="F98">
            <v>1</v>
          </cell>
          <cell r="G98">
            <v>1</v>
          </cell>
          <cell r="H98">
            <v>0</v>
          </cell>
          <cell r="J98">
            <v>0</v>
          </cell>
          <cell r="K98">
            <v>5.0152000750000001</v>
          </cell>
          <cell r="L98">
            <v>202.51800154899996</v>
          </cell>
          <cell r="M98" t="str">
            <v/>
          </cell>
          <cell r="N98">
            <v>0</v>
          </cell>
          <cell r="Q98" t="str">
            <v/>
          </cell>
          <cell r="R98" t="str">
            <v/>
          </cell>
          <cell r="S98">
            <v>17</v>
          </cell>
          <cell r="X98">
            <v>1</v>
          </cell>
          <cell r="Y98">
            <v>1</v>
          </cell>
          <cell r="Z98">
            <v>1</v>
          </cell>
          <cell r="AA98">
            <v>0</v>
          </cell>
          <cell r="AB98" t="str">
            <v/>
          </cell>
          <cell r="AD98">
            <v>17</v>
          </cell>
          <cell r="AE98">
            <v>97</v>
          </cell>
          <cell r="AF98">
            <v>0.8583131067961165</v>
          </cell>
          <cell r="AG98">
            <v>0</v>
          </cell>
          <cell r="AH98" t="str">
            <v/>
          </cell>
          <cell r="AI98">
            <v>3</v>
          </cell>
          <cell r="AJ98">
            <v>101</v>
          </cell>
          <cell r="AK98">
            <v>643.96107613050947</v>
          </cell>
          <cell r="AL98" t="str">
            <v/>
          </cell>
          <cell r="AM98">
            <v>0.27813579637594305</v>
          </cell>
          <cell r="AN98">
            <v>0.69565217391304346</v>
          </cell>
          <cell r="AO98">
            <v>603</v>
          </cell>
          <cell r="AQ98">
            <v>17116</v>
          </cell>
          <cell r="AR98" t="str">
            <v/>
          </cell>
          <cell r="AS98">
            <v>8958</v>
          </cell>
          <cell r="AU98">
            <v>13173.5</v>
          </cell>
          <cell r="AV98" t="str">
            <v/>
          </cell>
          <cell r="AW98">
            <v>10492</v>
          </cell>
          <cell r="AX98" t="str">
            <v/>
          </cell>
          <cell r="AY98" t="str">
            <v/>
          </cell>
          <cell r="AZ98">
            <v>8254</v>
          </cell>
          <cell r="BA98" t="str">
            <v/>
          </cell>
          <cell r="BB98">
            <v>153.75510018099999</v>
          </cell>
          <cell r="BC98" t="str">
            <v/>
          </cell>
          <cell r="BD98">
            <v>302.99409756800003</v>
          </cell>
          <cell r="BE98" t="str">
            <v/>
          </cell>
          <cell r="BF98">
            <v>686.22358932400005</v>
          </cell>
          <cell r="BG98" t="str">
            <v/>
          </cell>
          <cell r="BH98">
            <v>214</v>
          </cell>
          <cell r="BI98">
            <v>107</v>
          </cell>
          <cell r="BJ98">
            <v>107</v>
          </cell>
        </row>
        <row r="99">
          <cell r="A99" t="str">
            <v>5ED</v>
          </cell>
          <cell r="B99" t="str">
            <v>Q24</v>
          </cell>
          <cell r="C99" t="str">
            <v/>
          </cell>
          <cell r="D99" t="str">
            <v/>
          </cell>
          <cell r="E99">
            <v>0.99684542586750791</v>
          </cell>
          <cell r="F99">
            <v>1</v>
          </cell>
          <cell r="G99">
            <v>1</v>
          </cell>
          <cell r="H99">
            <v>0</v>
          </cell>
          <cell r="J99">
            <v>0</v>
          </cell>
          <cell r="K99">
            <v>4.9200001249999996</v>
          </cell>
          <cell r="L99">
            <v>97.592800130000001</v>
          </cell>
          <cell r="M99" t="str">
            <v/>
          </cell>
          <cell r="N99">
            <v>0</v>
          </cell>
          <cell r="Q99" t="str">
            <v/>
          </cell>
          <cell r="R99">
            <v>1</v>
          </cell>
          <cell r="S99">
            <v>121</v>
          </cell>
          <cell r="X99">
            <v>1</v>
          </cell>
          <cell r="Y99">
            <v>1</v>
          </cell>
          <cell r="Z99">
            <v>1</v>
          </cell>
          <cell r="AA99">
            <v>0</v>
          </cell>
          <cell r="AB99" t="str">
            <v/>
          </cell>
          <cell r="AD99">
            <v>37</v>
          </cell>
          <cell r="AE99">
            <v>172</v>
          </cell>
          <cell r="AF99">
            <v>0.96472422529721302</v>
          </cell>
          <cell r="AG99">
            <v>0</v>
          </cell>
          <cell r="AH99" t="str">
            <v/>
          </cell>
          <cell r="AI99">
            <v>4</v>
          </cell>
          <cell r="AJ99">
            <v>200</v>
          </cell>
          <cell r="AK99">
            <v>1061.0273671886434</v>
          </cell>
          <cell r="AL99">
            <v>0.13793103448275862</v>
          </cell>
          <cell r="AM99">
            <v>0.323661119515885</v>
          </cell>
          <cell r="AN99">
            <v>0</v>
          </cell>
          <cell r="AO99">
            <v>87</v>
          </cell>
          <cell r="AQ99">
            <v>24632</v>
          </cell>
          <cell r="AR99" t="str">
            <v/>
          </cell>
          <cell r="AS99">
            <v>9821</v>
          </cell>
          <cell r="AU99">
            <v>20036.900000000001</v>
          </cell>
          <cell r="AV99" t="str">
            <v/>
          </cell>
          <cell r="AW99">
            <v>16938</v>
          </cell>
          <cell r="AX99" t="str">
            <v/>
          </cell>
          <cell r="AY99" t="str">
            <v/>
          </cell>
          <cell r="AZ99">
            <v>11867.9</v>
          </cell>
          <cell r="BA99" t="str">
            <v/>
          </cell>
          <cell r="BB99">
            <v>198.00790662100002</v>
          </cell>
          <cell r="BC99" t="str">
            <v/>
          </cell>
          <cell r="BD99">
            <v>324.26531159000001</v>
          </cell>
          <cell r="BE99" t="str">
            <v/>
          </cell>
          <cell r="BF99">
            <v>817.58482808999997</v>
          </cell>
          <cell r="BG99" t="str">
            <v/>
          </cell>
          <cell r="BH99">
            <v>551</v>
          </cell>
          <cell r="BI99">
            <v>515</v>
          </cell>
          <cell r="BJ99">
            <v>36</v>
          </cell>
        </row>
        <row r="100">
          <cell r="A100" t="str">
            <v>5EE</v>
          </cell>
          <cell r="B100" t="str">
            <v>Q23</v>
          </cell>
          <cell r="C100" t="str">
            <v/>
          </cell>
          <cell r="D100" t="str">
            <v/>
          </cell>
          <cell r="E100" t="str">
            <v/>
          </cell>
          <cell r="F100">
            <v>1</v>
          </cell>
          <cell r="G100">
            <v>1</v>
          </cell>
          <cell r="H100">
            <v>0</v>
          </cell>
          <cell r="J100">
            <v>0</v>
          </cell>
          <cell r="K100">
            <v>83.76</v>
          </cell>
          <cell r="L100">
            <v>323.58</v>
          </cell>
          <cell r="M100" t="str">
            <v/>
          </cell>
          <cell r="N100">
            <v>1</v>
          </cell>
          <cell r="Q100" t="str">
            <v/>
          </cell>
          <cell r="R100" t="str">
            <v/>
          </cell>
          <cell r="S100" t="str">
            <v/>
          </cell>
          <cell r="X100">
            <v>1</v>
          </cell>
          <cell r="Y100">
            <v>1</v>
          </cell>
          <cell r="Z100">
            <v>0.89473684210526316</v>
          </cell>
          <cell r="AA100">
            <v>0</v>
          </cell>
          <cell r="AB100" t="str">
            <v/>
          </cell>
          <cell r="AD100">
            <v>45</v>
          </cell>
          <cell r="AE100">
            <v>141</v>
          </cell>
          <cell r="AF100">
            <v>0.91622626737130552</v>
          </cell>
          <cell r="AG100">
            <v>0</v>
          </cell>
          <cell r="AH100" t="str">
            <v/>
          </cell>
          <cell r="AI100">
            <v>4</v>
          </cell>
          <cell r="AJ100">
            <v>562</v>
          </cell>
          <cell r="AK100">
            <v>892.21946253637634</v>
          </cell>
          <cell r="AL100">
            <v>0.22277227722772278</v>
          </cell>
          <cell r="AM100">
            <v>0.31949277373353541</v>
          </cell>
          <cell r="AN100">
            <v>0.53125</v>
          </cell>
          <cell r="AO100">
            <v>247.19999999998302</v>
          </cell>
          <cell r="AQ100">
            <v>26496</v>
          </cell>
          <cell r="AR100" t="str">
            <v/>
          </cell>
          <cell r="AS100">
            <v>13810</v>
          </cell>
          <cell r="AU100">
            <v>23002</v>
          </cell>
          <cell r="AV100" t="str">
            <v/>
          </cell>
          <cell r="AW100">
            <v>17313</v>
          </cell>
          <cell r="AX100" t="str">
            <v/>
          </cell>
          <cell r="AY100" t="str">
            <v/>
          </cell>
          <cell r="AZ100">
            <v>13809</v>
          </cell>
          <cell r="BA100" t="str">
            <v/>
          </cell>
          <cell r="BB100">
            <v>248.46</v>
          </cell>
          <cell r="BC100" t="str">
            <v/>
          </cell>
          <cell r="BD100">
            <v>452.49</v>
          </cell>
          <cell r="BE100" t="str">
            <v/>
          </cell>
          <cell r="BF100">
            <v>785.28</v>
          </cell>
          <cell r="BG100" t="str">
            <v/>
          </cell>
          <cell r="BH100">
            <v>398</v>
          </cell>
          <cell r="BI100">
            <v>95</v>
          </cell>
          <cell r="BJ100">
            <v>303</v>
          </cell>
        </row>
        <row r="101">
          <cell r="A101" t="str">
            <v>5EF</v>
          </cell>
          <cell r="B101" t="str">
            <v>Q11</v>
          </cell>
          <cell r="C101" t="str">
            <v/>
          </cell>
          <cell r="D101" t="str">
            <v/>
          </cell>
          <cell r="E101" t="str">
            <v/>
          </cell>
          <cell r="F101">
            <v>1</v>
          </cell>
          <cell r="G101">
            <v>1</v>
          </cell>
          <cell r="H101">
            <v>0</v>
          </cell>
          <cell r="J101">
            <v>0</v>
          </cell>
          <cell r="K101">
            <v>30.785800000000002</v>
          </cell>
          <cell r="L101">
            <v>211.89570000000001</v>
          </cell>
          <cell r="M101" t="str">
            <v/>
          </cell>
          <cell r="N101">
            <v>0</v>
          </cell>
          <cell r="Q101" t="str">
            <v/>
          </cell>
          <cell r="R101" t="str">
            <v/>
          </cell>
          <cell r="S101">
            <v>230</v>
          </cell>
          <cell r="X101">
            <v>1</v>
          </cell>
          <cell r="Y101">
            <v>1</v>
          </cell>
          <cell r="Z101">
            <v>0.8125</v>
          </cell>
          <cell r="AA101">
            <v>0</v>
          </cell>
          <cell r="AB101" t="str">
            <v/>
          </cell>
          <cell r="AD101">
            <v>24</v>
          </cell>
          <cell r="AE101">
            <v>86</v>
          </cell>
          <cell r="AF101">
            <v>0.95875521143537823</v>
          </cell>
          <cell r="AG101">
            <v>0</v>
          </cell>
          <cell r="AH101" t="str">
            <v/>
          </cell>
          <cell r="AI101">
            <v>1.8</v>
          </cell>
          <cell r="AJ101">
            <v>37</v>
          </cell>
          <cell r="AK101">
            <v>462.72994431004525</v>
          </cell>
          <cell r="AL101">
            <v>0.28741092636579574</v>
          </cell>
          <cell r="AM101">
            <v>0.26081690004360675</v>
          </cell>
          <cell r="AN101">
            <v>0.72340425531914898</v>
          </cell>
          <cell r="AO101">
            <v>-1005</v>
          </cell>
          <cell r="AQ101">
            <v>32446</v>
          </cell>
          <cell r="AR101" t="str">
            <v/>
          </cell>
          <cell r="AS101">
            <v>18987</v>
          </cell>
          <cell r="AU101">
            <v>26412</v>
          </cell>
          <cell r="AV101" t="str">
            <v/>
          </cell>
          <cell r="AW101">
            <v>24565</v>
          </cell>
          <cell r="AX101" t="str">
            <v/>
          </cell>
          <cell r="AY101" t="str">
            <v/>
          </cell>
          <cell r="AZ101">
            <v>16668</v>
          </cell>
          <cell r="BA101" t="str">
            <v/>
          </cell>
          <cell r="BB101">
            <v>327.75189999200001</v>
          </cell>
          <cell r="BC101" t="str">
            <v/>
          </cell>
          <cell r="BD101">
            <v>880.92419998600008</v>
          </cell>
          <cell r="BE101" t="str">
            <v/>
          </cell>
          <cell r="BF101">
            <v>1228.7932999699999</v>
          </cell>
          <cell r="BG101" t="str">
            <v/>
          </cell>
          <cell r="BH101">
            <v>58</v>
          </cell>
          <cell r="BI101">
            <v>11</v>
          </cell>
          <cell r="BJ101">
            <v>0</v>
          </cell>
        </row>
        <row r="102">
          <cell r="A102" t="str">
            <v>5EG</v>
          </cell>
          <cell r="B102" t="str">
            <v>Q24</v>
          </cell>
          <cell r="C102" t="str">
            <v/>
          </cell>
          <cell r="D102" t="str">
            <v/>
          </cell>
          <cell r="E102" t="str">
            <v/>
          </cell>
          <cell r="F102">
            <v>1</v>
          </cell>
          <cell r="G102">
            <v>1</v>
          </cell>
          <cell r="H102">
            <v>0</v>
          </cell>
          <cell r="J102">
            <v>0</v>
          </cell>
          <cell r="K102">
            <v>8.2004000000000019</v>
          </cell>
          <cell r="L102">
            <v>90.730399477999995</v>
          </cell>
          <cell r="M102" t="str">
            <v/>
          </cell>
          <cell r="N102">
            <v>0</v>
          </cell>
          <cell r="Q102" t="str">
            <v/>
          </cell>
          <cell r="R102" t="str">
            <v/>
          </cell>
          <cell r="S102">
            <v>155</v>
          </cell>
          <cell r="X102">
            <v>1</v>
          </cell>
          <cell r="Y102">
            <v>1</v>
          </cell>
          <cell r="Z102">
            <v>0.96969696969696972</v>
          </cell>
          <cell r="AA102">
            <v>0</v>
          </cell>
          <cell r="AB102" t="str">
            <v/>
          </cell>
          <cell r="AD102">
            <v>26</v>
          </cell>
          <cell r="AE102">
            <v>101</v>
          </cell>
          <cell r="AF102">
            <v>0.97371656932062711</v>
          </cell>
          <cell r="AG102">
            <v>0</v>
          </cell>
          <cell r="AH102" t="str">
            <v/>
          </cell>
          <cell r="AI102">
            <v>6</v>
          </cell>
          <cell r="AJ102">
            <v>70</v>
          </cell>
          <cell r="AK102">
            <v>910.17499497140875</v>
          </cell>
          <cell r="AL102" t="str">
            <v/>
          </cell>
          <cell r="AM102">
            <v>0.43000270325065892</v>
          </cell>
          <cell r="AN102">
            <v>0.37142857142857144</v>
          </cell>
          <cell r="AO102">
            <v>787</v>
          </cell>
          <cell r="AQ102">
            <v>28450.9</v>
          </cell>
          <cell r="AR102" t="str">
            <v/>
          </cell>
          <cell r="AS102">
            <v>13265</v>
          </cell>
          <cell r="AU102">
            <v>23697.4</v>
          </cell>
          <cell r="AV102" t="str">
            <v/>
          </cell>
          <cell r="AW102">
            <v>20901</v>
          </cell>
          <cell r="AX102" t="str">
            <v/>
          </cell>
          <cell r="AY102" t="str">
            <v/>
          </cell>
          <cell r="AZ102">
            <v>15090</v>
          </cell>
          <cell r="BA102" t="str">
            <v/>
          </cell>
          <cell r="BB102">
            <v>250.894395858</v>
          </cell>
          <cell r="BC102" t="str">
            <v/>
          </cell>
          <cell r="BD102">
            <v>380.892594024</v>
          </cell>
          <cell r="BE102" t="str">
            <v/>
          </cell>
          <cell r="BF102">
            <v>786.43758741199997</v>
          </cell>
          <cell r="BG102" t="str">
            <v/>
          </cell>
          <cell r="BH102">
            <v>114</v>
          </cell>
          <cell r="BI102">
            <v>111</v>
          </cell>
          <cell r="BJ102">
            <v>4</v>
          </cell>
        </row>
        <row r="103">
          <cell r="A103" t="str">
            <v>5EH</v>
          </cell>
          <cell r="B103" t="str">
            <v>Q25</v>
          </cell>
          <cell r="C103" t="str">
            <v/>
          </cell>
          <cell r="D103" t="str">
            <v/>
          </cell>
          <cell r="E103" t="str">
            <v/>
          </cell>
          <cell r="F103">
            <v>1</v>
          </cell>
          <cell r="G103">
            <v>1</v>
          </cell>
          <cell r="H103">
            <v>0</v>
          </cell>
          <cell r="J103">
            <v>0</v>
          </cell>
          <cell r="K103">
            <v>1.5018999889999998</v>
          </cell>
          <cell r="L103">
            <v>100.545899756</v>
          </cell>
          <cell r="M103">
            <v>368</v>
          </cell>
          <cell r="N103">
            <v>0</v>
          </cell>
          <cell r="Q103">
            <v>1</v>
          </cell>
          <cell r="R103">
            <v>1</v>
          </cell>
          <cell r="S103">
            <v>3</v>
          </cell>
          <cell r="X103">
            <v>1</v>
          </cell>
          <cell r="Y103">
            <v>1</v>
          </cell>
          <cell r="Z103">
            <v>1</v>
          </cell>
          <cell r="AA103">
            <v>0</v>
          </cell>
          <cell r="AB103" t="str">
            <v/>
          </cell>
          <cell r="AD103">
            <v>9</v>
          </cell>
          <cell r="AE103">
            <v>238</v>
          </cell>
          <cell r="AF103">
            <v>0.81779389801578839</v>
          </cell>
          <cell r="AG103">
            <v>0</v>
          </cell>
          <cell r="AH103" t="str">
            <v/>
          </cell>
          <cell r="AI103">
            <v>3</v>
          </cell>
          <cell r="AJ103">
            <v>120</v>
          </cell>
          <cell r="AK103">
            <v>777.64339130879171</v>
          </cell>
          <cell r="AL103">
            <v>0.22865853658536586</v>
          </cell>
          <cell r="AM103">
            <v>0.28965232925656176</v>
          </cell>
          <cell r="AN103">
            <v>0.76190476190476186</v>
          </cell>
          <cell r="AO103">
            <v>240</v>
          </cell>
          <cell r="AQ103">
            <v>24470</v>
          </cell>
          <cell r="AR103" t="str">
            <v/>
          </cell>
          <cell r="AS103">
            <v>17393</v>
          </cell>
          <cell r="AU103">
            <v>19840</v>
          </cell>
          <cell r="AV103" t="str">
            <v/>
          </cell>
          <cell r="AW103">
            <v>17101</v>
          </cell>
          <cell r="AX103" t="str">
            <v/>
          </cell>
          <cell r="AY103" t="str">
            <v/>
          </cell>
          <cell r="AZ103">
            <v>11173</v>
          </cell>
          <cell r="BA103" t="str">
            <v/>
          </cell>
          <cell r="BB103">
            <v>237.276899781</v>
          </cell>
          <cell r="BC103" t="str">
            <v/>
          </cell>
          <cell r="BD103">
            <v>346.363099734</v>
          </cell>
          <cell r="BE103" t="str">
            <v/>
          </cell>
          <cell r="BF103">
            <v>475.62809971500002</v>
          </cell>
          <cell r="BG103" t="str">
            <v/>
          </cell>
          <cell r="BH103">
            <v>218</v>
          </cell>
          <cell r="BI103">
            <v>123</v>
          </cell>
          <cell r="BJ103">
            <v>0</v>
          </cell>
        </row>
        <row r="104">
          <cell r="A104" t="str">
            <v>5EJ</v>
          </cell>
          <cell r="B104" t="str">
            <v>Q25</v>
          </cell>
          <cell r="C104" t="str">
            <v/>
          </cell>
          <cell r="D104" t="str">
            <v/>
          </cell>
          <cell r="E104" t="str">
            <v/>
          </cell>
          <cell r="F104">
            <v>1</v>
          </cell>
          <cell r="G104">
            <v>1</v>
          </cell>
          <cell r="H104">
            <v>0</v>
          </cell>
          <cell r="J104">
            <v>0</v>
          </cell>
          <cell r="K104">
            <v>1.61E-2</v>
          </cell>
          <cell r="L104">
            <v>113.828300379</v>
          </cell>
          <cell r="M104">
            <v>0</v>
          </cell>
          <cell r="N104">
            <v>0</v>
          </cell>
          <cell r="Q104" t="str">
            <v/>
          </cell>
          <cell r="R104">
            <v>1</v>
          </cell>
          <cell r="S104">
            <v>11</v>
          </cell>
          <cell r="X104">
            <v>1</v>
          </cell>
          <cell r="Y104">
            <v>1</v>
          </cell>
          <cell r="Z104">
            <v>0.9285714285714286</v>
          </cell>
          <cell r="AA104">
            <v>0</v>
          </cell>
          <cell r="AB104" t="str">
            <v/>
          </cell>
          <cell r="AD104">
            <v>20</v>
          </cell>
          <cell r="AE104">
            <v>344</v>
          </cell>
          <cell r="AF104">
            <v>0.83582851309969375</v>
          </cell>
          <cell r="AG104">
            <v>0</v>
          </cell>
          <cell r="AH104" t="str">
            <v/>
          </cell>
          <cell r="AI104">
            <v>6</v>
          </cell>
          <cell r="AJ104">
            <v>307</v>
          </cell>
          <cell r="AK104">
            <v>1423.9010331825896</v>
          </cell>
          <cell r="AL104">
            <v>0.36266094420600858</v>
          </cell>
          <cell r="AM104">
            <v>0.28632460732984294</v>
          </cell>
          <cell r="AN104">
            <v>0.7</v>
          </cell>
          <cell r="AO104">
            <v>-5129</v>
          </cell>
          <cell r="AQ104">
            <v>28318</v>
          </cell>
          <cell r="AR104" t="str">
            <v/>
          </cell>
          <cell r="AS104">
            <v>20657</v>
          </cell>
          <cell r="AU104">
            <v>20711</v>
          </cell>
          <cell r="AV104" t="str">
            <v/>
          </cell>
          <cell r="AW104">
            <v>17484</v>
          </cell>
          <cell r="AX104" t="str">
            <v/>
          </cell>
          <cell r="AY104" t="str">
            <v/>
          </cell>
          <cell r="AZ104">
            <v>17139</v>
          </cell>
          <cell r="BA104" t="str">
            <v/>
          </cell>
          <cell r="BB104">
            <v>204.30589999200001</v>
          </cell>
          <cell r="BC104">
            <v>1</v>
          </cell>
          <cell r="BD104">
            <v>382.59749998500001</v>
          </cell>
          <cell r="BE104" t="str">
            <v/>
          </cell>
          <cell r="BF104">
            <v>870.48129996199998</v>
          </cell>
          <cell r="BG104" t="str">
            <v/>
          </cell>
          <cell r="BH104">
            <v>742</v>
          </cell>
          <cell r="BI104">
            <v>570</v>
          </cell>
          <cell r="BJ104">
            <v>0</v>
          </cell>
        </row>
        <row r="105">
          <cell r="A105" t="str">
            <v>5EK</v>
          </cell>
          <cell r="B105" t="str">
            <v>Q23</v>
          </cell>
          <cell r="C105" t="str">
            <v/>
          </cell>
          <cell r="D105" t="str">
            <v/>
          </cell>
          <cell r="E105" t="str">
            <v/>
          </cell>
          <cell r="F105">
            <v>1</v>
          </cell>
          <cell r="G105">
            <v>1</v>
          </cell>
          <cell r="H105">
            <v>0</v>
          </cell>
          <cell r="J105">
            <v>0</v>
          </cell>
          <cell r="K105">
            <v>1.1792</v>
          </cell>
          <cell r="L105">
            <v>43.365199998000001</v>
          </cell>
          <cell r="M105" t="str">
            <v/>
          </cell>
          <cell r="N105">
            <v>0</v>
          </cell>
          <cell r="Q105" t="str">
            <v/>
          </cell>
          <cell r="R105" t="str">
            <v/>
          </cell>
          <cell r="S105">
            <v>182</v>
          </cell>
          <cell r="X105">
            <v>1</v>
          </cell>
          <cell r="Y105">
            <v>0.97499999999999998</v>
          </cell>
          <cell r="Z105">
            <v>0.875</v>
          </cell>
          <cell r="AA105">
            <v>0</v>
          </cell>
          <cell r="AB105" t="str">
            <v/>
          </cell>
          <cell r="AD105">
            <v>18</v>
          </cell>
          <cell r="AE105">
            <v>74</v>
          </cell>
          <cell r="AF105">
            <v>1</v>
          </cell>
          <cell r="AG105">
            <v>0</v>
          </cell>
          <cell r="AH105" t="str">
            <v/>
          </cell>
          <cell r="AI105">
            <v>2</v>
          </cell>
          <cell r="AJ105">
            <v>15</v>
          </cell>
          <cell r="AK105">
            <v>609.70962579071715</v>
          </cell>
          <cell r="AL105">
            <v>0.27522935779816515</v>
          </cell>
          <cell r="AM105">
            <v>0.35459881425846801</v>
          </cell>
          <cell r="AN105">
            <v>0.30303030303030304</v>
          </cell>
          <cell r="AO105">
            <v>504</v>
          </cell>
          <cell r="AQ105">
            <v>20659</v>
          </cell>
          <cell r="AR105" t="str">
            <v/>
          </cell>
          <cell r="AS105">
            <v>10288</v>
          </cell>
          <cell r="AU105">
            <v>16558</v>
          </cell>
          <cell r="AV105" t="str">
            <v/>
          </cell>
          <cell r="AW105">
            <v>13666</v>
          </cell>
          <cell r="AX105" t="str">
            <v/>
          </cell>
          <cell r="AY105" t="str">
            <v/>
          </cell>
          <cell r="AZ105">
            <v>8994</v>
          </cell>
          <cell r="BA105" t="str">
            <v/>
          </cell>
          <cell r="BB105">
            <v>83.782999996000001</v>
          </cell>
          <cell r="BC105" t="str">
            <v/>
          </cell>
          <cell r="BD105">
            <v>24.772399994000001</v>
          </cell>
          <cell r="BE105" t="str">
            <v/>
          </cell>
          <cell r="BF105">
            <v>27.951199986999999</v>
          </cell>
          <cell r="BG105" t="str">
            <v/>
          </cell>
          <cell r="BH105">
            <v>300</v>
          </cell>
          <cell r="BI105">
            <v>300</v>
          </cell>
          <cell r="BJ105">
            <v>0</v>
          </cell>
        </row>
        <row r="106">
          <cell r="A106" t="str">
            <v>5EL</v>
          </cell>
          <cell r="B106" t="str">
            <v>Q23</v>
          </cell>
          <cell r="C106" t="str">
            <v/>
          </cell>
          <cell r="D106" t="str">
            <v/>
          </cell>
          <cell r="E106" t="str">
            <v/>
          </cell>
          <cell r="F106">
            <v>1</v>
          </cell>
          <cell r="G106">
            <v>1</v>
          </cell>
          <cell r="H106">
            <v>0</v>
          </cell>
          <cell r="J106">
            <v>0</v>
          </cell>
          <cell r="K106">
            <v>2.5579000000000001</v>
          </cell>
          <cell r="L106">
            <v>57.717100000000002</v>
          </cell>
          <cell r="M106" t="str">
            <v/>
          </cell>
          <cell r="N106">
            <v>0</v>
          </cell>
          <cell r="Q106" t="str">
            <v/>
          </cell>
          <cell r="R106" t="str">
            <v/>
          </cell>
          <cell r="S106">
            <v>318</v>
          </cell>
          <cell r="X106">
            <v>1</v>
          </cell>
          <cell r="Y106">
            <v>1</v>
          </cell>
          <cell r="Z106">
            <v>1</v>
          </cell>
          <cell r="AA106">
            <v>0</v>
          </cell>
          <cell r="AB106" t="str">
            <v/>
          </cell>
          <cell r="AD106">
            <v>22</v>
          </cell>
          <cell r="AE106">
            <v>94</v>
          </cell>
          <cell r="AF106">
            <v>1</v>
          </cell>
          <cell r="AG106">
            <v>0</v>
          </cell>
          <cell r="AH106" t="str">
            <v/>
          </cell>
          <cell r="AI106">
            <v>2</v>
          </cell>
          <cell r="AJ106">
            <v>20</v>
          </cell>
          <cell r="AK106">
            <v>813.04712795299201</v>
          </cell>
          <cell r="AL106">
            <v>0.2762237762237762</v>
          </cell>
          <cell r="AM106">
            <v>0.34182421793948564</v>
          </cell>
          <cell r="AN106">
            <v>0.23076923076923078</v>
          </cell>
          <cell r="AO106">
            <v>2334</v>
          </cell>
          <cell r="AQ106">
            <v>23684</v>
          </cell>
          <cell r="AR106" t="str">
            <v/>
          </cell>
          <cell r="AS106">
            <v>12632</v>
          </cell>
          <cell r="AU106">
            <v>19461</v>
          </cell>
          <cell r="AV106" t="str">
            <v/>
          </cell>
          <cell r="AW106">
            <v>16130</v>
          </cell>
          <cell r="AX106" t="str">
            <v/>
          </cell>
          <cell r="AY106" t="str">
            <v/>
          </cell>
          <cell r="AZ106">
            <v>11440</v>
          </cell>
          <cell r="BA106" t="str">
            <v/>
          </cell>
          <cell r="BB106">
            <v>101.933499998</v>
          </cell>
          <cell r="BC106" t="str">
            <v/>
          </cell>
          <cell r="BD106">
            <v>21.869299996000002</v>
          </cell>
          <cell r="BE106" t="str">
            <v/>
          </cell>
          <cell r="BF106">
            <v>35.637299989999995</v>
          </cell>
          <cell r="BG106" t="str">
            <v/>
          </cell>
          <cell r="BH106">
            <v>333</v>
          </cell>
          <cell r="BI106">
            <v>333</v>
          </cell>
          <cell r="BJ106">
            <v>0</v>
          </cell>
        </row>
        <row r="107">
          <cell r="A107" t="str">
            <v>5EM</v>
          </cell>
          <cell r="B107" t="str">
            <v>Q24</v>
          </cell>
          <cell r="C107" t="str">
            <v/>
          </cell>
          <cell r="D107" t="str">
            <v/>
          </cell>
          <cell r="E107">
            <v>1</v>
          </cell>
          <cell r="F107">
            <v>1</v>
          </cell>
          <cell r="G107">
            <v>1</v>
          </cell>
          <cell r="H107">
            <v>0</v>
          </cell>
          <cell r="J107">
            <v>0</v>
          </cell>
          <cell r="K107">
            <v>19.565199278000001</v>
          </cell>
          <cell r="L107">
            <v>667.22378519400002</v>
          </cell>
          <cell r="M107" t="str">
            <v/>
          </cell>
          <cell r="N107">
            <v>0</v>
          </cell>
          <cell r="Q107" t="str">
            <v/>
          </cell>
          <cell r="R107" t="str">
            <v/>
          </cell>
          <cell r="S107">
            <v>235</v>
          </cell>
          <cell r="X107">
            <v>1</v>
          </cell>
          <cell r="Y107">
            <v>1</v>
          </cell>
          <cell r="Z107">
            <v>0.94871794871794868</v>
          </cell>
          <cell r="AA107">
            <v>0</v>
          </cell>
          <cell r="AB107" t="str">
            <v/>
          </cell>
          <cell r="AD107">
            <v>92</v>
          </cell>
          <cell r="AE107">
            <v>473</v>
          </cell>
          <cell r="AF107">
            <v>0.90622126301961159</v>
          </cell>
          <cell r="AG107">
            <v>0</v>
          </cell>
          <cell r="AH107" t="str">
            <v/>
          </cell>
          <cell r="AI107">
            <v>4</v>
          </cell>
          <cell r="AJ107">
            <v>53</v>
          </cell>
          <cell r="AK107">
            <v>869.60381755632011</v>
          </cell>
          <cell r="AL107">
            <v>0.21476510067114093</v>
          </cell>
          <cell r="AM107">
            <v>0.28701932199101893</v>
          </cell>
          <cell r="AN107">
            <v>0.67256637168141598</v>
          </cell>
          <cell r="AO107">
            <v>342</v>
          </cell>
          <cell r="AQ107">
            <v>56509.2</v>
          </cell>
          <cell r="AR107" t="str">
            <v/>
          </cell>
          <cell r="AS107">
            <v>37441</v>
          </cell>
          <cell r="AU107">
            <v>41388.6</v>
          </cell>
          <cell r="AV107" t="str">
            <v/>
          </cell>
          <cell r="AW107">
            <v>31108</v>
          </cell>
          <cell r="AX107" t="str">
            <v/>
          </cell>
          <cell r="AY107" t="str">
            <v/>
          </cell>
          <cell r="AZ107">
            <v>28484</v>
          </cell>
          <cell r="BA107" t="str">
            <v/>
          </cell>
          <cell r="BB107">
            <v>494.08638570200003</v>
          </cell>
          <cell r="BC107" t="str">
            <v/>
          </cell>
          <cell r="BD107">
            <v>834.28838193600006</v>
          </cell>
          <cell r="BE107" t="str">
            <v/>
          </cell>
          <cell r="BF107">
            <v>1609.0613783129998</v>
          </cell>
          <cell r="BG107" t="str">
            <v/>
          </cell>
          <cell r="BH107">
            <v>462</v>
          </cell>
          <cell r="BI107">
            <v>231</v>
          </cell>
          <cell r="BJ107">
            <v>231</v>
          </cell>
        </row>
        <row r="108">
          <cell r="A108" t="str">
            <v>5EN</v>
          </cell>
          <cell r="B108" t="str">
            <v>Q23</v>
          </cell>
          <cell r="C108" t="str">
            <v/>
          </cell>
          <cell r="D108" t="str">
            <v/>
          </cell>
          <cell r="E108" t="str">
            <v/>
          </cell>
          <cell r="F108">
            <v>1</v>
          </cell>
          <cell r="G108">
            <v>1</v>
          </cell>
          <cell r="H108">
            <v>0</v>
          </cell>
          <cell r="J108">
            <v>0</v>
          </cell>
          <cell r="K108">
            <v>78.281900000000007</v>
          </cell>
          <cell r="L108">
            <v>251.5951</v>
          </cell>
          <cell r="M108" t="str">
            <v/>
          </cell>
          <cell r="N108">
            <v>0</v>
          </cell>
          <cell r="Q108" t="str">
            <v/>
          </cell>
          <cell r="R108" t="str">
            <v/>
          </cell>
          <cell r="S108">
            <v>11</v>
          </cell>
          <cell r="X108">
            <v>1</v>
          </cell>
          <cell r="Y108">
            <v>1</v>
          </cell>
          <cell r="Z108">
            <v>1</v>
          </cell>
          <cell r="AA108">
            <v>0</v>
          </cell>
          <cell r="AB108" t="str">
            <v/>
          </cell>
          <cell r="AD108">
            <v>40</v>
          </cell>
          <cell r="AE108">
            <v>135</v>
          </cell>
          <cell r="AF108">
            <v>0.92626367899947892</v>
          </cell>
          <cell r="AG108">
            <v>0</v>
          </cell>
          <cell r="AH108" t="str">
            <v/>
          </cell>
          <cell r="AI108">
            <v>3</v>
          </cell>
          <cell r="AJ108">
            <v>392</v>
          </cell>
          <cell r="AK108">
            <v>444.49445788555676</v>
          </cell>
          <cell r="AL108">
            <v>0.11803278688524591</v>
          </cell>
          <cell r="AM108">
            <v>0.22157150648152033</v>
          </cell>
          <cell r="AN108">
            <v>0.44303797468354428</v>
          </cell>
          <cell r="AO108">
            <v>8</v>
          </cell>
          <cell r="AQ108">
            <v>24917</v>
          </cell>
          <cell r="AR108" t="str">
            <v/>
          </cell>
          <cell r="AS108">
            <v>12376</v>
          </cell>
          <cell r="AU108">
            <v>21661</v>
          </cell>
          <cell r="AV108" t="str">
            <v/>
          </cell>
          <cell r="AW108">
            <v>15754</v>
          </cell>
          <cell r="AX108" t="str">
            <v/>
          </cell>
          <cell r="AY108" t="str">
            <v/>
          </cell>
          <cell r="AZ108">
            <v>10745</v>
          </cell>
          <cell r="BA108" t="str">
            <v/>
          </cell>
          <cell r="BB108">
            <v>235.213499998</v>
          </cell>
          <cell r="BC108" t="str">
            <v/>
          </cell>
          <cell r="BD108">
            <v>430.68929999599999</v>
          </cell>
          <cell r="BE108" t="str">
            <v/>
          </cell>
          <cell r="BF108">
            <v>746.67729998999994</v>
          </cell>
          <cell r="BG108" t="str">
            <v/>
          </cell>
          <cell r="BH108">
            <v>475</v>
          </cell>
          <cell r="BI108">
            <v>102</v>
          </cell>
          <cell r="BJ108">
            <v>373</v>
          </cell>
        </row>
        <row r="109">
          <cell r="A109" t="str">
            <v>5EP</v>
          </cell>
          <cell r="B109" t="str">
            <v>Q23</v>
          </cell>
          <cell r="C109" t="str">
            <v/>
          </cell>
          <cell r="D109" t="str">
            <v/>
          </cell>
          <cell r="E109" t="str">
            <v/>
          </cell>
          <cell r="F109">
            <v>1</v>
          </cell>
          <cell r="G109">
            <v>1</v>
          </cell>
          <cell r="H109">
            <v>0</v>
          </cell>
          <cell r="J109">
            <v>0</v>
          </cell>
          <cell r="K109">
            <v>78.225999999999999</v>
          </cell>
          <cell r="L109">
            <v>197.37349999999998</v>
          </cell>
          <cell r="M109" t="str">
            <v/>
          </cell>
          <cell r="N109">
            <v>0</v>
          </cell>
          <cell r="Q109" t="str">
            <v/>
          </cell>
          <cell r="R109" t="str">
            <v/>
          </cell>
          <cell r="S109">
            <v>2</v>
          </cell>
          <cell r="X109">
            <v>1</v>
          </cell>
          <cell r="Y109">
            <v>1</v>
          </cell>
          <cell r="Z109">
            <v>0.93333333333333335</v>
          </cell>
          <cell r="AA109">
            <v>0</v>
          </cell>
          <cell r="AB109" t="str">
            <v/>
          </cell>
          <cell r="AD109">
            <v>32</v>
          </cell>
          <cell r="AE109">
            <v>91</v>
          </cell>
          <cell r="AF109">
            <v>0.90683991174307432</v>
          </cell>
          <cell r="AG109">
            <v>0</v>
          </cell>
          <cell r="AH109" t="str">
            <v/>
          </cell>
          <cell r="AI109">
            <v>3.6</v>
          </cell>
          <cell r="AJ109">
            <v>159</v>
          </cell>
          <cell r="AK109">
            <v>524.94636417583422</v>
          </cell>
          <cell r="AL109">
            <v>8.0536912751677847E-2</v>
          </cell>
          <cell r="AM109">
            <v>0.23477041630568601</v>
          </cell>
          <cell r="AN109">
            <v>0.4</v>
          </cell>
          <cell r="AO109">
            <v>52</v>
          </cell>
          <cell r="AQ109">
            <v>24303</v>
          </cell>
          <cell r="AR109" t="str">
            <v/>
          </cell>
          <cell r="AS109">
            <v>11142</v>
          </cell>
          <cell r="AU109">
            <v>21590</v>
          </cell>
          <cell r="AV109" t="str">
            <v/>
          </cell>
          <cell r="AW109">
            <v>16321</v>
          </cell>
          <cell r="AX109" t="str">
            <v/>
          </cell>
          <cell r="AY109" t="str">
            <v/>
          </cell>
          <cell r="AZ109">
            <v>11010</v>
          </cell>
          <cell r="BA109" t="str">
            <v/>
          </cell>
          <cell r="BB109">
            <v>232.20489999699998</v>
          </cell>
          <cell r="BC109" t="str">
            <v/>
          </cell>
          <cell r="BD109">
            <v>417.89559999400001</v>
          </cell>
          <cell r="BE109" t="str">
            <v/>
          </cell>
          <cell r="BF109">
            <v>722.62869998899998</v>
          </cell>
          <cell r="BG109" t="str">
            <v/>
          </cell>
          <cell r="BH109">
            <v>472</v>
          </cell>
          <cell r="BI109">
            <v>104</v>
          </cell>
          <cell r="BJ109">
            <v>368</v>
          </cell>
        </row>
        <row r="110">
          <cell r="A110" t="str">
            <v>5EQ</v>
          </cell>
          <cell r="B110" t="str">
            <v>Q23</v>
          </cell>
          <cell r="C110" t="str">
            <v/>
          </cell>
          <cell r="D110" t="str">
            <v/>
          </cell>
          <cell r="E110" t="str">
            <v/>
          </cell>
          <cell r="F110">
            <v>1</v>
          </cell>
          <cell r="G110">
            <v>1</v>
          </cell>
          <cell r="H110">
            <v>0</v>
          </cell>
          <cell r="J110">
            <v>0</v>
          </cell>
          <cell r="K110">
            <v>118.04</v>
          </cell>
          <cell r="L110">
            <v>346.87</v>
          </cell>
          <cell r="M110">
            <v>0</v>
          </cell>
          <cell r="N110">
            <v>0</v>
          </cell>
          <cell r="Q110" t="str">
            <v/>
          </cell>
          <cell r="R110" t="str">
            <v/>
          </cell>
          <cell r="S110">
            <v>11</v>
          </cell>
          <cell r="X110">
            <v>1</v>
          </cell>
          <cell r="Y110">
            <v>1</v>
          </cell>
          <cell r="Z110">
            <v>0.80952380952380953</v>
          </cell>
          <cell r="AA110">
            <v>0</v>
          </cell>
          <cell r="AB110" t="str">
            <v/>
          </cell>
          <cell r="AD110">
            <v>41</v>
          </cell>
          <cell r="AE110">
            <v>179</v>
          </cell>
          <cell r="AF110">
            <v>0.9551001251564456</v>
          </cell>
          <cell r="AG110">
            <v>0</v>
          </cell>
          <cell r="AH110" t="str">
            <v/>
          </cell>
          <cell r="AI110">
            <v>1</v>
          </cell>
          <cell r="AJ110">
            <v>450</v>
          </cell>
          <cell r="AK110">
            <v>719.04528855927413</v>
          </cell>
          <cell r="AL110">
            <v>0.21990740740740741</v>
          </cell>
          <cell r="AM110">
            <v>0.29222463480369376</v>
          </cell>
          <cell r="AN110">
            <v>0.51020408163265307</v>
          </cell>
          <cell r="AO110">
            <v>56</v>
          </cell>
          <cell r="AQ110">
            <v>34310</v>
          </cell>
          <cell r="AR110" t="str">
            <v/>
          </cell>
          <cell r="AS110">
            <v>17730</v>
          </cell>
          <cell r="AU110">
            <v>30028</v>
          </cell>
          <cell r="AV110" t="str">
            <v/>
          </cell>
          <cell r="AW110">
            <v>23688</v>
          </cell>
          <cell r="AX110" t="str">
            <v/>
          </cell>
          <cell r="AY110" t="str">
            <v/>
          </cell>
          <cell r="AZ110">
            <v>18602</v>
          </cell>
          <cell r="BA110" t="str">
            <v/>
          </cell>
          <cell r="BB110">
            <v>384.3</v>
          </cell>
          <cell r="BC110" t="str">
            <v/>
          </cell>
          <cell r="BD110">
            <v>679.95</v>
          </cell>
          <cell r="BE110" t="str">
            <v/>
          </cell>
          <cell r="BF110">
            <v>1310.4000000000001</v>
          </cell>
          <cell r="BG110" t="str">
            <v/>
          </cell>
          <cell r="BH110">
            <v>694</v>
          </cell>
          <cell r="BI110">
            <v>152</v>
          </cell>
          <cell r="BJ110">
            <v>542</v>
          </cell>
        </row>
        <row r="111">
          <cell r="A111" t="str">
            <v>5ER</v>
          </cell>
          <cell r="B111" t="str">
            <v>Q24</v>
          </cell>
          <cell r="C111" t="str">
            <v/>
          </cell>
          <cell r="D111" t="str">
            <v/>
          </cell>
          <cell r="E111">
            <v>1</v>
          </cell>
          <cell r="F111">
            <v>1</v>
          </cell>
          <cell r="G111">
            <v>1</v>
          </cell>
          <cell r="H111">
            <v>0</v>
          </cell>
          <cell r="J111">
            <v>0</v>
          </cell>
          <cell r="K111">
            <v>5.195399943</v>
          </cell>
          <cell r="L111">
            <v>174.37809820899997</v>
          </cell>
          <cell r="M111">
            <v>250</v>
          </cell>
          <cell r="N111">
            <v>0</v>
          </cell>
          <cell r="Q111">
            <v>1</v>
          </cell>
          <cell r="R111">
            <v>1</v>
          </cell>
          <cell r="S111">
            <v>83</v>
          </cell>
          <cell r="X111">
            <v>0.97826086956521741</v>
          </cell>
          <cell r="Y111">
            <v>0.94871794871794868</v>
          </cell>
          <cell r="Z111">
            <v>0.8571428571428571</v>
          </cell>
          <cell r="AA111">
            <v>0</v>
          </cell>
          <cell r="AB111" t="str">
            <v/>
          </cell>
          <cell r="AD111">
            <v>28</v>
          </cell>
          <cell r="AE111">
            <v>171</v>
          </cell>
          <cell r="AF111">
            <v>0.99838144051793909</v>
          </cell>
          <cell r="AG111">
            <v>0</v>
          </cell>
          <cell r="AH111" t="str">
            <v/>
          </cell>
          <cell r="AI111">
            <v>4</v>
          </cell>
          <cell r="AJ111">
            <v>96</v>
          </cell>
          <cell r="AK111">
            <v>1225.8422010878783</v>
          </cell>
          <cell r="AL111">
            <v>0.12624584717607973</v>
          </cell>
          <cell r="AM111">
            <v>0.34880330301270884</v>
          </cell>
          <cell r="AN111">
            <v>0.45454545454545453</v>
          </cell>
          <cell r="AO111">
            <v>104</v>
          </cell>
          <cell r="AQ111">
            <v>19430</v>
          </cell>
          <cell r="AR111" t="str">
            <v/>
          </cell>
          <cell r="AS111">
            <v>9326</v>
          </cell>
          <cell r="AU111">
            <v>15618.6</v>
          </cell>
          <cell r="AV111" t="str">
            <v/>
          </cell>
          <cell r="AW111">
            <v>13657</v>
          </cell>
          <cell r="AX111" t="str">
            <v/>
          </cell>
          <cell r="AY111" t="str">
            <v/>
          </cell>
          <cell r="AZ111">
            <v>8875.36</v>
          </cell>
          <cell r="BA111" t="str">
            <v/>
          </cell>
          <cell r="BB111">
            <v>176.120199998</v>
          </cell>
          <cell r="BC111">
            <v>26</v>
          </cell>
          <cell r="BD111">
            <v>236.21080112800001</v>
          </cell>
          <cell r="BE111" t="str">
            <v/>
          </cell>
          <cell r="BF111">
            <v>608.44330567599991</v>
          </cell>
          <cell r="BG111" t="str">
            <v/>
          </cell>
          <cell r="BH111">
            <v>220</v>
          </cell>
          <cell r="BI111">
            <v>238</v>
          </cell>
          <cell r="BJ111">
            <v>238</v>
          </cell>
        </row>
        <row r="112">
          <cell r="A112" t="str">
            <v>5ET</v>
          </cell>
          <cell r="B112" t="str">
            <v>Q24</v>
          </cell>
          <cell r="C112" t="str">
            <v/>
          </cell>
          <cell r="D112" t="str">
            <v/>
          </cell>
          <cell r="E112" t="str">
            <v/>
          </cell>
          <cell r="F112">
            <v>1</v>
          </cell>
          <cell r="G112">
            <v>1</v>
          </cell>
          <cell r="H112">
            <v>0</v>
          </cell>
          <cell r="J112">
            <v>0</v>
          </cell>
          <cell r="K112">
            <v>3.1597</v>
          </cell>
          <cell r="L112">
            <v>77.517700000999994</v>
          </cell>
          <cell r="M112" t="str">
            <v/>
          </cell>
          <cell r="N112">
            <v>0</v>
          </cell>
          <cell r="Q112" t="str">
            <v/>
          </cell>
          <cell r="R112" t="str">
            <v/>
          </cell>
          <cell r="S112">
            <v>658</v>
          </cell>
          <cell r="X112">
            <v>1</v>
          </cell>
          <cell r="Y112">
            <v>0.97368421052631582</v>
          </cell>
          <cell r="Z112">
            <v>0.8666666666666667</v>
          </cell>
          <cell r="AA112">
            <v>0</v>
          </cell>
          <cell r="AB112" t="str">
            <v/>
          </cell>
          <cell r="AD112">
            <v>18</v>
          </cell>
          <cell r="AE112">
            <v>124</v>
          </cell>
          <cell r="AF112">
            <v>0.84978860979855753</v>
          </cell>
          <cell r="AG112">
            <v>0</v>
          </cell>
          <cell r="AH112" t="str">
            <v/>
          </cell>
          <cell r="AI112">
            <v>2.8</v>
          </cell>
          <cell r="AJ112">
            <v>45</v>
          </cell>
          <cell r="AK112">
            <v>714.71848843210739</v>
          </cell>
          <cell r="AL112" t="str">
            <v/>
          </cell>
          <cell r="AM112">
            <v>0.28134999330843258</v>
          </cell>
          <cell r="AN112">
            <v>0.58064516129032262</v>
          </cell>
          <cell r="AO112">
            <v>267</v>
          </cell>
          <cell r="AQ112">
            <v>24876</v>
          </cell>
          <cell r="AR112" t="str">
            <v/>
          </cell>
          <cell r="AS112">
            <v>11695</v>
          </cell>
          <cell r="AU112">
            <v>20417</v>
          </cell>
          <cell r="AV112" t="str">
            <v/>
          </cell>
          <cell r="AW112">
            <v>12240</v>
          </cell>
          <cell r="AX112" t="str">
            <v/>
          </cell>
          <cell r="AY112" t="str">
            <v/>
          </cell>
          <cell r="AZ112">
            <v>9495</v>
          </cell>
          <cell r="BA112" t="str">
            <v/>
          </cell>
          <cell r="BB112">
            <v>106.44570000099999</v>
          </cell>
          <cell r="BC112" t="str">
            <v/>
          </cell>
          <cell r="BD112">
            <v>28.464299983</v>
          </cell>
          <cell r="BE112" t="str">
            <v/>
          </cell>
          <cell r="BF112">
            <v>58.394299934000003</v>
          </cell>
          <cell r="BG112" t="str">
            <v/>
          </cell>
          <cell r="BH112">
            <v>211</v>
          </cell>
          <cell r="BI112">
            <v>195</v>
          </cell>
          <cell r="BJ112">
            <v>16</v>
          </cell>
        </row>
        <row r="113">
          <cell r="A113" t="str">
            <v>5EV</v>
          </cell>
          <cell r="B113" t="str">
            <v>Q24</v>
          </cell>
          <cell r="C113" t="str">
            <v/>
          </cell>
          <cell r="D113" t="str">
            <v/>
          </cell>
          <cell r="E113" t="str">
            <v/>
          </cell>
          <cell r="F113">
            <v>1</v>
          </cell>
          <cell r="G113">
            <v>1</v>
          </cell>
          <cell r="H113">
            <v>0</v>
          </cell>
          <cell r="J113">
            <v>0</v>
          </cell>
          <cell r="K113">
            <v>8.6064000850000006</v>
          </cell>
          <cell r="L113">
            <v>323.20920186299998</v>
          </cell>
          <cell r="M113" t="str">
            <v/>
          </cell>
          <cell r="N113">
            <v>0</v>
          </cell>
          <cell r="Q113" t="str">
            <v/>
          </cell>
          <cell r="R113" t="str">
            <v/>
          </cell>
          <cell r="S113">
            <v>81</v>
          </cell>
          <cell r="X113">
            <v>0.98936170212765961</v>
          </cell>
          <cell r="Y113">
            <v>0.98333333333333328</v>
          </cell>
          <cell r="Z113">
            <v>0.96296296296296291</v>
          </cell>
          <cell r="AA113">
            <v>0</v>
          </cell>
          <cell r="AB113" t="str">
            <v/>
          </cell>
          <cell r="AD113">
            <v>16</v>
          </cell>
          <cell r="AE113">
            <v>119</v>
          </cell>
          <cell r="AF113">
            <v>0.82308756671278904</v>
          </cell>
          <cell r="AG113">
            <v>0</v>
          </cell>
          <cell r="AH113" t="str">
            <v/>
          </cell>
          <cell r="AI113">
            <v>3.8</v>
          </cell>
          <cell r="AJ113">
            <v>76</v>
          </cell>
          <cell r="AK113">
            <v>1075.2309102446591</v>
          </cell>
          <cell r="AL113">
            <v>0.12218649517684887</v>
          </cell>
          <cell r="AM113">
            <v>0.30997044334975371</v>
          </cell>
          <cell r="AN113">
            <v>0.7142857142857143</v>
          </cell>
          <cell r="AO113">
            <v>789</v>
          </cell>
          <cell r="AQ113">
            <v>24252.400000000001</v>
          </cell>
          <cell r="AR113" t="str">
            <v/>
          </cell>
          <cell r="AS113">
            <v>14003</v>
          </cell>
          <cell r="AU113">
            <v>19066.8</v>
          </cell>
          <cell r="AV113" t="str">
            <v/>
          </cell>
          <cell r="AW113">
            <v>15355</v>
          </cell>
          <cell r="AX113" t="str">
            <v/>
          </cell>
          <cell r="AY113" t="str">
            <v/>
          </cell>
          <cell r="AZ113">
            <v>10915.5</v>
          </cell>
          <cell r="BA113" t="str">
            <v/>
          </cell>
          <cell r="BB113">
            <v>223.29080126300002</v>
          </cell>
          <cell r="BC113" t="str">
            <v/>
          </cell>
          <cell r="BD113">
            <v>358.844400882</v>
          </cell>
          <cell r="BE113" t="str">
            <v/>
          </cell>
          <cell r="BF113">
            <v>753.03639865000002</v>
          </cell>
          <cell r="BG113" t="str">
            <v/>
          </cell>
          <cell r="BH113">
            <v>255</v>
          </cell>
          <cell r="BI113">
            <v>138</v>
          </cell>
          <cell r="BJ113">
            <v>117</v>
          </cell>
        </row>
        <row r="114">
          <cell r="A114" t="str">
            <v>5EX</v>
          </cell>
          <cell r="B114" t="str">
            <v>Q24</v>
          </cell>
          <cell r="C114" t="str">
            <v/>
          </cell>
          <cell r="D114" t="str">
            <v/>
          </cell>
          <cell r="E114" t="str">
            <v/>
          </cell>
          <cell r="F114">
            <v>1</v>
          </cell>
          <cell r="G114">
            <v>1</v>
          </cell>
          <cell r="H114">
            <v>0</v>
          </cell>
          <cell r="J114">
            <v>0</v>
          </cell>
          <cell r="K114">
            <v>7.6816002000000001</v>
          </cell>
          <cell r="L114">
            <v>126.78380033699999</v>
          </cell>
          <cell r="M114" t="str">
            <v/>
          </cell>
          <cell r="N114">
            <v>0</v>
          </cell>
          <cell r="Q114" t="str">
            <v/>
          </cell>
          <cell r="R114" t="str">
            <v/>
          </cell>
          <cell r="S114">
            <v>69</v>
          </cell>
          <cell r="X114">
            <v>0.99122807017543857</v>
          </cell>
          <cell r="Y114">
            <v>0.98</v>
          </cell>
          <cell r="Z114">
            <v>1</v>
          </cell>
          <cell r="AA114">
            <v>0</v>
          </cell>
          <cell r="AB114" t="str">
            <v/>
          </cell>
          <cell r="AD114">
            <v>19</v>
          </cell>
          <cell r="AE114">
            <v>225</v>
          </cell>
          <cell r="AF114">
            <v>0.91279985991945367</v>
          </cell>
          <cell r="AG114">
            <v>0</v>
          </cell>
          <cell r="AH114" t="str">
            <v/>
          </cell>
          <cell r="AI114">
            <v>4.5</v>
          </cell>
          <cell r="AJ114">
            <v>83</v>
          </cell>
          <cell r="AK114">
            <v>802.93244894396923</v>
          </cell>
          <cell r="AL114">
            <v>0.12808988764044943</v>
          </cell>
          <cell r="AM114">
            <v>0.27221481493983224</v>
          </cell>
          <cell r="AN114">
            <v>0.23684210526315788</v>
          </cell>
          <cell r="AO114">
            <v>1413.1000000000101</v>
          </cell>
          <cell r="AQ114">
            <v>26832.6</v>
          </cell>
          <cell r="AR114" t="str">
            <v/>
          </cell>
          <cell r="AS114">
            <v>12555</v>
          </cell>
          <cell r="AU114">
            <v>23273.3</v>
          </cell>
          <cell r="AV114" t="str">
            <v/>
          </cell>
          <cell r="AW114">
            <v>21161</v>
          </cell>
          <cell r="AX114" t="str">
            <v/>
          </cell>
          <cell r="AY114" t="str">
            <v/>
          </cell>
          <cell r="AZ114">
            <v>13624.9</v>
          </cell>
          <cell r="BA114" t="str">
            <v/>
          </cell>
          <cell r="BB114">
            <v>319.95621018499997</v>
          </cell>
          <cell r="BC114">
            <v>2</v>
          </cell>
          <cell r="BD114">
            <v>540.92561745099999</v>
          </cell>
          <cell r="BE114" t="str">
            <v/>
          </cell>
          <cell r="BF114">
            <v>1257.663441768</v>
          </cell>
          <cell r="BG114" t="str">
            <v/>
          </cell>
          <cell r="BH114">
            <v>546</v>
          </cell>
          <cell r="BI114">
            <v>377</v>
          </cell>
          <cell r="BJ114">
            <v>169</v>
          </cell>
        </row>
        <row r="115">
          <cell r="A115" t="str">
            <v>5EY</v>
          </cell>
          <cell r="B115" t="str">
            <v>Q25</v>
          </cell>
          <cell r="C115" t="str">
            <v/>
          </cell>
          <cell r="D115" t="str">
            <v/>
          </cell>
          <cell r="E115" t="str">
            <v/>
          </cell>
          <cell r="F115">
            <v>1</v>
          </cell>
          <cell r="G115">
            <v>1</v>
          </cell>
          <cell r="H115">
            <v>0</v>
          </cell>
          <cell r="J115">
            <v>0</v>
          </cell>
          <cell r="K115">
            <v>1.9E-3</v>
          </cell>
          <cell r="L115">
            <v>138.63749990700001</v>
          </cell>
          <cell r="M115" t="str">
            <v/>
          </cell>
          <cell r="N115">
            <v>0</v>
          </cell>
          <cell r="Q115" t="str">
            <v/>
          </cell>
          <cell r="R115" t="str">
            <v/>
          </cell>
          <cell r="S115">
            <v>81</v>
          </cell>
          <cell r="X115">
            <v>1</v>
          </cell>
          <cell r="Y115">
            <v>0.94444444444444442</v>
          </cell>
          <cell r="Z115">
            <v>0.9375</v>
          </cell>
          <cell r="AA115">
            <v>0</v>
          </cell>
          <cell r="AB115" t="str">
            <v/>
          </cell>
          <cell r="AD115">
            <v>37</v>
          </cell>
          <cell r="AE115">
            <v>327</v>
          </cell>
          <cell r="AF115">
            <v>0.96014146434716119</v>
          </cell>
          <cell r="AG115">
            <v>0</v>
          </cell>
          <cell r="AH115" t="str">
            <v/>
          </cell>
          <cell r="AI115">
            <v>4</v>
          </cell>
          <cell r="AJ115">
            <v>306</v>
          </cell>
          <cell r="AK115">
            <v>517.84036532873029</v>
          </cell>
          <cell r="AL115">
            <v>0.1043613707165109</v>
          </cell>
          <cell r="AM115">
            <v>0.32626060030261445</v>
          </cell>
          <cell r="AN115">
            <v>0.7407407407407407</v>
          </cell>
          <cell r="AO115">
            <v>283</v>
          </cell>
          <cell r="AQ115">
            <v>34998</v>
          </cell>
          <cell r="AR115" t="str">
            <v/>
          </cell>
          <cell r="AS115">
            <v>23850</v>
          </cell>
          <cell r="AU115">
            <v>24652</v>
          </cell>
          <cell r="AV115" t="str">
            <v/>
          </cell>
          <cell r="AW115">
            <v>17754</v>
          </cell>
          <cell r="AX115" t="str">
            <v/>
          </cell>
          <cell r="AY115" t="str">
            <v/>
          </cell>
          <cell r="AZ115">
            <v>18544</v>
          </cell>
          <cell r="BA115" t="str">
            <v/>
          </cell>
          <cell r="BB115">
            <v>302.15289999599997</v>
          </cell>
          <cell r="BC115" t="str">
            <v/>
          </cell>
          <cell r="BD115">
            <v>550.35509999099997</v>
          </cell>
          <cell r="BE115" t="str">
            <v/>
          </cell>
          <cell r="BF115">
            <v>1114.970099975</v>
          </cell>
          <cell r="BG115" t="str">
            <v/>
          </cell>
          <cell r="BH115">
            <v>990</v>
          </cell>
          <cell r="BI115">
            <v>805</v>
          </cell>
          <cell r="BJ115">
            <v>0</v>
          </cell>
        </row>
        <row r="116">
          <cell r="A116" t="str">
            <v>5F1</v>
          </cell>
          <cell r="B116" t="str">
            <v>Q21</v>
          </cell>
          <cell r="C116" t="str">
            <v/>
          </cell>
          <cell r="D116" t="str">
            <v/>
          </cell>
          <cell r="E116">
            <v>1</v>
          </cell>
          <cell r="F116">
            <v>1</v>
          </cell>
          <cell r="G116">
            <v>1</v>
          </cell>
          <cell r="H116">
            <v>0</v>
          </cell>
          <cell r="J116">
            <v>42</v>
          </cell>
          <cell r="K116">
            <v>162.006</v>
          </cell>
          <cell r="L116">
            <v>3494.0335</v>
          </cell>
          <cell r="M116">
            <v>132</v>
          </cell>
          <cell r="N116">
            <v>3</v>
          </cell>
          <cell r="Q116" t="str">
            <v/>
          </cell>
          <cell r="R116" t="str">
            <v/>
          </cell>
          <cell r="S116">
            <v>266</v>
          </cell>
          <cell r="X116">
            <v>1</v>
          </cell>
          <cell r="Y116">
            <v>0.98958333333333337</v>
          </cell>
          <cell r="Z116">
            <v>0.97916666666666663</v>
          </cell>
          <cell r="AA116">
            <v>0</v>
          </cell>
          <cell r="AB116" t="str">
            <v/>
          </cell>
          <cell r="AD116">
            <v>80</v>
          </cell>
          <cell r="AE116">
            <v>305</v>
          </cell>
          <cell r="AF116">
            <v>0.96146564205368079</v>
          </cell>
          <cell r="AG116">
            <v>0</v>
          </cell>
          <cell r="AH116" t="str">
            <v/>
          </cell>
          <cell r="AI116">
            <v>6</v>
          </cell>
          <cell r="AJ116">
            <v>349</v>
          </cell>
          <cell r="AK116">
            <v>914.230058639248</v>
          </cell>
          <cell r="AL116">
            <v>0.26068965517241377</v>
          </cell>
          <cell r="AM116">
            <v>0.2850878919706305</v>
          </cell>
          <cell r="AN116">
            <v>0.19178082191780821</v>
          </cell>
          <cell r="AO116">
            <v>0</v>
          </cell>
          <cell r="AQ116">
            <v>44600</v>
          </cell>
          <cell r="AR116" t="str">
            <v/>
          </cell>
          <cell r="AS116">
            <v>13488</v>
          </cell>
          <cell r="AU116">
            <v>38576</v>
          </cell>
          <cell r="AV116" t="str">
            <v/>
          </cell>
          <cell r="AW116">
            <v>26219</v>
          </cell>
          <cell r="AX116" t="str">
            <v/>
          </cell>
          <cell r="AY116" t="str">
            <v/>
          </cell>
          <cell r="AZ116">
            <v>25636</v>
          </cell>
          <cell r="BA116" t="str">
            <v/>
          </cell>
          <cell r="BB116">
            <v>302.09319999799999</v>
          </cell>
          <cell r="BC116" t="str">
            <v/>
          </cell>
          <cell r="BD116">
            <v>919.096999998</v>
          </cell>
          <cell r="BE116" t="str">
            <v/>
          </cell>
          <cell r="BF116">
            <v>1264.141499996</v>
          </cell>
          <cell r="BG116" t="str">
            <v/>
          </cell>
          <cell r="BH116">
            <v>1925</v>
          </cell>
          <cell r="BI116">
            <v>0</v>
          </cell>
          <cell r="BJ116">
            <v>22</v>
          </cell>
        </row>
        <row r="117">
          <cell r="A117" t="str">
            <v>5F2</v>
          </cell>
          <cell r="B117" t="str">
            <v>Q13</v>
          </cell>
          <cell r="C117" t="str">
            <v/>
          </cell>
          <cell r="D117" t="str">
            <v/>
          </cell>
          <cell r="E117" t="str">
            <v/>
          </cell>
          <cell r="F117">
            <v>1</v>
          </cell>
          <cell r="G117">
            <v>1</v>
          </cell>
          <cell r="H117">
            <v>0</v>
          </cell>
          <cell r="J117">
            <v>0</v>
          </cell>
          <cell r="K117">
            <v>28.114800000999999</v>
          </cell>
          <cell r="L117">
            <v>954.66691445399999</v>
          </cell>
          <cell r="M117">
            <v>1</v>
          </cell>
          <cell r="N117">
            <v>0</v>
          </cell>
          <cell r="Q117" t="str">
            <v/>
          </cell>
          <cell r="R117" t="str">
            <v/>
          </cell>
          <cell r="S117">
            <v>185</v>
          </cell>
          <cell r="X117">
            <v>1</v>
          </cell>
          <cell r="Y117">
            <v>1</v>
          </cell>
          <cell r="Z117">
            <v>1</v>
          </cell>
          <cell r="AA117">
            <v>0</v>
          </cell>
          <cell r="AB117" t="str">
            <v/>
          </cell>
          <cell r="AD117">
            <v>30</v>
          </cell>
          <cell r="AE117">
            <v>269</v>
          </cell>
          <cell r="AF117">
            <v>1</v>
          </cell>
          <cell r="AG117">
            <v>0</v>
          </cell>
          <cell r="AH117" t="str">
            <v/>
          </cell>
          <cell r="AI117">
            <v>4.5</v>
          </cell>
          <cell r="AJ117">
            <v>90</v>
          </cell>
          <cell r="AK117">
            <v>898.39534139022976</v>
          </cell>
          <cell r="AL117">
            <v>0.18095238095238095</v>
          </cell>
          <cell r="AM117">
            <v>0.31846933073347045</v>
          </cell>
          <cell r="AN117">
            <v>0.42307692307692307</v>
          </cell>
          <cell r="AO117">
            <v>150</v>
          </cell>
          <cell r="AQ117">
            <v>43128</v>
          </cell>
          <cell r="AR117" t="str">
            <v/>
          </cell>
          <cell r="AS117">
            <v>17291</v>
          </cell>
          <cell r="AU117">
            <v>35974</v>
          </cell>
          <cell r="AV117" t="str">
            <v/>
          </cell>
          <cell r="AW117">
            <v>27303</v>
          </cell>
          <cell r="AX117" t="str">
            <v/>
          </cell>
          <cell r="AY117" t="str">
            <v/>
          </cell>
          <cell r="AZ117">
            <v>21276</v>
          </cell>
          <cell r="BA117" t="str">
            <v/>
          </cell>
          <cell r="BB117">
            <v>382.60046644300002</v>
          </cell>
          <cell r="BC117">
            <v>1.0332000050000001</v>
          </cell>
          <cell r="BD117">
            <v>777.44132901900002</v>
          </cell>
          <cell r="BE117" t="str">
            <v/>
          </cell>
          <cell r="BF117">
            <v>1410.697664651</v>
          </cell>
          <cell r="BG117" t="str">
            <v/>
          </cell>
          <cell r="BH117">
            <v>292</v>
          </cell>
          <cell r="BI117">
            <v>292</v>
          </cell>
          <cell r="BJ117">
            <v>0</v>
          </cell>
        </row>
        <row r="118">
          <cell r="A118" t="str">
            <v>5F3</v>
          </cell>
          <cell r="B118" t="str">
            <v>Q13</v>
          </cell>
          <cell r="C118" t="str">
            <v/>
          </cell>
          <cell r="D118" t="str">
            <v/>
          </cell>
          <cell r="E118">
            <v>1</v>
          </cell>
          <cell r="F118">
            <v>1</v>
          </cell>
          <cell r="G118">
            <v>1</v>
          </cell>
          <cell r="H118">
            <v>0</v>
          </cell>
          <cell r="J118">
            <v>0</v>
          </cell>
          <cell r="K118">
            <v>43.676199941</v>
          </cell>
          <cell r="L118">
            <v>599.87067145200001</v>
          </cell>
          <cell r="M118" t="str">
            <v/>
          </cell>
          <cell r="N118">
            <v>0</v>
          </cell>
          <cell r="Q118" t="str">
            <v/>
          </cell>
          <cell r="R118" t="str">
            <v/>
          </cell>
          <cell r="S118">
            <v>50</v>
          </cell>
          <cell r="X118">
            <v>1</v>
          </cell>
          <cell r="Y118">
            <v>1</v>
          </cell>
          <cell r="Z118">
            <v>0.85</v>
          </cell>
          <cell r="AA118">
            <v>0</v>
          </cell>
          <cell r="AB118" t="str">
            <v/>
          </cell>
          <cell r="AD118">
            <v>15</v>
          </cell>
          <cell r="AE118">
            <v>145</v>
          </cell>
          <cell r="AF118">
            <v>1</v>
          </cell>
          <cell r="AG118">
            <v>0</v>
          </cell>
          <cell r="AH118" t="str">
            <v/>
          </cell>
          <cell r="AI118">
            <v>2</v>
          </cell>
          <cell r="AJ118">
            <v>75</v>
          </cell>
          <cell r="AK118">
            <v>710.29529130087792</v>
          </cell>
          <cell r="AL118">
            <v>0.16791044776119404</v>
          </cell>
          <cell r="AM118">
            <v>0.33319197375175769</v>
          </cell>
          <cell r="AN118">
            <v>0.37037037037037035</v>
          </cell>
          <cell r="AO118">
            <v>75</v>
          </cell>
          <cell r="AQ118">
            <v>25881</v>
          </cell>
          <cell r="AR118" t="str">
            <v/>
          </cell>
          <cell r="AS118">
            <v>9941</v>
          </cell>
          <cell r="AU118">
            <v>20747</v>
          </cell>
          <cell r="AV118" t="str">
            <v/>
          </cell>
          <cell r="AW118">
            <v>8808</v>
          </cell>
          <cell r="AX118" t="str">
            <v/>
          </cell>
          <cell r="AY118" t="str">
            <v/>
          </cell>
          <cell r="AZ118">
            <v>11357</v>
          </cell>
          <cell r="BA118" t="str">
            <v/>
          </cell>
          <cell r="BB118">
            <v>176.674847546</v>
          </cell>
          <cell r="BC118">
            <v>10.67579997</v>
          </cell>
          <cell r="BD118">
            <v>348.930709729</v>
          </cell>
          <cell r="BE118" t="str">
            <v/>
          </cell>
          <cell r="BF118">
            <v>607.24734363799996</v>
          </cell>
          <cell r="BG118" t="str">
            <v/>
          </cell>
          <cell r="BH118">
            <v>133</v>
          </cell>
          <cell r="BI118">
            <v>51</v>
          </cell>
          <cell r="BJ118">
            <v>0</v>
          </cell>
        </row>
        <row r="119">
          <cell r="A119" t="str">
            <v>5F4</v>
          </cell>
          <cell r="B119" t="str">
            <v>Q14</v>
          </cell>
          <cell r="C119" t="str">
            <v/>
          </cell>
          <cell r="D119" t="str">
            <v/>
          </cell>
          <cell r="E119" t="str">
            <v/>
          </cell>
          <cell r="F119">
            <v>1</v>
          </cell>
          <cell r="G119">
            <v>1</v>
          </cell>
          <cell r="H119">
            <v>0</v>
          </cell>
          <cell r="J119">
            <v>0</v>
          </cell>
          <cell r="K119">
            <v>4.729999984</v>
          </cell>
          <cell r="L119">
            <v>143</v>
          </cell>
          <cell r="M119" t="str">
            <v/>
          </cell>
          <cell r="N119">
            <v>0</v>
          </cell>
          <cell r="Q119" t="str">
            <v/>
          </cell>
          <cell r="R119" t="str">
            <v/>
          </cell>
          <cell r="S119">
            <v>184</v>
          </cell>
          <cell r="X119">
            <v>1</v>
          </cell>
          <cell r="Y119">
            <v>1</v>
          </cell>
          <cell r="Z119">
            <v>0.875</v>
          </cell>
          <cell r="AA119">
            <v>0</v>
          </cell>
          <cell r="AB119" t="str">
            <v/>
          </cell>
          <cell r="AD119">
            <v>0</v>
          </cell>
          <cell r="AE119">
            <v>8</v>
          </cell>
          <cell r="AF119">
            <v>0.82212990936555896</v>
          </cell>
          <cell r="AG119">
            <v>0</v>
          </cell>
          <cell r="AH119" t="str">
            <v/>
          </cell>
          <cell r="AI119">
            <v>6</v>
          </cell>
          <cell r="AJ119">
            <v>235</v>
          </cell>
          <cell r="AK119">
            <v>1377.5466712130253</v>
          </cell>
          <cell r="AL119" t="str">
            <v/>
          </cell>
          <cell r="AM119">
            <v>0.27547182483712807</v>
          </cell>
          <cell r="AN119">
            <v>0.38461538461538464</v>
          </cell>
          <cell r="AO119">
            <v>518</v>
          </cell>
          <cell r="AQ119">
            <v>17500</v>
          </cell>
          <cell r="AR119" t="str">
            <v/>
          </cell>
          <cell r="AS119">
            <v>7908</v>
          </cell>
          <cell r="AU119">
            <v>13764</v>
          </cell>
          <cell r="AV119" t="str">
            <v/>
          </cell>
          <cell r="AW119">
            <v>10532</v>
          </cell>
          <cell r="AX119" t="str">
            <v/>
          </cell>
          <cell r="AY119" t="str">
            <v/>
          </cell>
          <cell r="AZ119">
            <v>8436</v>
          </cell>
          <cell r="BA119" t="str">
            <v/>
          </cell>
          <cell r="BB119">
            <v>72.969999889000007</v>
          </cell>
          <cell r="BC119">
            <v>0.67999998500000003</v>
          </cell>
          <cell r="BD119">
            <v>241.12999976999998</v>
          </cell>
          <cell r="BE119">
            <v>0.16999999599999999</v>
          </cell>
          <cell r="BF119">
            <v>290.95999970999998</v>
          </cell>
          <cell r="BG119" t="str">
            <v/>
          </cell>
          <cell r="BH119">
            <v>215</v>
          </cell>
          <cell r="BI119">
            <v>183</v>
          </cell>
          <cell r="BJ119">
            <v>0</v>
          </cell>
        </row>
        <row r="120">
          <cell r="A120" t="str">
            <v>5F5</v>
          </cell>
          <cell r="B120" t="str">
            <v>Q14</v>
          </cell>
          <cell r="C120" t="str">
            <v/>
          </cell>
          <cell r="D120" t="str">
            <v/>
          </cell>
          <cell r="E120" t="str">
            <v/>
          </cell>
          <cell r="F120">
            <v>1</v>
          </cell>
          <cell r="G120">
            <v>1</v>
          </cell>
          <cell r="H120">
            <v>0</v>
          </cell>
          <cell r="J120">
            <v>0</v>
          </cell>
          <cell r="K120">
            <v>105.98999996399999</v>
          </cell>
          <cell r="L120">
            <v>174.62000029800001</v>
          </cell>
          <cell r="M120" t="str">
            <v/>
          </cell>
          <cell r="N120">
            <v>0</v>
          </cell>
          <cell r="Q120" t="str">
            <v/>
          </cell>
          <cell r="R120" t="str">
            <v/>
          </cell>
          <cell r="S120">
            <v>398</v>
          </cell>
          <cell r="X120">
            <v>1</v>
          </cell>
          <cell r="Y120">
            <v>1</v>
          </cell>
          <cell r="Z120">
            <v>0.95238095238095233</v>
          </cell>
          <cell r="AA120">
            <v>0</v>
          </cell>
          <cell r="AB120" t="str">
            <v/>
          </cell>
          <cell r="AD120">
            <v>51</v>
          </cell>
          <cell r="AE120">
            <v>142</v>
          </cell>
          <cell r="AF120">
            <v>0.79111823280302163</v>
          </cell>
          <cell r="AG120">
            <v>0</v>
          </cell>
          <cell r="AH120" t="str">
            <v/>
          </cell>
          <cell r="AI120">
            <v>6</v>
          </cell>
          <cell r="AJ120">
            <v>62</v>
          </cell>
          <cell r="AK120">
            <v>1087.1371672540761</v>
          </cell>
          <cell r="AL120">
            <v>0.21944035346097202</v>
          </cell>
          <cell r="AM120">
            <v>0.28799777065626309</v>
          </cell>
          <cell r="AN120">
            <v>0.25</v>
          </cell>
          <cell r="AO120">
            <v>85</v>
          </cell>
          <cell r="AQ120">
            <v>56211</v>
          </cell>
          <cell r="AR120" t="str">
            <v/>
          </cell>
          <cell r="AS120">
            <v>36640</v>
          </cell>
          <cell r="AU120">
            <v>42624</v>
          </cell>
          <cell r="AV120" t="str">
            <v/>
          </cell>
          <cell r="AW120">
            <v>27614</v>
          </cell>
          <cell r="AX120" t="str">
            <v/>
          </cell>
          <cell r="AY120" t="str">
            <v/>
          </cell>
          <cell r="AZ120">
            <v>27124</v>
          </cell>
          <cell r="BA120" t="str">
            <v/>
          </cell>
          <cell r="BB120">
            <v>535.07000015999995</v>
          </cell>
          <cell r="BC120">
            <v>9.0399999539999989</v>
          </cell>
          <cell r="BD120">
            <v>1092.9000002799999</v>
          </cell>
          <cell r="BE120">
            <v>1.509999989</v>
          </cell>
          <cell r="BF120">
            <v>1475.6200008200001</v>
          </cell>
          <cell r="BG120" t="str">
            <v/>
          </cell>
          <cell r="BH120">
            <v>666</v>
          </cell>
          <cell r="BI120">
            <v>0</v>
          </cell>
          <cell r="BJ120">
            <v>728</v>
          </cell>
        </row>
        <row r="121">
          <cell r="A121" t="str">
            <v>5F6</v>
          </cell>
          <cell r="B121" t="str">
            <v>Q14</v>
          </cell>
          <cell r="C121" t="str">
            <v/>
          </cell>
          <cell r="D121" t="str">
            <v/>
          </cell>
          <cell r="E121" t="str">
            <v/>
          </cell>
          <cell r="F121">
            <v>1</v>
          </cell>
          <cell r="G121">
            <v>1</v>
          </cell>
          <cell r="H121">
            <v>0</v>
          </cell>
          <cell r="J121">
            <v>0</v>
          </cell>
          <cell r="K121">
            <v>20.990000143</v>
          </cell>
          <cell r="L121">
            <v>127.00000465599999</v>
          </cell>
          <cell r="M121" t="str">
            <v/>
          </cell>
          <cell r="N121">
            <v>0</v>
          </cell>
          <cell r="Q121" t="str">
            <v/>
          </cell>
          <cell r="R121" t="str">
            <v/>
          </cell>
          <cell r="S121">
            <v>136</v>
          </cell>
          <cell r="X121">
            <v>1</v>
          </cell>
          <cell r="Y121">
            <v>0.95833333333333337</v>
          </cell>
          <cell r="Z121">
            <v>0.75</v>
          </cell>
          <cell r="AA121">
            <v>0</v>
          </cell>
          <cell r="AB121" t="str">
            <v/>
          </cell>
          <cell r="AD121">
            <v>0</v>
          </cell>
          <cell r="AE121">
            <v>136</v>
          </cell>
          <cell r="AF121">
            <v>0.80034679217240523</v>
          </cell>
          <cell r="AG121">
            <v>0</v>
          </cell>
          <cell r="AH121" t="str">
            <v/>
          </cell>
          <cell r="AI121">
            <v>1.5</v>
          </cell>
          <cell r="AJ121">
            <v>5</v>
          </cell>
          <cell r="AK121">
            <v>828.61846200666776</v>
          </cell>
          <cell r="AL121" t="str">
            <v/>
          </cell>
          <cell r="AM121">
            <v>0.27548789802207063</v>
          </cell>
          <cell r="AN121">
            <v>0.34615384615384615</v>
          </cell>
          <cell r="AO121">
            <v>261</v>
          </cell>
          <cell r="AQ121">
            <v>25730</v>
          </cell>
          <cell r="AR121" t="str">
            <v/>
          </cell>
          <cell r="AS121">
            <v>14968</v>
          </cell>
          <cell r="AU121">
            <v>20302</v>
          </cell>
          <cell r="AV121" t="str">
            <v/>
          </cell>
          <cell r="AW121">
            <v>12380</v>
          </cell>
          <cell r="AX121" t="str">
            <v/>
          </cell>
          <cell r="AY121" t="str">
            <v/>
          </cell>
          <cell r="AZ121">
            <v>9294</v>
          </cell>
          <cell r="BA121" t="str">
            <v/>
          </cell>
          <cell r="BB121">
            <v>227.11000586999998</v>
          </cell>
          <cell r="BC121">
            <v>2.0399999539999998</v>
          </cell>
          <cell r="BD121">
            <v>443.99001042000003</v>
          </cell>
          <cell r="BE121">
            <v>0.50999998899999999</v>
          </cell>
          <cell r="BF121">
            <v>649.88001972999996</v>
          </cell>
          <cell r="BG121" t="str">
            <v/>
          </cell>
          <cell r="BH121">
            <v>97</v>
          </cell>
          <cell r="BI121">
            <v>0</v>
          </cell>
          <cell r="BJ121">
            <v>0</v>
          </cell>
        </row>
        <row r="122">
          <cell r="A122" t="str">
            <v>5F7</v>
          </cell>
          <cell r="B122" t="str">
            <v>Q14</v>
          </cell>
          <cell r="C122" t="str">
            <v/>
          </cell>
          <cell r="D122" t="str">
            <v/>
          </cell>
          <cell r="E122">
            <v>1</v>
          </cell>
          <cell r="F122">
            <v>1</v>
          </cell>
          <cell r="G122">
            <v>1</v>
          </cell>
          <cell r="H122">
            <v>0</v>
          </cell>
          <cell r="J122">
            <v>0</v>
          </cell>
          <cell r="K122">
            <v>131.48999965100001</v>
          </cell>
          <cell r="L122">
            <v>4055</v>
          </cell>
          <cell r="M122" t="str">
            <v/>
          </cell>
          <cell r="N122">
            <v>0</v>
          </cell>
          <cell r="Q122" t="str">
            <v/>
          </cell>
          <cell r="R122" t="str">
            <v/>
          </cell>
          <cell r="S122">
            <v>428</v>
          </cell>
          <cell r="X122">
            <v>1</v>
          </cell>
          <cell r="Y122">
            <v>0.98969072164948457</v>
          </cell>
          <cell r="Z122">
            <v>0.70588235294117652</v>
          </cell>
          <cell r="AA122">
            <v>0</v>
          </cell>
          <cell r="AB122" t="str">
            <v/>
          </cell>
          <cell r="AD122">
            <v>48</v>
          </cell>
          <cell r="AE122">
            <v>240</v>
          </cell>
          <cell r="AF122">
            <v>0.93990693990693985</v>
          </cell>
          <cell r="AG122">
            <v>0</v>
          </cell>
          <cell r="AH122" t="str">
            <v/>
          </cell>
          <cell r="AI122">
            <v>3</v>
          </cell>
          <cell r="AJ122">
            <v>65</v>
          </cell>
          <cell r="AK122">
            <v>912.13389121338912</v>
          </cell>
          <cell r="AL122">
            <v>0.12089356110381078</v>
          </cell>
          <cell r="AM122">
            <v>0.30200008095672864</v>
          </cell>
          <cell r="AN122">
            <v>0.36363636363636365</v>
          </cell>
          <cell r="AO122">
            <v>51</v>
          </cell>
          <cell r="AQ122">
            <v>67535</v>
          </cell>
          <cell r="AR122" t="str">
            <v/>
          </cell>
          <cell r="AS122">
            <v>40342</v>
          </cell>
          <cell r="AU122">
            <v>51297</v>
          </cell>
          <cell r="AV122" t="str">
            <v/>
          </cell>
          <cell r="AW122">
            <v>34094</v>
          </cell>
          <cell r="AX122" t="str">
            <v/>
          </cell>
          <cell r="AY122" t="str">
            <v/>
          </cell>
          <cell r="AZ122">
            <v>31470</v>
          </cell>
          <cell r="BA122" t="str">
            <v/>
          </cell>
          <cell r="BB122">
            <v>594.60999762999995</v>
          </cell>
          <cell r="BC122">
            <v>28.839999675999998</v>
          </cell>
          <cell r="BD122">
            <v>1132.6899951999999</v>
          </cell>
          <cell r="BE122">
            <v>2.2099999189999999</v>
          </cell>
          <cell r="BF122">
            <v>1954.4799938000001</v>
          </cell>
          <cell r="BG122">
            <v>293</v>
          </cell>
          <cell r="BH122">
            <v>1242</v>
          </cell>
          <cell r="BI122">
            <v>1242</v>
          </cell>
          <cell r="BJ122">
            <v>0</v>
          </cell>
        </row>
        <row r="123">
          <cell r="A123" t="str">
            <v>5F8</v>
          </cell>
          <cell r="B123" t="str">
            <v>Q15</v>
          </cell>
          <cell r="C123" t="str">
            <v/>
          </cell>
          <cell r="D123" t="str">
            <v/>
          </cell>
          <cell r="E123" t="str">
            <v/>
          </cell>
          <cell r="F123">
            <v>1</v>
          </cell>
          <cell r="G123">
            <v>1</v>
          </cell>
          <cell r="H123">
            <v>0</v>
          </cell>
          <cell r="J123">
            <v>0</v>
          </cell>
          <cell r="K123">
            <v>17</v>
          </cell>
          <cell r="L123">
            <v>267</v>
          </cell>
          <cell r="M123" t="str">
            <v/>
          </cell>
          <cell r="N123">
            <v>1</v>
          </cell>
          <cell r="Q123" t="str">
            <v/>
          </cell>
          <cell r="R123" t="str">
            <v/>
          </cell>
          <cell r="S123">
            <v>134</v>
          </cell>
          <cell r="X123">
            <v>1</v>
          </cell>
          <cell r="Y123">
            <v>0.97368421052631582</v>
          </cell>
          <cell r="Z123">
            <v>0.9</v>
          </cell>
          <cell r="AA123">
            <v>0</v>
          </cell>
          <cell r="AB123" t="str">
            <v/>
          </cell>
          <cell r="AD123">
            <v>13</v>
          </cell>
          <cell r="AE123">
            <v>93</v>
          </cell>
          <cell r="AF123">
            <v>1</v>
          </cell>
          <cell r="AG123">
            <v>0</v>
          </cell>
          <cell r="AH123" t="str">
            <v/>
          </cell>
          <cell r="AI123">
            <v>4.5999999999999996</v>
          </cell>
          <cell r="AJ123">
            <v>81</v>
          </cell>
          <cell r="AK123">
            <v>480.41912776114572</v>
          </cell>
          <cell r="AL123">
            <v>6.8493150684931503E-2</v>
          </cell>
          <cell r="AM123">
            <v>0.24730860885913755</v>
          </cell>
          <cell r="AN123">
            <v>0.82857142857142863</v>
          </cell>
          <cell r="AO123">
            <v>440</v>
          </cell>
          <cell r="AQ123">
            <v>22160</v>
          </cell>
          <cell r="AR123" t="str">
            <v/>
          </cell>
          <cell r="AS123">
            <v>9090</v>
          </cell>
          <cell r="AU123">
            <v>19044</v>
          </cell>
          <cell r="AV123" t="str">
            <v/>
          </cell>
          <cell r="AW123">
            <v>11256</v>
          </cell>
          <cell r="AX123" t="str">
            <v/>
          </cell>
          <cell r="AY123" t="str">
            <v/>
          </cell>
          <cell r="AZ123">
            <v>10782</v>
          </cell>
          <cell r="BA123" t="str">
            <v/>
          </cell>
          <cell r="BB123">
            <v>244.635999992</v>
          </cell>
          <cell r="BC123">
            <v>5</v>
          </cell>
          <cell r="BD123">
            <v>391.71849989700002</v>
          </cell>
          <cell r="BE123" t="str">
            <v/>
          </cell>
          <cell r="BF123">
            <v>677.21899998599997</v>
          </cell>
          <cell r="BG123" t="str">
            <v/>
          </cell>
          <cell r="BH123">
            <v>255</v>
          </cell>
          <cell r="BI123">
            <v>205</v>
          </cell>
          <cell r="BJ123">
            <v>0</v>
          </cell>
        </row>
        <row r="124">
          <cell r="A124" t="str">
            <v>5F9</v>
          </cell>
          <cell r="B124" t="str">
            <v>Q15</v>
          </cell>
          <cell r="C124" t="str">
            <v/>
          </cell>
          <cell r="D124" t="str">
            <v/>
          </cell>
          <cell r="E124" t="str">
            <v/>
          </cell>
          <cell r="F124">
            <v>1</v>
          </cell>
          <cell r="G124">
            <v>1</v>
          </cell>
          <cell r="H124">
            <v>0</v>
          </cell>
          <cell r="J124">
            <v>0</v>
          </cell>
          <cell r="K124">
            <v>52</v>
          </cell>
          <cell r="L124">
            <v>741</v>
          </cell>
          <cell r="M124" t="str">
            <v/>
          </cell>
          <cell r="N124">
            <v>0</v>
          </cell>
          <cell r="Q124" t="str">
            <v/>
          </cell>
          <cell r="R124" t="str">
            <v/>
          </cell>
          <cell r="S124">
            <v>148</v>
          </cell>
          <cell r="X124">
            <v>1</v>
          </cell>
          <cell r="Y124">
            <v>1</v>
          </cell>
          <cell r="Z124">
            <v>1</v>
          </cell>
          <cell r="AA124">
            <v>0</v>
          </cell>
          <cell r="AB124" t="str">
            <v/>
          </cell>
          <cell r="AD124">
            <v>22</v>
          </cell>
          <cell r="AE124">
            <v>163</v>
          </cell>
          <cell r="AF124">
            <v>0.93069105691056908</v>
          </cell>
          <cell r="AG124">
            <v>0</v>
          </cell>
          <cell r="AH124" t="str">
            <v/>
          </cell>
          <cell r="AI124">
            <v>1</v>
          </cell>
          <cell r="AJ124">
            <v>0</v>
          </cell>
          <cell r="AK124">
            <v>733.8162632945315</v>
          </cell>
          <cell r="AL124">
            <v>0.12075471698113208</v>
          </cell>
          <cell r="AM124">
            <v>0.21918791863478779</v>
          </cell>
          <cell r="AN124">
            <v>0.3783783783783784</v>
          </cell>
          <cell r="AO124">
            <v>-6200</v>
          </cell>
          <cell r="AQ124">
            <v>30786</v>
          </cell>
          <cell r="AR124" t="str">
            <v/>
          </cell>
          <cell r="AS124">
            <v>11118</v>
          </cell>
          <cell r="AU124">
            <v>24269</v>
          </cell>
          <cell r="AV124" t="str">
            <v/>
          </cell>
          <cell r="AW124">
            <v>9220</v>
          </cell>
          <cell r="AX124" t="str">
            <v/>
          </cell>
          <cell r="AY124" t="str">
            <v/>
          </cell>
          <cell r="AZ124">
            <v>12492</v>
          </cell>
          <cell r="BA124" t="str">
            <v/>
          </cell>
          <cell r="BB124">
            <v>186.89520004400001</v>
          </cell>
          <cell r="BC124">
            <v>7</v>
          </cell>
          <cell r="BD124">
            <v>400.27170060000003</v>
          </cell>
          <cell r="BE124" t="str">
            <v/>
          </cell>
          <cell r="BF124">
            <v>702.71580008399997</v>
          </cell>
          <cell r="BG124" t="str">
            <v/>
          </cell>
          <cell r="BH124">
            <v>196</v>
          </cell>
          <cell r="BI124">
            <v>1</v>
          </cell>
          <cell r="BJ124">
            <v>1</v>
          </cell>
        </row>
        <row r="125">
          <cell r="A125" t="str">
            <v>5FA</v>
          </cell>
          <cell r="B125" t="str">
            <v>Q24</v>
          </cell>
          <cell r="C125" t="str">
            <v/>
          </cell>
          <cell r="D125" t="str">
            <v/>
          </cell>
          <cell r="E125" t="str">
            <v/>
          </cell>
          <cell r="F125">
            <v>1</v>
          </cell>
          <cell r="G125">
            <v>1</v>
          </cell>
          <cell r="H125">
            <v>0</v>
          </cell>
          <cell r="J125">
            <v>0</v>
          </cell>
          <cell r="K125">
            <v>4.5246999890000001</v>
          </cell>
          <cell r="L125">
            <v>68.470299768999993</v>
          </cell>
          <cell r="M125">
            <v>0</v>
          </cell>
          <cell r="N125">
            <v>0</v>
          </cell>
          <cell r="Q125" t="str">
            <v/>
          </cell>
          <cell r="R125">
            <v>1</v>
          </cell>
          <cell r="S125">
            <v>378</v>
          </cell>
          <cell r="X125">
            <v>1</v>
          </cell>
          <cell r="Y125">
            <v>1</v>
          </cell>
          <cell r="Z125">
            <v>1</v>
          </cell>
          <cell r="AA125">
            <v>0</v>
          </cell>
          <cell r="AB125" t="str">
            <v/>
          </cell>
          <cell r="AD125">
            <v>14</v>
          </cell>
          <cell r="AE125">
            <v>117</v>
          </cell>
          <cell r="AF125">
            <v>0.9131697869593286</v>
          </cell>
          <cell r="AG125">
            <v>0</v>
          </cell>
          <cell r="AH125" t="str">
            <v/>
          </cell>
          <cell r="AI125">
            <v>4</v>
          </cell>
          <cell r="AJ125">
            <v>66</v>
          </cell>
          <cell r="AK125">
            <v>913.52734630720715</v>
          </cell>
          <cell r="AL125">
            <v>0.23555555555555555</v>
          </cell>
          <cell r="AM125">
            <v>0.32862340171791737</v>
          </cell>
          <cell r="AN125">
            <v>0.31578947368421051</v>
          </cell>
          <cell r="AO125">
            <v>1800</v>
          </cell>
          <cell r="AQ125">
            <v>15777</v>
          </cell>
          <cell r="AR125" t="str">
            <v/>
          </cell>
          <cell r="AS125">
            <v>9135</v>
          </cell>
          <cell r="AU125">
            <v>12071.1</v>
          </cell>
          <cell r="AV125" t="str">
            <v/>
          </cell>
          <cell r="AW125">
            <v>10983</v>
          </cell>
          <cell r="AX125" t="str">
            <v/>
          </cell>
          <cell r="AY125" t="str">
            <v/>
          </cell>
          <cell r="AZ125">
            <v>9238</v>
          </cell>
          <cell r="BA125" t="str">
            <v/>
          </cell>
          <cell r="BB125">
            <v>90.269999927000001</v>
          </cell>
          <cell r="BC125" t="str">
            <v/>
          </cell>
          <cell r="BD125">
            <v>176.44240020799998</v>
          </cell>
          <cell r="BE125" t="str">
            <v/>
          </cell>
          <cell r="BF125">
            <v>371.828901143</v>
          </cell>
          <cell r="BG125" t="str">
            <v/>
          </cell>
          <cell r="BH125">
            <v>43</v>
          </cell>
          <cell r="BI125">
            <v>41</v>
          </cell>
          <cell r="BJ125">
            <v>2</v>
          </cell>
        </row>
        <row r="126">
          <cell r="A126" t="str">
            <v>5FC</v>
          </cell>
          <cell r="B126" t="str">
            <v>Q24</v>
          </cell>
          <cell r="C126" t="str">
            <v/>
          </cell>
          <cell r="D126" t="str">
            <v/>
          </cell>
          <cell r="E126" t="str">
            <v/>
          </cell>
          <cell r="F126">
            <v>1</v>
          </cell>
          <cell r="G126">
            <v>1</v>
          </cell>
          <cell r="H126">
            <v>0</v>
          </cell>
          <cell r="J126">
            <v>0</v>
          </cell>
          <cell r="K126">
            <v>10.030399821</v>
          </cell>
          <cell r="L126">
            <v>300.06339633700003</v>
          </cell>
          <cell r="M126" t="str">
            <v/>
          </cell>
          <cell r="N126">
            <v>0</v>
          </cell>
          <cell r="Q126" t="str">
            <v/>
          </cell>
          <cell r="R126" t="str">
            <v/>
          </cell>
          <cell r="S126">
            <v>59</v>
          </cell>
          <cell r="X126">
            <v>0.98076923076923073</v>
          </cell>
          <cell r="Y126">
            <v>0.98148148148148151</v>
          </cell>
          <cell r="Z126">
            <v>0.96296296296296291</v>
          </cell>
          <cell r="AA126">
            <v>0</v>
          </cell>
          <cell r="AB126" t="str">
            <v/>
          </cell>
          <cell r="AD126">
            <v>29</v>
          </cell>
          <cell r="AE126">
            <v>89</v>
          </cell>
          <cell r="AF126">
            <v>0.9083431257344301</v>
          </cell>
          <cell r="AG126">
            <v>0</v>
          </cell>
          <cell r="AH126" t="str">
            <v/>
          </cell>
          <cell r="AI126">
            <v>4.3</v>
          </cell>
          <cell r="AJ126">
            <v>159</v>
          </cell>
          <cell r="AK126">
            <v>766.1466854074979</v>
          </cell>
          <cell r="AL126">
            <v>6.8702290076335881E-2</v>
          </cell>
          <cell r="AM126">
            <v>0.26706377642422069</v>
          </cell>
          <cell r="AN126">
            <v>0.33333333333333331</v>
          </cell>
          <cell r="AO126">
            <v>923.10199999999907</v>
          </cell>
          <cell r="AQ126">
            <v>21018</v>
          </cell>
          <cell r="AR126" t="str">
            <v/>
          </cell>
          <cell r="AS126">
            <v>10707</v>
          </cell>
          <cell r="AU126">
            <v>16979.599999999999</v>
          </cell>
          <cell r="AV126" t="str">
            <v/>
          </cell>
          <cell r="AW126">
            <v>12550</v>
          </cell>
          <cell r="AX126" t="str">
            <v/>
          </cell>
          <cell r="AY126" t="str">
            <v/>
          </cell>
          <cell r="AZ126">
            <v>7853.18</v>
          </cell>
          <cell r="BA126" t="str">
            <v/>
          </cell>
          <cell r="BB126">
            <v>188.89399560200002</v>
          </cell>
          <cell r="BC126" t="str">
            <v/>
          </cell>
          <cell r="BD126">
            <v>274.374792786</v>
          </cell>
          <cell r="BE126" t="str">
            <v/>
          </cell>
          <cell r="BF126">
            <v>465.33278654700001</v>
          </cell>
          <cell r="BG126" t="str">
            <v/>
          </cell>
          <cell r="BH126">
            <v>163</v>
          </cell>
          <cell r="BI126">
            <v>145</v>
          </cell>
          <cell r="BJ126">
            <v>75</v>
          </cell>
        </row>
        <row r="127">
          <cell r="A127" t="str">
            <v>5FD</v>
          </cell>
          <cell r="B127" t="str">
            <v>Q17</v>
          </cell>
          <cell r="C127" t="str">
            <v/>
          </cell>
          <cell r="D127" t="str">
            <v/>
          </cell>
          <cell r="E127">
            <v>1</v>
          </cell>
          <cell r="F127">
            <v>1</v>
          </cell>
          <cell r="G127">
            <v>1</v>
          </cell>
          <cell r="H127">
            <v>0</v>
          </cell>
          <cell r="J127">
            <v>21</v>
          </cell>
          <cell r="K127">
            <v>29.862755110999998</v>
          </cell>
          <cell r="L127">
            <v>2242.2037529710014</v>
          </cell>
          <cell r="M127" t="str">
            <v/>
          </cell>
          <cell r="N127">
            <v>0</v>
          </cell>
          <cell r="Q127" t="str">
            <v/>
          </cell>
          <cell r="R127">
            <v>1</v>
          </cell>
          <cell r="S127">
            <v>211</v>
          </cell>
          <cell r="X127">
            <v>1</v>
          </cell>
          <cell r="Y127">
            <v>1</v>
          </cell>
          <cell r="Z127">
            <v>0.91304347826086951</v>
          </cell>
          <cell r="AA127">
            <v>0</v>
          </cell>
          <cell r="AB127" t="str">
            <v/>
          </cell>
          <cell r="AD127">
            <v>0</v>
          </cell>
          <cell r="AE127">
            <v>105</v>
          </cell>
          <cell r="AF127">
            <v>0.78665819567979667</v>
          </cell>
          <cell r="AG127">
            <v>0.10598290598290598</v>
          </cell>
          <cell r="AH127" t="str">
            <v/>
          </cell>
          <cell r="AI127">
            <v>3</v>
          </cell>
          <cell r="AJ127">
            <v>150</v>
          </cell>
          <cell r="AK127">
            <v>1267.9738562091502</v>
          </cell>
          <cell r="AL127">
            <v>0.21748878923766815</v>
          </cell>
          <cell r="AM127">
            <v>0.33616578038484735</v>
          </cell>
          <cell r="AN127">
            <v>0.9285714285714286</v>
          </cell>
          <cell r="AO127">
            <v>459</v>
          </cell>
          <cell r="AQ127">
            <v>36660</v>
          </cell>
          <cell r="AR127" t="str">
            <v/>
          </cell>
          <cell r="AS127">
            <v>16620</v>
          </cell>
          <cell r="AU127">
            <v>30255</v>
          </cell>
          <cell r="AV127" t="str">
            <v/>
          </cell>
          <cell r="AW127">
            <v>17904</v>
          </cell>
          <cell r="AX127" t="str">
            <v/>
          </cell>
          <cell r="AY127" t="str">
            <v/>
          </cell>
          <cell r="AZ127">
            <v>19881</v>
          </cell>
          <cell r="BA127" t="str">
            <v/>
          </cell>
          <cell r="BB127">
            <v>252.76101139299999</v>
          </cell>
          <cell r="BC127" t="str">
            <v/>
          </cell>
          <cell r="BD127">
            <v>539.23617379200005</v>
          </cell>
          <cell r="BE127">
            <v>2.7899999379999998</v>
          </cell>
          <cell r="BF127">
            <v>1340.0070967789998</v>
          </cell>
          <cell r="BG127">
            <v>0.02</v>
          </cell>
          <cell r="BH127">
            <v>554</v>
          </cell>
          <cell r="BI127">
            <v>554</v>
          </cell>
          <cell r="BJ127">
            <v>0</v>
          </cell>
        </row>
        <row r="128">
          <cell r="A128" t="str">
            <v>5FE</v>
          </cell>
          <cell r="B128" t="str">
            <v>Q17</v>
          </cell>
          <cell r="C128" t="str">
            <v/>
          </cell>
          <cell r="D128" t="str">
            <v/>
          </cell>
          <cell r="E128">
            <v>0.99970370370370365</v>
          </cell>
          <cell r="F128">
            <v>1</v>
          </cell>
          <cell r="G128">
            <v>1</v>
          </cell>
          <cell r="H128">
            <v>0</v>
          </cell>
          <cell r="J128">
            <v>16</v>
          </cell>
          <cell r="K128">
            <v>23.206447793999999</v>
          </cell>
          <cell r="L128">
            <v>2411.5252045389998</v>
          </cell>
          <cell r="M128" t="str">
            <v/>
          </cell>
          <cell r="N128">
            <v>0</v>
          </cell>
          <cell r="Q128" t="str">
            <v/>
          </cell>
          <cell r="R128">
            <v>1</v>
          </cell>
          <cell r="S128">
            <v>181</v>
          </cell>
          <cell r="X128">
            <v>1</v>
          </cell>
          <cell r="Y128">
            <v>1</v>
          </cell>
          <cell r="Z128">
            <v>0.96153846153846156</v>
          </cell>
          <cell r="AA128">
            <v>0</v>
          </cell>
          <cell r="AB128" t="str">
            <v/>
          </cell>
          <cell r="AD128">
            <v>0</v>
          </cell>
          <cell r="AE128">
            <v>177</v>
          </cell>
          <cell r="AF128">
            <v>0.59910188912976159</v>
          </cell>
          <cell r="AG128">
            <v>0</v>
          </cell>
          <cell r="AH128" t="str">
            <v/>
          </cell>
          <cell r="AI128">
            <v>3.76</v>
          </cell>
          <cell r="AJ128">
            <v>337</v>
          </cell>
          <cell r="AK128">
            <v>781.4980656950861</v>
          </cell>
          <cell r="AL128">
            <v>0.18618042226487524</v>
          </cell>
          <cell r="AM128">
            <v>0.30679524090325716</v>
          </cell>
          <cell r="AN128">
            <v>0.90277777777777779</v>
          </cell>
          <cell r="AO128">
            <v>634</v>
          </cell>
          <cell r="AQ128">
            <v>34201</v>
          </cell>
          <cell r="AR128" t="str">
            <v/>
          </cell>
          <cell r="AS128">
            <v>17407</v>
          </cell>
          <cell r="AU128">
            <v>28167</v>
          </cell>
          <cell r="AV128" t="str">
            <v/>
          </cell>
          <cell r="AW128">
            <v>16530</v>
          </cell>
          <cell r="AX128" t="str">
            <v/>
          </cell>
          <cell r="AY128" t="str">
            <v/>
          </cell>
          <cell r="AZ128">
            <v>21195</v>
          </cell>
          <cell r="BA128" t="str">
            <v/>
          </cell>
          <cell r="BB128">
            <v>227.78374449499998</v>
          </cell>
          <cell r="BC128" t="str">
            <v/>
          </cell>
          <cell r="BD128">
            <v>504.56409629500001</v>
          </cell>
          <cell r="BE128" t="str">
            <v/>
          </cell>
          <cell r="BF128">
            <v>1335.299444993</v>
          </cell>
          <cell r="BG128" t="str">
            <v/>
          </cell>
          <cell r="BH128">
            <v>187</v>
          </cell>
          <cell r="BI128">
            <v>187</v>
          </cell>
          <cell r="BJ128">
            <v>0</v>
          </cell>
        </row>
        <row r="129">
          <cell r="A129" t="str">
            <v>5FF</v>
          </cell>
          <cell r="B129" t="str">
            <v>Q18</v>
          </cell>
          <cell r="C129" t="str">
            <v/>
          </cell>
          <cell r="D129" t="str">
            <v/>
          </cell>
          <cell r="E129">
            <v>1</v>
          </cell>
          <cell r="F129">
            <v>1</v>
          </cell>
          <cell r="G129">
            <v>1</v>
          </cell>
          <cell r="H129">
            <v>0</v>
          </cell>
          <cell r="J129">
            <v>0</v>
          </cell>
          <cell r="K129">
            <v>140.02619999999999</v>
          </cell>
          <cell r="L129">
            <v>2032.853199892</v>
          </cell>
          <cell r="M129" t="str">
            <v/>
          </cell>
          <cell r="N129">
            <v>0</v>
          </cell>
          <cell r="Q129" t="str">
            <v/>
          </cell>
          <cell r="R129">
            <v>0</v>
          </cell>
          <cell r="S129">
            <v>6</v>
          </cell>
          <cell r="X129">
            <v>1</v>
          </cell>
          <cell r="Y129">
            <v>1</v>
          </cell>
          <cell r="Z129">
            <v>0.96296296296296291</v>
          </cell>
          <cell r="AA129">
            <v>0</v>
          </cell>
          <cell r="AB129" t="str">
            <v/>
          </cell>
          <cell r="AD129">
            <v>5</v>
          </cell>
          <cell r="AE129">
            <v>334</v>
          </cell>
          <cell r="AF129">
            <v>0.6087261258104083</v>
          </cell>
          <cell r="AG129">
            <v>0</v>
          </cell>
          <cell r="AH129" t="str">
            <v/>
          </cell>
          <cell r="AI129">
            <v>0</v>
          </cell>
          <cell r="AJ129">
            <v>0</v>
          </cell>
          <cell r="AK129">
            <v>660.73007540259982</v>
          </cell>
          <cell r="AL129">
            <v>0.12213740458015267</v>
          </cell>
          <cell r="AM129">
            <v>0.24758723878003985</v>
          </cell>
          <cell r="AN129">
            <v>0.33333333333333331</v>
          </cell>
          <cell r="AO129">
            <v>-5855</v>
          </cell>
          <cell r="AQ129">
            <v>32132</v>
          </cell>
          <cell r="AR129" t="str">
            <v/>
          </cell>
          <cell r="AS129">
            <v>11681</v>
          </cell>
          <cell r="AU129">
            <v>25515</v>
          </cell>
          <cell r="AV129" t="str">
            <v/>
          </cell>
          <cell r="AW129">
            <v>16619</v>
          </cell>
          <cell r="AX129" t="str">
            <v/>
          </cell>
          <cell r="AY129" t="str">
            <v/>
          </cell>
          <cell r="AZ129">
            <v>15785</v>
          </cell>
          <cell r="BA129" t="str">
            <v/>
          </cell>
          <cell r="BB129">
            <v>224.41262903699999</v>
          </cell>
          <cell r="BC129">
            <v>14</v>
          </cell>
          <cell r="BD129">
            <v>728.38476730000002</v>
          </cell>
          <cell r="BE129">
            <v>51</v>
          </cell>
          <cell r="BF129">
            <v>813.42415486200002</v>
          </cell>
          <cell r="BG129">
            <v>5</v>
          </cell>
          <cell r="BH129">
            <v>165</v>
          </cell>
          <cell r="BI129">
            <v>0</v>
          </cell>
          <cell r="BJ129">
            <v>0</v>
          </cell>
        </row>
        <row r="130">
          <cell r="A130" t="str">
            <v>5FH</v>
          </cell>
          <cell r="B130" t="str">
            <v>Q19</v>
          </cell>
          <cell r="C130" t="str">
            <v/>
          </cell>
          <cell r="D130" t="str">
            <v/>
          </cell>
          <cell r="E130" t="str">
            <v/>
          </cell>
          <cell r="F130">
            <v>1</v>
          </cell>
          <cell r="G130">
            <v>1</v>
          </cell>
          <cell r="H130">
            <v>0</v>
          </cell>
          <cell r="J130">
            <v>1</v>
          </cell>
          <cell r="K130">
            <v>152.74100000999999</v>
          </cell>
          <cell r="L130">
            <v>199.328499986</v>
          </cell>
          <cell r="M130" t="str">
            <v/>
          </cell>
          <cell r="N130">
            <v>0</v>
          </cell>
          <cell r="Q130" t="str">
            <v/>
          </cell>
          <cell r="R130" t="str">
            <v/>
          </cell>
          <cell r="S130" t="str">
            <v/>
          </cell>
          <cell r="X130">
            <v>1</v>
          </cell>
          <cell r="Y130">
            <v>1</v>
          </cell>
          <cell r="Z130">
            <v>0.83333333333333337</v>
          </cell>
          <cell r="AA130">
            <v>0</v>
          </cell>
          <cell r="AB130" t="str">
            <v/>
          </cell>
          <cell r="AD130">
            <v>0</v>
          </cell>
          <cell r="AE130">
            <v>84</v>
          </cell>
          <cell r="AF130">
            <v>0.98532055122828044</v>
          </cell>
          <cell r="AG130">
            <v>0</v>
          </cell>
          <cell r="AH130" t="str">
            <v/>
          </cell>
          <cell r="AI130">
            <v>2</v>
          </cell>
          <cell r="AJ130">
            <v>202</v>
          </cell>
          <cell r="AK130">
            <v>801.64158686730514</v>
          </cell>
          <cell r="AL130">
            <v>0.18235294117647058</v>
          </cell>
          <cell r="AM130">
            <v>0.33772150202659701</v>
          </cell>
          <cell r="AN130">
            <v>9.0909090909090912E-2</v>
          </cell>
          <cell r="AO130">
            <v>589</v>
          </cell>
          <cell r="AQ130">
            <v>16775</v>
          </cell>
          <cell r="AR130" t="str">
            <v/>
          </cell>
          <cell r="AS130">
            <v>5472</v>
          </cell>
          <cell r="AU130">
            <v>14813</v>
          </cell>
          <cell r="AV130" t="str">
            <v/>
          </cell>
          <cell r="AW130">
            <v>9510</v>
          </cell>
          <cell r="AX130" t="str">
            <v/>
          </cell>
          <cell r="AY130" t="str">
            <v/>
          </cell>
          <cell r="AZ130">
            <v>8100</v>
          </cell>
          <cell r="BA130" t="str">
            <v/>
          </cell>
          <cell r="BB130">
            <v>200.29391454399999</v>
          </cell>
          <cell r="BC130">
            <v>1.6630000090000001</v>
          </cell>
          <cell r="BD130">
            <v>544.65638371</v>
          </cell>
          <cell r="BE130">
            <v>3</v>
          </cell>
          <cell r="BF130">
            <v>522.82527749200005</v>
          </cell>
          <cell r="BG130" t="str">
            <v/>
          </cell>
          <cell r="BH130">
            <v>290</v>
          </cell>
          <cell r="BI130">
            <v>170</v>
          </cell>
          <cell r="BJ130">
            <v>0</v>
          </cell>
        </row>
        <row r="131">
          <cell r="A131" t="str">
            <v>5FJ</v>
          </cell>
          <cell r="B131" t="str">
            <v>Q19</v>
          </cell>
          <cell r="C131" t="str">
            <v/>
          </cell>
          <cell r="D131" t="str">
            <v/>
          </cell>
          <cell r="E131" t="str">
            <v/>
          </cell>
          <cell r="F131">
            <v>1</v>
          </cell>
          <cell r="G131">
            <v>1</v>
          </cell>
          <cell r="H131">
            <v>0</v>
          </cell>
          <cell r="J131">
            <v>0</v>
          </cell>
          <cell r="K131">
            <v>177.79319998800003</v>
          </cell>
          <cell r="L131">
            <v>104.60269985999999</v>
          </cell>
          <cell r="M131" t="str">
            <v/>
          </cell>
          <cell r="N131">
            <v>0</v>
          </cell>
          <cell r="Q131" t="str">
            <v/>
          </cell>
          <cell r="R131" t="str">
            <v/>
          </cell>
          <cell r="S131">
            <v>66</v>
          </cell>
          <cell r="X131">
            <v>1</v>
          </cell>
          <cell r="Y131">
            <v>1</v>
          </cell>
          <cell r="Z131">
            <v>0.91666666666666663</v>
          </cell>
          <cell r="AA131">
            <v>0</v>
          </cell>
          <cell r="AB131" t="str">
            <v/>
          </cell>
          <cell r="AD131">
            <v>0</v>
          </cell>
          <cell r="AE131">
            <v>197</v>
          </cell>
          <cell r="AF131">
            <v>0.95261239368165251</v>
          </cell>
          <cell r="AG131">
            <v>0</v>
          </cell>
          <cell r="AH131" t="str">
            <v/>
          </cell>
          <cell r="AI131">
            <v>4</v>
          </cell>
          <cell r="AJ131">
            <v>321</v>
          </cell>
          <cell r="AK131">
            <v>1164.4811012876046</v>
          </cell>
          <cell r="AL131">
            <v>0.27372262773722628</v>
          </cell>
          <cell r="AM131">
            <v>0.36140203294777429</v>
          </cell>
          <cell r="AN131">
            <v>0.34782608695652173</v>
          </cell>
          <cell r="AO131">
            <v>1529</v>
          </cell>
          <cell r="AQ131">
            <v>18921</v>
          </cell>
          <cell r="AR131" t="str">
            <v/>
          </cell>
          <cell r="AS131">
            <v>7558</v>
          </cell>
          <cell r="AU131">
            <v>16177</v>
          </cell>
          <cell r="AV131" t="str">
            <v/>
          </cell>
          <cell r="AW131">
            <v>8304</v>
          </cell>
          <cell r="AX131" t="str">
            <v/>
          </cell>
          <cell r="AY131" t="str">
            <v/>
          </cell>
          <cell r="AZ131">
            <v>8925</v>
          </cell>
          <cell r="BA131" t="str">
            <v/>
          </cell>
          <cell r="BB131">
            <v>231.595399985</v>
          </cell>
          <cell r="BC131">
            <v>2.7019999879999999</v>
          </cell>
          <cell r="BD131">
            <v>590.88619998199999</v>
          </cell>
          <cell r="BE131" t="str">
            <v/>
          </cell>
          <cell r="BF131">
            <v>549.62789996699996</v>
          </cell>
          <cell r="BG131" t="str">
            <v/>
          </cell>
          <cell r="BH131">
            <v>290</v>
          </cell>
          <cell r="BI131">
            <v>170</v>
          </cell>
          <cell r="BJ131">
            <v>0</v>
          </cell>
        </row>
        <row r="132">
          <cell r="A132" t="str">
            <v>5FK</v>
          </cell>
          <cell r="B132" t="str">
            <v>Q19</v>
          </cell>
          <cell r="C132" t="str">
            <v/>
          </cell>
          <cell r="D132" t="str">
            <v/>
          </cell>
          <cell r="E132" t="str">
            <v/>
          </cell>
          <cell r="F132">
            <v>1</v>
          </cell>
          <cell r="G132">
            <v>1</v>
          </cell>
          <cell r="H132">
            <v>0</v>
          </cell>
          <cell r="J132">
            <v>1</v>
          </cell>
          <cell r="K132">
            <v>90.425555798200008</v>
          </cell>
          <cell r="L132">
            <v>2092.4506564891999</v>
          </cell>
          <cell r="M132" t="str">
            <v/>
          </cell>
          <cell r="N132">
            <v>0</v>
          </cell>
          <cell r="Q132" t="str">
            <v/>
          </cell>
          <cell r="R132" t="str">
            <v/>
          </cell>
          <cell r="S132">
            <v>4</v>
          </cell>
          <cell r="X132">
            <v>1</v>
          </cell>
          <cell r="Y132">
            <v>1</v>
          </cell>
          <cell r="Z132">
            <v>0.90909090909090906</v>
          </cell>
          <cell r="AA132">
            <v>0</v>
          </cell>
          <cell r="AB132" t="str">
            <v/>
          </cell>
          <cell r="AD132">
            <v>0</v>
          </cell>
          <cell r="AE132">
            <v>45</v>
          </cell>
          <cell r="AF132">
            <v>0.86622807017543857</v>
          </cell>
          <cell r="AG132">
            <v>0</v>
          </cell>
          <cell r="AH132" t="str">
            <v/>
          </cell>
          <cell r="AI132">
            <v>3</v>
          </cell>
          <cell r="AJ132">
            <v>62</v>
          </cell>
          <cell r="AK132">
            <v>611.86561829878485</v>
          </cell>
          <cell r="AL132" t="str">
            <v/>
          </cell>
          <cell r="AM132">
            <v>0.19161366661736429</v>
          </cell>
          <cell r="AN132">
            <v>0.42105263157894735</v>
          </cell>
          <cell r="AO132">
            <v>-1949.0780000000102</v>
          </cell>
          <cell r="AQ132">
            <v>25029</v>
          </cell>
          <cell r="AR132" t="str">
            <v/>
          </cell>
          <cell r="AS132">
            <v>11998</v>
          </cell>
          <cell r="AU132">
            <v>20802</v>
          </cell>
          <cell r="AV132" t="str">
            <v/>
          </cell>
          <cell r="AW132">
            <v>11952</v>
          </cell>
          <cell r="AX132" t="str">
            <v/>
          </cell>
          <cell r="AY132" t="str">
            <v/>
          </cell>
          <cell r="AZ132">
            <v>8365</v>
          </cell>
          <cell r="BA132" t="str">
            <v/>
          </cell>
          <cell r="BB132">
            <v>284.41357356399999</v>
          </cell>
          <cell r="BC132">
            <v>80.379000750000003</v>
          </cell>
          <cell r="BD132">
            <v>378.70382972599998</v>
          </cell>
          <cell r="BE132">
            <v>1</v>
          </cell>
          <cell r="BF132">
            <v>522.66665319499998</v>
          </cell>
          <cell r="BG132" t="str">
            <v/>
          </cell>
          <cell r="BH132">
            <v>563</v>
          </cell>
          <cell r="BI132">
            <v>227</v>
          </cell>
          <cell r="BJ132">
            <v>1</v>
          </cell>
        </row>
        <row r="133">
          <cell r="A133" t="str">
            <v>5FL</v>
          </cell>
          <cell r="B133" t="str">
            <v>Q20</v>
          </cell>
          <cell r="C133" t="str">
            <v/>
          </cell>
          <cell r="D133" t="str">
            <v/>
          </cell>
          <cell r="E133">
            <v>1</v>
          </cell>
          <cell r="F133">
            <v>1</v>
          </cell>
          <cell r="G133">
            <v>1</v>
          </cell>
          <cell r="H133">
            <v>0</v>
          </cell>
          <cell r="J133">
            <v>1</v>
          </cell>
          <cell r="K133">
            <v>3.0180000009999999</v>
          </cell>
          <cell r="L133">
            <v>2546.7960601640007</v>
          </cell>
          <cell r="M133">
            <v>0</v>
          </cell>
          <cell r="N133">
            <v>0</v>
          </cell>
          <cell r="Q133" t="str">
            <v/>
          </cell>
          <cell r="R133" t="str">
            <v/>
          </cell>
          <cell r="S133">
            <v>784</v>
          </cell>
          <cell r="X133">
            <v>0.99099099099099097</v>
          </cell>
          <cell r="Y133">
            <v>0.98076923076923073</v>
          </cell>
          <cell r="Z133">
            <v>1</v>
          </cell>
          <cell r="AA133">
            <v>0</v>
          </cell>
          <cell r="AB133" t="str">
            <v/>
          </cell>
          <cell r="AD133">
            <v>0</v>
          </cell>
          <cell r="AE133">
            <v>173</v>
          </cell>
          <cell r="AF133">
            <v>0.68945518453427068</v>
          </cell>
          <cell r="AG133">
            <v>0</v>
          </cell>
          <cell r="AH133" t="str">
            <v/>
          </cell>
          <cell r="AI133">
            <v>1</v>
          </cell>
          <cell r="AJ133">
            <v>20</v>
          </cell>
          <cell r="AK133">
            <v>629.04626419943099</v>
          </cell>
          <cell r="AL133">
            <v>0.14567901234567901</v>
          </cell>
          <cell r="AM133">
            <v>0.21694619624994305</v>
          </cell>
          <cell r="AN133">
            <v>0.66666666666666663</v>
          </cell>
          <cell r="AO133">
            <v>1194</v>
          </cell>
          <cell r="AQ133">
            <v>35106</v>
          </cell>
          <cell r="AR133" t="str">
            <v/>
          </cell>
          <cell r="AS133">
            <v>15718</v>
          </cell>
          <cell r="AU133">
            <v>27611</v>
          </cell>
          <cell r="AV133" t="str">
            <v/>
          </cell>
          <cell r="AW133">
            <v>16995</v>
          </cell>
          <cell r="AX133" t="str">
            <v/>
          </cell>
          <cell r="AY133" t="str">
            <v/>
          </cell>
          <cell r="AZ133">
            <v>16229</v>
          </cell>
          <cell r="BA133" t="str">
            <v/>
          </cell>
          <cell r="BB133">
            <v>283.27960001299999</v>
          </cell>
          <cell r="BC133" t="str">
            <v/>
          </cell>
          <cell r="BD133">
            <v>525.29100001400002</v>
          </cell>
          <cell r="BE133" t="str">
            <v/>
          </cell>
          <cell r="BF133">
            <v>721.42450001999998</v>
          </cell>
          <cell r="BG133" t="str">
            <v/>
          </cell>
          <cell r="BH133">
            <v>286</v>
          </cell>
          <cell r="BI133">
            <v>300</v>
          </cell>
          <cell r="BJ133">
            <v>1</v>
          </cell>
        </row>
        <row r="134">
          <cell r="A134" t="str">
            <v>5FM</v>
          </cell>
          <cell r="B134" t="str">
            <v>Q21</v>
          </cell>
          <cell r="C134" t="str">
            <v/>
          </cell>
          <cell r="D134" t="str">
            <v/>
          </cell>
          <cell r="E134">
            <v>1</v>
          </cell>
          <cell r="F134">
            <v>1</v>
          </cell>
          <cell r="G134">
            <v>1</v>
          </cell>
          <cell r="H134">
            <v>0</v>
          </cell>
          <cell r="J134">
            <v>29</v>
          </cell>
          <cell r="K134">
            <v>246.02620000000002</v>
          </cell>
          <cell r="L134">
            <v>1934.8683374159998</v>
          </cell>
          <cell r="M134" t="str">
            <v/>
          </cell>
          <cell r="N134">
            <v>0</v>
          </cell>
          <cell r="Q134" t="str">
            <v/>
          </cell>
          <cell r="R134" t="str">
            <v/>
          </cell>
          <cell r="S134">
            <v>43</v>
          </cell>
          <cell r="X134">
            <v>1</v>
          </cell>
          <cell r="Y134">
            <v>1</v>
          </cell>
          <cell r="Z134">
            <v>0.9375</v>
          </cell>
          <cell r="AA134">
            <v>0</v>
          </cell>
          <cell r="AB134" t="str">
            <v/>
          </cell>
          <cell r="AD134">
            <v>47</v>
          </cell>
          <cell r="AE134">
            <v>276</v>
          </cell>
          <cell r="AF134">
            <v>0.80065923716841936</v>
          </cell>
          <cell r="AG134">
            <v>0</v>
          </cell>
          <cell r="AH134" t="str">
            <v/>
          </cell>
          <cell r="AI134">
            <v>7</v>
          </cell>
          <cell r="AJ134">
            <v>161</v>
          </cell>
          <cell r="AK134">
            <v>1003.6187452508672</v>
          </cell>
          <cell r="AL134">
            <v>0.22074468085106383</v>
          </cell>
          <cell r="AM134">
            <v>0.25880400350475163</v>
          </cell>
          <cell r="AN134">
            <v>0.58333333333333337</v>
          </cell>
          <cell r="AO134">
            <v>10</v>
          </cell>
          <cell r="AQ134">
            <v>32680</v>
          </cell>
          <cell r="AR134" t="str">
            <v/>
          </cell>
          <cell r="AS134">
            <v>13216</v>
          </cell>
          <cell r="AU134">
            <v>27060</v>
          </cell>
          <cell r="AV134" t="str">
            <v/>
          </cell>
          <cell r="AW134">
            <v>24117</v>
          </cell>
          <cell r="AX134" t="str">
            <v/>
          </cell>
          <cell r="AY134" t="str">
            <v/>
          </cell>
          <cell r="AZ134">
            <v>18619</v>
          </cell>
          <cell r="BA134" t="str">
            <v/>
          </cell>
          <cell r="BB134">
            <v>329.389399991</v>
          </cell>
          <cell r="BC134" t="str">
            <v/>
          </cell>
          <cell r="BD134">
            <v>722.98639998900001</v>
          </cell>
          <cell r="BE134" t="str">
            <v/>
          </cell>
          <cell r="BF134">
            <v>876.54419998000003</v>
          </cell>
          <cell r="BG134" t="str">
            <v/>
          </cell>
          <cell r="BH134">
            <v>725</v>
          </cell>
          <cell r="BI134">
            <v>0</v>
          </cell>
          <cell r="BJ134">
            <v>0</v>
          </cell>
        </row>
        <row r="135">
          <cell r="A135" t="str">
            <v>5FN</v>
          </cell>
          <cell r="B135" t="str">
            <v>Q22</v>
          </cell>
          <cell r="C135" t="str">
            <v/>
          </cell>
          <cell r="D135" t="str">
            <v/>
          </cell>
          <cell r="E135">
            <v>1</v>
          </cell>
          <cell r="F135">
            <v>1</v>
          </cell>
          <cell r="G135">
            <v>1</v>
          </cell>
          <cell r="H135">
            <v>0</v>
          </cell>
          <cell r="J135">
            <v>10</v>
          </cell>
          <cell r="K135">
            <v>27.286127549</v>
          </cell>
          <cell r="L135">
            <v>103.780229245</v>
          </cell>
          <cell r="M135">
            <v>185</v>
          </cell>
          <cell r="N135">
            <v>2</v>
          </cell>
          <cell r="Q135">
            <v>1</v>
          </cell>
          <cell r="R135">
            <v>1</v>
          </cell>
          <cell r="S135">
            <v>352</v>
          </cell>
          <cell r="X135">
            <v>1</v>
          </cell>
          <cell r="Y135">
            <v>0.98484848484848486</v>
          </cell>
          <cell r="Z135">
            <v>0.88235294117647056</v>
          </cell>
          <cell r="AA135">
            <v>0</v>
          </cell>
          <cell r="AB135" t="str">
            <v/>
          </cell>
          <cell r="AD135">
            <v>11</v>
          </cell>
          <cell r="AE135">
            <v>71</v>
          </cell>
          <cell r="AF135">
            <v>0.95815899581589958</v>
          </cell>
          <cell r="AG135">
            <v>0</v>
          </cell>
          <cell r="AH135" t="str">
            <v/>
          </cell>
          <cell r="AI135">
            <v>3</v>
          </cell>
          <cell r="AJ135">
            <v>0</v>
          </cell>
          <cell r="AK135">
            <v>663.09311097875718</v>
          </cell>
          <cell r="AL135">
            <v>0.10756972111553785</v>
          </cell>
          <cell r="AM135">
            <v>0.24010670211428264</v>
          </cell>
          <cell r="AN135">
            <v>0.70833333333333337</v>
          </cell>
          <cell r="AO135">
            <v>1491</v>
          </cell>
          <cell r="AQ135">
            <v>37575</v>
          </cell>
          <cell r="AR135" t="str">
            <v/>
          </cell>
          <cell r="AS135">
            <v>17349</v>
          </cell>
          <cell r="AU135">
            <v>31508</v>
          </cell>
          <cell r="AV135" t="str">
            <v/>
          </cell>
          <cell r="AW135">
            <v>27165</v>
          </cell>
          <cell r="AX135" t="str">
            <v/>
          </cell>
          <cell r="AY135" t="str">
            <v/>
          </cell>
          <cell r="AZ135">
            <v>16277</v>
          </cell>
          <cell r="BA135" t="str">
            <v/>
          </cell>
          <cell r="BB135">
            <v>477.61090585299996</v>
          </cell>
          <cell r="BC135">
            <v>106</v>
          </cell>
          <cell r="BD135">
            <v>604.88331829899994</v>
          </cell>
          <cell r="BE135" t="str">
            <v/>
          </cell>
          <cell r="BF135">
            <v>1374.1317032669999</v>
          </cell>
          <cell r="BG135">
            <v>3</v>
          </cell>
          <cell r="BH135">
            <v>377</v>
          </cell>
          <cell r="BI135">
            <v>234</v>
          </cell>
          <cell r="BJ135">
            <v>37</v>
          </cell>
        </row>
        <row r="136">
          <cell r="A136" t="str">
            <v>5FP</v>
          </cell>
          <cell r="B136" t="str">
            <v>Q22</v>
          </cell>
          <cell r="C136" t="str">
            <v/>
          </cell>
          <cell r="D136" t="str">
            <v/>
          </cell>
          <cell r="E136">
            <v>1</v>
          </cell>
          <cell r="F136">
            <v>1</v>
          </cell>
          <cell r="G136">
            <v>1</v>
          </cell>
          <cell r="H136">
            <v>0</v>
          </cell>
          <cell r="J136">
            <v>19</v>
          </cell>
          <cell r="K136">
            <v>24.743699971000002</v>
          </cell>
          <cell r="L136">
            <v>646.46160920399984</v>
          </cell>
          <cell r="M136" t="str">
            <v/>
          </cell>
          <cell r="N136">
            <v>1</v>
          </cell>
          <cell r="Q136" t="str">
            <v/>
          </cell>
          <cell r="R136" t="str">
            <v/>
          </cell>
          <cell r="S136">
            <v>382</v>
          </cell>
          <cell r="X136">
            <v>1</v>
          </cell>
          <cell r="Y136">
            <v>1</v>
          </cell>
          <cell r="Z136">
            <v>1</v>
          </cell>
          <cell r="AA136">
            <v>0</v>
          </cell>
          <cell r="AB136" t="str">
            <v/>
          </cell>
          <cell r="AD136">
            <v>57</v>
          </cell>
          <cell r="AE136">
            <v>489</v>
          </cell>
          <cell r="AF136">
            <v>1</v>
          </cell>
          <cell r="AG136">
            <v>0</v>
          </cell>
          <cell r="AH136" t="str">
            <v/>
          </cell>
          <cell r="AI136">
            <v>5</v>
          </cell>
          <cell r="AJ136">
            <v>12</v>
          </cell>
          <cell r="AK136">
            <v>830.01328021248332</v>
          </cell>
          <cell r="AL136">
            <v>0.21065989847715735</v>
          </cell>
          <cell r="AM136">
            <v>0.71227407657911546</v>
          </cell>
          <cell r="AN136">
            <v>0.48780487804878048</v>
          </cell>
          <cell r="AO136">
            <v>1340</v>
          </cell>
          <cell r="AQ136">
            <v>27525</v>
          </cell>
          <cell r="AR136" t="str">
            <v/>
          </cell>
          <cell r="AS136">
            <v>5641</v>
          </cell>
          <cell r="AU136">
            <v>23865</v>
          </cell>
          <cell r="AV136" t="str">
            <v/>
          </cell>
          <cell r="AW136">
            <v>20068</v>
          </cell>
          <cell r="AX136" t="str">
            <v/>
          </cell>
          <cell r="AY136" t="str">
            <v/>
          </cell>
          <cell r="AZ136">
            <v>14730</v>
          </cell>
          <cell r="BA136" t="str">
            <v/>
          </cell>
          <cell r="BB136">
            <v>317.81739779100002</v>
          </cell>
          <cell r="BC136">
            <v>2</v>
          </cell>
          <cell r="BD136">
            <v>679.95389538900008</v>
          </cell>
          <cell r="BE136" t="str">
            <v/>
          </cell>
          <cell r="BF136">
            <v>837.78119428000002</v>
          </cell>
          <cell r="BG136">
            <v>54</v>
          </cell>
          <cell r="BH136">
            <v>110</v>
          </cell>
          <cell r="BI136">
            <v>0</v>
          </cell>
          <cell r="BJ136">
            <v>0</v>
          </cell>
        </row>
        <row r="137">
          <cell r="A137" t="str">
            <v>5FQ</v>
          </cell>
          <cell r="B137" t="str">
            <v>Q21</v>
          </cell>
          <cell r="C137" t="str">
            <v/>
          </cell>
          <cell r="D137" t="str">
            <v/>
          </cell>
          <cell r="E137">
            <v>1</v>
          </cell>
          <cell r="F137">
            <v>1</v>
          </cell>
          <cell r="G137">
            <v>1</v>
          </cell>
          <cell r="H137">
            <v>1</v>
          </cell>
          <cell r="J137">
            <v>3</v>
          </cell>
          <cell r="K137">
            <v>53.020200000000003</v>
          </cell>
          <cell r="L137">
            <v>878.13969999799986</v>
          </cell>
          <cell r="M137" t="str">
            <v/>
          </cell>
          <cell r="N137">
            <v>0</v>
          </cell>
          <cell r="Q137" t="str">
            <v/>
          </cell>
          <cell r="R137" t="str">
            <v/>
          </cell>
          <cell r="S137">
            <v>57</v>
          </cell>
          <cell r="X137">
            <v>1</v>
          </cell>
          <cell r="Y137">
            <v>1</v>
          </cell>
          <cell r="Z137">
            <v>1</v>
          </cell>
          <cell r="AA137">
            <v>0</v>
          </cell>
          <cell r="AB137" t="str">
            <v/>
          </cell>
          <cell r="AD137">
            <v>47</v>
          </cell>
          <cell r="AE137">
            <v>336</v>
          </cell>
          <cell r="AF137">
            <v>0.83367654047204187</v>
          </cell>
          <cell r="AG137">
            <v>0</v>
          </cell>
          <cell r="AH137" t="str">
            <v/>
          </cell>
          <cell r="AI137">
            <v>0</v>
          </cell>
          <cell r="AJ137">
            <v>0</v>
          </cell>
          <cell r="AK137">
            <v>522.9855371900826</v>
          </cell>
          <cell r="AL137">
            <v>0.16913946587537093</v>
          </cell>
          <cell r="AM137">
            <v>0.26895896529884328</v>
          </cell>
          <cell r="AN137">
            <v>0.38461538461538464</v>
          </cell>
          <cell r="AO137">
            <v>301</v>
          </cell>
          <cell r="AQ137">
            <v>27511</v>
          </cell>
          <cell r="AR137" t="str">
            <v/>
          </cell>
          <cell r="AS137">
            <v>11194</v>
          </cell>
          <cell r="AU137">
            <v>26314</v>
          </cell>
          <cell r="AV137" t="str">
            <v/>
          </cell>
          <cell r="AW137">
            <v>21836</v>
          </cell>
          <cell r="AX137" t="str">
            <v/>
          </cell>
          <cell r="AY137" t="str">
            <v/>
          </cell>
          <cell r="AZ137">
            <v>14474</v>
          </cell>
          <cell r="BA137" t="str">
            <v/>
          </cell>
          <cell r="BB137">
            <v>265.24619999399999</v>
          </cell>
          <cell r="BC137" t="str">
            <v/>
          </cell>
          <cell r="BD137">
            <v>632.33939999200004</v>
          </cell>
          <cell r="BE137" t="str">
            <v/>
          </cell>
          <cell r="BF137">
            <v>842.65269998300005</v>
          </cell>
          <cell r="BG137" t="str">
            <v/>
          </cell>
          <cell r="BH137">
            <v>218</v>
          </cell>
          <cell r="BI137">
            <v>81</v>
          </cell>
          <cell r="BJ137">
            <v>5</v>
          </cell>
        </row>
        <row r="138">
          <cell r="A138" t="str">
            <v>5FR</v>
          </cell>
          <cell r="B138" t="str">
            <v>Q21</v>
          </cell>
          <cell r="C138" t="str">
            <v/>
          </cell>
          <cell r="D138" t="str">
            <v/>
          </cell>
          <cell r="E138">
            <v>1</v>
          </cell>
          <cell r="F138">
            <v>1</v>
          </cell>
          <cell r="G138">
            <v>1</v>
          </cell>
          <cell r="H138">
            <v>0</v>
          </cell>
          <cell r="J138">
            <v>132</v>
          </cell>
          <cell r="K138">
            <v>337.00599999999997</v>
          </cell>
          <cell r="L138">
            <v>1717.0335</v>
          </cell>
          <cell r="M138" t="str">
            <v/>
          </cell>
          <cell r="N138">
            <v>0</v>
          </cell>
          <cell r="Q138" t="str">
            <v/>
          </cell>
          <cell r="R138" t="str">
            <v/>
          </cell>
          <cell r="S138">
            <v>23</v>
          </cell>
          <cell r="X138">
            <v>1</v>
          </cell>
          <cell r="Y138">
            <v>1</v>
          </cell>
          <cell r="Z138">
            <v>0.95454545454545459</v>
          </cell>
          <cell r="AA138">
            <v>0</v>
          </cell>
          <cell r="AB138" t="str">
            <v/>
          </cell>
          <cell r="AD138">
            <v>36</v>
          </cell>
          <cell r="AE138">
            <v>266</v>
          </cell>
          <cell r="AF138">
            <v>0.8725839267548321</v>
          </cell>
          <cell r="AG138">
            <v>0</v>
          </cell>
          <cell r="AH138" t="str">
            <v/>
          </cell>
          <cell r="AI138">
            <v>5</v>
          </cell>
          <cell r="AJ138">
            <v>250</v>
          </cell>
          <cell r="AK138">
            <v>745.41538516082721</v>
          </cell>
          <cell r="AL138">
            <v>0.14029850746268657</v>
          </cell>
          <cell r="AM138">
            <v>0.18484962152908022</v>
          </cell>
          <cell r="AN138">
            <v>0.34482758620689657</v>
          </cell>
          <cell r="AO138">
            <v>0</v>
          </cell>
          <cell r="AQ138">
            <v>24465</v>
          </cell>
          <cell r="AR138" t="str">
            <v/>
          </cell>
          <cell r="AS138">
            <v>12137</v>
          </cell>
          <cell r="AU138">
            <v>21332</v>
          </cell>
          <cell r="AV138" t="str">
            <v/>
          </cell>
          <cell r="AW138">
            <v>18129</v>
          </cell>
          <cell r="AX138" t="str">
            <v/>
          </cell>
          <cell r="AY138" t="str">
            <v/>
          </cell>
          <cell r="AZ138">
            <v>11797</v>
          </cell>
          <cell r="BA138" t="str">
            <v/>
          </cell>
          <cell r="BB138">
            <v>192.09319999799999</v>
          </cell>
          <cell r="BC138" t="str">
            <v/>
          </cell>
          <cell r="BD138">
            <v>471.096999998</v>
          </cell>
          <cell r="BE138" t="str">
            <v/>
          </cell>
          <cell r="BF138">
            <v>727.14149999599999</v>
          </cell>
          <cell r="BG138" t="str">
            <v/>
          </cell>
          <cell r="BH138">
            <v>208</v>
          </cell>
          <cell r="BI138">
            <v>178</v>
          </cell>
          <cell r="BJ138">
            <v>0</v>
          </cell>
        </row>
        <row r="139">
          <cell r="A139" t="str">
            <v>5FT</v>
          </cell>
          <cell r="B139" t="str">
            <v>Q21</v>
          </cell>
          <cell r="C139" t="str">
            <v/>
          </cell>
          <cell r="D139" t="str">
            <v/>
          </cell>
          <cell r="E139">
            <v>1</v>
          </cell>
          <cell r="F139">
            <v>1</v>
          </cell>
          <cell r="G139">
            <v>1</v>
          </cell>
          <cell r="H139">
            <v>0</v>
          </cell>
          <cell r="J139">
            <v>137</v>
          </cell>
          <cell r="K139">
            <v>344.00599999999997</v>
          </cell>
          <cell r="L139">
            <v>1714.0335</v>
          </cell>
          <cell r="M139">
            <v>260</v>
          </cell>
          <cell r="N139">
            <v>0</v>
          </cell>
          <cell r="Q139">
            <v>1</v>
          </cell>
          <cell r="R139">
            <v>0.12530712530712532</v>
          </cell>
          <cell r="S139">
            <v>38</v>
          </cell>
          <cell r="X139">
            <v>1</v>
          </cell>
          <cell r="Y139">
            <v>1</v>
          </cell>
          <cell r="Z139">
            <v>0.91304347826086951</v>
          </cell>
          <cell r="AA139">
            <v>0</v>
          </cell>
          <cell r="AB139" t="str">
            <v/>
          </cell>
          <cell r="AD139">
            <v>30</v>
          </cell>
          <cell r="AE139">
            <v>150</v>
          </cell>
          <cell r="AF139">
            <v>0.86200466200466197</v>
          </cell>
          <cell r="AG139">
            <v>0</v>
          </cell>
          <cell r="AH139" t="str">
            <v/>
          </cell>
          <cell r="AI139">
            <v>3</v>
          </cell>
          <cell r="AJ139">
            <v>150</v>
          </cell>
          <cell r="AK139">
            <v>389.04771729199206</v>
          </cell>
          <cell r="AL139">
            <v>8.8669950738916259E-2</v>
          </cell>
          <cell r="AM139">
            <v>0.25108736320269387</v>
          </cell>
          <cell r="AN139">
            <v>0.22222222222222221</v>
          </cell>
          <cell r="AO139">
            <v>37</v>
          </cell>
          <cell r="AQ139">
            <v>23095</v>
          </cell>
          <cell r="AR139" t="str">
            <v/>
          </cell>
          <cell r="AS139">
            <v>9707</v>
          </cell>
          <cell r="AU139">
            <v>20120</v>
          </cell>
          <cell r="AV139" t="str">
            <v/>
          </cell>
          <cell r="AW139">
            <v>18527</v>
          </cell>
          <cell r="AX139" t="str">
            <v/>
          </cell>
          <cell r="AY139" t="str">
            <v/>
          </cell>
          <cell r="AZ139">
            <v>10717</v>
          </cell>
          <cell r="BA139" t="str">
            <v/>
          </cell>
          <cell r="BB139">
            <v>169.09319999799999</v>
          </cell>
          <cell r="BC139" t="str">
            <v/>
          </cell>
          <cell r="BD139">
            <v>609.096999998</v>
          </cell>
          <cell r="BE139" t="str">
            <v/>
          </cell>
          <cell r="BF139">
            <v>503.14149999599999</v>
          </cell>
          <cell r="BG139" t="str">
            <v/>
          </cell>
          <cell r="BH139">
            <v>201</v>
          </cell>
          <cell r="BI139">
            <v>143</v>
          </cell>
          <cell r="BJ139">
            <v>0</v>
          </cell>
        </row>
        <row r="140">
          <cell r="A140" t="str">
            <v>5FV</v>
          </cell>
          <cell r="B140" t="str">
            <v>Q21</v>
          </cell>
          <cell r="C140" t="str">
            <v/>
          </cell>
          <cell r="D140" t="str">
            <v/>
          </cell>
          <cell r="E140">
            <v>1</v>
          </cell>
          <cell r="F140">
            <v>1</v>
          </cell>
          <cell r="G140">
            <v>1</v>
          </cell>
          <cell r="H140">
            <v>0</v>
          </cell>
          <cell r="J140">
            <v>84</v>
          </cell>
          <cell r="K140">
            <v>236.02620000000002</v>
          </cell>
          <cell r="L140">
            <v>896.17319999599988</v>
          </cell>
          <cell r="M140">
            <v>215</v>
          </cell>
          <cell r="N140">
            <v>0</v>
          </cell>
          <cell r="Q140">
            <v>1</v>
          </cell>
          <cell r="R140">
            <v>0.18709677419354839</v>
          </cell>
          <cell r="S140">
            <v>70</v>
          </cell>
          <cell r="X140">
            <v>1</v>
          </cell>
          <cell r="Y140">
            <v>0.97560975609756095</v>
          </cell>
          <cell r="Z140">
            <v>0.94444444444444442</v>
          </cell>
          <cell r="AA140">
            <v>0</v>
          </cell>
          <cell r="AB140" t="str">
            <v/>
          </cell>
          <cell r="AD140">
            <v>19</v>
          </cell>
          <cell r="AE140">
            <v>83</v>
          </cell>
          <cell r="AF140">
            <v>0.90369967355821545</v>
          </cell>
          <cell r="AG140">
            <v>0</v>
          </cell>
          <cell r="AH140" t="str">
            <v/>
          </cell>
          <cell r="AI140">
            <v>1</v>
          </cell>
          <cell r="AJ140">
            <v>150</v>
          </cell>
          <cell r="AK140">
            <v>632.53709084363993</v>
          </cell>
          <cell r="AL140">
            <v>0.1037037037037037</v>
          </cell>
          <cell r="AM140">
            <v>0.24799811587376355</v>
          </cell>
          <cell r="AN140">
            <v>0</v>
          </cell>
          <cell r="AO140">
            <v>-2383</v>
          </cell>
          <cell r="AQ140">
            <v>19486</v>
          </cell>
          <cell r="AR140" t="str">
            <v/>
          </cell>
          <cell r="AS140">
            <v>7835</v>
          </cell>
          <cell r="AU140">
            <v>16951</v>
          </cell>
          <cell r="AV140" t="str">
            <v/>
          </cell>
          <cell r="AW140">
            <v>15954</v>
          </cell>
          <cell r="AX140" t="str">
            <v/>
          </cell>
          <cell r="AY140" t="str">
            <v/>
          </cell>
          <cell r="AZ140">
            <v>8529</v>
          </cell>
          <cell r="BA140" t="str">
            <v/>
          </cell>
          <cell r="BB140">
            <v>131.33939999099999</v>
          </cell>
          <cell r="BC140" t="str">
            <v/>
          </cell>
          <cell r="BD140">
            <v>462.43639998899999</v>
          </cell>
          <cell r="BE140" t="str">
            <v/>
          </cell>
          <cell r="BF140">
            <v>417.79419997999997</v>
          </cell>
          <cell r="BG140" t="str">
            <v/>
          </cell>
          <cell r="BH140">
            <v>211</v>
          </cell>
          <cell r="BI140">
            <v>153</v>
          </cell>
          <cell r="BJ140">
            <v>0</v>
          </cell>
        </row>
        <row r="141">
          <cell r="A141" t="str">
            <v>5FW</v>
          </cell>
          <cell r="B141" t="str">
            <v>Q22</v>
          </cell>
          <cell r="C141" t="str">
            <v/>
          </cell>
          <cell r="D141" t="str">
            <v/>
          </cell>
          <cell r="E141">
            <v>0.99960583366180533</v>
          </cell>
          <cell r="F141">
            <v>1</v>
          </cell>
          <cell r="G141">
            <v>1</v>
          </cell>
          <cell r="H141">
            <v>0</v>
          </cell>
          <cell r="J141">
            <v>0</v>
          </cell>
          <cell r="K141">
            <v>11.020199999999999</v>
          </cell>
          <cell r="L141">
            <v>286.23483741799998</v>
          </cell>
          <cell r="M141">
            <v>18</v>
          </cell>
          <cell r="N141">
            <v>0</v>
          </cell>
          <cell r="Q141">
            <v>1</v>
          </cell>
          <cell r="R141">
            <v>1</v>
          </cell>
          <cell r="S141">
            <v>668</v>
          </cell>
          <cell r="X141">
            <v>1</v>
          </cell>
          <cell r="Y141">
            <v>1</v>
          </cell>
          <cell r="Z141">
            <v>0.80769230769230771</v>
          </cell>
          <cell r="AA141">
            <v>0</v>
          </cell>
          <cell r="AB141" t="str">
            <v/>
          </cell>
          <cell r="AD141">
            <v>31</v>
          </cell>
          <cell r="AE141">
            <v>207</v>
          </cell>
          <cell r="AF141">
            <v>0.89397675237759777</v>
          </cell>
          <cell r="AG141">
            <v>0</v>
          </cell>
          <cell r="AH141" t="str">
            <v/>
          </cell>
          <cell r="AI141">
            <v>2</v>
          </cell>
          <cell r="AJ141">
            <v>0</v>
          </cell>
          <cell r="AK141">
            <v>964.25490162908341</v>
          </cell>
          <cell r="AL141">
            <v>0.23920265780730898</v>
          </cell>
          <cell r="AM141">
            <v>0.21864386276717504</v>
          </cell>
          <cell r="AN141">
            <v>0.22222222222222221</v>
          </cell>
          <cell r="AO141">
            <v>17</v>
          </cell>
          <cell r="AQ141">
            <v>22382</v>
          </cell>
          <cell r="AR141" t="str">
            <v/>
          </cell>
          <cell r="AS141">
            <v>11294</v>
          </cell>
          <cell r="AU141">
            <v>20201</v>
          </cell>
          <cell r="AV141" t="str">
            <v/>
          </cell>
          <cell r="AW141">
            <v>19964</v>
          </cell>
          <cell r="AX141" t="str">
            <v/>
          </cell>
          <cell r="AY141" t="str">
            <v/>
          </cell>
          <cell r="AZ141">
            <v>13111</v>
          </cell>
          <cell r="BA141" t="str">
            <v/>
          </cell>
          <cell r="BB141">
            <v>222.24619999399999</v>
          </cell>
          <cell r="BC141">
            <v>4</v>
          </cell>
          <cell r="BD141">
            <v>421.33939999199998</v>
          </cell>
          <cell r="BE141">
            <v>30</v>
          </cell>
          <cell r="BF141">
            <v>694.65269998300005</v>
          </cell>
          <cell r="BG141" t="str">
            <v/>
          </cell>
          <cell r="BH141">
            <v>146</v>
          </cell>
          <cell r="BI141">
            <v>0</v>
          </cell>
          <cell r="BJ141">
            <v>0</v>
          </cell>
        </row>
        <row r="142">
          <cell r="A142" t="str">
            <v>5FX</v>
          </cell>
          <cell r="B142" t="str">
            <v>Q22</v>
          </cell>
          <cell r="C142" t="str">
            <v/>
          </cell>
          <cell r="D142" t="str">
            <v/>
          </cell>
          <cell r="E142">
            <v>1</v>
          </cell>
          <cell r="F142">
            <v>1</v>
          </cell>
          <cell r="G142">
            <v>1</v>
          </cell>
          <cell r="H142">
            <v>0</v>
          </cell>
          <cell r="J142">
            <v>1</v>
          </cell>
          <cell r="K142">
            <v>2.0059999999999998</v>
          </cell>
          <cell r="L142">
            <v>500.18092066899999</v>
          </cell>
          <cell r="M142" t="str">
            <v/>
          </cell>
          <cell r="N142">
            <v>0</v>
          </cell>
          <cell r="Q142" t="str">
            <v/>
          </cell>
          <cell r="R142">
            <v>0.93513513513513513</v>
          </cell>
          <cell r="S142">
            <v>250</v>
          </cell>
          <cell r="X142">
            <v>0.98</v>
          </cell>
          <cell r="Y142">
            <v>1</v>
          </cell>
          <cell r="Z142">
            <v>0.9285714285714286</v>
          </cell>
          <cell r="AA142">
            <v>0</v>
          </cell>
          <cell r="AB142">
            <v>1</v>
          </cell>
          <cell r="AD142">
            <v>41</v>
          </cell>
          <cell r="AE142">
            <v>155</v>
          </cell>
          <cell r="AF142">
            <v>0.91841059602649011</v>
          </cell>
          <cell r="AG142">
            <v>0</v>
          </cell>
          <cell r="AH142" t="str">
            <v/>
          </cell>
          <cell r="AI142">
            <v>2</v>
          </cell>
          <cell r="AJ142">
            <v>19</v>
          </cell>
          <cell r="AK142">
            <v>669.73245106021852</v>
          </cell>
          <cell r="AL142">
            <v>0.18333333333333332</v>
          </cell>
          <cell r="AM142">
            <v>0.27016425004512362</v>
          </cell>
          <cell r="AN142">
            <v>0.44444444444444442</v>
          </cell>
          <cell r="AO142">
            <v>41</v>
          </cell>
          <cell r="AQ142">
            <v>19942</v>
          </cell>
          <cell r="AR142" t="str">
            <v/>
          </cell>
          <cell r="AS142">
            <v>6781</v>
          </cell>
          <cell r="AU142">
            <v>15385</v>
          </cell>
          <cell r="AV142" t="str">
            <v/>
          </cell>
          <cell r="AW142">
            <v>12254</v>
          </cell>
          <cell r="AX142" t="str">
            <v/>
          </cell>
          <cell r="AY142" t="str">
            <v/>
          </cell>
          <cell r="AZ142">
            <v>8855</v>
          </cell>
          <cell r="BA142" t="str">
            <v/>
          </cell>
          <cell r="BB142">
            <v>119.144899997</v>
          </cell>
          <cell r="BC142" t="str">
            <v/>
          </cell>
          <cell r="BD142">
            <v>235.25559999399999</v>
          </cell>
          <cell r="BE142">
            <v>5</v>
          </cell>
          <cell r="BF142">
            <v>392.40869998899996</v>
          </cell>
          <cell r="BG142" t="str">
            <v/>
          </cell>
          <cell r="BH142">
            <v>672</v>
          </cell>
          <cell r="BI142">
            <v>672</v>
          </cell>
          <cell r="BJ142">
            <v>0</v>
          </cell>
        </row>
        <row r="143">
          <cell r="A143" t="str">
            <v>5FY</v>
          </cell>
          <cell r="B143" t="str">
            <v>Q21</v>
          </cell>
          <cell r="C143" t="str">
            <v/>
          </cell>
          <cell r="D143" t="str">
            <v/>
          </cell>
          <cell r="E143">
            <v>1</v>
          </cell>
          <cell r="F143">
            <v>1</v>
          </cell>
          <cell r="G143">
            <v>1</v>
          </cell>
          <cell r="H143">
            <v>0</v>
          </cell>
          <cell r="J143">
            <v>6</v>
          </cell>
          <cell r="K143">
            <v>40.842300027999997</v>
          </cell>
          <cell r="L143">
            <v>305.79080190600001</v>
          </cell>
          <cell r="M143" t="str">
            <v/>
          </cell>
          <cell r="N143">
            <v>0</v>
          </cell>
          <cell r="Q143" t="str">
            <v/>
          </cell>
          <cell r="R143" t="str">
            <v/>
          </cell>
          <cell r="S143">
            <v>240</v>
          </cell>
          <cell r="X143">
            <v>1</v>
          </cell>
          <cell r="Y143">
            <v>1</v>
          </cell>
          <cell r="Z143">
            <v>0.94117647058823528</v>
          </cell>
          <cell r="AA143">
            <v>0</v>
          </cell>
          <cell r="AB143" t="str">
            <v/>
          </cell>
          <cell r="AD143">
            <v>22</v>
          </cell>
          <cell r="AE143">
            <v>189</v>
          </cell>
          <cell r="AF143">
            <v>1</v>
          </cell>
          <cell r="AG143">
            <v>0</v>
          </cell>
          <cell r="AH143" t="str">
            <v/>
          </cell>
          <cell r="AI143">
            <v>3</v>
          </cell>
          <cell r="AJ143">
            <v>34</v>
          </cell>
          <cell r="AK143">
            <v>855.30764029749832</v>
          </cell>
          <cell r="AL143">
            <v>0.18041237113402062</v>
          </cell>
          <cell r="AM143">
            <v>0.3083054674678874</v>
          </cell>
          <cell r="AN143">
            <v>0.38095238095238093</v>
          </cell>
          <cell r="AO143">
            <v>4</v>
          </cell>
          <cell r="AQ143">
            <v>19644</v>
          </cell>
          <cell r="AR143" t="str">
            <v/>
          </cell>
          <cell r="AS143">
            <v>9256</v>
          </cell>
          <cell r="AU143">
            <v>18650</v>
          </cell>
          <cell r="AV143" t="str">
            <v/>
          </cell>
          <cell r="AW143">
            <v>11402</v>
          </cell>
          <cell r="AX143" t="str">
            <v/>
          </cell>
          <cell r="AY143" t="str">
            <v/>
          </cell>
          <cell r="AZ143">
            <v>10139</v>
          </cell>
          <cell r="BA143" t="str">
            <v/>
          </cell>
          <cell r="BB143">
            <v>167.10570190899998</v>
          </cell>
          <cell r="BC143">
            <v>0.726000011</v>
          </cell>
          <cell r="BD143">
            <v>521.85460681500001</v>
          </cell>
          <cell r="BE143">
            <v>22.05400032</v>
          </cell>
          <cell r="BF143">
            <v>683.6943089319999</v>
          </cell>
          <cell r="BG143" t="str">
            <v/>
          </cell>
          <cell r="BH143">
            <v>84</v>
          </cell>
          <cell r="BI143">
            <v>74</v>
          </cell>
          <cell r="BJ143">
            <v>2</v>
          </cell>
        </row>
        <row r="144">
          <cell r="A144" t="str">
            <v>5G1</v>
          </cell>
          <cell r="B144" t="str">
            <v>Q01</v>
          </cell>
          <cell r="C144" t="str">
            <v/>
          </cell>
          <cell r="D144" t="str">
            <v/>
          </cell>
          <cell r="E144" t="str">
            <v/>
          </cell>
          <cell r="F144">
            <v>1</v>
          </cell>
          <cell r="G144">
            <v>1</v>
          </cell>
          <cell r="H144">
            <v>0</v>
          </cell>
          <cell r="J144">
            <v>0</v>
          </cell>
          <cell r="K144">
            <v>131.006</v>
          </cell>
          <cell r="L144">
            <v>196.32278698199997</v>
          </cell>
          <cell r="M144" t="str">
            <v/>
          </cell>
          <cell r="N144">
            <v>0</v>
          </cell>
          <cell r="Q144" t="str">
            <v/>
          </cell>
          <cell r="R144" t="str">
            <v/>
          </cell>
          <cell r="S144">
            <v>271</v>
          </cell>
          <cell r="X144">
            <v>1</v>
          </cell>
          <cell r="Y144">
            <v>1</v>
          </cell>
          <cell r="Z144">
            <v>0.9</v>
          </cell>
          <cell r="AA144">
            <v>0</v>
          </cell>
          <cell r="AB144" t="str">
            <v/>
          </cell>
          <cell r="AD144">
            <v>33</v>
          </cell>
          <cell r="AE144">
            <v>160</v>
          </cell>
          <cell r="AF144">
            <v>0.9929798356982823</v>
          </cell>
          <cell r="AG144">
            <v>0</v>
          </cell>
          <cell r="AH144" t="str">
            <v/>
          </cell>
          <cell r="AI144">
            <v>4</v>
          </cell>
          <cell r="AJ144">
            <v>411</v>
          </cell>
          <cell r="AK144">
            <v>703.54523585154141</v>
          </cell>
          <cell r="AL144">
            <v>0.1</v>
          </cell>
          <cell r="AM144">
            <v>0.35003029433336524</v>
          </cell>
          <cell r="AN144">
            <v>0.32727272727272727</v>
          </cell>
          <cell r="AO144">
            <v>-10506</v>
          </cell>
          <cell r="AQ144">
            <v>31895</v>
          </cell>
          <cell r="AR144" t="str">
            <v/>
          </cell>
          <cell r="AS144">
            <v>11761</v>
          </cell>
          <cell r="AU144">
            <v>30069</v>
          </cell>
          <cell r="AV144" t="str">
            <v/>
          </cell>
          <cell r="AW144">
            <v>26979</v>
          </cell>
          <cell r="AX144" t="str">
            <v/>
          </cell>
          <cell r="AY144" t="str">
            <v/>
          </cell>
          <cell r="AZ144">
            <v>15638</v>
          </cell>
          <cell r="BA144" t="str">
            <v/>
          </cell>
          <cell r="BB144">
            <v>481.27107903299998</v>
          </cell>
          <cell r="BC144" t="str">
            <v/>
          </cell>
          <cell r="BD144">
            <v>603.85668876800003</v>
          </cell>
          <cell r="BE144" t="str">
            <v/>
          </cell>
          <cell r="BF144">
            <v>1080.675447891</v>
          </cell>
          <cell r="BG144" t="str">
            <v/>
          </cell>
          <cell r="BH144">
            <v>193</v>
          </cell>
          <cell r="BI144">
            <v>193</v>
          </cell>
          <cell r="BJ144">
            <v>0</v>
          </cell>
        </row>
        <row r="145">
          <cell r="A145" t="str">
            <v>5G2</v>
          </cell>
          <cell r="B145" t="str">
            <v>Q16</v>
          </cell>
          <cell r="C145" t="str">
            <v/>
          </cell>
          <cell r="D145" t="str">
            <v/>
          </cell>
          <cell r="E145" t="str">
            <v/>
          </cell>
          <cell r="F145">
            <v>1</v>
          </cell>
          <cell r="G145">
            <v>1</v>
          </cell>
          <cell r="H145">
            <v>0</v>
          </cell>
          <cell r="J145">
            <v>0</v>
          </cell>
          <cell r="K145">
            <v>1.1101999979999999</v>
          </cell>
          <cell r="L145">
            <v>51.842199484000005</v>
          </cell>
          <cell r="M145" t="str">
            <v/>
          </cell>
          <cell r="N145">
            <v>0</v>
          </cell>
          <cell r="Q145" t="str">
            <v/>
          </cell>
          <cell r="R145" t="str">
            <v/>
          </cell>
          <cell r="S145">
            <v>146</v>
          </cell>
          <cell r="X145">
            <v>1</v>
          </cell>
          <cell r="Y145">
            <v>1</v>
          </cell>
          <cell r="Z145">
            <v>0.7142857142857143</v>
          </cell>
          <cell r="AA145">
            <v>0</v>
          </cell>
          <cell r="AB145" t="str">
            <v/>
          </cell>
          <cell r="AD145">
            <v>26</v>
          </cell>
          <cell r="AE145">
            <v>298</v>
          </cell>
          <cell r="AF145">
            <v>0.95486354093771864</v>
          </cell>
          <cell r="AG145">
            <v>0</v>
          </cell>
          <cell r="AH145" t="str">
            <v/>
          </cell>
          <cell r="AI145">
            <v>2.4</v>
          </cell>
          <cell r="AJ145">
            <v>85</v>
          </cell>
          <cell r="AK145">
            <v>703.8265512498989</v>
          </cell>
          <cell r="AL145" t="str">
            <v/>
          </cell>
          <cell r="AM145">
            <v>7.9850108143453544E-2</v>
          </cell>
          <cell r="AN145">
            <v>0.62962962962962965</v>
          </cell>
          <cell r="AO145">
            <v>-1836</v>
          </cell>
          <cell r="AQ145">
            <v>13624</v>
          </cell>
          <cell r="AR145" t="str">
            <v/>
          </cell>
          <cell r="AS145">
            <v>6273</v>
          </cell>
          <cell r="AU145">
            <v>12761</v>
          </cell>
          <cell r="AV145" t="str">
            <v/>
          </cell>
          <cell r="AW145">
            <v>10718</v>
          </cell>
          <cell r="AX145" t="str">
            <v/>
          </cell>
          <cell r="AY145" t="str">
            <v/>
          </cell>
          <cell r="AZ145">
            <v>7184</v>
          </cell>
          <cell r="BA145" t="str">
            <v/>
          </cell>
          <cell r="BB145">
            <v>475.644199958</v>
          </cell>
          <cell r="BC145" t="str">
            <v/>
          </cell>
          <cell r="BD145">
            <v>296.79439995499996</v>
          </cell>
          <cell r="BE145" t="str">
            <v/>
          </cell>
          <cell r="BF145">
            <v>837.7751999300001</v>
          </cell>
          <cell r="BG145" t="str">
            <v/>
          </cell>
          <cell r="BH145">
            <v>24</v>
          </cell>
          <cell r="BI145">
            <v>0</v>
          </cell>
          <cell r="BJ145">
            <v>0</v>
          </cell>
        </row>
        <row r="146">
          <cell r="A146" t="str">
            <v>5G3</v>
          </cell>
          <cell r="B146" t="str">
            <v>Q16</v>
          </cell>
          <cell r="C146" t="str">
            <v/>
          </cell>
          <cell r="D146" t="str">
            <v/>
          </cell>
          <cell r="E146" t="str">
            <v/>
          </cell>
          <cell r="F146">
            <v>1</v>
          </cell>
          <cell r="G146">
            <v>1</v>
          </cell>
          <cell r="H146">
            <v>0</v>
          </cell>
          <cell r="J146">
            <v>1</v>
          </cell>
          <cell r="K146">
            <v>3.868499377</v>
          </cell>
          <cell r="L146">
            <v>167.66012452100003</v>
          </cell>
          <cell r="M146" t="str">
            <v/>
          </cell>
          <cell r="N146">
            <v>0</v>
          </cell>
          <cell r="Q146" t="str">
            <v/>
          </cell>
          <cell r="R146">
            <v>1</v>
          </cell>
          <cell r="S146">
            <v>17</v>
          </cell>
          <cell r="X146">
            <v>1</v>
          </cell>
          <cell r="Y146">
            <v>1</v>
          </cell>
          <cell r="Z146">
            <v>0.9</v>
          </cell>
          <cell r="AA146">
            <v>0</v>
          </cell>
          <cell r="AB146" t="str">
            <v/>
          </cell>
          <cell r="AD146">
            <v>23</v>
          </cell>
          <cell r="AE146">
            <v>281</v>
          </cell>
          <cell r="AF146">
            <v>0.81653497783773366</v>
          </cell>
          <cell r="AG146">
            <v>0</v>
          </cell>
          <cell r="AH146" t="str">
            <v/>
          </cell>
          <cell r="AI146">
            <v>3</v>
          </cell>
          <cell r="AJ146">
            <v>87</v>
          </cell>
          <cell r="AK146">
            <v>668.02885617780737</v>
          </cell>
          <cell r="AL146" t="str">
            <v/>
          </cell>
          <cell r="AM146">
            <v>0.25191803931874635</v>
          </cell>
          <cell r="AN146">
            <v>0.47222222222222221</v>
          </cell>
          <cell r="AO146">
            <v>-2182</v>
          </cell>
          <cell r="AQ146">
            <v>26393</v>
          </cell>
          <cell r="AR146" t="str">
            <v/>
          </cell>
          <cell r="AS146">
            <v>9541</v>
          </cell>
          <cell r="AU146">
            <v>23600</v>
          </cell>
          <cell r="AV146" t="str">
            <v/>
          </cell>
          <cell r="AW146">
            <v>14668</v>
          </cell>
          <cell r="AX146" t="str">
            <v/>
          </cell>
          <cell r="AY146" t="str">
            <v/>
          </cell>
          <cell r="AZ146">
            <v>9724</v>
          </cell>
          <cell r="BA146" t="str">
            <v/>
          </cell>
          <cell r="BB146">
            <v>235.70411122799999</v>
          </cell>
          <cell r="BC146">
            <v>0.167613442</v>
          </cell>
          <cell r="BD146">
            <v>560.95281895599999</v>
          </cell>
          <cell r="BE146" t="str">
            <v/>
          </cell>
          <cell r="BF146">
            <v>1382.260633697</v>
          </cell>
          <cell r="BG146" t="str">
            <v/>
          </cell>
          <cell r="BH146">
            <v>56</v>
          </cell>
          <cell r="BI146">
            <v>0</v>
          </cell>
          <cell r="BJ146">
            <v>0</v>
          </cell>
        </row>
        <row r="147">
          <cell r="A147" t="str">
            <v>5G4</v>
          </cell>
          <cell r="B147" t="str">
            <v>Q16</v>
          </cell>
          <cell r="C147" t="str">
            <v/>
          </cell>
          <cell r="D147" t="str">
            <v/>
          </cell>
          <cell r="E147" t="str">
            <v/>
          </cell>
          <cell r="F147">
            <v>1</v>
          </cell>
          <cell r="G147">
            <v>1</v>
          </cell>
          <cell r="H147">
            <v>0</v>
          </cell>
          <cell r="J147">
            <v>0</v>
          </cell>
          <cell r="K147">
            <v>8.6747095410000004</v>
          </cell>
          <cell r="L147">
            <v>372.49639104599999</v>
          </cell>
          <cell r="M147" t="str">
            <v/>
          </cell>
          <cell r="N147">
            <v>1</v>
          </cell>
          <cell r="Q147" t="str">
            <v/>
          </cell>
          <cell r="R147" t="str">
            <v/>
          </cell>
          <cell r="S147">
            <v>82</v>
          </cell>
          <cell r="X147">
            <v>1</v>
          </cell>
          <cell r="Y147">
            <v>1</v>
          </cell>
          <cell r="Z147">
            <v>0.94444444444444442</v>
          </cell>
          <cell r="AA147">
            <v>0</v>
          </cell>
          <cell r="AB147" t="str">
            <v/>
          </cell>
          <cell r="AD147">
            <v>22</v>
          </cell>
          <cell r="AE147">
            <v>107</v>
          </cell>
          <cell r="AF147">
            <v>0.40916496945010183</v>
          </cell>
          <cell r="AG147">
            <v>0</v>
          </cell>
          <cell r="AH147" t="str">
            <v/>
          </cell>
          <cell r="AI147">
            <v>2</v>
          </cell>
          <cell r="AJ147">
            <v>89</v>
          </cell>
          <cell r="AK147">
            <v>519.8833964675988</v>
          </cell>
          <cell r="AL147">
            <v>0.12112676056338029</v>
          </cell>
          <cell r="AM147">
            <v>0.26549745480514519</v>
          </cell>
          <cell r="AN147">
            <v>0.51063829787234039</v>
          </cell>
          <cell r="AO147">
            <v>-5970</v>
          </cell>
          <cell r="AQ147">
            <v>27837</v>
          </cell>
          <cell r="AR147" t="str">
            <v/>
          </cell>
          <cell r="AS147">
            <v>8414</v>
          </cell>
          <cell r="AU147">
            <v>22570</v>
          </cell>
          <cell r="AV147" t="str">
            <v/>
          </cell>
          <cell r="AW147">
            <v>15387</v>
          </cell>
          <cell r="AX147" t="str">
            <v/>
          </cell>
          <cell r="AY147" t="str">
            <v/>
          </cell>
          <cell r="AZ147">
            <v>11591</v>
          </cell>
          <cell r="BA147" t="str">
            <v/>
          </cell>
          <cell r="BB147">
            <v>379.23480827699996</v>
          </cell>
          <cell r="BC147">
            <v>0.42834546400000001</v>
          </cell>
          <cell r="BD147">
            <v>512.87776185200005</v>
          </cell>
          <cell r="BE147" t="str">
            <v/>
          </cell>
          <cell r="BF147">
            <v>965.03274263499998</v>
          </cell>
          <cell r="BG147" t="str">
            <v/>
          </cell>
          <cell r="BH147">
            <v>68</v>
          </cell>
          <cell r="BI147">
            <v>68</v>
          </cell>
          <cell r="BJ147">
            <v>0</v>
          </cell>
        </row>
        <row r="148">
          <cell r="A148" t="str">
            <v>5G5</v>
          </cell>
          <cell r="B148" t="str">
            <v>Q16</v>
          </cell>
          <cell r="C148" t="str">
            <v/>
          </cell>
          <cell r="D148" t="str">
            <v/>
          </cell>
          <cell r="E148" t="str">
            <v/>
          </cell>
          <cell r="F148">
            <v>1</v>
          </cell>
          <cell r="G148">
            <v>1</v>
          </cell>
          <cell r="H148">
            <v>0</v>
          </cell>
          <cell r="J148">
            <v>0</v>
          </cell>
          <cell r="K148">
            <v>4.3837999169999993</v>
          </cell>
          <cell r="L148">
            <v>307.12099231500002</v>
          </cell>
          <cell r="M148" t="str">
            <v/>
          </cell>
          <cell r="N148">
            <v>1</v>
          </cell>
          <cell r="Q148" t="str">
            <v/>
          </cell>
          <cell r="R148" t="str">
            <v/>
          </cell>
          <cell r="S148">
            <v>18</v>
          </cell>
          <cell r="X148">
            <v>1</v>
          </cell>
          <cell r="Y148">
            <v>1</v>
          </cell>
          <cell r="Z148">
            <v>0.92307692307692313</v>
          </cell>
          <cell r="AA148">
            <v>0</v>
          </cell>
          <cell r="AB148" t="str">
            <v/>
          </cell>
          <cell r="AD148">
            <v>25</v>
          </cell>
          <cell r="AE148">
            <v>68</v>
          </cell>
          <cell r="AF148">
            <v>0.66276395567635371</v>
          </cell>
          <cell r="AG148">
            <v>0</v>
          </cell>
          <cell r="AH148" t="str">
            <v/>
          </cell>
          <cell r="AI148">
            <v>2</v>
          </cell>
          <cell r="AJ148">
            <v>72</v>
          </cell>
          <cell r="AK148">
            <v>693.38025237906049</v>
          </cell>
          <cell r="AL148">
            <v>7.1274298056155511E-2</v>
          </cell>
          <cell r="AM148">
            <v>0.37195741824110484</v>
          </cell>
          <cell r="AN148">
            <v>0.41304347826086957</v>
          </cell>
          <cell r="AO148">
            <v>-3188</v>
          </cell>
          <cell r="AQ148">
            <v>27336</v>
          </cell>
          <cell r="AR148" t="str">
            <v/>
          </cell>
          <cell r="AS148">
            <v>6879</v>
          </cell>
          <cell r="AU148">
            <v>21344</v>
          </cell>
          <cell r="AV148" t="str">
            <v/>
          </cell>
          <cell r="AW148">
            <v>14331</v>
          </cell>
          <cell r="AX148" t="str">
            <v/>
          </cell>
          <cell r="AY148" t="str">
            <v/>
          </cell>
          <cell r="AZ148">
            <v>10628</v>
          </cell>
          <cell r="BA148" t="str">
            <v/>
          </cell>
          <cell r="BB148">
            <v>280.454493877</v>
          </cell>
          <cell r="BC148" t="str">
            <v/>
          </cell>
          <cell r="BD148">
            <v>572.86908577300005</v>
          </cell>
          <cell r="BE148" t="str">
            <v/>
          </cell>
          <cell r="BF148">
            <v>1037.772673294</v>
          </cell>
          <cell r="BG148" t="str">
            <v/>
          </cell>
          <cell r="BH148">
            <v>94</v>
          </cell>
          <cell r="BI148">
            <v>94</v>
          </cell>
          <cell r="BJ148">
            <v>0</v>
          </cell>
        </row>
        <row r="149">
          <cell r="A149" t="str">
            <v>5G6</v>
          </cell>
          <cell r="B149" t="str">
            <v>Q17</v>
          </cell>
          <cell r="C149" t="str">
            <v/>
          </cell>
          <cell r="D149" t="str">
            <v/>
          </cell>
          <cell r="E149" t="str">
            <v/>
          </cell>
          <cell r="F149">
            <v>1</v>
          </cell>
          <cell r="G149">
            <v>1</v>
          </cell>
          <cell r="H149">
            <v>0</v>
          </cell>
          <cell r="J149">
            <v>1</v>
          </cell>
          <cell r="K149">
            <v>7.0587439609999993</v>
          </cell>
          <cell r="L149">
            <v>236.56447230499995</v>
          </cell>
          <cell r="M149" t="str">
            <v/>
          </cell>
          <cell r="N149">
            <v>0</v>
          </cell>
          <cell r="Q149" t="str">
            <v/>
          </cell>
          <cell r="R149">
            <v>1</v>
          </cell>
          <cell r="S149">
            <v>411</v>
          </cell>
          <cell r="X149">
            <v>1</v>
          </cell>
          <cell r="Y149">
            <v>1</v>
          </cell>
          <cell r="Z149">
            <v>0.94736842105263153</v>
          </cell>
          <cell r="AA149">
            <v>0</v>
          </cell>
          <cell r="AB149" t="str">
            <v/>
          </cell>
          <cell r="AD149">
            <v>0</v>
          </cell>
          <cell r="AE149">
            <v>232</v>
          </cell>
          <cell r="AF149">
            <v>1.7834849295523453E-6</v>
          </cell>
          <cell r="AG149">
            <v>0</v>
          </cell>
          <cell r="AH149" t="str">
            <v/>
          </cell>
          <cell r="AI149">
            <v>0</v>
          </cell>
          <cell r="AJ149">
            <v>293</v>
          </cell>
          <cell r="AK149">
            <v>570.12706098067588</v>
          </cell>
          <cell r="AL149">
            <v>0.12007168458781362</v>
          </cell>
          <cell r="AM149">
            <v>0.26879501962532171</v>
          </cell>
          <cell r="AN149">
            <v>0.60606060606060608</v>
          </cell>
          <cell r="AO149">
            <v>-8252</v>
          </cell>
          <cell r="AQ149">
            <v>26623</v>
          </cell>
          <cell r="AR149" t="str">
            <v/>
          </cell>
          <cell r="AS149">
            <v>15360</v>
          </cell>
          <cell r="AU149">
            <v>23655</v>
          </cell>
          <cell r="AV149" t="str">
            <v/>
          </cell>
          <cell r="AW149">
            <v>22071</v>
          </cell>
          <cell r="AX149" t="str">
            <v/>
          </cell>
          <cell r="AY149" t="str">
            <v/>
          </cell>
          <cell r="AZ149">
            <v>12494</v>
          </cell>
          <cell r="BA149" t="str">
            <v/>
          </cell>
          <cell r="BB149">
            <v>195.393053079</v>
          </cell>
          <cell r="BC149">
            <v>1</v>
          </cell>
          <cell r="BD149">
            <v>387.78157720099995</v>
          </cell>
          <cell r="BE149">
            <v>2.7899999379999998</v>
          </cell>
          <cell r="BF149">
            <v>865.10125129200003</v>
          </cell>
          <cell r="BG149">
            <v>0.02</v>
          </cell>
          <cell r="BH149">
            <v>155</v>
          </cell>
          <cell r="BI149">
            <v>145</v>
          </cell>
          <cell r="BJ149">
            <v>10</v>
          </cell>
        </row>
        <row r="150">
          <cell r="A150" t="str">
            <v>5G7</v>
          </cell>
          <cell r="B150" t="str">
            <v>Q13</v>
          </cell>
          <cell r="C150" t="str">
            <v/>
          </cell>
          <cell r="D150" t="str">
            <v/>
          </cell>
          <cell r="E150">
            <v>1</v>
          </cell>
          <cell r="F150">
            <v>1</v>
          </cell>
          <cell r="G150">
            <v>1</v>
          </cell>
          <cell r="H150">
            <v>0</v>
          </cell>
          <cell r="J150">
            <v>0</v>
          </cell>
          <cell r="K150">
            <v>9.0760553930000007</v>
          </cell>
          <cell r="L150">
            <v>45.101846657999992</v>
          </cell>
          <cell r="M150">
            <v>0</v>
          </cell>
          <cell r="N150">
            <v>0</v>
          </cell>
          <cell r="Q150" t="str">
            <v/>
          </cell>
          <cell r="R150" t="str">
            <v/>
          </cell>
          <cell r="S150">
            <v>32</v>
          </cell>
          <cell r="X150">
            <v>1</v>
          </cell>
          <cell r="Y150">
            <v>1</v>
          </cell>
          <cell r="Z150">
            <v>1</v>
          </cell>
          <cell r="AA150">
            <v>0</v>
          </cell>
          <cell r="AB150" t="str">
            <v/>
          </cell>
          <cell r="AD150">
            <v>14</v>
          </cell>
          <cell r="AE150">
            <v>161</v>
          </cell>
          <cell r="AF150">
            <v>0.5404428377767736</v>
          </cell>
          <cell r="AG150">
            <v>0</v>
          </cell>
          <cell r="AH150" t="str">
            <v/>
          </cell>
          <cell r="AI150">
            <v>3</v>
          </cell>
          <cell r="AJ150">
            <v>0</v>
          </cell>
          <cell r="AK150">
            <v>1476.9617927260381</v>
          </cell>
          <cell r="AL150">
            <v>0.25</v>
          </cell>
          <cell r="AM150">
            <v>0.38972257988996839</v>
          </cell>
          <cell r="AN150">
            <v>0.68181818181818177</v>
          </cell>
          <cell r="AO150">
            <v>29</v>
          </cell>
          <cell r="AQ150">
            <v>19962</v>
          </cell>
          <cell r="AR150" t="str">
            <v/>
          </cell>
          <cell r="AS150">
            <v>9951</v>
          </cell>
          <cell r="AU150">
            <v>15832</v>
          </cell>
          <cell r="AV150" t="str">
            <v/>
          </cell>
          <cell r="AW150">
            <v>12723</v>
          </cell>
          <cell r="AX150" t="str">
            <v/>
          </cell>
          <cell r="AY150" t="str">
            <v/>
          </cell>
          <cell r="AZ150">
            <v>11688</v>
          </cell>
          <cell r="BA150" t="str">
            <v/>
          </cell>
          <cell r="BB150">
            <v>198.941248788</v>
          </cell>
          <cell r="BC150">
            <v>9</v>
          </cell>
          <cell r="BD150">
            <v>393.61013248699999</v>
          </cell>
          <cell r="BE150" t="str">
            <v/>
          </cell>
          <cell r="BF150">
            <v>514.16692560000001</v>
          </cell>
          <cell r="BG150" t="str">
            <v/>
          </cell>
          <cell r="BH150">
            <v>868</v>
          </cell>
          <cell r="BI150">
            <v>868</v>
          </cell>
          <cell r="BJ150">
            <v>0</v>
          </cell>
        </row>
        <row r="151">
          <cell r="A151" t="str">
            <v>5G8</v>
          </cell>
          <cell r="B151" t="str">
            <v>Q13</v>
          </cell>
          <cell r="C151" t="str">
            <v/>
          </cell>
          <cell r="D151" t="str">
            <v/>
          </cell>
          <cell r="E151" t="str">
            <v/>
          </cell>
          <cell r="F151">
            <v>1</v>
          </cell>
          <cell r="G151">
            <v>1</v>
          </cell>
          <cell r="H151">
            <v>0</v>
          </cell>
          <cell r="J151">
            <v>0</v>
          </cell>
          <cell r="K151">
            <v>13.257432425999999</v>
          </cell>
          <cell r="L151">
            <v>293.56267121600001</v>
          </cell>
          <cell r="M151" t="str">
            <v/>
          </cell>
          <cell r="N151">
            <v>0</v>
          </cell>
          <cell r="Q151" t="str">
            <v/>
          </cell>
          <cell r="R151" t="str">
            <v/>
          </cell>
          <cell r="S151">
            <v>92</v>
          </cell>
          <cell r="X151">
            <v>1</v>
          </cell>
          <cell r="Y151">
            <v>1</v>
          </cell>
          <cell r="Z151">
            <v>1</v>
          </cell>
          <cell r="AA151">
            <v>0</v>
          </cell>
          <cell r="AB151" t="str">
            <v/>
          </cell>
          <cell r="AD151">
            <v>26</v>
          </cell>
          <cell r="AE151">
            <v>175</v>
          </cell>
          <cell r="AF151">
            <v>0.5747298919567827</v>
          </cell>
          <cell r="AG151">
            <v>0</v>
          </cell>
          <cell r="AH151" t="str">
            <v/>
          </cell>
          <cell r="AI151">
            <v>11</v>
          </cell>
          <cell r="AJ151">
            <v>45</v>
          </cell>
          <cell r="AK151">
            <v>1078.246122763032</v>
          </cell>
          <cell r="AL151">
            <v>0.18279569892473119</v>
          </cell>
          <cell r="AM151">
            <v>0.37321316263551185</v>
          </cell>
          <cell r="AN151">
            <v>0.671875</v>
          </cell>
          <cell r="AO151">
            <v>115</v>
          </cell>
          <cell r="AQ151">
            <v>48615</v>
          </cell>
          <cell r="AR151" t="str">
            <v/>
          </cell>
          <cell r="AS151">
            <v>43117</v>
          </cell>
          <cell r="AU151">
            <v>42400</v>
          </cell>
          <cell r="AV151" t="str">
            <v/>
          </cell>
          <cell r="AW151">
            <v>29426</v>
          </cell>
          <cell r="AX151" t="str">
            <v/>
          </cell>
          <cell r="AY151" t="str">
            <v/>
          </cell>
          <cell r="AZ151">
            <v>27345</v>
          </cell>
          <cell r="BA151" t="str">
            <v/>
          </cell>
          <cell r="BB151">
            <v>511.92904915700001</v>
          </cell>
          <cell r="BC151">
            <v>52.679999985000002</v>
          </cell>
          <cell r="BD151">
            <v>984.13093749899997</v>
          </cell>
          <cell r="BE151">
            <v>0.16999999599999999</v>
          </cell>
          <cell r="BF151">
            <v>1476.9631379819998</v>
          </cell>
          <cell r="BG151" t="str">
            <v/>
          </cell>
          <cell r="BH151">
            <v>865</v>
          </cell>
          <cell r="BI151">
            <v>865</v>
          </cell>
          <cell r="BJ151">
            <v>27</v>
          </cell>
        </row>
        <row r="152">
          <cell r="A152" t="str">
            <v>5G9</v>
          </cell>
          <cell r="B152" t="str">
            <v>Q15</v>
          </cell>
          <cell r="C152" t="str">
            <v/>
          </cell>
          <cell r="D152" t="str">
            <v/>
          </cell>
          <cell r="E152" t="str">
            <v/>
          </cell>
          <cell r="F152">
            <v>1</v>
          </cell>
          <cell r="G152">
            <v>1</v>
          </cell>
          <cell r="H152">
            <v>0</v>
          </cell>
          <cell r="J152">
            <v>0</v>
          </cell>
          <cell r="K152">
            <v>81.679998220000002</v>
          </cell>
          <cell r="L152">
            <v>425.23999660000004</v>
          </cell>
          <cell r="M152" t="str">
            <v/>
          </cell>
          <cell r="N152">
            <v>0</v>
          </cell>
          <cell r="Q152" t="str">
            <v/>
          </cell>
          <cell r="R152" t="str">
            <v/>
          </cell>
          <cell r="S152">
            <v>104</v>
          </cell>
          <cell r="X152">
            <v>1</v>
          </cell>
          <cell r="Y152">
            <v>1</v>
          </cell>
          <cell r="Z152">
            <v>0.93333333333333335</v>
          </cell>
          <cell r="AA152">
            <v>0</v>
          </cell>
          <cell r="AB152" t="str">
            <v/>
          </cell>
          <cell r="AD152">
            <v>2</v>
          </cell>
          <cell r="AE152">
            <v>73</v>
          </cell>
          <cell r="AF152">
            <v>0.79274865262126404</v>
          </cell>
          <cell r="AG152">
            <v>0</v>
          </cell>
          <cell r="AH152" t="str">
            <v/>
          </cell>
          <cell r="AI152">
            <v>8</v>
          </cell>
          <cell r="AJ152">
            <v>120</v>
          </cell>
          <cell r="AK152">
            <v>1190.8419461478904</v>
          </cell>
          <cell r="AL152">
            <v>0.23262839879154079</v>
          </cell>
          <cell r="AM152">
            <v>0.26496123850811842</v>
          </cell>
          <cell r="AN152">
            <v>0.2608695652173913</v>
          </cell>
          <cell r="AO152">
            <v>131</v>
          </cell>
          <cell r="AQ152">
            <v>27126</v>
          </cell>
          <cell r="AR152" t="str">
            <v/>
          </cell>
          <cell r="AS152">
            <v>21207</v>
          </cell>
          <cell r="AU152">
            <v>19077</v>
          </cell>
          <cell r="AV152" t="str">
            <v/>
          </cell>
          <cell r="AW152">
            <v>15284</v>
          </cell>
          <cell r="AX152" t="str">
            <v/>
          </cell>
          <cell r="AY152" t="str">
            <v/>
          </cell>
          <cell r="AZ152">
            <v>15470</v>
          </cell>
          <cell r="BA152" t="str">
            <v/>
          </cell>
          <cell r="BB152">
            <v>236.559996818</v>
          </cell>
          <cell r="BC152">
            <v>10</v>
          </cell>
          <cell r="BD152">
            <v>467.20999275000003</v>
          </cell>
          <cell r="BE152" t="str">
            <v/>
          </cell>
          <cell r="BF152">
            <v>672.37998813400009</v>
          </cell>
          <cell r="BG152" t="str">
            <v/>
          </cell>
          <cell r="BH152">
            <v>194</v>
          </cell>
          <cell r="BI152">
            <v>3</v>
          </cell>
          <cell r="BJ152">
            <v>3</v>
          </cell>
        </row>
        <row r="153">
          <cell r="A153" t="str">
            <v>5GC</v>
          </cell>
          <cell r="B153" t="str">
            <v>Q02</v>
          </cell>
          <cell r="C153" t="str">
            <v/>
          </cell>
          <cell r="D153" t="str">
            <v/>
          </cell>
          <cell r="E153">
            <v>1</v>
          </cell>
          <cell r="F153">
            <v>1</v>
          </cell>
          <cell r="G153">
            <v>1</v>
          </cell>
          <cell r="H153">
            <v>0</v>
          </cell>
          <cell r="J153">
            <v>0</v>
          </cell>
          <cell r="K153">
            <v>11.819350361000001</v>
          </cell>
          <cell r="L153">
            <v>584.01365077900016</v>
          </cell>
          <cell r="M153">
            <v>0</v>
          </cell>
          <cell r="N153">
            <v>0</v>
          </cell>
          <cell r="Q153" t="str">
            <v/>
          </cell>
          <cell r="R153" t="str">
            <v/>
          </cell>
          <cell r="S153">
            <v>146</v>
          </cell>
          <cell r="X153">
            <v>1</v>
          </cell>
          <cell r="Y153">
            <v>1</v>
          </cell>
          <cell r="Z153">
            <v>1</v>
          </cell>
          <cell r="AA153">
            <v>0</v>
          </cell>
          <cell r="AB153" t="str">
            <v/>
          </cell>
          <cell r="AD153">
            <v>87</v>
          </cell>
          <cell r="AE153">
            <v>181</v>
          </cell>
          <cell r="AF153">
            <v>0.75251209527353924</v>
          </cell>
          <cell r="AG153">
            <v>0</v>
          </cell>
          <cell r="AH153" t="str">
            <v/>
          </cell>
          <cell r="AI153">
            <v>14</v>
          </cell>
          <cell r="AJ153">
            <v>479</v>
          </cell>
          <cell r="AK153">
            <v>637.7488239967937</v>
          </cell>
          <cell r="AL153" t="str">
            <v/>
          </cell>
          <cell r="AM153">
            <v>0.45265843412519785</v>
          </cell>
          <cell r="AN153">
            <v>0.47058823529411764</v>
          </cell>
          <cell r="AO153">
            <v>-8689</v>
          </cell>
          <cell r="AQ153">
            <v>41047</v>
          </cell>
          <cell r="AR153" t="str">
            <v/>
          </cell>
          <cell r="AS153">
            <v>11605</v>
          </cell>
          <cell r="AU153">
            <v>30830</v>
          </cell>
          <cell r="AV153" t="str">
            <v/>
          </cell>
          <cell r="AW153">
            <v>17298</v>
          </cell>
          <cell r="AX153" t="str">
            <v/>
          </cell>
          <cell r="AY153" t="str">
            <v/>
          </cell>
          <cell r="AZ153">
            <v>16739</v>
          </cell>
          <cell r="BA153" t="str">
            <v/>
          </cell>
          <cell r="BB153">
            <v>593.62445114700006</v>
          </cell>
          <cell r="BC153">
            <v>0.343068451</v>
          </cell>
          <cell r="BD153">
            <v>1047.3578054409998</v>
          </cell>
          <cell r="BE153" t="str">
            <v/>
          </cell>
          <cell r="BF153">
            <v>1092.9150550960001</v>
          </cell>
          <cell r="BG153" t="str">
            <v/>
          </cell>
          <cell r="BH153">
            <v>0</v>
          </cell>
          <cell r="BI153">
            <v>0</v>
          </cell>
          <cell r="BJ153">
            <v>0</v>
          </cell>
        </row>
        <row r="154">
          <cell r="A154" t="str">
            <v>5GD</v>
          </cell>
          <cell r="B154" t="str">
            <v>Q02</v>
          </cell>
          <cell r="C154" t="str">
            <v/>
          </cell>
          <cell r="D154" t="str">
            <v/>
          </cell>
          <cell r="E154" t="str">
            <v/>
          </cell>
          <cell r="F154">
            <v>1</v>
          </cell>
          <cell r="G154">
            <v>1</v>
          </cell>
          <cell r="H154">
            <v>0</v>
          </cell>
          <cell r="J154">
            <v>0</v>
          </cell>
          <cell r="K154">
            <v>27.942600036000002</v>
          </cell>
          <cell r="L154">
            <v>86.964600252000039</v>
          </cell>
          <cell r="M154" t="str">
            <v/>
          </cell>
          <cell r="N154">
            <v>0</v>
          </cell>
          <cell r="Q154" t="str">
            <v/>
          </cell>
          <cell r="R154" t="str">
            <v/>
          </cell>
          <cell r="S154">
            <v>10</v>
          </cell>
          <cell r="X154">
            <v>1</v>
          </cell>
          <cell r="Y154">
            <v>1</v>
          </cell>
          <cell r="Z154">
            <v>1</v>
          </cell>
          <cell r="AA154">
            <v>0</v>
          </cell>
          <cell r="AB154" t="str">
            <v/>
          </cell>
          <cell r="AD154">
            <v>56</v>
          </cell>
          <cell r="AE154">
            <v>99</v>
          </cell>
          <cell r="AF154">
            <v>0.43290812207330859</v>
          </cell>
          <cell r="AG154">
            <v>0</v>
          </cell>
          <cell r="AH154" t="str">
            <v/>
          </cell>
          <cell r="AI154">
            <v>2</v>
          </cell>
          <cell r="AJ154">
            <v>650</v>
          </cell>
          <cell r="AK154">
            <v>835.16848797108071</v>
          </cell>
          <cell r="AL154">
            <v>0.12909836065573771</v>
          </cell>
          <cell r="AM154">
            <v>0.24840517241379309</v>
          </cell>
          <cell r="AN154">
            <v>0.45454545454545453</v>
          </cell>
          <cell r="AO154">
            <v>154</v>
          </cell>
          <cell r="AQ154">
            <v>30541</v>
          </cell>
          <cell r="AR154" t="str">
            <v/>
          </cell>
          <cell r="AS154">
            <v>10574</v>
          </cell>
          <cell r="AU154">
            <v>24487</v>
          </cell>
          <cell r="AV154" t="str">
            <v/>
          </cell>
          <cell r="AW154">
            <v>13423</v>
          </cell>
          <cell r="AX154" t="str">
            <v/>
          </cell>
          <cell r="AY154" t="str">
            <v/>
          </cell>
          <cell r="AZ154">
            <v>12088</v>
          </cell>
          <cell r="BA154" t="str">
            <v/>
          </cell>
          <cell r="BB154">
            <v>200.21210035299998</v>
          </cell>
          <cell r="BC154">
            <v>120</v>
          </cell>
          <cell r="BD154">
            <v>449.68610077900007</v>
          </cell>
          <cell r="BE154" t="str">
            <v/>
          </cell>
          <cell r="BF154">
            <v>848.70000108999989</v>
          </cell>
          <cell r="BG154" t="str">
            <v/>
          </cell>
          <cell r="BH154">
            <v>186</v>
          </cell>
          <cell r="BI154">
            <v>188</v>
          </cell>
          <cell r="BJ154">
            <v>0</v>
          </cell>
        </row>
        <row r="155">
          <cell r="A155" t="str">
            <v>5GE</v>
          </cell>
          <cell r="B155" t="str">
            <v>Q02</v>
          </cell>
          <cell r="C155" t="str">
            <v/>
          </cell>
          <cell r="D155" t="str">
            <v/>
          </cell>
          <cell r="E155" t="str">
            <v/>
          </cell>
          <cell r="F155">
            <v>1</v>
          </cell>
          <cell r="G155">
            <v>1</v>
          </cell>
          <cell r="H155">
            <v>0</v>
          </cell>
          <cell r="J155">
            <v>0</v>
          </cell>
          <cell r="K155">
            <v>22.474995181000001</v>
          </cell>
          <cell r="L155">
            <v>429.96395339700001</v>
          </cell>
          <cell r="M155" t="str">
            <v/>
          </cell>
          <cell r="N155">
            <v>2</v>
          </cell>
          <cell r="Q155" t="str">
            <v/>
          </cell>
          <cell r="R155" t="str">
            <v/>
          </cell>
          <cell r="S155">
            <v>10</v>
          </cell>
          <cell r="X155">
            <v>1</v>
          </cell>
          <cell r="Y155">
            <v>0.9859154929577465</v>
          </cell>
          <cell r="Z155">
            <v>0.94444444444444442</v>
          </cell>
          <cell r="AA155">
            <v>0</v>
          </cell>
          <cell r="AB155" t="str">
            <v/>
          </cell>
          <cell r="AD155">
            <v>19</v>
          </cell>
          <cell r="AE155">
            <v>155</v>
          </cell>
          <cell r="AF155">
            <v>0.2791279485346676</v>
          </cell>
          <cell r="AG155">
            <v>0</v>
          </cell>
          <cell r="AH155" t="str">
            <v/>
          </cell>
          <cell r="AI155">
            <v>5</v>
          </cell>
          <cell r="AJ155">
            <v>125</v>
          </cell>
          <cell r="AK155">
            <v>760.63927179514008</v>
          </cell>
          <cell r="AL155">
            <v>0.14634146341463414</v>
          </cell>
          <cell r="AM155" t="str">
            <v/>
          </cell>
          <cell r="AN155">
            <v>0.375</v>
          </cell>
          <cell r="AO155">
            <v>-20925</v>
          </cell>
          <cell r="AQ155">
            <v>48189</v>
          </cell>
          <cell r="AR155" t="str">
            <v/>
          </cell>
          <cell r="AS155">
            <v>14822</v>
          </cell>
          <cell r="AU155">
            <v>38194</v>
          </cell>
          <cell r="AV155" t="str">
            <v/>
          </cell>
          <cell r="AW155">
            <v>24438</v>
          </cell>
          <cell r="AX155" t="str">
            <v/>
          </cell>
          <cell r="AY155" t="str">
            <v/>
          </cell>
          <cell r="AZ155">
            <v>18474</v>
          </cell>
          <cell r="BA155" t="str">
            <v/>
          </cell>
          <cell r="BB155">
            <v>402.11041358999995</v>
          </cell>
          <cell r="BC155">
            <v>61.349929838999998</v>
          </cell>
          <cell r="BD155">
            <v>770.5607894220002</v>
          </cell>
          <cell r="BE155" t="str">
            <v/>
          </cell>
          <cell r="BF155">
            <v>1120.825619924</v>
          </cell>
          <cell r="BG155" t="str">
            <v/>
          </cell>
          <cell r="BH155">
            <v>132</v>
          </cell>
          <cell r="BI155">
            <v>0</v>
          </cell>
          <cell r="BJ155">
            <v>0</v>
          </cell>
        </row>
        <row r="156">
          <cell r="A156" t="str">
            <v>5GF</v>
          </cell>
          <cell r="B156" t="str">
            <v>Q01</v>
          </cell>
          <cell r="C156" t="str">
            <v/>
          </cell>
          <cell r="D156" t="str">
            <v/>
          </cell>
          <cell r="E156" t="str">
            <v/>
          </cell>
          <cell r="F156">
            <v>1</v>
          </cell>
          <cell r="G156">
            <v>1</v>
          </cell>
          <cell r="H156">
            <v>0</v>
          </cell>
          <cell r="J156">
            <v>1</v>
          </cell>
          <cell r="K156">
            <v>42.012</v>
          </cell>
          <cell r="L156">
            <v>208.38721777199999</v>
          </cell>
          <cell r="M156">
            <v>4</v>
          </cell>
          <cell r="N156">
            <v>1</v>
          </cell>
          <cell r="Q156" t="str">
            <v/>
          </cell>
          <cell r="R156" t="str">
            <v/>
          </cell>
          <cell r="S156">
            <v>277</v>
          </cell>
          <cell r="X156">
            <v>1</v>
          </cell>
          <cell r="Y156">
            <v>1</v>
          </cell>
          <cell r="Z156">
            <v>1</v>
          </cell>
          <cell r="AA156">
            <v>0</v>
          </cell>
          <cell r="AB156" t="str">
            <v/>
          </cell>
          <cell r="AD156">
            <v>0</v>
          </cell>
          <cell r="AE156">
            <v>250</v>
          </cell>
          <cell r="AF156">
            <v>1</v>
          </cell>
          <cell r="AG156">
            <v>0</v>
          </cell>
          <cell r="AH156" t="str">
            <v/>
          </cell>
          <cell r="AI156">
            <v>2</v>
          </cell>
          <cell r="AJ156">
            <v>90</v>
          </cell>
          <cell r="AK156">
            <v>574.85500499688237</v>
          </cell>
          <cell r="AL156">
            <v>0.14457831325301204</v>
          </cell>
          <cell r="AM156">
            <v>0.3216236299461267</v>
          </cell>
          <cell r="AN156">
            <v>0.3</v>
          </cell>
          <cell r="AO156">
            <v>1254</v>
          </cell>
          <cell r="AQ156">
            <v>24655</v>
          </cell>
          <cell r="AR156" t="str">
            <v/>
          </cell>
          <cell r="AS156">
            <v>16846</v>
          </cell>
          <cell r="AU156">
            <v>23021</v>
          </cell>
          <cell r="AV156" t="str">
            <v/>
          </cell>
          <cell r="AW156">
            <v>20264</v>
          </cell>
          <cell r="AX156" t="str">
            <v/>
          </cell>
          <cell r="AY156" t="str">
            <v/>
          </cell>
          <cell r="AZ156">
            <v>12669</v>
          </cell>
          <cell r="BA156" t="str">
            <v/>
          </cell>
          <cell r="BB156">
            <v>294.14368263599999</v>
          </cell>
          <cell r="BC156">
            <v>21</v>
          </cell>
          <cell r="BD156">
            <v>492.62808962600002</v>
          </cell>
          <cell r="BE156">
            <v>15</v>
          </cell>
          <cell r="BF156">
            <v>712.00236296000003</v>
          </cell>
          <cell r="BG156">
            <v>25</v>
          </cell>
          <cell r="BH156">
            <v>0</v>
          </cell>
          <cell r="BI156">
            <v>0</v>
          </cell>
          <cell r="BJ156">
            <v>0</v>
          </cell>
        </row>
        <row r="157">
          <cell r="A157" t="str">
            <v>5GG</v>
          </cell>
          <cell r="B157" t="str">
            <v>Q02</v>
          </cell>
          <cell r="C157" t="str">
            <v/>
          </cell>
          <cell r="D157" t="str">
            <v/>
          </cell>
          <cell r="E157" t="str">
            <v/>
          </cell>
          <cell r="F157">
            <v>1</v>
          </cell>
          <cell r="G157">
            <v>1</v>
          </cell>
          <cell r="H157">
            <v>0</v>
          </cell>
          <cell r="J157">
            <v>0</v>
          </cell>
          <cell r="K157">
            <v>24.472438506</v>
          </cell>
          <cell r="L157">
            <v>76.265671269000009</v>
          </cell>
          <cell r="M157" t="str">
            <v/>
          </cell>
          <cell r="N157">
            <v>0</v>
          </cell>
          <cell r="Q157" t="str">
            <v/>
          </cell>
          <cell r="R157" t="str">
            <v/>
          </cell>
          <cell r="S157" t="str">
            <v/>
          </cell>
          <cell r="X157">
            <v>1</v>
          </cell>
          <cell r="Y157">
            <v>1</v>
          </cell>
          <cell r="Z157">
            <v>0.91666666666666663</v>
          </cell>
          <cell r="AA157">
            <v>0</v>
          </cell>
          <cell r="AB157" t="str">
            <v/>
          </cell>
          <cell r="AD157">
            <v>1</v>
          </cell>
          <cell r="AE157">
            <v>209</v>
          </cell>
          <cell r="AF157">
            <v>0.62943372744243931</v>
          </cell>
          <cell r="AG157">
            <v>0</v>
          </cell>
          <cell r="AH157" t="str">
            <v/>
          </cell>
          <cell r="AI157">
            <v>0</v>
          </cell>
          <cell r="AJ157">
            <v>0</v>
          </cell>
          <cell r="AK157">
            <v>670.97132892758316</v>
          </cell>
          <cell r="AL157">
            <v>0.16199376947040497</v>
          </cell>
          <cell r="AM157">
            <v>0.27892083901389603</v>
          </cell>
          <cell r="AN157">
            <v>0.57692307692307687</v>
          </cell>
          <cell r="AO157">
            <v>-643</v>
          </cell>
          <cell r="AQ157">
            <v>17648</v>
          </cell>
          <cell r="AR157" t="str">
            <v/>
          </cell>
          <cell r="AS157">
            <v>9876</v>
          </cell>
          <cell r="AU157">
            <v>13105</v>
          </cell>
          <cell r="AV157" t="str">
            <v/>
          </cell>
          <cell r="AW157">
            <v>9424</v>
          </cell>
          <cell r="AX157" t="str">
            <v/>
          </cell>
          <cell r="AY157" t="str">
            <v/>
          </cell>
          <cell r="AZ157">
            <v>8451</v>
          </cell>
          <cell r="BA157" t="str">
            <v/>
          </cell>
          <cell r="BB157">
            <v>183.08434917700001</v>
          </cell>
          <cell r="BC157">
            <v>0.28033593899999998</v>
          </cell>
          <cell r="BD157">
            <v>324.71487951799998</v>
          </cell>
          <cell r="BE157" t="str">
            <v/>
          </cell>
          <cell r="BF157">
            <v>620.63796102499998</v>
          </cell>
          <cell r="BG157" t="str">
            <v/>
          </cell>
          <cell r="BH157">
            <v>179</v>
          </cell>
          <cell r="BI157">
            <v>0</v>
          </cell>
          <cell r="BJ157">
            <v>0</v>
          </cell>
        </row>
        <row r="158">
          <cell r="A158" t="str">
            <v>5GH</v>
          </cell>
          <cell r="B158" t="str">
            <v>Q02</v>
          </cell>
          <cell r="C158" t="str">
            <v/>
          </cell>
          <cell r="D158" t="str">
            <v/>
          </cell>
          <cell r="E158" t="str">
            <v/>
          </cell>
          <cell r="F158">
            <v>1</v>
          </cell>
          <cell r="G158">
            <v>1</v>
          </cell>
          <cell r="H158">
            <v>0</v>
          </cell>
          <cell r="J158">
            <v>0</v>
          </cell>
          <cell r="K158">
            <v>48.136778788999997</v>
          </cell>
          <cell r="L158">
            <v>147.41129643400001</v>
          </cell>
          <cell r="M158" t="str">
            <v/>
          </cell>
          <cell r="N158">
            <v>0</v>
          </cell>
          <cell r="Q158" t="str">
            <v/>
          </cell>
          <cell r="R158" t="str">
            <v/>
          </cell>
          <cell r="S158">
            <v>1</v>
          </cell>
          <cell r="X158">
            <v>1</v>
          </cell>
          <cell r="Y158">
            <v>0.9859154929577465</v>
          </cell>
          <cell r="Z158">
            <v>0.96969696969696972</v>
          </cell>
          <cell r="AA158">
            <v>0</v>
          </cell>
          <cell r="AB158" t="str">
            <v/>
          </cell>
          <cell r="AD158">
            <v>8</v>
          </cell>
          <cell r="AE158">
            <v>322</v>
          </cell>
          <cell r="AF158">
            <v>0.22541299984560753</v>
          </cell>
          <cell r="AG158">
            <v>0</v>
          </cell>
          <cell r="AH158" t="str">
            <v/>
          </cell>
          <cell r="AI158">
            <v>2</v>
          </cell>
          <cell r="AJ158">
            <v>52</v>
          </cell>
          <cell r="AK158">
            <v>479.8203463354418</v>
          </cell>
          <cell r="AL158">
            <v>0.20353982300884957</v>
          </cell>
          <cell r="AM158" t="str">
            <v/>
          </cell>
          <cell r="AN158">
            <v>0.30188679245283018</v>
          </cell>
          <cell r="AO158">
            <v>-6728</v>
          </cell>
          <cell r="AQ158">
            <v>33191</v>
          </cell>
          <cell r="AR158" t="str">
            <v/>
          </cell>
          <cell r="AS158">
            <v>18961</v>
          </cell>
          <cell r="AU158">
            <v>27647</v>
          </cell>
          <cell r="AV158" t="str">
            <v/>
          </cell>
          <cell r="AW158">
            <v>19300</v>
          </cell>
          <cell r="AX158" t="str">
            <v/>
          </cell>
          <cell r="AY158" t="str">
            <v/>
          </cell>
          <cell r="AZ158">
            <v>15790</v>
          </cell>
          <cell r="BA158" t="str">
            <v/>
          </cell>
          <cell r="BB158">
            <v>373.02920311600002</v>
          </cell>
          <cell r="BC158">
            <v>0.30190024199999999</v>
          </cell>
          <cell r="BD158">
            <v>672.11083534199997</v>
          </cell>
          <cell r="BE158" t="str">
            <v/>
          </cell>
          <cell r="BF158">
            <v>1271.7010650710001</v>
          </cell>
          <cell r="BG158" t="str">
            <v/>
          </cell>
          <cell r="BH158">
            <v>365</v>
          </cell>
          <cell r="BI158">
            <v>0</v>
          </cell>
          <cell r="BJ158">
            <v>0</v>
          </cell>
        </row>
        <row r="159">
          <cell r="A159" t="str">
            <v>5GJ</v>
          </cell>
          <cell r="B159" t="str">
            <v>Q02</v>
          </cell>
          <cell r="C159" t="str">
            <v/>
          </cell>
          <cell r="D159" t="str">
            <v/>
          </cell>
          <cell r="E159" t="str">
            <v/>
          </cell>
          <cell r="F159">
            <v>1</v>
          </cell>
          <cell r="G159">
            <v>1</v>
          </cell>
          <cell r="H159">
            <v>0</v>
          </cell>
          <cell r="J159">
            <v>0</v>
          </cell>
          <cell r="K159">
            <v>32.052631037000005</v>
          </cell>
          <cell r="L159">
            <v>143.85992763100001</v>
          </cell>
          <cell r="M159" t="str">
            <v/>
          </cell>
          <cell r="N159">
            <v>0</v>
          </cell>
          <cell r="Q159" t="str">
            <v/>
          </cell>
          <cell r="R159" t="str">
            <v/>
          </cell>
          <cell r="S159">
            <v>20</v>
          </cell>
          <cell r="X159">
            <v>1</v>
          </cell>
          <cell r="Y159">
            <v>1</v>
          </cell>
          <cell r="Z159">
            <v>1</v>
          </cell>
          <cell r="AA159">
            <v>0</v>
          </cell>
          <cell r="AB159" t="str">
            <v/>
          </cell>
          <cell r="AD159">
            <v>2</v>
          </cell>
          <cell r="AE159">
            <v>254</v>
          </cell>
          <cell r="AF159">
            <v>0.85622827876349006</v>
          </cell>
          <cell r="AG159">
            <v>0</v>
          </cell>
          <cell r="AH159" t="str">
            <v/>
          </cell>
          <cell r="AI159">
            <v>3</v>
          </cell>
          <cell r="AJ159">
            <v>216</v>
          </cell>
          <cell r="AK159">
            <v>435.83721557001502</v>
          </cell>
          <cell r="AL159">
            <v>0.12862318840579709</v>
          </cell>
          <cell r="AM159">
            <v>0.25304407782034788</v>
          </cell>
          <cell r="AN159">
            <v>0.47727272727272729</v>
          </cell>
          <cell r="AO159">
            <v>-812</v>
          </cell>
          <cell r="AQ159">
            <v>35097</v>
          </cell>
          <cell r="AR159" t="str">
            <v/>
          </cell>
          <cell r="AS159">
            <v>15983</v>
          </cell>
          <cell r="AU159">
            <v>28155</v>
          </cell>
          <cell r="AV159" t="str">
            <v/>
          </cell>
          <cell r="AW159">
            <v>18554</v>
          </cell>
          <cell r="AX159" t="str">
            <v/>
          </cell>
          <cell r="AY159" t="str">
            <v/>
          </cell>
          <cell r="AZ159">
            <v>13701</v>
          </cell>
          <cell r="BA159" t="str">
            <v/>
          </cell>
          <cell r="BB159">
            <v>292.11166319699998</v>
          </cell>
          <cell r="BC159">
            <v>0.172514424</v>
          </cell>
          <cell r="BD159">
            <v>509.84146564900004</v>
          </cell>
          <cell r="BE159">
            <v>5.9999998999999998E-2</v>
          </cell>
          <cell r="BF159">
            <v>1009.3449680149999</v>
          </cell>
          <cell r="BG159">
            <v>3.6000002000000003E-2</v>
          </cell>
          <cell r="BH159">
            <v>253</v>
          </cell>
          <cell r="BI159">
            <v>0</v>
          </cell>
          <cell r="BJ159">
            <v>0</v>
          </cell>
        </row>
        <row r="160">
          <cell r="A160" t="str">
            <v>5GK</v>
          </cell>
          <cell r="B160" t="str">
            <v>Q02</v>
          </cell>
          <cell r="C160" t="str">
            <v/>
          </cell>
          <cell r="D160" t="str">
            <v/>
          </cell>
          <cell r="E160">
            <v>1</v>
          </cell>
          <cell r="F160">
            <v>1</v>
          </cell>
          <cell r="G160">
            <v>1</v>
          </cell>
          <cell r="H160">
            <v>1</v>
          </cell>
          <cell r="J160">
            <v>0</v>
          </cell>
          <cell r="K160">
            <v>3.8350000259999995</v>
          </cell>
          <cell r="L160">
            <v>108.48850032800001</v>
          </cell>
          <cell r="M160" t="str">
            <v/>
          </cell>
          <cell r="N160">
            <v>0</v>
          </cell>
          <cell r="Q160" t="str">
            <v/>
          </cell>
          <cell r="R160" t="str">
            <v/>
          </cell>
          <cell r="S160">
            <v>9</v>
          </cell>
          <cell r="X160">
            <v>0.98076923076923073</v>
          </cell>
          <cell r="Y160">
            <v>1</v>
          </cell>
          <cell r="Z160">
            <v>1</v>
          </cell>
          <cell r="AA160">
            <v>0</v>
          </cell>
          <cell r="AB160" t="str">
            <v/>
          </cell>
          <cell r="AD160">
            <v>3</v>
          </cell>
          <cell r="AE160">
            <v>103</v>
          </cell>
          <cell r="AF160">
            <v>0.85867237687366171</v>
          </cell>
          <cell r="AG160">
            <v>0</v>
          </cell>
          <cell r="AH160" t="str">
            <v/>
          </cell>
          <cell r="AI160">
            <v>0</v>
          </cell>
          <cell r="AJ160">
            <v>0</v>
          </cell>
          <cell r="AK160">
            <v>642.17099793019258</v>
          </cell>
          <cell r="AL160">
            <v>0.30952380952380953</v>
          </cell>
          <cell r="AM160">
            <v>0.35245955008627144</v>
          </cell>
          <cell r="AN160">
            <v>0.48</v>
          </cell>
          <cell r="AO160">
            <v>-4318</v>
          </cell>
          <cell r="AQ160">
            <v>13613</v>
          </cell>
          <cell r="AR160" t="str">
            <v/>
          </cell>
          <cell r="AS160">
            <v>5233</v>
          </cell>
          <cell r="AU160">
            <v>11527</v>
          </cell>
          <cell r="AV160" t="str">
            <v/>
          </cell>
          <cell r="AW160">
            <v>9432</v>
          </cell>
          <cell r="AX160" t="str">
            <v/>
          </cell>
          <cell r="AY160" t="str">
            <v/>
          </cell>
          <cell r="AZ160">
            <v>5247</v>
          </cell>
          <cell r="BA160" t="str">
            <v/>
          </cell>
          <cell r="BB160">
            <v>123.86460288000001</v>
          </cell>
          <cell r="BC160" t="str">
            <v/>
          </cell>
          <cell r="BD160">
            <v>164.252003344</v>
          </cell>
          <cell r="BE160" t="str">
            <v/>
          </cell>
          <cell r="BF160">
            <v>307.063506539</v>
          </cell>
          <cell r="BG160" t="str">
            <v/>
          </cell>
          <cell r="BH160">
            <v>52</v>
          </cell>
          <cell r="BI160">
            <v>0</v>
          </cell>
          <cell r="BJ160">
            <v>0</v>
          </cell>
        </row>
        <row r="161">
          <cell r="A161" t="str">
            <v>5GL</v>
          </cell>
          <cell r="B161" t="str">
            <v>Q03</v>
          </cell>
          <cell r="C161" t="str">
            <v/>
          </cell>
          <cell r="D161" t="str">
            <v/>
          </cell>
          <cell r="E161" t="str">
            <v/>
          </cell>
          <cell r="F161">
            <v>1</v>
          </cell>
          <cell r="G161">
            <v>1</v>
          </cell>
          <cell r="H161">
            <v>0</v>
          </cell>
          <cell r="J161">
            <v>0</v>
          </cell>
          <cell r="K161">
            <v>50.012</v>
          </cell>
          <cell r="L161">
            <v>126.13203237500001</v>
          </cell>
          <cell r="M161" t="str">
            <v/>
          </cell>
          <cell r="N161">
            <v>1</v>
          </cell>
          <cell r="Q161" t="str">
            <v/>
          </cell>
          <cell r="R161">
            <v>1</v>
          </cell>
          <cell r="S161">
            <v>38</v>
          </cell>
          <cell r="X161">
            <v>1</v>
          </cell>
          <cell r="Y161">
            <v>1</v>
          </cell>
          <cell r="Z161">
            <v>1</v>
          </cell>
          <cell r="AA161">
            <v>0</v>
          </cell>
          <cell r="AB161" t="str">
            <v/>
          </cell>
          <cell r="AD161">
            <v>3</v>
          </cell>
          <cell r="AE161">
            <v>140</v>
          </cell>
          <cell r="AF161">
            <v>0.95025603511338697</v>
          </cell>
          <cell r="AG161">
            <v>0</v>
          </cell>
          <cell r="AH161" t="str">
            <v/>
          </cell>
          <cell r="AI161">
            <v>7</v>
          </cell>
          <cell r="AJ161">
            <v>0</v>
          </cell>
          <cell r="AK161">
            <v>585.513538215469</v>
          </cell>
          <cell r="AL161" t="str">
            <v/>
          </cell>
          <cell r="AM161" t="str">
            <v/>
          </cell>
          <cell r="AN161">
            <v>8.3333333333333329E-2</v>
          </cell>
          <cell r="AO161">
            <v>-2659</v>
          </cell>
          <cell r="AQ161">
            <v>9440</v>
          </cell>
          <cell r="AR161" t="str">
            <v/>
          </cell>
          <cell r="AS161">
            <v>9965</v>
          </cell>
          <cell r="AU161">
            <v>11722</v>
          </cell>
          <cell r="AV161" t="str">
            <v/>
          </cell>
          <cell r="AW161">
            <v>7632</v>
          </cell>
          <cell r="AX161" t="str">
            <v/>
          </cell>
          <cell r="AY161" t="str">
            <v/>
          </cell>
          <cell r="AZ161">
            <v>6030</v>
          </cell>
          <cell r="BA161" t="str">
            <v/>
          </cell>
          <cell r="BB161">
            <v>177.49060174299998</v>
          </cell>
          <cell r="BC161" t="str">
            <v/>
          </cell>
          <cell r="BD161">
            <v>234.16448079600002</v>
          </cell>
          <cell r="BE161" t="str">
            <v/>
          </cell>
          <cell r="BF161">
            <v>344.08136101899998</v>
          </cell>
          <cell r="BG161" t="str">
            <v/>
          </cell>
          <cell r="BH161">
            <v>104</v>
          </cell>
          <cell r="BI161">
            <v>104</v>
          </cell>
          <cell r="BJ161">
            <v>0</v>
          </cell>
        </row>
        <row r="162">
          <cell r="A162" t="str">
            <v>5GM</v>
          </cell>
          <cell r="B162" t="str">
            <v>Q03</v>
          </cell>
          <cell r="C162" t="str">
            <v/>
          </cell>
          <cell r="D162" t="str">
            <v/>
          </cell>
          <cell r="E162">
            <v>1</v>
          </cell>
          <cell r="F162">
            <v>1</v>
          </cell>
          <cell r="G162">
            <v>1</v>
          </cell>
          <cell r="H162">
            <v>0</v>
          </cell>
          <cell r="J162">
            <v>0</v>
          </cell>
          <cell r="K162">
            <v>5.2231999949999999</v>
          </cell>
          <cell r="L162">
            <v>82.830436837999983</v>
          </cell>
          <cell r="M162" t="str">
            <v/>
          </cell>
          <cell r="N162">
            <v>0</v>
          </cell>
          <cell r="Q162" t="str">
            <v/>
          </cell>
          <cell r="R162">
            <v>1</v>
          </cell>
          <cell r="S162">
            <v>11</v>
          </cell>
          <cell r="X162">
            <v>1</v>
          </cell>
          <cell r="Y162">
            <v>1</v>
          </cell>
          <cell r="Z162">
            <v>1</v>
          </cell>
          <cell r="AA162">
            <v>0</v>
          </cell>
          <cell r="AB162" t="str">
            <v/>
          </cell>
          <cell r="AD162">
            <v>14</v>
          </cell>
          <cell r="AE162">
            <v>321</v>
          </cell>
          <cell r="AF162">
            <v>0.82069233761182414</v>
          </cell>
          <cell r="AG162">
            <v>0</v>
          </cell>
          <cell r="AH162" t="str">
            <v/>
          </cell>
          <cell r="AI162">
            <v>5</v>
          </cell>
          <cell r="AJ162">
            <v>68</v>
          </cell>
          <cell r="AK162">
            <v>824.74070364722036</v>
          </cell>
          <cell r="AL162" t="str">
            <v/>
          </cell>
          <cell r="AM162">
            <v>0.2602881110281523</v>
          </cell>
          <cell r="AN162">
            <v>0.63829787234042556</v>
          </cell>
          <cell r="AO162">
            <v>-4395</v>
          </cell>
          <cell r="AQ162">
            <v>26780</v>
          </cell>
          <cell r="AR162" t="str">
            <v/>
          </cell>
          <cell r="AS162">
            <v>13340</v>
          </cell>
          <cell r="AU162">
            <v>24004</v>
          </cell>
          <cell r="AV162" t="str">
            <v/>
          </cell>
          <cell r="AW162">
            <v>14097</v>
          </cell>
          <cell r="AX162" t="str">
            <v/>
          </cell>
          <cell r="AY162" t="str">
            <v/>
          </cell>
          <cell r="AZ162">
            <v>12992</v>
          </cell>
          <cell r="BA162" t="str">
            <v/>
          </cell>
          <cell r="BB162">
            <v>273.790109272</v>
          </cell>
          <cell r="BC162" t="str">
            <v/>
          </cell>
          <cell r="BD162">
            <v>363.21102970699997</v>
          </cell>
          <cell r="BE162" t="str">
            <v/>
          </cell>
          <cell r="BF162">
            <v>654.54540449000001</v>
          </cell>
          <cell r="BG162">
            <v>4.4999998999999999E-2</v>
          </cell>
          <cell r="BH162">
            <v>78</v>
          </cell>
          <cell r="BI162">
            <v>105</v>
          </cell>
          <cell r="BJ162">
            <v>0</v>
          </cell>
        </row>
        <row r="163">
          <cell r="A163" t="str">
            <v>5GN</v>
          </cell>
          <cell r="B163" t="str">
            <v>Q03</v>
          </cell>
          <cell r="C163" t="str">
            <v/>
          </cell>
          <cell r="D163" t="str">
            <v/>
          </cell>
          <cell r="E163" t="str">
            <v/>
          </cell>
          <cell r="F163">
            <v>1</v>
          </cell>
          <cell r="G163">
            <v>1</v>
          </cell>
          <cell r="H163">
            <v>0</v>
          </cell>
          <cell r="J163">
            <v>0</v>
          </cell>
          <cell r="K163">
            <v>13.326199993000001</v>
          </cell>
          <cell r="L163">
            <v>78.417527537000012</v>
          </cell>
          <cell r="M163" t="str">
            <v/>
          </cell>
          <cell r="N163">
            <v>0</v>
          </cell>
          <cell r="Q163" t="str">
            <v/>
          </cell>
          <cell r="R163" t="str">
            <v/>
          </cell>
          <cell r="S163" t="str">
            <v/>
          </cell>
          <cell r="X163">
            <v>1</v>
          </cell>
          <cell r="Y163">
            <v>1</v>
          </cell>
          <cell r="Z163">
            <v>1</v>
          </cell>
          <cell r="AA163">
            <v>0</v>
          </cell>
          <cell r="AB163" t="str">
            <v/>
          </cell>
          <cell r="AD163">
            <v>5</v>
          </cell>
          <cell r="AE163">
            <v>109</v>
          </cell>
          <cell r="AF163">
            <v>0.91583257506824389</v>
          </cell>
          <cell r="AG163">
            <v>0</v>
          </cell>
          <cell r="AH163" t="str">
            <v/>
          </cell>
          <cell r="AI163">
            <v>5</v>
          </cell>
          <cell r="AJ163">
            <v>112</v>
          </cell>
          <cell r="AK163">
            <v>599.80063932904818</v>
          </cell>
          <cell r="AL163">
            <v>6.5217391304347824E-2</v>
          </cell>
          <cell r="AM163">
            <v>0.25368385230559809</v>
          </cell>
          <cell r="AN163">
            <v>0.5714285714285714</v>
          </cell>
          <cell r="AO163">
            <v>-1457</v>
          </cell>
          <cell r="AQ163">
            <v>12554</v>
          </cell>
          <cell r="AR163" t="str">
            <v/>
          </cell>
          <cell r="AS163">
            <v>6123</v>
          </cell>
          <cell r="AU163">
            <v>10493</v>
          </cell>
          <cell r="AV163" t="str">
            <v/>
          </cell>
          <cell r="AW163">
            <v>7986</v>
          </cell>
          <cell r="AX163" t="str">
            <v/>
          </cell>
          <cell r="AY163" t="str">
            <v/>
          </cell>
          <cell r="AZ163">
            <v>5490</v>
          </cell>
          <cell r="BA163" t="str">
            <v/>
          </cell>
          <cell r="BB163">
            <v>111.873726574</v>
          </cell>
          <cell r="BC163" t="str">
            <v/>
          </cell>
          <cell r="BD163">
            <v>139.60781477099999</v>
          </cell>
          <cell r="BE163" t="str">
            <v/>
          </cell>
          <cell r="BF163">
            <v>226.952605527</v>
          </cell>
          <cell r="BG163" t="str">
            <v/>
          </cell>
          <cell r="BH163">
            <v>40</v>
          </cell>
          <cell r="BI163">
            <v>32</v>
          </cell>
          <cell r="BJ163">
            <v>8</v>
          </cell>
        </row>
        <row r="164">
          <cell r="A164" t="str">
            <v>5GP</v>
          </cell>
          <cell r="B164" t="str">
            <v>Q03</v>
          </cell>
          <cell r="C164" t="str">
            <v/>
          </cell>
          <cell r="D164" t="str">
            <v/>
          </cell>
          <cell r="E164" t="str">
            <v/>
          </cell>
          <cell r="F164">
            <v>1</v>
          </cell>
          <cell r="G164">
            <v>1</v>
          </cell>
          <cell r="H164">
            <v>0</v>
          </cell>
          <cell r="J164">
            <v>0</v>
          </cell>
          <cell r="K164">
            <v>39.891500981999997</v>
          </cell>
          <cell r="L164">
            <v>676.48050329300008</v>
          </cell>
          <cell r="M164" t="str">
            <v/>
          </cell>
          <cell r="N164">
            <v>0</v>
          </cell>
          <cell r="Q164" t="str">
            <v/>
          </cell>
          <cell r="R164" t="str">
            <v/>
          </cell>
          <cell r="S164">
            <v>42</v>
          </cell>
          <cell r="X164">
            <v>1</v>
          </cell>
          <cell r="Y164">
            <v>1</v>
          </cell>
          <cell r="Z164">
            <v>0.94736842105263153</v>
          </cell>
          <cell r="AA164">
            <v>0</v>
          </cell>
          <cell r="AB164" t="str">
            <v/>
          </cell>
          <cell r="AD164">
            <v>11</v>
          </cell>
          <cell r="AE164">
            <v>255</v>
          </cell>
          <cell r="AF164">
            <v>0.94592760180995472</v>
          </cell>
          <cell r="AG164">
            <v>0</v>
          </cell>
          <cell r="AH164" t="str">
            <v/>
          </cell>
          <cell r="AI164">
            <v>2</v>
          </cell>
          <cell r="AJ164">
            <v>43</v>
          </cell>
          <cell r="AK164">
            <v>693.35821373361512</v>
          </cell>
          <cell r="AL164" t="str">
            <v/>
          </cell>
          <cell r="AM164">
            <v>0.40525503972039695</v>
          </cell>
          <cell r="AN164">
            <v>0.63157894736842102</v>
          </cell>
          <cell r="AO164">
            <v>-1386</v>
          </cell>
          <cell r="AQ164">
            <v>26522</v>
          </cell>
          <cell r="AR164" t="str">
            <v/>
          </cell>
          <cell r="AS164">
            <v>15413</v>
          </cell>
          <cell r="AU164">
            <v>23595</v>
          </cell>
          <cell r="AV164" t="str">
            <v/>
          </cell>
          <cell r="AW164">
            <v>13879</v>
          </cell>
          <cell r="AX164" t="str">
            <v/>
          </cell>
          <cell r="AY164" t="str">
            <v/>
          </cell>
          <cell r="AZ164">
            <v>7591</v>
          </cell>
          <cell r="BA164" t="str">
            <v/>
          </cell>
          <cell r="BB164">
            <v>406.77173204799999</v>
          </cell>
          <cell r="BC164" t="str">
            <v/>
          </cell>
          <cell r="BD164">
            <v>483.71371111000008</v>
          </cell>
          <cell r="BE164" t="str">
            <v/>
          </cell>
          <cell r="BF164">
            <v>1532.860726074</v>
          </cell>
          <cell r="BG164">
            <v>8.0999997000000004E-2</v>
          </cell>
          <cell r="BH164">
            <v>51</v>
          </cell>
          <cell r="BI164">
            <v>51</v>
          </cell>
          <cell r="BJ164">
            <v>0</v>
          </cell>
        </row>
        <row r="165">
          <cell r="A165" t="str">
            <v>5GQ</v>
          </cell>
          <cell r="B165" t="str">
            <v>Q03</v>
          </cell>
          <cell r="C165" t="str">
            <v/>
          </cell>
          <cell r="D165" t="str">
            <v/>
          </cell>
          <cell r="E165">
            <v>1</v>
          </cell>
          <cell r="F165">
            <v>1</v>
          </cell>
          <cell r="G165">
            <v>1</v>
          </cell>
          <cell r="H165">
            <v>0</v>
          </cell>
          <cell r="J165">
            <v>0</v>
          </cell>
          <cell r="K165">
            <v>24.645999628000002</v>
          </cell>
          <cell r="L165">
            <v>652.40549985500013</v>
          </cell>
          <cell r="M165" t="str">
            <v/>
          </cell>
          <cell r="N165">
            <v>0</v>
          </cell>
          <cell r="Q165" t="str">
            <v/>
          </cell>
          <cell r="R165" t="str">
            <v/>
          </cell>
          <cell r="S165" t="str">
            <v/>
          </cell>
          <cell r="X165">
            <v>1</v>
          </cell>
          <cell r="Y165">
            <v>1</v>
          </cell>
          <cell r="Z165">
            <v>0.9</v>
          </cell>
          <cell r="AA165">
            <v>0</v>
          </cell>
          <cell r="AB165" t="str">
            <v/>
          </cell>
          <cell r="AD165">
            <v>21</v>
          </cell>
          <cell r="AE165">
            <v>374</v>
          </cell>
          <cell r="AF165">
            <v>0.9492481203007519</v>
          </cell>
          <cell r="AG165">
            <v>0</v>
          </cell>
          <cell r="AH165" t="str">
            <v/>
          </cell>
          <cell r="AI165">
            <v>2</v>
          </cell>
          <cell r="AJ165">
            <v>56</v>
          </cell>
          <cell r="AK165">
            <v>784.65333543274016</v>
          </cell>
          <cell r="AL165" t="str">
            <v/>
          </cell>
          <cell r="AM165">
            <v>0.40618687648298918</v>
          </cell>
          <cell r="AN165">
            <v>0.84090909090909094</v>
          </cell>
          <cell r="AO165">
            <v>1287</v>
          </cell>
          <cell r="AQ165">
            <v>27236</v>
          </cell>
          <cell r="AR165" t="str">
            <v/>
          </cell>
          <cell r="AS165">
            <v>19215</v>
          </cell>
          <cell r="AU165">
            <v>24510</v>
          </cell>
          <cell r="AV165" t="str">
            <v/>
          </cell>
          <cell r="AW165">
            <v>13754</v>
          </cell>
          <cell r="AX165" t="str">
            <v/>
          </cell>
          <cell r="AY165" t="str">
            <v/>
          </cell>
          <cell r="AZ165">
            <v>8549</v>
          </cell>
          <cell r="BA165" t="str">
            <v/>
          </cell>
          <cell r="BB165">
            <v>219.462687058</v>
          </cell>
          <cell r="BC165" t="str">
            <v/>
          </cell>
          <cell r="BD165">
            <v>481.192248409</v>
          </cell>
          <cell r="BE165" t="str">
            <v/>
          </cell>
          <cell r="BF165">
            <v>1487.2719154690003</v>
          </cell>
          <cell r="BG165">
            <v>8.9999997999999998E-2</v>
          </cell>
          <cell r="BH165">
            <v>79</v>
          </cell>
          <cell r="BI165">
            <v>79</v>
          </cell>
          <cell r="BJ165">
            <v>0</v>
          </cell>
        </row>
        <row r="166">
          <cell r="A166" t="str">
            <v>5GR</v>
          </cell>
          <cell r="B166" t="str">
            <v>Q03</v>
          </cell>
          <cell r="C166" t="str">
            <v/>
          </cell>
          <cell r="D166" t="str">
            <v/>
          </cell>
          <cell r="E166" t="str">
            <v/>
          </cell>
          <cell r="F166">
            <v>1</v>
          </cell>
          <cell r="G166">
            <v>1</v>
          </cell>
          <cell r="H166">
            <v>0</v>
          </cell>
          <cell r="J166">
            <v>0</v>
          </cell>
          <cell r="K166">
            <v>20.227199433000003</v>
          </cell>
          <cell r="L166">
            <v>480.31169995999994</v>
          </cell>
          <cell r="M166" t="str">
            <v/>
          </cell>
          <cell r="N166">
            <v>0</v>
          </cell>
          <cell r="Q166" t="str">
            <v/>
          </cell>
          <cell r="R166">
            <v>1</v>
          </cell>
          <cell r="S166">
            <v>2</v>
          </cell>
          <cell r="X166">
            <v>1</v>
          </cell>
          <cell r="Y166">
            <v>1</v>
          </cell>
          <cell r="Z166">
            <v>0.9285714285714286</v>
          </cell>
          <cell r="AA166">
            <v>0</v>
          </cell>
          <cell r="AB166" t="str">
            <v/>
          </cell>
          <cell r="AD166">
            <v>5</v>
          </cell>
          <cell r="AE166">
            <v>352</v>
          </cell>
          <cell r="AF166">
            <v>0.96058994197292069</v>
          </cell>
          <cell r="AG166">
            <v>0</v>
          </cell>
          <cell r="AH166" t="str">
            <v/>
          </cell>
          <cell r="AI166">
            <v>3.4</v>
          </cell>
          <cell r="AJ166">
            <v>82</v>
          </cell>
          <cell r="AK166">
            <v>1185.1758158360738</v>
          </cell>
          <cell r="AL166" t="str">
            <v/>
          </cell>
          <cell r="AM166">
            <v>0.30057305198747059</v>
          </cell>
          <cell r="AN166">
            <v>0.80645161290322576</v>
          </cell>
          <cell r="AO166">
            <v>738</v>
          </cell>
          <cell r="AQ166">
            <v>19466</v>
          </cell>
          <cell r="AR166" t="str">
            <v/>
          </cell>
          <cell r="AS166">
            <v>14830</v>
          </cell>
          <cell r="AU166">
            <v>17445</v>
          </cell>
          <cell r="AV166" t="str">
            <v/>
          </cell>
          <cell r="AW166">
            <v>11157</v>
          </cell>
          <cell r="AX166" t="str">
            <v/>
          </cell>
          <cell r="AY166" t="str">
            <v/>
          </cell>
          <cell r="AZ166">
            <v>7013</v>
          </cell>
          <cell r="BA166" t="str">
            <v/>
          </cell>
          <cell r="BB166">
            <v>172.11251778599998</v>
          </cell>
          <cell r="BC166" t="str">
            <v/>
          </cell>
          <cell r="BD166">
            <v>371.538165779</v>
          </cell>
          <cell r="BE166" t="str">
            <v/>
          </cell>
          <cell r="BF166">
            <v>1143.9126317070002</v>
          </cell>
          <cell r="BG166">
            <v>6.3000001999999999E-2</v>
          </cell>
          <cell r="BH166">
            <v>55</v>
          </cell>
          <cell r="BI166">
            <v>55</v>
          </cell>
          <cell r="BJ166">
            <v>0</v>
          </cell>
        </row>
        <row r="167">
          <cell r="A167" t="str">
            <v>5GT</v>
          </cell>
          <cell r="B167" t="str">
            <v>Q01</v>
          </cell>
          <cell r="C167" t="str">
            <v/>
          </cell>
          <cell r="D167" t="str">
            <v/>
          </cell>
          <cell r="E167" t="str">
            <v/>
          </cell>
          <cell r="F167">
            <v>1</v>
          </cell>
          <cell r="G167">
            <v>1</v>
          </cell>
          <cell r="H167">
            <v>0</v>
          </cell>
          <cell r="J167">
            <v>0</v>
          </cell>
          <cell r="K167">
            <v>7</v>
          </cell>
          <cell r="L167">
            <v>74.781578469999999</v>
          </cell>
          <cell r="M167" t="str">
            <v/>
          </cell>
          <cell r="N167">
            <v>0</v>
          </cell>
          <cell r="Q167" t="str">
            <v/>
          </cell>
          <cell r="R167" t="str">
            <v/>
          </cell>
          <cell r="S167">
            <v>209</v>
          </cell>
          <cell r="X167">
            <v>1</v>
          </cell>
          <cell r="Y167">
            <v>1</v>
          </cell>
          <cell r="Z167">
            <v>1</v>
          </cell>
          <cell r="AA167">
            <v>0</v>
          </cell>
          <cell r="AB167" t="str">
            <v/>
          </cell>
          <cell r="AD167">
            <v>11</v>
          </cell>
          <cell r="AE167">
            <v>120</v>
          </cell>
          <cell r="AF167">
            <v>1</v>
          </cell>
          <cell r="AG167">
            <v>0</v>
          </cell>
          <cell r="AH167" t="str">
            <v/>
          </cell>
          <cell r="AI167">
            <v>4</v>
          </cell>
          <cell r="AJ167">
            <v>204</v>
          </cell>
          <cell r="AK167">
            <v>817.56506068797376</v>
          </cell>
          <cell r="AL167">
            <v>0.16589861751152074</v>
          </cell>
          <cell r="AM167">
            <v>0.2805356637132338</v>
          </cell>
          <cell r="AN167">
            <v>0.16666666666666666</v>
          </cell>
          <cell r="AO167">
            <v>-1836</v>
          </cell>
          <cell r="AQ167">
            <v>21409</v>
          </cell>
          <cell r="AR167" t="str">
            <v/>
          </cell>
          <cell r="AS167">
            <v>7260</v>
          </cell>
          <cell r="AU167">
            <v>17436</v>
          </cell>
          <cell r="AV167" t="str">
            <v/>
          </cell>
          <cell r="AW167">
            <v>11747</v>
          </cell>
          <cell r="AX167" t="str">
            <v/>
          </cell>
          <cell r="AY167" t="str">
            <v/>
          </cell>
          <cell r="AZ167">
            <v>9126</v>
          </cell>
          <cell r="BA167" t="str">
            <v/>
          </cell>
          <cell r="BB167">
            <v>148.32889064900002</v>
          </cell>
          <cell r="BC167" t="str">
            <v/>
          </cell>
          <cell r="BD167">
            <v>324.85040418099999</v>
          </cell>
          <cell r="BE167" t="str">
            <v/>
          </cell>
          <cell r="BF167">
            <v>628.45574792399998</v>
          </cell>
          <cell r="BG167" t="str">
            <v/>
          </cell>
          <cell r="BH167">
            <v>31</v>
          </cell>
          <cell r="BI167">
            <v>2</v>
          </cell>
          <cell r="BJ167">
            <v>0</v>
          </cell>
        </row>
        <row r="168">
          <cell r="A168" t="str">
            <v>5GV</v>
          </cell>
          <cell r="B168" t="str">
            <v>Q02</v>
          </cell>
          <cell r="C168" t="str">
            <v/>
          </cell>
          <cell r="D168" t="str">
            <v/>
          </cell>
          <cell r="E168" t="str">
            <v/>
          </cell>
          <cell r="F168">
            <v>1</v>
          </cell>
          <cell r="G168">
            <v>1</v>
          </cell>
          <cell r="H168">
            <v>0</v>
          </cell>
          <cell r="J168">
            <v>0</v>
          </cell>
          <cell r="K168">
            <v>98.367749341999996</v>
          </cell>
          <cell r="L168">
            <v>209.506588483</v>
          </cell>
          <cell r="M168" t="str">
            <v/>
          </cell>
          <cell r="N168">
            <v>0</v>
          </cell>
          <cell r="Q168" t="str">
            <v/>
          </cell>
          <cell r="R168" t="str">
            <v/>
          </cell>
          <cell r="S168">
            <v>32</v>
          </cell>
          <cell r="X168">
            <v>1</v>
          </cell>
          <cell r="Y168">
            <v>1</v>
          </cell>
          <cell r="Z168">
            <v>1</v>
          </cell>
          <cell r="AA168">
            <v>0</v>
          </cell>
          <cell r="AB168" t="str">
            <v/>
          </cell>
          <cell r="AD168">
            <v>6</v>
          </cell>
          <cell r="AE168">
            <v>193</v>
          </cell>
          <cell r="AF168">
            <v>0.93080963593551891</v>
          </cell>
          <cell r="AG168">
            <v>0</v>
          </cell>
          <cell r="AH168" t="str">
            <v/>
          </cell>
          <cell r="AI168">
            <v>0</v>
          </cell>
          <cell r="AJ168">
            <v>0</v>
          </cell>
          <cell r="AK168">
            <v>434.47167475373533</v>
          </cell>
          <cell r="AL168">
            <v>0.1455223880597015</v>
          </cell>
          <cell r="AM168">
            <v>0.27196406532533507</v>
          </cell>
          <cell r="AN168">
            <v>0.51219512195121952</v>
          </cell>
          <cell r="AO168">
            <v>-3764</v>
          </cell>
          <cell r="AQ168">
            <v>25619</v>
          </cell>
          <cell r="AR168" t="str">
            <v/>
          </cell>
          <cell r="AS168">
            <v>9777</v>
          </cell>
          <cell r="AU168">
            <v>29781</v>
          </cell>
          <cell r="AV168" t="str">
            <v/>
          </cell>
          <cell r="AW168">
            <v>17421</v>
          </cell>
          <cell r="AX168" t="str">
            <v/>
          </cell>
          <cell r="AY168" t="str">
            <v/>
          </cell>
          <cell r="AZ168">
            <v>13907</v>
          </cell>
          <cell r="BA168" t="str">
            <v/>
          </cell>
          <cell r="BB168">
            <v>237.30758107299999</v>
          </cell>
          <cell r="BC168">
            <v>36.792244199999999</v>
          </cell>
          <cell r="BD168">
            <v>624.86394379500007</v>
          </cell>
          <cell r="BE168" t="str">
            <v/>
          </cell>
          <cell r="BF168">
            <v>1105.083265109</v>
          </cell>
          <cell r="BG168" t="str">
            <v/>
          </cell>
          <cell r="BH168">
            <v>455</v>
          </cell>
          <cell r="BI168">
            <v>57</v>
          </cell>
          <cell r="BJ168">
            <v>0</v>
          </cell>
        </row>
        <row r="169">
          <cell r="A169" t="str">
            <v>5GW</v>
          </cell>
          <cell r="B169" t="str">
            <v>Q02</v>
          </cell>
          <cell r="C169" t="str">
            <v/>
          </cell>
          <cell r="D169" t="str">
            <v/>
          </cell>
          <cell r="E169" t="str">
            <v/>
          </cell>
          <cell r="F169">
            <v>1</v>
          </cell>
          <cell r="G169">
            <v>1</v>
          </cell>
          <cell r="H169">
            <v>0</v>
          </cell>
          <cell r="J169">
            <v>0</v>
          </cell>
          <cell r="K169">
            <v>62.096793425000008</v>
          </cell>
          <cell r="L169">
            <v>235.03025924799999</v>
          </cell>
          <cell r="M169">
            <v>0</v>
          </cell>
          <cell r="N169">
            <v>2</v>
          </cell>
          <cell r="Q169" t="str">
            <v/>
          </cell>
          <cell r="R169" t="str">
            <v/>
          </cell>
          <cell r="S169">
            <v>32</v>
          </cell>
          <cell r="X169">
            <v>1</v>
          </cell>
          <cell r="Y169">
            <v>1</v>
          </cell>
          <cell r="Z169">
            <v>1</v>
          </cell>
          <cell r="AA169">
            <v>0</v>
          </cell>
          <cell r="AB169" t="str">
            <v/>
          </cell>
          <cell r="AD169">
            <v>3</v>
          </cell>
          <cell r="AE169">
            <v>466</v>
          </cell>
          <cell r="AF169">
            <v>0.95240253853127832</v>
          </cell>
          <cell r="AG169">
            <v>0</v>
          </cell>
          <cell r="AH169" t="str">
            <v/>
          </cell>
          <cell r="AI169">
            <v>0</v>
          </cell>
          <cell r="AJ169">
            <v>0</v>
          </cell>
          <cell r="AK169">
            <v>499.18472567613117</v>
          </cell>
          <cell r="AL169">
            <v>0.15839243498817968</v>
          </cell>
          <cell r="AM169">
            <v>0.24130200702547175</v>
          </cell>
          <cell r="AN169">
            <v>0.66666666666666663</v>
          </cell>
          <cell r="AO169">
            <v>-5656</v>
          </cell>
          <cell r="AQ169">
            <v>19648</v>
          </cell>
          <cell r="AR169" t="str">
            <v/>
          </cell>
          <cell r="AS169">
            <v>6870</v>
          </cell>
          <cell r="AU169">
            <v>22266</v>
          </cell>
          <cell r="AV169" t="str">
            <v/>
          </cell>
          <cell r="AW169">
            <v>15802</v>
          </cell>
          <cell r="AX169" t="str">
            <v/>
          </cell>
          <cell r="AY169" t="str">
            <v/>
          </cell>
          <cell r="AZ169">
            <v>11300</v>
          </cell>
          <cell r="BA169" t="str">
            <v/>
          </cell>
          <cell r="BB169">
            <v>224.332325774</v>
          </cell>
          <cell r="BC169">
            <v>20.946780440000001</v>
          </cell>
          <cell r="BD169">
            <v>515.12181131</v>
          </cell>
          <cell r="BE169" t="str">
            <v/>
          </cell>
          <cell r="BF169">
            <v>894.900572818</v>
          </cell>
          <cell r="BG169" t="str">
            <v/>
          </cell>
          <cell r="BH169">
            <v>245</v>
          </cell>
          <cell r="BI169">
            <v>41</v>
          </cell>
          <cell r="BJ169">
            <v>0</v>
          </cell>
        </row>
        <row r="170">
          <cell r="A170" t="str">
            <v>5GX</v>
          </cell>
          <cell r="B170" t="str">
            <v>Q02</v>
          </cell>
          <cell r="C170" t="str">
            <v/>
          </cell>
          <cell r="D170" t="str">
            <v/>
          </cell>
          <cell r="E170" t="str">
            <v/>
          </cell>
          <cell r="F170">
            <v>1</v>
          </cell>
          <cell r="G170">
            <v>1</v>
          </cell>
          <cell r="H170">
            <v>0</v>
          </cell>
          <cell r="J170">
            <v>0</v>
          </cell>
          <cell r="K170">
            <v>54.541599414999993</v>
          </cell>
          <cell r="L170">
            <v>174.41227432100001</v>
          </cell>
          <cell r="M170" t="str">
            <v/>
          </cell>
          <cell r="N170">
            <v>0</v>
          </cell>
          <cell r="Q170" t="str">
            <v/>
          </cell>
          <cell r="R170" t="str">
            <v/>
          </cell>
          <cell r="S170">
            <v>6</v>
          </cell>
          <cell r="X170">
            <v>1</v>
          </cell>
          <cell r="Y170">
            <v>1</v>
          </cell>
          <cell r="Z170">
            <v>1</v>
          </cell>
          <cell r="AA170">
            <v>0</v>
          </cell>
          <cell r="AB170" t="str">
            <v/>
          </cell>
          <cell r="AD170">
            <v>4</v>
          </cell>
          <cell r="AE170">
            <v>314</v>
          </cell>
          <cell r="AF170">
            <v>0.9295697451356536</v>
          </cell>
          <cell r="AG170">
            <v>0</v>
          </cell>
          <cell r="AH170" t="str">
            <v/>
          </cell>
          <cell r="AI170">
            <v>0</v>
          </cell>
          <cell r="AJ170">
            <v>0</v>
          </cell>
          <cell r="AK170">
            <v>368.1286633582896</v>
          </cell>
          <cell r="AL170">
            <v>0.1111111111111111</v>
          </cell>
          <cell r="AM170">
            <v>0.31544414040662605</v>
          </cell>
          <cell r="AN170">
            <v>0.54545454545454541</v>
          </cell>
          <cell r="AO170">
            <v>-5754</v>
          </cell>
          <cell r="AQ170">
            <v>17797</v>
          </cell>
          <cell r="AR170" t="str">
            <v/>
          </cell>
          <cell r="AS170">
            <v>7187</v>
          </cell>
          <cell r="AU170">
            <v>19980</v>
          </cell>
          <cell r="AV170" t="str">
            <v/>
          </cell>
          <cell r="AW170">
            <v>12837</v>
          </cell>
          <cell r="AX170" t="str">
            <v/>
          </cell>
          <cell r="AY170" t="str">
            <v/>
          </cell>
          <cell r="AZ170">
            <v>8746</v>
          </cell>
          <cell r="BA170" t="str">
            <v/>
          </cell>
          <cell r="BB170">
            <v>171.17636309099998</v>
          </cell>
          <cell r="BC170">
            <v>18.32573652</v>
          </cell>
          <cell r="BD170">
            <v>379.71005209599997</v>
          </cell>
          <cell r="BE170" t="str">
            <v/>
          </cell>
          <cell r="BF170">
            <v>630.56487527399997</v>
          </cell>
          <cell r="BG170" t="str">
            <v/>
          </cell>
          <cell r="BH170">
            <v>169</v>
          </cell>
          <cell r="BI170">
            <v>4</v>
          </cell>
          <cell r="BJ170">
            <v>0</v>
          </cell>
        </row>
        <row r="171">
          <cell r="A171" t="str">
            <v>5H1</v>
          </cell>
          <cell r="B171" t="str">
            <v>Q04</v>
          </cell>
          <cell r="C171" t="str">
            <v/>
          </cell>
          <cell r="D171" t="str">
            <v/>
          </cell>
          <cell r="E171">
            <v>1</v>
          </cell>
          <cell r="F171">
            <v>1</v>
          </cell>
          <cell r="G171">
            <v>1</v>
          </cell>
          <cell r="H171">
            <v>2</v>
          </cell>
          <cell r="J171">
            <v>0</v>
          </cell>
          <cell r="K171">
            <v>39.257800336000003</v>
          </cell>
          <cell r="L171">
            <v>224.0658018</v>
          </cell>
          <cell r="M171" t="str">
            <v/>
          </cell>
          <cell r="N171">
            <v>0</v>
          </cell>
          <cell r="Q171" t="str">
            <v/>
          </cell>
          <cell r="R171" t="str">
            <v/>
          </cell>
          <cell r="S171">
            <v>19</v>
          </cell>
          <cell r="X171">
            <v>1</v>
          </cell>
          <cell r="Y171">
            <v>0.96875</v>
          </cell>
          <cell r="Z171">
            <v>1</v>
          </cell>
          <cell r="AA171">
            <v>0</v>
          </cell>
          <cell r="AB171" t="str">
            <v/>
          </cell>
          <cell r="AD171">
            <v>0</v>
          </cell>
          <cell r="AE171">
            <v>211</v>
          </cell>
          <cell r="AF171">
            <v>0.84046441625456891</v>
          </cell>
          <cell r="AG171">
            <v>0</v>
          </cell>
          <cell r="AH171" t="str">
            <v/>
          </cell>
          <cell r="AI171">
            <v>1</v>
          </cell>
          <cell r="AJ171">
            <v>30</v>
          </cell>
          <cell r="AK171">
            <v>1017.2755059447669</v>
          </cell>
          <cell r="AL171" t="str">
            <v/>
          </cell>
          <cell r="AM171">
            <v>0.28174820032249143</v>
          </cell>
          <cell r="AN171">
            <v>0.37190082644628097</v>
          </cell>
          <cell r="AO171">
            <v>4468</v>
          </cell>
          <cell r="AQ171">
            <v>24059</v>
          </cell>
          <cell r="AR171" t="str">
            <v/>
          </cell>
          <cell r="AS171">
            <v>14793</v>
          </cell>
          <cell r="AU171">
            <v>24186</v>
          </cell>
          <cell r="AV171" t="str">
            <v/>
          </cell>
          <cell r="AW171">
            <v>6199</v>
          </cell>
          <cell r="AX171" t="str">
            <v/>
          </cell>
          <cell r="AY171" t="str">
            <v/>
          </cell>
          <cell r="AZ171">
            <v>12684</v>
          </cell>
          <cell r="BA171" t="str">
            <v/>
          </cell>
          <cell r="BB171">
            <v>445.77423202900002</v>
          </cell>
          <cell r="BC171" t="str">
            <v/>
          </cell>
          <cell r="BD171">
            <v>632.86402914899998</v>
          </cell>
          <cell r="BE171" t="str">
            <v/>
          </cell>
          <cell r="BF171">
            <v>963.02974463099997</v>
          </cell>
          <cell r="BG171" t="str">
            <v/>
          </cell>
          <cell r="BH171">
            <v>0</v>
          </cell>
          <cell r="BI171">
            <v>0</v>
          </cell>
          <cell r="BJ171">
            <v>0</v>
          </cell>
        </row>
        <row r="172">
          <cell r="A172" t="str">
            <v>5H2</v>
          </cell>
          <cell r="B172" t="str">
            <v>Q15</v>
          </cell>
          <cell r="C172" t="str">
            <v/>
          </cell>
          <cell r="D172" t="str">
            <v/>
          </cell>
          <cell r="E172">
            <v>0.9661603752512844</v>
          </cell>
          <cell r="F172">
            <v>1</v>
          </cell>
          <cell r="G172">
            <v>1</v>
          </cell>
          <cell r="H172">
            <v>0</v>
          </cell>
          <cell r="J172">
            <v>0</v>
          </cell>
          <cell r="K172">
            <v>46</v>
          </cell>
          <cell r="L172">
            <v>454</v>
          </cell>
          <cell r="M172" t="str">
            <v/>
          </cell>
          <cell r="N172">
            <v>0</v>
          </cell>
          <cell r="Q172" t="str">
            <v/>
          </cell>
          <cell r="R172" t="str">
            <v/>
          </cell>
          <cell r="S172">
            <v>803</v>
          </cell>
          <cell r="X172">
            <v>1</v>
          </cell>
          <cell r="Y172">
            <v>0.97058823529411764</v>
          </cell>
          <cell r="Z172">
            <v>0.93103448275862066</v>
          </cell>
          <cell r="AA172">
            <v>0</v>
          </cell>
          <cell r="AB172" t="str">
            <v/>
          </cell>
          <cell r="AD172">
            <v>46</v>
          </cell>
          <cell r="AE172">
            <v>350</v>
          </cell>
          <cell r="AF172">
            <v>1</v>
          </cell>
          <cell r="AG172">
            <v>0</v>
          </cell>
          <cell r="AH172" t="str">
            <v/>
          </cell>
          <cell r="AI172">
            <v>9</v>
          </cell>
          <cell r="AJ172">
            <v>4</v>
          </cell>
          <cell r="AK172">
            <v>1204.6292462688039</v>
          </cell>
          <cell r="AL172">
            <v>0.2245557350565428</v>
          </cell>
          <cell r="AM172">
            <v>0.31604631927212573</v>
          </cell>
          <cell r="AN172">
            <v>0.81967213114754101</v>
          </cell>
          <cell r="AO172">
            <v>97</v>
          </cell>
          <cell r="AQ172">
            <v>42526</v>
          </cell>
          <cell r="AR172" t="str">
            <v/>
          </cell>
          <cell r="AS172">
            <v>20723</v>
          </cell>
          <cell r="AU172">
            <v>35497</v>
          </cell>
          <cell r="AV172" t="str">
            <v/>
          </cell>
          <cell r="AW172">
            <v>23124</v>
          </cell>
          <cell r="AX172" t="str">
            <v/>
          </cell>
          <cell r="AY172" t="str">
            <v/>
          </cell>
          <cell r="AZ172">
            <v>29027</v>
          </cell>
          <cell r="BA172" t="str">
            <v/>
          </cell>
          <cell r="BB172">
            <v>438.31279996000001</v>
          </cell>
          <cell r="BC172">
            <v>17</v>
          </cell>
          <cell r="BD172">
            <v>893.99629946000005</v>
          </cell>
          <cell r="BE172" t="str">
            <v/>
          </cell>
          <cell r="BF172">
            <v>1516.5161999239999</v>
          </cell>
          <cell r="BG172" t="str">
            <v/>
          </cell>
          <cell r="BH172">
            <v>499</v>
          </cell>
          <cell r="BI172">
            <v>525</v>
          </cell>
          <cell r="BJ172">
            <v>0</v>
          </cell>
        </row>
        <row r="173">
          <cell r="A173" t="str">
            <v>5H3</v>
          </cell>
          <cell r="B173" t="str">
            <v>Q15</v>
          </cell>
          <cell r="C173" t="str">
            <v/>
          </cell>
          <cell r="D173" t="str">
            <v/>
          </cell>
          <cell r="E173">
            <v>1</v>
          </cell>
          <cell r="F173">
            <v>1</v>
          </cell>
          <cell r="G173">
            <v>1</v>
          </cell>
          <cell r="H173">
            <v>54</v>
          </cell>
          <cell r="J173">
            <v>0</v>
          </cell>
          <cell r="K173">
            <v>4.2799999939999998</v>
          </cell>
          <cell r="L173">
            <v>418.91999997900001</v>
          </cell>
          <cell r="M173" t="str">
            <v/>
          </cell>
          <cell r="N173">
            <v>6</v>
          </cell>
          <cell r="Q173" t="str">
            <v/>
          </cell>
          <cell r="R173" t="str">
            <v/>
          </cell>
          <cell r="S173">
            <v>216</v>
          </cell>
          <cell r="X173">
            <v>1</v>
          </cell>
          <cell r="Y173">
            <v>1</v>
          </cell>
          <cell r="Z173">
            <v>0.8</v>
          </cell>
          <cell r="AA173">
            <v>0</v>
          </cell>
          <cell r="AB173" t="str">
            <v/>
          </cell>
          <cell r="AD173">
            <v>31</v>
          </cell>
          <cell r="AE173">
            <v>410</v>
          </cell>
          <cell r="AF173">
            <v>0.83412322274881512</v>
          </cell>
          <cell r="AG173">
            <v>0</v>
          </cell>
          <cell r="AH173" t="str">
            <v/>
          </cell>
          <cell r="AI173">
            <v>2.8</v>
          </cell>
          <cell r="AJ173">
            <v>57</v>
          </cell>
          <cell r="AK173">
            <v>815.41054043909185</v>
          </cell>
          <cell r="AL173">
            <v>0.18264840182648401</v>
          </cell>
          <cell r="AM173">
            <v>0.2422474196606825</v>
          </cell>
          <cell r="AN173">
            <v>0.54716981132075471</v>
          </cell>
          <cell r="AO173">
            <v>-16468</v>
          </cell>
          <cell r="AQ173">
            <v>32124</v>
          </cell>
          <cell r="AR173" t="str">
            <v/>
          </cell>
          <cell r="AS173">
            <v>22336</v>
          </cell>
          <cell r="AU173">
            <v>29090</v>
          </cell>
          <cell r="AV173" t="str">
            <v/>
          </cell>
          <cell r="AW173">
            <v>16261</v>
          </cell>
          <cell r="AX173" t="str">
            <v/>
          </cell>
          <cell r="AY173" t="str">
            <v/>
          </cell>
          <cell r="AZ173">
            <v>14840</v>
          </cell>
          <cell r="BA173" t="str">
            <v/>
          </cell>
          <cell r="BB173">
            <v>242.08159979199999</v>
          </cell>
          <cell r="BC173">
            <v>3</v>
          </cell>
          <cell r="BD173">
            <v>459.50360047999999</v>
          </cell>
          <cell r="BE173" t="str">
            <v/>
          </cell>
          <cell r="BF173">
            <v>818.06639908900002</v>
          </cell>
          <cell r="BG173">
            <v>1</v>
          </cell>
          <cell r="BH173">
            <v>420</v>
          </cell>
          <cell r="BI173">
            <v>383</v>
          </cell>
          <cell r="BJ173">
            <v>181</v>
          </cell>
        </row>
        <row r="174">
          <cell r="A174" t="str">
            <v>5H4</v>
          </cell>
          <cell r="B174" t="str">
            <v>Q15</v>
          </cell>
          <cell r="C174" t="str">
            <v/>
          </cell>
          <cell r="D174" t="str">
            <v/>
          </cell>
          <cell r="E174" t="str">
            <v/>
          </cell>
          <cell r="F174">
            <v>1</v>
          </cell>
          <cell r="G174">
            <v>1</v>
          </cell>
          <cell r="H174">
            <v>1</v>
          </cell>
          <cell r="J174">
            <v>0</v>
          </cell>
          <cell r="K174">
            <v>11.111899884999998</v>
          </cell>
          <cell r="L174">
            <v>820.85509973000001</v>
          </cell>
          <cell r="M174" t="str">
            <v/>
          </cell>
          <cell r="N174">
            <v>0</v>
          </cell>
          <cell r="Q174" t="str">
            <v/>
          </cell>
          <cell r="R174" t="str">
            <v/>
          </cell>
          <cell r="S174">
            <v>270</v>
          </cell>
          <cell r="X174">
            <v>1</v>
          </cell>
          <cell r="Y174">
            <v>1</v>
          </cell>
          <cell r="Z174">
            <v>0.83870967741935487</v>
          </cell>
          <cell r="AA174">
            <v>0</v>
          </cell>
          <cell r="AB174" t="str">
            <v/>
          </cell>
          <cell r="AD174">
            <v>28</v>
          </cell>
          <cell r="AE174">
            <v>382</v>
          </cell>
          <cell r="AF174">
            <v>0.80404728511320378</v>
          </cell>
          <cell r="AG174">
            <v>0</v>
          </cell>
          <cell r="AH174" t="str">
            <v/>
          </cell>
          <cell r="AI174">
            <v>4.3499999999999996</v>
          </cell>
          <cell r="AJ174">
            <v>350</v>
          </cell>
          <cell r="AK174">
            <v>1065.3605220702586</v>
          </cell>
          <cell r="AL174">
            <v>0.2437619961612284</v>
          </cell>
          <cell r="AM174">
            <v>0.26999893629415012</v>
          </cell>
          <cell r="AN174">
            <v>0.31707317073170732</v>
          </cell>
          <cell r="AO174">
            <v>22</v>
          </cell>
          <cell r="AQ174">
            <v>50593</v>
          </cell>
          <cell r="AR174" t="str">
            <v/>
          </cell>
          <cell r="AS174">
            <v>15901</v>
          </cell>
          <cell r="AU174">
            <v>46341</v>
          </cell>
          <cell r="AV174" t="str">
            <v/>
          </cell>
          <cell r="AW174">
            <v>19424</v>
          </cell>
          <cell r="AX174" t="str">
            <v/>
          </cell>
          <cell r="AY174" t="str">
            <v/>
          </cell>
          <cell r="AZ174">
            <v>24741</v>
          </cell>
          <cell r="BA174" t="str">
            <v/>
          </cell>
          <cell r="BB174">
            <v>463.67549608500008</v>
          </cell>
          <cell r="BC174">
            <v>24.359999970000001</v>
          </cell>
          <cell r="BD174">
            <v>776.30129277099991</v>
          </cell>
          <cell r="BE174">
            <v>0.33999999199999997</v>
          </cell>
          <cell r="BF174">
            <v>1289.015285427</v>
          </cell>
          <cell r="BG174" t="str">
            <v/>
          </cell>
          <cell r="BH174">
            <v>731</v>
          </cell>
          <cell r="BI174">
            <v>648</v>
          </cell>
          <cell r="BJ174">
            <v>83</v>
          </cell>
        </row>
        <row r="175">
          <cell r="A175" t="str">
            <v>5H5</v>
          </cell>
          <cell r="B175" t="str">
            <v>Q15</v>
          </cell>
          <cell r="C175" t="str">
            <v/>
          </cell>
          <cell r="D175" t="str">
            <v/>
          </cell>
          <cell r="E175" t="str">
            <v/>
          </cell>
          <cell r="F175">
            <v>1</v>
          </cell>
          <cell r="G175">
            <v>1</v>
          </cell>
          <cell r="H175">
            <v>1</v>
          </cell>
          <cell r="J175">
            <v>0</v>
          </cell>
          <cell r="K175">
            <v>24.691000054</v>
          </cell>
          <cell r="L175">
            <v>257.14849999699993</v>
          </cell>
          <cell r="M175" t="str">
            <v/>
          </cell>
          <cell r="N175">
            <v>0</v>
          </cell>
          <cell r="Q175" t="str">
            <v/>
          </cell>
          <cell r="R175" t="str">
            <v/>
          </cell>
          <cell r="S175">
            <v>409</v>
          </cell>
          <cell r="X175">
            <v>1</v>
          </cell>
          <cell r="Y175">
            <v>1</v>
          </cell>
          <cell r="Z175">
            <v>0.8928571428571429</v>
          </cell>
          <cell r="AA175">
            <v>0</v>
          </cell>
          <cell r="AB175" t="str">
            <v/>
          </cell>
          <cell r="AD175">
            <v>28</v>
          </cell>
          <cell r="AE175">
            <v>371</v>
          </cell>
          <cell r="AF175">
            <v>0.88073536227406146</v>
          </cell>
          <cell r="AG175">
            <v>0</v>
          </cell>
          <cell r="AH175" t="str">
            <v/>
          </cell>
          <cell r="AI175">
            <v>8</v>
          </cell>
          <cell r="AJ175">
            <v>120</v>
          </cell>
          <cell r="AK175">
            <v>678.2397011058822</v>
          </cell>
          <cell r="AL175">
            <v>0.17872340425531916</v>
          </cell>
          <cell r="AM175">
            <v>0.2181554497473627</v>
          </cell>
          <cell r="AN175">
            <v>0.2857142857142857</v>
          </cell>
          <cell r="AO175">
            <v>206</v>
          </cell>
          <cell r="AQ175">
            <v>38021</v>
          </cell>
          <cell r="AR175" t="str">
            <v/>
          </cell>
          <cell r="AS175">
            <v>25616</v>
          </cell>
          <cell r="AU175">
            <v>31298</v>
          </cell>
          <cell r="AV175" t="str">
            <v/>
          </cell>
          <cell r="AW175">
            <v>15426</v>
          </cell>
          <cell r="AX175" t="str">
            <v/>
          </cell>
          <cell r="AY175" t="str">
            <v/>
          </cell>
          <cell r="AZ175">
            <v>16857</v>
          </cell>
          <cell r="BA175" t="str">
            <v/>
          </cell>
          <cell r="BB175">
            <v>514.51020033400005</v>
          </cell>
          <cell r="BC175">
            <v>5.4000000510000001</v>
          </cell>
          <cell r="BD175">
            <v>799.786500692</v>
          </cell>
          <cell r="BE175">
            <v>0.85000001300000005</v>
          </cell>
          <cell r="BF175">
            <v>1186.8295008360001</v>
          </cell>
          <cell r="BG175" t="str">
            <v/>
          </cell>
          <cell r="BH175">
            <v>618</v>
          </cell>
          <cell r="BI175">
            <v>336</v>
          </cell>
          <cell r="BJ175">
            <v>100</v>
          </cell>
        </row>
        <row r="176">
          <cell r="A176" t="str">
            <v>5H6</v>
          </cell>
          <cell r="B176" t="str">
            <v>Q15</v>
          </cell>
          <cell r="C176" t="str">
            <v/>
          </cell>
          <cell r="D176" t="str">
            <v/>
          </cell>
          <cell r="E176" t="str">
            <v/>
          </cell>
          <cell r="F176">
            <v>1</v>
          </cell>
          <cell r="G176">
            <v>1</v>
          </cell>
          <cell r="H176">
            <v>1</v>
          </cell>
          <cell r="J176">
            <v>1</v>
          </cell>
          <cell r="K176">
            <v>4</v>
          </cell>
          <cell r="L176">
            <v>209</v>
          </cell>
          <cell r="M176" t="str">
            <v/>
          </cell>
          <cell r="N176">
            <v>1</v>
          </cell>
          <cell r="Q176" t="str">
            <v/>
          </cell>
          <cell r="R176" t="str">
            <v/>
          </cell>
          <cell r="S176">
            <v>50</v>
          </cell>
          <cell r="X176">
            <v>1</v>
          </cell>
          <cell r="Y176">
            <v>0.967741935483871</v>
          </cell>
          <cell r="Z176">
            <v>0.73333333333333328</v>
          </cell>
          <cell r="AA176">
            <v>0</v>
          </cell>
          <cell r="AB176" t="str">
            <v/>
          </cell>
          <cell r="AD176">
            <v>8</v>
          </cell>
          <cell r="AE176">
            <v>249</v>
          </cell>
          <cell r="AF176">
            <v>0.8466957396846696</v>
          </cell>
          <cell r="AG176">
            <v>0</v>
          </cell>
          <cell r="AH176" t="str">
            <v/>
          </cell>
          <cell r="AI176">
            <v>0</v>
          </cell>
          <cell r="AJ176">
            <v>26</v>
          </cell>
          <cell r="AK176">
            <v>902.47407705026967</v>
          </cell>
          <cell r="AL176" t="str">
            <v/>
          </cell>
          <cell r="AM176">
            <v>0.26754889820520089</v>
          </cell>
          <cell r="AN176">
            <v>0.61111111111111116</v>
          </cell>
          <cell r="AO176">
            <v>171</v>
          </cell>
          <cell r="AQ176">
            <v>18789</v>
          </cell>
          <cell r="AR176" t="str">
            <v/>
          </cell>
          <cell r="AS176">
            <v>11950</v>
          </cell>
          <cell r="AU176">
            <v>16705</v>
          </cell>
          <cell r="AV176" t="str">
            <v/>
          </cell>
          <cell r="AW176">
            <v>9377</v>
          </cell>
          <cell r="AX176" t="str">
            <v/>
          </cell>
          <cell r="AY176" t="str">
            <v/>
          </cell>
          <cell r="AZ176">
            <v>9339</v>
          </cell>
          <cell r="BA176" t="str">
            <v/>
          </cell>
          <cell r="BB176">
            <v>155.948000044</v>
          </cell>
          <cell r="BC176">
            <v>1</v>
          </cell>
          <cell r="BD176">
            <v>320.99550060000001</v>
          </cell>
          <cell r="BE176" t="str">
            <v/>
          </cell>
          <cell r="BF176">
            <v>555.81700008400003</v>
          </cell>
          <cell r="BG176" t="str">
            <v/>
          </cell>
          <cell r="BH176">
            <v>270</v>
          </cell>
          <cell r="BI176">
            <v>243</v>
          </cell>
          <cell r="BJ176">
            <v>27</v>
          </cell>
        </row>
        <row r="177">
          <cell r="A177" t="str">
            <v>5H7</v>
          </cell>
          <cell r="B177" t="str">
            <v>Q24</v>
          </cell>
          <cell r="C177" t="str">
            <v/>
          </cell>
          <cell r="D177" t="str">
            <v/>
          </cell>
          <cell r="E177" t="str">
            <v/>
          </cell>
          <cell r="F177">
            <v>1</v>
          </cell>
          <cell r="G177">
            <v>1</v>
          </cell>
          <cell r="H177">
            <v>0</v>
          </cell>
          <cell r="J177">
            <v>0</v>
          </cell>
          <cell r="K177">
            <v>1.696699985</v>
          </cell>
          <cell r="L177">
            <v>267.301498627</v>
          </cell>
          <cell r="M177" t="str">
            <v/>
          </cell>
          <cell r="N177">
            <v>0</v>
          </cell>
          <cell r="Q177" t="str">
            <v/>
          </cell>
          <cell r="R177">
            <v>1</v>
          </cell>
          <cell r="S177">
            <v>11</v>
          </cell>
          <cell r="X177">
            <v>1</v>
          </cell>
          <cell r="Y177">
            <v>1</v>
          </cell>
          <cell r="Z177">
            <v>0.94736842105263153</v>
          </cell>
          <cell r="AA177">
            <v>0</v>
          </cell>
          <cell r="AB177" t="str">
            <v/>
          </cell>
          <cell r="AD177">
            <v>18</v>
          </cell>
          <cell r="AE177">
            <v>105</v>
          </cell>
          <cell r="AF177">
            <v>0.67474452554744524</v>
          </cell>
          <cell r="AG177">
            <v>0</v>
          </cell>
          <cell r="AH177" t="str">
            <v/>
          </cell>
          <cell r="AI177">
            <v>4</v>
          </cell>
          <cell r="AJ177">
            <v>33</v>
          </cell>
          <cell r="AK177">
            <v>737.46312684365785</v>
          </cell>
          <cell r="AL177">
            <v>0.14545454545454545</v>
          </cell>
          <cell r="AM177">
            <v>0.24129779904582077</v>
          </cell>
          <cell r="AN177">
            <v>0.36363636363636365</v>
          </cell>
          <cell r="AO177">
            <v>-2778</v>
          </cell>
          <cell r="AQ177">
            <v>17732.400000000001</v>
          </cell>
          <cell r="AR177" t="str">
            <v/>
          </cell>
          <cell r="AS177">
            <v>8095</v>
          </cell>
          <cell r="AU177">
            <v>13856.3</v>
          </cell>
          <cell r="AV177" t="str">
            <v/>
          </cell>
          <cell r="AW177">
            <v>10999</v>
          </cell>
          <cell r="AX177" t="str">
            <v/>
          </cell>
          <cell r="AY177" t="str">
            <v/>
          </cell>
          <cell r="AZ177">
            <v>8276</v>
          </cell>
          <cell r="BA177" t="str">
            <v/>
          </cell>
          <cell r="BB177">
            <v>121.792499244</v>
          </cell>
          <cell r="BC177" t="str">
            <v/>
          </cell>
          <cell r="BD177">
            <v>255.23389874700001</v>
          </cell>
          <cell r="BE177" t="str">
            <v/>
          </cell>
          <cell r="BF177">
            <v>654.89289704099997</v>
          </cell>
          <cell r="BG177" t="str">
            <v/>
          </cell>
          <cell r="BH177">
            <v>279</v>
          </cell>
          <cell r="BI177">
            <v>279</v>
          </cell>
          <cell r="BJ177">
            <v>279</v>
          </cell>
        </row>
        <row r="178">
          <cell r="A178" t="str">
            <v>5H8</v>
          </cell>
          <cell r="B178" t="str">
            <v>Q23</v>
          </cell>
          <cell r="C178" t="str">
            <v/>
          </cell>
          <cell r="D178" t="str">
            <v/>
          </cell>
          <cell r="E178" t="str">
            <v/>
          </cell>
          <cell r="F178">
            <v>1</v>
          </cell>
          <cell r="G178">
            <v>1</v>
          </cell>
          <cell r="H178">
            <v>0</v>
          </cell>
          <cell r="J178">
            <v>1</v>
          </cell>
          <cell r="K178">
            <v>19.461900000000004</v>
          </cell>
          <cell r="L178">
            <v>118.00510000000001</v>
          </cell>
          <cell r="M178">
            <v>0</v>
          </cell>
          <cell r="N178">
            <v>0</v>
          </cell>
          <cell r="Q178" t="str">
            <v/>
          </cell>
          <cell r="R178">
            <v>0</v>
          </cell>
          <cell r="S178">
            <v>303</v>
          </cell>
          <cell r="X178">
            <v>1</v>
          </cell>
          <cell r="Y178">
            <v>0.9887640449438202</v>
          </cell>
          <cell r="Z178">
            <v>0.94117647058823528</v>
          </cell>
          <cell r="AA178">
            <v>0</v>
          </cell>
          <cell r="AB178" t="str">
            <v/>
          </cell>
          <cell r="AD178">
            <v>52</v>
          </cell>
          <cell r="AE178">
            <v>470</v>
          </cell>
          <cell r="AF178">
            <v>0.96782869556222195</v>
          </cell>
          <cell r="AG178">
            <v>0</v>
          </cell>
          <cell r="AH178" t="str">
            <v/>
          </cell>
          <cell r="AI178">
            <v>5</v>
          </cell>
          <cell r="AJ178">
            <v>136</v>
          </cell>
          <cell r="AK178">
            <v>787.22938989722286</v>
          </cell>
          <cell r="AL178" t="str">
            <v/>
          </cell>
          <cell r="AM178">
            <v>0.30499997362048314</v>
          </cell>
          <cell r="AN178">
            <v>0.16666666666666666</v>
          </cell>
          <cell r="AO178">
            <v>1475</v>
          </cell>
          <cell r="AQ178">
            <v>49828</v>
          </cell>
          <cell r="AR178" t="str">
            <v/>
          </cell>
          <cell r="AS178">
            <v>26278</v>
          </cell>
          <cell r="AU178">
            <v>42367</v>
          </cell>
          <cell r="AV178" t="str">
            <v/>
          </cell>
          <cell r="AW178">
            <v>35830</v>
          </cell>
          <cell r="AX178" t="str">
            <v/>
          </cell>
          <cell r="AY178" t="str">
            <v/>
          </cell>
          <cell r="AZ178">
            <v>27555</v>
          </cell>
          <cell r="BA178" t="str">
            <v/>
          </cell>
          <cell r="BB178">
            <v>312.77519999700002</v>
          </cell>
          <cell r="BC178" t="str">
            <v/>
          </cell>
          <cell r="BD178">
            <v>769.71789999199996</v>
          </cell>
          <cell r="BE178" t="str">
            <v/>
          </cell>
          <cell r="BF178">
            <v>1974.0144999830002</v>
          </cell>
          <cell r="BG178" t="str">
            <v/>
          </cell>
          <cell r="BH178">
            <v>569</v>
          </cell>
          <cell r="BI178">
            <v>569</v>
          </cell>
          <cell r="BJ178">
            <v>326</v>
          </cell>
        </row>
        <row r="179">
          <cell r="A179" t="str">
            <v>5H9</v>
          </cell>
          <cell r="B179" t="str">
            <v>Q24</v>
          </cell>
          <cell r="C179" t="str">
            <v/>
          </cell>
          <cell r="D179" t="str">
            <v/>
          </cell>
          <cell r="E179" t="str">
            <v/>
          </cell>
          <cell r="F179">
            <v>1</v>
          </cell>
          <cell r="G179">
            <v>1</v>
          </cell>
          <cell r="H179">
            <v>0</v>
          </cell>
          <cell r="J179">
            <v>0</v>
          </cell>
          <cell r="K179">
            <v>4.3165999899999994</v>
          </cell>
          <cell r="L179">
            <v>1536.672302189</v>
          </cell>
          <cell r="M179" t="str">
            <v/>
          </cell>
          <cell r="N179">
            <v>0</v>
          </cell>
          <cell r="Q179" t="str">
            <v/>
          </cell>
          <cell r="R179" t="str">
            <v/>
          </cell>
          <cell r="S179">
            <v>539</v>
          </cell>
          <cell r="X179">
            <v>0.99709302325581395</v>
          </cell>
          <cell r="Y179">
            <v>0.98130841121495327</v>
          </cell>
          <cell r="Z179">
            <v>0.87755102040816324</v>
          </cell>
          <cell r="AA179">
            <v>0</v>
          </cell>
          <cell r="AB179" t="str">
            <v/>
          </cell>
          <cell r="AD179">
            <v>37</v>
          </cell>
          <cell r="AE179">
            <v>566</v>
          </cell>
          <cell r="AF179">
            <v>0.84517887563884153</v>
          </cell>
          <cell r="AG179">
            <v>0</v>
          </cell>
          <cell r="AH179" t="str">
            <v/>
          </cell>
          <cell r="AI179">
            <v>4.25</v>
          </cell>
          <cell r="AJ179">
            <v>500</v>
          </cell>
          <cell r="AK179">
            <v>891.67316477890995</v>
          </cell>
          <cell r="AL179">
            <v>0.1787941787941788</v>
          </cell>
          <cell r="AM179">
            <v>0.28705347696893313</v>
          </cell>
          <cell r="AN179">
            <v>0.35555555555555557</v>
          </cell>
          <cell r="AO179">
            <v>-7482</v>
          </cell>
          <cell r="AQ179">
            <v>56294</v>
          </cell>
          <cell r="AR179" t="str">
            <v/>
          </cell>
          <cell r="AS179">
            <v>22570</v>
          </cell>
          <cell r="AU179">
            <v>46462</v>
          </cell>
          <cell r="AV179" t="str">
            <v/>
          </cell>
          <cell r="AW179">
            <v>40017</v>
          </cell>
          <cell r="AX179" t="str">
            <v/>
          </cell>
          <cell r="AY179" t="str">
            <v/>
          </cell>
          <cell r="AZ179">
            <v>26768</v>
          </cell>
          <cell r="BA179" t="str">
            <v/>
          </cell>
          <cell r="BB179">
            <v>273.46127744199998</v>
          </cell>
          <cell r="BC179">
            <v>36.800000670000003</v>
          </cell>
          <cell r="BD179">
            <v>269.58847341000001</v>
          </cell>
          <cell r="BE179" t="str">
            <v/>
          </cell>
          <cell r="BF179">
            <v>699.74866312500012</v>
          </cell>
          <cell r="BG179" t="str">
            <v/>
          </cell>
          <cell r="BH179">
            <v>2010</v>
          </cell>
          <cell r="BI179">
            <v>1293</v>
          </cell>
          <cell r="BJ179">
            <v>0</v>
          </cell>
        </row>
        <row r="180">
          <cell r="A180" t="str">
            <v>5HA</v>
          </cell>
          <cell r="B180" t="str">
            <v>Q15</v>
          </cell>
          <cell r="C180" t="str">
            <v/>
          </cell>
          <cell r="D180" t="str">
            <v/>
          </cell>
          <cell r="E180">
            <v>1</v>
          </cell>
          <cell r="F180">
            <v>1</v>
          </cell>
          <cell r="G180">
            <v>1</v>
          </cell>
          <cell r="H180">
            <v>0</v>
          </cell>
          <cell r="J180">
            <v>0</v>
          </cell>
          <cell r="K180">
            <v>9</v>
          </cell>
          <cell r="L180">
            <v>773.72500000000002</v>
          </cell>
          <cell r="M180" t="str">
            <v/>
          </cell>
          <cell r="N180">
            <v>1</v>
          </cell>
          <cell r="Q180" t="str">
            <v/>
          </cell>
          <cell r="R180">
            <v>1</v>
          </cell>
          <cell r="S180">
            <v>306</v>
          </cell>
          <cell r="X180">
            <v>0.99492385786802029</v>
          </cell>
          <cell r="Y180">
            <v>1</v>
          </cell>
          <cell r="Z180">
            <v>0.9642857142857143</v>
          </cell>
          <cell r="AA180">
            <v>0</v>
          </cell>
          <cell r="AB180" t="str">
            <v/>
          </cell>
          <cell r="AD180">
            <v>48</v>
          </cell>
          <cell r="AE180">
            <v>278</v>
          </cell>
          <cell r="AF180">
            <v>0.81482709092917904</v>
          </cell>
          <cell r="AG180">
            <v>0</v>
          </cell>
          <cell r="AH180" t="str">
            <v/>
          </cell>
          <cell r="AI180">
            <v>9</v>
          </cell>
          <cell r="AJ180">
            <v>96</v>
          </cell>
          <cell r="AK180">
            <v>1295.7043814602173</v>
          </cell>
          <cell r="AL180">
            <v>0.19193324061196107</v>
          </cell>
          <cell r="AM180">
            <v>0.27318020028820411</v>
          </cell>
          <cell r="AN180">
            <v>0.29629629629629628</v>
          </cell>
          <cell r="AO180">
            <v>185</v>
          </cell>
          <cell r="AQ180">
            <v>65282</v>
          </cell>
          <cell r="AR180" t="str">
            <v/>
          </cell>
          <cell r="AS180">
            <v>42348</v>
          </cell>
          <cell r="AU180">
            <v>48368</v>
          </cell>
          <cell r="AV180" t="str">
            <v/>
          </cell>
          <cell r="AW180">
            <v>23069</v>
          </cell>
          <cell r="AX180" t="str">
            <v/>
          </cell>
          <cell r="AY180" t="str">
            <v/>
          </cell>
          <cell r="AZ180">
            <v>31463</v>
          </cell>
          <cell r="BA180" t="str">
            <v/>
          </cell>
          <cell r="BB180">
            <v>412.08180005600002</v>
          </cell>
          <cell r="BC180">
            <v>22</v>
          </cell>
          <cell r="BD180">
            <v>914.95780076000005</v>
          </cell>
          <cell r="BE180" t="str">
            <v/>
          </cell>
          <cell r="BF180">
            <v>1551.5422001060001</v>
          </cell>
          <cell r="BG180" t="str">
            <v/>
          </cell>
          <cell r="BH180">
            <v>612</v>
          </cell>
          <cell r="BI180">
            <v>22</v>
          </cell>
          <cell r="BJ180">
            <v>22</v>
          </cell>
        </row>
        <row r="181">
          <cell r="A181" t="str">
            <v>5HC</v>
          </cell>
          <cell r="B181" t="str">
            <v>Q15</v>
          </cell>
          <cell r="C181" t="str">
            <v/>
          </cell>
          <cell r="D181" t="str">
            <v/>
          </cell>
          <cell r="E181">
            <v>1</v>
          </cell>
          <cell r="F181">
            <v>1</v>
          </cell>
          <cell r="G181">
            <v>1</v>
          </cell>
          <cell r="H181">
            <v>0</v>
          </cell>
          <cell r="J181">
            <v>0</v>
          </cell>
          <cell r="K181">
            <v>15.954199665999999</v>
          </cell>
          <cell r="L181">
            <v>340.8961993480001</v>
          </cell>
          <cell r="M181" t="str">
            <v/>
          </cell>
          <cell r="N181">
            <v>0</v>
          </cell>
          <cell r="Q181" t="str">
            <v/>
          </cell>
          <cell r="R181" t="str">
            <v/>
          </cell>
          <cell r="S181">
            <v>31</v>
          </cell>
          <cell r="X181">
            <v>1</v>
          </cell>
          <cell r="Y181">
            <v>0.96153846153846156</v>
          </cell>
          <cell r="Z181">
            <v>0.92307692307692313</v>
          </cell>
          <cell r="AA181">
            <v>0</v>
          </cell>
          <cell r="AB181" t="str">
            <v/>
          </cell>
          <cell r="AD181">
            <v>1</v>
          </cell>
          <cell r="AE181">
            <v>76</v>
          </cell>
          <cell r="AF181">
            <v>0.77358490566037741</v>
          </cell>
          <cell r="AG181">
            <v>0</v>
          </cell>
          <cell r="AH181" t="str">
            <v/>
          </cell>
          <cell r="AI181">
            <v>2</v>
          </cell>
          <cell r="AJ181">
            <v>23</v>
          </cell>
          <cell r="AK181">
            <v>1064.0602807000648</v>
          </cell>
          <cell r="AL181">
            <v>0.17741935483870969</v>
          </cell>
          <cell r="AM181">
            <v>0.23218907505789402</v>
          </cell>
          <cell r="AN181">
            <v>0.18518518518518517</v>
          </cell>
          <cell r="AO181">
            <v>64</v>
          </cell>
          <cell r="AQ181">
            <v>24990</v>
          </cell>
          <cell r="AR181" t="str">
            <v/>
          </cell>
          <cell r="AS181">
            <v>40655</v>
          </cell>
          <cell r="AU181">
            <v>19482</v>
          </cell>
          <cell r="AV181" t="str">
            <v/>
          </cell>
          <cell r="AW181">
            <v>9206</v>
          </cell>
          <cell r="AX181" t="str">
            <v/>
          </cell>
          <cell r="AY181" t="str">
            <v/>
          </cell>
          <cell r="AZ181">
            <v>11054</v>
          </cell>
          <cell r="BA181" t="str">
            <v/>
          </cell>
          <cell r="BB181">
            <v>168.51739943199999</v>
          </cell>
          <cell r="BC181">
            <v>6</v>
          </cell>
          <cell r="BD181">
            <v>414.17479909400004</v>
          </cell>
          <cell r="BE181" t="str">
            <v/>
          </cell>
          <cell r="BF181">
            <v>654.55879785699994</v>
          </cell>
          <cell r="BG181" t="str">
            <v/>
          </cell>
          <cell r="BH181">
            <v>338</v>
          </cell>
          <cell r="BI181">
            <v>9</v>
          </cell>
          <cell r="BJ181">
            <v>9</v>
          </cell>
        </row>
        <row r="182">
          <cell r="A182" t="str">
            <v>5HD</v>
          </cell>
          <cell r="B182" t="str">
            <v>Q13</v>
          </cell>
          <cell r="C182" t="str">
            <v/>
          </cell>
          <cell r="D182" t="str">
            <v/>
          </cell>
          <cell r="E182" t="str">
            <v/>
          </cell>
          <cell r="F182">
            <v>1</v>
          </cell>
          <cell r="G182">
            <v>1</v>
          </cell>
          <cell r="H182">
            <v>0</v>
          </cell>
          <cell r="J182">
            <v>0</v>
          </cell>
          <cell r="K182">
            <v>71</v>
          </cell>
          <cell r="L182">
            <v>669.805864208</v>
          </cell>
          <cell r="M182">
            <v>8</v>
          </cell>
          <cell r="N182">
            <v>0</v>
          </cell>
          <cell r="Q182" t="str">
            <v/>
          </cell>
          <cell r="R182" t="str">
            <v/>
          </cell>
          <cell r="S182">
            <v>217</v>
          </cell>
          <cell r="X182">
            <v>1</v>
          </cell>
          <cell r="Y182">
            <v>1</v>
          </cell>
          <cell r="Z182">
            <v>0.95</v>
          </cell>
          <cell r="AA182">
            <v>0</v>
          </cell>
          <cell r="AB182" t="str">
            <v/>
          </cell>
          <cell r="AD182">
            <v>32</v>
          </cell>
          <cell r="AE182">
            <v>307</v>
          </cell>
          <cell r="AF182">
            <v>0.90003602305475505</v>
          </cell>
          <cell r="AG182">
            <v>0</v>
          </cell>
          <cell r="AH182" t="str">
            <v/>
          </cell>
          <cell r="AI182">
            <v>7</v>
          </cell>
          <cell r="AJ182">
            <v>123</v>
          </cell>
          <cell r="AK182">
            <v>813.99437412095642</v>
          </cell>
          <cell r="AL182" t="str">
            <v/>
          </cell>
          <cell r="AM182">
            <v>0.31252958526016822</v>
          </cell>
          <cell r="AN182">
            <v>0.42424242424242425</v>
          </cell>
          <cell r="AO182">
            <v>102</v>
          </cell>
          <cell r="AQ182">
            <v>30107</v>
          </cell>
          <cell r="AR182" t="str">
            <v/>
          </cell>
          <cell r="AS182">
            <v>12484</v>
          </cell>
          <cell r="AU182">
            <v>24681</v>
          </cell>
          <cell r="AV182" t="str">
            <v/>
          </cell>
          <cell r="AW182">
            <v>17494</v>
          </cell>
          <cell r="AX182" t="str">
            <v/>
          </cell>
          <cell r="AY182" t="str">
            <v/>
          </cell>
          <cell r="AZ182">
            <v>16051</v>
          </cell>
          <cell r="BA182" t="str">
            <v/>
          </cell>
          <cell r="BB182">
            <v>200.707480237</v>
          </cell>
          <cell r="BC182" t="str">
            <v/>
          </cell>
          <cell r="BD182">
            <v>522.46691605399997</v>
          </cell>
          <cell r="BE182" t="str">
            <v/>
          </cell>
          <cell r="BF182">
            <v>875.44522856900005</v>
          </cell>
          <cell r="BG182" t="str">
            <v/>
          </cell>
          <cell r="BH182">
            <v>374</v>
          </cell>
          <cell r="BI182">
            <v>104</v>
          </cell>
          <cell r="BJ182">
            <v>0</v>
          </cell>
        </row>
        <row r="183">
          <cell r="A183" t="str">
            <v>5HE</v>
          </cell>
          <cell r="B183" t="str">
            <v>Q13</v>
          </cell>
          <cell r="C183" t="str">
            <v/>
          </cell>
          <cell r="D183" t="str">
            <v/>
          </cell>
          <cell r="E183" t="str">
            <v/>
          </cell>
          <cell r="F183">
            <v>1</v>
          </cell>
          <cell r="G183">
            <v>1</v>
          </cell>
          <cell r="H183">
            <v>0</v>
          </cell>
          <cell r="J183">
            <v>0</v>
          </cell>
          <cell r="K183">
            <v>2.2000000179999999</v>
          </cell>
          <cell r="L183">
            <v>241.01420502800002</v>
          </cell>
          <cell r="M183" t="str">
            <v/>
          </cell>
          <cell r="N183">
            <v>0</v>
          </cell>
          <cell r="Q183" t="str">
            <v/>
          </cell>
          <cell r="R183" t="str">
            <v/>
          </cell>
          <cell r="S183">
            <v>9</v>
          </cell>
          <cell r="X183">
            <v>1</v>
          </cell>
          <cell r="Y183">
            <v>1</v>
          </cell>
          <cell r="Z183">
            <v>0.875</v>
          </cell>
          <cell r="AA183">
            <v>0</v>
          </cell>
          <cell r="AB183" t="str">
            <v/>
          </cell>
          <cell r="AD183">
            <v>11</v>
          </cell>
          <cell r="AE183">
            <v>25</v>
          </cell>
          <cell r="AF183">
            <v>0.69625991688704192</v>
          </cell>
          <cell r="AG183">
            <v>0</v>
          </cell>
          <cell r="AH183" t="str">
            <v/>
          </cell>
          <cell r="AI183">
            <v>5</v>
          </cell>
          <cell r="AJ183">
            <v>75</v>
          </cell>
          <cell r="AK183">
            <v>765.44732805111414</v>
          </cell>
          <cell r="AL183">
            <v>0.184</v>
          </cell>
          <cell r="AM183">
            <v>0.39509971509971509</v>
          </cell>
          <cell r="AN183">
            <v>0.6428571428571429</v>
          </cell>
          <cell r="AO183">
            <v>400</v>
          </cell>
          <cell r="AQ183">
            <v>15027</v>
          </cell>
          <cell r="AR183" t="str">
            <v/>
          </cell>
          <cell r="AS183">
            <v>4980</v>
          </cell>
          <cell r="AU183">
            <v>12093</v>
          </cell>
          <cell r="AV183" t="str">
            <v/>
          </cell>
          <cell r="AW183">
            <v>8808</v>
          </cell>
          <cell r="AX183" t="str">
            <v/>
          </cell>
          <cell r="AY183" t="str">
            <v/>
          </cell>
          <cell r="AZ183">
            <v>6615</v>
          </cell>
          <cell r="BA183" t="str">
            <v/>
          </cell>
          <cell r="BB183">
            <v>155.763636214</v>
          </cell>
          <cell r="BC183">
            <v>40</v>
          </cell>
          <cell r="BD183">
            <v>234.15397699099998</v>
          </cell>
          <cell r="BE183" t="str">
            <v/>
          </cell>
          <cell r="BF183">
            <v>445.45681867799999</v>
          </cell>
          <cell r="BG183">
            <v>38</v>
          </cell>
          <cell r="BH183">
            <v>501</v>
          </cell>
          <cell r="BI183">
            <v>347</v>
          </cell>
          <cell r="BJ183">
            <v>67</v>
          </cell>
        </row>
        <row r="184">
          <cell r="A184" t="str">
            <v>5HF</v>
          </cell>
          <cell r="B184" t="str">
            <v>Q13</v>
          </cell>
          <cell r="C184" t="str">
            <v/>
          </cell>
          <cell r="D184" t="str">
            <v/>
          </cell>
          <cell r="E184" t="str">
            <v/>
          </cell>
          <cell r="F184">
            <v>1</v>
          </cell>
          <cell r="G184">
            <v>1</v>
          </cell>
          <cell r="H184">
            <v>0</v>
          </cell>
          <cell r="J184">
            <v>0</v>
          </cell>
          <cell r="K184">
            <v>2.800000072</v>
          </cell>
          <cell r="L184">
            <v>371.29007963700008</v>
          </cell>
          <cell r="M184">
            <v>0</v>
          </cell>
          <cell r="N184">
            <v>0</v>
          </cell>
          <cell r="Q184" t="str">
            <v/>
          </cell>
          <cell r="R184" t="str">
            <v/>
          </cell>
          <cell r="S184">
            <v>3</v>
          </cell>
          <cell r="X184">
            <v>1</v>
          </cell>
          <cell r="Y184">
            <v>0.98039215686274506</v>
          </cell>
          <cell r="Z184">
            <v>0.96666666666666667</v>
          </cell>
          <cell r="AA184">
            <v>0</v>
          </cell>
          <cell r="AB184" t="str">
            <v/>
          </cell>
          <cell r="AD184">
            <v>6</v>
          </cell>
          <cell r="AE184">
            <v>46</v>
          </cell>
          <cell r="AF184">
            <v>0.59073215940685819</v>
          </cell>
          <cell r="AG184">
            <v>0</v>
          </cell>
          <cell r="AH184" t="str">
            <v/>
          </cell>
          <cell r="AI184">
            <v>5</v>
          </cell>
          <cell r="AJ184">
            <v>77</v>
          </cell>
          <cell r="AK184">
            <v>1051.8715983561035</v>
          </cell>
          <cell r="AL184">
            <v>0.27756653992395436</v>
          </cell>
          <cell r="AM184">
            <v>0.33051859433640396</v>
          </cell>
          <cell r="AN184">
            <v>0.42857142857142855</v>
          </cell>
          <cell r="AO184">
            <v>2554</v>
          </cell>
          <cell r="AQ184">
            <v>22753</v>
          </cell>
          <cell r="AR184" t="str">
            <v/>
          </cell>
          <cell r="AS184">
            <v>9515</v>
          </cell>
          <cell r="AU184">
            <v>18612</v>
          </cell>
          <cell r="AV184" t="str">
            <v/>
          </cell>
          <cell r="AW184">
            <v>15772</v>
          </cell>
          <cell r="AX184" t="str">
            <v/>
          </cell>
          <cell r="AY184" t="str">
            <v/>
          </cell>
          <cell r="AZ184">
            <v>11653</v>
          </cell>
          <cell r="BA184" t="str">
            <v/>
          </cell>
          <cell r="BB184">
            <v>237.51241334999997</v>
          </cell>
          <cell r="BC184" t="str">
            <v/>
          </cell>
          <cell r="BD184">
            <v>408.49730074000001</v>
          </cell>
          <cell r="BE184" t="str">
            <v/>
          </cell>
          <cell r="BF184">
            <v>774.30665747</v>
          </cell>
          <cell r="BG184" t="str">
            <v/>
          </cell>
          <cell r="BH184">
            <v>929</v>
          </cell>
          <cell r="BI184">
            <v>663</v>
          </cell>
          <cell r="BJ184">
            <v>239</v>
          </cell>
        </row>
        <row r="185">
          <cell r="A185" t="str">
            <v>5HG</v>
          </cell>
          <cell r="B185" t="str">
            <v>Q14</v>
          </cell>
          <cell r="C185" t="str">
            <v/>
          </cell>
          <cell r="D185" t="str">
            <v/>
          </cell>
          <cell r="E185">
            <v>1</v>
          </cell>
          <cell r="F185">
            <v>1</v>
          </cell>
          <cell r="G185">
            <v>1</v>
          </cell>
          <cell r="H185">
            <v>0</v>
          </cell>
          <cell r="J185">
            <v>0</v>
          </cell>
          <cell r="K185">
            <v>20.630699767999999</v>
          </cell>
          <cell r="L185">
            <v>984.10069339799998</v>
          </cell>
          <cell r="M185" t="str">
            <v/>
          </cell>
          <cell r="N185">
            <v>0</v>
          </cell>
          <cell r="Q185" t="str">
            <v/>
          </cell>
          <cell r="R185" t="str">
            <v/>
          </cell>
          <cell r="S185">
            <v>410</v>
          </cell>
          <cell r="X185">
            <v>0.9939393939393939</v>
          </cell>
          <cell r="Y185">
            <v>1</v>
          </cell>
          <cell r="Z185">
            <v>0.7857142857142857</v>
          </cell>
          <cell r="AA185">
            <v>0</v>
          </cell>
          <cell r="AB185" t="str">
            <v/>
          </cell>
          <cell r="AD185">
            <v>21</v>
          </cell>
          <cell r="AE185">
            <v>503</v>
          </cell>
          <cell r="AF185">
            <v>0.84316888851150551</v>
          </cell>
          <cell r="AG185">
            <v>0</v>
          </cell>
          <cell r="AH185" t="str">
            <v/>
          </cell>
          <cell r="AI185">
            <v>4</v>
          </cell>
          <cell r="AJ185">
            <v>990</v>
          </cell>
          <cell r="AK185">
            <v>1015.6090801646493</v>
          </cell>
          <cell r="AL185" t="str">
            <v/>
          </cell>
          <cell r="AM185">
            <v>0.26437403947472543</v>
          </cell>
          <cell r="AN185">
            <v>0.3</v>
          </cell>
          <cell r="AO185">
            <v>300</v>
          </cell>
          <cell r="AQ185">
            <v>67192</v>
          </cell>
          <cell r="AR185" t="str">
            <v/>
          </cell>
          <cell r="AS185">
            <v>40539</v>
          </cell>
          <cell r="AU185">
            <v>54870</v>
          </cell>
          <cell r="AV185" t="str">
            <v/>
          </cell>
          <cell r="AW185">
            <v>36527</v>
          </cell>
          <cell r="AX185" t="str">
            <v/>
          </cell>
          <cell r="AY185" t="str">
            <v/>
          </cell>
          <cell r="AZ185">
            <v>33162</v>
          </cell>
          <cell r="BA185" t="str">
            <v/>
          </cell>
          <cell r="BB185">
            <v>492.52809053600004</v>
          </cell>
          <cell r="BC185">
            <v>61.006298294000004</v>
          </cell>
          <cell r="BD185">
            <v>1265.3671293899999</v>
          </cell>
          <cell r="BE185">
            <v>0.50999998899999999</v>
          </cell>
          <cell r="BF185">
            <v>1571.3418949749998</v>
          </cell>
          <cell r="BG185" t="str">
            <v/>
          </cell>
          <cell r="BH185">
            <v>307</v>
          </cell>
          <cell r="BI185">
            <v>305</v>
          </cell>
          <cell r="BJ185">
            <v>0</v>
          </cell>
        </row>
        <row r="186">
          <cell r="A186" t="str">
            <v>5HH</v>
          </cell>
          <cell r="B186" t="str">
            <v>Q12</v>
          </cell>
          <cell r="C186" t="str">
            <v/>
          </cell>
          <cell r="D186" t="str">
            <v/>
          </cell>
          <cell r="E186" t="str">
            <v/>
          </cell>
          <cell r="F186">
            <v>1</v>
          </cell>
          <cell r="G186">
            <v>1</v>
          </cell>
          <cell r="H186">
            <v>0</v>
          </cell>
          <cell r="J186">
            <v>1</v>
          </cell>
          <cell r="K186">
            <v>44</v>
          </cell>
          <cell r="L186">
            <v>0.68999999100000009</v>
          </cell>
          <cell r="M186">
            <v>9</v>
          </cell>
          <cell r="N186">
            <v>0</v>
          </cell>
          <cell r="Q186">
            <v>1</v>
          </cell>
          <cell r="R186">
            <v>0</v>
          </cell>
          <cell r="S186">
            <v>38</v>
          </cell>
          <cell r="X186">
            <v>1</v>
          </cell>
          <cell r="Y186">
            <v>0.91666666666666663</v>
          </cell>
          <cell r="Z186">
            <v>0.88888888888888884</v>
          </cell>
          <cell r="AA186">
            <v>0</v>
          </cell>
          <cell r="AB186" t="str">
            <v/>
          </cell>
          <cell r="AD186">
            <v>24</v>
          </cell>
          <cell r="AE186">
            <v>232</v>
          </cell>
          <cell r="AF186">
            <v>0.84152229480261287</v>
          </cell>
          <cell r="AG186">
            <v>0</v>
          </cell>
          <cell r="AH186" t="str">
            <v/>
          </cell>
          <cell r="AI186">
            <v>7.6</v>
          </cell>
          <cell r="AJ186">
            <v>103</v>
          </cell>
          <cell r="AK186">
            <v>710.8151880511067</v>
          </cell>
          <cell r="AL186">
            <v>0.20141342756183744</v>
          </cell>
          <cell r="AM186">
            <v>0.3280007561704692</v>
          </cell>
          <cell r="AN186">
            <v>0.33333333333333331</v>
          </cell>
          <cell r="AO186">
            <v>58</v>
          </cell>
          <cell r="AQ186">
            <v>18477</v>
          </cell>
          <cell r="AR186" t="str">
            <v/>
          </cell>
          <cell r="AS186">
            <v>14543</v>
          </cell>
          <cell r="AU186">
            <v>17454</v>
          </cell>
          <cell r="AV186" t="str">
            <v/>
          </cell>
          <cell r="AW186">
            <v>10925</v>
          </cell>
          <cell r="AX186" t="str">
            <v/>
          </cell>
          <cell r="AY186" t="str">
            <v/>
          </cell>
          <cell r="AZ186">
            <v>12072</v>
          </cell>
          <cell r="BA186" t="str">
            <v/>
          </cell>
          <cell r="BB186">
            <v>94.567299958999996</v>
          </cell>
          <cell r="BC186">
            <v>91</v>
          </cell>
          <cell r="BD186">
            <v>60.94339987</v>
          </cell>
          <cell r="BE186">
            <v>48</v>
          </cell>
          <cell r="BF186">
            <v>431.43679979000001</v>
          </cell>
          <cell r="BG186">
            <v>413</v>
          </cell>
          <cell r="BH186">
            <v>1050</v>
          </cell>
          <cell r="BI186">
            <v>1050</v>
          </cell>
          <cell r="BJ186">
            <v>0</v>
          </cell>
        </row>
        <row r="187">
          <cell r="A187" t="str">
            <v>5HJ</v>
          </cell>
          <cell r="B187" t="str">
            <v>Q12</v>
          </cell>
          <cell r="C187" t="str">
            <v/>
          </cell>
          <cell r="D187" t="str">
            <v/>
          </cell>
          <cell r="E187" t="str">
            <v/>
          </cell>
          <cell r="F187">
            <v>1</v>
          </cell>
          <cell r="G187">
            <v>1</v>
          </cell>
          <cell r="H187">
            <v>0</v>
          </cell>
          <cell r="J187">
            <v>2</v>
          </cell>
          <cell r="K187">
            <v>41.006</v>
          </cell>
          <cell r="L187">
            <v>7.1134999989999992</v>
          </cell>
          <cell r="M187" t="str">
            <v/>
          </cell>
          <cell r="N187">
            <v>0</v>
          </cell>
          <cell r="Q187" t="str">
            <v/>
          </cell>
          <cell r="R187" t="str">
            <v/>
          </cell>
          <cell r="S187">
            <v>90</v>
          </cell>
          <cell r="X187">
            <v>0.99212598425196852</v>
          </cell>
          <cell r="Y187">
            <v>0.97619047619047616</v>
          </cell>
          <cell r="Z187">
            <v>0.9285714285714286</v>
          </cell>
          <cell r="AA187">
            <v>0</v>
          </cell>
          <cell r="AB187" t="str">
            <v/>
          </cell>
          <cell r="AD187">
            <v>39</v>
          </cell>
          <cell r="AE187">
            <v>259</v>
          </cell>
          <cell r="AF187">
            <v>0.85301030555053337</v>
          </cell>
          <cell r="AG187">
            <v>0</v>
          </cell>
          <cell r="AH187" t="str">
            <v/>
          </cell>
          <cell r="AI187">
            <v>4</v>
          </cell>
          <cell r="AJ187">
            <v>131</v>
          </cell>
          <cell r="AK187">
            <v>1499.524049498852</v>
          </cell>
          <cell r="AL187">
            <v>0.12079207920792079</v>
          </cell>
          <cell r="AM187">
            <v>0.27600360810665431</v>
          </cell>
          <cell r="AN187">
            <v>0.34782608695652173</v>
          </cell>
          <cell r="AO187">
            <v>113</v>
          </cell>
          <cell r="AQ187">
            <v>25576</v>
          </cell>
          <cell r="AR187" t="str">
            <v/>
          </cell>
          <cell r="AS187">
            <v>15216</v>
          </cell>
          <cell r="AU187">
            <v>22560</v>
          </cell>
          <cell r="AV187" t="str">
            <v/>
          </cell>
          <cell r="AW187">
            <v>15543</v>
          </cell>
          <cell r="AX187" t="str">
            <v/>
          </cell>
          <cell r="AY187" t="str">
            <v/>
          </cell>
          <cell r="AZ187">
            <v>14634</v>
          </cell>
          <cell r="BA187" t="str">
            <v/>
          </cell>
          <cell r="BB187">
            <v>13.506799987999999</v>
          </cell>
          <cell r="BC187" t="str">
            <v/>
          </cell>
          <cell r="BD187">
            <v>31.365799966000001</v>
          </cell>
          <cell r="BE187" t="str">
            <v/>
          </cell>
          <cell r="BF187">
            <v>81.279099941999988</v>
          </cell>
          <cell r="BG187" t="str">
            <v/>
          </cell>
          <cell r="BH187">
            <v>308</v>
          </cell>
          <cell r="BI187">
            <v>308</v>
          </cell>
          <cell r="BJ187">
            <v>0</v>
          </cell>
        </row>
        <row r="188">
          <cell r="A188" t="str">
            <v>5HK</v>
          </cell>
          <cell r="B188" t="str">
            <v>Q12</v>
          </cell>
          <cell r="C188" t="str">
            <v/>
          </cell>
          <cell r="D188" t="str">
            <v/>
          </cell>
          <cell r="E188" t="str">
            <v/>
          </cell>
          <cell r="F188">
            <v>1</v>
          </cell>
          <cell r="G188">
            <v>1</v>
          </cell>
          <cell r="H188">
            <v>0</v>
          </cell>
          <cell r="J188">
            <v>3</v>
          </cell>
          <cell r="K188">
            <v>69</v>
          </cell>
          <cell r="L188">
            <v>4.0600000029999999</v>
          </cell>
          <cell r="M188" t="str">
            <v/>
          </cell>
          <cell r="N188">
            <v>0</v>
          </cell>
          <cell r="Q188" t="str">
            <v/>
          </cell>
          <cell r="R188" t="str">
            <v/>
          </cell>
          <cell r="S188">
            <v>57</v>
          </cell>
          <cell r="X188">
            <v>1</v>
          </cell>
          <cell r="Y188">
            <v>0.87951807228915657</v>
          </cell>
          <cell r="Z188">
            <v>0.8</v>
          </cell>
          <cell r="AA188">
            <v>0</v>
          </cell>
          <cell r="AB188" t="str">
            <v/>
          </cell>
          <cell r="AD188">
            <v>39</v>
          </cell>
          <cell r="AE188">
            <v>277</v>
          </cell>
          <cell r="AF188">
            <v>0.98130142109199703</v>
          </cell>
          <cell r="AG188">
            <v>0</v>
          </cell>
          <cell r="AH188" t="str">
            <v/>
          </cell>
          <cell r="AI188">
            <v>5</v>
          </cell>
          <cell r="AJ188">
            <v>110</v>
          </cell>
          <cell r="AK188">
            <v>605.48043556300115</v>
          </cell>
          <cell r="AL188" t="str">
            <v/>
          </cell>
          <cell r="AM188">
            <v>0.28763461923542366</v>
          </cell>
          <cell r="AN188">
            <v>0.42307692307692307</v>
          </cell>
          <cell r="AO188">
            <v>203</v>
          </cell>
          <cell r="AQ188">
            <v>26890</v>
          </cell>
          <cell r="AR188" t="str">
            <v/>
          </cell>
          <cell r="AS188">
            <v>17684</v>
          </cell>
          <cell r="AU188">
            <v>22964</v>
          </cell>
          <cell r="AV188" t="str">
            <v/>
          </cell>
          <cell r="AW188">
            <v>16865</v>
          </cell>
          <cell r="AX188" t="str">
            <v/>
          </cell>
          <cell r="AY188" t="str">
            <v/>
          </cell>
          <cell r="AZ188">
            <v>17650</v>
          </cell>
          <cell r="BA188" t="str">
            <v/>
          </cell>
          <cell r="BB188">
            <v>6.3102000149999995</v>
          </cell>
          <cell r="BC188" t="str">
            <v/>
          </cell>
          <cell r="BD188">
            <v>4.9516000450000002</v>
          </cell>
          <cell r="BE188" t="str">
            <v/>
          </cell>
          <cell r="BF188">
            <v>4.6032000760000003</v>
          </cell>
          <cell r="BG188" t="str">
            <v/>
          </cell>
          <cell r="BH188">
            <v>447</v>
          </cell>
          <cell r="BI188">
            <v>443</v>
          </cell>
          <cell r="BJ188">
            <v>0</v>
          </cell>
        </row>
        <row r="189">
          <cell r="A189" t="str">
            <v>5HL</v>
          </cell>
          <cell r="B189" t="str">
            <v>Q12</v>
          </cell>
          <cell r="C189" t="str">
            <v/>
          </cell>
          <cell r="D189" t="str">
            <v/>
          </cell>
          <cell r="E189" t="str">
            <v/>
          </cell>
          <cell r="F189">
            <v>1</v>
          </cell>
          <cell r="G189">
            <v>1</v>
          </cell>
          <cell r="H189">
            <v>0</v>
          </cell>
          <cell r="J189">
            <v>0</v>
          </cell>
          <cell r="K189">
            <v>55.006</v>
          </cell>
          <cell r="L189">
            <v>14.273500012</v>
          </cell>
          <cell r="M189" t="str">
            <v/>
          </cell>
          <cell r="N189">
            <v>0</v>
          </cell>
          <cell r="Q189" t="str">
            <v/>
          </cell>
          <cell r="R189" t="str">
            <v/>
          </cell>
          <cell r="S189">
            <v>95</v>
          </cell>
          <cell r="X189">
            <v>1</v>
          </cell>
          <cell r="Y189">
            <v>0.91379310344827591</v>
          </cell>
          <cell r="Z189">
            <v>0.66666666666666663</v>
          </cell>
          <cell r="AA189">
            <v>0</v>
          </cell>
          <cell r="AB189" t="str">
            <v/>
          </cell>
          <cell r="AD189">
            <v>39</v>
          </cell>
          <cell r="AE189">
            <v>219</v>
          </cell>
          <cell r="AF189">
            <v>0.91239638281838731</v>
          </cell>
          <cell r="AG189">
            <v>0</v>
          </cell>
          <cell r="AH189" t="str">
            <v/>
          </cell>
          <cell r="AI189">
            <v>6</v>
          </cell>
          <cell r="AJ189">
            <v>508</v>
          </cell>
          <cell r="AK189">
            <v>933.86904115539141</v>
          </cell>
          <cell r="AL189">
            <v>0.1630901287553648</v>
          </cell>
          <cell r="AM189">
            <v>0.39125784064556429</v>
          </cell>
          <cell r="AN189">
            <v>0.29629629629629628</v>
          </cell>
          <cell r="AO189">
            <v>36</v>
          </cell>
          <cell r="AQ189">
            <v>22099</v>
          </cell>
          <cell r="AR189" t="str">
            <v/>
          </cell>
          <cell r="AS189">
            <v>17296</v>
          </cell>
          <cell r="AU189">
            <v>20522</v>
          </cell>
          <cell r="AV189" t="str">
            <v/>
          </cell>
          <cell r="AW189">
            <v>13678</v>
          </cell>
          <cell r="AX189" t="str">
            <v/>
          </cell>
          <cell r="AY189" t="str">
            <v/>
          </cell>
          <cell r="AZ189">
            <v>16029</v>
          </cell>
          <cell r="BA189" t="str">
            <v/>
          </cell>
          <cell r="BB189">
            <v>2.3340000569999999</v>
          </cell>
          <cell r="BC189" t="str">
            <v/>
          </cell>
          <cell r="BD189">
            <v>9.9034001790000001</v>
          </cell>
          <cell r="BE189" t="str">
            <v/>
          </cell>
          <cell r="BF189">
            <v>7.5543003010000005</v>
          </cell>
          <cell r="BG189" t="str">
            <v/>
          </cell>
          <cell r="BH189">
            <v>374</v>
          </cell>
          <cell r="BI189">
            <v>374</v>
          </cell>
          <cell r="BJ189">
            <v>304</v>
          </cell>
        </row>
        <row r="190">
          <cell r="A190" t="str">
            <v>5HM</v>
          </cell>
          <cell r="B190" t="str">
            <v>Q12</v>
          </cell>
          <cell r="C190" t="str">
            <v/>
          </cell>
          <cell r="D190" t="str">
            <v/>
          </cell>
          <cell r="E190" t="str">
            <v/>
          </cell>
          <cell r="F190">
            <v>1</v>
          </cell>
          <cell r="G190">
            <v>1</v>
          </cell>
          <cell r="H190">
            <v>0</v>
          </cell>
          <cell r="J190">
            <v>3</v>
          </cell>
          <cell r="K190">
            <v>69.006</v>
          </cell>
          <cell r="L190">
            <v>1.7135000089999999</v>
          </cell>
          <cell r="M190" t="str">
            <v/>
          </cell>
          <cell r="N190">
            <v>0</v>
          </cell>
          <cell r="Q190" t="str">
            <v/>
          </cell>
          <cell r="R190" t="str">
            <v/>
          </cell>
          <cell r="S190">
            <v>22</v>
          </cell>
          <cell r="X190">
            <v>1</v>
          </cell>
          <cell r="Y190">
            <v>0.98148148148148151</v>
          </cell>
          <cell r="Z190">
            <v>0.8125</v>
          </cell>
          <cell r="AA190">
            <v>0</v>
          </cell>
          <cell r="AB190" t="str">
            <v/>
          </cell>
          <cell r="AD190">
            <v>43</v>
          </cell>
          <cell r="AE190">
            <v>320</v>
          </cell>
          <cell r="AF190">
            <v>0.8789037603569152</v>
          </cell>
          <cell r="AG190">
            <v>0</v>
          </cell>
          <cell r="AH190" t="str">
            <v/>
          </cell>
          <cell r="AI190">
            <v>7</v>
          </cell>
          <cell r="AJ190">
            <v>248</v>
          </cell>
          <cell r="AK190">
            <v>420.85807591680242</v>
          </cell>
          <cell r="AL190">
            <v>0.10093896713615023</v>
          </cell>
          <cell r="AM190">
            <v>0.27642684401451029</v>
          </cell>
          <cell r="AN190">
            <v>0.23809523809523808</v>
          </cell>
          <cell r="AO190">
            <v>38</v>
          </cell>
          <cell r="AQ190">
            <v>27429</v>
          </cell>
          <cell r="AR190" t="str">
            <v/>
          </cell>
          <cell r="AS190">
            <v>19826</v>
          </cell>
          <cell r="AU190">
            <v>24873</v>
          </cell>
          <cell r="AV190" t="str">
            <v/>
          </cell>
          <cell r="AW190">
            <v>14106</v>
          </cell>
          <cell r="AX190" t="str">
            <v/>
          </cell>
          <cell r="AY190" t="str">
            <v/>
          </cell>
          <cell r="AZ190">
            <v>14486</v>
          </cell>
          <cell r="BA190" t="str">
            <v/>
          </cell>
          <cell r="BB190">
            <v>108.60880004500001</v>
          </cell>
          <cell r="BC190" t="str">
            <v/>
          </cell>
          <cell r="BD190">
            <v>35.881800138000003</v>
          </cell>
          <cell r="BE190" t="str">
            <v/>
          </cell>
          <cell r="BF190">
            <v>199.31110023599999</v>
          </cell>
          <cell r="BG190" t="str">
            <v/>
          </cell>
          <cell r="BH190">
            <v>620</v>
          </cell>
          <cell r="BI190">
            <v>149</v>
          </cell>
          <cell r="BJ190">
            <v>0</v>
          </cell>
        </row>
        <row r="191">
          <cell r="A191" t="str">
            <v>5HN</v>
          </cell>
          <cell r="B191" t="str">
            <v>Q24</v>
          </cell>
          <cell r="C191" t="str">
            <v/>
          </cell>
          <cell r="D191" t="str">
            <v/>
          </cell>
          <cell r="E191">
            <v>1</v>
          </cell>
          <cell r="F191">
            <v>1</v>
          </cell>
          <cell r="G191">
            <v>1</v>
          </cell>
          <cell r="H191">
            <v>0</v>
          </cell>
          <cell r="J191">
            <v>0</v>
          </cell>
          <cell r="K191">
            <v>28.606499970000002</v>
          </cell>
          <cell r="L191">
            <v>180.737699916</v>
          </cell>
          <cell r="M191" t="str">
            <v/>
          </cell>
          <cell r="N191">
            <v>0</v>
          </cell>
          <cell r="Q191" t="str">
            <v/>
          </cell>
          <cell r="R191" t="str">
            <v/>
          </cell>
          <cell r="S191">
            <v>21</v>
          </cell>
          <cell r="X191">
            <v>1</v>
          </cell>
          <cell r="Y191">
            <v>1</v>
          </cell>
          <cell r="Z191">
            <v>1</v>
          </cell>
          <cell r="AA191">
            <v>0</v>
          </cell>
          <cell r="AB191" t="str">
            <v/>
          </cell>
          <cell r="AD191">
            <v>31</v>
          </cell>
          <cell r="AE191">
            <v>270</v>
          </cell>
          <cell r="AF191">
            <v>0.97452054794520548</v>
          </cell>
          <cell r="AG191">
            <v>0</v>
          </cell>
          <cell r="AH191" t="str">
            <v/>
          </cell>
          <cell r="AI191">
            <v>3</v>
          </cell>
          <cell r="AJ191">
            <v>0</v>
          </cell>
          <cell r="AK191">
            <v>613.37675534715174</v>
          </cell>
          <cell r="AL191" t="str">
            <v/>
          </cell>
          <cell r="AM191">
            <v>0.29999750915385959</v>
          </cell>
          <cell r="AN191">
            <v>0.22222222222222221</v>
          </cell>
          <cell r="AO191">
            <v>-1991</v>
          </cell>
          <cell r="AQ191">
            <v>20555</v>
          </cell>
          <cell r="AR191" t="str">
            <v/>
          </cell>
          <cell r="AS191">
            <v>11301</v>
          </cell>
          <cell r="AU191">
            <v>16737.400000000001</v>
          </cell>
          <cell r="AV191" t="str">
            <v/>
          </cell>
          <cell r="AW191">
            <v>12750</v>
          </cell>
          <cell r="AX191" t="str">
            <v/>
          </cell>
          <cell r="AY191" t="str">
            <v/>
          </cell>
          <cell r="AZ191">
            <v>9164</v>
          </cell>
          <cell r="BA191" t="str">
            <v/>
          </cell>
          <cell r="BB191">
            <v>212.51259918299999</v>
          </cell>
          <cell r="BC191">
            <v>1.3599999700000001</v>
          </cell>
          <cell r="BD191">
            <v>366.82319872599999</v>
          </cell>
          <cell r="BE191">
            <v>0.33999999199999997</v>
          </cell>
          <cell r="BF191">
            <v>716.3346998720001</v>
          </cell>
          <cell r="BG191" t="str">
            <v/>
          </cell>
          <cell r="BH191">
            <v>149</v>
          </cell>
          <cell r="BI191">
            <v>149</v>
          </cell>
          <cell r="BJ191">
            <v>0</v>
          </cell>
        </row>
        <row r="192">
          <cell r="A192" t="str">
            <v>5HP</v>
          </cell>
          <cell r="B192" t="str">
            <v>Q13</v>
          </cell>
          <cell r="C192" t="str">
            <v/>
          </cell>
          <cell r="D192" t="str">
            <v/>
          </cell>
          <cell r="E192">
            <v>1</v>
          </cell>
          <cell r="F192">
            <v>1</v>
          </cell>
          <cell r="G192">
            <v>1</v>
          </cell>
          <cell r="H192">
            <v>1</v>
          </cell>
          <cell r="J192">
            <v>0</v>
          </cell>
          <cell r="K192">
            <v>13</v>
          </cell>
          <cell r="L192">
            <v>741.18188510300001</v>
          </cell>
          <cell r="M192">
            <v>0</v>
          </cell>
          <cell r="N192">
            <v>0</v>
          </cell>
          <cell r="Q192" t="str">
            <v/>
          </cell>
          <cell r="R192" t="str">
            <v/>
          </cell>
          <cell r="S192">
            <v>20</v>
          </cell>
          <cell r="X192">
            <v>1</v>
          </cell>
          <cell r="Y192">
            <v>1</v>
          </cell>
          <cell r="Z192">
            <v>1</v>
          </cell>
          <cell r="AA192">
            <v>0</v>
          </cell>
          <cell r="AB192" t="str">
            <v/>
          </cell>
          <cell r="AD192">
            <v>17</v>
          </cell>
          <cell r="AE192">
            <v>78</v>
          </cell>
          <cell r="AF192">
            <v>0.57750759878419455</v>
          </cell>
          <cell r="AG192">
            <v>0</v>
          </cell>
          <cell r="AH192" t="str">
            <v/>
          </cell>
          <cell r="AI192">
            <v>4</v>
          </cell>
          <cell r="AJ192">
            <v>18</v>
          </cell>
          <cell r="AK192">
            <v>1121.1302507270568</v>
          </cell>
          <cell r="AL192">
            <v>0.38709677419354838</v>
          </cell>
          <cell r="AM192">
            <v>0.3512334824770626</v>
          </cell>
          <cell r="AN192">
            <v>0.56666666666666665</v>
          </cell>
          <cell r="AO192">
            <v>974</v>
          </cell>
          <cell r="AQ192">
            <v>28900</v>
          </cell>
          <cell r="AR192" t="str">
            <v/>
          </cell>
          <cell r="AS192">
            <v>15826</v>
          </cell>
          <cell r="AU192">
            <v>22609</v>
          </cell>
          <cell r="AV192" t="str">
            <v/>
          </cell>
          <cell r="AW192">
            <v>19480</v>
          </cell>
          <cell r="AX192" t="str">
            <v/>
          </cell>
          <cell r="AY192" t="str">
            <v/>
          </cell>
          <cell r="AZ192">
            <v>17911</v>
          </cell>
          <cell r="BA192" t="str">
            <v/>
          </cell>
          <cell r="BB192">
            <v>295.09863712599997</v>
          </cell>
          <cell r="BC192" t="str">
            <v/>
          </cell>
          <cell r="BD192">
            <v>497.74123666700001</v>
          </cell>
          <cell r="BE192" t="str">
            <v/>
          </cell>
          <cell r="BF192">
            <v>905.56903956799999</v>
          </cell>
          <cell r="BG192" t="str">
            <v/>
          </cell>
          <cell r="BH192">
            <v>1531</v>
          </cell>
          <cell r="BI192">
            <v>438</v>
          </cell>
          <cell r="BJ192">
            <v>400</v>
          </cell>
        </row>
        <row r="193">
          <cell r="A193" t="str">
            <v>5HQ</v>
          </cell>
          <cell r="B193" t="str">
            <v>Q14</v>
          </cell>
          <cell r="C193" t="str">
            <v/>
          </cell>
          <cell r="D193" t="str">
            <v/>
          </cell>
          <cell r="E193">
            <v>1</v>
          </cell>
          <cell r="F193">
            <v>1</v>
          </cell>
          <cell r="G193">
            <v>1</v>
          </cell>
          <cell r="H193">
            <v>0</v>
          </cell>
          <cell r="J193">
            <v>0</v>
          </cell>
          <cell r="K193">
            <v>15.529999966</v>
          </cell>
          <cell r="L193">
            <v>328.78215626299999</v>
          </cell>
          <cell r="M193">
            <v>0</v>
          </cell>
          <cell r="N193">
            <v>0</v>
          </cell>
          <cell r="Q193" t="str">
            <v/>
          </cell>
          <cell r="R193">
            <v>0.86755952380952384</v>
          </cell>
          <cell r="S193">
            <v>491</v>
          </cell>
          <cell r="X193">
            <v>1</v>
          </cell>
          <cell r="Y193">
            <v>1</v>
          </cell>
          <cell r="Z193">
            <v>0.90322580645161288</v>
          </cell>
          <cell r="AA193">
            <v>0</v>
          </cell>
          <cell r="AB193" t="str">
            <v/>
          </cell>
          <cell r="AD193">
            <v>0</v>
          </cell>
          <cell r="AE193">
            <v>292</v>
          </cell>
          <cell r="AF193">
            <v>0.59519089890545551</v>
          </cell>
          <cell r="AG193">
            <v>0</v>
          </cell>
          <cell r="AH193" t="str">
            <v/>
          </cell>
          <cell r="AI193">
            <v>0</v>
          </cell>
          <cell r="AJ193">
            <v>136</v>
          </cell>
          <cell r="AK193">
            <v>1031.977925810447</v>
          </cell>
          <cell r="AL193">
            <v>0.24756756756756756</v>
          </cell>
          <cell r="AM193">
            <v>0.23737404898978154</v>
          </cell>
          <cell r="AN193">
            <v>0.67164179104477617</v>
          </cell>
          <cell r="AO193">
            <v>328</v>
          </cell>
          <cell r="AQ193">
            <v>57592</v>
          </cell>
          <cell r="AR193" t="str">
            <v/>
          </cell>
          <cell r="AS193">
            <v>29564</v>
          </cell>
          <cell r="AU193">
            <v>50053</v>
          </cell>
          <cell r="AV193" t="str">
            <v/>
          </cell>
          <cell r="AW193">
            <v>21556</v>
          </cell>
          <cell r="AX193" t="str">
            <v/>
          </cell>
          <cell r="AY193" t="str">
            <v/>
          </cell>
          <cell r="AZ193">
            <v>27806</v>
          </cell>
          <cell r="BA193" t="str">
            <v/>
          </cell>
          <cell r="BB193">
            <v>423.95078458600005</v>
          </cell>
          <cell r="BC193">
            <v>2.9899999560000001</v>
          </cell>
          <cell r="BD193">
            <v>978.72568261399999</v>
          </cell>
          <cell r="BE193">
            <v>0.33999999199999997</v>
          </cell>
          <cell r="BF193">
            <v>1342.1955056429999</v>
          </cell>
          <cell r="BG193" t="str">
            <v/>
          </cell>
          <cell r="BH193">
            <v>113</v>
          </cell>
          <cell r="BI193">
            <v>474</v>
          </cell>
          <cell r="BJ193">
            <v>0</v>
          </cell>
        </row>
        <row r="194">
          <cell r="A194" t="str">
            <v>5HR</v>
          </cell>
          <cell r="B194" t="str">
            <v>Q26</v>
          </cell>
          <cell r="C194" t="str">
            <v/>
          </cell>
          <cell r="D194" t="str">
            <v/>
          </cell>
          <cell r="E194">
            <v>1</v>
          </cell>
          <cell r="F194">
            <v>1</v>
          </cell>
          <cell r="G194">
            <v>1</v>
          </cell>
          <cell r="H194">
            <v>0</v>
          </cell>
          <cell r="J194">
            <v>0</v>
          </cell>
          <cell r="K194">
            <v>1.0380000020000002</v>
          </cell>
          <cell r="L194">
            <v>1362.5198999899999</v>
          </cell>
          <cell r="M194" t="str">
            <v/>
          </cell>
          <cell r="N194">
            <v>0</v>
          </cell>
          <cell r="Q194" t="str">
            <v/>
          </cell>
          <cell r="R194" t="str">
            <v/>
          </cell>
          <cell r="S194">
            <v>273</v>
          </cell>
          <cell r="X194">
            <v>1</v>
          </cell>
          <cell r="Y194">
            <v>1</v>
          </cell>
          <cell r="Z194">
            <v>0.90909090909090906</v>
          </cell>
          <cell r="AA194">
            <v>0</v>
          </cell>
          <cell r="AB194" t="str">
            <v/>
          </cell>
          <cell r="AD194">
            <v>11</v>
          </cell>
          <cell r="AE194">
            <v>256</v>
          </cell>
          <cell r="AF194">
            <v>0.84292343387471003</v>
          </cell>
          <cell r="AG194">
            <v>0</v>
          </cell>
          <cell r="AH194" t="str">
            <v/>
          </cell>
          <cell r="AI194">
            <v>5</v>
          </cell>
          <cell r="AJ194">
            <v>394</v>
          </cell>
          <cell r="AK194">
            <v>808.15459951830337</v>
          </cell>
          <cell r="AL194">
            <v>0.26111111111111113</v>
          </cell>
          <cell r="AM194">
            <v>0.33819401998328491</v>
          </cell>
          <cell r="AN194">
            <v>0.25</v>
          </cell>
          <cell r="AO194">
            <v>-4893</v>
          </cell>
          <cell r="AQ194">
            <v>17872</v>
          </cell>
          <cell r="AR194" t="str">
            <v/>
          </cell>
          <cell r="AS194">
            <v>7276</v>
          </cell>
          <cell r="AU194">
            <v>13619</v>
          </cell>
          <cell r="AV194" t="str">
            <v/>
          </cell>
          <cell r="AW194">
            <v>13166</v>
          </cell>
          <cell r="AX194" t="str">
            <v/>
          </cell>
          <cell r="AY194" t="str">
            <v/>
          </cell>
          <cell r="AZ194">
            <v>7633</v>
          </cell>
          <cell r="BA194" t="str">
            <v/>
          </cell>
          <cell r="BB194">
            <v>162.870000089</v>
          </cell>
          <cell r="BC194">
            <v>64</v>
          </cell>
          <cell r="BD194">
            <v>447.18600015099997</v>
          </cell>
          <cell r="BE194" t="str">
            <v/>
          </cell>
          <cell r="BF194">
            <v>733.54600035800001</v>
          </cell>
          <cell r="BG194">
            <v>53</v>
          </cell>
          <cell r="BH194">
            <v>211</v>
          </cell>
          <cell r="BI194">
            <v>158</v>
          </cell>
          <cell r="BJ194">
            <v>53</v>
          </cell>
        </row>
        <row r="195">
          <cell r="A195" t="str">
            <v>5HT</v>
          </cell>
          <cell r="B195" t="str">
            <v>Q27</v>
          </cell>
          <cell r="C195" t="str">
            <v/>
          </cell>
          <cell r="D195" t="str">
            <v/>
          </cell>
          <cell r="E195" t="str">
            <v/>
          </cell>
          <cell r="F195">
            <v>1</v>
          </cell>
          <cell r="G195">
            <v>1</v>
          </cell>
          <cell r="H195">
            <v>1</v>
          </cell>
          <cell r="J195">
            <v>0</v>
          </cell>
          <cell r="K195">
            <v>7</v>
          </cell>
          <cell r="L195">
            <v>129.77118418700002</v>
          </cell>
          <cell r="M195" t="str">
            <v/>
          </cell>
          <cell r="N195">
            <v>0</v>
          </cell>
          <cell r="Q195">
            <v>1</v>
          </cell>
          <cell r="R195" t="str">
            <v/>
          </cell>
          <cell r="S195">
            <v>724</v>
          </cell>
          <cell r="X195">
            <v>1</v>
          </cell>
          <cell r="Y195">
            <v>1</v>
          </cell>
          <cell r="Z195">
            <v>1</v>
          </cell>
          <cell r="AA195">
            <v>0</v>
          </cell>
          <cell r="AB195" t="str">
            <v/>
          </cell>
          <cell r="AD195">
            <v>59</v>
          </cell>
          <cell r="AE195">
            <v>443</v>
          </cell>
          <cell r="AF195">
            <v>1</v>
          </cell>
          <cell r="AG195">
            <v>0</v>
          </cell>
          <cell r="AH195" t="str">
            <v/>
          </cell>
          <cell r="AI195">
            <v>4</v>
          </cell>
          <cell r="AJ195">
            <v>583</v>
          </cell>
          <cell r="AK195">
            <v>854.84884630677072</v>
          </cell>
          <cell r="AL195">
            <v>0.16977225672877846</v>
          </cell>
          <cell r="AM195" t="str">
            <v/>
          </cell>
          <cell r="AN195">
            <v>0.27272727272727271</v>
          </cell>
          <cell r="AO195">
            <v>1599</v>
          </cell>
          <cell r="AQ195">
            <v>33651</v>
          </cell>
          <cell r="AR195" t="str">
            <v/>
          </cell>
          <cell r="AS195">
            <v>11926</v>
          </cell>
          <cell r="AU195">
            <v>33525</v>
          </cell>
          <cell r="AV195" t="str">
            <v/>
          </cell>
          <cell r="AW195">
            <v>21867</v>
          </cell>
          <cell r="AX195" t="str">
            <v/>
          </cell>
          <cell r="AY195" t="str">
            <v/>
          </cell>
          <cell r="AZ195">
            <v>16104</v>
          </cell>
          <cell r="BA195" t="str">
            <v/>
          </cell>
          <cell r="BB195">
            <v>326.78378573600003</v>
          </cell>
          <cell r="BC195">
            <v>16</v>
          </cell>
          <cell r="BD195">
            <v>634.10521288999996</v>
          </cell>
          <cell r="BE195" t="str">
            <v/>
          </cell>
          <cell r="BF195">
            <v>1494.01887996</v>
          </cell>
          <cell r="BG195">
            <v>43</v>
          </cell>
          <cell r="BH195">
            <v>0</v>
          </cell>
          <cell r="BI195">
            <v>59</v>
          </cell>
          <cell r="BJ195">
            <v>0</v>
          </cell>
        </row>
        <row r="196">
          <cell r="A196" t="str">
            <v>5HV</v>
          </cell>
          <cell r="B196" t="str">
            <v>Q27</v>
          </cell>
          <cell r="C196" t="str">
            <v/>
          </cell>
          <cell r="D196" t="str">
            <v/>
          </cell>
          <cell r="E196" t="str">
            <v/>
          </cell>
          <cell r="F196">
            <v>1</v>
          </cell>
          <cell r="G196">
            <v>1</v>
          </cell>
          <cell r="H196">
            <v>0</v>
          </cell>
          <cell r="J196">
            <v>0</v>
          </cell>
          <cell r="K196">
            <v>8</v>
          </cell>
          <cell r="L196">
            <v>104.592010712</v>
          </cell>
          <cell r="M196" t="str">
            <v/>
          </cell>
          <cell r="N196">
            <v>0</v>
          </cell>
          <cell r="Q196" t="str">
            <v/>
          </cell>
          <cell r="R196">
            <v>1</v>
          </cell>
          <cell r="S196">
            <v>344</v>
          </cell>
          <cell r="X196">
            <v>1</v>
          </cell>
          <cell r="Y196">
            <v>1</v>
          </cell>
          <cell r="Z196">
            <v>0.92307692307692313</v>
          </cell>
          <cell r="AA196">
            <v>0</v>
          </cell>
          <cell r="AB196" t="str">
            <v/>
          </cell>
          <cell r="AD196">
            <v>39</v>
          </cell>
          <cell r="AE196">
            <v>295</v>
          </cell>
          <cell r="AF196">
            <v>1</v>
          </cell>
          <cell r="AG196">
            <v>0</v>
          </cell>
          <cell r="AH196" t="str">
            <v/>
          </cell>
          <cell r="AI196">
            <v>0</v>
          </cell>
          <cell r="AJ196">
            <v>334</v>
          </cell>
          <cell r="AK196">
            <v>961.89419163891978</v>
          </cell>
          <cell r="AL196">
            <v>0.23104693140794225</v>
          </cell>
          <cell r="AM196">
            <v>0.35943933420937363</v>
          </cell>
          <cell r="AN196">
            <v>0.26315789473684209</v>
          </cell>
          <cell r="AO196">
            <v>1180</v>
          </cell>
          <cell r="AQ196">
            <v>17549</v>
          </cell>
          <cell r="AR196" t="str">
            <v/>
          </cell>
          <cell r="AS196">
            <v>7109</v>
          </cell>
          <cell r="AU196">
            <v>17535</v>
          </cell>
          <cell r="AV196" t="str">
            <v/>
          </cell>
          <cell r="AW196">
            <v>11195</v>
          </cell>
          <cell r="AX196" t="str">
            <v/>
          </cell>
          <cell r="AY196" t="str">
            <v/>
          </cell>
          <cell r="AZ196">
            <v>9632</v>
          </cell>
          <cell r="BA196" t="str">
            <v/>
          </cell>
          <cell r="BB196">
            <v>191.813979391</v>
          </cell>
          <cell r="BC196" t="str">
            <v/>
          </cell>
          <cell r="BD196">
            <v>331.50432443199998</v>
          </cell>
          <cell r="BE196" t="str">
            <v/>
          </cell>
          <cell r="BF196">
            <v>740.88783254800001</v>
          </cell>
          <cell r="BG196" t="str">
            <v/>
          </cell>
          <cell r="BH196">
            <v>0</v>
          </cell>
          <cell r="BI196">
            <v>212</v>
          </cell>
          <cell r="BJ196">
            <v>199</v>
          </cell>
        </row>
        <row r="197">
          <cell r="A197" t="str">
            <v>5HW</v>
          </cell>
          <cell r="B197" t="str">
            <v>Q26</v>
          </cell>
          <cell r="C197" t="str">
            <v/>
          </cell>
          <cell r="D197" t="str">
            <v/>
          </cell>
          <cell r="E197" t="str">
            <v/>
          </cell>
          <cell r="F197">
            <v>1</v>
          </cell>
          <cell r="G197">
            <v>1</v>
          </cell>
          <cell r="H197">
            <v>0</v>
          </cell>
          <cell r="J197">
            <v>0</v>
          </cell>
          <cell r="K197">
            <v>5.0349999990000001</v>
          </cell>
          <cell r="L197">
            <v>1440.2673809459998</v>
          </cell>
          <cell r="M197" t="str">
            <v/>
          </cell>
          <cell r="N197">
            <v>0</v>
          </cell>
          <cell r="Q197" t="str">
            <v/>
          </cell>
          <cell r="R197" t="str">
            <v/>
          </cell>
          <cell r="S197">
            <v>270</v>
          </cell>
          <cell r="X197">
            <v>1</v>
          </cell>
          <cell r="Y197">
            <v>1</v>
          </cell>
          <cell r="Z197">
            <v>1</v>
          </cell>
          <cell r="AA197">
            <v>0</v>
          </cell>
          <cell r="AB197" t="str">
            <v/>
          </cell>
          <cell r="AD197">
            <v>24</v>
          </cell>
          <cell r="AE197">
            <v>195</v>
          </cell>
          <cell r="AF197">
            <v>0.73193417600763178</v>
          </cell>
          <cell r="AG197">
            <v>0</v>
          </cell>
          <cell r="AH197" t="str">
            <v/>
          </cell>
          <cell r="AI197">
            <v>3.3</v>
          </cell>
          <cell r="AJ197">
            <v>92</v>
          </cell>
          <cell r="AK197">
            <v>759.38918695831615</v>
          </cell>
          <cell r="AL197">
            <v>0.18497109826589594</v>
          </cell>
          <cell r="AM197">
            <v>0.26863640300409536</v>
          </cell>
          <cell r="AN197">
            <v>0.26315789473684209</v>
          </cell>
          <cell r="AO197">
            <v>-1392</v>
          </cell>
          <cell r="AQ197">
            <v>19964</v>
          </cell>
          <cell r="AR197" t="str">
            <v/>
          </cell>
          <cell r="AS197">
            <v>6826</v>
          </cell>
          <cell r="AU197">
            <v>14558</v>
          </cell>
          <cell r="AV197" t="str">
            <v/>
          </cell>
          <cell r="AW197">
            <v>12527</v>
          </cell>
          <cell r="AX197" t="str">
            <v/>
          </cell>
          <cell r="AY197" t="str">
            <v/>
          </cell>
          <cell r="AZ197">
            <v>8896</v>
          </cell>
          <cell r="BA197" t="str">
            <v/>
          </cell>
          <cell r="BB197">
            <v>152.55499996500001</v>
          </cell>
          <cell r="BC197">
            <v>72</v>
          </cell>
          <cell r="BD197">
            <v>513.87499993599999</v>
          </cell>
          <cell r="BE197" t="str">
            <v/>
          </cell>
          <cell r="BF197">
            <v>840.86499986900003</v>
          </cell>
          <cell r="BG197" t="str">
            <v/>
          </cell>
          <cell r="BH197">
            <v>274</v>
          </cell>
          <cell r="BI197">
            <v>274</v>
          </cell>
          <cell r="BJ197">
            <v>0</v>
          </cell>
        </row>
        <row r="198">
          <cell r="A198" t="str">
            <v>5HX</v>
          </cell>
          <cell r="B198" t="str">
            <v>Q04</v>
          </cell>
          <cell r="C198" t="str">
            <v/>
          </cell>
          <cell r="D198" t="str">
            <v/>
          </cell>
          <cell r="E198" t="str">
            <v/>
          </cell>
          <cell r="F198">
            <v>1</v>
          </cell>
          <cell r="G198">
            <v>1</v>
          </cell>
          <cell r="H198">
            <v>1</v>
          </cell>
          <cell r="J198">
            <v>0</v>
          </cell>
          <cell r="K198">
            <v>209.148750073</v>
          </cell>
          <cell r="L198">
            <v>1384.7195819169999</v>
          </cell>
          <cell r="M198" t="str">
            <v/>
          </cell>
          <cell r="N198">
            <v>0</v>
          </cell>
          <cell r="Q198" t="str">
            <v/>
          </cell>
          <cell r="R198" t="str">
            <v/>
          </cell>
          <cell r="S198">
            <v>21</v>
          </cell>
          <cell r="X198">
            <v>1</v>
          </cell>
          <cell r="Y198">
            <v>1</v>
          </cell>
          <cell r="Z198">
            <v>0.9375</v>
          </cell>
          <cell r="AA198">
            <v>0</v>
          </cell>
          <cell r="AB198" t="str">
            <v/>
          </cell>
          <cell r="AD198">
            <v>21</v>
          </cell>
          <cell r="AE198">
            <v>333</v>
          </cell>
          <cell r="AF198">
            <v>0.62127769523932563</v>
          </cell>
          <cell r="AG198">
            <v>0</v>
          </cell>
          <cell r="AH198" t="str">
            <v/>
          </cell>
          <cell r="AI198">
            <v>9</v>
          </cell>
          <cell r="AJ198">
            <v>12</v>
          </cell>
          <cell r="AK198">
            <v>807.64390357147226</v>
          </cell>
          <cell r="AL198" t="str">
            <v/>
          </cell>
          <cell r="AM198">
            <v>0.26677176327735846</v>
          </cell>
          <cell r="AN198">
            <v>0.6556291390728477</v>
          </cell>
          <cell r="AO198">
            <v>2090</v>
          </cell>
          <cell r="AQ198">
            <v>67891</v>
          </cell>
          <cell r="AR198" t="str">
            <v/>
          </cell>
          <cell r="AS198">
            <v>37397</v>
          </cell>
          <cell r="AU198">
            <v>61590</v>
          </cell>
          <cell r="AV198" t="str">
            <v/>
          </cell>
          <cell r="AW198">
            <v>26938</v>
          </cell>
          <cell r="AX198" t="str">
            <v/>
          </cell>
          <cell r="AY198" t="str">
            <v/>
          </cell>
          <cell r="AZ198">
            <v>22132</v>
          </cell>
          <cell r="BA198" t="str">
            <v/>
          </cell>
          <cell r="BB198">
            <v>549.62272912700007</v>
          </cell>
          <cell r="BC198">
            <v>18.205841066000001</v>
          </cell>
          <cell r="BD198">
            <v>1164.3521119500001</v>
          </cell>
          <cell r="BE198" t="str">
            <v/>
          </cell>
          <cell r="BF198">
            <v>2911.037596136</v>
          </cell>
          <cell r="BG198" t="str">
            <v/>
          </cell>
          <cell r="BH198">
            <v>0</v>
          </cell>
          <cell r="BI198">
            <v>0</v>
          </cell>
          <cell r="BJ198">
            <v>0</v>
          </cell>
        </row>
        <row r="199">
          <cell r="A199" t="str">
            <v>5HY</v>
          </cell>
          <cell r="B199" t="str">
            <v>Q04</v>
          </cell>
          <cell r="C199" t="str">
            <v/>
          </cell>
          <cell r="D199" t="str">
            <v/>
          </cell>
          <cell r="E199" t="str">
            <v/>
          </cell>
          <cell r="F199">
            <v>1</v>
          </cell>
          <cell r="G199">
            <v>1</v>
          </cell>
          <cell r="H199">
            <v>0</v>
          </cell>
          <cell r="J199">
            <v>0</v>
          </cell>
          <cell r="K199">
            <v>239.31130017299998</v>
          </cell>
          <cell r="L199">
            <v>418.52180093799996</v>
          </cell>
          <cell r="M199" t="str">
            <v/>
          </cell>
          <cell r="N199">
            <v>0</v>
          </cell>
          <cell r="Q199" t="str">
            <v/>
          </cell>
          <cell r="R199" t="str">
            <v/>
          </cell>
          <cell r="S199">
            <v>5</v>
          </cell>
          <cell r="X199">
            <v>1</v>
          </cell>
          <cell r="Y199">
            <v>1</v>
          </cell>
          <cell r="Z199">
            <v>1</v>
          </cell>
          <cell r="AA199">
            <v>0</v>
          </cell>
          <cell r="AB199" t="str">
            <v/>
          </cell>
          <cell r="AD199">
            <v>31</v>
          </cell>
          <cell r="AE199">
            <v>239</v>
          </cell>
          <cell r="AF199">
            <v>0.7856267864434463</v>
          </cell>
          <cell r="AG199">
            <v>0</v>
          </cell>
          <cell r="AH199" t="str">
            <v/>
          </cell>
          <cell r="AI199">
            <v>0</v>
          </cell>
          <cell r="AJ199">
            <v>0</v>
          </cell>
          <cell r="AK199">
            <v>1034.4239845306595</v>
          </cell>
          <cell r="AL199">
            <v>0.13490364025695931</v>
          </cell>
          <cell r="AM199">
            <v>0.34433538781233292</v>
          </cell>
          <cell r="AN199">
            <v>0.69072164948453607</v>
          </cell>
          <cell r="AO199">
            <v>-10254</v>
          </cell>
          <cell r="AQ199">
            <v>48329</v>
          </cell>
          <cell r="AR199" t="str">
            <v/>
          </cell>
          <cell r="AS199">
            <v>22453</v>
          </cell>
          <cell r="AU199">
            <v>41793</v>
          </cell>
          <cell r="AV199" t="str">
            <v/>
          </cell>
          <cell r="AW199">
            <v>23479</v>
          </cell>
          <cell r="AX199" t="str">
            <v/>
          </cell>
          <cell r="AY199" t="str">
            <v/>
          </cell>
          <cell r="AZ199">
            <v>20773</v>
          </cell>
          <cell r="BA199" t="str">
            <v/>
          </cell>
          <cell r="BB199">
            <v>331.30937890600001</v>
          </cell>
          <cell r="BC199" t="str">
            <v/>
          </cell>
          <cell r="BD199">
            <v>988.25730211899997</v>
          </cell>
          <cell r="BE199" t="str">
            <v/>
          </cell>
          <cell r="BF199">
            <v>1895.3084313700001</v>
          </cell>
          <cell r="BG199" t="str">
            <v/>
          </cell>
          <cell r="BH199">
            <v>17</v>
          </cell>
          <cell r="BI199">
            <v>0</v>
          </cell>
          <cell r="BJ199">
            <v>0</v>
          </cell>
        </row>
        <row r="200">
          <cell r="A200" t="str">
            <v>5J1</v>
          </cell>
          <cell r="B200" t="str">
            <v>Q15</v>
          </cell>
          <cell r="C200" t="str">
            <v/>
          </cell>
          <cell r="D200" t="str">
            <v/>
          </cell>
          <cell r="E200" t="str">
            <v/>
          </cell>
          <cell r="F200">
            <v>1</v>
          </cell>
          <cell r="G200">
            <v>1</v>
          </cell>
          <cell r="H200">
            <v>0</v>
          </cell>
          <cell r="J200">
            <v>0</v>
          </cell>
          <cell r="K200">
            <v>6.0060000000000002</v>
          </cell>
          <cell r="L200">
            <v>663.6585</v>
          </cell>
          <cell r="M200" t="str">
            <v/>
          </cell>
          <cell r="N200">
            <v>1</v>
          </cell>
          <cell r="Q200" t="str">
            <v/>
          </cell>
          <cell r="R200" t="str">
            <v/>
          </cell>
          <cell r="S200">
            <v>18</v>
          </cell>
          <cell r="X200">
            <v>1</v>
          </cell>
          <cell r="Y200">
            <v>1</v>
          </cell>
          <cell r="Z200">
            <v>1</v>
          </cell>
          <cell r="AA200">
            <v>0</v>
          </cell>
          <cell r="AB200" t="str">
            <v/>
          </cell>
          <cell r="AD200">
            <v>0</v>
          </cell>
          <cell r="AE200">
            <v>28</v>
          </cell>
          <cell r="AF200">
            <v>0.84994250670755078</v>
          </cell>
          <cell r="AG200">
            <v>0</v>
          </cell>
          <cell r="AH200" t="str">
            <v/>
          </cell>
          <cell r="AI200">
            <v>8.8000000000000007</v>
          </cell>
          <cell r="AJ200">
            <v>450</v>
          </cell>
          <cell r="AK200">
            <v>1107.586543460041</v>
          </cell>
          <cell r="AL200">
            <v>0.31016042780748665</v>
          </cell>
          <cell r="AM200">
            <v>0.28538268572201808</v>
          </cell>
          <cell r="AN200">
            <v>0.35714285714285715</v>
          </cell>
          <cell r="AO200">
            <v>36</v>
          </cell>
          <cell r="AQ200">
            <v>25359</v>
          </cell>
          <cell r="AR200" t="str">
            <v/>
          </cell>
          <cell r="AS200">
            <v>11339</v>
          </cell>
          <cell r="AU200">
            <v>20300</v>
          </cell>
          <cell r="AV200" t="str">
            <v/>
          </cell>
          <cell r="AW200">
            <v>10968</v>
          </cell>
          <cell r="AX200" t="str">
            <v/>
          </cell>
          <cell r="AY200" t="str">
            <v/>
          </cell>
          <cell r="AZ200">
            <v>16325</v>
          </cell>
          <cell r="BA200" t="str">
            <v/>
          </cell>
          <cell r="BB200">
            <v>167.30819999100001</v>
          </cell>
          <cell r="BC200">
            <v>3</v>
          </cell>
          <cell r="BD200">
            <v>469.64199989799999</v>
          </cell>
          <cell r="BE200" t="str">
            <v/>
          </cell>
          <cell r="BF200">
            <v>868.62649998200004</v>
          </cell>
          <cell r="BG200" t="str">
            <v/>
          </cell>
          <cell r="BH200">
            <v>589</v>
          </cell>
          <cell r="BI200">
            <v>44</v>
          </cell>
          <cell r="BJ200">
            <v>44</v>
          </cell>
        </row>
        <row r="201">
          <cell r="A201" t="str">
            <v>5J2</v>
          </cell>
          <cell r="B201" t="str">
            <v>Q15</v>
          </cell>
          <cell r="C201" t="str">
            <v/>
          </cell>
          <cell r="D201" t="str">
            <v/>
          </cell>
          <cell r="E201" t="str">
            <v/>
          </cell>
          <cell r="F201">
            <v>1</v>
          </cell>
          <cell r="G201">
            <v>1</v>
          </cell>
          <cell r="H201">
            <v>0</v>
          </cell>
          <cell r="J201">
            <v>0</v>
          </cell>
          <cell r="K201">
            <v>10.729999983999999</v>
          </cell>
          <cell r="L201">
            <v>1855.4349999999999</v>
          </cell>
          <cell r="M201" t="str">
            <v/>
          </cell>
          <cell r="N201">
            <v>0</v>
          </cell>
          <cell r="Q201" t="str">
            <v/>
          </cell>
          <cell r="R201" t="str">
            <v/>
          </cell>
          <cell r="S201">
            <v>74</v>
          </cell>
          <cell r="X201">
            <v>1</v>
          </cell>
          <cell r="Y201">
            <v>1</v>
          </cell>
          <cell r="Z201">
            <v>0.91304347826086951</v>
          </cell>
          <cell r="AA201">
            <v>0</v>
          </cell>
          <cell r="AB201" t="str">
            <v/>
          </cell>
          <cell r="AD201">
            <v>24</v>
          </cell>
          <cell r="AE201">
            <v>245</v>
          </cell>
          <cell r="AF201">
            <v>0.95040196212017991</v>
          </cell>
          <cell r="AG201">
            <v>0</v>
          </cell>
          <cell r="AH201" t="str">
            <v/>
          </cell>
          <cell r="AI201">
            <v>15</v>
          </cell>
          <cell r="AJ201">
            <v>370</v>
          </cell>
          <cell r="AK201">
            <v>686.94101225249449</v>
          </cell>
          <cell r="AL201">
            <v>0.16796875</v>
          </cell>
          <cell r="AM201">
            <v>0.29883134182431415</v>
          </cell>
          <cell r="AN201">
            <v>0.47058823529411764</v>
          </cell>
          <cell r="AO201">
            <v>490</v>
          </cell>
          <cell r="AQ201">
            <v>27691</v>
          </cell>
          <cell r="AR201" t="str">
            <v/>
          </cell>
          <cell r="AS201">
            <v>15399</v>
          </cell>
          <cell r="AU201">
            <v>26266</v>
          </cell>
          <cell r="AV201" t="str">
            <v/>
          </cell>
          <cell r="AW201">
            <v>15118</v>
          </cell>
          <cell r="AX201" t="str">
            <v/>
          </cell>
          <cell r="AY201" t="str">
            <v/>
          </cell>
          <cell r="AZ201">
            <v>19812</v>
          </cell>
          <cell r="BA201" t="str">
            <v/>
          </cell>
          <cell r="BB201">
            <v>200.89699990599999</v>
          </cell>
          <cell r="BC201">
            <v>1.679999985</v>
          </cell>
          <cell r="BD201">
            <v>540.83950000999994</v>
          </cell>
          <cell r="BE201">
            <v>0.16999999599999999</v>
          </cell>
          <cell r="BF201">
            <v>1110.767999743</v>
          </cell>
          <cell r="BG201" t="str">
            <v/>
          </cell>
          <cell r="BH201">
            <v>1010</v>
          </cell>
          <cell r="BI201">
            <v>110</v>
          </cell>
          <cell r="BJ201">
            <v>110</v>
          </cell>
        </row>
        <row r="202">
          <cell r="A202" t="str">
            <v>5J3</v>
          </cell>
          <cell r="B202" t="str">
            <v>Q15</v>
          </cell>
          <cell r="C202" t="str">
            <v/>
          </cell>
          <cell r="D202" t="str">
            <v/>
          </cell>
          <cell r="E202">
            <v>0.9966641957005189</v>
          </cell>
          <cell r="F202">
            <v>1</v>
          </cell>
          <cell r="G202">
            <v>1</v>
          </cell>
          <cell r="H202">
            <v>0</v>
          </cell>
          <cell r="J202">
            <v>0</v>
          </cell>
          <cell r="K202">
            <v>10.678299950000001</v>
          </cell>
          <cell r="L202">
            <v>739.90030049200004</v>
          </cell>
          <cell r="M202" t="str">
            <v/>
          </cell>
          <cell r="N202">
            <v>1</v>
          </cell>
          <cell r="Q202" t="str">
            <v/>
          </cell>
          <cell r="R202">
            <v>0.16393442622950818</v>
          </cell>
          <cell r="S202">
            <v>230</v>
          </cell>
          <cell r="X202">
            <v>1</v>
          </cell>
          <cell r="Y202">
            <v>1</v>
          </cell>
          <cell r="Z202">
            <v>0.96153846153846156</v>
          </cell>
          <cell r="AA202">
            <v>0</v>
          </cell>
          <cell r="AB202" t="str">
            <v/>
          </cell>
          <cell r="AD202">
            <v>44</v>
          </cell>
          <cell r="AE202">
            <v>329</v>
          </cell>
          <cell r="AF202">
            <v>0.9593670886075949</v>
          </cell>
          <cell r="AG202">
            <v>0</v>
          </cell>
          <cell r="AH202" t="str">
            <v/>
          </cell>
          <cell r="AI202">
            <v>8</v>
          </cell>
          <cell r="AJ202">
            <v>90</v>
          </cell>
          <cell r="AK202">
            <v>895.57091762443986</v>
          </cell>
          <cell r="AL202">
            <v>0.25099601593625498</v>
          </cell>
          <cell r="AM202">
            <v>0.33184793970402154</v>
          </cell>
          <cell r="AN202">
            <v>0.4</v>
          </cell>
          <cell r="AO202">
            <v>211</v>
          </cell>
          <cell r="AQ202">
            <v>39303</v>
          </cell>
          <cell r="AR202" t="str">
            <v/>
          </cell>
          <cell r="AS202">
            <v>15237</v>
          </cell>
          <cell r="AU202">
            <v>33304</v>
          </cell>
          <cell r="AV202" t="str">
            <v/>
          </cell>
          <cell r="AW202">
            <v>14294</v>
          </cell>
          <cell r="AX202" t="str">
            <v/>
          </cell>
          <cell r="AY202" t="str">
            <v/>
          </cell>
          <cell r="AZ202">
            <v>23353</v>
          </cell>
          <cell r="BA202" t="str">
            <v/>
          </cell>
          <cell r="BB202">
            <v>324.14970019899999</v>
          </cell>
          <cell r="BC202">
            <v>11.694700055</v>
          </cell>
          <cell r="BD202">
            <v>640.15950021000003</v>
          </cell>
          <cell r="BE202" t="str">
            <v/>
          </cell>
          <cell r="BF202">
            <v>996.10660081100002</v>
          </cell>
          <cell r="BG202" t="str">
            <v/>
          </cell>
          <cell r="BH202">
            <v>1271</v>
          </cell>
          <cell r="BI202">
            <v>188</v>
          </cell>
          <cell r="BJ202">
            <v>188</v>
          </cell>
        </row>
        <row r="203">
          <cell r="A203" t="str">
            <v>5J4</v>
          </cell>
          <cell r="B203" t="str">
            <v>Q15</v>
          </cell>
          <cell r="C203" t="str">
            <v/>
          </cell>
          <cell r="D203" t="str">
            <v/>
          </cell>
          <cell r="E203">
            <v>1</v>
          </cell>
          <cell r="F203">
            <v>1</v>
          </cell>
          <cell r="G203">
            <v>1</v>
          </cell>
          <cell r="H203">
            <v>0</v>
          </cell>
          <cell r="J203">
            <v>0</v>
          </cell>
          <cell r="K203">
            <v>37.860000150000005</v>
          </cell>
          <cell r="L203">
            <v>682.23000029000002</v>
          </cell>
          <cell r="M203" t="str">
            <v/>
          </cell>
          <cell r="N203">
            <v>0</v>
          </cell>
          <cell r="Q203" t="str">
            <v/>
          </cell>
          <cell r="R203" t="str">
            <v/>
          </cell>
          <cell r="S203">
            <v>119</v>
          </cell>
          <cell r="X203">
            <v>0.99612403100775193</v>
          </cell>
          <cell r="Y203">
            <v>0.98181818181818181</v>
          </cell>
          <cell r="Z203">
            <v>0.92307692307692313</v>
          </cell>
          <cell r="AA203">
            <v>0</v>
          </cell>
          <cell r="AB203" t="str">
            <v/>
          </cell>
          <cell r="AD203">
            <v>26</v>
          </cell>
          <cell r="AE203">
            <v>268</v>
          </cell>
          <cell r="AF203">
            <v>1</v>
          </cell>
          <cell r="AG203">
            <v>0</v>
          </cell>
          <cell r="AH203" t="str">
            <v/>
          </cell>
          <cell r="AI203">
            <v>10</v>
          </cell>
          <cell r="AJ203">
            <v>124</v>
          </cell>
          <cell r="AK203">
            <v>1127.2210255668031</v>
          </cell>
          <cell r="AL203">
            <v>0.26741573033707866</v>
          </cell>
          <cell r="AM203">
            <v>0.34692029731086765</v>
          </cell>
          <cell r="AN203">
            <v>0.35897435897435898</v>
          </cell>
          <cell r="AO203">
            <v>9</v>
          </cell>
          <cell r="AQ203">
            <v>38065</v>
          </cell>
          <cell r="AR203" t="str">
            <v/>
          </cell>
          <cell r="AS203">
            <v>21011</v>
          </cell>
          <cell r="AU203">
            <v>29707</v>
          </cell>
          <cell r="AV203" t="str">
            <v/>
          </cell>
          <cell r="AW203">
            <v>15326</v>
          </cell>
          <cell r="AX203" t="str">
            <v/>
          </cell>
          <cell r="AY203" t="str">
            <v/>
          </cell>
          <cell r="AZ203">
            <v>22235</v>
          </cell>
          <cell r="BA203" t="str">
            <v/>
          </cell>
          <cell r="BB203">
            <v>318.503600345</v>
          </cell>
          <cell r="BC203">
            <v>13</v>
          </cell>
          <cell r="BD203">
            <v>594.54810163000002</v>
          </cell>
          <cell r="BE203" t="str">
            <v/>
          </cell>
          <cell r="BF203">
            <v>907.59940114400001</v>
          </cell>
          <cell r="BG203" t="str">
            <v/>
          </cell>
          <cell r="BH203">
            <v>617</v>
          </cell>
          <cell r="BI203">
            <v>41</v>
          </cell>
          <cell r="BJ203">
            <v>41</v>
          </cell>
        </row>
        <row r="204">
          <cell r="A204" t="str">
            <v>5J5</v>
          </cell>
          <cell r="B204" t="str">
            <v>Q14</v>
          </cell>
          <cell r="C204" t="str">
            <v/>
          </cell>
          <cell r="D204" t="str">
            <v/>
          </cell>
          <cell r="E204">
            <v>1</v>
          </cell>
          <cell r="F204">
            <v>1</v>
          </cell>
          <cell r="G204">
            <v>1</v>
          </cell>
          <cell r="H204">
            <v>0</v>
          </cell>
          <cell r="J204">
            <v>0</v>
          </cell>
          <cell r="K204">
            <v>12.459999968</v>
          </cell>
          <cell r="L204">
            <v>240.01</v>
          </cell>
          <cell r="M204" t="str">
            <v/>
          </cell>
          <cell r="N204">
            <v>0</v>
          </cell>
          <cell r="Q204" t="str">
            <v/>
          </cell>
          <cell r="R204" t="str">
            <v/>
          </cell>
          <cell r="S204">
            <v>438</v>
          </cell>
          <cell r="X204">
            <v>1</v>
          </cell>
          <cell r="Y204">
            <v>1</v>
          </cell>
          <cell r="Z204">
            <v>0.86363636363636365</v>
          </cell>
          <cell r="AA204">
            <v>0</v>
          </cell>
          <cell r="AB204" t="str">
            <v/>
          </cell>
          <cell r="AD204">
            <v>270</v>
          </cell>
          <cell r="AE204">
            <v>147</v>
          </cell>
          <cell r="AF204">
            <v>0.89998883803995977</v>
          </cell>
          <cell r="AG204">
            <v>0</v>
          </cell>
          <cell r="AH204" t="str">
            <v/>
          </cell>
          <cell r="AI204">
            <v>8</v>
          </cell>
          <cell r="AJ204">
            <v>594</v>
          </cell>
          <cell r="AK204">
            <v>1123.5290988717427</v>
          </cell>
          <cell r="AL204">
            <v>0.19053708439897699</v>
          </cell>
          <cell r="AM204">
            <v>0.29980316484391417</v>
          </cell>
          <cell r="AN204">
            <v>0.46268656716417911</v>
          </cell>
          <cell r="AO204">
            <v>570</v>
          </cell>
          <cell r="AQ204">
            <v>46873</v>
          </cell>
          <cell r="AR204" t="str">
            <v/>
          </cell>
          <cell r="AS204">
            <v>22601</v>
          </cell>
          <cell r="AU204">
            <v>36665</v>
          </cell>
          <cell r="AV204" t="str">
            <v/>
          </cell>
          <cell r="AW204">
            <v>28921</v>
          </cell>
          <cell r="AX204" t="str">
            <v/>
          </cell>
          <cell r="AY204" t="str">
            <v/>
          </cell>
          <cell r="AZ204">
            <v>25228</v>
          </cell>
          <cell r="BA204" t="str">
            <v/>
          </cell>
          <cell r="BB204">
            <v>324.99169977700001</v>
          </cell>
          <cell r="BC204">
            <v>2.3599999700000001</v>
          </cell>
          <cell r="BD204">
            <v>890.418599546</v>
          </cell>
          <cell r="BE204">
            <v>0.33999999199999997</v>
          </cell>
          <cell r="BF204">
            <v>1852.1871994129999</v>
          </cell>
          <cell r="BG204" t="str">
            <v/>
          </cell>
          <cell r="BH204">
            <v>16</v>
          </cell>
          <cell r="BI204">
            <v>620</v>
          </cell>
          <cell r="BJ204">
            <v>0</v>
          </cell>
        </row>
        <row r="205">
          <cell r="A205" t="str">
            <v>5J6</v>
          </cell>
          <cell r="B205" t="str">
            <v>Q12</v>
          </cell>
          <cell r="C205" t="str">
            <v/>
          </cell>
          <cell r="D205" t="str">
            <v/>
          </cell>
          <cell r="E205" t="str">
            <v/>
          </cell>
          <cell r="F205">
            <v>1</v>
          </cell>
          <cell r="G205">
            <v>1</v>
          </cell>
          <cell r="H205">
            <v>0</v>
          </cell>
          <cell r="J205">
            <v>0</v>
          </cell>
          <cell r="K205">
            <v>43</v>
          </cell>
          <cell r="L205">
            <v>1535.260000001</v>
          </cell>
          <cell r="M205" t="str">
            <v/>
          </cell>
          <cell r="N205">
            <v>0</v>
          </cell>
          <cell r="Q205" t="str">
            <v/>
          </cell>
          <cell r="R205" t="str">
            <v/>
          </cell>
          <cell r="S205">
            <v>344</v>
          </cell>
          <cell r="X205">
            <v>1</v>
          </cell>
          <cell r="Y205">
            <v>0.98550724637681164</v>
          </cell>
          <cell r="Z205">
            <v>0.9</v>
          </cell>
          <cell r="AA205">
            <v>0</v>
          </cell>
          <cell r="AB205" t="str">
            <v/>
          </cell>
          <cell r="AD205">
            <v>0</v>
          </cell>
          <cell r="AE205">
            <v>278</v>
          </cell>
          <cell r="AF205">
            <v>0.70083847492485363</v>
          </cell>
          <cell r="AG205">
            <v>0</v>
          </cell>
          <cell r="AH205" t="str">
            <v/>
          </cell>
          <cell r="AI205">
            <v>11</v>
          </cell>
          <cell r="AJ205">
            <v>291</v>
          </cell>
          <cell r="AK205">
            <v>784.95481644383028</v>
          </cell>
          <cell r="AL205">
            <v>0.17168141592920355</v>
          </cell>
          <cell r="AM205">
            <v>0.24331289878643814</v>
          </cell>
          <cell r="AN205">
            <v>0.35294117647058826</v>
          </cell>
          <cell r="AO205">
            <v>54</v>
          </cell>
          <cell r="AQ205">
            <v>40037</v>
          </cell>
          <cell r="AR205" t="str">
            <v/>
          </cell>
          <cell r="AS205">
            <v>20884</v>
          </cell>
          <cell r="AU205">
            <v>31477</v>
          </cell>
          <cell r="AV205" t="str">
            <v/>
          </cell>
          <cell r="AW205">
            <v>23269</v>
          </cell>
          <cell r="AX205" t="str">
            <v/>
          </cell>
          <cell r="AY205" t="str">
            <v/>
          </cell>
          <cell r="AZ205">
            <v>18761</v>
          </cell>
          <cell r="BA205" t="str">
            <v/>
          </cell>
          <cell r="BB205">
            <v>300.51420000799999</v>
          </cell>
          <cell r="BC205" t="str">
            <v/>
          </cell>
          <cell r="BD205">
            <v>591.98360003000005</v>
          </cell>
          <cell r="BE205" t="str">
            <v/>
          </cell>
          <cell r="BF205">
            <v>1122.6672000399999</v>
          </cell>
          <cell r="BG205" t="str">
            <v/>
          </cell>
          <cell r="BH205">
            <v>142</v>
          </cell>
          <cell r="BI205">
            <v>75</v>
          </cell>
          <cell r="BJ205">
            <v>75</v>
          </cell>
        </row>
        <row r="206">
          <cell r="A206" t="str">
            <v>5J7</v>
          </cell>
          <cell r="B206" t="str">
            <v>Q12</v>
          </cell>
          <cell r="C206" t="str">
            <v/>
          </cell>
          <cell r="D206" t="str">
            <v/>
          </cell>
          <cell r="E206">
            <v>1</v>
          </cell>
          <cell r="F206">
            <v>1</v>
          </cell>
          <cell r="G206">
            <v>1</v>
          </cell>
          <cell r="H206">
            <v>0</v>
          </cell>
          <cell r="J206">
            <v>0</v>
          </cell>
          <cell r="K206">
            <v>16</v>
          </cell>
          <cell r="L206">
            <v>2743.490004104</v>
          </cell>
          <cell r="M206" t="str">
            <v/>
          </cell>
          <cell r="N206">
            <v>0</v>
          </cell>
          <cell r="Q206" t="str">
            <v/>
          </cell>
          <cell r="R206" t="str">
            <v/>
          </cell>
          <cell r="S206">
            <v>129</v>
          </cell>
          <cell r="X206">
            <v>1</v>
          </cell>
          <cell r="Y206">
            <v>0.96969696969696972</v>
          </cell>
          <cell r="Z206">
            <v>0.6</v>
          </cell>
          <cell r="AA206">
            <v>0</v>
          </cell>
          <cell r="AB206" t="str">
            <v/>
          </cell>
          <cell r="AD206">
            <v>0</v>
          </cell>
          <cell r="AE206">
            <v>174</v>
          </cell>
          <cell r="AF206">
            <v>0.59685230024213076</v>
          </cell>
          <cell r="AG206">
            <v>0</v>
          </cell>
          <cell r="AH206" t="str">
            <v/>
          </cell>
          <cell r="AI206">
            <v>1</v>
          </cell>
          <cell r="AJ206">
            <v>34</v>
          </cell>
          <cell r="AK206">
            <v>786.85437589670005</v>
          </cell>
          <cell r="AL206">
            <v>0.21587301587301588</v>
          </cell>
          <cell r="AM206">
            <v>0.23382770590091512</v>
          </cell>
          <cell r="AN206">
            <v>0.36</v>
          </cell>
          <cell r="AO206">
            <v>124</v>
          </cell>
          <cell r="AQ206">
            <v>29291</v>
          </cell>
          <cell r="AR206" t="str">
            <v/>
          </cell>
          <cell r="AS206">
            <v>18355</v>
          </cell>
          <cell r="AU206">
            <v>22822</v>
          </cell>
          <cell r="AV206" t="str">
            <v/>
          </cell>
          <cell r="AW206">
            <v>18293</v>
          </cell>
          <cell r="AX206" t="str">
            <v/>
          </cell>
          <cell r="AY206" t="str">
            <v/>
          </cell>
          <cell r="AZ206">
            <v>19505</v>
          </cell>
          <cell r="BA206" t="str">
            <v/>
          </cell>
          <cell r="BB206">
            <v>276.39450023900002</v>
          </cell>
          <cell r="BC206" t="str">
            <v/>
          </cell>
          <cell r="BD206">
            <v>599.48100073000001</v>
          </cell>
          <cell r="BE206" t="str">
            <v/>
          </cell>
          <cell r="BF206">
            <v>839.71200122999994</v>
          </cell>
          <cell r="BG206" t="str">
            <v/>
          </cell>
          <cell r="BH206">
            <v>318</v>
          </cell>
          <cell r="BI206">
            <v>302</v>
          </cell>
          <cell r="BJ206">
            <v>16</v>
          </cell>
        </row>
        <row r="207">
          <cell r="A207" t="str">
            <v>5J8</v>
          </cell>
          <cell r="B207" t="str">
            <v>Q10</v>
          </cell>
          <cell r="C207" t="str">
            <v/>
          </cell>
          <cell r="D207" t="str">
            <v/>
          </cell>
          <cell r="E207" t="str">
            <v/>
          </cell>
          <cell r="F207">
            <v>1</v>
          </cell>
          <cell r="G207">
            <v>1</v>
          </cell>
          <cell r="H207">
            <v>0</v>
          </cell>
          <cell r="J207">
            <v>0</v>
          </cell>
          <cell r="K207">
            <v>13</v>
          </cell>
          <cell r="L207">
            <v>15</v>
          </cell>
          <cell r="M207" t="str">
            <v/>
          </cell>
          <cell r="N207">
            <v>0</v>
          </cell>
          <cell r="Q207" t="str">
            <v/>
          </cell>
          <cell r="R207" t="str">
            <v/>
          </cell>
          <cell r="S207">
            <v>700</v>
          </cell>
          <cell r="X207">
            <v>1</v>
          </cell>
          <cell r="Y207">
            <v>1</v>
          </cell>
          <cell r="Z207">
            <v>0.95238095238095233</v>
          </cell>
          <cell r="AA207">
            <v>0</v>
          </cell>
          <cell r="AB207" t="str">
            <v/>
          </cell>
          <cell r="AD207">
            <v>27</v>
          </cell>
          <cell r="AE207">
            <v>216</v>
          </cell>
          <cell r="AF207">
            <v>0.91083490948392332</v>
          </cell>
          <cell r="AG207">
            <v>0</v>
          </cell>
          <cell r="AH207" t="str">
            <v/>
          </cell>
          <cell r="AI207">
            <v>4</v>
          </cell>
          <cell r="AJ207">
            <v>88</v>
          </cell>
          <cell r="AK207">
            <v>1406.3698610677047</v>
          </cell>
          <cell r="AL207">
            <v>0.3127962085308057</v>
          </cell>
          <cell r="AM207">
            <v>0.29470003246082571</v>
          </cell>
          <cell r="AN207">
            <v>0.16666666666666666</v>
          </cell>
          <cell r="AO207">
            <v>375</v>
          </cell>
          <cell r="AQ207">
            <v>15384</v>
          </cell>
          <cell r="AR207" t="str">
            <v/>
          </cell>
          <cell r="AS207">
            <v>7602</v>
          </cell>
          <cell r="AU207">
            <v>12908</v>
          </cell>
          <cell r="AV207" t="str">
            <v/>
          </cell>
          <cell r="AW207">
            <v>8589</v>
          </cell>
          <cell r="AX207" t="str">
            <v/>
          </cell>
          <cell r="AY207" t="str">
            <v/>
          </cell>
          <cell r="AZ207">
            <v>8362</v>
          </cell>
          <cell r="BA207" t="str">
            <v/>
          </cell>
          <cell r="BB207">
            <v>221.88759996800002</v>
          </cell>
          <cell r="BC207">
            <v>159</v>
          </cell>
          <cell r="BD207">
            <v>432.083599961</v>
          </cell>
          <cell r="BE207" t="str">
            <v/>
          </cell>
          <cell r="BF207">
            <v>951.46679991199994</v>
          </cell>
          <cell r="BG207" t="str">
            <v/>
          </cell>
          <cell r="BH207">
            <v>75</v>
          </cell>
          <cell r="BI207">
            <v>48</v>
          </cell>
          <cell r="BJ207">
            <v>24</v>
          </cell>
        </row>
        <row r="208">
          <cell r="A208" t="str">
            <v>5J9</v>
          </cell>
          <cell r="B208" t="str">
            <v>Q10</v>
          </cell>
          <cell r="C208" t="str">
            <v/>
          </cell>
          <cell r="D208" t="str">
            <v/>
          </cell>
          <cell r="E208">
            <v>1</v>
          </cell>
          <cell r="F208">
            <v>1</v>
          </cell>
          <cell r="G208">
            <v>1</v>
          </cell>
          <cell r="H208">
            <v>0</v>
          </cell>
          <cell r="J208">
            <v>0</v>
          </cell>
          <cell r="K208">
            <v>27</v>
          </cell>
          <cell r="L208">
            <v>25</v>
          </cell>
          <cell r="M208" t="str">
            <v/>
          </cell>
          <cell r="N208">
            <v>0</v>
          </cell>
          <cell r="Q208" t="str">
            <v/>
          </cell>
          <cell r="R208" t="str">
            <v/>
          </cell>
          <cell r="S208">
            <v>385</v>
          </cell>
          <cell r="X208">
            <v>1</v>
          </cell>
          <cell r="Y208">
            <v>0.95833333333333337</v>
          </cell>
          <cell r="Z208">
            <v>1</v>
          </cell>
          <cell r="AA208">
            <v>0</v>
          </cell>
          <cell r="AB208" t="str">
            <v/>
          </cell>
          <cell r="AD208">
            <v>37</v>
          </cell>
          <cell r="AE208">
            <v>444</v>
          </cell>
          <cell r="AF208">
            <v>0.8395765472312704</v>
          </cell>
          <cell r="AG208">
            <v>0</v>
          </cell>
          <cell r="AH208" t="str">
            <v/>
          </cell>
          <cell r="AI208">
            <v>0</v>
          </cell>
          <cell r="AJ208">
            <v>0</v>
          </cell>
          <cell r="AK208">
            <v>928.06837866201363</v>
          </cell>
          <cell r="AL208">
            <v>0.18892508143322476</v>
          </cell>
          <cell r="AM208">
            <v>0.28118791444126223</v>
          </cell>
          <cell r="AN208">
            <v>0.33333333333333331</v>
          </cell>
          <cell r="AO208">
            <v>-1275</v>
          </cell>
          <cell r="AQ208">
            <v>19272</v>
          </cell>
          <cell r="AR208" t="str">
            <v/>
          </cell>
          <cell r="AS208">
            <v>9246</v>
          </cell>
          <cell r="AU208">
            <v>15551</v>
          </cell>
          <cell r="AV208" t="str">
            <v/>
          </cell>
          <cell r="AW208">
            <v>8242</v>
          </cell>
          <cell r="AX208" t="str">
            <v/>
          </cell>
          <cell r="AY208" t="str">
            <v/>
          </cell>
          <cell r="AZ208">
            <v>11741</v>
          </cell>
          <cell r="BA208" t="str">
            <v/>
          </cell>
          <cell r="BB208">
            <v>281.12679999700003</v>
          </cell>
          <cell r="BC208">
            <v>209</v>
          </cell>
          <cell r="BD208">
            <v>422.15479999600001</v>
          </cell>
          <cell r="BE208" t="str">
            <v/>
          </cell>
          <cell r="BF208">
            <v>877.35239999099997</v>
          </cell>
          <cell r="BG208" t="str">
            <v/>
          </cell>
          <cell r="BH208">
            <v>169</v>
          </cell>
          <cell r="BI208">
            <v>169</v>
          </cell>
          <cell r="BJ208">
            <v>0</v>
          </cell>
        </row>
        <row r="209">
          <cell r="A209" t="str">
            <v>5JA</v>
          </cell>
          <cell r="B209" t="str">
            <v>Q25</v>
          </cell>
          <cell r="C209" t="str">
            <v/>
          </cell>
          <cell r="D209" t="str">
            <v/>
          </cell>
          <cell r="E209" t="str">
            <v/>
          </cell>
          <cell r="F209">
            <v>1</v>
          </cell>
          <cell r="G209">
            <v>1</v>
          </cell>
          <cell r="H209">
            <v>0</v>
          </cell>
          <cell r="J209">
            <v>0</v>
          </cell>
          <cell r="K209">
            <v>6</v>
          </cell>
          <cell r="L209">
            <v>61.780800080000006</v>
          </cell>
          <cell r="M209">
            <v>301</v>
          </cell>
          <cell r="N209">
            <v>0</v>
          </cell>
          <cell r="Q209">
            <v>1</v>
          </cell>
          <cell r="R209">
            <v>1</v>
          </cell>
          <cell r="S209">
            <v>17</v>
          </cell>
          <cell r="X209">
            <v>1</v>
          </cell>
          <cell r="Y209">
            <v>0.97916666666666663</v>
          </cell>
          <cell r="Z209">
            <v>1</v>
          </cell>
          <cell r="AA209">
            <v>0</v>
          </cell>
          <cell r="AB209" t="str">
            <v/>
          </cell>
          <cell r="AD209">
            <v>9</v>
          </cell>
          <cell r="AE209">
            <v>221</v>
          </cell>
          <cell r="AF209">
            <v>0.80499728408473659</v>
          </cell>
          <cell r="AG209">
            <v>0</v>
          </cell>
          <cell r="AH209" t="str">
            <v/>
          </cell>
          <cell r="AI209">
            <v>0</v>
          </cell>
          <cell r="AJ209">
            <v>60</v>
          </cell>
          <cell r="AK209">
            <v>691.05094272351664</v>
          </cell>
          <cell r="AL209">
            <v>0.19230769230769232</v>
          </cell>
          <cell r="AM209">
            <v>0.25783719299971714</v>
          </cell>
          <cell r="AN209">
            <v>0.53333333333333333</v>
          </cell>
          <cell r="AO209">
            <v>-4936</v>
          </cell>
          <cell r="AQ209">
            <v>19006</v>
          </cell>
          <cell r="AR209" t="str">
            <v/>
          </cell>
          <cell r="AS209">
            <v>11749</v>
          </cell>
          <cell r="AU209">
            <v>12990</v>
          </cell>
          <cell r="AV209" t="str">
            <v/>
          </cell>
          <cell r="AW209">
            <v>12527</v>
          </cell>
          <cell r="AX209" t="str">
            <v/>
          </cell>
          <cell r="AY209" t="str">
            <v/>
          </cell>
          <cell r="AZ209">
            <v>7884</v>
          </cell>
          <cell r="BA209" t="str">
            <v/>
          </cell>
          <cell r="BB209">
            <v>207.059399998</v>
          </cell>
          <cell r="BC209">
            <v>7</v>
          </cell>
          <cell r="BD209">
            <v>307.19579999500002</v>
          </cell>
          <cell r="BE209" t="str">
            <v/>
          </cell>
          <cell r="BF209">
            <v>583.59279998500006</v>
          </cell>
          <cell r="BG209" t="str">
            <v/>
          </cell>
          <cell r="BH209">
            <v>155</v>
          </cell>
          <cell r="BI209">
            <v>69</v>
          </cell>
          <cell r="BJ209">
            <v>0</v>
          </cell>
        </row>
        <row r="210">
          <cell r="A210" t="str">
            <v>5JC</v>
          </cell>
          <cell r="B210" t="str">
            <v>Q25</v>
          </cell>
          <cell r="C210" t="str">
            <v/>
          </cell>
          <cell r="D210" t="str">
            <v/>
          </cell>
          <cell r="E210" t="str">
            <v/>
          </cell>
          <cell r="F210">
            <v>1</v>
          </cell>
          <cell r="G210">
            <v>1</v>
          </cell>
          <cell r="H210">
            <v>0</v>
          </cell>
          <cell r="J210">
            <v>0</v>
          </cell>
          <cell r="K210">
            <v>5.9563000019999999</v>
          </cell>
          <cell r="L210">
            <v>301.33760141499999</v>
          </cell>
          <cell r="M210">
            <v>476</v>
          </cell>
          <cell r="N210">
            <v>0</v>
          </cell>
          <cell r="Q210">
            <v>1</v>
          </cell>
          <cell r="R210">
            <v>1</v>
          </cell>
          <cell r="S210">
            <v>57</v>
          </cell>
          <cell r="X210">
            <v>1</v>
          </cell>
          <cell r="Y210">
            <v>1</v>
          </cell>
          <cell r="Z210">
            <v>1</v>
          </cell>
          <cell r="AA210">
            <v>0</v>
          </cell>
          <cell r="AB210" t="str">
            <v/>
          </cell>
          <cell r="AD210">
            <v>38</v>
          </cell>
          <cell r="AE210">
            <v>518</v>
          </cell>
          <cell r="AF210">
            <v>0.78443316412859565</v>
          </cell>
          <cell r="AG210">
            <v>0</v>
          </cell>
          <cell r="AH210" t="str">
            <v/>
          </cell>
          <cell r="AI210">
            <v>5</v>
          </cell>
          <cell r="AJ210">
            <v>295</v>
          </cell>
          <cell r="AK210">
            <v>851.08602122500065</v>
          </cell>
          <cell r="AL210">
            <v>0.25568181818181818</v>
          </cell>
          <cell r="AM210">
            <v>0.25421671283570596</v>
          </cell>
          <cell r="AN210">
            <v>0.77777777777777779</v>
          </cell>
          <cell r="AO210">
            <v>-2517</v>
          </cell>
          <cell r="AQ210">
            <v>42897</v>
          </cell>
          <cell r="AR210" t="str">
            <v/>
          </cell>
          <cell r="AS210">
            <v>30822</v>
          </cell>
          <cell r="AU210">
            <v>32883</v>
          </cell>
          <cell r="AV210" t="str">
            <v/>
          </cell>
          <cell r="AW210">
            <v>27605</v>
          </cell>
          <cell r="AX210" t="str">
            <v/>
          </cell>
          <cell r="AY210" t="str">
            <v/>
          </cell>
          <cell r="AZ210">
            <v>20764</v>
          </cell>
          <cell r="BA210" t="str">
            <v/>
          </cell>
          <cell r="BB210">
            <v>354.49550048899999</v>
          </cell>
          <cell r="BC210">
            <v>1</v>
          </cell>
          <cell r="BD210">
            <v>578.25070100000005</v>
          </cell>
          <cell r="BE210" t="str">
            <v/>
          </cell>
          <cell r="BF210">
            <v>1230.4052028040001</v>
          </cell>
          <cell r="BG210" t="str">
            <v/>
          </cell>
          <cell r="BH210">
            <v>706</v>
          </cell>
          <cell r="BI210">
            <v>158</v>
          </cell>
          <cell r="BJ210">
            <v>0</v>
          </cell>
        </row>
        <row r="211">
          <cell r="A211" t="str">
            <v>5JD</v>
          </cell>
          <cell r="B211" t="str">
            <v>Q25</v>
          </cell>
          <cell r="C211" t="str">
            <v/>
          </cell>
          <cell r="D211" t="str">
            <v/>
          </cell>
          <cell r="E211" t="str">
            <v/>
          </cell>
          <cell r="F211">
            <v>1</v>
          </cell>
          <cell r="G211">
            <v>1</v>
          </cell>
          <cell r="H211">
            <v>0</v>
          </cell>
          <cell r="J211">
            <v>0</v>
          </cell>
          <cell r="K211">
            <v>2.2218999950000002</v>
          </cell>
          <cell r="L211">
            <v>149.49110040400001</v>
          </cell>
          <cell r="M211">
            <v>0</v>
          </cell>
          <cell r="N211">
            <v>0</v>
          </cell>
          <cell r="Q211" t="str">
            <v/>
          </cell>
          <cell r="R211">
            <v>1</v>
          </cell>
          <cell r="S211">
            <v>42</v>
          </cell>
          <cell r="X211">
            <v>1</v>
          </cell>
          <cell r="Y211">
            <v>0.94827586206896552</v>
          </cell>
          <cell r="Z211">
            <v>0.95</v>
          </cell>
          <cell r="AA211">
            <v>0</v>
          </cell>
          <cell r="AB211" t="str">
            <v/>
          </cell>
          <cell r="AD211">
            <v>12</v>
          </cell>
          <cell r="AE211">
            <v>299</v>
          </cell>
          <cell r="AF211">
            <v>0.63192706471219162</v>
          </cell>
          <cell r="AG211">
            <v>0</v>
          </cell>
          <cell r="AH211" t="str">
            <v/>
          </cell>
          <cell r="AI211">
            <v>1</v>
          </cell>
          <cell r="AJ211">
            <v>86</v>
          </cell>
          <cell r="AK211">
            <v>772.28103946102021</v>
          </cell>
          <cell r="AL211" t="str">
            <v/>
          </cell>
          <cell r="AM211">
            <v>0.2914964183748483</v>
          </cell>
          <cell r="AN211">
            <v>0.81481481481481477</v>
          </cell>
          <cell r="AO211">
            <v>-8500</v>
          </cell>
          <cell r="AQ211">
            <v>29831</v>
          </cell>
          <cell r="AR211" t="str">
            <v/>
          </cell>
          <cell r="AS211">
            <v>19891</v>
          </cell>
          <cell r="AU211">
            <v>23021</v>
          </cell>
          <cell r="AV211" t="str">
            <v/>
          </cell>
          <cell r="AW211">
            <v>21222</v>
          </cell>
          <cell r="AX211" t="str">
            <v/>
          </cell>
          <cell r="AY211" t="str">
            <v/>
          </cell>
          <cell r="AZ211">
            <v>14147</v>
          </cell>
          <cell r="BA211" t="str">
            <v/>
          </cell>
          <cell r="BB211">
            <v>333.53289989799998</v>
          </cell>
          <cell r="BC211">
            <v>1</v>
          </cell>
          <cell r="BD211">
            <v>426.20509981600003</v>
          </cell>
          <cell r="BE211" t="str">
            <v/>
          </cell>
          <cell r="BF211">
            <v>891.53009967499997</v>
          </cell>
          <cell r="BG211" t="str">
            <v/>
          </cell>
          <cell r="BH211">
            <v>365</v>
          </cell>
          <cell r="BI211">
            <v>197</v>
          </cell>
          <cell r="BJ211">
            <v>0</v>
          </cell>
        </row>
        <row r="212">
          <cell r="A212" t="str">
            <v>5JE</v>
          </cell>
          <cell r="B212" t="str">
            <v>Q23</v>
          </cell>
          <cell r="C212" t="str">
            <v/>
          </cell>
          <cell r="D212" t="str">
            <v/>
          </cell>
          <cell r="E212" t="str">
            <v/>
          </cell>
          <cell r="F212">
            <v>1</v>
          </cell>
          <cell r="G212">
            <v>1</v>
          </cell>
          <cell r="H212">
            <v>0</v>
          </cell>
          <cell r="J212">
            <v>0</v>
          </cell>
          <cell r="K212">
            <v>14.465999999999999</v>
          </cell>
          <cell r="L212">
            <v>162.82349999999997</v>
          </cell>
          <cell r="M212">
            <v>16</v>
          </cell>
          <cell r="N212">
            <v>0</v>
          </cell>
          <cell r="Q212">
            <v>0.8666666666666667</v>
          </cell>
          <cell r="R212">
            <v>0.22222222222222221</v>
          </cell>
          <cell r="S212">
            <v>1440</v>
          </cell>
          <cell r="X212">
            <v>1</v>
          </cell>
          <cell r="Y212">
            <v>1</v>
          </cell>
          <cell r="Z212">
            <v>0.8666666666666667</v>
          </cell>
          <cell r="AA212">
            <v>0</v>
          </cell>
          <cell r="AB212" t="str">
            <v/>
          </cell>
          <cell r="AD212">
            <v>30</v>
          </cell>
          <cell r="AE212">
            <v>440</v>
          </cell>
          <cell r="AF212">
            <v>0.85958762886597939</v>
          </cell>
          <cell r="AG212">
            <v>0</v>
          </cell>
          <cell r="AH212" t="str">
            <v/>
          </cell>
          <cell r="AI212">
            <v>3</v>
          </cell>
          <cell r="AJ212">
            <v>0</v>
          </cell>
          <cell r="AK212">
            <v>1045.2647534471198</v>
          </cell>
          <cell r="AL212">
            <v>0.26511627906976742</v>
          </cell>
          <cell r="AM212">
            <v>0.31997895879997285</v>
          </cell>
          <cell r="AN212">
            <v>0.2413793103448276</v>
          </cell>
          <cell r="AO212">
            <v>413</v>
          </cell>
          <cell r="AQ212">
            <v>50506</v>
          </cell>
          <cell r="AR212" t="str">
            <v/>
          </cell>
          <cell r="AS212">
            <v>31764</v>
          </cell>
          <cell r="AU212">
            <v>42995</v>
          </cell>
          <cell r="AV212" t="str">
            <v/>
          </cell>
          <cell r="AW212">
            <v>35045</v>
          </cell>
          <cell r="AX212" t="str">
            <v/>
          </cell>
          <cell r="AY212" t="str">
            <v/>
          </cell>
          <cell r="AZ212">
            <v>25474</v>
          </cell>
          <cell r="BA212" t="str">
            <v/>
          </cell>
          <cell r="BB212">
            <v>297.76659999499998</v>
          </cell>
          <cell r="BC212" t="str">
            <v/>
          </cell>
          <cell r="BD212">
            <v>781.92419999000003</v>
          </cell>
          <cell r="BE212" t="str">
            <v/>
          </cell>
          <cell r="BF212">
            <v>1209.9658999819999</v>
          </cell>
          <cell r="BG212" t="str">
            <v/>
          </cell>
          <cell r="BH212">
            <v>306</v>
          </cell>
          <cell r="BI212">
            <v>0</v>
          </cell>
          <cell r="BJ212">
            <v>0</v>
          </cell>
        </row>
        <row r="213">
          <cell r="A213" t="str">
            <v>5JF</v>
          </cell>
          <cell r="B213" t="str">
            <v>Q20</v>
          </cell>
          <cell r="C213" t="str">
            <v/>
          </cell>
          <cell r="D213" t="str">
            <v/>
          </cell>
          <cell r="E213" t="str">
            <v/>
          </cell>
          <cell r="F213">
            <v>1</v>
          </cell>
          <cell r="G213">
            <v>1</v>
          </cell>
          <cell r="H213">
            <v>0</v>
          </cell>
          <cell r="J213">
            <v>0</v>
          </cell>
          <cell r="K213">
            <v>16.012</v>
          </cell>
          <cell r="L213">
            <v>881.54268708400002</v>
          </cell>
          <cell r="M213" t="str">
            <v/>
          </cell>
          <cell r="N213">
            <v>0</v>
          </cell>
          <cell r="Q213" t="str">
            <v/>
          </cell>
          <cell r="R213" t="str">
            <v/>
          </cell>
          <cell r="S213">
            <v>47</v>
          </cell>
          <cell r="X213">
            <v>1</v>
          </cell>
          <cell r="Y213">
            <v>1</v>
          </cell>
          <cell r="Z213">
            <v>0.9642857142857143</v>
          </cell>
          <cell r="AA213">
            <v>0</v>
          </cell>
          <cell r="AB213" t="str">
            <v/>
          </cell>
          <cell r="AD213">
            <v>0</v>
          </cell>
          <cell r="AE213">
            <v>198</v>
          </cell>
          <cell r="AF213">
            <v>0.18374248496993989</v>
          </cell>
          <cell r="AG213">
            <v>0</v>
          </cell>
          <cell r="AH213" t="str">
            <v/>
          </cell>
          <cell r="AI213">
            <v>12</v>
          </cell>
          <cell r="AJ213">
            <v>243</v>
          </cell>
          <cell r="AK213">
            <v>731.05283075123555</v>
          </cell>
          <cell r="AL213">
            <v>0.12517193947730398</v>
          </cell>
          <cell r="AM213">
            <v>0.22284643114635905</v>
          </cell>
          <cell r="AN213">
            <v>0.38775510204081631</v>
          </cell>
          <cell r="AO213">
            <v>2826</v>
          </cell>
          <cell r="AQ213">
            <v>38291</v>
          </cell>
          <cell r="AR213" t="str">
            <v/>
          </cell>
          <cell r="AS213">
            <v>21567</v>
          </cell>
          <cell r="AU213">
            <v>31831</v>
          </cell>
          <cell r="AV213" t="str">
            <v/>
          </cell>
          <cell r="AW213">
            <v>27938</v>
          </cell>
          <cell r="AX213" t="str">
            <v/>
          </cell>
          <cell r="AY213" t="str">
            <v/>
          </cell>
          <cell r="AZ213">
            <v>22898</v>
          </cell>
          <cell r="BA213" t="str">
            <v/>
          </cell>
          <cell r="BB213">
            <v>566.18639999499999</v>
          </cell>
          <cell r="BC213">
            <v>21</v>
          </cell>
          <cell r="BD213">
            <v>1142.193999995</v>
          </cell>
          <cell r="BE213" t="str">
            <v/>
          </cell>
          <cell r="BF213">
            <v>1494.282999993</v>
          </cell>
          <cell r="BG213" t="str">
            <v/>
          </cell>
          <cell r="BH213">
            <v>54</v>
          </cell>
          <cell r="BI213">
            <v>54</v>
          </cell>
          <cell r="BJ213">
            <v>54</v>
          </cell>
        </row>
        <row r="214">
          <cell r="A214" t="str">
            <v>5JG</v>
          </cell>
          <cell r="B214" t="str">
            <v>Q20</v>
          </cell>
          <cell r="C214" t="str">
            <v/>
          </cell>
          <cell r="D214" t="str">
            <v/>
          </cell>
          <cell r="E214">
            <v>1</v>
          </cell>
          <cell r="F214">
            <v>1</v>
          </cell>
          <cell r="G214">
            <v>0.96250399265351749</v>
          </cell>
          <cell r="H214">
            <v>0</v>
          </cell>
          <cell r="J214">
            <v>0</v>
          </cell>
          <cell r="K214">
            <v>26</v>
          </cell>
          <cell r="L214">
            <v>335</v>
          </cell>
          <cell r="M214" t="str">
            <v/>
          </cell>
          <cell r="N214">
            <v>0</v>
          </cell>
          <cell r="Q214" t="str">
            <v/>
          </cell>
          <cell r="R214" t="str">
            <v/>
          </cell>
          <cell r="S214">
            <v>16</v>
          </cell>
          <cell r="X214">
            <v>1</v>
          </cell>
          <cell r="Y214">
            <v>1</v>
          </cell>
          <cell r="Z214">
            <v>0.9642857142857143</v>
          </cell>
          <cell r="AA214">
            <v>0</v>
          </cell>
          <cell r="AB214" t="str">
            <v/>
          </cell>
          <cell r="AD214">
            <v>0</v>
          </cell>
          <cell r="AE214">
            <v>180</v>
          </cell>
          <cell r="AF214">
            <v>0.17982243744955609</v>
          </cell>
          <cell r="AG214">
            <v>0</v>
          </cell>
          <cell r="AH214" t="str">
            <v/>
          </cell>
          <cell r="AI214">
            <v>8</v>
          </cell>
          <cell r="AJ214">
            <v>280</v>
          </cell>
          <cell r="AK214">
            <v>736.61371976535509</v>
          </cell>
          <cell r="AL214">
            <v>0.15042735042735042</v>
          </cell>
          <cell r="AM214">
            <v>0.26883372826877505</v>
          </cell>
          <cell r="AN214">
            <v>0.34285714285714286</v>
          </cell>
          <cell r="AO214">
            <v>-208</v>
          </cell>
          <cell r="AQ214">
            <v>31547</v>
          </cell>
          <cell r="AR214" t="str">
            <v/>
          </cell>
          <cell r="AS214">
            <v>21912</v>
          </cell>
          <cell r="AU214">
            <v>28189</v>
          </cell>
          <cell r="AV214" t="str">
            <v/>
          </cell>
          <cell r="AW214">
            <v>23763</v>
          </cell>
          <cell r="AX214" t="str">
            <v/>
          </cell>
          <cell r="AY214" t="str">
            <v/>
          </cell>
          <cell r="AZ214">
            <v>17674</v>
          </cell>
          <cell r="BA214" t="str">
            <v/>
          </cell>
          <cell r="BB214">
            <v>544</v>
          </cell>
          <cell r="BC214">
            <v>9</v>
          </cell>
          <cell r="BD214">
            <v>496</v>
          </cell>
          <cell r="BE214" t="str">
            <v/>
          </cell>
          <cell r="BF214">
            <v>1147</v>
          </cell>
          <cell r="BG214" t="str">
            <v/>
          </cell>
          <cell r="BH214">
            <v>91</v>
          </cell>
          <cell r="BI214">
            <v>80</v>
          </cell>
          <cell r="BJ214">
            <v>16</v>
          </cell>
        </row>
        <row r="215">
          <cell r="A215" t="str">
            <v>5JH</v>
          </cell>
          <cell r="B215" t="str">
            <v>Q01</v>
          </cell>
          <cell r="C215" t="str">
            <v/>
          </cell>
          <cell r="D215" t="str">
            <v/>
          </cell>
          <cell r="E215" t="str">
            <v/>
          </cell>
          <cell r="F215">
            <v>1</v>
          </cell>
          <cell r="G215">
            <v>1</v>
          </cell>
          <cell r="H215">
            <v>0</v>
          </cell>
          <cell r="J215">
            <v>0</v>
          </cell>
          <cell r="K215">
            <v>5.0060000000000002</v>
          </cell>
          <cell r="L215">
            <v>269.22699439799999</v>
          </cell>
          <cell r="M215" t="str">
            <v/>
          </cell>
          <cell r="N215">
            <v>0</v>
          </cell>
          <cell r="Q215" t="str">
            <v/>
          </cell>
          <cell r="R215" t="str">
            <v/>
          </cell>
          <cell r="S215">
            <v>50</v>
          </cell>
          <cell r="X215">
            <v>1</v>
          </cell>
          <cell r="Y215">
            <v>1</v>
          </cell>
          <cell r="Z215">
            <v>1</v>
          </cell>
          <cell r="AA215">
            <v>0</v>
          </cell>
          <cell r="AB215" t="str">
            <v/>
          </cell>
          <cell r="AD215">
            <v>57</v>
          </cell>
          <cell r="AE215">
            <v>12</v>
          </cell>
          <cell r="AF215">
            <v>0.95141111434390457</v>
          </cell>
          <cell r="AG215">
            <v>0</v>
          </cell>
          <cell r="AH215" t="str">
            <v/>
          </cell>
          <cell r="AI215">
            <v>1</v>
          </cell>
          <cell r="AJ215">
            <v>72</v>
          </cell>
          <cell r="AK215">
            <v>573.4079611726487</v>
          </cell>
          <cell r="AL215">
            <v>0.13186813186813187</v>
          </cell>
          <cell r="AM215">
            <v>0.27124921793534934</v>
          </cell>
          <cell r="AN215">
            <v>0.296875</v>
          </cell>
          <cell r="AO215">
            <v>-13678</v>
          </cell>
          <cell r="AQ215">
            <v>22319</v>
          </cell>
          <cell r="AR215" t="str">
            <v/>
          </cell>
          <cell r="AS215">
            <v>9980</v>
          </cell>
          <cell r="AU215">
            <v>19516</v>
          </cell>
          <cell r="AV215" t="str">
            <v/>
          </cell>
          <cell r="AW215">
            <v>13501</v>
          </cell>
          <cell r="AX215" t="str">
            <v/>
          </cell>
          <cell r="AY215" t="str">
            <v/>
          </cell>
          <cell r="AZ215">
            <v>10212</v>
          </cell>
          <cell r="BA215" t="str">
            <v/>
          </cell>
          <cell r="BB215">
            <v>130.06229815199998</v>
          </cell>
          <cell r="BC215" t="str">
            <v/>
          </cell>
          <cell r="BD215">
            <v>183.81039926400001</v>
          </cell>
          <cell r="BE215" t="str">
            <v/>
          </cell>
          <cell r="BF215">
            <v>447.80547250699999</v>
          </cell>
          <cell r="BG215" t="str">
            <v/>
          </cell>
          <cell r="BH215">
            <v>55</v>
          </cell>
          <cell r="BI215">
            <v>0</v>
          </cell>
          <cell r="BJ215">
            <v>0</v>
          </cell>
        </row>
        <row r="216">
          <cell r="A216" t="str">
            <v>5JJ</v>
          </cell>
          <cell r="B216" t="str">
            <v>Q01</v>
          </cell>
          <cell r="C216" t="str">
            <v/>
          </cell>
          <cell r="D216" t="str">
            <v/>
          </cell>
          <cell r="E216" t="str">
            <v/>
          </cell>
          <cell r="F216">
            <v>1</v>
          </cell>
          <cell r="G216">
            <v>1</v>
          </cell>
          <cell r="H216">
            <v>0</v>
          </cell>
          <cell r="J216">
            <v>0</v>
          </cell>
          <cell r="K216">
            <v>4.0060000000000002</v>
          </cell>
          <cell r="L216">
            <v>256.30783279599996</v>
          </cell>
          <cell r="M216" t="str">
            <v/>
          </cell>
          <cell r="N216">
            <v>0</v>
          </cell>
          <cell r="Q216" t="str">
            <v/>
          </cell>
          <cell r="R216" t="str">
            <v/>
          </cell>
          <cell r="S216">
            <v>49</v>
          </cell>
          <cell r="X216">
            <v>1</v>
          </cell>
          <cell r="Y216">
            <v>1</v>
          </cell>
          <cell r="Z216">
            <v>0.95238095238095233</v>
          </cell>
          <cell r="AA216">
            <v>0</v>
          </cell>
          <cell r="AB216" t="str">
            <v/>
          </cell>
          <cell r="AD216">
            <v>10</v>
          </cell>
          <cell r="AE216">
            <v>0</v>
          </cell>
          <cell r="AF216">
            <v>0.97233973315977873</v>
          </cell>
          <cell r="AG216">
            <v>0</v>
          </cell>
          <cell r="AH216" t="str">
            <v/>
          </cell>
          <cell r="AI216">
            <v>2</v>
          </cell>
          <cell r="AJ216">
            <v>83</v>
          </cell>
          <cell r="AK216">
            <v>371.61352193718534</v>
          </cell>
          <cell r="AL216">
            <v>8.727272727272728E-2</v>
          </cell>
          <cell r="AM216">
            <v>0.251576898437885</v>
          </cell>
          <cell r="AN216">
            <v>0.44117647058823528</v>
          </cell>
          <cell r="AO216">
            <v>-6137</v>
          </cell>
          <cell r="AQ216">
            <v>19301</v>
          </cell>
          <cell r="AR216" t="str">
            <v/>
          </cell>
          <cell r="AS216">
            <v>8011</v>
          </cell>
          <cell r="AU216">
            <v>16705</v>
          </cell>
          <cell r="AV216" t="str">
            <v/>
          </cell>
          <cell r="AW216">
            <v>12204</v>
          </cell>
          <cell r="AX216" t="str">
            <v/>
          </cell>
          <cell r="AY216" t="str">
            <v/>
          </cell>
          <cell r="AZ216">
            <v>7618</v>
          </cell>
          <cell r="BA216" t="str">
            <v/>
          </cell>
          <cell r="BB216">
            <v>201.24947430699999</v>
          </cell>
          <cell r="BC216" t="str">
            <v/>
          </cell>
          <cell r="BD216">
            <v>265.15762459400003</v>
          </cell>
          <cell r="BE216">
            <v>1</v>
          </cell>
          <cell r="BF216">
            <v>504.31654479100001</v>
          </cell>
          <cell r="BG216" t="str">
            <v/>
          </cell>
          <cell r="BH216">
            <v>50</v>
          </cell>
          <cell r="BI216">
            <v>0</v>
          </cell>
          <cell r="BJ216">
            <v>0</v>
          </cell>
        </row>
        <row r="217">
          <cell r="A217" t="str">
            <v>5JK</v>
          </cell>
          <cell r="B217" t="str">
            <v>Q01</v>
          </cell>
          <cell r="C217" t="str">
            <v/>
          </cell>
          <cell r="D217" t="str">
            <v/>
          </cell>
          <cell r="E217">
            <v>1</v>
          </cell>
          <cell r="F217">
            <v>1</v>
          </cell>
          <cell r="G217">
            <v>1</v>
          </cell>
          <cell r="H217">
            <v>0</v>
          </cell>
          <cell r="J217">
            <v>1</v>
          </cell>
          <cell r="K217">
            <v>10.026199999999999</v>
          </cell>
          <cell r="L217">
            <v>171.70311365800006</v>
          </cell>
          <cell r="M217" t="str">
            <v/>
          </cell>
          <cell r="N217">
            <v>0</v>
          </cell>
          <cell r="Q217" t="str">
            <v/>
          </cell>
          <cell r="R217" t="str">
            <v/>
          </cell>
          <cell r="S217">
            <v>141</v>
          </cell>
          <cell r="X217">
            <v>1</v>
          </cell>
          <cell r="Y217">
            <v>1</v>
          </cell>
          <cell r="Z217">
            <v>0.9</v>
          </cell>
          <cell r="AA217">
            <v>0</v>
          </cell>
          <cell r="AB217" t="str">
            <v/>
          </cell>
          <cell r="AD217">
            <v>1</v>
          </cell>
          <cell r="AE217">
            <v>78</v>
          </cell>
          <cell r="AF217">
            <v>0.62211347300810527</v>
          </cell>
          <cell r="AG217">
            <v>0</v>
          </cell>
          <cell r="AH217" t="str">
            <v/>
          </cell>
          <cell r="AI217">
            <v>2</v>
          </cell>
          <cell r="AJ217">
            <v>276</v>
          </cell>
          <cell r="AK217">
            <v>830.03480515935303</v>
          </cell>
          <cell r="AL217">
            <v>0.15365239294710328</v>
          </cell>
          <cell r="AM217" t="str">
            <v/>
          </cell>
          <cell r="AN217">
            <v>0.48275862068965519</v>
          </cell>
          <cell r="AO217">
            <v>446</v>
          </cell>
          <cell r="AQ217">
            <v>28363</v>
          </cell>
          <cell r="AR217" t="str">
            <v/>
          </cell>
          <cell r="AS217">
            <v>13978</v>
          </cell>
          <cell r="AU217">
            <v>24613</v>
          </cell>
          <cell r="AV217" t="str">
            <v/>
          </cell>
          <cell r="AW217">
            <v>19591</v>
          </cell>
          <cell r="AX217" t="str">
            <v/>
          </cell>
          <cell r="AY217" t="str">
            <v/>
          </cell>
          <cell r="AZ217">
            <v>13079</v>
          </cell>
          <cell r="BA217" t="str">
            <v/>
          </cell>
          <cell r="BB217">
            <v>222.45033938500001</v>
          </cell>
          <cell r="BC217">
            <v>11.20000005</v>
          </cell>
          <cell r="BD217">
            <v>344.51220100899997</v>
          </cell>
          <cell r="BE217">
            <v>2</v>
          </cell>
          <cell r="BF217">
            <v>2472.183112098</v>
          </cell>
          <cell r="BG217">
            <v>1</v>
          </cell>
          <cell r="BH217">
            <v>0</v>
          </cell>
          <cell r="BI217">
            <v>0</v>
          </cell>
          <cell r="BJ217">
            <v>0</v>
          </cell>
        </row>
        <row r="218">
          <cell r="A218" t="str">
            <v>5JL</v>
          </cell>
          <cell r="B218" t="str">
            <v>Q01</v>
          </cell>
          <cell r="C218" t="str">
            <v/>
          </cell>
          <cell r="D218" t="str">
            <v/>
          </cell>
          <cell r="E218">
            <v>1</v>
          </cell>
          <cell r="F218">
            <v>1</v>
          </cell>
          <cell r="G218">
            <v>1</v>
          </cell>
          <cell r="H218">
            <v>0</v>
          </cell>
          <cell r="J218">
            <v>0</v>
          </cell>
          <cell r="K218">
            <v>119.006</v>
          </cell>
          <cell r="L218">
            <v>72.175869986000009</v>
          </cell>
          <cell r="M218" t="str">
            <v/>
          </cell>
          <cell r="N218">
            <v>0</v>
          </cell>
          <cell r="Q218" t="str">
            <v/>
          </cell>
          <cell r="R218" t="str">
            <v/>
          </cell>
          <cell r="S218">
            <v>144</v>
          </cell>
          <cell r="X218">
            <v>1</v>
          </cell>
          <cell r="Y218">
            <v>0.97916666666666663</v>
          </cell>
          <cell r="Z218">
            <v>0.88235294117647056</v>
          </cell>
          <cell r="AA218">
            <v>0</v>
          </cell>
          <cell r="AB218" t="str">
            <v/>
          </cell>
          <cell r="AD218">
            <v>15</v>
          </cell>
          <cell r="AE218">
            <v>165</v>
          </cell>
          <cell r="AF218">
            <v>0.97137243895593606</v>
          </cell>
          <cell r="AG218">
            <v>0</v>
          </cell>
          <cell r="AH218" t="str">
            <v/>
          </cell>
          <cell r="AI218">
            <v>2</v>
          </cell>
          <cell r="AJ218">
            <v>59</v>
          </cell>
          <cell r="AK218">
            <v>721.4570405125877</v>
          </cell>
          <cell r="AL218">
            <v>0.10931174089068826</v>
          </cell>
          <cell r="AM218">
            <v>0.21905358477295706</v>
          </cell>
          <cell r="AN218">
            <v>0.4</v>
          </cell>
          <cell r="AO218">
            <v>-8763</v>
          </cell>
          <cell r="AQ218">
            <v>18585</v>
          </cell>
          <cell r="AR218" t="str">
            <v/>
          </cell>
          <cell r="AS218">
            <v>6528</v>
          </cell>
          <cell r="AU218">
            <v>17762</v>
          </cell>
          <cell r="AV218" t="str">
            <v/>
          </cell>
          <cell r="AW218">
            <v>15438</v>
          </cell>
          <cell r="AX218" t="str">
            <v/>
          </cell>
          <cell r="AY218" t="str">
            <v/>
          </cell>
          <cell r="AZ218">
            <v>8853</v>
          </cell>
          <cell r="BA218" t="str">
            <v/>
          </cell>
          <cell r="BB218">
            <v>295.59654002499997</v>
          </cell>
          <cell r="BC218" t="str">
            <v/>
          </cell>
          <cell r="BD218">
            <v>304.00261621099997</v>
          </cell>
          <cell r="BE218" t="str">
            <v/>
          </cell>
          <cell r="BF218">
            <v>693.85514151500001</v>
          </cell>
          <cell r="BG218" t="str">
            <v/>
          </cell>
          <cell r="BH218">
            <v>112</v>
          </cell>
          <cell r="BI218">
            <v>112</v>
          </cell>
          <cell r="BJ218">
            <v>0</v>
          </cell>
        </row>
        <row r="219">
          <cell r="A219" t="str">
            <v>5JM</v>
          </cell>
          <cell r="B219" t="str">
            <v>Q01</v>
          </cell>
          <cell r="C219" t="str">
            <v/>
          </cell>
          <cell r="D219" t="str">
            <v/>
          </cell>
          <cell r="E219" t="str">
            <v/>
          </cell>
          <cell r="F219">
            <v>1</v>
          </cell>
          <cell r="G219">
            <v>1</v>
          </cell>
          <cell r="H219">
            <v>0</v>
          </cell>
          <cell r="J219">
            <v>0</v>
          </cell>
          <cell r="K219">
            <v>72.026200000000003</v>
          </cell>
          <cell r="L219">
            <v>56.163679202000004</v>
          </cell>
          <cell r="M219" t="str">
            <v/>
          </cell>
          <cell r="N219">
            <v>0</v>
          </cell>
          <cell r="Q219" t="str">
            <v/>
          </cell>
          <cell r="R219" t="str">
            <v/>
          </cell>
          <cell r="S219">
            <v>231</v>
          </cell>
          <cell r="X219">
            <v>1</v>
          </cell>
          <cell r="Y219">
            <v>1</v>
          </cell>
          <cell r="Z219">
            <v>0.80952380952380953</v>
          </cell>
          <cell r="AA219">
            <v>0</v>
          </cell>
          <cell r="AB219" t="str">
            <v/>
          </cell>
          <cell r="AD219">
            <v>21</v>
          </cell>
          <cell r="AE219">
            <v>59</v>
          </cell>
          <cell r="AF219">
            <v>0.84993849938499388</v>
          </cell>
          <cell r="AG219">
            <v>0</v>
          </cell>
          <cell r="AH219" t="str">
            <v/>
          </cell>
          <cell r="AI219">
            <v>4</v>
          </cell>
          <cell r="AJ219">
            <v>146</v>
          </cell>
          <cell r="AK219">
            <v>701.99194669137307</v>
          </cell>
          <cell r="AL219" t="str">
            <v/>
          </cell>
          <cell r="AM219" t="str">
            <v/>
          </cell>
          <cell r="AN219">
            <v>0.375</v>
          </cell>
          <cell r="AO219">
            <v>-12219</v>
          </cell>
          <cell r="AQ219">
            <v>16640</v>
          </cell>
          <cell r="AR219" t="str">
            <v/>
          </cell>
          <cell r="AS219">
            <v>6511</v>
          </cell>
          <cell r="AU219">
            <v>15752</v>
          </cell>
          <cell r="AV219" t="str">
            <v/>
          </cell>
          <cell r="AW219">
            <v>14863</v>
          </cell>
          <cell r="AX219" t="str">
            <v/>
          </cell>
          <cell r="AY219" t="str">
            <v/>
          </cell>
          <cell r="AZ219">
            <v>9083</v>
          </cell>
          <cell r="BA219" t="str">
            <v/>
          </cell>
          <cell r="BB219">
            <v>242.41889950699999</v>
          </cell>
          <cell r="BC219">
            <v>4.7999998929999999</v>
          </cell>
          <cell r="BD219">
            <v>378.66503699899999</v>
          </cell>
          <cell r="BE219" t="str">
            <v/>
          </cell>
          <cell r="BF219">
            <v>558.22622529900002</v>
          </cell>
          <cell r="BG219" t="str">
            <v/>
          </cell>
          <cell r="BH219">
            <v>143</v>
          </cell>
          <cell r="BI219">
            <v>143</v>
          </cell>
          <cell r="BJ219">
            <v>0</v>
          </cell>
        </row>
        <row r="220">
          <cell r="A220" t="str">
            <v>5JN</v>
          </cell>
          <cell r="B220" t="str">
            <v>Q03</v>
          </cell>
          <cell r="C220" t="str">
            <v/>
          </cell>
          <cell r="D220" t="str">
            <v/>
          </cell>
          <cell r="E220" t="str">
            <v/>
          </cell>
          <cell r="F220">
            <v>1</v>
          </cell>
          <cell r="G220">
            <v>1</v>
          </cell>
          <cell r="H220">
            <v>0</v>
          </cell>
          <cell r="J220">
            <v>0</v>
          </cell>
          <cell r="K220">
            <v>87.012</v>
          </cell>
          <cell r="L220">
            <v>169.08747436900001</v>
          </cell>
          <cell r="M220" t="str">
            <v/>
          </cell>
          <cell r="N220">
            <v>0</v>
          </cell>
          <cell r="Q220" t="str">
            <v/>
          </cell>
          <cell r="R220" t="str">
            <v/>
          </cell>
          <cell r="S220">
            <v>16</v>
          </cell>
          <cell r="X220">
            <v>1</v>
          </cell>
          <cell r="Y220">
            <v>1</v>
          </cell>
          <cell r="Z220">
            <v>1</v>
          </cell>
          <cell r="AA220">
            <v>0</v>
          </cell>
          <cell r="AB220" t="str">
            <v/>
          </cell>
          <cell r="AD220">
            <v>11</v>
          </cell>
          <cell r="AE220">
            <v>323</v>
          </cell>
          <cell r="AF220">
            <v>0.79603782080144081</v>
          </cell>
          <cell r="AG220">
            <v>0</v>
          </cell>
          <cell r="AH220" t="str">
            <v/>
          </cell>
          <cell r="AI220">
            <v>3</v>
          </cell>
          <cell r="AJ220">
            <v>42</v>
          </cell>
          <cell r="AK220">
            <v>647.68613638587226</v>
          </cell>
          <cell r="AL220" t="str">
            <v/>
          </cell>
          <cell r="AM220">
            <v>0.23388650319059276</v>
          </cell>
          <cell r="AN220">
            <v>0.32</v>
          </cell>
          <cell r="AO220">
            <v>-13070</v>
          </cell>
          <cell r="AQ220">
            <v>12475</v>
          </cell>
          <cell r="AR220" t="str">
            <v/>
          </cell>
          <cell r="AS220">
            <v>17780</v>
          </cell>
          <cell r="AU220">
            <v>15654</v>
          </cell>
          <cell r="AV220" t="str">
            <v/>
          </cell>
          <cell r="AW220">
            <v>10714</v>
          </cell>
          <cell r="AX220" t="str">
            <v/>
          </cell>
          <cell r="AY220" t="str">
            <v/>
          </cell>
          <cell r="AZ220">
            <v>10463</v>
          </cell>
          <cell r="BA220" t="str">
            <v/>
          </cell>
          <cell r="BB220">
            <v>211.78498768599999</v>
          </cell>
          <cell r="BC220" t="str">
            <v/>
          </cell>
          <cell r="BD220">
            <v>306.07631095599999</v>
          </cell>
          <cell r="BE220" t="str">
            <v/>
          </cell>
          <cell r="BF220">
            <v>552.91704503999995</v>
          </cell>
          <cell r="BG220" t="str">
            <v/>
          </cell>
          <cell r="BH220">
            <v>202</v>
          </cell>
          <cell r="BI220">
            <v>202</v>
          </cell>
          <cell r="BJ220">
            <v>0</v>
          </cell>
        </row>
        <row r="221">
          <cell r="A221" t="str">
            <v>5JP</v>
          </cell>
          <cell r="B221" t="str">
            <v>Q03</v>
          </cell>
          <cell r="C221" t="str">
            <v/>
          </cell>
          <cell r="D221" t="str">
            <v/>
          </cell>
          <cell r="E221" t="str">
            <v/>
          </cell>
          <cell r="F221">
            <v>1</v>
          </cell>
          <cell r="G221">
            <v>1</v>
          </cell>
          <cell r="H221">
            <v>0</v>
          </cell>
          <cell r="J221">
            <v>0</v>
          </cell>
          <cell r="K221">
            <v>72.183199998000006</v>
          </cell>
          <cell r="L221">
            <v>284.86470000200001</v>
          </cell>
          <cell r="M221" t="str">
            <v/>
          </cell>
          <cell r="N221">
            <v>1</v>
          </cell>
          <cell r="Q221" t="str">
            <v/>
          </cell>
          <cell r="R221" t="str">
            <v/>
          </cell>
          <cell r="S221">
            <v>283</v>
          </cell>
          <cell r="X221">
            <v>1</v>
          </cell>
          <cell r="Y221">
            <v>1</v>
          </cell>
          <cell r="Z221">
            <v>0.82608695652173914</v>
          </cell>
          <cell r="AA221">
            <v>0</v>
          </cell>
          <cell r="AB221" t="str">
            <v/>
          </cell>
          <cell r="AD221">
            <v>24</v>
          </cell>
          <cell r="AE221">
            <v>356</v>
          </cell>
          <cell r="AF221">
            <v>0.88690172032021797</v>
          </cell>
          <cell r="AG221">
            <v>0</v>
          </cell>
          <cell r="AH221" t="str">
            <v/>
          </cell>
          <cell r="AI221">
            <v>3</v>
          </cell>
          <cell r="AJ221">
            <v>493</v>
          </cell>
          <cell r="AK221">
            <v>786.10835305447517</v>
          </cell>
          <cell r="AL221">
            <v>0.13032581453634084</v>
          </cell>
          <cell r="AM221" t="str">
            <v/>
          </cell>
          <cell r="AN221">
            <v>0.44117647058823528</v>
          </cell>
          <cell r="AO221">
            <v>3207</v>
          </cell>
          <cell r="AQ221">
            <v>36016</v>
          </cell>
          <cell r="AR221" t="str">
            <v/>
          </cell>
          <cell r="AS221">
            <v>16757</v>
          </cell>
          <cell r="AU221">
            <v>29049</v>
          </cell>
          <cell r="AV221" t="str">
            <v/>
          </cell>
          <cell r="AW221">
            <v>20657</v>
          </cell>
          <cell r="AX221" t="str">
            <v/>
          </cell>
          <cell r="AY221" t="str">
            <v/>
          </cell>
          <cell r="AZ221">
            <v>12351</v>
          </cell>
          <cell r="BA221" t="str">
            <v/>
          </cell>
          <cell r="BB221">
            <v>252.160820325</v>
          </cell>
          <cell r="BC221">
            <v>52</v>
          </cell>
          <cell r="BD221">
            <v>494.777098916</v>
          </cell>
          <cell r="BE221">
            <v>13</v>
          </cell>
          <cell r="BF221">
            <v>1252.954379298</v>
          </cell>
          <cell r="BG221">
            <v>9.8999999000000005E-2</v>
          </cell>
          <cell r="BH221">
            <v>78</v>
          </cell>
          <cell r="BI221">
            <v>78</v>
          </cell>
          <cell r="BJ221">
            <v>0</v>
          </cell>
        </row>
        <row r="222">
          <cell r="A222" t="str">
            <v>5JQ</v>
          </cell>
          <cell r="B222" t="str">
            <v>Q01</v>
          </cell>
          <cell r="C222" t="str">
            <v/>
          </cell>
          <cell r="D222" t="str">
            <v/>
          </cell>
          <cell r="E222">
            <v>1</v>
          </cell>
          <cell r="F222">
            <v>1</v>
          </cell>
          <cell r="G222">
            <v>1</v>
          </cell>
          <cell r="H222">
            <v>0</v>
          </cell>
          <cell r="J222">
            <v>0</v>
          </cell>
          <cell r="K222">
            <v>2.6000000239999999</v>
          </cell>
          <cell r="L222">
            <v>989.32531863599991</v>
          </cell>
          <cell r="M222" t="str">
            <v/>
          </cell>
          <cell r="N222">
            <v>0</v>
          </cell>
          <cell r="Q222" t="str">
            <v/>
          </cell>
          <cell r="R222" t="str">
            <v/>
          </cell>
          <cell r="S222">
            <v>101</v>
          </cell>
          <cell r="X222">
            <v>1</v>
          </cell>
          <cell r="Y222">
            <v>1</v>
          </cell>
          <cell r="Z222">
            <v>0.875</v>
          </cell>
          <cell r="AA222">
            <v>0</v>
          </cell>
          <cell r="AB222" t="str">
            <v/>
          </cell>
          <cell r="AD222">
            <v>0</v>
          </cell>
          <cell r="AE222">
            <v>60</v>
          </cell>
          <cell r="AF222">
            <v>0.94996873045653529</v>
          </cell>
          <cell r="AG222">
            <v>0</v>
          </cell>
          <cell r="AH222" t="str">
            <v/>
          </cell>
          <cell r="AI222">
            <v>0</v>
          </cell>
          <cell r="AJ222">
            <v>0</v>
          </cell>
          <cell r="AK222">
            <v>674.32239782397653</v>
          </cell>
          <cell r="AL222">
            <v>0.189873417721519</v>
          </cell>
          <cell r="AM222">
            <v>0.23956281485871669</v>
          </cell>
          <cell r="AN222">
            <v>0.77551020408163263</v>
          </cell>
          <cell r="AO222">
            <v>-8007</v>
          </cell>
          <cell r="AQ222">
            <v>22667</v>
          </cell>
          <cell r="AR222" t="str">
            <v/>
          </cell>
          <cell r="AS222">
            <v>23656</v>
          </cell>
          <cell r="AU222">
            <v>21758</v>
          </cell>
          <cell r="AV222" t="str">
            <v/>
          </cell>
          <cell r="AW222">
            <v>17190</v>
          </cell>
          <cell r="AX222" t="str">
            <v/>
          </cell>
          <cell r="AY222" t="str">
            <v/>
          </cell>
          <cell r="AZ222">
            <v>14669</v>
          </cell>
          <cell r="BA222" t="str">
            <v/>
          </cell>
          <cell r="BB222">
            <v>248.23775697599999</v>
          </cell>
          <cell r="BC222" t="str">
            <v/>
          </cell>
          <cell r="BD222">
            <v>824.88670559199988</v>
          </cell>
          <cell r="BE222" t="str">
            <v/>
          </cell>
          <cell r="BF222">
            <v>693.33247983800004</v>
          </cell>
          <cell r="BG222" t="str">
            <v/>
          </cell>
          <cell r="BH222">
            <v>842</v>
          </cell>
          <cell r="BI222">
            <v>801</v>
          </cell>
          <cell r="BJ222">
            <v>0</v>
          </cell>
        </row>
        <row r="223">
          <cell r="A223" t="str">
            <v>5JR</v>
          </cell>
          <cell r="B223" t="str">
            <v>Q01</v>
          </cell>
          <cell r="C223" t="str">
            <v/>
          </cell>
          <cell r="D223" t="str">
            <v/>
          </cell>
          <cell r="E223">
            <v>1</v>
          </cell>
          <cell r="F223">
            <v>1</v>
          </cell>
          <cell r="G223">
            <v>1</v>
          </cell>
          <cell r="H223">
            <v>0</v>
          </cell>
          <cell r="J223">
            <v>0</v>
          </cell>
          <cell r="K223">
            <v>1.6000000240000001</v>
          </cell>
          <cell r="L223">
            <v>382.71371446699999</v>
          </cell>
          <cell r="M223" t="str">
            <v/>
          </cell>
          <cell r="N223">
            <v>1</v>
          </cell>
          <cell r="Q223" t="str">
            <v/>
          </cell>
          <cell r="R223" t="str">
            <v/>
          </cell>
          <cell r="S223">
            <v>35</v>
          </cell>
          <cell r="X223">
            <v>1</v>
          </cell>
          <cell r="Y223">
            <v>1</v>
          </cell>
          <cell r="Z223">
            <v>1</v>
          </cell>
          <cell r="AA223">
            <v>0</v>
          </cell>
          <cell r="AB223" t="str">
            <v/>
          </cell>
          <cell r="AD223">
            <v>0</v>
          </cell>
          <cell r="AE223">
            <v>26</v>
          </cell>
          <cell r="AF223">
            <v>0.94972907886815172</v>
          </cell>
          <cell r="AG223">
            <v>0</v>
          </cell>
          <cell r="AH223" t="str">
            <v/>
          </cell>
          <cell r="AI223">
            <v>2</v>
          </cell>
          <cell r="AJ223">
            <v>235</v>
          </cell>
          <cell r="AK223">
            <v>507.21810378462743</v>
          </cell>
          <cell r="AL223">
            <v>0.14537444933920704</v>
          </cell>
          <cell r="AM223">
            <v>0.15289086506464267</v>
          </cell>
          <cell r="AN223">
            <v>0.76190476190476186</v>
          </cell>
          <cell r="AO223">
            <v>-5167</v>
          </cell>
          <cell r="AQ223">
            <v>15798</v>
          </cell>
          <cell r="AR223" t="str">
            <v/>
          </cell>
          <cell r="AS223">
            <v>14492</v>
          </cell>
          <cell r="AU223">
            <v>15604</v>
          </cell>
          <cell r="AV223" t="str">
            <v/>
          </cell>
          <cell r="AW223">
            <v>12358</v>
          </cell>
          <cell r="AX223" t="str">
            <v/>
          </cell>
          <cell r="AY223" t="str">
            <v/>
          </cell>
          <cell r="AZ223">
            <v>9359</v>
          </cell>
          <cell r="BA223" t="str">
            <v/>
          </cell>
          <cell r="BB223">
            <v>243.11239890099998</v>
          </cell>
          <cell r="BC223" t="str">
            <v/>
          </cell>
          <cell r="BD223">
            <v>824.52308482499996</v>
          </cell>
          <cell r="BE223" t="str">
            <v/>
          </cell>
          <cell r="BF223">
            <v>678.71752300700007</v>
          </cell>
          <cell r="BG223" t="str">
            <v/>
          </cell>
          <cell r="BH223">
            <v>541</v>
          </cell>
          <cell r="BI223">
            <v>520</v>
          </cell>
          <cell r="BJ223">
            <v>4</v>
          </cell>
        </row>
        <row r="224">
          <cell r="A224" t="str">
            <v>5JT</v>
          </cell>
          <cell r="B224" t="str">
            <v>Q01</v>
          </cell>
          <cell r="C224" t="str">
            <v/>
          </cell>
          <cell r="D224" t="str">
            <v/>
          </cell>
          <cell r="E224" t="str">
            <v/>
          </cell>
          <cell r="F224">
            <v>1</v>
          </cell>
          <cell r="G224">
            <v>1</v>
          </cell>
          <cell r="H224">
            <v>0</v>
          </cell>
          <cell r="J224">
            <v>0</v>
          </cell>
          <cell r="K224">
            <v>4.8060000120000002</v>
          </cell>
          <cell r="L224">
            <v>254.30258921699999</v>
          </cell>
          <cell r="M224" t="str">
            <v/>
          </cell>
          <cell r="N224">
            <v>0</v>
          </cell>
          <cell r="Q224" t="str">
            <v/>
          </cell>
          <cell r="R224" t="str">
            <v/>
          </cell>
          <cell r="S224">
            <v>82</v>
          </cell>
          <cell r="X224">
            <v>1</v>
          </cell>
          <cell r="Y224">
            <v>1</v>
          </cell>
          <cell r="Z224">
            <v>0.9375</v>
          </cell>
          <cell r="AA224">
            <v>0</v>
          </cell>
          <cell r="AB224" t="str">
            <v/>
          </cell>
          <cell r="AD224">
            <v>0</v>
          </cell>
          <cell r="AE224">
            <v>21</v>
          </cell>
          <cell r="AF224">
            <v>0.94971045412983846</v>
          </cell>
          <cell r="AG224">
            <v>0</v>
          </cell>
          <cell r="AH224" t="str">
            <v/>
          </cell>
          <cell r="AI224">
            <v>1</v>
          </cell>
          <cell r="AJ224">
            <v>0</v>
          </cell>
          <cell r="AK224">
            <v>720.7876648708899</v>
          </cell>
          <cell r="AL224">
            <v>0.11055276381909548</v>
          </cell>
          <cell r="AM224">
            <v>0.40061832270183539</v>
          </cell>
          <cell r="AN224">
            <v>0.65217391304347827</v>
          </cell>
          <cell r="AO224">
            <v>-765</v>
          </cell>
          <cell r="AQ224">
            <v>12566</v>
          </cell>
          <cell r="AR224" t="str">
            <v/>
          </cell>
          <cell r="AS224">
            <v>12815</v>
          </cell>
          <cell r="AU224">
            <v>12229</v>
          </cell>
          <cell r="AV224" t="str">
            <v/>
          </cell>
          <cell r="AW224">
            <v>11436</v>
          </cell>
          <cell r="AX224" t="str">
            <v/>
          </cell>
          <cell r="AY224" t="str">
            <v/>
          </cell>
          <cell r="AZ224">
            <v>7641</v>
          </cell>
          <cell r="BA224" t="str">
            <v/>
          </cell>
          <cell r="BB224">
            <v>151.72111316799999</v>
          </cell>
          <cell r="BC224" t="str">
            <v/>
          </cell>
          <cell r="BD224">
            <v>458.53801277399998</v>
          </cell>
          <cell r="BE224" t="str">
            <v/>
          </cell>
          <cell r="BF224">
            <v>417.50212928400003</v>
          </cell>
          <cell r="BG224" t="str">
            <v/>
          </cell>
          <cell r="BH224">
            <v>448</v>
          </cell>
          <cell r="BI224">
            <v>421</v>
          </cell>
          <cell r="BJ224">
            <v>2</v>
          </cell>
        </row>
        <row r="225">
          <cell r="A225" t="str">
            <v>5JV</v>
          </cell>
          <cell r="B225" t="str">
            <v>Q01</v>
          </cell>
          <cell r="C225" t="str">
            <v/>
          </cell>
          <cell r="D225" t="str">
            <v/>
          </cell>
          <cell r="E225">
            <v>1</v>
          </cell>
          <cell r="F225">
            <v>1</v>
          </cell>
          <cell r="G225">
            <v>1</v>
          </cell>
          <cell r="H225">
            <v>0</v>
          </cell>
          <cell r="J225">
            <v>0</v>
          </cell>
          <cell r="K225">
            <v>8.0213000010000002</v>
          </cell>
          <cell r="L225">
            <v>97.245137688</v>
          </cell>
          <cell r="M225" t="str">
            <v/>
          </cell>
          <cell r="N225">
            <v>0</v>
          </cell>
          <cell r="Q225" t="str">
            <v/>
          </cell>
          <cell r="R225" t="str">
            <v/>
          </cell>
          <cell r="S225">
            <v>26</v>
          </cell>
          <cell r="X225">
            <v>1</v>
          </cell>
          <cell r="Y225">
            <v>0.98529411764705888</v>
          </cell>
          <cell r="Z225">
            <v>0.92</v>
          </cell>
          <cell r="AA225">
            <v>0</v>
          </cell>
          <cell r="AB225" t="str">
            <v/>
          </cell>
          <cell r="AD225">
            <v>8</v>
          </cell>
          <cell r="AE225">
            <v>51</v>
          </cell>
          <cell r="AF225">
            <v>0.75471307230163664</v>
          </cell>
          <cell r="AG225">
            <v>0</v>
          </cell>
          <cell r="AH225" t="str">
            <v/>
          </cell>
          <cell r="AI225">
            <v>0</v>
          </cell>
          <cell r="AJ225">
            <v>48</v>
          </cell>
          <cell r="AK225">
            <v>843.45847780084841</v>
          </cell>
          <cell r="AL225" t="str">
            <v/>
          </cell>
          <cell r="AM225">
            <v>0.33135143652502758</v>
          </cell>
          <cell r="AN225">
            <v>0.34782608695652173</v>
          </cell>
          <cell r="AO225">
            <v>-3133</v>
          </cell>
          <cell r="AQ225">
            <v>23875</v>
          </cell>
          <cell r="AR225" t="str">
            <v/>
          </cell>
          <cell r="AS225">
            <v>8041</v>
          </cell>
          <cell r="AU225">
            <v>19647</v>
          </cell>
          <cell r="AV225" t="str">
            <v/>
          </cell>
          <cell r="AW225">
            <v>15317</v>
          </cell>
          <cell r="AX225" t="str">
            <v/>
          </cell>
          <cell r="AY225" t="str">
            <v/>
          </cell>
          <cell r="AZ225">
            <v>10619</v>
          </cell>
          <cell r="BA225" t="str">
            <v/>
          </cell>
          <cell r="BB225">
            <v>214.68556874200002</v>
          </cell>
          <cell r="BC225" t="str">
            <v/>
          </cell>
          <cell r="BD225">
            <v>385.32659408300003</v>
          </cell>
          <cell r="BE225" t="str">
            <v/>
          </cell>
          <cell r="BF225">
            <v>771.66779487899987</v>
          </cell>
          <cell r="BG225" t="str">
            <v/>
          </cell>
          <cell r="BH225">
            <v>54</v>
          </cell>
          <cell r="BI225">
            <v>54</v>
          </cell>
          <cell r="BJ225">
            <v>54</v>
          </cell>
        </row>
        <row r="226">
          <cell r="A226" t="str">
            <v>5JW</v>
          </cell>
          <cell r="B226" t="str">
            <v>Q01</v>
          </cell>
          <cell r="C226" t="str">
            <v/>
          </cell>
          <cell r="D226" t="str">
            <v/>
          </cell>
          <cell r="E226" t="str">
            <v/>
          </cell>
          <cell r="F226">
            <v>1</v>
          </cell>
          <cell r="G226">
            <v>1</v>
          </cell>
          <cell r="H226">
            <v>1</v>
          </cell>
          <cell r="J226">
            <v>0</v>
          </cell>
          <cell r="K226">
            <v>6.0261999999999993</v>
          </cell>
          <cell r="L226">
            <v>520.27327079299982</v>
          </cell>
          <cell r="M226" t="str">
            <v/>
          </cell>
          <cell r="N226">
            <v>0</v>
          </cell>
          <cell r="Q226" t="str">
            <v/>
          </cell>
          <cell r="R226" t="str">
            <v/>
          </cell>
          <cell r="S226">
            <v>288</v>
          </cell>
          <cell r="X226">
            <v>1</v>
          </cell>
          <cell r="Y226">
            <v>1</v>
          </cell>
          <cell r="Z226">
            <v>0.95</v>
          </cell>
          <cell r="AA226">
            <v>0</v>
          </cell>
          <cell r="AB226" t="str">
            <v/>
          </cell>
          <cell r="AD226">
            <v>0</v>
          </cell>
          <cell r="AE226">
            <v>102</v>
          </cell>
          <cell r="AF226">
            <v>1</v>
          </cell>
          <cell r="AG226">
            <v>0</v>
          </cell>
          <cell r="AH226" t="str">
            <v/>
          </cell>
          <cell r="AI226">
            <v>2</v>
          </cell>
          <cell r="AJ226">
            <v>46</v>
          </cell>
          <cell r="AK226">
            <v>627.67123900736192</v>
          </cell>
          <cell r="AL226">
            <v>0.14776119402985075</v>
          </cell>
          <cell r="AM226">
            <v>0.22013561087150926</v>
          </cell>
          <cell r="AN226">
            <v>0.33333333333333331</v>
          </cell>
          <cell r="AO226">
            <v>-11460</v>
          </cell>
          <cell r="AQ226">
            <v>37827</v>
          </cell>
          <cell r="AR226" t="str">
            <v/>
          </cell>
          <cell r="AS226">
            <v>19881</v>
          </cell>
          <cell r="AU226">
            <v>32877</v>
          </cell>
          <cell r="AV226" t="str">
            <v/>
          </cell>
          <cell r="AW226">
            <v>28755</v>
          </cell>
          <cell r="AX226" t="str">
            <v/>
          </cell>
          <cell r="AY226" t="str">
            <v/>
          </cell>
          <cell r="AZ226">
            <v>18836</v>
          </cell>
          <cell r="BA226" t="str">
            <v/>
          </cell>
          <cell r="BB226">
            <v>374.86020514399996</v>
          </cell>
          <cell r="BC226" t="str">
            <v/>
          </cell>
          <cell r="BD226">
            <v>641.995441046</v>
          </cell>
          <cell r="BE226" t="str">
            <v/>
          </cell>
          <cell r="BF226">
            <v>1072.063925793</v>
          </cell>
          <cell r="BG226" t="str">
            <v/>
          </cell>
          <cell r="BH226">
            <v>4</v>
          </cell>
          <cell r="BI226">
            <v>0</v>
          </cell>
          <cell r="BJ226">
            <v>0</v>
          </cell>
        </row>
        <row r="227">
          <cell r="A227" t="str">
            <v>5JX</v>
          </cell>
          <cell r="B227" t="str">
            <v>Q14</v>
          </cell>
          <cell r="C227" t="str">
            <v/>
          </cell>
          <cell r="D227" t="str">
            <v/>
          </cell>
          <cell r="E227">
            <v>1</v>
          </cell>
          <cell r="F227">
            <v>0.95624819321437016</v>
          </cell>
          <cell r="G227">
            <v>1</v>
          </cell>
          <cell r="H227">
            <v>0</v>
          </cell>
          <cell r="J227">
            <v>0</v>
          </cell>
          <cell r="K227">
            <v>30.459999967999998</v>
          </cell>
          <cell r="L227">
            <v>141.159999997</v>
          </cell>
          <cell r="M227">
            <v>0</v>
          </cell>
          <cell r="N227">
            <v>0</v>
          </cell>
          <cell r="Q227" t="str">
            <v/>
          </cell>
          <cell r="R227" t="str">
            <v/>
          </cell>
          <cell r="S227">
            <v>312</v>
          </cell>
          <cell r="X227">
            <v>1</v>
          </cell>
          <cell r="Y227">
            <v>1</v>
          </cell>
          <cell r="Z227">
            <v>0.85</v>
          </cell>
          <cell r="AA227">
            <v>0</v>
          </cell>
          <cell r="AB227" t="str">
            <v/>
          </cell>
          <cell r="AD227">
            <v>52</v>
          </cell>
          <cell r="AE227">
            <v>494</v>
          </cell>
          <cell r="AF227">
            <v>0.86011425223377769</v>
          </cell>
          <cell r="AG227">
            <v>0</v>
          </cell>
          <cell r="AH227" t="str">
            <v/>
          </cell>
          <cell r="AI227">
            <v>2</v>
          </cell>
          <cell r="AJ227">
            <v>103</v>
          </cell>
          <cell r="AK227">
            <v>598.85219995009561</v>
          </cell>
          <cell r="AL227">
            <v>0.22061855670103092</v>
          </cell>
          <cell r="AM227">
            <v>0.30201204066642412</v>
          </cell>
          <cell r="AN227">
            <v>0.38</v>
          </cell>
          <cell r="AO227">
            <v>393</v>
          </cell>
          <cell r="AQ227">
            <v>39521</v>
          </cell>
          <cell r="AR227" t="str">
            <v/>
          </cell>
          <cell r="AS227">
            <v>16962</v>
          </cell>
          <cell r="AU227">
            <v>32016</v>
          </cell>
          <cell r="AV227" t="str">
            <v/>
          </cell>
          <cell r="AW227">
            <v>22661</v>
          </cell>
          <cell r="AX227" t="str">
            <v/>
          </cell>
          <cell r="AY227" t="str">
            <v/>
          </cell>
          <cell r="AZ227">
            <v>18015</v>
          </cell>
          <cell r="BA227" t="str">
            <v/>
          </cell>
          <cell r="BB227">
            <v>144.21999970500002</v>
          </cell>
          <cell r="BC227">
            <v>1.3599999700000001</v>
          </cell>
          <cell r="BD227">
            <v>725.38999934599997</v>
          </cell>
          <cell r="BE227">
            <v>0.33999999199999997</v>
          </cell>
          <cell r="BF227">
            <v>1127.2399991</v>
          </cell>
          <cell r="BG227" t="str">
            <v/>
          </cell>
          <cell r="BH227">
            <v>433</v>
          </cell>
          <cell r="BI227">
            <v>449</v>
          </cell>
          <cell r="BJ227">
            <v>5</v>
          </cell>
        </row>
        <row r="228">
          <cell r="A228" t="str">
            <v>5JY</v>
          </cell>
          <cell r="B228" t="str">
            <v>Q14</v>
          </cell>
          <cell r="C228" t="str">
            <v/>
          </cell>
          <cell r="D228" t="str">
            <v/>
          </cell>
          <cell r="E228">
            <v>1</v>
          </cell>
          <cell r="F228">
            <v>1</v>
          </cell>
          <cell r="G228">
            <v>1</v>
          </cell>
          <cell r="H228">
            <v>0</v>
          </cell>
          <cell r="J228">
            <v>0</v>
          </cell>
          <cell r="K228">
            <v>1.729999984</v>
          </cell>
          <cell r="L228">
            <v>245.01</v>
          </cell>
          <cell r="M228" t="str">
            <v/>
          </cell>
          <cell r="N228">
            <v>0</v>
          </cell>
          <cell r="Q228" t="str">
            <v/>
          </cell>
          <cell r="R228" t="str">
            <v/>
          </cell>
          <cell r="S228">
            <v>200</v>
          </cell>
          <cell r="X228">
            <v>1</v>
          </cell>
          <cell r="Y228">
            <v>1</v>
          </cell>
          <cell r="Z228">
            <v>0.90909090909090906</v>
          </cell>
          <cell r="AA228">
            <v>0</v>
          </cell>
          <cell r="AB228" t="str">
            <v/>
          </cell>
          <cell r="AD228">
            <v>0</v>
          </cell>
          <cell r="AE228">
            <v>121</v>
          </cell>
          <cell r="AF228">
            <v>0.88327057557826794</v>
          </cell>
          <cell r="AG228">
            <v>0</v>
          </cell>
          <cell r="AH228" t="str">
            <v/>
          </cell>
          <cell r="AI228">
            <v>2</v>
          </cell>
          <cell r="AJ228">
            <v>400</v>
          </cell>
          <cell r="AK228">
            <v>1119.8132023155131</v>
          </cell>
          <cell r="AL228" t="str">
            <v/>
          </cell>
          <cell r="AM228">
            <v>0.31340089871029236</v>
          </cell>
          <cell r="AN228">
            <v>0.34</v>
          </cell>
          <cell r="AO228">
            <v>558</v>
          </cell>
          <cell r="AQ228">
            <v>26258</v>
          </cell>
          <cell r="AR228" t="str">
            <v/>
          </cell>
          <cell r="AS228">
            <v>11830</v>
          </cell>
          <cell r="AU228">
            <v>24181</v>
          </cell>
          <cell r="AV228" t="str">
            <v/>
          </cell>
          <cell r="AW228">
            <v>17988</v>
          </cell>
          <cell r="AX228" t="str">
            <v/>
          </cell>
          <cell r="AY228" t="str">
            <v/>
          </cell>
          <cell r="AZ228">
            <v>13531</v>
          </cell>
          <cell r="BA228" t="str">
            <v/>
          </cell>
          <cell r="BB228">
            <v>153.021699888</v>
          </cell>
          <cell r="BC228">
            <v>0.67999998500000003</v>
          </cell>
          <cell r="BD228">
            <v>392.288599766</v>
          </cell>
          <cell r="BE228">
            <v>0.16999999599999999</v>
          </cell>
          <cell r="BF228">
            <v>1101.227199703</v>
          </cell>
          <cell r="BG228" t="str">
            <v/>
          </cell>
          <cell r="BH228">
            <v>384</v>
          </cell>
          <cell r="BI228">
            <v>381</v>
          </cell>
          <cell r="BJ228">
            <v>0</v>
          </cell>
        </row>
        <row r="229">
          <cell r="A229" t="str">
            <v>5K1</v>
          </cell>
          <cell r="B229" t="str">
            <v>Q22</v>
          </cell>
          <cell r="C229" t="str">
            <v/>
          </cell>
          <cell r="D229" t="str">
            <v/>
          </cell>
          <cell r="E229">
            <v>1</v>
          </cell>
          <cell r="F229">
            <v>1</v>
          </cell>
          <cell r="G229">
            <v>1</v>
          </cell>
          <cell r="H229">
            <v>0</v>
          </cell>
          <cell r="J229">
            <v>8</v>
          </cell>
          <cell r="K229">
            <v>16.042999999999999</v>
          </cell>
          <cell r="L229">
            <v>240.10983742099998</v>
          </cell>
          <cell r="M229" t="str">
            <v/>
          </cell>
          <cell r="N229">
            <v>0</v>
          </cell>
          <cell r="Q229" t="str">
            <v/>
          </cell>
          <cell r="R229">
            <v>1</v>
          </cell>
          <cell r="S229">
            <v>218</v>
          </cell>
          <cell r="X229">
            <v>1</v>
          </cell>
          <cell r="Y229">
            <v>1</v>
          </cell>
          <cell r="Z229">
            <v>0.96296296296296291</v>
          </cell>
          <cell r="AA229">
            <v>0</v>
          </cell>
          <cell r="AB229" t="str">
            <v/>
          </cell>
          <cell r="AD229">
            <v>68</v>
          </cell>
          <cell r="AE229">
            <v>222</v>
          </cell>
          <cell r="AF229">
            <v>0.96995255666842384</v>
          </cell>
          <cell r="AG229">
            <v>0</v>
          </cell>
          <cell r="AH229" t="str">
            <v/>
          </cell>
          <cell r="AI229">
            <v>2.4</v>
          </cell>
          <cell r="AJ229">
            <v>58</v>
          </cell>
          <cell r="AK229">
            <v>860.32306670339108</v>
          </cell>
          <cell r="AL229">
            <v>0.18960244648318042</v>
          </cell>
          <cell r="AM229">
            <v>0.22367637252722827</v>
          </cell>
          <cell r="AN229">
            <v>0.125</v>
          </cell>
          <cell r="AO229">
            <v>23</v>
          </cell>
          <cell r="AQ229">
            <v>25497</v>
          </cell>
          <cell r="AR229" t="str">
            <v/>
          </cell>
          <cell r="AS229">
            <v>9394</v>
          </cell>
          <cell r="AU229">
            <v>23279</v>
          </cell>
          <cell r="AV229" t="str">
            <v/>
          </cell>
          <cell r="AW229">
            <v>19634</v>
          </cell>
          <cell r="AX229" t="str">
            <v/>
          </cell>
          <cell r="AY229" t="str">
            <v/>
          </cell>
          <cell r="AZ229">
            <v>14310</v>
          </cell>
          <cell r="BA229" t="str">
            <v/>
          </cell>
          <cell r="BB229">
            <v>351.96439999899997</v>
          </cell>
          <cell r="BC229" t="str">
            <v/>
          </cell>
          <cell r="BD229">
            <v>602.05399999999997</v>
          </cell>
          <cell r="BE229">
            <v>5</v>
          </cell>
          <cell r="BF229">
            <v>1153.556299998</v>
          </cell>
          <cell r="BG229" t="str">
            <v/>
          </cell>
          <cell r="BH229">
            <v>1016</v>
          </cell>
          <cell r="BI229">
            <v>740</v>
          </cell>
          <cell r="BJ229">
            <v>276</v>
          </cell>
        </row>
        <row r="230">
          <cell r="A230" t="str">
            <v>5K2</v>
          </cell>
          <cell r="B230" t="str">
            <v>Q22</v>
          </cell>
          <cell r="C230" t="str">
            <v/>
          </cell>
          <cell r="D230" t="str">
            <v/>
          </cell>
          <cell r="E230" t="str">
            <v/>
          </cell>
          <cell r="F230">
            <v>1</v>
          </cell>
          <cell r="G230">
            <v>1</v>
          </cell>
          <cell r="H230">
            <v>0</v>
          </cell>
          <cell r="J230">
            <v>0</v>
          </cell>
          <cell r="K230">
            <v>6.0202000000000009</v>
          </cell>
          <cell r="L230">
            <v>262.23483741799998</v>
          </cell>
          <cell r="M230" t="str">
            <v/>
          </cell>
          <cell r="N230">
            <v>0</v>
          </cell>
          <cell r="Q230" t="str">
            <v/>
          </cell>
          <cell r="R230">
            <v>1</v>
          </cell>
          <cell r="S230">
            <v>222</v>
          </cell>
          <cell r="X230">
            <v>1</v>
          </cell>
          <cell r="Y230">
            <v>1</v>
          </cell>
          <cell r="Z230">
            <v>0.84615384615384615</v>
          </cell>
          <cell r="AA230">
            <v>0</v>
          </cell>
          <cell r="AB230" t="str">
            <v/>
          </cell>
          <cell r="AD230">
            <v>34</v>
          </cell>
          <cell r="AE230">
            <v>575</v>
          </cell>
          <cell r="AF230">
            <v>0.81362196409714893</v>
          </cell>
          <cell r="AG230">
            <v>0</v>
          </cell>
          <cell r="AH230" t="str">
            <v/>
          </cell>
          <cell r="AI230">
            <v>1.2</v>
          </cell>
          <cell r="AJ230">
            <v>15</v>
          </cell>
          <cell r="AK230">
            <v>652.11558427923148</v>
          </cell>
          <cell r="AL230">
            <v>0.15923566878980891</v>
          </cell>
          <cell r="AM230">
            <v>0.23691185803705869</v>
          </cell>
          <cell r="AN230">
            <v>0.1111111111111111</v>
          </cell>
          <cell r="AO230">
            <v>453</v>
          </cell>
          <cell r="AQ230">
            <v>19775</v>
          </cell>
          <cell r="AR230" t="str">
            <v/>
          </cell>
          <cell r="AS230">
            <v>10326</v>
          </cell>
          <cell r="AU230">
            <v>16773</v>
          </cell>
          <cell r="AV230" t="str">
            <v/>
          </cell>
          <cell r="AW230">
            <v>15917</v>
          </cell>
          <cell r="AX230" t="str">
            <v/>
          </cell>
          <cell r="AY230" t="str">
            <v/>
          </cell>
          <cell r="AZ230">
            <v>10483</v>
          </cell>
          <cell r="BA230" t="str">
            <v/>
          </cell>
          <cell r="BB230">
            <v>201.24619999399999</v>
          </cell>
          <cell r="BC230">
            <v>1</v>
          </cell>
          <cell r="BD230">
            <v>320.33939999199998</v>
          </cell>
          <cell r="BE230">
            <v>25</v>
          </cell>
          <cell r="BF230">
            <v>568.65269998300005</v>
          </cell>
          <cell r="BG230" t="str">
            <v/>
          </cell>
          <cell r="BH230">
            <v>180</v>
          </cell>
          <cell r="BI230">
            <v>0</v>
          </cell>
          <cell r="BJ230">
            <v>0</v>
          </cell>
        </row>
        <row r="231">
          <cell r="A231" t="str">
            <v>5K3</v>
          </cell>
          <cell r="B231" t="str">
            <v>Q20</v>
          </cell>
          <cell r="C231" t="str">
            <v/>
          </cell>
          <cell r="D231" t="str">
            <v/>
          </cell>
          <cell r="E231">
            <v>0.99969135802469133</v>
          </cell>
          <cell r="F231">
            <v>1</v>
          </cell>
          <cell r="G231">
            <v>1</v>
          </cell>
          <cell r="H231">
            <v>0</v>
          </cell>
          <cell r="J231">
            <v>0</v>
          </cell>
          <cell r="K231">
            <v>6.0119999999999996</v>
          </cell>
          <cell r="L231">
            <v>1959.066999998</v>
          </cell>
          <cell r="M231" t="str">
            <v/>
          </cell>
          <cell r="N231">
            <v>0</v>
          </cell>
          <cell r="Q231" t="str">
            <v/>
          </cell>
          <cell r="R231" t="str">
            <v/>
          </cell>
          <cell r="S231">
            <v>1</v>
          </cell>
          <cell r="X231">
            <v>0.99245283018867925</v>
          </cell>
          <cell r="Y231">
            <v>1</v>
          </cell>
          <cell r="Z231">
            <v>0.97142857142857142</v>
          </cell>
          <cell r="AA231">
            <v>0</v>
          </cell>
          <cell r="AB231" t="str">
            <v/>
          </cell>
          <cell r="AD231">
            <v>34</v>
          </cell>
          <cell r="AE231">
            <v>126</v>
          </cell>
          <cell r="AF231">
            <v>0.90998313142156106</v>
          </cell>
          <cell r="AG231">
            <v>0</v>
          </cell>
          <cell r="AH231" t="str">
            <v/>
          </cell>
          <cell r="AI231">
            <v>3</v>
          </cell>
          <cell r="AJ231">
            <v>147</v>
          </cell>
          <cell r="AK231">
            <v>896.68746038629615</v>
          </cell>
          <cell r="AL231" t="str">
            <v/>
          </cell>
          <cell r="AM231">
            <v>0.28496960862151993</v>
          </cell>
          <cell r="AN231">
            <v>0.5368421052631579</v>
          </cell>
          <cell r="AO231">
            <v>748</v>
          </cell>
          <cell r="AQ231">
            <v>38357</v>
          </cell>
          <cell r="AR231" t="str">
            <v/>
          </cell>
          <cell r="AS231">
            <v>15062</v>
          </cell>
          <cell r="AU231">
            <v>31602</v>
          </cell>
          <cell r="AV231" t="str">
            <v/>
          </cell>
          <cell r="AW231">
            <v>19352</v>
          </cell>
          <cell r="AX231" t="str">
            <v/>
          </cell>
          <cell r="AY231" t="str">
            <v/>
          </cell>
          <cell r="AZ231">
            <v>16813</v>
          </cell>
          <cell r="BA231" t="str">
            <v/>
          </cell>
          <cell r="BB231">
            <v>352.18639999499999</v>
          </cell>
          <cell r="BC231" t="str">
            <v/>
          </cell>
          <cell r="BD231">
            <v>706.19399999500001</v>
          </cell>
          <cell r="BE231" t="str">
            <v/>
          </cell>
          <cell r="BF231">
            <v>1251.282999993</v>
          </cell>
          <cell r="BG231" t="str">
            <v/>
          </cell>
          <cell r="BH231">
            <v>1061</v>
          </cell>
          <cell r="BI231">
            <v>1053</v>
          </cell>
          <cell r="BJ231">
            <v>0</v>
          </cell>
        </row>
        <row r="232">
          <cell r="A232" t="str">
            <v>5K4</v>
          </cell>
          <cell r="B232" t="str">
            <v>Q20</v>
          </cell>
          <cell r="C232" t="str">
            <v/>
          </cell>
          <cell r="D232" t="str">
            <v/>
          </cell>
          <cell r="E232">
            <v>0.99922148695990654</v>
          </cell>
          <cell r="F232">
            <v>1</v>
          </cell>
          <cell r="G232">
            <v>1</v>
          </cell>
          <cell r="H232">
            <v>0</v>
          </cell>
          <cell r="J232">
            <v>2</v>
          </cell>
          <cell r="K232">
            <v>6.0731916330000004</v>
          </cell>
          <cell r="L232">
            <v>1596.8862485099999</v>
          </cell>
          <cell r="M232" t="str">
            <v/>
          </cell>
          <cell r="N232">
            <v>0</v>
          </cell>
          <cell r="Q232" t="str">
            <v/>
          </cell>
          <cell r="R232" t="str">
            <v/>
          </cell>
          <cell r="S232">
            <v>49</v>
          </cell>
          <cell r="X232">
            <v>0.99248120300751874</v>
          </cell>
          <cell r="Y232">
            <v>0.96491228070175439</v>
          </cell>
          <cell r="Z232">
            <v>0.875</v>
          </cell>
          <cell r="AA232">
            <v>0</v>
          </cell>
          <cell r="AB232" t="str">
            <v/>
          </cell>
          <cell r="AD232">
            <v>11</v>
          </cell>
          <cell r="AE232">
            <v>154</v>
          </cell>
          <cell r="AF232">
            <v>0.44876660341555979</v>
          </cell>
          <cell r="AG232">
            <v>0</v>
          </cell>
          <cell r="AH232" t="str">
            <v/>
          </cell>
          <cell r="AI232">
            <v>0</v>
          </cell>
          <cell r="AJ232">
            <v>0</v>
          </cell>
          <cell r="AK232">
            <v>661.78252521298214</v>
          </cell>
          <cell r="AL232" t="str">
            <v/>
          </cell>
          <cell r="AM232">
            <v>0.29229495278671885</v>
          </cell>
          <cell r="AN232">
            <v>0.47222222222222221</v>
          </cell>
          <cell r="AO232">
            <v>-12612</v>
          </cell>
          <cell r="AQ232">
            <v>37603</v>
          </cell>
          <cell r="AR232" t="str">
            <v/>
          </cell>
          <cell r="AS232">
            <v>14531</v>
          </cell>
          <cell r="AU232">
            <v>29913</v>
          </cell>
          <cell r="AV232" t="str">
            <v/>
          </cell>
          <cell r="AW232">
            <v>18443</v>
          </cell>
          <cell r="AX232" t="str">
            <v/>
          </cell>
          <cell r="AY232" t="str">
            <v/>
          </cell>
          <cell r="AZ232">
            <v>15112</v>
          </cell>
          <cell r="BA232" t="str">
            <v/>
          </cell>
          <cell r="BB232">
            <v>293.507694598</v>
          </cell>
          <cell r="BC232" t="str">
            <v/>
          </cell>
          <cell r="BD232">
            <v>535.76473909600008</v>
          </cell>
          <cell r="BE232" t="str">
            <v/>
          </cell>
          <cell r="BF232">
            <v>930.71215250500006</v>
          </cell>
          <cell r="BG232" t="str">
            <v/>
          </cell>
          <cell r="BH232">
            <v>124</v>
          </cell>
          <cell r="BI232">
            <v>0</v>
          </cell>
          <cell r="BJ232">
            <v>0</v>
          </cell>
        </row>
        <row r="233">
          <cell r="A233" t="str">
            <v>5K5</v>
          </cell>
          <cell r="B233" t="str">
            <v>Q04</v>
          </cell>
          <cell r="C233" t="str">
            <v/>
          </cell>
          <cell r="D233" t="str">
            <v/>
          </cell>
          <cell r="E233" t="str">
            <v/>
          </cell>
          <cell r="F233">
            <v>1</v>
          </cell>
          <cell r="G233">
            <v>1</v>
          </cell>
          <cell r="H233">
            <v>0</v>
          </cell>
          <cell r="J233">
            <v>0</v>
          </cell>
          <cell r="K233">
            <v>375.560297961</v>
          </cell>
          <cell r="L233">
            <v>1620.2098001870002</v>
          </cell>
          <cell r="M233">
            <v>0</v>
          </cell>
          <cell r="N233">
            <v>0</v>
          </cell>
          <cell r="Q233" t="str">
            <v/>
          </cell>
          <cell r="R233" t="str">
            <v/>
          </cell>
          <cell r="S233">
            <v>209</v>
          </cell>
          <cell r="X233">
            <v>1</v>
          </cell>
          <cell r="Y233">
            <v>1</v>
          </cell>
          <cell r="Z233">
            <v>0.94117647058823528</v>
          </cell>
          <cell r="AA233">
            <v>0</v>
          </cell>
          <cell r="AB233" t="str">
            <v/>
          </cell>
          <cell r="AD233">
            <v>5</v>
          </cell>
          <cell r="AE233">
            <v>952</v>
          </cell>
          <cell r="AF233">
            <v>0.74811239014729547</v>
          </cell>
          <cell r="AG233">
            <v>0</v>
          </cell>
          <cell r="AH233" t="str">
            <v/>
          </cell>
          <cell r="AI233">
            <v>2</v>
          </cell>
          <cell r="AJ233">
            <v>16</v>
          </cell>
          <cell r="AK233">
            <v>976.92538207971234</v>
          </cell>
          <cell r="AL233" t="str">
            <v/>
          </cell>
          <cell r="AM233">
            <v>0.35902266136027727</v>
          </cell>
          <cell r="AN233">
            <v>0.75624999999999998</v>
          </cell>
          <cell r="AO233">
            <v>2800</v>
          </cell>
          <cell r="AQ233">
            <v>54232</v>
          </cell>
          <cell r="AR233" t="str">
            <v/>
          </cell>
          <cell r="AS233">
            <v>19957</v>
          </cell>
          <cell r="AU233">
            <v>44945</v>
          </cell>
          <cell r="AV233" t="str">
            <v/>
          </cell>
          <cell r="AW233">
            <v>30619</v>
          </cell>
          <cell r="AX233" t="str">
            <v/>
          </cell>
          <cell r="AY233" t="str">
            <v/>
          </cell>
          <cell r="AZ233">
            <v>25803</v>
          </cell>
          <cell r="BA233" t="str">
            <v/>
          </cell>
          <cell r="BB233">
            <v>582.46242662500003</v>
          </cell>
          <cell r="BC233">
            <v>201.395998999</v>
          </cell>
          <cell r="BD233">
            <v>1079.6732636730001</v>
          </cell>
          <cell r="BE233">
            <v>0.30000000399999999</v>
          </cell>
          <cell r="BF233">
            <v>2913.6584520799997</v>
          </cell>
          <cell r="BG233" t="str">
            <v/>
          </cell>
          <cell r="BH233">
            <v>1554</v>
          </cell>
          <cell r="BI233">
            <v>0</v>
          </cell>
          <cell r="BJ233">
            <v>0</v>
          </cell>
        </row>
        <row r="234">
          <cell r="A234" t="str">
            <v>5K6</v>
          </cell>
          <cell r="B234" t="str">
            <v>Q04</v>
          </cell>
          <cell r="C234" t="str">
            <v/>
          </cell>
          <cell r="D234" t="str">
            <v/>
          </cell>
          <cell r="E234" t="str">
            <v/>
          </cell>
          <cell r="F234">
            <v>1</v>
          </cell>
          <cell r="G234">
            <v>1</v>
          </cell>
          <cell r="H234">
            <v>0</v>
          </cell>
          <cell r="J234">
            <v>1</v>
          </cell>
          <cell r="K234">
            <v>189.79970310600001</v>
          </cell>
          <cell r="L234">
            <v>1303.6521596719999</v>
          </cell>
          <cell r="M234" t="str">
            <v/>
          </cell>
          <cell r="N234">
            <v>0</v>
          </cell>
          <cell r="Q234" t="str">
            <v/>
          </cell>
          <cell r="R234">
            <v>1</v>
          </cell>
          <cell r="S234">
            <v>114</v>
          </cell>
          <cell r="X234">
            <v>1</v>
          </cell>
          <cell r="Y234">
            <v>1</v>
          </cell>
          <cell r="Z234">
            <v>1</v>
          </cell>
          <cell r="AA234">
            <v>0</v>
          </cell>
          <cell r="AB234" t="str">
            <v/>
          </cell>
          <cell r="AD234">
            <v>0</v>
          </cell>
          <cell r="AE234">
            <v>1663</v>
          </cell>
          <cell r="AF234">
            <v>0.74571270514475385</v>
          </cell>
          <cell r="AG234">
            <v>0.14042553191489363</v>
          </cell>
          <cell r="AH234" t="str">
            <v/>
          </cell>
          <cell r="AI234">
            <v>2</v>
          </cell>
          <cell r="AJ234">
            <v>170</v>
          </cell>
          <cell r="AK234">
            <v>699.56468908891429</v>
          </cell>
          <cell r="AL234">
            <v>0.12590799031476999</v>
          </cell>
          <cell r="AM234">
            <v>0.34641047225721888</v>
          </cell>
          <cell r="AN234">
            <v>0.73611111111111116</v>
          </cell>
          <cell r="AO234">
            <v>-9372</v>
          </cell>
          <cell r="AQ234">
            <v>38309</v>
          </cell>
          <cell r="AR234" t="str">
            <v/>
          </cell>
          <cell r="AS234">
            <v>11994</v>
          </cell>
          <cell r="AU234">
            <v>26109</v>
          </cell>
          <cell r="AV234" t="str">
            <v/>
          </cell>
          <cell r="AW234">
            <v>23189</v>
          </cell>
          <cell r="AX234" t="str">
            <v/>
          </cell>
          <cell r="AY234" t="str">
            <v/>
          </cell>
          <cell r="AZ234">
            <v>17204</v>
          </cell>
          <cell r="BA234" t="str">
            <v/>
          </cell>
          <cell r="BB234">
            <v>242.05076290400001</v>
          </cell>
          <cell r="BC234">
            <v>82.104479863999998</v>
          </cell>
          <cell r="BD234">
            <v>581.24871830900008</v>
          </cell>
          <cell r="BE234">
            <v>8.9999997999999998E-2</v>
          </cell>
          <cell r="BF234">
            <v>1785.4375314900001</v>
          </cell>
          <cell r="BG234" t="str">
            <v/>
          </cell>
          <cell r="BH234">
            <v>3253</v>
          </cell>
          <cell r="BI234">
            <v>0</v>
          </cell>
          <cell r="BJ234">
            <v>0</v>
          </cell>
        </row>
        <row r="235">
          <cell r="A235" t="str">
            <v>5K7</v>
          </cell>
          <cell r="B235" t="str">
            <v>Q05</v>
          </cell>
          <cell r="C235" t="str">
            <v/>
          </cell>
          <cell r="D235" t="str">
            <v/>
          </cell>
          <cell r="E235" t="str">
            <v/>
          </cell>
          <cell r="F235">
            <v>1</v>
          </cell>
          <cell r="G235">
            <v>1</v>
          </cell>
          <cell r="H235">
            <v>0</v>
          </cell>
          <cell r="J235">
            <v>0</v>
          </cell>
          <cell r="K235">
            <v>40.786100134000002</v>
          </cell>
          <cell r="L235">
            <v>269.27960099899997</v>
          </cell>
          <cell r="M235" t="str">
            <v/>
          </cell>
          <cell r="N235">
            <v>1</v>
          </cell>
          <cell r="Q235" t="str">
            <v/>
          </cell>
          <cell r="R235" t="str">
            <v/>
          </cell>
          <cell r="S235">
            <v>73</v>
          </cell>
          <cell r="X235">
            <v>1</v>
          </cell>
          <cell r="Y235">
            <v>1</v>
          </cell>
          <cell r="Z235">
            <v>1</v>
          </cell>
          <cell r="AA235">
            <v>0</v>
          </cell>
          <cell r="AB235" t="str">
            <v/>
          </cell>
          <cell r="AD235">
            <v>118</v>
          </cell>
          <cell r="AE235">
            <v>1228</v>
          </cell>
          <cell r="AF235">
            <v>0.51483805324741394</v>
          </cell>
          <cell r="AG235">
            <v>0</v>
          </cell>
          <cell r="AH235" t="str">
            <v/>
          </cell>
          <cell r="AI235">
            <v>5</v>
          </cell>
          <cell r="AJ235">
            <v>250</v>
          </cell>
          <cell r="AK235">
            <v>835.80746244903116</v>
          </cell>
          <cell r="AL235">
            <v>6.5989847715736044E-2</v>
          </cell>
          <cell r="AM235">
            <v>0.27059045755496036</v>
          </cell>
          <cell r="AN235">
            <v>0.55833333333333335</v>
          </cell>
          <cell r="AO235">
            <v>175</v>
          </cell>
          <cell r="AQ235">
            <v>49086</v>
          </cell>
          <cell r="AR235" t="str">
            <v/>
          </cell>
          <cell r="AS235">
            <v>20063</v>
          </cell>
          <cell r="AU235">
            <v>39135</v>
          </cell>
          <cell r="AV235" t="str">
            <v/>
          </cell>
          <cell r="AW235">
            <v>15641</v>
          </cell>
          <cell r="AX235" t="str">
            <v/>
          </cell>
          <cell r="AY235" t="str">
            <v/>
          </cell>
          <cell r="AZ235">
            <v>17433</v>
          </cell>
          <cell r="BA235" t="str">
            <v/>
          </cell>
          <cell r="BB235">
            <v>105.84169106499999</v>
          </cell>
          <cell r="BC235" t="str">
            <v/>
          </cell>
          <cell r="BD235">
            <v>174.20621816700003</v>
          </cell>
          <cell r="BE235" t="str">
            <v/>
          </cell>
          <cell r="BF235">
            <v>241.91947877199996</v>
          </cell>
          <cell r="BG235" t="str">
            <v/>
          </cell>
          <cell r="BH235">
            <v>102</v>
          </cell>
          <cell r="BI235">
            <v>0</v>
          </cell>
          <cell r="BJ235">
            <v>0</v>
          </cell>
        </row>
        <row r="236">
          <cell r="A236" t="str">
            <v>5K8</v>
          </cell>
          <cell r="B236" t="str">
            <v>Q05</v>
          </cell>
          <cell r="C236" t="str">
            <v/>
          </cell>
          <cell r="D236" t="str">
            <v/>
          </cell>
          <cell r="E236" t="str">
            <v/>
          </cell>
          <cell r="F236">
            <v>1</v>
          </cell>
          <cell r="G236">
            <v>1</v>
          </cell>
          <cell r="H236">
            <v>0</v>
          </cell>
          <cell r="J236">
            <v>1</v>
          </cell>
          <cell r="K236">
            <v>92.116100034000013</v>
          </cell>
          <cell r="L236">
            <v>301.06310033499994</v>
          </cell>
          <cell r="M236" t="str">
            <v/>
          </cell>
          <cell r="N236">
            <v>0</v>
          </cell>
          <cell r="Q236" t="str">
            <v/>
          </cell>
          <cell r="R236" t="str">
            <v/>
          </cell>
          <cell r="S236">
            <v>30</v>
          </cell>
          <cell r="X236">
            <v>1</v>
          </cell>
          <cell r="Y236">
            <v>1</v>
          </cell>
          <cell r="Z236">
            <v>1</v>
          </cell>
          <cell r="AA236">
            <v>0</v>
          </cell>
          <cell r="AB236" t="str">
            <v/>
          </cell>
          <cell r="AD236">
            <v>109</v>
          </cell>
          <cell r="AE236">
            <v>1487</v>
          </cell>
          <cell r="AF236">
            <v>0.94586937071279453</v>
          </cell>
          <cell r="AG236">
            <v>0</v>
          </cell>
          <cell r="AH236" t="str">
            <v/>
          </cell>
          <cell r="AI236">
            <v>4</v>
          </cell>
          <cell r="AJ236">
            <v>163</v>
          </cell>
          <cell r="AK236">
            <v>1300.4258743838236</v>
          </cell>
          <cell r="AL236">
            <v>0.1259124087591241</v>
          </cell>
          <cell r="AM236">
            <v>0.29065245106213589</v>
          </cell>
          <cell r="AN236">
            <v>0.64</v>
          </cell>
          <cell r="AO236">
            <v>70</v>
          </cell>
          <cell r="AQ236">
            <v>46206</v>
          </cell>
          <cell r="AR236" t="str">
            <v/>
          </cell>
          <cell r="AS236">
            <v>26147</v>
          </cell>
          <cell r="AU236">
            <v>36915</v>
          </cell>
          <cell r="AV236" t="str">
            <v/>
          </cell>
          <cell r="AW236">
            <v>15482</v>
          </cell>
          <cell r="AX236" t="str">
            <v/>
          </cell>
          <cell r="AY236" t="str">
            <v/>
          </cell>
          <cell r="AZ236">
            <v>14483</v>
          </cell>
          <cell r="BA236" t="str">
            <v/>
          </cell>
          <cell r="BB236">
            <v>203.768616307</v>
          </cell>
          <cell r="BC236" t="str">
            <v/>
          </cell>
          <cell r="BD236">
            <v>289.14199239499999</v>
          </cell>
          <cell r="BE236" t="str">
            <v/>
          </cell>
          <cell r="BF236">
            <v>783.16309331000002</v>
          </cell>
          <cell r="BG236">
            <v>0.15300000799999999</v>
          </cell>
          <cell r="BH236">
            <v>0</v>
          </cell>
          <cell r="BI236">
            <v>69</v>
          </cell>
          <cell r="BJ236">
            <v>0</v>
          </cell>
        </row>
        <row r="237">
          <cell r="A237" t="str">
            <v>5K9</v>
          </cell>
          <cell r="B237" t="str">
            <v>Q08</v>
          </cell>
          <cell r="C237" t="str">
            <v/>
          </cell>
          <cell r="D237" t="str">
            <v/>
          </cell>
          <cell r="E237" t="str">
            <v/>
          </cell>
          <cell r="F237">
            <v>1</v>
          </cell>
          <cell r="G237">
            <v>1</v>
          </cell>
          <cell r="H237">
            <v>0</v>
          </cell>
          <cell r="J237">
            <v>58</v>
          </cell>
          <cell r="K237">
            <v>263.57067367500002</v>
          </cell>
          <cell r="L237">
            <v>3009.2696907150012</v>
          </cell>
          <cell r="M237">
            <v>0</v>
          </cell>
          <cell r="N237">
            <v>0</v>
          </cell>
          <cell r="Q237" t="str">
            <v/>
          </cell>
          <cell r="R237" t="str">
            <v/>
          </cell>
          <cell r="S237">
            <v>785</v>
          </cell>
          <cell r="X237">
            <v>1</v>
          </cell>
          <cell r="Y237">
            <v>1</v>
          </cell>
          <cell r="Z237">
            <v>0.93548387096774188</v>
          </cell>
          <cell r="AA237">
            <v>0</v>
          </cell>
          <cell r="AB237" t="str">
            <v/>
          </cell>
          <cell r="AD237">
            <v>82</v>
          </cell>
          <cell r="AE237">
            <v>673</v>
          </cell>
          <cell r="AF237">
            <v>0.81401930193745009</v>
          </cell>
          <cell r="AG237">
            <v>0</v>
          </cell>
          <cell r="AH237" t="str">
            <v/>
          </cell>
          <cell r="AI237">
            <v>1</v>
          </cell>
          <cell r="AJ237">
            <v>272</v>
          </cell>
          <cell r="AK237">
            <v>531.89709965543773</v>
          </cell>
          <cell r="AL237" t="str">
            <v/>
          </cell>
          <cell r="AM237">
            <v>0.22012679917751884</v>
          </cell>
          <cell r="AN237">
            <v>0.6428571428571429</v>
          </cell>
          <cell r="AO237">
            <v>102</v>
          </cell>
          <cell r="AQ237">
            <v>55335</v>
          </cell>
          <cell r="AR237" t="str">
            <v/>
          </cell>
          <cell r="AS237">
            <v>25315</v>
          </cell>
          <cell r="AU237">
            <v>46487</v>
          </cell>
          <cell r="AV237" t="str">
            <v/>
          </cell>
          <cell r="AW237">
            <v>33105</v>
          </cell>
          <cell r="AX237" t="str">
            <v/>
          </cell>
          <cell r="AY237" t="str">
            <v/>
          </cell>
          <cell r="AZ237">
            <v>27945</v>
          </cell>
          <cell r="BA237" t="str">
            <v/>
          </cell>
          <cell r="BB237">
            <v>608.00361191800005</v>
          </cell>
          <cell r="BC237" t="str">
            <v/>
          </cell>
          <cell r="BD237">
            <v>1304.6460319210003</v>
          </cell>
          <cell r="BE237" t="str">
            <v/>
          </cell>
          <cell r="BF237">
            <v>2168.0059222509999</v>
          </cell>
          <cell r="BG237" t="str">
            <v/>
          </cell>
          <cell r="BH237">
            <v>428</v>
          </cell>
          <cell r="BI237">
            <v>0</v>
          </cell>
          <cell r="BJ237">
            <v>0</v>
          </cell>
        </row>
        <row r="238">
          <cell r="A238" t="str">
            <v>5KA</v>
          </cell>
          <cell r="B238" t="str">
            <v>Q10</v>
          </cell>
          <cell r="C238" t="str">
            <v/>
          </cell>
          <cell r="D238" t="str">
            <v/>
          </cell>
          <cell r="E238" t="str">
            <v/>
          </cell>
          <cell r="F238">
            <v>1</v>
          </cell>
          <cell r="G238">
            <v>1</v>
          </cell>
          <cell r="H238">
            <v>0</v>
          </cell>
          <cell r="J238">
            <v>0</v>
          </cell>
          <cell r="K238">
            <v>9</v>
          </cell>
          <cell r="L238">
            <v>37</v>
          </cell>
          <cell r="M238" t="str">
            <v/>
          </cell>
          <cell r="N238">
            <v>0</v>
          </cell>
          <cell r="Q238" t="str">
            <v/>
          </cell>
          <cell r="R238" t="str">
            <v/>
          </cell>
          <cell r="S238">
            <v>181</v>
          </cell>
          <cell r="X238">
            <v>1</v>
          </cell>
          <cell r="Y238">
            <v>1</v>
          </cell>
          <cell r="Z238">
            <v>1</v>
          </cell>
          <cell r="AA238">
            <v>0</v>
          </cell>
          <cell r="AB238" t="str">
            <v/>
          </cell>
          <cell r="AD238">
            <v>26</v>
          </cell>
          <cell r="AE238">
            <v>304</v>
          </cell>
          <cell r="AF238">
            <v>1</v>
          </cell>
          <cell r="AG238">
            <v>0</v>
          </cell>
          <cell r="AH238" t="str">
            <v/>
          </cell>
          <cell r="AI238">
            <v>2</v>
          </cell>
          <cell r="AJ238">
            <v>40</v>
          </cell>
          <cell r="AK238">
            <v>868.19934313865485</v>
          </cell>
          <cell r="AL238">
            <v>0.25688073394495414</v>
          </cell>
          <cell r="AM238">
            <v>3.1386028427740291E-2</v>
          </cell>
          <cell r="AN238">
            <v>0.46153846153846156</v>
          </cell>
          <cell r="AO238">
            <v>-916</v>
          </cell>
          <cell r="AQ238">
            <v>16934</v>
          </cell>
          <cell r="AR238" t="str">
            <v/>
          </cell>
          <cell r="AS238">
            <v>8938</v>
          </cell>
          <cell r="AU238">
            <v>14212</v>
          </cell>
          <cell r="AV238" t="str">
            <v/>
          </cell>
          <cell r="AW238">
            <v>9703</v>
          </cell>
          <cell r="AX238" t="str">
            <v/>
          </cell>
          <cell r="AY238" t="str">
            <v/>
          </cell>
          <cell r="AZ238">
            <v>9734</v>
          </cell>
          <cell r="BA238" t="str">
            <v/>
          </cell>
          <cell r="BB238">
            <v>169.19880002600001</v>
          </cell>
          <cell r="BC238">
            <v>32</v>
          </cell>
          <cell r="BD238">
            <v>312.34680003099999</v>
          </cell>
          <cell r="BE238" t="str">
            <v/>
          </cell>
          <cell r="BF238">
            <v>604.44840006999993</v>
          </cell>
          <cell r="BG238" t="str">
            <v/>
          </cell>
          <cell r="BH238">
            <v>17</v>
          </cell>
          <cell r="BI238">
            <v>16</v>
          </cell>
          <cell r="BJ238">
            <v>1</v>
          </cell>
        </row>
        <row r="239">
          <cell r="A239" t="str">
            <v>5KC</v>
          </cell>
          <cell r="B239" t="str">
            <v>Q10</v>
          </cell>
          <cell r="C239" t="str">
            <v/>
          </cell>
          <cell r="D239" t="str">
            <v/>
          </cell>
          <cell r="E239" t="str">
            <v/>
          </cell>
          <cell r="F239">
            <v>1</v>
          </cell>
          <cell r="G239">
            <v>1</v>
          </cell>
          <cell r="H239">
            <v>0</v>
          </cell>
          <cell r="J239">
            <v>0</v>
          </cell>
          <cell r="K239">
            <v>11</v>
          </cell>
          <cell r="L239">
            <v>78</v>
          </cell>
          <cell r="M239" t="str">
            <v/>
          </cell>
          <cell r="N239">
            <v>0</v>
          </cell>
          <cell r="Q239" t="str">
            <v/>
          </cell>
          <cell r="R239" t="str">
            <v/>
          </cell>
          <cell r="S239">
            <v>289</v>
          </cell>
          <cell r="X239">
            <v>1</v>
          </cell>
          <cell r="Y239">
            <v>1</v>
          </cell>
          <cell r="Z239">
            <v>0.875</v>
          </cell>
          <cell r="AA239">
            <v>0</v>
          </cell>
          <cell r="AB239" t="str">
            <v/>
          </cell>
          <cell r="AD239">
            <v>28</v>
          </cell>
          <cell r="AE239">
            <v>508</v>
          </cell>
          <cell r="AF239">
            <v>0.85811192764273603</v>
          </cell>
          <cell r="AG239">
            <v>0</v>
          </cell>
          <cell r="AH239" t="str">
            <v/>
          </cell>
          <cell r="AI239">
            <v>4</v>
          </cell>
          <cell r="AJ239">
            <v>51</v>
          </cell>
          <cell r="AK239">
            <v>871.77563862149441</v>
          </cell>
          <cell r="AL239">
            <v>0.20597014925373133</v>
          </cell>
          <cell r="AM239">
            <v>0.29619492208490061</v>
          </cell>
          <cell r="AN239">
            <v>0.54285714285714282</v>
          </cell>
          <cell r="AO239">
            <v>-2914</v>
          </cell>
          <cell r="AQ239">
            <v>28359</v>
          </cell>
          <cell r="AR239" t="str">
            <v/>
          </cell>
          <cell r="AS239">
            <v>14668</v>
          </cell>
          <cell r="AU239">
            <v>24020</v>
          </cell>
          <cell r="AV239" t="str">
            <v/>
          </cell>
          <cell r="AW239">
            <v>16508</v>
          </cell>
          <cell r="AX239" t="str">
            <v/>
          </cell>
          <cell r="AY239" t="str">
            <v/>
          </cell>
          <cell r="AZ239">
            <v>16265</v>
          </cell>
          <cell r="BA239" t="str">
            <v/>
          </cell>
          <cell r="BB239">
            <v>329.23620046999997</v>
          </cell>
          <cell r="BC239">
            <v>34</v>
          </cell>
          <cell r="BD239">
            <v>613.93820056999994</v>
          </cell>
          <cell r="BE239" t="str">
            <v/>
          </cell>
          <cell r="BF239">
            <v>1131.00660131</v>
          </cell>
          <cell r="BG239" t="str">
            <v/>
          </cell>
          <cell r="BH239">
            <v>3</v>
          </cell>
          <cell r="BI239">
            <v>1</v>
          </cell>
          <cell r="BJ239">
            <v>1</v>
          </cell>
        </row>
        <row r="240">
          <cell r="A240" t="str">
            <v>5KD</v>
          </cell>
          <cell r="B240" t="str">
            <v>Q10</v>
          </cell>
          <cell r="C240" t="str">
            <v/>
          </cell>
          <cell r="D240" t="str">
            <v/>
          </cell>
          <cell r="E240" t="str">
            <v/>
          </cell>
          <cell r="F240">
            <v>1</v>
          </cell>
          <cell r="G240">
            <v>1</v>
          </cell>
          <cell r="H240">
            <v>0</v>
          </cell>
          <cell r="J240">
            <v>0</v>
          </cell>
          <cell r="K240">
            <v>83</v>
          </cell>
          <cell r="L240">
            <v>266</v>
          </cell>
          <cell r="M240" t="str">
            <v/>
          </cell>
          <cell r="N240">
            <v>0</v>
          </cell>
          <cell r="Q240" t="str">
            <v/>
          </cell>
          <cell r="R240" t="str">
            <v/>
          </cell>
          <cell r="S240">
            <v>179</v>
          </cell>
          <cell r="X240">
            <v>1</v>
          </cell>
          <cell r="Y240">
            <v>1</v>
          </cell>
          <cell r="Z240">
            <v>0.92307692307692313</v>
          </cell>
          <cell r="AA240">
            <v>0</v>
          </cell>
          <cell r="AB240" t="str">
            <v/>
          </cell>
          <cell r="AD240">
            <v>44</v>
          </cell>
          <cell r="AE240">
            <v>196</v>
          </cell>
          <cell r="AF240">
            <v>0.86844296419650291</v>
          </cell>
          <cell r="AG240">
            <v>0</v>
          </cell>
          <cell r="AH240" t="str">
            <v/>
          </cell>
          <cell r="AI240">
            <v>5</v>
          </cell>
          <cell r="AJ240">
            <v>293</v>
          </cell>
          <cell r="AK240">
            <v>1807.883822996497</v>
          </cell>
          <cell r="AL240">
            <v>0.30241935483870969</v>
          </cell>
          <cell r="AM240">
            <v>0.33148162949937388</v>
          </cell>
          <cell r="AN240">
            <v>0.47619047619047616</v>
          </cell>
          <cell r="AO240">
            <v>188</v>
          </cell>
          <cell r="AQ240">
            <v>16856</v>
          </cell>
          <cell r="AR240" t="str">
            <v/>
          </cell>
          <cell r="AS240">
            <v>9736</v>
          </cell>
          <cell r="AU240">
            <v>16608</v>
          </cell>
          <cell r="AV240" t="str">
            <v/>
          </cell>
          <cell r="AW240">
            <v>13239</v>
          </cell>
          <cell r="AX240" t="str">
            <v/>
          </cell>
          <cell r="AY240" t="str">
            <v/>
          </cell>
          <cell r="AZ240">
            <v>11688</v>
          </cell>
          <cell r="BA240" t="str">
            <v/>
          </cell>
          <cell r="BB240">
            <v>211.45820003199998</v>
          </cell>
          <cell r="BC240">
            <v>96</v>
          </cell>
          <cell r="BD240">
            <v>390.78020004000001</v>
          </cell>
          <cell r="BE240" t="str">
            <v/>
          </cell>
          <cell r="BF240">
            <v>642.05260008999994</v>
          </cell>
          <cell r="BG240" t="str">
            <v/>
          </cell>
          <cell r="BH240">
            <v>81</v>
          </cell>
          <cell r="BI240">
            <v>70</v>
          </cell>
          <cell r="BJ240">
            <v>10</v>
          </cell>
        </row>
        <row r="241">
          <cell r="A241" t="str">
            <v>5KE</v>
          </cell>
          <cell r="B241" t="str">
            <v>Q10</v>
          </cell>
          <cell r="C241" t="str">
            <v/>
          </cell>
          <cell r="D241" t="str">
            <v/>
          </cell>
          <cell r="E241" t="str">
            <v/>
          </cell>
          <cell r="F241">
            <v>1</v>
          </cell>
          <cell r="G241">
            <v>1</v>
          </cell>
          <cell r="H241">
            <v>0</v>
          </cell>
          <cell r="J241">
            <v>0</v>
          </cell>
          <cell r="K241">
            <v>27</v>
          </cell>
          <cell r="L241">
            <v>52</v>
          </cell>
          <cell r="M241" t="str">
            <v/>
          </cell>
          <cell r="N241">
            <v>0</v>
          </cell>
          <cell r="Q241" t="str">
            <v/>
          </cell>
          <cell r="R241" t="str">
            <v/>
          </cell>
          <cell r="S241">
            <v>276</v>
          </cell>
          <cell r="X241">
            <v>1</v>
          </cell>
          <cell r="Y241">
            <v>0.91666666666666663</v>
          </cell>
          <cell r="Z241">
            <v>0.92307692307692313</v>
          </cell>
          <cell r="AA241">
            <v>0</v>
          </cell>
          <cell r="AB241" t="str">
            <v/>
          </cell>
          <cell r="AD241">
            <v>22</v>
          </cell>
          <cell r="AE241">
            <v>672</v>
          </cell>
          <cell r="AF241">
            <v>1</v>
          </cell>
          <cell r="AG241">
            <v>0</v>
          </cell>
          <cell r="AH241" t="str">
            <v/>
          </cell>
          <cell r="AI241">
            <v>1</v>
          </cell>
          <cell r="AJ241">
            <v>82</v>
          </cell>
          <cell r="AK241">
            <v>1270.1997036200692</v>
          </cell>
          <cell r="AL241">
            <v>0.27241379310344827</v>
          </cell>
          <cell r="AM241">
            <v>0.27726749287124369</v>
          </cell>
          <cell r="AN241">
            <v>0.15384615384615385</v>
          </cell>
          <cell r="AO241">
            <v>-3723</v>
          </cell>
          <cell r="AQ241">
            <v>17650</v>
          </cell>
          <cell r="AR241" t="str">
            <v/>
          </cell>
          <cell r="AS241">
            <v>8541</v>
          </cell>
          <cell r="AU241">
            <v>14816</v>
          </cell>
          <cell r="AV241" t="str">
            <v/>
          </cell>
          <cell r="AW241">
            <v>9963</v>
          </cell>
          <cell r="AX241" t="str">
            <v/>
          </cell>
          <cell r="AY241" t="str">
            <v/>
          </cell>
          <cell r="AZ241">
            <v>9859</v>
          </cell>
          <cell r="BA241" t="str">
            <v/>
          </cell>
          <cell r="BB241">
            <v>251.63400003000001</v>
          </cell>
          <cell r="BC241">
            <v>138</v>
          </cell>
          <cell r="BD241">
            <v>536.77400003699995</v>
          </cell>
          <cell r="BE241" t="str">
            <v/>
          </cell>
          <cell r="BF241">
            <v>983.76200008399996</v>
          </cell>
          <cell r="BG241" t="str">
            <v/>
          </cell>
          <cell r="BH241">
            <v>60</v>
          </cell>
          <cell r="BI241">
            <v>40</v>
          </cell>
          <cell r="BJ241">
            <v>20</v>
          </cell>
        </row>
        <row r="242">
          <cell r="A242" t="str">
            <v>5KF</v>
          </cell>
          <cell r="B242" t="str">
            <v>Q09</v>
          </cell>
          <cell r="C242" t="str">
            <v/>
          </cell>
          <cell r="D242" t="str">
            <v/>
          </cell>
          <cell r="E242">
            <v>1</v>
          </cell>
          <cell r="F242">
            <v>1</v>
          </cell>
          <cell r="G242">
            <v>1</v>
          </cell>
          <cell r="H242">
            <v>0</v>
          </cell>
          <cell r="J242">
            <v>0</v>
          </cell>
          <cell r="K242">
            <v>27</v>
          </cell>
          <cell r="L242">
            <v>41</v>
          </cell>
          <cell r="M242" t="str">
            <v/>
          </cell>
          <cell r="N242">
            <v>0</v>
          </cell>
          <cell r="Q242" t="str">
            <v/>
          </cell>
          <cell r="R242" t="str">
            <v/>
          </cell>
          <cell r="S242">
            <v>112</v>
          </cell>
          <cell r="X242">
            <v>0.9971830985915493</v>
          </cell>
          <cell r="Y242">
            <v>1</v>
          </cell>
          <cell r="Z242">
            <v>0.88571428571428568</v>
          </cell>
          <cell r="AA242">
            <v>0</v>
          </cell>
          <cell r="AB242" t="str">
            <v/>
          </cell>
          <cell r="AD242">
            <v>47</v>
          </cell>
          <cell r="AE242">
            <v>746</v>
          </cell>
          <cell r="AF242">
            <v>0.80199487801590508</v>
          </cell>
          <cell r="AG242">
            <v>0</v>
          </cell>
          <cell r="AH242" t="str">
            <v/>
          </cell>
          <cell r="AI242">
            <v>4</v>
          </cell>
          <cell r="AJ242">
            <v>136</v>
          </cell>
          <cell r="AK242">
            <v>982.42549939962896</v>
          </cell>
          <cell r="AL242">
            <v>0.25</v>
          </cell>
          <cell r="AM242">
            <v>0.32661375155398298</v>
          </cell>
          <cell r="AN242">
            <v>0.47222222222222221</v>
          </cell>
          <cell r="AO242">
            <v>12</v>
          </cell>
          <cell r="AQ242">
            <v>46509</v>
          </cell>
          <cell r="AR242" t="str">
            <v/>
          </cell>
          <cell r="AS242">
            <v>25536</v>
          </cell>
          <cell r="AU242">
            <v>38436</v>
          </cell>
          <cell r="AV242" t="str">
            <v/>
          </cell>
          <cell r="AW242">
            <v>20794</v>
          </cell>
          <cell r="AX242" t="str">
            <v/>
          </cell>
          <cell r="AY242" t="str">
            <v/>
          </cell>
          <cell r="AZ242">
            <v>24951</v>
          </cell>
          <cell r="BA242" t="str">
            <v/>
          </cell>
          <cell r="BB242">
            <v>753.9980018</v>
          </cell>
          <cell r="BC242">
            <v>63</v>
          </cell>
          <cell r="BD242">
            <v>840.57800220000001</v>
          </cell>
          <cell r="BE242" t="str">
            <v/>
          </cell>
          <cell r="BF242">
            <v>1702.4140050000001</v>
          </cell>
          <cell r="BG242" t="str">
            <v/>
          </cell>
          <cell r="BH242">
            <v>57</v>
          </cell>
          <cell r="BI242">
            <v>57</v>
          </cell>
          <cell r="BJ242">
            <v>0</v>
          </cell>
        </row>
        <row r="243">
          <cell r="A243" t="str">
            <v>5KG</v>
          </cell>
          <cell r="B243" t="str">
            <v>Q09</v>
          </cell>
          <cell r="C243" t="str">
            <v/>
          </cell>
          <cell r="D243" t="str">
            <v/>
          </cell>
          <cell r="E243" t="str">
            <v/>
          </cell>
          <cell r="F243">
            <v>1</v>
          </cell>
          <cell r="G243">
            <v>1</v>
          </cell>
          <cell r="H243">
            <v>0</v>
          </cell>
          <cell r="J243">
            <v>0</v>
          </cell>
          <cell r="K243">
            <v>55</v>
          </cell>
          <cell r="L243">
            <v>85</v>
          </cell>
          <cell r="M243" t="str">
            <v/>
          </cell>
          <cell r="N243">
            <v>0</v>
          </cell>
          <cell r="Q243" t="str">
            <v/>
          </cell>
          <cell r="R243" t="str">
            <v/>
          </cell>
          <cell r="S243">
            <v>720</v>
          </cell>
          <cell r="X243">
            <v>1</v>
          </cell>
          <cell r="Y243">
            <v>0.98734177215189878</v>
          </cell>
          <cell r="Z243">
            <v>0.84090909090909094</v>
          </cell>
          <cell r="AA243">
            <v>0</v>
          </cell>
          <cell r="AB243" t="str">
            <v/>
          </cell>
          <cell r="AD243">
            <v>47</v>
          </cell>
          <cell r="AE243">
            <v>588</v>
          </cell>
          <cell r="AF243">
            <v>0.97040101845957993</v>
          </cell>
          <cell r="AG243">
            <v>0</v>
          </cell>
          <cell r="AH243" t="str">
            <v/>
          </cell>
          <cell r="AI243">
            <v>9</v>
          </cell>
          <cell r="AJ243">
            <v>235</v>
          </cell>
          <cell r="AK243">
            <v>1244.7558144271111</v>
          </cell>
          <cell r="AL243">
            <v>0.29289940828402367</v>
          </cell>
          <cell r="AM243">
            <v>0.32844834939861811</v>
          </cell>
          <cell r="AN243">
            <v>0.37931034482758619</v>
          </cell>
          <cell r="AO243">
            <v>6</v>
          </cell>
          <cell r="AQ243">
            <v>35504</v>
          </cell>
          <cell r="AR243" t="str">
            <v/>
          </cell>
          <cell r="AS243">
            <v>15678</v>
          </cell>
          <cell r="AU243">
            <v>29004</v>
          </cell>
          <cell r="AV243" t="str">
            <v/>
          </cell>
          <cell r="AW243">
            <v>25881</v>
          </cell>
          <cell r="AX243" t="str">
            <v/>
          </cell>
          <cell r="AY243" t="str">
            <v/>
          </cell>
          <cell r="AZ243">
            <v>16382</v>
          </cell>
          <cell r="BA243" t="str">
            <v/>
          </cell>
          <cell r="BB243">
            <v>443.26779943999998</v>
          </cell>
          <cell r="BC243">
            <v>17</v>
          </cell>
          <cell r="BD243">
            <v>648.40579932000003</v>
          </cell>
          <cell r="BE243" t="str">
            <v/>
          </cell>
          <cell r="BF243">
            <v>1269.66539846</v>
          </cell>
          <cell r="BG243" t="str">
            <v/>
          </cell>
          <cell r="BH243">
            <v>96</v>
          </cell>
          <cell r="BI243">
            <v>96</v>
          </cell>
          <cell r="BJ243">
            <v>0</v>
          </cell>
        </row>
        <row r="244">
          <cell r="A244" t="str">
            <v>5KH</v>
          </cell>
          <cell r="B244" t="str">
            <v>Q11</v>
          </cell>
          <cell r="C244" t="str">
            <v/>
          </cell>
          <cell r="D244" t="str">
            <v/>
          </cell>
          <cell r="E244">
            <v>1</v>
          </cell>
          <cell r="F244">
            <v>1</v>
          </cell>
          <cell r="G244">
            <v>1</v>
          </cell>
          <cell r="H244">
            <v>0</v>
          </cell>
          <cell r="J244">
            <v>0</v>
          </cell>
          <cell r="K244">
            <v>10</v>
          </cell>
          <cell r="L244">
            <v>19.511827903000004</v>
          </cell>
          <cell r="M244">
            <v>0</v>
          </cell>
          <cell r="N244">
            <v>0</v>
          </cell>
          <cell r="Q244" t="str">
            <v/>
          </cell>
          <cell r="R244">
            <v>1</v>
          </cell>
          <cell r="S244">
            <v>249</v>
          </cell>
          <cell r="X244">
            <v>1</v>
          </cell>
          <cell r="Y244">
            <v>0.95</v>
          </cell>
          <cell r="Z244">
            <v>0.94117647058823528</v>
          </cell>
          <cell r="AA244">
            <v>0</v>
          </cell>
          <cell r="AB244" t="str">
            <v/>
          </cell>
          <cell r="AD244">
            <v>18</v>
          </cell>
          <cell r="AE244">
            <v>105</v>
          </cell>
          <cell r="AF244">
            <v>0.90515222482435598</v>
          </cell>
          <cell r="AG244">
            <v>0</v>
          </cell>
          <cell r="AH244" t="str">
            <v/>
          </cell>
          <cell r="AI244">
            <v>0</v>
          </cell>
          <cell r="AJ244">
            <v>84</v>
          </cell>
          <cell r="AK244">
            <v>717.93316143384402</v>
          </cell>
          <cell r="AL244">
            <v>0.10884353741496598</v>
          </cell>
          <cell r="AM244">
            <v>0.19992177592357746</v>
          </cell>
          <cell r="AN244">
            <v>0.2</v>
          </cell>
          <cell r="AO244">
            <v>-4505</v>
          </cell>
          <cell r="AQ244">
            <v>19407</v>
          </cell>
          <cell r="AR244" t="str">
            <v/>
          </cell>
          <cell r="AS244">
            <v>9685</v>
          </cell>
          <cell r="AU244">
            <v>16654</v>
          </cell>
          <cell r="AV244" t="str">
            <v/>
          </cell>
          <cell r="AW244">
            <v>14013</v>
          </cell>
          <cell r="AX244" t="str">
            <v/>
          </cell>
          <cell r="AY244" t="str">
            <v/>
          </cell>
          <cell r="AZ244">
            <v>11264</v>
          </cell>
          <cell r="BA244" t="str">
            <v/>
          </cell>
          <cell r="BB244">
            <v>231.57810392599998</v>
          </cell>
          <cell r="BC244">
            <v>38</v>
          </cell>
          <cell r="BD244">
            <v>616.35287221200008</v>
          </cell>
          <cell r="BE244" t="str">
            <v/>
          </cell>
          <cell r="BF244">
            <v>1560.263607335</v>
          </cell>
          <cell r="BG244" t="str">
            <v/>
          </cell>
          <cell r="BH244">
            <v>5</v>
          </cell>
          <cell r="BI244">
            <v>0</v>
          </cell>
          <cell r="BJ244">
            <v>0</v>
          </cell>
        </row>
        <row r="245">
          <cell r="A245" t="str">
            <v>5KJ</v>
          </cell>
          <cell r="B245" t="str">
            <v>Q11</v>
          </cell>
          <cell r="C245" t="str">
            <v/>
          </cell>
          <cell r="D245" t="str">
            <v/>
          </cell>
          <cell r="E245">
            <v>0.9963503649635036</v>
          </cell>
          <cell r="F245">
            <v>1</v>
          </cell>
          <cell r="G245">
            <v>1</v>
          </cell>
          <cell r="H245">
            <v>0</v>
          </cell>
          <cell r="J245">
            <v>2</v>
          </cell>
          <cell r="K245">
            <v>19</v>
          </cell>
          <cell r="L245">
            <v>244.42914424100002</v>
          </cell>
          <cell r="M245" t="str">
            <v/>
          </cell>
          <cell r="N245">
            <v>1</v>
          </cell>
          <cell r="Q245" t="str">
            <v/>
          </cell>
          <cell r="R245">
            <v>1</v>
          </cell>
          <cell r="S245">
            <v>314</v>
          </cell>
          <cell r="X245">
            <v>1</v>
          </cell>
          <cell r="Y245">
            <v>0.97468354430379744</v>
          </cell>
          <cell r="Z245">
            <v>0.97222222222222221</v>
          </cell>
          <cell r="AA245">
            <v>0</v>
          </cell>
          <cell r="AB245" t="str">
            <v/>
          </cell>
          <cell r="AD245">
            <v>26</v>
          </cell>
          <cell r="AE245">
            <v>189</v>
          </cell>
          <cell r="AF245">
            <v>0.88352272727272729</v>
          </cell>
          <cell r="AG245">
            <v>0</v>
          </cell>
          <cell r="AH245" t="str">
            <v/>
          </cell>
          <cell r="AI245">
            <v>7</v>
          </cell>
          <cell r="AJ245">
            <v>244</v>
          </cell>
          <cell r="AK245">
            <v>691.28229326412645</v>
          </cell>
          <cell r="AL245">
            <v>0.11046511627906977</v>
          </cell>
          <cell r="AM245">
            <v>0.29345581208963967</v>
          </cell>
          <cell r="AN245">
            <v>0.21739130434782608</v>
          </cell>
          <cell r="AO245">
            <v>-2000</v>
          </cell>
          <cell r="AQ245">
            <v>37779</v>
          </cell>
          <cell r="AR245" t="str">
            <v/>
          </cell>
          <cell r="AS245">
            <v>10592</v>
          </cell>
          <cell r="AU245">
            <v>34341</v>
          </cell>
          <cell r="AV245" t="str">
            <v/>
          </cell>
          <cell r="AW245">
            <v>29127</v>
          </cell>
          <cell r="AX245" t="str">
            <v/>
          </cell>
          <cell r="AY245" t="str">
            <v/>
          </cell>
          <cell r="AZ245">
            <v>17304</v>
          </cell>
          <cell r="BA245" t="str">
            <v/>
          </cell>
          <cell r="BB245">
            <v>309.61013696999999</v>
          </cell>
          <cell r="BC245">
            <v>1</v>
          </cell>
          <cell r="BD245">
            <v>772.65254328999993</v>
          </cell>
          <cell r="BE245" t="str">
            <v/>
          </cell>
          <cell r="BF245">
            <v>1413.7656875600001</v>
          </cell>
          <cell r="BG245" t="str">
            <v/>
          </cell>
          <cell r="BH245">
            <v>611</v>
          </cell>
          <cell r="BI245">
            <v>620</v>
          </cell>
          <cell r="BJ245">
            <v>0</v>
          </cell>
        </row>
        <row r="246">
          <cell r="A246" t="str">
            <v>5KK</v>
          </cell>
          <cell r="B246" t="str">
            <v>Q11</v>
          </cell>
          <cell r="C246" t="str">
            <v/>
          </cell>
          <cell r="D246" t="str">
            <v/>
          </cell>
          <cell r="E246" t="str">
            <v/>
          </cell>
          <cell r="F246">
            <v>1</v>
          </cell>
          <cell r="G246">
            <v>1</v>
          </cell>
          <cell r="H246">
            <v>0</v>
          </cell>
          <cell r="J246">
            <v>3</v>
          </cell>
          <cell r="K246">
            <v>42</v>
          </cell>
          <cell r="L246">
            <v>446.34126471799993</v>
          </cell>
          <cell r="M246" t="str">
            <v/>
          </cell>
          <cell r="N246">
            <v>1</v>
          </cell>
          <cell r="Q246" t="str">
            <v/>
          </cell>
          <cell r="R246" t="str">
            <v/>
          </cell>
          <cell r="S246">
            <v>97</v>
          </cell>
          <cell r="X246">
            <v>1</v>
          </cell>
          <cell r="Y246">
            <v>1</v>
          </cell>
          <cell r="Z246">
            <v>0.91666666666666663</v>
          </cell>
          <cell r="AA246">
            <v>0</v>
          </cell>
          <cell r="AB246" t="str">
            <v/>
          </cell>
          <cell r="AD246">
            <v>24</v>
          </cell>
          <cell r="AE246">
            <v>169</v>
          </cell>
          <cell r="AF246">
            <v>0.6694027244149493</v>
          </cell>
          <cell r="AG246">
            <v>0</v>
          </cell>
          <cell r="AH246" t="str">
            <v/>
          </cell>
          <cell r="AI246">
            <v>0.3</v>
          </cell>
          <cell r="AJ246">
            <v>6</v>
          </cell>
          <cell r="AK246">
            <v>743.05018269842117</v>
          </cell>
          <cell r="AL246">
            <v>0.19164619164619165</v>
          </cell>
          <cell r="AM246">
            <v>0.28526326838760729</v>
          </cell>
          <cell r="AN246">
            <v>7.1428571428571425E-2</v>
          </cell>
          <cell r="AO246">
            <v>-5932</v>
          </cell>
          <cell r="AQ246">
            <v>32015</v>
          </cell>
          <cell r="AR246" t="str">
            <v/>
          </cell>
          <cell r="AS246">
            <v>12182</v>
          </cell>
          <cell r="AU246">
            <v>25425</v>
          </cell>
          <cell r="AV246" t="str">
            <v/>
          </cell>
          <cell r="AW246">
            <v>18228</v>
          </cell>
          <cell r="AX246" t="str">
            <v/>
          </cell>
          <cell r="AY246" t="str">
            <v/>
          </cell>
          <cell r="AZ246">
            <v>14358</v>
          </cell>
          <cell r="BA246" t="str">
            <v/>
          </cell>
          <cell r="BB246">
            <v>179.16499483599998</v>
          </cell>
          <cell r="BC246">
            <v>9</v>
          </cell>
          <cell r="BD246">
            <v>474.49631633199999</v>
          </cell>
          <cell r="BE246" t="str">
            <v/>
          </cell>
          <cell r="BF246">
            <v>1233.835799039</v>
          </cell>
          <cell r="BG246">
            <v>8</v>
          </cell>
          <cell r="BH246">
            <v>147</v>
          </cell>
          <cell r="BI246">
            <v>73</v>
          </cell>
          <cell r="BJ246">
            <v>0</v>
          </cell>
        </row>
        <row r="247">
          <cell r="A247" t="str">
            <v>5KL</v>
          </cell>
          <cell r="B247" t="str">
            <v>Q09</v>
          </cell>
          <cell r="C247" t="str">
            <v/>
          </cell>
          <cell r="D247" t="str">
            <v/>
          </cell>
          <cell r="E247">
            <v>0.99877700774561762</v>
          </cell>
          <cell r="F247">
            <v>1</v>
          </cell>
          <cell r="G247">
            <v>1</v>
          </cell>
          <cell r="H247">
            <v>0</v>
          </cell>
          <cell r="J247">
            <v>0</v>
          </cell>
          <cell r="K247">
            <v>300</v>
          </cell>
          <cell r="L247">
            <v>559</v>
          </cell>
          <cell r="M247" t="str">
            <v/>
          </cell>
          <cell r="N247">
            <v>0</v>
          </cell>
          <cell r="Q247">
            <v>1</v>
          </cell>
          <cell r="R247" t="str">
            <v/>
          </cell>
          <cell r="S247">
            <v>679</v>
          </cell>
          <cell r="X247">
            <v>1</v>
          </cell>
          <cell r="Y247">
            <v>1</v>
          </cell>
          <cell r="Z247">
            <v>0.97368421052631582</v>
          </cell>
          <cell r="AA247">
            <v>0</v>
          </cell>
          <cell r="AB247" t="str">
            <v/>
          </cell>
          <cell r="AD247">
            <v>81</v>
          </cell>
          <cell r="AE247">
            <v>972</v>
          </cell>
          <cell r="AF247">
            <v>0.97995011511895624</v>
          </cell>
          <cell r="AG247">
            <v>0</v>
          </cell>
          <cell r="AH247" t="str">
            <v/>
          </cell>
          <cell r="AI247">
            <v>12</v>
          </cell>
          <cell r="AJ247">
            <v>720</v>
          </cell>
          <cell r="AK247">
            <v>1180.6009856513585</v>
          </cell>
          <cell r="AL247" t="str">
            <v/>
          </cell>
          <cell r="AM247">
            <v>0.44450557007289232</v>
          </cell>
          <cell r="AN247">
            <v>0.57894736842105265</v>
          </cell>
          <cell r="AO247">
            <v>19</v>
          </cell>
          <cell r="AQ247">
            <v>49855</v>
          </cell>
          <cell r="AR247" t="str">
            <v/>
          </cell>
          <cell r="AS247">
            <v>37847</v>
          </cell>
          <cell r="AU247">
            <v>48241</v>
          </cell>
          <cell r="AV247" t="str">
            <v/>
          </cell>
          <cell r="AW247">
            <v>39654</v>
          </cell>
          <cell r="AX247" t="str">
            <v/>
          </cell>
          <cell r="AY247" t="str">
            <v/>
          </cell>
          <cell r="AZ247">
            <v>31853</v>
          </cell>
          <cell r="BA247" t="str">
            <v/>
          </cell>
          <cell r="BB247">
            <v>475.05439978999999</v>
          </cell>
          <cell r="BC247">
            <v>16</v>
          </cell>
          <cell r="BD247">
            <v>1276.67839974</v>
          </cell>
          <cell r="BE247" t="str">
            <v/>
          </cell>
          <cell r="BF247">
            <v>1605.5391993999999</v>
          </cell>
          <cell r="BG247" t="str">
            <v/>
          </cell>
          <cell r="BH247">
            <v>654</v>
          </cell>
          <cell r="BI247">
            <v>20</v>
          </cell>
          <cell r="BJ247">
            <v>0</v>
          </cell>
        </row>
        <row r="248">
          <cell r="A248" t="str">
            <v>5KM</v>
          </cell>
          <cell r="B248" t="str">
            <v>Q10</v>
          </cell>
          <cell r="C248" t="str">
            <v/>
          </cell>
          <cell r="D248" t="str">
            <v/>
          </cell>
          <cell r="E248" t="str">
            <v/>
          </cell>
          <cell r="F248">
            <v>1</v>
          </cell>
          <cell r="G248">
            <v>1</v>
          </cell>
          <cell r="H248">
            <v>0</v>
          </cell>
          <cell r="J248">
            <v>0</v>
          </cell>
          <cell r="K248">
            <v>24</v>
          </cell>
          <cell r="L248">
            <v>224</v>
          </cell>
          <cell r="M248" t="str">
            <v/>
          </cell>
          <cell r="N248">
            <v>0</v>
          </cell>
          <cell r="Q248" t="str">
            <v/>
          </cell>
          <cell r="R248" t="str">
            <v/>
          </cell>
          <cell r="S248">
            <v>1487</v>
          </cell>
          <cell r="X248">
            <v>1</v>
          </cell>
          <cell r="Y248">
            <v>0.97468354430379744</v>
          </cell>
          <cell r="Z248">
            <v>0.90322580645161288</v>
          </cell>
          <cell r="AA248">
            <v>0</v>
          </cell>
          <cell r="AB248" t="str">
            <v/>
          </cell>
          <cell r="AD248">
            <v>91</v>
          </cell>
          <cell r="AE248">
            <v>824</v>
          </cell>
          <cell r="AF248">
            <v>0.79996791786974653</v>
          </cell>
          <cell r="AG248">
            <v>0</v>
          </cell>
          <cell r="AH248" t="str">
            <v/>
          </cell>
          <cell r="AI248">
            <v>10</v>
          </cell>
          <cell r="AJ248">
            <v>103</v>
          </cell>
          <cell r="AK248">
            <v>1262.1944730213913</v>
          </cell>
          <cell r="AL248">
            <v>0.30071174377224197</v>
          </cell>
          <cell r="AM248">
            <v>0.23012599661839508</v>
          </cell>
          <cell r="AN248">
            <v>0.46153846153846156</v>
          </cell>
          <cell r="AO248">
            <v>50</v>
          </cell>
          <cell r="AQ248">
            <v>31376</v>
          </cell>
          <cell r="AR248" t="str">
            <v/>
          </cell>
          <cell r="AS248">
            <v>22702</v>
          </cell>
          <cell r="AU248">
            <v>27783</v>
          </cell>
          <cell r="AV248" t="str">
            <v/>
          </cell>
          <cell r="AW248">
            <v>23999</v>
          </cell>
          <cell r="AX248" t="str">
            <v/>
          </cell>
          <cell r="AY248" t="str">
            <v/>
          </cell>
          <cell r="AZ248">
            <v>26234</v>
          </cell>
          <cell r="BA248" t="str">
            <v/>
          </cell>
          <cell r="BB248">
            <v>383.06339999800002</v>
          </cell>
          <cell r="BC248">
            <v>56</v>
          </cell>
          <cell r="BD248">
            <v>879.07739999800003</v>
          </cell>
          <cell r="BE248" t="str">
            <v/>
          </cell>
          <cell r="BF248">
            <v>2066.1761999959999</v>
          </cell>
          <cell r="BG248">
            <v>1</v>
          </cell>
          <cell r="BH248">
            <v>1060</v>
          </cell>
          <cell r="BI248">
            <v>1048</v>
          </cell>
          <cell r="BJ248">
            <v>12</v>
          </cell>
        </row>
        <row r="249">
          <cell r="A249" t="str">
            <v>5KN</v>
          </cell>
          <cell r="B249" t="str">
            <v>Q10</v>
          </cell>
          <cell r="C249" t="str">
            <v/>
          </cell>
          <cell r="D249" t="str">
            <v/>
          </cell>
          <cell r="E249">
            <v>1</v>
          </cell>
          <cell r="F249">
            <v>1</v>
          </cell>
          <cell r="G249">
            <v>1</v>
          </cell>
          <cell r="H249">
            <v>0</v>
          </cell>
          <cell r="J249">
            <v>0</v>
          </cell>
          <cell r="K249">
            <v>8</v>
          </cell>
          <cell r="L249">
            <v>97</v>
          </cell>
          <cell r="M249" t="str">
            <v/>
          </cell>
          <cell r="N249">
            <v>0</v>
          </cell>
          <cell r="Q249" t="str">
            <v/>
          </cell>
          <cell r="R249" t="str">
            <v/>
          </cell>
          <cell r="S249">
            <v>456</v>
          </cell>
          <cell r="X249">
            <v>1</v>
          </cell>
          <cell r="Y249">
            <v>1</v>
          </cell>
          <cell r="Z249">
            <v>1</v>
          </cell>
          <cell r="AA249">
            <v>0</v>
          </cell>
          <cell r="AB249" t="str">
            <v/>
          </cell>
          <cell r="AD249">
            <v>32</v>
          </cell>
          <cell r="AE249">
            <v>198</v>
          </cell>
          <cell r="AF249">
            <v>0.83211267605633799</v>
          </cell>
          <cell r="AG249">
            <v>0</v>
          </cell>
          <cell r="AH249" t="str">
            <v/>
          </cell>
          <cell r="AI249">
            <v>3</v>
          </cell>
          <cell r="AJ249">
            <v>240</v>
          </cell>
          <cell r="AK249">
            <v>1190.5804079488751</v>
          </cell>
          <cell r="AL249">
            <v>0.26254826254826252</v>
          </cell>
          <cell r="AM249">
            <v>0.19510054261091606</v>
          </cell>
          <cell r="AN249">
            <v>0.375</v>
          </cell>
          <cell r="AO249">
            <v>553</v>
          </cell>
          <cell r="AQ249">
            <v>14458</v>
          </cell>
          <cell r="AR249" t="str">
            <v/>
          </cell>
          <cell r="AS249">
            <v>8948</v>
          </cell>
          <cell r="AU249">
            <v>13432</v>
          </cell>
          <cell r="AV249" t="str">
            <v/>
          </cell>
          <cell r="AW249">
            <v>12527</v>
          </cell>
          <cell r="AX249" t="str">
            <v/>
          </cell>
          <cell r="AY249" t="str">
            <v/>
          </cell>
          <cell r="AZ249">
            <v>10903</v>
          </cell>
          <cell r="BA249" t="str">
            <v/>
          </cell>
          <cell r="BB249">
            <v>190.06339999799999</v>
          </cell>
          <cell r="BC249">
            <v>19</v>
          </cell>
          <cell r="BD249">
            <v>416.07739999799998</v>
          </cell>
          <cell r="BE249" t="str">
            <v/>
          </cell>
          <cell r="BF249">
            <v>1062.1761999959999</v>
          </cell>
          <cell r="BG249" t="str">
            <v/>
          </cell>
          <cell r="BH249">
            <v>317</v>
          </cell>
          <cell r="BI249">
            <v>317</v>
          </cell>
          <cell r="BJ249">
            <v>150</v>
          </cell>
        </row>
        <row r="250">
          <cell r="A250" t="str">
            <v>5KP</v>
          </cell>
          <cell r="B250" t="str">
            <v>Q19</v>
          </cell>
          <cell r="C250" t="str">
            <v/>
          </cell>
          <cell r="D250" t="str">
            <v/>
          </cell>
          <cell r="E250" t="str">
            <v/>
          </cell>
          <cell r="F250">
            <v>1</v>
          </cell>
          <cell r="G250">
            <v>1</v>
          </cell>
          <cell r="H250">
            <v>0</v>
          </cell>
          <cell r="J250">
            <v>4</v>
          </cell>
          <cell r="K250">
            <v>34.333199992000004</v>
          </cell>
          <cell r="L250">
            <v>683.67769983799997</v>
          </cell>
          <cell r="M250" t="str">
            <v/>
          </cell>
          <cell r="N250">
            <v>4</v>
          </cell>
          <cell r="Q250" t="str">
            <v/>
          </cell>
          <cell r="R250" t="str">
            <v/>
          </cell>
          <cell r="S250" t="str">
            <v/>
          </cell>
          <cell r="X250">
            <v>1</v>
          </cell>
          <cell r="Y250">
            <v>1</v>
          </cell>
          <cell r="Z250">
            <v>0.92307692307692313</v>
          </cell>
          <cell r="AA250">
            <v>0</v>
          </cell>
          <cell r="AB250" t="str">
            <v/>
          </cell>
          <cell r="AD250">
            <v>42</v>
          </cell>
          <cell r="AE250">
            <v>346</v>
          </cell>
          <cell r="AF250">
            <v>0.30991834774255522</v>
          </cell>
          <cell r="AG250">
            <v>0</v>
          </cell>
          <cell r="AH250" t="str">
            <v/>
          </cell>
          <cell r="AI250">
            <v>2</v>
          </cell>
          <cell r="AJ250">
            <v>50</v>
          </cell>
          <cell r="AK250">
            <v>301.3186187853035</v>
          </cell>
          <cell r="AL250">
            <v>8.8169642857142863E-2</v>
          </cell>
          <cell r="AM250">
            <v>0.20005845459467489</v>
          </cell>
          <cell r="AN250">
            <v>0.57352941176470584</v>
          </cell>
          <cell r="AO250">
            <v>-5789</v>
          </cell>
          <cell r="AQ250">
            <v>42496</v>
          </cell>
          <cell r="AR250" t="str">
            <v/>
          </cell>
          <cell r="AS250">
            <v>20940</v>
          </cell>
          <cell r="AU250">
            <v>36555</v>
          </cell>
          <cell r="AV250" t="str">
            <v/>
          </cell>
          <cell r="AW250">
            <v>23261</v>
          </cell>
          <cell r="AX250" t="str">
            <v/>
          </cell>
          <cell r="AY250" t="str">
            <v/>
          </cell>
          <cell r="AZ250">
            <v>20601</v>
          </cell>
          <cell r="BA250" t="str">
            <v/>
          </cell>
          <cell r="BB250">
            <v>503.80851712200001</v>
          </cell>
          <cell r="BC250">
            <v>3.8999999E-2</v>
          </cell>
          <cell r="BD250">
            <v>1198.6995449010001</v>
          </cell>
          <cell r="BE250">
            <v>8.3699998129999997</v>
          </cell>
          <cell r="BF250">
            <v>2175.5272052739997</v>
          </cell>
          <cell r="BG250">
            <v>1.059999999</v>
          </cell>
          <cell r="BH250">
            <v>775</v>
          </cell>
          <cell r="BI250">
            <v>7</v>
          </cell>
          <cell r="BJ250">
            <v>7</v>
          </cell>
        </row>
        <row r="251">
          <cell r="A251" t="str">
            <v>5KQ</v>
          </cell>
          <cell r="B251" t="str">
            <v>Q19</v>
          </cell>
          <cell r="C251" t="str">
            <v/>
          </cell>
          <cell r="D251" t="str">
            <v/>
          </cell>
          <cell r="E251" t="str">
            <v/>
          </cell>
          <cell r="F251">
            <v>1</v>
          </cell>
          <cell r="G251">
            <v>1</v>
          </cell>
          <cell r="H251">
            <v>0</v>
          </cell>
          <cell r="J251">
            <v>4</v>
          </cell>
          <cell r="K251">
            <v>70.483793927999997</v>
          </cell>
          <cell r="L251">
            <v>1889.8571675839994</v>
          </cell>
          <cell r="M251" t="str">
            <v/>
          </cell>
          <cell r="N251">
            <v>0</v>
          </cell>
          <cell r="Q251" t="str">
            <v/>
          </cell>
          <cell r="R251" t="str">
            <v/>
          </cell>
          <cell r="S251" t="str">
            <v/>
          </cell>
          <cell r="X251">
            <v>1</v>
          </cell>
          <cell r="Y251">
            <v>1</v>
          </cell>
          <cell r="Z251">
            <v>0.92</v>
          </cell>
          <cell r="AA251">
            <v>0</v>
          </cell>
          <cell r="AB251" t="str">
            <v/>
          </cell>
          <cell r="AD251">
            <v>29</v>
          </cell>
          <cell r="AE251">
            <v>263</v>
          </cell>
          <cell r="AF251">
            <v>2.1886627270737581E-8</v>
          </cell>
          <cell r="AG251">
            <v>0</v>
          </cell>
          <cell r="AH251" t="str">
            <v/>
          </cell>
          <cell r="AI251">
            <v>2</v>
          </cell>
          <cell r="AJ251">
            <v>40</v>
          </cell>
          <cell r="AK251">
            <v>610.07207801385027</v>
          </cell>
          <cell r="AL251">
            <v>0.10933940774487472</v>
          </cell>
          <cell r="AM251">
            <v>0.45403271764272068</v>
          </cell>
          <cell r="AN251">
            <v>0.375</v>
          </cell>
          <cell r="AO251">
            <v>756</v>
          </cell>
          <cell r="AQ251">
            <v>25477</v>
          </cell>
          <cell r="AR251" t="str">
            <v/>
          </cell>
          <cell r="AS251">
            <v>13793</v>
          </cell>
          <cell r="AU251">
            <v>20122</v>
          </cell>
          <cell r="AV251" t="str">
            <v/>
          </cell>
          <cell r="AW251">
            <v>14317</v>
          </cell>
          <cell r="AX251" t="str">
            <v/>
          </cell>
          <cell r="AY251" t="str">
            <v/>
          </cell>
          <cell r="AZ251">
            <v>11822</v>
          </cell>
          <cell r="BA251" t="str">
            <v/>
          </cell>
          <cell r="BB251">
            <v>178.42242140300002</v>
          </cell>
          <cell r="BC251">
            <v>0.117000006</v>
          </cell>
          <cell r="BD251">
            <v>501.72058310200003</v>
          </cell>
          <cell r="BE251" t="str">
            <v/>
          </cell>
          <cell r="BF251">
            <v>735.74726978800004</v>
          </cell>
          <cell r="BG251">
            <v>16</v>
          </cell>
          <cell r="BH251">
            <v>766</v>
          </cell>
          <cell r="BI251">
            <v>0</v>
          </cell>
          <cell r="BJ251">
            <v>0</v>
          </cell>
        </row>
        <row r="252">
          <cell r="A252" t="str">
            <v>5KR</v>
          </cell>
          <cell r="B252" t="str">
            <v>Q21</v>
          </cell>
          <cell r="C252" t="str">
            <v/>
          </cell>
          <cell r="D252" t="str">
            <v/>
          </cell>
          <cell r="E252">
            <v>1</v>
          </cell>
          <cell r="F252">
            <v>1</v>
          </cell>
          <cell r="G252">
            <v>1</v>
          </cell>
          <cell r="H252">
            <v>0</v>
          </cell>
          <cell r="J252">
            <v>28</v>
          </cell>
          <cell r="K252">
            <v>152</v>
          </cell>
          <cell r="L252">
            <v>2108.8000000000002</v>
          </cell>
          <cell r="M252" t="str">
            <v/>
          </cell>
          <cell r="N252">
            <v>1</v>
          </cell>
          <cell r="Q252" t="str">
            <v/>
          </cell>
          <cell r="R252" t="str">
            <v/>
          </cell>
          <cell r="S252">
            <v>3</v>
          </cell>
          <cell r="X252">
            <v>1</v>
          </cell>
          <cell r="Y252">
            <v>1</v>
          </cell>
          <cell r="Z252">
            <v>0.92307692307692313</v>
          </cell>
          <cell r="AA252">
            <v>0</v>
          </cell>
          <cell r="AB252" t="str">
            <v/>
          </cell>
          <cell r="AD252">
            <v>32</v>
          </cell>
          <cell r="AE252">
            <v>276</v>
          </cell>
          <cell r="AF252">
            <v>0.88958770090845563</v>
          </cell>
          <cell r="AG252">
            <v>0</v>
          </cell>
          <cell r="AH252" t="str">
            <v/>
          </cell>
          <cell r="AI252">
            <v>10</v>
          </cell>
          <cell r="AJ252">
            <v>247</v>
          </cell>
          <cell r="AK252">
            <v>767.8160232064356</v>
          </cell>
          <cell r="AL252">
            <v>0.19373219373219372</v>
          </cell>
          <cell r="AM252">
            <v>0.30525716274581149</v>
          </cell>
          <cell r="AN252">
            <v>0.21052631578947367</v>
          </cell>
          <cell r="AO252">
            <v>-2876</v>
          </cell>
          <cell r="AQ252">
            <v>30381</v>
          </cell>
          <cell r="AR252" t="str">
            <v/>
          </cell>
          <cell r="AS252">
            <v>8763</v>
          </cell>
          <cell r="AU252">
            <v>26339</v>
          </cell>
          <cell r="AV252" t="str">
            <v/>
          </cell>
          <cell r="AW252">
            <v>19804</v>
          </cell>
          <cell r="AX252" t="str">
            <v/>
          </cell>
          <cell r="AY252" t="str">
            <v/>
          </cell>
          <cell r="AZ252">
            <v>15462</v>
          </cell>
          <cell r="BA252" t="str">
            <v/>
          </cell>
          <cell r="BB252">
            <v>237.9</v>
          </cell>
          <cell r="BC252" t="str">
            <v/>
          </cell>
          <cell r="BD252">
            <v>556.9</v>
          </cell>
          <cell r="BE252" t="str">
            <v/>
          </cell>
          <cell r="BF252">
            <v>817.5</v>
          </cell>
          <cell r="BG252" t="str">
            <v/>
          </cell>
          <cell r="BH252">
            <v>695</v>
          </cell>
          <cell r="BI252">
            <v>2</v>
          </cell>
          <cell r="BJ252">
            <v>0</v>
          </cell>
        </row>
        <row r="253">
          <cell r="A253" t="str">
            <v>5KT</v>
          </cell>
          <cell r="B253" t="str">
            <v>Q21</v>
          </cell>
          <cell r="C253" t="str">
            <v/>
          </cell>
          <cell r="D253" t="str">
            <v/>
          </cell>
          <cell r="E253">
            <v>1</v>
          </cell>
          <cell r="F253">
            <v>1</v>
          </cell>
          <cell r="G253">
            <v>1</v>
          </cell>
          <cell r="H253">
            <v>0</v>
          </cell>
          <cell r="J253">
            <v>29</v>
          </cell>
          <cell r="K253">
            <v>294</v>
          </cell>
          <cell r="L253">
            <v>2339.6</v>
          </cell>
          <cell r="M253" t="str">
            <v/>
          </cell>
          <cell r="N253">
            <v>0</v>
          </cell>
          <cell r="Q253" t="str">
            <v/>
          </cell>
          <cell r="R253" t="str">
            <v/>
          </cell>
          <cell r="S253">
            <v>2</v>
          </cell>
          <cell r="X253">
            <v>1</v>
          </cell>
          <cell r="Y253">
            <v>1</v>
          </cell>
          <cell r="Z253">
            <v>0.92452830188679247</v>
          </cell>
          <cell r="AA253">
            <v>0</v>
          </cell>
          <cell r="AB253" t="str">
            <v/>
          </cell>
          <cell r="AD253">
            <v>38</v>
          </cell>
          <cell r="AE253">
            <v>250</v>
          </cell>
          <cell r="AF253">
            <v>1</v>
          </cell>
          <cell r="AG253">
            <v>0</v>
          </cell>
          <cell r="AH253" t="str">
            <v/>
          </cell>
          <cell r="AI253">
            <v>12</v>
          </cell>
          <cell r="AJ253">
            <v>208</v>
          </cell>
          <cell r="AK253">
            <v>817.88337096988448</v>
          </cell>
          <cell r="AL253">
            <v>0.19262295081967212</v>
          </cell>
          <cell r="AM253">
            <v>0.31553111991574301</v>
          </cell>
          <cell r="AN253">
            <v>0.64516129032258063</v>
          </cell>
          <cell r="AO253">
            <v>18</v>
          </cell>
          <cell r="AQ253">
            <v>38319</v>
          </cell>
          <cell r="AR253" t="str">
            <v/>
          </cell>
          <cell r="AS253">
            <v>17733</v>
          </cell>
          <cell r="AU253">
            <v>32030</v>
          </cell>
          <cell r="AV253" t="str">
            <v/>
          </cell>
          <cell r="AW253">
            <v>30149</v>
          </cell>
          <cell r="AX253" t="str">
            <v/>
          </cell>
          <cell r="AY253" t="str">
            <v/>
          </cell>
          <cell r="AZ253">
            <v>22767</v>
          </cell>
          <cell r="BA253" t="str">
            <v/>
          </cell>
          <cell r="BB253">
            <v>331.05</v>
          </cell>
          <cell r="BC253" t="str">
            <v/>
          </cell>
          <cell r="BD253">
            <v>770.55</v>
          </cell>
          <cell r="BE253" t="str">
            <v/>
          </cell>
          <cell r="BF253">
            <v>882.75</v>
          </cell>
          <cell r="BG253" t="str">
            <v/>
          </cell>
          <cell r="BH253">
            <v>1560</v>
          </cell>
          <cell r="BI253">
            <v>0</v>
          </cell>
          <cell r="BJ253">
            <v>0</v>
          </cell>
        </row>
        <row r="254">
          <cell r="A254" t="str">
            <v>5KV</v>
          </cell>
          <cell r="B254" t="str">
            <v>Q22</v>
          </cell>
          <cell r="C254" t="str">
            <v/>
          </cell>
          <cell r="D254" t="str">
            <v/>
          </cell>
          <cell r="E254" t="str">
            <v/>
          </cell>
          <cell r="F254">
            <v>1</v>
          </cell>
          <cell r="G254">
            <v>1</v>
          </cell>
          <cell r="H254">
            <v>0</v>
          </cell>
          <cell r="J254">
            <v>10</v>
          </cell>
          <cell r="K254">
            <v>23.036700001</v>
          </cell>
          <cell r="L254">
            <v>68.69089999400002</v>
          </cell>
          <cell r="M254" t="str">
            <v/>
          </cell>
          <cell r="N254">
            <v>2</v>
          </cell>
          <cell r="Q254" t="str">
            <v/>
          </cell>
          <cell r="R254" t="str">
            <v/>
          </cell>
          <cell r="S254">
            <v>615</v>
          </cell>
          <cell r="X254">
            <v>1</v>
          </cell>
          <cell r="Y254">
            <v>0.98360655737704916</v>
          </cell>
          <cell r="Z254">
            <v>0.96296296296296291</v>
          </cell>
          <cell r="AA254">
            <v>0</v>
          </cell>
          <cell r="AB254" t="str">
            <v/>
          </cell>
          <cell r="AD254">
            <v>38</v>
          </cell>
          <cell r="AE254">
            <v>164</v>
          </cell>
          <cell r="AF254">
            <v>0.95696899449434947</v>
          </cell>
          <cell r="AG254">
            <v>0</v>
          </cell>
          <cell r="AH254" t="str">
            <v/>
          </cell>
          <cell r="AI254">
            <v>0</v>
          </cell>
          <cell r="AJ254">
            <v>26</v>
          </cell>
          <cell r="AK254">
            <v>704.08601857095096</v>
          </cell>
          <cell r="AL254" t="str">
            <v/>
          </cell>
          <cell r="AM254" t="str">
            <v/>
          </cell>
          <cell r="AN254">
            <v>0.76712328767123283</v>
          </cell>
          <cell r="AO254">
            <v>1311</v>
          </cell>
          <cell r="AQ254">
            <v>38262</v>
          </cell>
          <cell r="AR254" t="str">
            <v/>
          </cell>
          <cell r="AS254">
            <v>17263</v>
          </cell>
          <cell r="AU254">
            <v>31619</v>
          </cell>
          <cell r="AV254" t="str">
            <v/>
          </cell>
          <cell r="AW254">
            <v>24981</v>
          </cell>
          <cell r="AX254" t="str">
            <v/>
          </cell>
          <cell r="AY254" t="str">
            <v/>
          </cell>
          <cell r="AZ254">
            <v>19971</v>
          </cell>
          <cell r="BA254" t="str">
            <v/>
          </cell>
          <cell r="BB254">
            <v>461.781800003</v>
          </cell>
          <cell r="BC254">
            <v>131</v>
          </cell>
          <cell r="BD254">
            <v>472.25789999599999</v>
          </cell>
          <cell r="BE254" t="str">
            <v/>
          </cell>
          <cell r="BF254">
            <v>1087.8374999920002</v>
          </cell>
          <cell r="BG254">
            <v>31</v>
          </cell>
          <cell r="BH254">
            <v>452</v>
          </cell>
          <cell r="BI254">
            <v>332</v>
          </cell>
          <cell r="BJ254">
            <v>87</v>
          </cell>
        </row>
        <row r="255">
          <cell r="A255" t="str">
            <v>5KW</v>
          </cell>
          <cell r="B255" t="str">
            <v>Q20</v>
          </cell>
          <cell r="C255" t="str">
            <v/>
          </cell>
          <cell r="D255" t="str">
            <v/>
          </cell>
          <cell r="E255" t="str">
            <v/>
          </cell>
          <cell r="F255">
            <v>1</v>
          </cell>
          <cell r="G255">
            <v>1</v>
          </cell>
          <cell r="H255">
            <v>0</v>
          </cell>
          <cell r="J255">
            <v>0</v>
          </cell>
          <cell r="K255">
            <v>11.023999999000001</v>
          </cell>
          <cell r="L255">
            <v>173.25186661700002</v>
          </cell>
          <cell r="M255" t="str">
            <v/>
          </cell>
          <cell r="N255">
            <v>0</v>
          </cell>
          <cell r="Q255" t="str">
            <v/>
          </cell>
          <cell r="R255" t="str">
            <v/>
          </cell>
          <cell r="S255">
            <v>14</v>
          </cell>
          <cell r="X255">
            <v>1</v>
          </cell>
          <cell r="Y255">
            <v>1</v>
          </cell>
          <cell r="Z255">
            <v>0.875</v>
          </cell>
          <cell r="AA255">
            <v>0</v>
          </cell>
          <cell r="AB255" t="str">
            <v/>
          </cell>
          <cell r="AD255">
            <v>40</v>
          </cell>
          <cell r="AE255">
            <v>195</v>
          </cell>
          <cell r="AF255">
            <v>0.86974615064502703</v>
          </cell>
          <cell r="AG255">
            <v>0</v>
          </cell>
          <cell r="AH255" t="str">
            <v/>
          </cell>
          <cell r="AI255">
            <v>3</v>
          </cell>
          <cell r="AJ255">
            <v>90</v>
          </cell>
          <cell r="AK255">
            <v>778.94171367177</v>
          </cell>
          <cell r="AL255">
            <v>0.1486146095717884</v>
          </cell>
          <cell r="AM255">
            <v>0.2745807639500647</v>
          </cell>
          <cell r="AN255">
            <v>0.69047619047619047</v>
          </cell>
          <cell r="AO255">
            <v>1226</v>
          </cell>
          <cell r="AQ255">
            <v>25582</v>
          </cell>
          <cell r="AR255" t="str">
            <v/>
          </cell>
          <cell r="AS255">
            <v>13344</v>
          </cell>
          <cell r="AU255">
            <v>21864</v>
          </cell>
          <cell r="AV255" t="str">
            <v/>
          </cell>
          <cell r="AW255">
            <v>17629</v>
          </cell>
          <cell r="AX255" t="str">
            <v/>
          </cell>
          <cell r="AY255" t="str">
            <v/>
          </cell>
          <cell r="AZ255">
            <v>12897</v>
          </cell>
          <cell r="BA255" t="str">
            <v/>
          </cell>
          <cell r="BB255">
            <v>215.37279999099999</v>
          </cell>
          <cell r="BC255" t="str">
            <v/>
          </cell>
          <cell r="BD255">
            <v>669.38799999000003</v>
          </cell>
          <cell r="BE255" t="str">
            <v/>
          </cell>
          <cell r="BF255">
            <v>589.56599998599995</v>
          </cell>
          <cell r="BG255" t="str">
            <v/>
          </cell>
          <cell r="BH255">
            <v>260</v>
          </cell>
          <cell r="BI255">
            <v>236</v>
          </cell>
          <cell r="BJ255">
            <v>0</v>
          </cell>
        </row>
        <row r="256">
          <cell r="A256" t="str">
            <v>5KX</v>
          </cell>
          <cell r="B256" t="str">
            <v>Q20</v>
          </cell>
          <cell r="C256" t="str">
            <v/>
          </cell>
          <cell r="D256" t="str">
            <v/>
          </cell>
          <cell r="E256">
            <v>1</v>
          </cell>
          <cell r="F256">
            <v>1</v>
          </cell>
          <cell r="G256">
            <v>1</v>
          </cell>
          <cell r="H256">
            <v>6</v>
          </cell>
          <cell r="J256">
            <v>0</v>
          </cell>
          <cell r="K256">
            <v>59.020200000000003</v>
          </cell>
          <cell r="L256">
            <v>144.51473179600001</v>
          </cell>
          <cell r="M256" t="str">
            <v/>
          </cell>
          <cell r="N256">
            <v>3</v>
          </cell>
          <cell r="Q256" t="str">
            <v/>
          </cell>
          <cell r="R256" t="str">
            <v/>
          </cell>
          <cell r="S256">
            <v>76</v>
          </cell>
          <cell r="X256">
            <v>1</v>
          </cell>
          <cell r="Y256">
            <v>0.98936170212765961</v>
          </cell>
          <cell r="Z256">
            <v>0.94736842105263153</v>
          </cell>
          <cell r="AA256">
            <v>0</v>
          </cell>
          <cell r="AB256" t="str">
            <v/>
          </cell>
          <cell r="AD256">
            <v>0</v>
          </cell>
          <cell r="AE256">
            <v>246</v>
          </cell>
          <cell r="AF256">
            <v>0.8037023680730857</v>
          </cell>
          <cell r="AG256">
            <v>0</v>
          </cell>
          <cell r="AH256" t="str">
            <v/>
          </cell>
          <cell r="AI256">
            <v>0</v>
          </cell>
          <cell r="AJ256">
            <v>620</v>
          </cell>
          <cell r="AK256">
            <v>762.51738132652019</v>
          </cell>
          <cell r="AL256">
            <v>0.18292682926829268</v>
          </cell>
          <cell r="AM256">
            <v>0.2854347495940468</v>
          </cell>
          <cell r="AN256">
            <v>0.76315789473684215</v>
          </cell>
          <cell r="AO256">
            <v>-3863</v>
          </cell>
          <cell r="AQ256">
            <v>36717</v>
          </cell>
          <cell r="AR256" t="str">
            <v/>
          </cell>
          <cell r="AS256">
            <v>17928</v>
          </cell>
          <cell r="AU256">
            <v>32094</v>
          </cell>
          <cell r="AV256" t="str">
            <v/>
          </cell>
          <cell r="AW256">
            <v>25554</v>
          </cell>
          <cell r="AX256" t="str">
            <v/>
          </cell>
          <cell r="AY256" t="str">
            <v/>
          </cell>
          <cell r="AZ256">
            <v>18165</v>
          </cell>
          <cell r="BA256" t="str">
            <v/>
          </cell>
          <cell r="BB256">
            <v>400.24619999399999</v>
          </cell>
          <cell r="BC256" t="str">
            <v/>
          </cell>
          <cell r="BD256">
            <v>932.33939999200004</v>
          </cell>
          <cell r="BE256" t="str">
            <v/>
          </cell>
          <cell r="BF256">
            <v>885.65269998300005</v>
          </cell>
          <cell r="BG256" t="str">
            <v/>
          </cell>
          <cell r="BH256">
            <v>0</v>
          </cell>
          <cell r="BI256">
            <v>25</v>
          </cell>
          <cell r="BJ256">
            <v>3</v>
          </cell>
        </row>
        <row r="257">
          <cell r="A257" t="str">
            <v>5KY</v>
          </cell>
          <cell r="B257" t="str">
            <v>Q20</v>
          </cell>
          <cell r="C257" t="str">
            <v/>
          </cell>
          <cell r="D257" t="str">
            <v/>
          </cell>
          <cell r="E257">
            <v>1</v>
          </cell>
          <cell r="F257">
            <v>1</v>
          </cell>
          <cell r="G257">
            <v>1</v>
          </cell>
          <cell r="H257">
            <v>0</v>
          </cell>
          <cell r="J257">
            <v>0</v>
          </cell>
          <cell r="K257">
            <v>18.026199999999999</v>
          </cell>
          <cell r="L257">
            <v>177.38620403499999</v>
          </cell>
          <cell r="M257" t="str">
            <v/>
          </cell>
          <cell r="N257">
            <v>1</v>
          </cell>
          <cell r="Q257" t="str">
            <v/>
          </cell>
          <cell r="R257" t="str">
            <v/>
          </cell>
          <cell r="S257">
            <v>207</v>
          </cell>
          <cell r="X257">
            <v>1</v>
          </cell>
          <cell r="Y257">
            <v>0.98701298701298701</v>
          </cell>
          <cell r="Z257">
            <v>0.94285714285714284</v>
          </cell>
          <cell r="AA257">
            <v>0</v>
          </cell>
          <cell r="AB257" t="str">
            <v/>
          </cell>
          <cell r="AD257">
            <v>8</v>
          </cell>
          <cell r="AE257">
            <v>325</v>
          </cell>
          <cell r="AF257">
            <v>1</v>
          </cell>
          <cell r="AG257">
            <v>0.17241379310344829</v>
          </cell>
          <cell r="AH257" t="str">
            <v/>
          </cell>
          <cell r="AI257">
            <v>0</v>
          </cell>
          <cell r="AJ257">
            <v>0</v>
          </cell>
          <cell r="AK257">
            <v>598.68687583195606</v>
          </cell>
          <cell r="AL257">
            <v>0.11170212765957446</v>
          </cell>
          <cell r="AM257">
            <v>0.26059767009961166</v>
          </cell>
          <cell r="AN257">
            <v>0.75862068965517238</v>
          </cell>
          <cell r="AO257">
            <v>-6779</v>
          </cell>
          <cell r="AQ257">
            <v>31712</v>
          </cell>
          <cell r="AR257" t="str">
            <v/>
          </cell>
          <cell r="AS257">
            <v>14314</v>
          </cell>
          <cell r="AU257">
            <v>26490</v>
          </cell>
          <cell r="AV257" t="str">
            <v/>
          </cell>
          <cell r="AW257">
            <v>20993</v>
          </cell>
          <cell r="AX257" t="str">
            <v/>
          </cell>
          <cell r="AY257" t="str">
            <v/>
          </cell>
          <cell r="AZ257">
            <v>16145</v>
          </cell>
          <cell r="BA257" t="str">
            <v/>
          </cell>
          <cell r="BB257">
            <v>289.33939999099999</v>
          </cell>
          <cell r="BC257">
            <v>1</v>
          </cell>
          <cell r="BD257">
            <v>629.43639998899994</v>
          </cell>
          <cell r="BE257" t="str">
            <v/>
          </cell>
          <cell r="BF257">
            <v>522.79419998000003</v>
          </cell>
          <cell r="BG257" t="str">
            <v/>
          </cell>
          <cell r="BH257">
            <v>0</v>
          </cell>
          <cell r="BI257">
            <v>0</v>
          </cell>
          <cell r="BJ257">
            <v>43</v>
          </cell>
        </row>
        <row r="258">
          <cell r="A258" t="str">
            <v>5L1</v>
          </cell>
          <cell r="B258" t="str">
            <v>Q17</v>
          </cell>
          <cell r="C258" t="str">
            <v/>
          </cell>
          <cell r="D258" t="str">
            <v/>
          </cell>
          <cell r="E258">
            <v>1</v>
          </cell>
          <cell r="F258">
            <v>1</v>
          </cell>
          <cell r="G258">
            <v>1</v>
          </cell>
          <cell r="H258">
            <v>0</v>
          </cell>
          <cell r="J258">
            <v>39</v>
          </cell>
          <cell r="K258">
            <v>109.08080836800001</v>
          </cell>
          <cell r="L258">
            <v>234.18638790700001</v>
          </cell>
          <cell r="M258" t="str">
            <v/>
          </cell>
          <cell r="N258">
            <v>2</v>
          </cell>
          <cell r="Q258" t="str">
            <v/>
          </cell>
          <cell r="R258">
            <v>1</v>
          </cell>
          <cell r="S258">
            <v>564</v>
          </cell>
          <cell r="X258">
            <v>0.99656357388316152</v>
          </cell>
          <cell r="Y258">
            <v>0.98666666666666669</v>
          </cell>
          <cell r="Z258">
            <v>0.91891891891891897</v>
          </cell>
          <cell r="AA258">
            <v>0</v>
          </cell>
          <cell r="AB258" t="str">
            <v/>
          </cell>
          <cell r="AD258">
            <v>0</v>
          </cell>
          <cell r="AE258">
            <v>442</v>
          </cell>
          <cell r="AF258">
            <v>0.67354384199270345</v>
          </cell>
          <cell r="AG258">
            <v>0</v>
          </cell>
          <cell r="AH258" t="str">
            <v/>
          </cell>
          <cell r="AI258">
            <v>5</v>
          </cell>
          <cell r="AJ258">
            <v>180</v>
          </cell>
          <cell r="AK258">
            <v>985.22975033196178</v>
          </cell>
          <cell r="AL258">
            <v>0.24469589816124471</v>
          </cell>
          <cell r="AM258">
            <v>0.24134384107474038</v>
          </cell>
          <cell r="AN258">
            <v>0.29268292682926828</v>
          </cell>
          <cell r="AO258">
            <v>781</v>
          </cell>
          <cell r="AQ258">
            <v>36755</v>
          </cell>
          <cell r="AR258" t="str">
            <v/>
          </cell>
          <cell r="AS258">
            <v>21464</v>
          </cell>
          <cell r="AU258">
            <v>32439</v>
          </cell>
          <cell r="AV258" t="str">
            <v/>
          </cell>
          <cell r="AW258">
            <v>24601</v>
          </cell>
          <cell r="AX258" t="str">
            <v/>
          </cell>
          <cell r="AY258" t="str">
            <v/>
          </cell>
          <cell r="AZ258">
            <v>22854</v>
          </cell>
          <cell r="BA258" t="str">
            <v/>
          </cell>
          <cell r="BB258">
            <v>382.022255406</v>
          </cell>
          <cell r="BC258">
            <v>9</v>
          </cell>
          <cell r="BD258">
            <v>1121.3169046559999</v>
          </cell>
          <cell r="BE258" t="str">
            <v/>
          </cell>
          <cell r="BF258">
            <v>2281.8144662020004</v>
          </cell>
          <cell r="BG258" t="str">
            <v/>
          </cell>
          <cell r="BH258">
            <v>996</v>
          </cell>
          <cell r="BI258">
            <v>996</v>
          </cell>
          <cell r="BJ258">
            <v>0</v>
          </cell>
        </row>
        <row r="259">
          <cell r="A259" t="str">
            <v>5L2</v>
          </cell>
          <cell r="B259" t="str">
            <v>Q18</v>
          </cell>
          <cell r="C259" t="str">
            <v/>
          </cell>
          <cell r="D259" t="str">
            <v/>
          </cell>
          <cell r="E259" t="str">
            <v/>
          </cell>
          <cell r="F259">
            <v>1</v>
          </cell>
          <cell r="G259">
            <v>1</v>
          </cell>
          <cell r="H259">
            <v>0</v>
          </cell>
          <cell r="J259">
            <v>0</v>
          </cell>
          <cell r="K259">
            <v>126.110599998</v>
          </cell>
          <cell r="L259">
            <v>1840.6041002930001</v>
          </cell>
          <cell r="M259" t="str">
            <v/>
          </cell>
          <cell r="N259">
            <v>0</v>
          </cell>
          <cell r="Q259" t="str">
            <v/>
          </cell>
          <cell r="R259">
            <v>0</v>
          </cell>
          <cell r="S259">
            <v>4</v>
          </cell>
          <cell r="X259">
            <v>1</v>
          </cell>
          <cell r="Y259">
            <v>0.98039215686274506</v>
          </cell>
          <cell r="Z259">
            <v>0.83870967741935487</v>
          </cell>
          <cell r="AA259">
            <v>0</v>
          </cell>
          <cell r="AB259" t="str">
            <v/>
          </cell>
          <cell r="AD259">
            <v>7</v>
          </cell>
          <cell r="AE259">
            <v>288</v>
          </cell>
          <cell r="AF259">
            <v>0.58936665441626856</v>
          </cell>
          <cell r="AG259">
            <v>0</v>
          </cell>
          <cell r="AH259" t="str">
            <v/>
          </cell>
          <cell r="AI259">
            <v>0</v>
          </cell>
          <cell r="AJ259">
            <v>0</v>
          </cell>
          <cell r="AK259">
            <v>776.77260455643443</v>
          </cell>
          <cell r="AL259">
            <v>0.16246056782334384</v>
          </cell>
          <cell r="AM259">
            <v>0.25199539686226485</v>
          </cell>
          <cell r="AN259">
            <v>0.20930232558139536</v>
          </cell>
          <cell r="AO259">
            <v>279</v>
          </cell>
          <cell r="AQ259">
            <v>38586</v>
          </cell>
          <cell r="AR259" t="str">
            <v/>
          </cell>
          <cell r="AS259">
            <v>28573</v>
          </cell>
          <cell r="AU259">
            <v>29474</v>
          </cell>
          <cell r="AV259" t="str">
            <v/>
          </cell>
          <cell r="AW259">
            <v>19176</v>
          </cell>
          <cell r="AX259" t="str">
            <v/>
          </cell>
          <cell r="AY259" t="str">
            <v/>
          </cell>
          <cell r="AZ259">
            <v>19857</v>
          </cell>
          <cell r="BA259" t="str">
            <v/>
          </cell>
          <cell r="BB259">
            <v>363.16502176400002</v>
          </cell>
          <cell r="BC259">
            <v>6.0389999989999996</v>
          </cell>
          <cell r="BD259">
            <v>1011.5725757169999</v>
          </cell>
          <cell r="BE259">
            <v>12</v>
          </cell>
          <cell r="BF259">
            <v>1519.1574662749999</v>
          </cell>
          <cell r="BG259">
            <v>5</v>
          </cell>
          <cell r="BH259">
            <v>723</v>
          </cell>
          <cell r="BI259">
            <v>0</v>
          </cell>
          <cell r="BJ259">
            <v>0</v>
          </cell>
        </row>
        <row r="260">
          <cell r="A260" t="str">
            <v>5L3</v>
          </cell>
          <cell r="B260" t="str">
            <v>Q18</v>
          </cell>
          <cell r="C260" t="str">
            <v/>
          </cell>
          <cell r="D260" t="str">
            <v/>
          </cell>
          <cell r="E260" t="str">
            <v/>
          </cell>
          <cell r="F260">
            <v>1</v>
          </cell>
          <cell r="G260">
            <v>1</v>
          </cell>
          <cell r="H260">
            <v>0</v>
          </cell>
          <cell r="J260">
            <v>0</v>
          </cell>
          <cell r="K260">
            <v>10.056199999</v>
          </cell>
          <cell r="L260">
            <v>1145.2907003019998</v>
          </cell>
          <cell r="M260" t="str">
            <v/>
          </cell>
          <cell r="N260">
            <v>0</v>
          </cell>
          <cell r="Q260" t="str">
            <v/>
          </cell>
          <cell r="R260" t="str">
            <v/>
          </cell>
          <cell r="S260">
            <v>125</v>
          </cell>
          <cell r="X260">
            <v>1</v>
          </cell>
          <cell r="Y260">
            <v>1</v>
          </cell>
          <cell r="Z260">
            <v>0.96153846153846156</v>
          </cell>
          <cell r="AA260">
            <v>0</v>
          </cell>
          <cell r="AB260" t="str">
            <v/>
          </cell>
          <cell r="AD260">
            <v>12</v>
          </cell>
          <cell r="AE260">
            <v>163</v>
          </cell>
          <cell r="AF260">
            <v>0.58534423323155715</v>
          </cell>
          <cell r="AG260">
            <v>0</v>
          </cell>
          <cell r="AH260" t="str">
            <v/>
          </cell>
          <cell r="AI260">
            <v>2</v>
          </cell>
          <cell r="AJ260">
            <v>34</v>
          </cell>
          <cell r="AK260">
            <v>581.52234589415127</v>
          </cell>
          <cell r="AL260">
            <v>0.23184713375796179</v>
          </cell>
          <cell r="AM260">
            <v>4.457045922694778E-2</v>
          </cell>
          <cell r="AN260">
            <v>0.28260869565217389</v>
          </cell>
          <cell r="AO260">
            <v>-2398</v>
          </cell>
          <cell r="AQ260">
            <v>55079</v>
          </cell>
          <cell r="AR260" t="str">
            <v/>
          </cell>
          <cell r="AS260">
            <v>22236</v>
          </cell>
          <cell r="AU260">
            <v>40699</v>
          </cell>
          <cell r="AV260" t="str">
            <v/>
          </cell>
          <cell r="AW260">
            <v>21641</v>
          </cell>
          <cell r="AX260" t="str">
            <v/>
          </cell>
          <cell r="AY260" t="str">
            <v/>
          </cell>
          <cell r="AZ260">
            <v>22374</v>
          </cell>
          <cell r="BA260" t="str">
            <v/>
          </cell>
          <cell r="BB260">
            <v>506.89235946700001</v>
          </cell>
          <cell r="BC260">
            <v>9</v>
          </cell>
          <cell r="BD260">
            <v>568.28821144099993</v>
          </cell>
          <cell r="BE260" t="str">
            <v/>
          </cell>
          <cell r="BF260">
            <v>648.06789657000002</v>
          </cell>
          <cell r="BG260" t="str">
            <v/>
          </cell>
          <cell r="BH260">
            <v>931</v>
          </cell>
          <cell r="BI260">
            <v>931</v>
          </cell>
          <cell r="BJ260">
            <v>0</v>
          </cell>
        </row>
        <row r="261">
          <cell r="A261" t="str">
            <v>5L4</v>
          </cell>
          <cell r="B261" t="str">
            <v>Q18</v>
          </cell>
          <cell r="C261" t="str">
            <v/>
          </cell>
          <cell r="D261" t="str">
            <v/>
          </cell>
          <cell r="E261">
            <v>1</v>
          </cell>
          <cell r="F261">
            <v>1</v>
          </cell>
          <cell r="G261">
            <v>1</v>
          </cell>
          <cell r="H261">
            <v>0</v>
          </cell>
          <cell r="J261">
            <v>0</v>
          </cell>
          <cell r="K261">
            <v>4.0060000000000002</v>
          </cell>
          <cell r="L261">
            <v>367.22349990700002</v>
          </cell>
          <cell r="M261" t="str">
            <v/>
          </cell>
          <cell r="N261">
            <v>0</v>
          </cell>
          <cell r="Q261" t="str">
            <v/>
          </cell>
          <cell r="R261" t="str">
            <v/>
          </cell>
          <cell r="S261">
            <v>11</v>
          </cell>
          <cell r="X261">
            <v>1</v>
          </cell>
          <cell r="Y261">
            <v>1</v>
          </cell>
          <cell r="Z261">
            <v>1</v>
          </cell>
          <cell r="AA261">
            <v>0</v>
          </cell>
          <cell r="AB261" t="str">
            <v/>
          </cell>
          <cell r="AD261">
            <v>5</v>
          </cell>
          <cell r="AE261">
            <v>134</v>
          </cell>
          <cell r="AF261">
            <v>0.64649599172485128</v>
          </cell>
          <cell r="AG261">
            <v>0</v>
          </cell>
          <cell r="AH261" t="str">
            <v/>
          </cell>
          <cell r="AI261">
            <v>0</v>
          </cell>
          <cell r="AJ261">
            <v>0</v>
          </cell>
          <cell r="AK261">
            <v>748.1588278845029</v>
          </cell>
          <cell r="AL261">
            <v>0.24652777777777779</v>
          </cell>
          <cell r="AM261" t="str">
            <v/>
          </cell>
          <cell r="AN261">
            <v>0.3</v>
          </cell>
          <cell r="AO261">
            <v>-3307</v>
          </cell>
          <cell r="AQ261">
            <v>16734</v>
          </cell>
          <cell r="AR261" t="str">
            <v/>
          </cell>
          <cell r="AS261">
            <v>8783</v>
          </cell>
          <cell r="AU261">
            <v>13030</v>
          </cell>
          <cell r="AV261" t="str">
            <v/>
          </cell>
          <cell r="AW261">
            <v>7724</v>
          </cell>
          <cell r="AX261" t="str">
            <v/>
          </cell>
          <cell r="AY261" t="str">
            <v/>
          </cell>
          <cell r="AZ261">
            <v>7064</v>
          </cell>
          <cell r="BA261" t="str">
            <v/>
          </cell>
          <cell r="BB261">
            <v>223.09319999799999</v>
          </cell>
          <cell r="BC261">
            <v>1</v>
          </cell>
          <cell r="BD261">
            <v>236.94699993399999</v>
          </cell>
          <cell r="BE261">
            <v>2</v>
          </cell>
          <cell r="BF261">
            <v>276.83149995799999</v>
          </cell>
          <cell r="BG261" t="str">
            <v/>
          </cell>
          <cell r="BH261">
            <v>361</v>
          </cell>
          <cell r="BI261">
            <v>361</v>
          </cell>
          <cell r="BJ261">
            <v>0</v>
          </cell>
        </row>
        <row r="262">
          <cell r="A262" t="str">
            <v>5L5</v>
          </cell>
          <cell r="B262" t="str">
            <v>Q19</v>
          </cell>
          <cell r="C262" t="str">
            <v/>
          </cell>
          <cell r="D262" t="str">
            <v/>
          </cell>
          <cell r="E262" t="str">
            <v/>
          </cell>
          <cell r="F262">
            <v>1</v>
          </cell>
          <cell r="G262">
            <v>1</v>
          </cell>
          <cell r="H262">
            <v>0</v>
          </cell>
          <cell r="J262">
            <v>1</v>
          </cell>
          <cell r="K262">
            <v>5.1113809350000006</v>
          </cell>
          <cell r="L262">
            <v>299.87201380499999</v>
          </cell>
          <cell r="M262" t="str">
            <v/>
          </cell>
          <cell r="N262">
            <v>0</v>
          </cell>
          <cell r="Q262" t="str">
            <v/>
          </cell>
          <cell r="R262">
            <v>0</v>
          </cell>
          <cell r="S262">
            <v>91</v>
          </cell>
          <cell r="X262">
            <v>0.99537037037037035</v>
          </cell>
          <cell r="Y262">
            <v>0.98305084745762716</v>
          </cell>
          <cell r="Z262">
            <v>1</v>
          </cell>
          <cell r="AA262">
            <v>0</v>
          </cell>
          <cell r="AB262" t="str">
            <v/>
          </cell>
          <cell r="AD262">
            <v>0</v>
          </cell>
          <cell r="AE262">
            <v>167</v>
          </cell>
          <cell r="AF262">
            <v>1.4664906877841326E-8</v>
          </cell>
          <cell r="AG262">
            <v>0</v>
          </cell>
          <cell r="AH262" t="str">
            <v/>
          </cell>
          <cell r="AI262">
            <v>6.13</v>
          </cell>
          <cell r="AJ262">
            <v>210</v>
          </cell>
          <cell r="AK262">
            <v>408.48277040622258</v>
          </cell>
          <cell r="AL262">
            <v>0.10403726708074534</v>
          </cell>
          <cell r="AM262">
            <v>0.23545196451476136</v>
          </cell>
          <cell r="AN262">
            <v>0.37254901960784315</v>
          </cell>
          <cell r="AO262">
            <v>-2037</v>
          </cell>
          <cell r="AQ262">
            <v>33729</v>
          </cell>
          <cell r="AR262" t="str">
            <v/>
          </cell>
          <cell r="AS262">
            <v>13873</v>
          </cell>
          <cell r="AU262">
            <v>32448</v>
          </cell>
          <cell r="AV262" t="str">
            <v/>
          </cell>
          <cell r="AW262">
            <v>24905</v>
          </cell>
          <cell r="AX262" t="str">
            <v/>
          </cell>
          <cell r="AY262" t="str">
            <v/>
          </cell>
          <cell r="AZ262">
            <v>18065</v>
          </cell>
          <cell r="BA262" t="str">
            <v/>
          </cell>
          <cell r="BB262">
            <v>546.55022220700005</v>
          </cell>
          <cell r="BC262" t="str">
            <v/>
          </cell>
          <cell r="BD262">
            <v>1297.282456998</v>
          </cell>
          <cell r="BE262">
            <v>217.619992</v>
          </cell>
          <cell r="BF262">
            <v>1159.4463948779996</v>
          </cell>
          <cell r="BG262">
            <v>1.559999943</v>
          </cell>
          <cell r="BH262">
            <v>221</v>
          </cell>
          <cell r="BI262">
            <v>0</v>
          </cell>
          <cell r="BJ262">
            <v>0</v>
          </cell>
        </row>
        <row r="263">
          <cell r="A263" t="str">
            <v>5L6</v>
          </cell>
          <cell r="B263" t="str">
            <v>Q19</v>
          </cell>
          <cell r="C263" t="str">
            <v/>
          </cell>
          <cell r="D263" t="str">
            <v/>
          </cell>
          <cell r="E263">
            <v>1</v>
          </cell>
          <cell r="F263">
            <v>1</v>
          </cell>
          <cell r="G263">
            <v>1</v>
          </cell>
          <cell r="H263">
            <v>0</v>
          </cell>
          <cell r="J263">
            <v>0</v>
          </cell>
          <cell r="K263">
            <v>4.4925999920000006</v>
          </cell>
          <cell r="L263">
            <v>1192.4810999649999</v>
          </cell>
          <cell r="M263" t="str">
            <v/>
          </cell>
          <cell r="N263">
            <v>0</v>
          </cell>
          <cell r="Q263" t="str">
            <v/>
          </cell>
          <cell r="R263" t="str">
            <v/>
          </cell>
          <cell r="S263">
            <v>161</v>
          </cell>
          <cell r="X263">
            <v>1</v>
          </cell>
          <cell r="Y263">
            <v>1</v>
          </cell>
          <cell r="Z263">
            <v>0.95</v>
          </cell>
          <cell r="AA263">
            <v>0</v>
          </cell>
          <cell r="AB263" t="str">
            <v/>
          </cell>
          <cell r="AD263">
            <v>0</v>
          </cell>
          <cell r="AE263">
            <v>127</v>
          </cell>
          <cell r="AF263">
            <v>1.3137151865475565E-8</v>
          </cell>
          <cell r="AG263">
            <v>0</v>
          </cell>
          <cell r="AH263" t="str">
            <v/>
          </cell>
          <cell r="AI263">
            <v>4.5999999999999996</v>
          </cell>
          <cell r="AJ263">
            <v>104</v>
          </cell>
          <cell r="AK263">
            <v>489.46479428916643</v>
          </cell>
          <cell r="AL263">
            <v>0.1391304347826087</v>
          </cell>
          <cell r="AM263">
            <v>0.3142491555539384</v>
          </cell>
          <cell r="AN263">
            <v>0.5393258426966292</v>
          </cell>
          <cell r="AO263">
            <v>92</v>
          </cell>
          <cell r="AQ263">
            <v>38897</v>
          </cell>
          <cell r="AR263" t="str">
            <v/>
          </cell>
          <cell r="AS263">
            <v>14775</v>
          </cell>
          <cell r="AU263">
            <v>32926</v>
          </cell>
          <cell r="AV263" t="str">
            <v/>
          </cell>
          <cell r="AW263">
            <v>21089</v>
          </cell>
          <cell r="AX263" t="str">
            <v/>
          </cell>
          <cell r="AY263" t="str">
            <v/>
          </cell>
          <cell r="AZ263">
            <v>15048</v>
          </cell>
          <cell r="BA263" t="str">
            <v/>
          </cell>
          <cell r="BB263">
            <v>63.270458148000003</v>
          </cell>
          <cell r="BC263" t="str">
            <v/>
          </cell>
          <cell r="BD263">
            <v>890.44893516299999</v>
          </cell>
          <cell r="BE263">
            <v>6.9750001040000003</v>
          </cell>
          <cell r="BF263">
            <v>979.15101009199998</v>
          </cell>
          <cell r="BG263">
            <v>5.0000001000000002E-2</v>
          </cell>
          <cell r="BH263">
            <v>150</v>
          </cell>
          <cell r="BI263">
            <v>0</v>
          </cell>
          <cell r="BJ263">
            <v>0</v>
          </cell>
        </row>
        <row r="264">
          <cell r="A264" t="str">
            <v>5L7</v>
          </cell>
          <cell r="B264" t="str">
            <v>Q19</v>
          </cell>
          <cell r="C264" t="str">
            <v/>
          </cell>
          <cell r="D264" t="str">
            <v/>
          </cell>
          <cell r="E264">
            <v>1</v>
          </cell>
          <cell r="F264">
            <v>1</v>
          </cell>
          <cell r="G264">
            <v>1</v>
          </cell>
          <cell r="H264">
            <v>1</v>
          </cell>
          <cell r="J264">
            <v>0</v>
          </cell>
          <cell r="K264">
            <v>3.0981999969999996</v>
          </cell>
          <cell r="L264">
            <v>626.87520000200004</v>
          </cell>
          <cell r="M264" t="str">
            <v/>
          </cell>
          <cell r="N264">
            <v>0</v>
          </cell>
          <cell r="Q264" t="str">
            <v/>
          </cell>
          <cell r="R264" t="str">
            <v/>
          </cell>
          <cell r="S264">
            <v>46</v>
          </cell>
          <cell r="X264">
            <v>1</v>
          </cell>
          <cell r="Y264">
            <v>1</v>
          </cell>
          <cell r="Z264">
            <v>0.9375</v>
          </cell>
          <cell r="AA264">
            <v>0</v>
          </cell>
          <cell r="AB264" t="str">
            <v/>
          </cell>
          <cell r="AD264">
            <v>0</v>
          </cell>
          <cell r="AE264">
            <v>149</v>
          </cell>
          <cell r="AF264">
            <v>1.5434480629726812E-8</v>
          </cell>
          <cell r="AG264">
            <v>0</v>
          </cell>
          <cell r="AH264" t="str">
            <v/>
          </cell>
          <cell r="AI264">
            <v>6.5</v>
          </cell>
          <cell r="AJ264">
            <v>171</v>
          </cell>
          <cell r="AK264">
            <v>435</v>
          </cell>
          <cell r="AL264">
            <v>8.7248322147651006E-2</v>
          </cell>
          <cell r="AM264" t="str">
            <v/>
          </cell>
          <cell r="AN264">
            <v>0.46250000000000002</v>
          </cell>
          <cell r="AO264">
            <v>30</v>
          </cell>
          <cell r="AQ264">
            <v>35673</v>
          </cell>
          <cell r="AR264" t="str">
            <v/>
          </cell>
          <cell r="AS264">
            <v>13074</v>
          </cell>
          <cell r="AU264">
            <v>31071</v>
          </cell>
          <cell r="AV264" t="str">
            <v/>
          </cell>
          <cell r="AW264">
            <v>22474</v>
          </cell>
          <cell r="AX264" t="str">
            <v/>
          </cell>
          <cell r="AY264" t="str">
            <v/>
          </cell>
          <cell r="AZ264">
            <v>14237</v>
          </cell>
          <cell r="BA264" t="str">
            <v/>
          </cell>
          <cell r="BB264">
            <v>178.92222071200004</v>
          </cell>
          <cell r="BC264" t="str">
            <v/>
          </cell>
          <cell r="BD264">
            <v>730.25410004700007</v>
          </cell>
          <cell r="BE264">
            <v>13.950000210000001</v>
          </cell>
          <cell r="BF264">
            <v>969.21088029299995</v>
          </cell>
          <cell r="BG264">
            <v>0.10000000100000001</v>
          </cell>
          <cell r="BH264">
            <v>73</v>
          </cell>
          <cell r="BI264">
            <v>0</v>
          </cell>
          <cell r="BJ264">
            <v>0</v>
          </cell>
        </row>
        <row r="265">
          <cell r="A265" t="str">
            <v>5L8</v>
          </cell>
          <cell r="B265" t="str">
            <v>Q19</v>
          </cell>
          <cell r="C265" t="str">
            <v/>
          </cell>
          <cell r="D265" t="str">
            <v/>
          </cell>
          <cell r="E265">
            <v>1</v>
          </cell>
          <cell r="F265">
            <v>1</v>
          </cell>
          <cell r="G265">
            <v>1</v>
          </cell>
          <cell r="H265">
            <v>0</v>
          </cell>
          <cell r="J265">
            <v>0</v>
          </cell>
          <cell r="K265">
            <v>16.185871411000001</v>
          </cell>
          <cell r="L265">
            <v>1167.5744232419997</v>
          </cell>
          <cell r="M265" t="str">
            <v/>
          </cell>
          <cell r="N265">
            <v>0</v>
          </cell>
          <cell r="Q265" t="str">
            <v/>
          </cell>
          <cell r="R265" t="str">
            <v/>
          </cell>
          <cell r="S265">
            <v>325</v>
          </cell>
          <cell r="X265">
            <v>1</v>
          </cell>
          <cell r="Y265">
            <v>1</v>
          </cell>
          <cell r="Z265">
            <v>0.97777777777777775</v>
          </cell>
          <cell r="AA265">
            <v>0</v>
          </cell>
          <cell r="AB265" t="str">
            <v/>
          </cell>
          <cell r="AD265">
            <v>3</v>
          </cell>
          <cell r="AE265">
            <v>259</v>
          </cell>
          <cell r="AF265">
            <v>0.93257198396306651</v>
          </cell>
          <cell r="AG265">
            <v>0</v>
          </cell>
          <cell r="AH265" t="str">
            <v/>
          </cell>
          <cell r="AI265">
            <v>14.55</v>
          </cell>
          <cell r="AJ265">
            <v>384</v>
          </cell>
          <cell r="AK265">
            <v>852.90363931790193</v>
          </cell>
          <cell r="AL265">
            <v>0.13667820069204153</v>
          </cell>
          <cell r="AM265">
            <v>0.24152668238774483</v>
          </cell>
          <cell r="AN265">
            <v>0.54411764705882348</v>
          </cell>
          <cell r="AO265">
            <v>2972</v>
          </cell>
          <cell r="AQ265">
            <v>48239</v>
          </cell>
          <cell r="AR265" t="str">
            <v/>
          </cell>
          <cell r="AS265">
            <v>25837</v>
          </cell>
          <cell r="AU265">
            <v>36405</v>
          </cell>
          <cell r="AV265" t="str">
            <v/>
          </cell>
          <cell r="AW265">
            <v>29384</v>
          </cell>
          <cell r="AX265" t="str">
            <v/>
          </cell>
          <cell r="AY265" t="str">
            <v/>
          </cell>
          <cell r="AZ265">
            <v>21498</v>
          </cell>
          <cell r="BA265" t="str">
            <v/>
          </cell>
          <cell r="BB265">
            <v>232.93291695299999</v>
          </cell>
          <cell r="BC265">
            <v>3.7830001119999999</v>
          </cell>
          <cell r="BD265">
            <v>490.444617053</v>
          </cell>
          <cell r="BE265" t="str">
            <v/>
          </cell>
          <cell r="BF265">
            <v>1099.2264720220001</v>
          </cell>
          <cell r="BG265" t="str">
            <v/>
          </cell>
          <cell r="BH265">
            <v>1064</v>
          </cell>
          <cell r="BI265">
            <v>1014</v>
          </cell>
          <cell r="BJ265">
            <v>50</v>
          </cell>
        </row>
        <row r="266">
          <cell r="A266" t="str">
            <v>5L9</v>
          </cell>
          <cell r="B266" t="str">
            <v>Q19</v>
          </cell>
          <cell r="C266" t="str">
            <v/>
          </cell>
          <cell r="D266" t="str">
            <v/>
          </cell>
          <cell r="E266">
            <v>1</v>
          </cell>
          <cell r="F266">
            <v>1</v>
          </cell>
          <cell r="G266">
            <v>1</v>
          </cell>
          <cell r="H266">
            <v>0</v>
          </cell>
          <cell r="J266">
            <v>12</v>
          </cell>
          <cell r="K266">
            <v>15.408780383</v>
          </cell>
          <cell r="L266">
            <v>400.78046478300001</v>
          </cell>
          <cell r="M266">
            <v>66</v>
          </cell>
          <cell r="N266">
            <v>2</v>
          </cell>
          <cell r="Q266">
            <v>1</v>
          </cell>
          <cell r="R266">
            <v>1</v>
          </cell>
          <cell r="S266">
            <v>27</v>
          </cell>
          <cell r="X266">
            <v>1</v>
          </cell>
          <cell r="Y266">
            <v>1</v>
          </cell>
          <cell r="Z266">
            <v>0.90322580645161288</v>
          </cell>
          <cell r="AA266">
            <v>0</v>
          </cell>
          <cell r="AB266" t="str">
            <v/>
          </cell>
          <cell r="AD266">
            <v>0</v>
          </cell>
          <cell r="AE266">
            <v>137</v>
          </cell>
          <cell r="AF266">
            <v>1</v>
          </cell>
          <cell r="AG266">
            <v>0</v>
          </cell>
          <cell r="AH266" t="str">
            <v/>
          </cell>
          <cell r="AI266">
            <v>7.8</v>
          </cell>
          <cell r="AJ266">
            <v>208</v>
          </cell>
          <cell r="AK266">
            <v>593</v>
          </cell>
          <cell r="AL266" t="str">
            <v/>
          </cell>
          <cell r="AM266">
            <v>0.26256229478790527</v>
          </cell>
          <cell r="AN266">
            <v>0.47692307692307695</v>
          </cell>
          <cell r="AO266">
            <v>108</v>
          </cell>
          <cell r="AQ266">
            <v>29453</v>
          </cell>
          <cell r="AR266" t="str">
            <v/>
          </cell>
          <cell r="AS266">
            <v>21325</v>
          </cell>
          <cell r="AU266">
            <v>27716</v>
          </cell>
          <cell r="AV266" t="str">
            <v/>
          </cell>
          <cell r="AW266">
            <v>24629</v>
          </cell>
          <cell r="AX266" t="str">
            <v/>
          </cell>
          <cell r="AY266" t="str">
            <v/>
          </cell>
          <cell r="AZ266">
            <v>18615</v>
          </cell>
          <cell r="BA266" t="str">
            <v/>
          </cell>
          <cell r="BB266">
            <v>359.39430192700001</v>
          </cell>
          <cell r="BC266" t="str">
            <v/>
          </cell>
          <cell r="BD266">
            <v>963.16845131000002</v>
          </cell>
          <cell r="BE266">
            <v>4.1849999059999998</v>
          </cell>
          <cell r="BF266">
            <v>1855.4077522450002</v>
          </cell>
          <cell r="BG266">
            <v>2.9999998999999999E-2</v>
          </cell>
          <cell r="BH266">
            <v>568</v>
          </cell>
          <cell r="BI266">
            <v>566</v>
          </cell>
          <cell r="BJ266">
            <v>1</v>
          </cell>
        </row>
        <row r="267">
          <cell r="A267" t="str">
            <v>5LA</v>
          </cell>
          <cell r="B267" t="str">
            <v>Q04</v>
          </cell>
          <cell r="C267" t="str">
            <v/>
          </cell>
          <cell r="D267" t="str">
            <v/>
          </cell>
          <cell r="E267">
            <v>1</v>
          </cell>
          <cell r="F267">
            <v>1</v>
          </cell>
          <cell r="G267">
            <v>1</v>
          </cell>
          <cell r="H267">
            <v>0</v>
          </cell>
          <cell r="J267">
            <v>0</v>
          </cell>
          <cell r="K267">
            <v>50.455100212000005</v>
          </cell>
          <cell r="L267">
            <v>310.183601641</v>
          </cell>
          <cell r="M267" t="str">
            <v/>
          </cell>
          <cell r="N267">
            <v>0</v>
          </cell>
          <cell r="Q267" t="str">
            <v/>
          </cell>
          <cell r="R267" t="str">
            <v/>
          </cell>
          <cell r="S267">
            <v>262</v>
          </cell>
          <cell r="X267">
            <v>0.98936170212765961</v>
          </cell>
          <cell r="Y267">
            <v>1</v>
          </cell>
          <cell r="Z267">
            <v>1</v>
          </cell>
          <cell r="AA267">
            <v>0</v>
          </cell>
          <cell r="AB267" t="str">
            <v/>
          </cell>
          <cell r="AD267">
            <v>15</v>
          </cell>
          <cell r="AE267">
            <v>366</v>
          </cell>
          <cell r="AF267">
            <v>0.55471956224350205</v>
          </cell>
          <cell r="AG267">
            <v>0</v>
          </cell>
          <cell r="AH267" t="str">
            <v/>
          </cell>
          <cell r="AI267">
            <v>2</v>
          </cell>
          <cell r="AJ267">
            <v>78</v>
          </cell>
          <cell r="AK267">
            <v>566.28254047386213</v>
          </cell>
          <cell r="AL267" t="str">
            <v/>
          </cell>
          <cell r="AM267">
            <v>0.27428167838453882</v>
          </cell>
          <cell r="AN267">
            <v>0.66304347826086951</v>
          </cell>
          <cell r="AO267">
            <v>-22052</v>
          </cell>
          <cell r="AQ267">
            <v>26296</v>
          </cell>
          <cell r="AR267" t="str">
            <v/>
          </cell>
          <cell r="AS267">
            <v>16359</v>
          </cell>
          <cell r="AU267">
            <v>22074</v>
          </cell>
          <cell r="AV267" t="str">
            <v/>
          </cell>
          <cell r="AW267">
            <v>13514</v>
          </cell>
          <cell r="AX267" t="str">
            <v/>
          </cell>
          <cell r="AY267" t="str">
            <v/>
          </cell>
          <cell r="AZ267">
            <v>9629</v>
          </cell>
          <cell r="BA267" t="str">
            <v/>
          </cell>
          <cell r="BB267">
            <v>507.88644147100001</v>
          </cell>
          <cell r="BC267" t="str">
            <v/>
          </cell>
          <cell r="BD267">
            <v>946.15952512299998</v>
          </cell>
          <cell r="BE267" t="str">
            <v/>
          </cell>
          <cell r="BF267">
            <v>1407.1411805119999</v>
          </cell>
          <cell r="BG267" t="str">
            <v/>
          </cell>
          <cell r="BH267">
            <v>1</v>
          </cell>
          <cell r="BI267">
            <v>0</v>
          </cell>
          <cell r="BJ267">
            <v>0</v>
          </cell>
        </row>
        <row r="268">
          <cell r="A268" t="str">
            <v>5LC</v>
          </cell>
          <cell r="B268" t="str">
            <v>Q04</v>
          </cell>
          <cell r="C268" t="str">
            <v/>
          </cell>
          <cell r="D268" t="str">
            <v/>
          </cell>
          <cell r="E268">
            <v>1</v>
          </cell>
          <cell r="F268">
            <v>1</v>
          </cell>
          <cell r="G268">
            <v>1</v>
          </cell>
          <cell r="H268">
            <v>0</v>
          </cell>
          <cell r="J268">
            <v>0</v>
          </cell>
          <cell r="K268">
            <v>61.871999850999998</v>
          </cell>
          <cell r="L268">
            <v>401.75199885799998</v>
          </cell>
          <cell r="M268" t="str">
            <v/>
          </cell>
          <cell r="N268">
            <v>0</v>
          </cell>
          <cell r="Q268" t="str">
            <v/>
          </cell>
          <cell r="R268" t="str">
            <v/>
          </cell>
          <cell r="S268">
            <v>340</v>
          </cell>
          <cell r="X268">
            <v>1</v>
          </cell>
          <cell r="Y268">
            <v>1</v>
          </cell>
          <cell r="Z268">
            <v>1</v>
          </cell>
          <cell r="AA268">
            <v>0</v>
          </cell>
          <cell r="AB268" t="str">
            <v/>
          </cell>
          <cell r="AD268">
            <v>21</v>
          </cell>
          <cell r="AE268">
            <v>429</v>
          </cell>
          <cell r="AF268">
            <v>0.82794264754918301</v>
          </cell>
          <cell r="AG268">
            <v>0</v>
          </cell>
          <cell r="AH268" t="str">
            <v/>
          </cell>
          <cell r="AI268">
            <v>2</v>
          </cell>
          <cell r="AJ268">
            <v>0</v>
          </cell>
          <cell r="AK268">
            <v>877.05246295554673</v>
          </cell>
          <cell r="AL268">
            <v>4.9833887043189369E-2</v>
          </cell>
          <cell r="AM268">
            <v>0.31776895878514277</v>
          </cell>
          <cell r="AN268">
            <v>0.75213675213675213</v>
          </cell>
          <cell r="AO268">
            <v>800</v>
          </cell>
          <cell r="AQ268">
            <v>39503</v>
          </cell>
          <cell r="AR268" t="str">
            <v/>
          </cell>
          <cell r="AS268">
            <v>21606</v>
          </cell>
          <cell r="AU268">
            <v>31378</v>
          </cell>
          <cell r="AV268" t="str">
            <v/>
          </cell>
          <cell r="AW268">
            <v>17803</v>
          </cell>
          <cell r="AX268" t="str">
            <v/>
          </cell>
          <cell r="AY268" t="str">
            <v/>
          </cell>
          <cell r="AZ268">
            <v>13125</v>
          </cell>
          <cell r="BA268" t="str">
            <v/>
          </cell>
          <cell r="BB268">
            <v>564.41265688400006</v>
          </cell>
          <cell r="BC268" t="str">
            <v/>
          </cell>
          <cell r="BD268">
            <v>997.2849414939999</v>
          </cell>
          <cell r="BE268" t="str">
            <v/>
          </cell>
          <cell r="BF268">
            <v>1646.0614598159998</v>
          </cell>
          <cell r="BG268" t="str">
            <v/>
          </cell>
          <cell r="BH268">
            <v>3</v>
          </cell>
          <cell r="BI268">
            <v>0</v>
          </cell>
          <cell r="BJ268">
            <v>0</v>
          </cell>
        </row>
        <row r="269">
          <cell r="A269" t="str">
            <v>5LD</v>
          </cell>
          <cell r="B269" t="str">
            <v>Q07</v>
          </cell>
          <cell r="C269" t="str">
            <v/>
          </cell>
          <cell r="D269" t="str">
            <v/>
          </cell>
          <cell r="E269" t="str">
            <v/>
          </cell>
          <cell r="F269">
            <v>1</v>
          </cell>
          <cell r="G269">
            <v>1</v>
          </cell>
          <cell r="H269">
            <v>0</v>
          </cell>
          <cell r="J269">
            <v>1</v>
          </cell>
          <cell r="K269">
            <v>39.239808361999998</v>
          </cell>
          <cell r="L269">
            <v>721.36914600500006</v>
          </cell>
          <cell r="M269" t="str">
            <v/>
          </cell>
          <cell r="N269">
            <v>0</v>
          </cell>
          <cell r="Q269" t="str">
            <v/>
          </cell>
          <cell r="R269" t="str">
            <v/>
          </cell>
          <cell r="S269">
            <v>1046</v>
          </cell>
          <cell r="X269">
            <v>1</v>
          </cell>
          <cell r="Y269">
            <v>1</v>
          </cell>
          <cell r="Z269">
            <v>0.90909090909090906</v>
          </cell>
          <cell r="AA269">
            <v>0</v>
          </cell>
          <cell r="AB269" t="str">
            <v/>
          </cell>
          <cell r="AD269">
            <v>183</v>
          </cell>
          <cell r="AE269">
            <v>895</v>
          </cell>
          <cell r="AF269">
            <v>0.59815331345580458</v>
          </cell>
          <cell r="AG269">
            <v>0</v>
          </cell>
          <cell r="AH269" t="str">
            <v/>
          </cell>
          <cell r="AI269">
            <v>5</v>
          </cell>
          <cell r="AJ269">
            <v>257</v>
          </cell>
          <cell r="AK269">
            <v>1188.5078844559657</v>
          </cell>
          <cell r="AL269">
            <v>3.7037037037037035E-2</v>
          </cell>
          <cell r="AM269">
            <v>0.41999958632957124</v>
          </cell>
          <cell r="AN269">
            <v>0.69026548672566368</v>
          </cell>
          <cell r="AO269">
            <v>2553.837</v>
          </cell>
          <cell r="AQ269">
            <v>53548</v>
          </cell>
          <cell r="AR269" t="str">
            <v/>
          </cell>
          <cell r="AS269">
            <v>33928</v>
          </cell>
          <cell r="AU269">
            <v>44423</v>
          </cell>
          <cell r="AV269" t="str">
            <v/>
          </cell>
          <cell r="AW269">
            <v>26695</v>
          </cell>
          <cell r="AX269" t="str">
            <v/>
          </cell>
          <cell r="AY269" t="str">
            <v/>
          </cell>
          <cell r="AZ269">
            <v>23627</v>
          </cell>
          <cell r="BA269" t="str">
            <v/>
          </cell>
          <cell r="BB269">
            <v>444.21049661300003</v>
          </cell>
          <cell r="BC269" t="str">
            <v/>
          </cell>
          <cell r="BD269">
            <v>762.96629610800017</v>
          </cell>
          <cell r="BE269" t="str">
            <v/>
          </cell>
          <cell r="BF269">
            <v>1262.5166824329999</v>
          </cell>
          <cell r="BG269" t="str">
            <v/>
          </cell>
          <cell r="BH269">
            <v>4</v>
          </cell>
          <cell r="BI269">
            <v>0</v>
          </cell>
          <cell r="BJ269">
            <v>0</v>
          </cell>
        </row>
        <row r="270">
          <cell r="A270" t="str">
            <v>5LE</v>
          </cell>
          <cell r="B270" t="str">
            <v>Q07</v>
          </cell>
          <cell r="C270" t="str">
            <v/>
          </cell>
          <cell r="D270" t="str">
            <v/>
          </cell>
          <cell r="E270" t="str">
            <v/>
          </cell>
          <cell r="F270">
            <v>1</v>
          </cell>
          <cell r="G270">
            <v>1</v>
          </cell>
          <cell r="H270">
            <v>0</v>
          </cell>
          <cell r="J270">
            <v>0</v>
          </cell>
          <cell r="K270">
            <v>19.235799998000001</v>
          </cell>
          <cell r="L270">
            <v>526.54129986800001</v>
          </cell>
          <cell r="M270" t="str">
            <v/>
          </cell>
          <cell r="N270">
            <v>0</v>
          </cell>
          <cell r="Q270" t="str">
            <v/>
          </cell>
          <cell r="R270" t="str">
            <v/>
          </cell>
          <cell r="S270">
            <v>414</v>
          </cell>
          <cell r="X270">
            <v>1</v>
          </cell>
          <cell r="Y270">
            <v>0.97560975609756095</v>
          </cell>
          <cell r="Z270">
            <v>1</v>
          </cell>
          <cell r="AA270">
            <v>0</v>
          </cell>
          <cell r="AB270" t="str">
            <v/>
          </cell>
          <cell r="AD270">
            <v>76</v>
          </cell>
          <cell r="AE270">
            <v>781</v>
          </cell>
          <cell r="AF270">
            <v>0.745211964708414</v>
          </cell>
          <cell r="AG270">
            <v>0</v>
          </cell>
          <cell r="AH270" t="str">
            <v/>
          </cell>
          <cell r="AI270">
            <v>3</v>
          </cell>
          <cell r="AJ270">
            <v>91</v>
          </cell>
          <cell r="AK270">
            <v>848.6218420257801</v>
          </cell>
          <cell r="AL270">
            <v>7.8781512605042014E-2</v>
          </cell>
          <cell r="AM270">
            <v>0.29409521828801194</v>
          </cell>
          <cell r="AN270">
            <v>0.71698113207547165</v>
          </cell>
          <cell r="AO270">
            <v>855</v>
          </cell>
          <cell r="AQ270">
            <v>40922</v>
          </cell>
          <cell r="AR270" t="str">
            <v/>
          </cell>
          <cell r="AS270">
            <v>30457</v>
          </cell>
          <cell r="AU270">
            <v>36974</v>
          </cell>
          <cell r="AV270" t="str">
            <v/>
          </cell>
          <cell r="AW270">
            <v>23502</v>
          </cell>
          <cell r="AX270" t="str">
            <v/>
          </cell>
          <cell r="AY270" t="str">
            <v/>
          </cell>
          <cell r="AZ270">
            <v>22286</v>
          </cell>
          <cell r="BA270" t="str">
            <v/>
          </cell>
          <cell r="BB270">
            <v>431.70466689699998</v>
          </cell>
          <cell r="BC270" t="str">
            <v/>
          </cell>
          <cell r="BD270">
            <v>713.51321212800008</v>
          </cell>
          <cell r="BE270" t="str">
            <v/>
          </cell>
          <cell r="BF270">
            <v>1149.0700403870001</v>
          </cell>
          <cell r="BG270" t="str">
            <v/>
          </cell>
          <cell r="BH270">
            <v>14</v>
          </cell>
          <cell r="BI270">
            <v>14</v>
          </cell>
          <cell r="BJ270">
            <v>14</v>
          </cell>
        </row>
        <row r="271">
          <cell r="A271" t="str">
            <v>5LF</v>
          </cell>
          <cell r="B271" t="str">
            <v>Q07</v>
          </cell>
          <cell r="C271" t="str">
            <v/>
          </cell>
          <cell r="D271" t="str">
            <v/>
          </cell>
          <cell r="E271" t="str">
            <v/>
          </cell>
          <cell r="F271">
            <v>1</v>
          </cell>
          <cell r="G271">
            <v>1</v>
          </cell>
          <cell r="H271">
            <v>0</v>
          </cell>
          <cell r="J271">
            <v>0</v>
          </cell>
          <cell r="K271">
            <v>8.6067999660000005</v>
          </cell>
          <cell r="L271">
            <v>246.41979912799999</v>
          </cell>
          <cell r="M271">
            <v>0</v>
          </cell>
          <cell r="N271">
            <v>0</v>
          </cell>
          <cell r="Q271" t="str">
            <v/>
          </cell>
          <cell r="R271" t="str">
            <v/>
          </cell>
          <cell r="S271">
            <v>528</v>
          </cell>
          <cell r="X271">
            <v>1</v>
          </cell>
          <cell r="Y271">
            <v>0.9821428571428571</v>
          </cell>
          <cell r="Z271">
            <v>1</v>
          </cell>
          <cell r="AA271">
            <v>0</v>
          </cell>
          <cell r="AB271" t="str">
            <v/>
          </cell>
          <cell r="AD271">
            <v>103</v>
          </cell>
          <cell r="AE271">
            <v>782</v>
          </cell>
          <cell r="AF271">
            <v>0.6581045172719221</v>
          </cell>
          <cell r="AG271">
            <v>0</v>
          </cell>
          <cell r="AH271" t="str">
            <v/>
          </cell>
          <cell r="AI271">
            <v>4</v>
          </cell>
          <cell r="AJ271">
            <v>298</v>
          </cell>
          <cell r="AK271">
            <v>621.08649542811338</v>
          </cell>
          <cell r="AL271">
            <v>0.11776859504132231</v>
          </cell>
          <cell r="AM271">
            <v>0.31694474402080824</v>
          </cell>
          <cell r="AN271">
            <v>0.61</v>
          </cell>
          <cell r="AO271">
            <v>170</v>
          </cell>
          <cell r="AQ271">
            <v>48837</v>
          </cell>
          <cell r="AR271" t="str">
            <v/>
          </cell>
          <cell r="AS271">
            <v>19231</v>
          </cell>
          <cell r="AU271">
            <v>37629</v>
          </cell>
          <cell r="AV271" t="str">
            <v/>
          </cell>
          <cell r="AW271">
            <v>26687</v>
          </cell>
          <cell r="AX271" t="str">
            <v/>
          </cell>
          <cell r="AY271" t="str">
            <v/>
          </cell>
          <cell r="AZ271">
            <v>23469</v>
          </cell>
          <cell r="BA271" t="str">
            <v/>
          </cell>
          <cell r="BB271">
            <v>451.30548709600004</v>
          </cell>
          <cell r="BC271" t="str">
            <v/>
          </cell>
          <cell r="BD271">
            <v>746.66405865799993</v>
          </cell>
          <cell r="BE271">
            <v>5.9999998999999998E-2</v>
          </cell>
          <cell r="BF271">
            <v>1388.4907820299998</v>
          </cell>
          <cell r="BG271">
            <v>0.02</v>
          </cell>
          <cell r="BH271">
            <v>0</v>
          </cell>
          <cell r="BI271">
            <v>0</v>
          </cell>
          <cell r="BJ271">
            <v>0</v>
          </cell>
        </row>
        <row r="272">
          <cell r="A272" t="str">
            <v>5LG</v>
          </cell>
          <cell r="B272" t="str">
            <v>Q08</v>
          </cell>
          <cell r="C272" t="str">
            <v/>
          </cell>
          <cell r="D272" t="str">
            <v/>
          </cell>
          <cell r="E272">
            <v>1</v>
          </cell>
          <cell r="F272">
            <v>1</v>
          </cell>
          <cell r="G272">
            <v>1</v>
          </cell>
          <cell r="H272">
            <v>0</v>
          </cell>
          <cell r="J272">
            <v>4</v>
          </cell>
          <cell r="K272">
            <v>61.271799979000001</v>
          </cell>
          <cell r="L272">
            <v>532.61229988799994</v>
          </cell>
          <cell r="M272" t="str">
            <v/>
          </cell>
          <cell r="N272">
            <v>0</v>
          </cell>
          <cell r="Q272" t="str">
            <v/>
          </cell>
          <cell r="R272">
            <v>1</v>
          </cell>
          <cell r="S272">
            <v>268</v>
          </cell>
          <cell r="X272">
            <v>1</v>
          </cell>
          <cell r="Y272">
            <v>1</v>
          </cell>
          <cell r="Z272">
            <v>0.96296296296296291</v>
          </cell>
          <cell r="AA272">
            <v>0</v>
          </cell>
          <cell r="AB272">
            <v>0.54545454545454541</v>
          </cell>
          <cell r="AD272">
            <v>73</v>
          </cell>
          <cell r="AE272">
            <v>210</v>
          </cell>
          <cell r="AF272">
            <v>0.84647796024200517</v>
          </cell>
          <cell r="AG272">
            <v>0</v>
          </cell>
          <cell r="AH272" t="str">
            <v/>
          </cell>
          <cell r="AI272">
            <v>0</v>
          </cell>
          <cell r="AJ272">
            <v>0</v>
          </cell>
          <cell r="AK272">
            <v>400.42952055409859</v>
          </cell>
          <cell r="AL272">
            <v>7.1949947862356617E-2</v>
          </cell>
          <cell r="AM272">
            <v>0.2899985420070208</v>
          </cell>
          <cell r="AN272">
            <v>0.69262295081967218</v>
          </cell>
          <cell r="AO272">
            <v>-8935</v>
          </cell>
          <cell r="AQ272">
            <v>62177</v>
          </cell>
          <cell r="AR272" t="str">
            <v/>
          </cell>
          <cell r="AS272">
            <v>25801</v>
          </cell>
          <cell r="AU272">
            <v>45048</v>
          </cell>
          <cell r="AV272" t="str">
            <v/>
          </cell>
          <cell r="AW272">
            <v>18295</v>
          </cell>
          <cell r="AX272" t="str">
            <v/>
          </cell>
          <cell r="AY272" t="str">
            <v/>
          </cell>
          <cell r="AZ272">
            <v>19756</v>
          </cell>
          <cell r="BA272" t="str">
            <v/>
          </cell>
          <cell r="BB272">
            <v>754.73016052599996</v>
          </cell>
          <cell r="BC272" t="str">
            <v/>
          </cell>
          <cell r="BD272">
            <v>1448.8686068059999</v>
          </cell>
          <cell r="BE272" t="str">
            <v/>
          </cell>
          <cell r="BF272">
            <v>2167.843812304</v>
          </cell>
          <cell r="BG272" t="str">
            <v/>
          </cell>
          <cell r="BH272">
            <v>32</v>
          </cell>
          <cell r="BI272">
            <v>10</v>
          </cell>
          <cell r="BJ272">
            <v>10</v>
          </cell>
        </row>
        <row r="273">
          <cell r="A273" t="str">
            <v>5LH</v>
          </cell>
          <cell r="B273" t="str">
            <v>Q14</v>
          </cell>
          <cell r="C273" t="str">
            <v/>
          </cell>
          <cell r="D273" t="str">
            <v/>
          </cell>
          <cell r="E273" t="str">
            <v/>
          </cell>
          <cell r="F273">
            <v>1</v>
          </cell>
          <cell r="G273">
            <v>0.96374077326354779</v>
          </cell>
          <cell r="H273">
            <v>0</v>
          </cell>
          <cell r="J273">
            <v>0</v>
          </cell>
          <cell r="K273">
            <v>28.919999934</v>
          </cell>
          <cell r="L273">
            <v>1006</v>
          </cell>
          <cell r="M273" t="str">
            <v/>
          </cell>
          <cell r="N273">
            <v>0</v>
          </cell>
          <cell r="Q273" t="str">
            <v/>
          </cell>
          <cell r="R273" t="str">
            <v/>
          </cell>
          <cell r="S273">
            <v>828</v>
          </cell>
          <cell r="X273">
            <v>1</v>
          </cell>
          <cell r="Y273">
            <v>1</v>
          </cell>
          <cell r="Z273">
            <v>0.70833333333333337</v>
          </cell>
          <cell r="AA273">
            <v>0</v>
          </cell>
          <cell r="AB273" t="str">
            <v/>
          </cell>
          <cell r="AD273">
            <v>70</v>
          </cell>
          <cell r="AE273">
            <v>723</v>
          </cell>
          <cell r="AF273">
            <v>0.93199503778053461</v>
          </cell>
          <cell r="AG273">
            <v>0</v>
          </cell>
          <cell r="AH273" t="str">
            <v/>
          </cell>
          <cell r="AI273">
            <v>18</v>
          </cell>
          <cell r="AJ273">
            <v>694</v>
          </cell>
          <cell r="AK273">
            <v>982.01422367932071</v>
          </cell>
          <cell r="AL273">
            <v>0.23130193905817176</v>
          </cell>
          <cell r="AM273">
            <v>0.3137769603745193</v>
          </cell>
          <cell r="AN273">
            <v>0.30434782608695654</v>
          </cell>
          <cell r="AO273">
            <v>100</v>
          </cell>
          <cell r="AQ273">
            <v>47063</v>
          </cell>
          <cell r="AR273" t="str">
            <v/>
          </cell>
          <cell r="AS273">
            <v>27767</v>
          </cell>
          <cell r="AU273">
            <v>36788</v>
          </cell>
          <cell r="AV273" t="str">
            <v/>
          </cell>
          <cell r="AW273">
            <v>23273</v>
          </cell>
          <cell r="AX273" t="str">
            <v/>
          </cell>
          <cell r="AY273" t="str">
            <v/>
          </cell>
          <cell r="AZ273">
            <v>21483</v>
          </cell>
          <cell r="BA273" t="str">
            <v/>
          </cell>
          <cell r="BB273">
            <v>374.87999955999999</v>
          </cell>
          <cell r="BC273">
            <v>2.719999939</v>
          </cell>
          <cell r="BD273">
            <v>742.51999909000006</v>
          </cell>
          <cell r="BE273">
            <v>0.67999998500000003</v>
          </cell>
          <cell r="BF273">
            <v>989.83999884000002</v>
          </cell>
          <cell r="BG273">
            <v>2</v>
          </cell>
          <cell r="BH273">
            <v>249</v>
          </cell>
          <cell r="BI273">
            <v>249</v>
          </cell>
          <cell r="BJ273">
            <v>0</v>
          </cell>
        </row>
        <row r="274">
          <cell r="A274" t="str">
            <v>5LJ</v>
          </cell>
          <cell r="B274" t="str">
            <v>Q12</v>
          </cell>
          <cell r="C274" t="str">
            <v/>
          </cell>
          <cell r="D274" t="str">
            <v/>
          </cell>
          <cell r="E274" t="str">
            <v/>
          </cell>
          <cell r="F274">
            <v>1</v>
          </cell>
          <cell r="G274">
            <v>1</v>
          </cell>
          <cell r="H274">
            <v>0</v>
          </cell>
          <cell r="J274">
            <v>0</v>
          </cell>
          <cell r="K274">
            <v>31.014200000000002</v>
          </cell>
          <cell r="L274">
            <v>401.46619999199999</v>
          </cell>
          <cell r="M274" t="str">
            <v/>
          </cell>
          <cell r="N274">
            <v>0</v>
          </cell>
          <cell r="Q274" t="str">
            <v/>
          </cell>
          <cell r="R274" t="str">
            <v/>
          </cell>
          <cell r="S274">
            <v>238</v>
          </cell>
          <cell r="X274">
            <v>1</v>
          </cell>
          <cell r="Y274">
            <v>1</v>
          </cell>
          <cell r="Z274">
            <v>1</v>
          </cell>
          <cell r="AA274">
            <v>0</v>
          </cell>
          <cell r="AB274" t="str">
            <v/>
          </cell>
          <cell r="AD274">
            <v>0</v>
          </cell>
          <cell r="AE274">
            <v>205</v>
          </cell>
          <cell r="AF274">
            <v>0.61319722931097342</v>
          </cell>
          <cell r="AG274">
            <v>0</v>
          </cell>
          <cell r="AH274" t="str">
            <v/>
          </cell>
          <cell r="AI274">
            <v>1</v>
          </cell>
          <cell r="AJ274">
            <v>79</v>
          </cell>
          <cell r="AK274">
            <v>662.46027554641398</v>
          </cell>
          <cell r="AL274" t="str">
            <v/>
          </cell>
          <cell r="AM274">
            <v>0.38260013260013259</v>
          </cell>
          <cell r="AN274">
            <v>0.48571428571428571</v>
          </cell>
          <cell r="AO274">
            <v>-3553</v>
          </cell>
          <cell r="AQ274">
            <v>26511</v>
          </cell>
          <cell r="AR274" t="str">
            <v/>
          </cell>
          <cell r="AS274">
            <v>12275</v>
          </cell>
          <cell r="AU274">
            <v>22063</v>
          </cell>
          <cell r="AV274" t="str">
            <v/>
          </cell>
          <cell r="AW274">
            <v>17524</v>
          </cell>
          <cell r="AX274" t="str">
            <v/>
          </cell>
          <cell r="AY274" t="str">
            <v/>
          </cell>
          <cell r="AZ274">
            <v>11661</v>
          </cell>
          <cell r="BA274" t="str">
            <v/>
          </cell>
          <cell r="BB274">
            <v>196.014199964</v>
          </cell>
          <cell r="BC274" t="str">
            <v/>
          </cell>
          <cell r="BD274">
            <v>381.95199989600002</v>
          </cell>
          <cell r="BE274" t="str">
            <v/>
          </cell>
          <cell r="BF274">
            <v>730.13039982199996</v>
          </cell>
          <cell r="BG274" t="str">
            <v/>
          </cell>
          <cell r="BH274">
            <v>41</v>
          </cell>
          <cell r="BI274">
            <v>41</v>
          </cell>
          <cell r="BJ274">
            <v>0</v>
          </cell>
        </row>
        <row r="275">
          <cell r="A275" t="str">
            <v>5LK</v>
          </cell>
          <cell r="B275" t="str">
            <v>Q12</v>
          </cell>
          <cell r="C275" t="str">
            <v/>
          </cell>
          <cell r="D275" t="str">
            <v/>
          </cell>
          <cell r="E275" t="str">
            <v/>
          </cell>
          <cell r="F275">
            <v>1</v>
          </cell>
          <cell r="G275">
            <v>1</v>
          </cell>
          <cell r="H275">
            <v>0</v>
          </cell>
          <cell r="J275">
            <v>0</v>
          </cell>
          <cell r="K275">
            <v>21</v>
          </cell>
          <cell r="L275">
            <v>540.19000000400001</v>
          </cell>
          <cell r="M275" t="str">
            <v/>
          </cell>
          <cell r="N275">
            <v>1</v>
          </cell>
          <cell r="Q275" t="str">
            <v/>
          </cell>
          <cell r="R275" t="str">
            <v/>
          </cell>
          <cell r="S275">
            <v>25</v>
          </cell>
          <cell r="X275">
            <v>1</v>
          </cell>
          <cell r="Y275">
            <v>0.92592592592592593</v>
          </cell>
          <cell r="Z275">
            <v>0.8571428571428571</v>
          </cell>
          <cell r="AA275">
            <v>0</v>
          </cell>
          <cell r="AB275" t="str">
            <v/>
          </cell>
          <cell r="AD275">
            <v>0</v>
          </cell>
          <cell r="AE275">
            <v>82</v>
          </cell>
          <cell r="AF275">
            <v>0.69011652999568407</v>
          </cell>
          <cell r="AG275">
            <v>0</v>
          </cell>
          <cell r="AH275" t="str">
            <v/>
          </cell>
          <cell r="AI275">
            <v>1</v>
          </cell>
          <cell r="AJ275">
            <v>40</v>
          </cell>
          <cell r="AK275">
            <v>631.32240019967401</v>
          </cell>
          <cell r="AL275" t="str">
            <v/>
          </cell>
          <cell r="AM275">
            <v>0.28558361282811762</v>
          </cell>
          <cell r="AN275">
            <v>0.22727272727272727</v>
          </cell>
          <cell r="AO275">
            <v>-2772</v>
          </cell>
          <cell r="AQ275">
            <v>15521</v>
          </cell>
          <cell r="AR275" t="str">
            <v/>
          </cell>
          <cell r="AS275">
            <v>6878</v>
          </cell>
          <cell r="AU275">
            <v>12894</v>
          </cell>
          <cell r="AV275" t="str">
            <v/>
          </cell>
          <cell r="AW275">
            <v>10947</v>
          </cell>
          <cell r="AX275" t="str">
            <v/>
          </cell>
          <cell r="AY275" t="str">
            <v/>
          </cell>
          <cell r="AZ275">
            <v>6208</v>
          </cell>
          <cell r="BA275" t="str">
            <v/>
          </cell>
          <cell r="BB275">
            <v>139.982300017</v>
          </cell>
          <cell r="BC275" t="str">
            <v/>
          </cell>
          <cell r="BD275">
            <v>272.01340005100002</v>
          </cell>
          <cell r="BE275" t="str">
            <v/>
          </cell>
          <cell r="BF275">
            <v>509.07680008599999</v>
          </cell>
          <cell r="BG275" t="str">
            <v/>
          </cell>
          <cell r="BH275">
            <v>23</v>
          </cell>
          <cell r="BI275">
            <v>23</v>
          </cell>
          <cell r="BJ275">
            <v>0</v>
          </cell>
        </row>
        <row r="276">
          <cell r="A276" t="str">
            <v>5LL</v>
          </cell>
          <cell r="B276" t="str">
            <v>Q18</v>
          </cell>
          <cell r="C276" t="str">
            <v/>
          </cell>
          <cell r="D276" t="str">
            <v/>
          </cell>
          <cell r="E276" t="str">
            <v/>
          </cell>
          <cell r="F276">
            <v>1</v>
          </cell>
          <cell r="G276">
            <v>1</v>
          </cell>
          <cell r="H276">
            <v>0</v>
          </cell>
          <cell r="J276">
            <v>1</v>
          </cell>
          <cell r="K276">
            <v>106.03220000100001</v>
          </cell>
          <cell r="L276">
            <v>658.60970044199996</v>
          </cell>
          <cell r="M276" t="str">
            <v/>
          </cell>
          <cell r="N276">
            <v>0</v>
          </cell>
          <cell r="Q276" t="str">
            <v/>
          </cell>
          <cell r="R276" t="str">
            <v/>
          </cell>
          <cell r="S276">
            <v>105</v>
          </cell>
          <cell r="X276">
            <v>0.98230088495575218</v>
          </cell>
          <cell r="Y276">
            <v>1</v>
          </cell>
          <cell r="Z276">
            <v>0.90909090909090906</v>
          </cell>
          <cell r="AA276">
            <v>0</v>
          </cell>
          <cell r="AB276" t="str">
            <v/>
          </cell>
          <cell r="AD276">
            <v>0</v>
          </cell>
          <cell r="AE276">
            <v>116</v>
          </cell>
          <cell r="AF276">
            <v>0.95142555438225973</v>
          </cell>
          <cell r="AG276">
            <v>0</v>
          </cell>
          <cell r="AH276" t="str">
            <v/>
          </cell>
          <cell r="AI276">
            <v>0</v>
          </cell>
          <cell r="AJ276">
            <v>0</v>
          </cell>
          <cell r="AK276">
            <v>603.23585475847312</v>
          </cell>
          <cell r="AL276">
            <v>0.18772563176895307</v>
          </cell>
          <cell r="AM276">
            <v>4.3083549484805937E-2</v>
          </cell>
          <cell r="AN276">
            <v>0.66666666666666663</v>
          </cell>
          <cell r="AO276">
            <v>97</v>
          </cell>
          <cell r="AQ276">
            <v>17061</v>
          </cell>
          <cell r="AR276" t="str">
            <v/>
          </cell>
          <cell r="AS276">
            <v>9163</v>
          </cell>
          <cell r="AU276">
            <v>12676</v>
          </cell>
          <cell r="AV276" t="str">
            <v/>
          </cell>
          <cell r="AW276">
            <v>8675</v>
          </cell>
          <cell r="AX276" t="str">
            <v/>
          </cell>
          <cell r="AY276" t="str">
            <v/>
          </cell>
          <cell r="AZ276">
            <v>8815</v>
          </cell>
          <cell r="BA276" t="str">
            <v/>
          </cell>
          <cell r="BB276">
            <v>333.432600009</v>
          </cell>
          <cell r="BC276">
            <v>32</v>
          </cell>
          <cell r="BD276">
            <v>409.533400008</v>
          </cell>
          <cell r="BE276">
            <v>7</v>
          </cell>
          <cell r="BF276">
            <v>1181.9357000069999</v>
          </cell>
          <cell r="BG276">
            <v>17</v>
          </cell>
          <cell r="BH276">
            <v>240</v>
          </cell>
          <cell r="BI276">
            <v>0</v>
          </cell>
          <cell r="BJ276">
            <v>0</v>
          </cell>
        </row>
        <row r="277">
          <cell r="A277" t="str">
            <v>5LM</v>
          </cell>
          <cell r="B277" t="str">
            <v>Q18</v>
          </cell>
          <cell r="C277" t="str">
            <v/>
          </cell>
          <cell r="D277" t="str">
            <v/>
          </cell>
          <cell r="E277">
            <v>1</v>
          </cell>
          <cell r="F277">
            <v>1</v>
          </cell>
          <cell r="G277">
            <v>1</v>
          </cell>
          <cell r="H277">
            <v>1</v>
          </cell>
          <cell r="J277">
            <v>1</v>
          </cell>
          <cell r="K277">
            <v>132.02399999900001</v>
          </cell>
          <cell r="L277">
            <v>1753.7230009969999</v>
          </cell>
          <cell r="M277">
            <v>0</v>
          </cell>
          <cell r="N277">
            <v>0</v>
          </cell>
          <cell r="Q277" t="str">
            <v/>
          </cell>
          <cell r="R277" t="str">
            <v/>
          </cell>
          <cell r="S277">
            <v>262</v>
          </cell>
          <cell r="X277">
            <v>1</v>
          </cell>
          <cell r="Y277">
            <v>1</v>
          </cell>
          <cell r="Z277">
            <v>0.97297297297297303</v>
          </cell>
          <cell r="AA277">
            <v>0</v>
          </cell>
          <cell r="AB277" t="str">
            <v/>
          </cell>
          <cell r="AD277">
            <v>0</v>
          </cell>
          <cell r="AE277">
            <v>159</v>
          </cell>
          <cell r="AF277">
            <v>0.93095422808378592</v>
          </cell>
          <cell r="AG277">
            <v>0</v>
          </cell>
          <cell r="AH277" t="str">
            <v/>
          </cell>
          <cell r="AI277">
            <v>14</v>
          </cell>
          <cell r="AJ277">
            <v>36</v>
          </cell>
          <cell r="AK277">
            <v>737.34614141770226</v>
          </cell>
          <cell r="AL277" t="str">
            <v/>
          </cell>
          <cell r="AM277">
            <v>4.2580101180438451E-2</v>
          </cell>
          <cell r="AN277">
            <v>0.25</v>
          </cell>
          <cell r="AO277">
            <v>-490</v>
          </cell>
          <cell r="AQ277">
            <v>31202</v>
          </cell>
          <cell r="AR277" t="str">
            <v/>
          </cell>
          <cell r="AS277">
            <v>13385</v>
          </cell>
          <cell r="AU277">
            <v>23184</v>
          </cell>
          <cell r="AV277" t="str">
            <v/>
          </cell>
          <cell r="AW277">
            <v>12775</v>
          </cell>
          <cell r="AX277" t="str">
            <v/>
          </cell>
          <cell r="AY277" t="str">
            <v/>
          </cell>
          <cell r="AZ277">
            <v>15145</v>
          </cell>
          <cell r="BA277" t="str">
            <v/>
          </cell>
          <cell r="BB277">
            <v>426.43229858899997</v>
          </cell>
          <cell r="BC277">
            <v>10</v>
          </cell>
          <cell r="BD277">
            <v>556.46792347999997</v>
          </cell>
          <cell r="BE277">
            <v>25</v>
          </cell>
          <cell r="BF277">
            <v>1326.329713333</v>
          </cell>
          <cell r="BG277">
            <v>2</v>
          </cell>
          <cell r="BH277">
            <v>385</v>
          </cell>
          <cell r="BI277">
            <v>0</v>
          </cell>
          <cell r="BJ277">
            <v>0</v>
          </cell>
        </row>
        <row r="278">
          <cell r="A278" t="str">
            <v>5LN</v>
          </cell>
          <cell r="B278" t="str">
            <v>Q18</v>
          </cell>
          <cell r="C278" t="str">
            <v/>
          </cell>
          <cell r="D278" t="str">
            <v/>
          </cell>
          <cell r="E278">
            <v>1</v>
          </cell>
          <cell r="F278">
            <v>1</v>
          </cell>
          <cell r="G278">
            <v>1</v>
          </cell>
          <cell r="H278">
            <v>0</v>
          </cell>
          <cell r="J278">
            <v>0</v>
          </cell>
          <cell r="K278">
            <v>90.0595</v>
          </cell>
          <cell r="L278">
            <v>1698.616499899</v>
          </cell>
          <cell r="M278" t="str">
            <v/>
          </cell>
          <cell r="N278">
            <v>0</v>
          </cell>
          <cell r="Q278" t="str">
            <v/>
          </cell>
          <cell r="R278" t="str">
            <v/>
          </cell>
          <cell r="S278">
            <v>350</v>
          </cell>
          <cell r="X278">
            <v>1</v>
          </cell>
          <cell r="Y278">
            <v>1</v>
          </cell>
          <cell r="Z278">
            <v>0.87878787878787878</v>
          </cell>
          <cell r="AA278">
            <v>0</v>
          </cell>
          <cell r="AB278" t="str">
            <v/>
          </cell>
          <cell r="AD278">
            <v>38</v>
          </cell>
          <cell r="AE278">
            <v>287</v>
          </cell>
          <cell r="AF278">
            <v>1</v>
          </cell>
          <cell r="AG278">
            <v>0</v>
          </cell>
          <cell r="AH278" t="str">
            <v/>
          </cell>
          <cell r="AI278">
            <v>6</v>
          </cell>
          <cell r="AJ278">
            <v>240</v>
          </cell>
          <cell r="AK278">
            <v>883.38846755235977</v>
          </cell>
          <cell r="AL278" t="str">
            <v/>
          </cell>
          <cell r="AM278">
            <v>0.42333412005349697</v>
          </cell>
          <cell r="AN278">
            <v>0.53846153846153844</v>
          </cell>
          <cell r="AO278">
            <v>920</v>
          </cell>
          <cell r="AQ278">
            <v>43982</v>
          </cell>
          <cell r="AR278" t="str">
            <v/>
          </cell>
          <cell r="AS278">
            <v>21944</v>
          </cell>
          <cell r="AU278">
            <v>32679</v>
          </cell>
          <cell r="AV278" t="str">
            <v/>
          </cell>
          <cell r="AW278">
            <v>21354</v>
          </cell>
          <cell r="AX278" t="str">
            <v/>
          </cell>
          <cell r="AY278" t="str">
            <v/>
          </cell>
          <cell r="AZ278">
            <v>22118</v>
          </cell>
          <cell r="BA278" t="str">
            <v/>
          </cell>
          <cell r="BB278">
            <v>685.80106816299997</v>
          </cell>
          <cell r="BC278">
            <v>29</v>
          </cell>
          <cell r="BD278">
            <v>982.05547962900005</v>
          </cell>
          <cell r="BE278">
            <v>37</v>
          </cell>
          <cell r="BF278">
            <v>2280.4314718720002</v>
          </cell>
          <cell r="BG278">
            <v>16</v>
          </cell>
          <cell r="BH278">
            <v>460</v>
          </cell>
          <cell r="BI278">
            <v>0</v>
          </cell>
          <cell r="BJ278">
            <v>0</v>
          </cell>
        </row>
        <row r="279">
          <cell r="A279" t="str">
            <v>5LP</v>
          </cell>
          <cell r="B279" t="str">
            <v>Q18</v>
          </cell>
          <cell r="C279" t="str">
            <v/>
          </cell>
          <cell r="D279" t="str">
            <v/>
          </cell>
          <cell r="E279">
            <v>1</v>
          </cell>
          <cell r="F279">
            <v>1</v>
          </cell>
          <cell r="G279">
            <v>1</v>
          </cell>
          <cell r="H279">
            <v>0</v>
          </cell>
          <cell r="J279">
            <v>0</v>
          </cell>
          <cell r="K279">
            <v>118.018000001</v>
          </cell>
          <cell r="L279">
            <v>646.39150001400003</v>
          </cell>
          <cell r="M279" t="str">
            <v/>
          </cell>
          <cell r="N279">
            <v>1</v>
          </cell>
          <cell r="Q279" t="str">
            <v/>
          </cell>
          <cell r="R279" t="str">
            <v/>
          </cell>
          <cell r="S279">
            <v>144</v>
          </cell>
          <cell r="X279">
            <v>0.98571428571428577</v>
          </cell>
          <cell r="Y279">
            <v>0.95652173913043481</v>
          </cell>
          <cell r="Z279">
            <v>0.8</v>
          </cell>
          <cell r="AA279">
            <v>0</v>
          </cell>
          <cell r="AB279" t="str">
            <v/>
          </cell>
          <cell r="AD279">
            <v>0</v>
          </cell>
          <cell r="AE279">
            <v>77</v>
          </cell>
          <cell r="AF279">
            <v>1</v>
          </cell>
          <cell r="AG279">
            <v>0</v>
          </cell>
          <cell r="AH279" t="str">
            <v/>
          </cell>
          <cell r="AI279">
            <v>2</v>
          </cell>
          <cell r="AJ279">
            <v>30</v>
          </cell>
          <cell r="AK279">
            <v>732.45708358107004</v>
          </cell>
          <cell r="AL279" t="str">
            <v/>
          </cell>
          <cell r="AM279">
            <v>0.39866271204079506</v>
          </cell>
          <cell r="AN279">
            <v>0.86956521739130432</v>
          </cell>
          <cell r="AO279">
            <v>552</v>
          </cell>
          <cell r="AQ279">
            <v>18916</v>
          </cell>
          <cell r="AR279" t="str">
            <v/>
          </cell>
          <cell r="AS279">
            <v>11018</v>
          </cell>
          <cell r="AU279">
            <v>14055</v>
          </cell>
          <cell r="AV279" t="str">
            <v/>
          </cell>
          <cell r="AW279">
            <v>8974</v>
          </cell>
          <cell r="AX279" t="str">
            <v/>
          </cell>
          <cell r="AY279" t="str">
            <v/>
          </cell>
          <cell r="AZ279">
            <v>9151</v>
          </cell>
          <cell r="BA279" t="str">
            <v/>
          </cell>
          <cell r="BB279">
            <v>322.27960001299999</v>
          </cell>
          <cell r="BC279">
            <v>16</v>
          </cell>
          <cell r="BD279">
            <v>461.29100001400002</v>
          </cell>
          <cell r="BE279">
            <v>13</v>
          </cell>
          <cell r="BF279">
            <v>1183.4245000200001</v>
          </cell>
          <cell r="BG279">
            <v>2</v>
          </cell>
          <cell r="BH279">
            <v>246</v>
          </cell>
          <cell r="BI279">
            <v>0</v>
          </cell>
          <cell r="BJ279">
            <v>0</v>
          </cell>
        </row>
        <row r="280">
          <cell r="A280" t="str">
            <v>5LQ</v>
          </cell>
          <cell r="B280" t="str">
            <v>Q19</v>
          </cell>
          <cell r="C280" t="str">
            <v/>
          </cell>
          <cell r="D280" t="str">
            <v/>
          </cell>
          <cell r="E280" t="str">
            <v/>
          </cell>
          <cell r="F280">
            <v>1</v>
          </cell>
          <cell r="G280">
            <v>1</v>
          </cell>
          <cell r="H280">
            <v>0</v>
          </cell>
          <cell r="J280">
            <v>0</v>
          </cell>
          <cell r="K280">
            <v>253.79614496600001</v>
          </cell>
          <cell r="L280">
            <v>6417.0725519779999</v>
          </cell>
          <cell r="M280" t="str">
            <v/>
          </cell>
          <cell r="N280">
            <v>0</v>
          </cell>
          <cell r="Q280" t="str">
            <v/>
          </cell>
          <cell r="R280" t="str">
            <v/>
          </cell>
          <cell r="S280">
            <v>11</v>
          </cell>
          <cell r="X280">
            <v>0.99606299212598426</v>
          </cell>
          <cell r="Y280">
            <v>1</v>
          </cell>
          <cell r="Z280">
            <v>0.90909090909090906</v>
          </cell>
          <cell r="AA280">
            <v>0</v>
          </cell>
          <cell r="AB280" t="str">
            <v/>
          </cell>
          <cell r="AD280">
            <v>14</v>
          </cell>
          <cell r="AE280">
            <v>252</v>
          </cell>
          <cell r="AF280">
            <v>0.65997130559540884</v>
          </cell>
          <cell r="AG280">
            <v>0</v>
          </cell>
          <cell r="AH280" t="str">
            <v/>
          </cell>
          <cell r="AI280">
            <v>6</v>
          </cell>
          <cell r="AJ280">
            <v>931</v>
          </cell>
          <cell r="AK280">
            <v>823.23467170255378</v>
          </cell>
          <cell r="AL280" t="str">
            <v/>
          </cell>
          <cell r="AM280">
            <v>0.16859989913569726</v>
          </cell>
          <cell r="AN280">
            <v>0.55333333333333334</v>
          </cell>
          <cell r="AO280">
            <v>21</v>
          </cell>
          <cell r="AQ280">
            <v>52915</v>
          </cell>
          <cell r="AR280" t="str">
            <v/>
          </cell>
          <cell r="AS280">
            <v>20265</v>
          </cell>
          <cell r="AU280">
            <v>40570</v>
          </cell>
          <cell r="AV280" t="str">
            <v/>
          </cell>
          <cell r="AW280">
            <v>19495</v>
          </cell>
          <cell r="AX280" t="str">
            <v/>
          </cell>
          <cell r="AY280" t="str">
            <v/>
          </cell>
          <cell r="AZ280">
            <v>17831</v>
          </cell>
          <cell r="BA280" t="str">
            <v/>
          </cell>
          <cell r="BB280">
            <v>736.99242373000004</v>
          </cell>
          <cell r="BC280">
            <v>232.47898939999999</v>
          </cell>
          <cell r="BD280">
            <v>854.40956430699998</v>
          </cell>
          <cell r="BE280" t="str">
            <v/>
          </cell>
          <cell r="BF280">
            <v>1350.257731856</v>
          </cell>
          <cell r="BG280" t="str">
            <v/>
          </cell>
          <cell r="BH280">
            <v>1216</v>
          </cell>
          <cell r="BI280">
            <v>1216</v>
          </cell>
          <cell r="BJ280">
            <v>0</v>
          </cell>
        </row>
        <row r="281">
          <cell r="A281" t="str">
            <v>5LR</v>
          </cell>
          <cell r="B281" t="str">
            <v>Q19</v>
          </cell>
          <cell r="C281" t="str">
            <v/>
          </cell>
          <cell r="D281" t="str">
            <v/>
          </cell>
          <cell r="E281" t="str">
            <v/>
          </cell>
          <cell r="F281">
            <v>1</v>
          </cell>
          <cell r="G281">
            <v>1</v>
          </cell>
          <cell r="H281">
            <v>0</v>
          </cell>
          <cell r="J281">
            <v>0</v>
          </cell>
          <cell r="K281">
            <v>6.5633999459999997</v>
          </cell>
          <cell r="L281">
            <v>232.72489935999999</v>
          </cell>
          <cell r="M281" t="str">
            <v/>
          </cell>
          <cell r="N281">
            <v>0</v>
          </cell>
          <cell r="Q281" t="str">
            <v/>
          </cell>
          <cell r="R281" t="str">
            <v/>
          </cell>
          <cell r="S281">
            <v>43</v>
          </cell>
          <cell r="X281">
            <v>1</v>
          </cell>
          <cell r="Y281">
            <v>0.967741935483871</v>
          </cell>
          <cell r="Z281">
            <v>0.61111111111111116</v>
          </cell>
          <cell r="AA281">
            <v>0</v>
          </cell>
          <cell r="AB281" t="str">
            <v/>
          </cell>
          <cell r="AD281">
            <v>143</v>
          </cell>
          <cell r="AE281">
            <v>571</v>
          </cell>
          <cell r="AF281">
            <v>0.90958992573458186</v>
          </cell>
          <cell r="AG281">
            <v>0</v>
          </cell>
          <cell r="AH281" t="str">
            <v/>
          </cell>
          <cell r="AI281">
            <v>4</v>
          </cell>
          <cell r="AJ281">
            <v>96</v>
          </cell>
          <cell r="AK281">
            <v>1179.788585330147</v>
          </cell>
          <cell r="AL281">
            <v>0.19794344473007713</v>
          </cell>
          <cell r="AM281">
            <v>0.19999843021521749</v>
          </cell>
          <cell r="AN281">
            <v>0.2413793103448276</v>
          </cell>
          <cell r="AO281">
            <v>-7168</v>
          </cell>
          <cell r="AQ281">
            <v>36477</v>
          </cell>
          <cell r="AR281" t="str">
            <v/>
          </cell>
          <cell r="AS281">
            <v>11388</v>
          </cell>
          <cell r="AU281">
            <v>32945</v>
          </cell>
          <cell r="AV281" t="str">
            <v/>
          </cell>
          <cell r="AW281">
            <v>18397</v>
          </cell>
          <cell r="AX281" t="str">
            <v/>
          </cell>
          <cell r="AY281" t="str">
            <v/>
          </cell>
          <cell r="AZ281">
            <v>19995</v>
          </cell>
          <cell r="BA281" t="str">
            <v/>
          </cell>
          <cell r="BB281">
            <v>421.43789986500002</v>
          </cell>
          <cell r="BC281">
            <v>3.2369999489999999</v>
          </cell>
          <cell r="BD281">
            <v>701.79959984700008</v>
          </cell>
          <cell r="BE281" t="str">
            <v/>
          </cell>
          <cell r="BF281">
            <v>1269.2960997409998</v>
          </cell>
          <cell r="BG281" t="str">
            <v/>
          </cell>
          <cell r="BH281">
            <v>407</v>
          </cell>
          <cell r="BI281">
            <v>36</v>
          </cell>
          <cell r="BJ281">
            <v>36</v>
          </cell>
        </row>
        <row r="282">
          <cell r="A282" t="str">
            <v>5LT</v>
          </cell>
          <cell r="B282" t="str">
            <v>Q19</v>
          </cell>
          <cell r="C282" t="str">
            <v/>
          </cell>
          <cell r="D282" t="str">
            <v/>
          </cell>
          <cell r="E282">
            <v>1</v>
          </cell>
          <cell r="F282">
            <v>1</v>
          </cell>
          <cell r="G282">
            <v>1</v>
          </cell>
          <cell r="H282">
            <v>0</v>
          </cell>
          <cell r="J282">
            <v>0</v>
          </cell>
          <cell r="K282">
            <v>100.06530176999999</v>
          </cell>
          <cell r="L282">
            <v>2208.8893034299999</v>
          </cell>
          <cell r="M282" t="str">
            <v/>
          </cell>
          <cell r="N282">
            <v>0</v>
          </cell>
          <cell r="Q282" t="str">
            <v/>
          </cell>
          <cell r="R282">
            <v>0.83458646616541354</v>
          </cell>
          <cell r="S282" t="str">
            <v/>
          </cell>
          <cell r="X282">
            <v>1</v>
          </cell>
          <cell r="Y282">
            <v>0.97499999999999998</v>
          </cell>
          <cell r="Z282">
            <v>0.84615384615384615</v>
          </cell>
          <cell r="AA282">
            <v>0</v>
          </cell>
          <cell r="AB282" t="str">
            <v/>
          </cell>
          <cell r="AD282">
            <v>0</v>
          </cell>
          <cell r="AE282">
            <v>124</v>
          </cell>
          <cell r="AF282">
            <v>0.70797831138652212</v>
          </cell>
          <cell r="AG282">
            <v>0</v>
          </cell>
          <cell r="AH282" t="str">
            <v/>
          </cell>
          <cell r="AI282">
            <v>4</v>
          </cell>
          <cell r="AJ282">
            <v>124</v>
          </cell>
          <cell r="AK282">
            <v>701</v>
          </cell>
          <cell r="AL282" t="str">
            <v/>
          </cell>
          <cell r="AM282">
            <v>0.23207027444657194</v>
          </cell>
          <cell r="AN282">
            <v>0.57692307692307687</v>
          </cell>
          <cell r="AO282">
            <v>-3994</v>
          </cell>
          <cell r="AQ282">
            <v>29785</v>
          </cell>
          <cell r="AR282" t="str">
            <v/>
          </cell>
          <cell r="AS282">
            <v>9461</v>
          </cell>
          <cell r="AU282">
            <v>24605</v>
          </cell>
          <cell r="AV282" t="str">
            <v/>
          </cell>
          <cell r="AW282">
            <v>12750</v>
          </cell>
          <cell r="AX282" t="str">
            <v/>
          </cell>
          <cell r="AY282" t="str">
            <v/>
          </cell>
          <cell r="AZ282">
            <v>10053</v>
          </cell>
          <cell r="BA282" t="str">
            <v/>
          </cell>
          <cell r="BB282">
            <v>334.75480490199999</v>
          </cell>
          <cell r="BC282">
            <v>77.325001630000003</v>
          </cell>
          <cell r="BD282">
            <v>503.19660560699998</v>
          </cell>
          <cell r="BE282">
            <v>12</v>
          </cell>
          <cell r="BF282">
            <v>804.14780912200001</v>
          </cell>
          <cell r="BG282">
            <v>2</v>
          </cell>
          <cell r="BH282">
            <v>553</v>
          </cell>
          <cell r="BI282">
            <v>364</v>
          </cell>
          <cell r="BJ282">
            <v>0</v>
          </cell>
        </row>
        <row r="283">
          <cell r="A283" t="str">
            <v>5LV</v>
          </cell>
          <cell r="B283" t="str">
            <v>Q25</v>
          </cell>
          <cell r="C283" t="str">
            <v/>
          </cell>
          <cell r="D283" t="str">
            <v/>
          </cell>
          <cell r="E283" t="str">
            <v/>
          </cell>
          <cell r="F283">
            <v>1</v>
          </cell>
          <cell r="G283">
            <v>1</v>
          </cell>
          <cell r="H283">
            <v>0</v>
          </cell>
          <cell r="J283">
            <v>0</v>
          </cell>
          <cell r="K283">
            <v>6.371999969</v>
          </cell>
          <cell r="L283">
            <v>1921.7569986349999</v>
          </cell>
          <cell r="M283" t="str">
            <v/>
          </cell>
          <cell r="N283">
            <v>0</v>
          </cell>
          <cell r="Q283" t="str">
            <v/>
          </cell>
          <cell r="R283" t="str">
            <v/>
          </cell>
          <cell r="S283">
            <v>1386</v>
          </cell>
          <cell r="X283">
            <v>0.99669966996699666</v>
          </cell>
          <cell r="Y283">
            <v>0.98333333333333328</v>
          </cell>
          <cell r="Z283">
            <v>0.97916666666666663</v>
          </cell>
          <cell r="AA283">
            <v>0</v>
          </cell>
          <cell r="AB283" t="str">
            <v/>
          </cell>
          <cell r="AD283">
            <v>56</v>
          </cell>
          <cell r="AE283">
            <v>433</v>
          </cell>
          <cell r="AF283">
            <v>0.70883027522935782</v>
          </cell>
          <cell r="AG283">
            <v>0</v>
          </cell>
          <cell r="AH283" t="str">
            <v/>
          </cell>
          <cell r="AI283">
            <v>0.4</v>
          </cell>
          <cell r="AJ283">
            <v>40</v>
          </cell>
          <cell r="AK283">
            <v>660.03448009206829</v>
          </cell>
          <cell r="AL283" t="str">
            <v/>
          </cell>
          <cell r="AM283">
            <v>0.28097495515960547</v>
          </cell>
          <cell r="AN283">
            <v>0.60563380281690138</v>
          </cell>
          <cell r="AO283">
            <v>-1967</v>
          </cell>
          <cell r="AQ283">
            <v>44281</v>
          </cell>
          <cell r="AR283" t="str">
            <v/>
          </cell>
          <cell r="AS283">
            <v>6902</v>
          </cell>
          <cell r="AU283">
            <v>42176</v>
          </cell>
          <cell r="AV283" t="str">
            <v/>
          </cell>
          <cell r="AW283">
            <v>35324</v>
          </cell>
          <cell r="AX283" t="str">
            <v/>
          </cell>
          <cell r="AY283" t="str">
            <v/>
          </cell>
          <cell r="AZ283">
            <v>24891</v>
          </cell>
          <cell r="BA283" t="str">
            <v/>
          </cell>
          <cell r="BB283">
            <v>432.30461390900001</v>
          </cell>
          <cell r="BC283" t="str">
            <v/>
          </cell>
          <cell r="BD283">
            <v>345.26798256700005</v>
          </cell>
          <cell r="BE283" t="str">
            <v/>
          </cell>
          <cell r="BF283">
            <v>1423.7517755920001</v>
          </cell>
          <cell r="BG283" t="str">
            <v/>
          </cell>
          <cell r="BH283">
            <v>477</v>
          </cell>
          <cell r="BI283">
            <v>83</v>
          </cell>
          <cell r="BJ283">
            <v>63</v>
          </cell>
        </row>
        <row r="284">
          <cell r="A284" t="str">
            <v>5LW</v>
          </cell>
          <cell r="B284" t="str">
            <v>Q25</v>
          </cell>
          <cell r="C284" t="str">
            <v/>
          </cell>
          <cell r="D284" t="str">
            <v/>
          </cell>
          <cell r="E284" t="str">
            <v/>
          </cell>
          <cell r="F284">
            <v>1</v>
          </cell>
          <cell r="G284">
            <v>1</v>
          </cell>
          <cell r="H284">
            <v>0</v>
          </cell>
          <cell r="J284">
            <v>0</v>
          </cell>
          <cell r="K284">
            <v>17.346199478999999</v>
          </cell>
          <cell r="L284">
            <v>1072.4781802989999</v>
          </cell>
          <cell r="M284" t="str">
            <v/>
          </cell>
          <cell r="N284">
            <v>0</v>
          </cell>
          <cell r="Q284" t="str">
            <v/>
          </cell>
          <cell r="R284" t="str">
            <v/>
          </cell>
          <cell r="S284">
            <v>128</v>
          </cell>
          <cell r="X284">
            <v>1</v>
          </cell>
          <cell r="Y284">
            <v>0.9821428571428571</v>
          </cell>
          <cell r="Z284">
            <v>1</v>
          </cell>
          <cell r="AA284">
            <v>0</v>
          </cell>
          <cell r="AB284" t="str">
            <v/>
          </cell>
          <cell r="AD284">
            <v>55</v>
          </cell>
          <cell r="AE284">
            <v>254</v>
          </cell>
          <cell r="AF284">
            <v>0.85185624481081723</v>
          </cell>
          <cell r="AG284">
            <v>0</v>
          </cell>
          <cell r="AH284" t="str">
            <v/>
          </cell>
          <cell r="AI284">
            <v>3.8</v>
          </cell>
          <cell r="AJ284">
            <v>208</v>
          </cell>
          <cell r="AK284">
            <v>622.42752657605638</v>
          </cell>
          <cell r="AL284">
            <v>0.18723994452149792</v>
          </cell>
          <cell r="AM284">
            <v>0.2805578535429098</v>
          </cell>
          <cell r="AN284">
            <v>0.5714285714285714</v>
          </cell>
          <cell r="AO284">
            <v>-4243</v>
          </cell>
          <cell r="AQ284">
            <v>33080</v>
          </cell>
          <cell r="AR284" t="str">
            <v/>
          </cell>
          <cell r="AS284">
            <v>10833</v>
          </cell>
          <cell r="AU284">
            <v>24254</v>
          </cell>
          <cell r="AV284" t="str">
            <v/>
          </cell>
          <cell r="AW284">
            <v>27249</v>
          </cell>
          <cell r="AX284" t="str">
            <v/>
          </cell>
          <cell r="AY284" t="str">
            <v/>
          </cell>
          <cell r="AZ284">
            <v>18426</v>
          </cell>
          <cell r="BA284" t="str">
            <v/>
          </cell>
          <cell r="BB284">
            <v>315.13518958899999</v>
          </cell>
          <cell r="BC284" t="str">
            <v/>
          </cell>
          <cell r="BD284">
            <v>546.803781286</v>
          </cell>
          <cell r="BE284" t="str">
            <v/>
          </cell>
          <cell r="BF284">
            <v>931.77856766500008</v>
          </cell>
          <cell r="BG284" t="str">
            <v/>
          </cell>
          <cell r="BH284">
            <v>931</v>
          </cell>
          <cell r="BI284">
            <v>608</v>
          </cell>
          <cell r="BJ284">
            <v>27</v>
          </cell>
        </row>
        <row r="285">
          <cell r="A285" t="str">
            <v>5LX</v>
          </cell>
          <cell r="B285" t="str">
            <v>Q17</v>
          </cell>
          <cell r="C285" t="str">
            <v/>
          </cell>
          <cell r="D285" t="str">
            <v/>
          </cell>
          <cell r="E285" t="str">
            <v/>
          </cell>
          <cell r="F285">
            <v>1</v>
          </cell>
          <cell r="G285">
            <v>1</v>
          </cell>
          <cell r="H285">
            <v>0</v>
          </cell>
          <cell r="J285">
            <v>16</v>
          </cell>
          <cell r="K285">
            <v>25.715540542999999</v>
          </cell>
          <cell r="L285">
            <v>2180.8322548750011</v>
          </cell>
          <cell r="M285" t="str">
            <v/>
          </cell>
          <cell r="N285">
            <v>1</v>
          </cell>
          <cell r="Q285" t="str">
            <v/>
          </cell>
          <cell r="R285">
            <v>1</v>
          </cell>
          <cell r="S285">
            <v>314</v>
          </cell>
          <cell r="X285">
            <v>0.99502487562189057</v>
          </cell>
          <cell r="Y285">
            <v>1</v>
          </cell>
          <cell r="Z285">
            <v>0.875</v>
          </cell>
          <cell r="AA285">
            <v>0</v>
          </cell>
          <cell r="AB285" t="str">
            <v/>
          </cell>
          <cell r="AD285">
            <v>0</v>
          </cell>
          <cell r="AE285">
            <v>88</v>
          </cell>
          <cell r="AF285">
            <v>0.88852361028093241</v>
          </cell>
          <cell r="AG285">
            <v>0</v>
          </cell>
          <cell r="AH285" t="str">
            <v/>
          </cell>
          <cell r="AI285">
            <v>5</v>
          </cell>
          <cell r="AJ285">
            <v>428</v>
          </cell>
          <cell r="AK285">
            <v>1213.1092996173682</v>
          </cell>
          <cell r="AL285">
            <v>0.19387755102040816</v>
          </cell>
          <cell r="AM285">
            <v>0.32642382773193801</v>
          </cell>
          <cell r="AN285">
            <v>0.95652173913043481</v>
          </cell>
          <cell r="AO285">
            <v>104</v>
          </cell>
          <cell r="AQ285">
            <v>35665</v>
          </cell>
          <cell r="AR285" t="str">
            <v/>
          </cell>
          <cell r="AS285">
            <v>16501</v>
          </cell>
          <cell r="AU285">
            <v>30146</v>
          </cell>
          <cell r="AV285" t="str">
            <v/>
          </cell>
          <cell r="AW285">
            <v>18677</v>
          </cell>
          <cell r="AX285" t="str">
            <v/>
          </cell>
          <cell r="AY285" t="str">
            <v/>
          </cell>
          <cell r="AZ285">
            <v>17483</v>
          </cell>
          <cell r="BA285" t="str">
            <v/>
          </cell>
          <cell r="BB285">
            <v>239.739829813</v>
          </cell>
          <cell r="BC285">
            <v>1</v>
          </cell>
          <cell r="BD285">
            <v>546.4735931140001</v>
          </cell>
          <cell r="BE285" t="str">
            <v/>
          </cell>
          <cell r="BF285">
            <v>1295.8539510200001</v>
          </cell>
          <cell r="BG285">
            <v>2</v>
          </cell>
          <cell r="BH285">
            <v>332</v>
          </cell>
          <cell r="BI285">
            <v>332</v>
          </cell>
          <cell r="BJ285">
            <v>0</v>
          </cell>
        </row>
        <row r="286">
          <cell r="A286" t="str">
            <v>5LY</v>
          </cell>
          <cell r="B286" t="str">
            <v>Q17</v>
          </cell>
          <cell r="C286" t="str">
            <v/>
          </cell>
          <cell r="D286" t="str">
            <v/>
          </cell>
          <cell r="E286" t="str">
            <v/>
          </cell>
          <cell r="F286">
            <v>1</v>
          </cell>
          <cell r="G286">
            <v>1</v>
          </cell>
          <cell r="H286">
            <v>0</v>
          </cell>
          <cell r="J286">
            <v>21</v>
          </cell>
          <cell r="K286">
            <v>36.297613875000003</v>
          </cell>
          <cell r="L286">
            <v>465.13163873299999</v>
          </cell>
          <cell r="M286">
            <v>25</v>
          </cell>
          <cell r="N286">
            <v>0</v>
          </cell>
          <cell r="Q286">
            <v>1</v>
          </cell>
          <cell r="R286">
            <v>1</v>
          </cell>
          <cell r="S286">
            <v>107</v>
          </cell>
          <cell r="X286">
            <v>1</v>
          </cell>
          <cell r="Y286">
            <v>1</v>
          </cell>
          <cell r="Z286">
            <v>0.96153846153846156</v>
          </cell>
          <cell r="AA286">
            <v>0</v>
          </cell>
          <cell r="AB286" t="str">
            <v/>
          </cell>
          <cell r="AD286">
            <v>0</v>
          </cell>
          <cell r="AE286">
            <v>71</v>
          </cell>
          <cell r="AF286">
            <v>0.62176054829727989</v>
          </cell>
          <cell r="AG286">
            <v>0</v>
          </cell>
          <cell r="AH286" t="str">
            <v/>
          </cell>
          <cell r="AI286">
            <v>0</v>
          </cell>
          <cell r="AJ286">
            <v>0</v>
          </cell>
          <cell r="AK286">
            <v>398.57904635126039</v>
          </cell>
          <cell r="AL286">
            <v>9.9173553719008267E-2</v>
          </cell>
          <cell r="AM286">
            <v>0.20698774347759752</v>
          </cell>
          <cell r="AN286">
            <v>0.5625</v>
          </cell>
          <cell r="AO286">
            <v>739</v>
          </cell>
          <cell r="AQ286">
            <v>24138</v>
          </cell>
          <cell r="AR286" t="str">
            <v/>
          </cell>
          <cell r="AS286">
            <v>10671</v>
          </cell>
          <cell r="AU286">
            <v>21252</v>
          </cell>
          <cell r="AV286" t="str">
            <v/>
          </cell>
          <cell r="AW286">
            <v>14093</v>
          </cell>
          <cell r="AX286" t="str">
            <v/>
          </cell>
          <cell r="AY286" t="str">
            <v/>
          </cell>
          <cell r="AZ286">
            <v>11558</v>
          </cell>
          <cell r="BA286" t="str">
            <v/>
          </cell>
          <cell r="BB286">
            <v>234.44560552999997</v>
          </cell>
          <cell r="BC286">
            <v>3</v>
          </cell>
          <cell r="BD286">
            <v>653.84869694200006</v>
          </cell>
          <cell r="BE286" t="str">
            <v/>
          </cell>
          <cell r="BF286">
            <v>1062.0810788060001</v>
          </cell>
          <cell r="BG286" t="str">
            <v/>
          </cell>
          <cell r="BH286">
            <v>690</v>
          </cell>
          <cell r="BI286">
            <v>690</v>
          </cell>
          <cell r="BJ286">
            <v>0</v>
          </cell>
        </row>
        <row r="287">
          <cell r="A287" t="str">
            <v>5M1</v>
          </cell>
          <cell r="B287" t="str">
            <v>Q27</v>
          </cell>
          <cell r="C287" t="str">
            <v/>
          </cell>
          <cell r="D287" t="str">
            <v/>
          </cell>
          <cell r="E287" t="str">
            <v/>
          </cell>
          <cell r="F287">
            <v>1</v>
          </cell>
          <cell r="G287">
            <v>1</v>
          </cell>
          <cell r="H287">
            <v>2</v>
          </cell>
          <cell r="J287">
            <v>0</v>
          </cell>
          <cell r="K287">
            <v>84.001900000000006</v>
          </cell>
          <cell r="L287">
            <v>1871.9620990479998</v>
          </cell>
          <cell r="M287">
            <v>97</v>
          </cell>
          <cell r="N287">
            <v>0</v>
          </cell>
          <cell r="Q287">
            <v>1</v>
          </cell>
          <cell r="R287">
            <v>1</v>
          </cell>
          <cell r="S287">
            <v>406</v>
          </cell>
          <cell r="X287">
            <v>1</v>
          </cell>
          <cell r="Y287">
            <v>1</v>
          </cell>
          <cell r="Z287">
            <v>1</v>
          </cell>
          <cell r="AA287">
            <v>0</v>
          </cell>
          <cell r="AB287" t="str">
            <v/>
          </cell>
          <cell r="AD287">
            <v>34</v>
          </cell>
          <cell r="AE287">
            <v>867</v>
          </cell>
          <cell r="AF287">
            <v>0.77768729641693812</v>
          </cell>
          <cell r="AG287">
            <v>0</v>
          </cell>
          <cell r="AH287" t="str">
            <v/>
          </cell>
          <cell r="AI287">
            <v>10</v>
          </cell>
          <cell r="AJ287">
            <v>696</v>
          </cell>
          <cell r="AK287">
            <v>738.09257052450755</v>
          </cell>
          <cell r="AL287" t="str">
            <v/>
          </cell>
          <cell r="AM287">
            <v>0.31083758173556469</v>
          </cell>
          <cell r="AN287">
            <v>0.2247191011235955</v>
          </cell>
          <cell r="AO287">
            <v>324</v>
          </cell>
          <cell r="AQ287">
            <v>76086</v>
          </cell>
          <cell r="AR287" t="str">
            <v/>
          </cell>
          <cell r="AS287">
            <v>36180</v>
          </cell>
          <cell r="AU287">
            <v>66892</v>
          </cell>
          <cell r="AV287" t="str">
            <v/>
          </cell>
          <cell r="AW287">
            <v>37094</v>
          </cell>
          <cell r="AX287" t="str">
            <v/>
          </cell>
          <cell r="AY287" t="str">
            <v/>
          </cell>
          <cell r="AZ287">
            <v>35431</v>
          </cell>
          <cell r="BA287" t="str">
            <v/>
          </cell>
          <cell r="BB287">
            <v>1028.205180398</v>
          </cell>
          <cell r="BC287" t="str">
            <v/>
          </cell>
          <cell r="BD287">
            <v>1301.989574206</v>
          </cell>
          <cell r="BE287" t="str">
            <v/>
          </cell>
          <cell r="BF287">
            <v>1680.3431452899999</v>
          </cell>
          <cell r="BG287" t="str">
            <v/>
          </cell>
          <cell r="BH287">
            <v>53</v>
          </cell>
          <cell r="BI287">
            <v>0</v>
          </cell>
          <cell r="BJ287">
            <v>0</v>
          </cell>
        </row>
        <row r="288">
          <cell r="A288" t="str">
            <v>5M2</v>
          </cell>
          <cell r="B288" t="str">
            <v>Q26</v>
          </cell>
          <cell r="C288" t="str">
            <v/>
          </cell>
          <cell r="D288" t="str">
            <v/>
          </cell>
          <cell r="E288">
            <v>1</v>
          </cell>
          <cell r="F288">
            <v>1</v>
          </cell>
          <cell r="G288">
            <v>1</v>
          </cell>
          <cell r="H288">
            <v>46</v>
          </cell>
          <cell r="J288">
            <v>0</v>
          </cell>
          <cell r="K288">
            <v>18.027300001</v>
          </cell>
          <cell r="L288">
            <v>1429.5005826239999</v>
          </cell>
          <cell r="M288">
            <v>25</v>
          </cell>
          <cell r="N288">
            <v>11</v>
          </cell>
          <cell r="Q288">
            <v>1</v>
          </cell>
          <cell r="R288">
            <v>1</v>
          </cell>
          <cell r="S288">
            <v>960</v>
          </cell>
          <cell r="X288">
            <v>1</v>
          </cell>
          <cell r="Y288">
            <v>1</v>
          </cell>
          <cell r="Z288">
            <v>1</v>
          </cell>
          <cell r="AA288">
            <v>0</v>
          </cell>
          <cell r="AB288" t="str">
            <v/>
          </cell>
          <cell r="AD288">
            <v>18</v>
          </cell>
          <cell r="AE288">
            <v>185</v>
          </cell>
          <cell r="AF288">
            <v>0.79929161747343569</v>
          </cell>
          <cell r="AG288">
            <v>1.1441647597254002E-2</v>
          </cell>
          <cell r="AH288" t="str">
            <v/>
          </cell>
          <cell r="AI288">
            <v>2</v>
          </cell>
          <cell r="AJ288">
            <v>0</v>
          </cell>
          <cell r="AK288">
            <v>911.52220369130237</v>
          </cell>
          <cell r="AL288" t="str">
            <v/>
          </cell>
          <cell r="AM288">
            <v>0.28000658043919985</v>
          </cell>
          <cell r="AN288">
            <v>0.12195121951219512</v>
          </cell>
          <cell r="AO288">
            <v>733</v>
          </cell>
          <cell r="AQ288">
            <v>44698</v>
          </cell>
          <cell r="AR288" t="str">
            <v/>
          </cell>
          <cell r="AS288">
            <v>27310</v>
          </cell>
          <cell r="AU288">
            <v>39879</v>
          </cell>
          <cell r="AV288" t="str">
            <v/>
          </cell>
          <cell r="AW288">
            <v>37449</v>
          </cell>
          <cell r="AX288" t="str">
            <v/>
          </cell>
          <cell r="AY288" t="str">
            <v/>
          </cell>
          <cell r="AZ288">
            <v>24192</v>
          </cell>
          <cell r="BA288" t="str">
            <v/>
          </cell>
          <cell r="BB288">
            <v>505.60846388499999</v>
          </cell>
          <cell r="BC288">
            <v>3</v>
          </cell>
          <cell r="BD288">
            <v>1210.0126511240001</v>
          </cell>
          <cell r="BE288" t="str">
            <v/>
          </cell>
          <cell r="BF288">
            <v>2283.795835805</v>
          </cell>
          <cell r="BG288" t="str">
            <v/>
          </cell>
          <cell r="BH288">
            <v>154</v>
          </cell>
          <cell r="BI288">
            <v>4</v>
          </cell>
          <cell r="BJ288">
            <v>4</v>
          </cell>
        </row>
        <row r="289">
          <cell r="A289" t="str">
            <v>5M3</v>
          </cell>
          <cell r="B289" t="str">
            <v>Q27</v>
          </cell>
          <cell r="C289" t="str">
            <v/>
          </cell>
          <cell r="D289" t="str">
            <v/>
          </cell>
          <cell r="E289">
            <v>1</v>
          </cell>
          <cell r="F289">
            <v>1</v>
          </cell>
          <cell r="G289">
            <v>1</v>
          </cell>
          <cell r="H289">
            <v>0</v>
          </cell>
          <cell r="J289">
            <v>0</v>
          </cell>
          <cell r="K289">
            <v>58.787899981999999</v>
          </cell>
          <cell r="L289">
            <v>1534.6206568100001</v>
          </cell>
          <cell r="M289" t="str">
            <v/>
          </cell>
          <cell r="N289">
            <v>0</v>
          </cell>
          <cell r="Q289" t="str">
            <v/>
          </cell>
          <cell r="R289">
            <v>1</v>
          </cell>
          <cell r="S289">
            <v>349</v>
          </cell>
          <cell r="X289">
            <v>1</v>
          </cell>
          <cell r="Y289">
            <v>0.99019607843137258</v>
          </cell>
          <cell r="Z289">
            <v>1</v>
          </cell>
          <cell r="AA289">
            <v>0</v>
          </cell>
          <cell r="AB289" t="str">
            <v/>
          </cell>
          <cell r="AD289">
            <v>58</v>
          </cell>
          <cell r="AE289">
            <v>328</v>
          </cell>
          <cell r="AF289">
            <v>0.33111129176489718</v>
          </cell>
          <cell r="AG289">
            <v>0</v>
          </cell>
          <cell r="AH289" t="str">
            <v/>
          </cell>
          <cell r="AI289">
            <v>13</v>
          </cell>
          <cell r="AJ289">
            <v>321</v>
          </cell>
          <cell r="AK289">
            <v>1028.8603624885654</v>
          </cell>
          <cell r="AL289">
            <v>0.18668252080856124</v>
          </cell>
          <cell r="AM289">
            <v>0.31030158832229437</v>
          </cell>
          <cell r="AN289">
            <v>0.42372881355932202</v>
          </cell>
          <cell r="AO289">
            <v>3634</v>
          </cell>
          <cell r="AQ289">
            <v>50045</v>
          </cell>
          <cell r="AR289" t="str">
            <v/>
          </cell>
          <cell r="AS289">
            <v>22257</v>
          </cell>
          <cell r="AU289">
            <v>51760</v>
          </cell>
          <cell r="AV289" t="str">
            <v/>
          </cell>
          <cell r="AW289">
            <v>29933</v>
          </cell>
          <cell r="AX289" t="str">
            <v/>
          </cell>
          <cell r="AY289" t="str">
            <v/>
          </cell>
          <cell r="AZ289">
            <v>27513</v>
          </cell>
          <cell r="BA289" t="str">
            <v/>
          </cell>
          <cell r="BB289">
            <v>466.68310002999999</v>
          </cell>
          <cell r="BC289" t="str">
            <v/>
          </cell>
          <cell r="BD289">
            <v>1073.3290546640001</v>
          </cell>
          <cell r="BE289">
            <v>2.9999998999999999E-2</v>
          </cell>
          <cell r="BF289">
            <v>1757.9850478559999</v>
          </cell>
          <cell r="BG289" t="str">
            <v/>
          </cell>
          <cell r="BH289">
            <v>375</v>
          </cell>
          <cell r="BI289">
            <v>375</v>
          </cell>
          <cell r="BJ289">
            <v>0</v>
          </cell>
        </row>
        <row r="290">
          <cell r="A290" t="str">
            <v>5M5</v>
          </cell>
          <cell r="B290" t="str">
            <v>Q15</v>
          </cell>
          <cell r="C290" t="str">
            <v/>
          </cell>
          <cell r="D290" t="str">
            <v/>
          </cell>
          <cell r="E290">
            <v>1</v>
          </cell>
          <cell r="F290">
            <v>1</v>
          </cell>
          <cell r="G290">
            <v>1</v>
          </cell>
          <cell r="H290">
            <v>0</v>
          </cell>
          <cell r="J290">
            <v>0</v>
          </cell>
          <cell r="K290">
            <v>120.54000207999999</v>
          </cell>
          <cell r="L290">
            <v>684.72000400000002</v>
          </cell>
          <cell r="M290" t="str">
            <v/>
          </cell>
          <cell r="N290">
            <v>0</v>
          </cell>
          <cell r="Q290" t="str">
            <v/>
          </cell>
          <cell r="R290" t="str">
            <v/>
          </cell>
          <cell r="S290">
            <v>69</v>
          </cell>
          <cell r="X290">
            <v>1</v>
          </cell>
          <cell r="Y290">
            <v>1</v>
          </cell>
          <cell r="Z290">
            <v>0.86111111111111116</v>
          </cell>
          <cell r="AA290">
            <v>0</v>
          </cell>
          <cell r="AB290" t="str">
            <v/>
          </cell>
          <cell r="AD290">
            <v>15</v>
          </cell>
          <cell r="AE290">
            <v>165</v>
          </cell>
          <cell r="AF290">
            <v>0.80196578085183834</v>
          </cell>
          <cell r="AG290">
            <v>0</v>
          </cell>
          <cell r="AH290" t="str">
            <v/>
          </cell>
          <cell r="AI290">
            <v>5</v>
          </cell>
          <cell r="AJ290">
            <v>176</v>
          </cell>
          <cell r="AK290">
            <v>949.62371255125163</v>
          </cell>
          <cell r="AL290">
            <v>0.195822454308094</v>
          </cell>
          <cell r="AM290" t="str">
            <v/>
          </cell>
          <cell r="AN290">
            <v>0.27027027027027029</v>
          </cell>
          <cell r="AO290">
            <v>0</v>
          </cell>
          <cell r="AQ290">
            <v>37111</v>
          </cell>
          <cell r="AR290" t="str">
            <v/>
          </cell>
          <cell r="AS290">
            <v>25327</v>
          </cell>
          <cell r="AU290">
            <v>26993</v>
          </cell>
          <cell r="AV290" t="str">
            <v/>
          </cell>
          <cell r="AW290">
            <v>20867</v>
          </cell>
          <cell r="AX290" t="str">
            <v/>
          </cell>
          <cell r="AY290" t="str">
            <v/>
          </cell>
          <cell r="AZ290">
            <v>19259</v>
          </cell>
          <cell r="BA290" t="str">
            <v/>
          </cell>
          <cell r="BB290">
            <v>368.464803717</v>
          </cell>
          <cell r="BC290">
            <v>22</v>
          </cell>
          <cell r="BD290">
            <v>687.76330892999999</v>
          </cell>
          <cell r="BE290" t="str">
            <v/>
          </cell>
          <cell r="BF290">
            <v>989.39421393199996</v>
          </cell>
          <cell r="BG290" t="str">
            <v/>
          </cell>
          <cell r="BH290">
            <v>259</v>
          </cell>
          <cell r="BI290">
            <v>1</v>
          </cell>
          <cell r="BJ290">
            <v>1</v>
          </cell>
        </row>
        <row r="291">
          <cell r="A291" t="str">
            <v>5M6</v>
          </cell>
          <cell r="B291" t="str">
            <v>Q08</v>
          </cell>
          <cell r="C291" t="str">
            <v/>
          </cell>
          <cell r="D291" t="str">
            <v/>
          </cell>
          <cell r="E291">
            <v>1</v>
          </cell>
          <cell r="F291">
            <v>1</v>
          </cell>
          <cell r="G291">
            <v>1</v>
          </cell>
          <cell r="H291">
            <v>0</v>
          </cell>
          <cell r="J291">
            <v>0</v>
          </cell>
          <cell r="K291">
            <v>113.41499994900001</v>
          </cell>
          <cell r="L291">
            <v>327.8874997179999</v>
          </cell>
          <cell r="M291" t="str">
            <v/>
          </cell>
          <cell r="N291">
            <v>0</v>
          </cell>
          <cell r="Q291" t="str">
            <v/>
          </cell>
          <cell r="R291" t="str">
            <v/>
          </cell>
          <cell r="S291">
            <v>306</v>
          </cell>
          <cell r="X291">
            <v>1</v>
          </cell>
          <cell r="Y291">
            <v>1</v>
          </cell>
          <cell r="Z291">
            <v>0.92307692307692313</v>
          </cell>
          <cell r="AA291">
            <v>0</v>
          </cell>
          <cell r="AB291" t="str">
            <v/>
          </cell>
          <cell r="AD291">
            <v>0</v>
          </cell>
          <cell r="AE291">
            <v>133</v>
          </cell>
          <cell r="AF291">
            <v>1</v>
          </cell>
          <cell r="AG291">
            <v>0</v>
          </cell>
          <cell r="AH291" t="str">
            <v/>
          </cell>
          <cell r="AI291">
            <v>4</v>
          </cell>
          <cell r="AJ291">
            <v>109</v>
          </cell>
          <cell r="AK291">
            <v>381.3718644249879</v>
          </cell>
          <cell r="AL291">
            <v>5.4487179487179488E-2</v>
          </cell>
          <cell r="AM291">
            <v>0.24385054732645622</v>
          </cell>
          <cell r="AN291">
            <v>0.69354838709677424</v>
          </cell>
          <cell r="AO291">
            <v>1751</v>
          </cell>
          <cell r="AQ291">
            <v>35691</v>
          </cell>
          <cell r="AR291" t="str">
            <v/>
          </cell>
          <cell r="AS291">
            <v>18351</v>
          </cell>
          <cell r="AU291">
            <v>30485</v>
          </cell>
          <cell r="AV291" t="str">
            <v/>
          </cell>
          <cell r="AW291">
            <v>13949</v>
          </cell>
          <cell r="AX291" t="str">
            <v/>
          </cell>
          <cell r="AY291" t="str">
            <v/>
          </cell>
          <cell r="AZ291">
            <v>12443</v>
          </cell>
          <cell r="BA291" t="str">
            <v/>
          </cell>
          <cell r="BB291">
            <v>306.81062263800004</v>
          </cell>
          <cell r="BC291" t="str">
            <v/>
          </cell>
          <cell r="BD291">
            <v>751.8530605169999</v>
          </cell>
          <cell r="BE291" t="str">
            <v/>
          </cell>
          <cell r="BF291">
            <v>1521.5933071360002</v>
          </cell>
          <cell r="BG291" t="str">
            <v/>
          </cell>
          <cell r="BH291">
            <v>19</v>
          </cell>
          <cell r="BI291">
            <v>15</v>
          </cell>
          <cell r="BJ291">
            <v>15</v>
          </cell>
        </row>
        <row r="292">
          <cell r="A292" t="str">
            <v>5M7</v>
          </cell>
          <cell r="B292" t="str">
            <v>Q08</v>
          </cell>
          <cell r="C292" t="str">
            <v/>
          </cell>
          <cell r="D292" t="str">
            <v/>
          </cell>
          <cell r="E292" t="str">
            <v/>
          </cell>
          <cell r="F292">
            <v>1</v>
          </cell>
          <cell r="G292">
            <v>1</v>
          </cell>
          <cell r="H292">
            <v>0</v>
          </cell>
          <cell r="J292">
            <v>0</v>
          </cell>
          <cell r="K292">
            <v>48.470040607000001</v>
          </cell>
          <cell r="L292">
            <v>1177.57076342</v>
          </cell>
          <cell r="M292" t="str">
            <v/>
          </cell>
          <cell r="N292">
            <v>0</v>
          </cell>
          <cell r="Q292" t="str">
            <v/>
          </cell>
          <cell r="R292" t="str">
            <v/>
          </cell>
          <cell r="S292">
            <v>150</v>
          </cell>
          <cell r="X292">
            <v>1</v>
          </cell>
          <cell r="Y292">
            <v>1</v>
          </cell>
          <cell r="Z292">
            <v>0.96551724137931039</v>
          </cell>
          <cell r="AA292">
            <v>0</v>
          </cell>
          <cell r="AB292" t="str">
            <v/>
          </cell>
          <cell r="AD292">
            <v>77</v>
          </cell>
          <cell r="AE292">
            <v>280</v>
          </cell>
          <cell r="AF292">
            <v>0.87404351087771948</v>
          </cell>
          <cell r="AG292">
            <v>0</v>
          </cell>
          <cell r="AH292" t="str">
            <v/>
          </cell>
          <cell r="AI292">
            <v>2</v>
          </cell>
          <cell r="AJ292">
            <v>160</v>
          </cell>
          <cell r="AK292">
            <v>416.05104096709198</v>
          </cell>
          <cell r="AL292" t="str">
            <v/>
          </cell>
          <cell r="AM292">
            <v>0.30108161777560805</v>
          </cell>
          <cell r="AN292">
            <v>0.74375000000000002</v>
          </cell>
          <cell r="AO292">
            <v>-6708</v>
          </cell>
          <cell r="AQ292">
            <v>76304</v>
          </cell>
          <cell r="AR292" t="str">
            <v/>
          </cell>
          <cell r="AS292">
            <v>31352</v>
          </cell>
          <cell r="AU292">
            <v>58400</v>
          </cell>
          <cell r="AV292" t="str">
            <v/>
          </cell>
          <cell r="AW292">
            <v>35686</v>
          </cell>
          <cell r="AX292" t="str">
            <v/>
          </cell>
          <cell r="AY292" t="str">
            <v/>
          </cell>
          <cell r="AZ292">
            <v>28096</v>
          </cell>
          <cell r="BA292" t="str">
            <v/>
          </cell>
          <cell r="BB292">
            <v>729.02605952599993</v>
          </cell>
          <cell r="BC292" t="str">
            <v/>
          </cell>
          <cell r="BD292">
            <v>1639.2497881469999</v>
          </cell>
          <cell r="BE292">
            <v>34</v>
          </cell>
          <cell r="BF292">
            <v>3057.9865228660001</v>
          </cell>
          <cell r="BG292" t="str">
            <v/>
          </cell>
          <cell r="BH292">
            <v>30</v>
          </cell>
          <cell r="BI292">
            <v>206</v>
          </cell>
          <cell r="BJ292">
            <v>0</v>
          </cell>
        </row>
        <row r="293">
          <cell r="A293" t="str">
            <v>5M8</v>
          </cell>
          <cell r="B293" t="str">
            <v>Q20</v>
          </cell>
          <cell r="C293" t="str">
            <v/>
          </cell>
          <cell r="D293" t="str">
            <v/>
          </cell>
          <cell r="E293">
            <v>1</v>
          </cell>
          <cell r="F293">
            <v>1</v>
          </cell>
          <cell r="G293">
            <v>1</v>
          </cell>
          <cell r="H293">
            <v>0</v>
          </cell>
          <cell r="J293">
            <v>1</v>
          </cell>
          <cell r="K293">
            <v>19.006</v>
          </cell>
          <cell r="L293">
            <v>468.98487417299998</v>
          </cell>
          <cell r="M293" t="str">
            <v/>
          </cell>
          <cell r="N293">
            <v>0</v>
          </cell>
          <cell r="Q293" t="str">
            <v/>
          </cell>
          <cell r="R293" t="str">
            <v/>
          </cell>
          <cell r="S293">
            <v>23</v>
          </cell>
          <cell r="X293">
            <v>1</v>
          </cell>
          <cell r="Y293">
            <v>1</v>
          </cell>
          <cell r="Z293">
            <v>0.90476190476190477</v>
          </cell>
          <cell r="AA293">
            <v>0</v>
          </cell>
          <cell r="AB293" t="str">
            <v/>
          </cell>
          <cell r="AD293">
            <v>40</v>
          </cell>
          <cell r="AE293">
            <v>110</v>
          </cell>
          <cell r="AF293">
            <v>0.42247322869297343</v>
          </cell>
          <cell r="AG293">
            <v>0</v>
          </cell>
          <cell r="AH293" t="str">
            <v/>
          </cell>
          <cell r="AI293">
            <v>0</v>
          </cell>
          <cell r="AJ293">
            <v>0</v>
          </cell>
          <cell r="AK293">
            <v>820.35657145771052</v>
          </cell>
          <cell r="AL293">
            <v>0.15789473684210525</v>
          </cell>
          <cell r="AM293">
            <v>0.2728148584274474</v>
          </cell>
          <cell r="AN293">
            <v>0.52941176470588236</v>
          </cell>
          <cell r="AO293">
            <v>-4213</v>
          </cell>
          <cell r="AQ293">
            <v>33230</v>
          </cell>
          <cell r="AR293" t="str">
            <v/>
          </cell>
          <cell r="AS293">
            <v>17310</v>
          </cell>
          <cell r="AU293">
            <v>29914</v>
          </cell>
          <cell r="AV293" t="str">
            <v/>
          </cell>
          <cell r="AW293">
            <v>26930</v>
          </cell>
          <cell r="AX293" t="str">
            <v/>
          </cell>
          <cell r="AY293" t="str">
            <v/>
          </cell>
          <cell r="AZ293">
            <v>16362</v>
          </cell>
          <cell r="BA293" t="str">
            <v/>
          </cell>
          <cell r="BB293">
            <v>405.09319999799999</v>
          </cell>
          <cell r="BC293">
            <v>6</v>
          </cell>
          <cell r="BD293">
            <v>913.096999998</v>
          </cell>
          <cell r="BE293" t="str">
            <v/>
          </cell>
          <cell r="BF293">
            <v>1241.141499996</v>
          </cell>
          <cell r="BG293" t="str">
            <v/>
          </cell>
          <cell r="BH293">
            <v>22</v>
          </cell>
          <cell r="BI293">
            <v>22</v>
          </cell>
          <cell r="BJ293">
            <v>22</v>
          </cell>
        </row>
        <row r="294">
          <cell r="A294" t="str">
            <v>5M9</v>
          </cell>
          <cell r="B294" t="str">
            <v>Q28</v>
          </cell>
          <cell r="C294" t="str">
            <v/>
          </cell>
          <cell r="D294" t="str">
            <v/>
          </cell>
          <cell r="E294" t="str">
            <v/>
          </cell>
          <cell r="F294">
            <v>1</v>
          </cell>
          <cell r="G294">
            <v>1</v>
          </cell>
          <cell r="H294">
            <v>0</v>
          </cell>
          <cell r="J294">
            <v>0</v>
          </cell>
          <cell r="K294">
            <v>35.045999999000003</v>
          </cell>
          <cell r="L294">
            <v>445.08149999900002</v>
          </cell>
          <cell r="M294" t="str">
            <v/>
          </cell>
          <cell r="N294">
            <v>1</v>
          </cell>
          <cell r="Q294" t="str">
            <v/>
          </cell>
          <cell r="R294" t="str">
            <v/>
          </cell>
          <cell r="S294">
            <v>168</v>
          </cell>
          <cell r="X294">
            <v>1</v>
          </cell>
          <cell r="Y294">
            <v>1</v>
          </cell>
          <cell r="Z294">
            <v>0.9285714285714286</v>
          </cell>
          <cell r="AA294">
            <v>0</v>
          </cell>
          <cell r="AB294" t="str">
            <v/>
          </cell>
          <cell r="AD294">
            <v>37</v>
          </cell>
          <cell r="AE294">
            <v>417</v>
          </cell>
          <cell r="AF294">
            <v>1</v>
          </cell>
          <cell r="AG294">
            <v>0</v>
          </cell>
          <cell r="AH294" t="str">
            <v/>
          </cell>
          <cell r="AI294">
            <v>2</v>
          </cell>
          <cell r="AJ294">
            <v>26</v>
          </cell>
          <cell r="AK294">
            <v>720.61314598317176</v>
          </cell>
          <cell r="AL294">
            <v>0.21825396825396826</v>
          </cell>
          <cell r="AM294">
            <v>0.42602136296893445</v>
          </cell>
          <cell r="AN294">
            <v>0.33333333333333331</v>
          </cell>
          <cell r="AO294">
            <v>0</v>
          </cell>
          <cell r="AQ294">
            <v>17032</v>
          </cell>
          <cell r="AR294" t="str">
            <v/>
          </cell>
          <cell r="AS294">
            <v>10831</v>
          </cell>
          <cell r="AU294">
            <v>14259</v>
          </cell>
          <cell r="AV294" t="str">
            <v/>
          </cell>
          <cell r="AW294">
            <v>8375</v>
          </cell>
          <cell r="AX294" t="str">
            <v/>
          </cell>
          <cell r="AY294" t="str">
            <v/>
          </cell>
          <cell r="AZ294">
            <v>7305</v>
          </cell>
          <cell r="BA294" t="str">
            <v/>
          </cell>
          <cell r="BB294">
            <v>188.28479999299998</v>
          </cell>
          <cell r="BC294">
            <v>1</v>
          </cell>
          <cell r="BD294">
            <v>267.33179999200001</v>
          </cell>
          <cell r="BE294" t="str">
            <v/>
          </cell>
          <cell r="BF294">
            <v>613.310299966</v>
          </cell>
          <cell r="BG294" t="str">
            <v/>
          </cell>
          <cell r="BH294">
            <v>2</v>
          </cell>
          <cell r="BI294">
            <v>0</v>
          </cell>
          <cell r="BJ294">
            <v>0</v>
          </cell>
        </row>
        <row r="295">
          <cell r="A295" t="str">
            <v>5MA</v>
          </cell>
          <cell r="B295" t="str">
            <v>Q19</v>
          </cell>
          <cell r="C295" t="str">
            <v/>
          </cell>
          <cell r="D295" t="str">
            <v/>
          </cell>
          <cell r="E295" t="str">
            <v/>
          </cell>
          <cell r="F295">
            <v>1</v>
          </cell>
          <cell r="G295">
            <v>1</v>
          </cell>
          <cell r="H295">
            <v>0</v>
          </cell>
          <cell r="J295">
            <v>4</v>
          </cell>
          <cell r="K295">
            <v>55.999518347400006</v>
          </cell>
          <cell r="L295">
            <v>1887.0305531973002</v>
          </cell>
          <cell r="M295" t="str">
            <v/>
          </cell>
          <cell r="N295">
            <v>0</v>
          </cell>
          <cell r="Q295" t="str">
            <v/>
          </cell>
          <cell r="R295" t="str">
            <v/>
          </cell>
          <cell r="S295">
            <v>137</v>
          </cell>
          <cell r="X295">
            <v>1</v>
          </cell>
          <cell r="Y295">
            <v>0.97142857142857142</v>
          </cell>
          <cell r="Z295">
            <v>1</v>
          </cell>
          <cell r="AA295">
            <v>0</v>
          </cell>
          <cell r="AB295" t="str">
            <v/>
          </cell>
          <cell r="AD295">
            <v>0</v>
          </cell>
          <cell r="AE295">
            <v>90</v>
          </cell>
          <cell r="AF295">
            <v>3.190830235439901E-2</v>
          </cell>
          <cell r="AG295">
            <v>0</v>
          </cell>
          <cell r="AH295" t="str">
            <v/>
          </cell>
          <cell r="AI295">
            <v>3</v>
          </cell>
          <cell r="AJ295">
            <v>677</v>
          </cell>
          <cell r="AK295">
            <v>1028.5042609462239</v>
          </cell>
          <cell r="AL295" t="str">
            <v/>
          </cell>
          <cell r="AM295" t="str">
            <v/>
          </cell>
          <cell r="AN295">
            <v>0.18181818181818182</v>
          </cell>
          <cell r="AO295">
            <v>142</v>
          </cell>
          <cell r="AQ295">
            <v>20574</v>
          </cell>
          <cell r="AR295" t="str">
            <v/>
          </cell>
          <cell r="AS295">
            <v>9911</v>
          </cell>
          <cell r="AU295">
            <v>16454</v>
          </cell>
          <cell r="AV295" t="str">
            <v/>
          </cell>
          <cell r="AW295">
            <v>9825</v>
          </cell>
          <cell r="AX295" t="str">
            <v/>
          </cell>
          <cell r="AY295" t="str">
            <v/>
          </cell>
          <cell r="AZ295">
            <v>9367</v>
          </cell>
          <cell r="BA295" t="str">
            <v/>
          </cell>
          <cell r="BB295">
            <v>152.16024073499997</v>
          </cell>
          <cell r="BC295">
            <v>0.89700002000000001</v>
          </cell>
          <cell r="BD295">
            <v>454.558923359</v>
          </cell>
          <cell r="BE295" t="str">
            <v/>
          </cell>
          <cell r="BF295">
            <v>666.35825667699999</v>
          </cell>
          <cell r="BG295" t="str">
            <v/>
          </cell>
          <cell r="BH295">
            <v>1046</v>
          </cell>
          <cell r="BI295">
            <v>2717</v>
          </cell>
          <cell r="BJ295">
            <v>0</v>
          </cell>
        </row>
        <row r="296">
          <cell r="A296" t="str">
            <v>5MC</v>
          </cell>
          <cell r="B296" t="str">
            <v>Q19</v>
          </cell>
          <cell r="C296" t="str">
            <v/>
          </cell>
          <cell r="D296" t="str">
            <v/>
          </cell>
          <cell r="E296" t="str">
            <v/>
          </cell>
          <cell r="F296">
            <v>1</v>
          </cell>
          <cell r="G296">
            <v>1</v>
          </cell>
          <cell r="H296">
            <v>0</v>
          </cell>
          <cell r="J296">
            <v>1</v>
          </cell>
          <cell r="K296">
            <v>34.566441122999997</v>
          </cell>
          <cell r="L296">
            <v>1407.2877824129998</v>
          </cell>
          <cell r="M296" t="str">
            <v/>
          </cell>
          <cell r="N296">
            <v>0</v>
          </cell>
          <cell r="Q296" t="str">
            <v/>
          </cell>
          <cell r="R296" t="str">
            <v/>
          </cell>
          <cell r="S296">
            <v>220</v>
          </cell>
          <cell r="X296">
            <v>1</v>
          </cell>
          <cell r="Y296">
            <v>1</v>
          </cell>
          <cell r="Z296">
            <v>1</v>
          </cell>
          <cell r="AA296">
            <v>0</v>
          </cell>
          <cell r="AB296" t="str">
            <v/>
          </cell>
          <cell r="AD296">
            <v>0</v>
          </cell>
          <cell r="AE296">
            <v>62</v>
          </cell>
          <cell r="AF296">
            <v>0.86962709934528892</v>
          </cell>
          <cell r="AG296">
            <v>0</v>
          </cell>
          <cell r="AH296" t="str">
            <v/>
          </cell>
          <cell r="AI296">
            <v>4</v>
          </cell>
          <cell r="AJ296">
            <v>132</v>
          </cell>
          <cell r="AK296">
            <v>811.29139808846401</v>
          </cell>
          <cell r="AL296" t="str">
            <v/>
          </cell>
          <cell r="AM296">
            <v>0.24661844301684455</v>
          </cell>
          <cell r="AN296">
            <v>0.45454545454545453</v>
          </cell>
          <cell r="AO296">
            <v>-590</v>
          </cell>
          <cell r="AQ296">
            <v>22194</v>
          </cell>
          <cell r="AR296" t="str">
            <v/>
          </cell>
          <cell r="AS296">
            <v>9790</v>
          </cell>
          <cell r="AU296">
            <v>18593</v>
          </cell>
          <cell r="AV296" t="str">
            <v/>
          </cell>
          <cell r="AW296">
            <v>11571</v>
          </cell>
          <cell r="AX296" t="str">
            <v/>
          </cell>
          <cell r="AY296" t="str">
            <v/>
          </cell>
          <cell r="AZ296">
            <v>8269</v>
          </cell>
          <cell r="BA296" t="str">
            <v/>
          </cell>
          <cell r="BB296">
            <v>162.06126877900002</v>
          </cell>
          <cell r="BC296">
            <v>2.3400000200000002</v>
          </cell>
          <cell r="BD296">
            <v>419.70896838000004</v>
          </cell>
          <cell r="BE296">
            <v>13.950000210000001</v>
          </cell>
          <cell r="BF296">
            <v>854.74327967799991</v>
          </cell>
          <cell r="BG296">
            <v>0.10000000100000001</v>
          </cell>
          <cell r="BH296">
            <v>536</v>
          </cell>
          <cell r="BI296">
            <v>103</v>
          </cell>
          <cell r="BJ296">
            <v>0</v>
          </cell>
        </row>
        <row r="297">
          <cell r="A297" t="str">
            <v>5MD</v>
          </cell>
          <cell r="B297" t="str">
            <v>Q28</v>
          </cell>
          <cell r="C297" t="str">
            <v/>
          </cell>
          <cell r="D297" t="str">
            <v/>
          </cell>
          <cell r="E297">
            <v>1</v>
          </cell>
          <cell r="F297">
            <v>1</v>
          </cell>
          <cell r="G297">
            <v>1</v>
          </cell>
          <cell r="H297">
            <v>0</v>
          </cell>
          <cell r="J297">
            <v>1</v>
          </cell>
          <cell r="K297">
            <v>123.02920000100001</v>
          </cell>
          <cell r="L297">
            <v>1278.3502809549996</v>
          </cell>
          <cell r="M297" t="str">
            <v/>
          </cell>
          <cell r="N297">
            <v>0</v>
          </cell>
          <cell r="Q297" t="str">
            <v/>
          </cell>
          <cell r="R297">
            <v>0.971830985915493</v>
          </cell>
          <cell r="S297">
            <v>539</v>
          </cell>
          <cell r="X297">
            <v>1</v>
          </cell>
          <cell r="Y297">
            <v>1</v>
          </cell>
          <cell r="Z297">
            <v>0.89830508474576276</v>
          </cell>
          <cell r="AA297">
            <v>0</v>
          </cell>
          <cell r="AB297" t="str">
            <v/>
          </cell>
          <cell r="AD297">
            <v>0</v>
          </cell>
          <cell r="AE297">
            <v>729</v>
          </cell>
          <cell r="AF297">
            <v>0.99499457745891384</v>
          </cell>
          <cell r="AG297">
            <v>0</v>
          </cell>
          <cell r="AH297" t="str">
            <v/>
          </cell>
          <cell r="AI297">
            <v>7</v>
          </cell>
          <cell r="AJ297">
            <v>451</v>
          </cell>
          <cell r="AK297">
            <v>1025.7569839866794</v>
          </cell>
          <cell r="AL297">
            <v>0.17445482866043613</v>
          </cell>
          <cell r="AM297">
            <v>0.29700003031037825</v>
          </cell>
          <cell r="AN297">
            <v>0.20588235294117646</v>
          </cell>
          <cell r="AO297">
            <v>-2900</v>
          </cell>
          <cell r="AQ297">
            <v>64098</v>
          </cell>
          <cell r="AR297" t="str">
            <v/>
          </cell>
          <cell r="AS297">
            <v>46172</v>
          </cell>
          <cell r="AU297">
            <v>54768</v>
          </cell>
          <cell r="AV297" t="str">
            <v/>
          </cell>
          <cell r="AW297">
            <v>26017</v>
          </cell>
          <cell r="AX297" t="str">
            <v/>
          </cell>
          <cell r="AY297" t="str">
            <v/>
          </cell>
          <cell r="AZ297">
            <v>28966</v>
          </cell>
          <cell r="BA297" t="str">
            <v/>
          </cell>
          <cell r="BB297">
            <v>718.41620000700004</v>
          </cell>
          <cell r="BC297">
            <v>6</v>
          </cell>
          <cell r="BD297">
            <v>977.61990001099991</v>
          </cell>
          <cell r="BE297" t="str">
            <v/>
          </cell>
          <cell r="BF297">
            <v>1841.2856000219999</v>
          </cell>
          <cell r="BG297" t="str">
            <v/>
          </cell>
          <cell r="BH297">
            <v>49</v>
          </cell>
          <cell r="BI297">
            <v>0</v>
          </cell>
          <cell r="BJ297">
            <v>0</v>
          </cell>
        </row>
        <row r="298">
          <cell r="A298" t="str">
            <v>5ME</v>
          </cell>
          <cell r="B298" t="str">
            <v>Q26</v>
          </cell>
          <cell r="C298" t="str">
            <v/>
          </cell>
          <cell r="D298" t="str">
            <v/>
          </cell>
          <cell r="E298" t="str">
            <v/>
          </cell>
          <cell r="F298">
            <v>0.92027479943584223</v>
          </cell>
          <cell r="G298">
            <v>0.9490058993918622</v>
          </cell>
          <cell r="H298">
            <v>0</v>
          </cell>
          <cell r="J298">
            <v>0</v>
          </cell>
          <cell r="K298">
            <v>2.0059999999999998</v>
          </cell>
          <cell r="L298">
            <v>1905.0335</v>
          </cell>
          <cell r="M298" t="str">
            <v/>
          </cell>
          <cell r="N298">
            <v>0</v>
          </cell>
          <cell r="Q298">
            <v>1</v>
          </cell>
          <cell r="R298">
            <v>1</v>
          </cell>
          <cell r="S298">
            <v>231</v>
          </cell>
          <cell r="X298">
            <v>1</v>
          </cell>
          <cell r="Y298">
            <v>1</v>
          </cell>
          <cell r="Z298">
            <v>0.95</v>
          </cell>
          <cell r="AA298">
            <v>0</v>
          </cell>
          <cell r="AB298" t="str">
            <v/>
          </cell>
          <cell r="AD298">
            <v>21</v>
          </cell>
          <cell r="AE298">
            <v>321</v>
          </cell>
          <cell r="AF298">
            <v>0.79996465806679629</v>
          </cell>
          <cell r="AG298">
            <v>0.05</v>
          </cell>
          <cell r="AH298" t="str">
            <v/>
          </cell>
          <cell r="AI298">
            <v>3.7</v>
          </cell>
          <cell r="AJ298">
            <v>82</v>
          </cell>
          <cell r="AK298">
            <v>1032.0284697508896</v>
          </cell>
          <cell r="AL298">
            <v>0.21686746987951808</v>
          </cell>
          <cell r="AM298">
            <v>0.37442755625740232</v>
          </cell>
          <cell r="AN298">
            <v>0.34375</v>
          </cell>
          <cell r="AO298">
            <v>-8487</v>
          </cell>
          <cell r="AQ298">
            <v>25500</v>
          </cell>
          <cell r="AR298" t="str">
            <v/>
          </cell>
          <cell r="AS298">
            <v>10916</v>
          </cell>
          <cell r="AU298">
            <v>19087</v>
          </cell>
          <cell r="AV298" t="str">
            <v/>
          </cell>
          <cell r="AW298">
            <v>16433</v>
          </cell>
          <cell r="AX298" t="str">
            <v/>
          </cell>
          <cell r="AY298" t="str">
            <v/>
          </cell>
          <cell r="AZ298">
            <v>12583</v>
          </cell>
          <cell r="BA298" t="str">
            <v/>
          </cell>
          <cell r="BB298">
            <v>184.09319999799999</v>
          </cell>
          <cell r="BC298">
            <v>59</v>
          </cell>
          <cell r="BD298">
            <v>628.096999998</v>
          </cell>
          <cell r="BE298" t="str">
            <v/>
          </cell>
          <cell r="BF298">
            <v>1211.141499996</v>
          </cell>
          <cell r="BG298" t="str">
            <v/>
          </cell>
          <cell r="BH298">
            <v>488</v>
          </cell>
          <cell r="BI298">
            <v>460</v>
          </cell>
          <cell r="BJ298">
            <v>28</v>
          </cell>
        </row>
        <row r="299">
          <cell r="A299" t="str">
            <v>5MF</v>
          </cell>
          <cell r="B299" t="str">
            <v>Q26</v>
          </cell>
          <cell r="C299" t="str">
            <v/>
          </cell>
          <cell r="D299" t="str">
            <v/>
          </cell>
          <cell r="E299" t="str">
            <v/>
          </cell>
          <cell r="F299">
            <v>1</v>
          </cell>
          <cell r="G299">
            <v>1</v>
          </cell>
          <cell r="H299">
            <v>0</v>
          </cell>
          <cell r="J299">
            <v>0</v>
          </cell>
          <cell r="K299">
            <v>5</v>
          </cell>
          <cell r="L299">
            <v>1781</v>
          </cell>
          <cell r="M299" t="str">
            <v/>
          </cell>
          <cell r="N299">
            <v>0</v>
          </cell>
          <cell r="Q299" t="str">
            <v/>
          </cell>
          <cell r="R299" t="str">
            <v/>
          </cell>
          <cell r="S299">
            <v>274</v>
          </cell>
          <cell r="X299">
            <v>1</v>
          </cell>
          <cell r="Y299">
            <v>1</v>
          </cell>
          <cell r="Z299">
            <v>1</v>
          </cell>
          <cell r="AA299">
            <v>0</v>
          </cell>
          <cell r="AB299" t="str">
            <v/>
          </cell>
          <cell r="AD299">
            <v>30</v>
          </cell>
          <cell r="AE299">
            <v>269</v>
          </cell>
          <cell r="AF299">
            <v>0.80003400782179901</v>
          </cell>
          <cell r="AG299">
            <v>0</v>
          </cell>
          <cell r="AH299" t="str">
            <v/>
          </cell>
          <cell r="AI299">
            <v>4</v>
          </cell>
          <cell r="AJ299">
            <v>55</v>
          </cell>
          <cell r="AK299">
            <v>993.89834584055552</v>
          </cell>
          <cell r="AL299">
            <v>0.14794520547945206</v>
          </cell>
          <cell r="AM299">
            <v>0.38354872705086251</v>
          </cell>
          <cell r="AN299">
            <v>0.14634146341463414</v>
          </cell>
          <cell r="AO299">
            <v>72</v>
          </cell>
          <cell r="AQ299">
            <v>25285</v>
          </cell>
          <cell r="AR299" t="str">
            <v/>
          </cell>
          <cell r="AS299">
            <v>10466</v>
          </cell>
          <cell r="AU299">
            <v>19629</v>
          </cell>
          <cell r="AV299" t="str">
            <v/>
          </cell>
          <cell r="AW299">
            <v>17426</v>
          </cell>
          <cell r="AX299" t="str">
            <v/>
          </cell>
          <cell r="AY299" t="str">
            <v/>
          </cell>
          <cell r="AZ299">
            <v>14003</v>
          </cell>
          <cell r="BA299" t="str">
            <v/>
          </cell>
          <cell r="BB299">
            <v>228</v>
          </cell>
          <cell r="BC299">
            <v>66</v>
          </cell>
          <cell r="BD299">
            <v>664</v>
          </cell>
          <cell r="BE299" t="str">
            <v/>
          </cell>
          <cell r="BF299">
            <v>962</v>
          </cell>
          <cell r="BG299" t="str">
            <v/>
          </cell>
          <cell r="BH299">
            <v>488</v>
          </cell>
          <cell r="BI299">
            <v>475</v>
          </cell>
          <cell r="BJ299">
            <v>13</v>
          </cell>
        </row>
        <row r="300">
          <cell r="A300" t="str">
            <v>5MG</v>
          </cell>
          <cell r="B300" t="str">
            <v>Q27</v>
          </cell>
          <cell r="C300" t="str">
            <v/>
          </cell>
          <cell r="D300" t="str">
            <v/>
          </cell>
          <cell r="E300" t="str">
            <v/>
          </cell>
          <cell r="F300">
            <v>1</v>
          </cell>
          <cell r="G300">
            <v>1</v>
          </cell>
          <cell r="H300">
            <v>0</v>
          </cell>
          <cell r="J300">
            <v>0</v>
          </cell>
          <cell r="K300">
            <v>10.014199999999999</v>
          </cell>
          <cell r="L300">
            <v>361.83393398699997</v>
          </cell>
          <cell r="M300" t="str">
            <v/>
          </cell>
          <cell r="N300">
            <v>0</v>
          </cell>
          <cell r="Q300" t="str">
            <v/>
          </cell>
          <cell r="R300" t="str">
            <v/>
          </cell>
          <cell r="S300">
            <v>226</v>
          </cell>
          <cell r="X300">
            <v>1</v>
          </cell>
          <cell r="Y300">
            <v>1</v>
          </cell>
          <cell r="Z300">
            <v>1</v>
          </cell>
          <cell r="AA300">
            <v>0</v>
          </cell>
          <cell r="AB300" t="str">
            <v/>
          </cell>
          <cell r="AD300">
            <v>32</v>
          </cell>
          <cell r="AE300">
            <v>132</v>
          </cell>
          <cell r="AF300">
            <v>0.74196787148594379</v>
          </cell>
          <cell r="AG300">
            <v>0</v>
          </cell>
          <cell r="AH300" t="str">
            <v/>
          </cell>
          <cell r="AI300">
            <v>3</v>
          </cell>
          <cell r="AJ300">
            <v>86</v>
          </cell>
          <cell r="AK300">
            <v>1005.193256040615</v>
          </cell>
          <cell r="AL300">
            <v>0.1069364161849711</v>
          </cell>
          <cell r="AM300">
            <v>0.17684760341667366</v>
          </cell>
          <cell r="AN300">
            <v>0.53846153846153844</v>
          </cell>
          <cell r="AO300">
            <v>-3647</v>
          </cell>
          <cell r="AQ300">
            <v>26612</v>
          </cell>
          <cell r="AR300" t="str">
            <v/>
          </cell>
          <cell r="AS300">
            <v>10189</v>
          </cell>
          <cell r="AU300">
            <v>23361</v>
          </cell>
          <cell r="AV300" t="str">
            <v/>
          </cell>
          <cell r="AW300">
            <v>13272</v>
          </cell>
          <cell r="AX300" t="str">
            <v/>
          </cell>
          <cell r="AY300" t="str">
            <v/>
          </cell>
          <cell r="AZ300">
            <v>10742</v>
          </cell>
          <cell r="BA300" t="str">
            <v/>
          </cell>
          <cell r="BB300">
            <v>260.18701739599999</v>
          </cell>
          <cell r="BC300" t="str">
            <v/>
          </cell>
          <cell r="BD300">
            <v>432.94945709399997</v>
          </cell>
          <cell r="BE300" t="str">
            <v/>
          </cell>
          <cell r="BF300">
            <v>707.800385087</v>
          </cell>
          <cell r="BG300" t="str">
            <v/>
          </cell>
          <cell r="BH300">
            <v>149</v>
          </cell>
          <cell r="BI300">
            <v>0</v>
          </cell>
          <cell r="BJ300">
            <v>0</v>
          </cell>
        </row>
        <row r="301">
          <cell r="A301" t="str">
            <v>5MH</v>
          </cell>
          <cell r="B301" t="str">
            <v>Q27</v>
          </cell>
          <cell r="C301" t="str">
            <v/>
          </cell>
          <cell r="D301" t="str">
            <v/>
          </cell>
          <cell r="E301" t="str">
            <v/>
          </cell>
          <cell r="F301">
            <v>1</v>
          </cell>
          <cell r="G301">
            <v>1</v>
          </cell>
          <cell r="H301">
            <v>0</v>
          </cell>
          <cell r="J301">
            <v>0</v>
          </cell>
          <cell r="K301">
            <v>3</v>
          </cell>
          <cell r="L301">
            <v>433.83571589800005</v>
          </cell>
          <cell r="M301" t="str">
            <v/>
          </cell>
          <cell r="N301">
            <v>0</v>
          </cell>
          <cell r="Q301" t="str">
            <v/>
          </cell>
          <cell r="R301" t="str">
            <v/>
          </cell>
          <cell r="S301">
            <v>85</v>
          </cell>
          <cell r="X301">
            <v>1</v>
          </cell>
          <cell r="Y301">
            <v>1</v>
          </cell>
          <cell r="Z301">
            <v>1</v>
          </cell>
          <cell r="AA301">
            <v>0</v>
          </cell>
          <cell r="AB301" t="str">
            <v/>
          </cell>
          <cell r="AD301">
            <v>22</v>
          </cell>
          <cell r="AE301">
            <v>114</v>
          </cell>
          <cell r="AF301">
            <v>0.74610630407911005</v>
          </cell>
          <cell r="AG301">
            <v>0</v>
          </cell>
          <cell r="AH301" t="str">
            <v/>
          </cell>
          <cell r="AI301">
            <v>4</v>
          </cell>
          <cell r="AJ301">
            <v>112</v>
          </cell>
          <cell r="AK301">
            <v>1043.518380307492</v>
          </cell>
          <cell r="AL301">
            <v>0.22021660649819494</v>
          </cell>
          <cell r="AM301">
            <v>0.30202653325088535</v>
          </cell>
          <cell r="AN301">
            <v>0.2857142857142857</v>
          </cell>
          <cell r="AO301">
            <v>-1301</v>
          </cell>
          <cell r="AQ301">
            <v>16609</v>
          </cell>
          <cell r="AR301" t="str">
            <v/>
          </cell>
          <cell r="AS301">
            <v>7360</v>
          </cell>
          <cell r="AU301">
            <v>14639</v>
          </cell>
          <cell r="AV301" t="str">
            <v/>
          </cell>
          <cell r="AW301">
            <v>10781</v>
          </cell>
          <cell r="AX301" t="str">
            <v/>
          </cell>
          <cell r="AY301" t="str">
            <v/>
          </cell>
          <cell r="AZ301">
            <v>8946</v>
          </cell>
          <cell r="BA301" t="str">
            <v/>
          </cell>
          <cell r="BB301">
            <v>172.94745595000001</v>
          </cell>
          <cell r="BC301" t="str">
            <v/>
          </cell>
          <cell r="BD301">
            <v>323.6962585</v>
          </cell>
          <cell r="BE301" t="str">
            <v/>
          </cell>
          <cell r="BF301">
            <v>560.19816709999998</v>
          </cell>
          <cell r="BG301" t="str">
            <v/>
          </cell>
          <cell r="BH301">
            <v>77</v>
          </cell>
          <cell r="BI301">
            <v>0</v>
          </cell>
          <cell r="BJ301">
            <v>0</v>
          </cell>
        </row>
        <row r="302">
          <cell r="A302" t="str">
            <v>5MJ</v>
          </cell>
          <cell r="B302" t="str">
            <v>Q27</v>
          </cell>
          <cell r="C302" t="str">
            <v/>
          </cell>
          <cell r="D302" t="str">
            <v/>
          </cell>
          <cell r="E302" t="str">
            <v/>
          </cell>
          <cell r="F302">
            <v>1</v>
          </cell>
          <cell r="G302">
            <v>1</v>
          </cell>
          <cell r="H302">
            <v>0</v>
          </cell>
          <cell r="J302">
            <v>0</v>
          </cell>
          <cell r="K302">
            <v>6</v>
          </cell>
          <cell r="L302">
            <v>542.45550923200005</v>
          </cell>
          <cell r="M302" t="str">
            <v/>
          </cell>
          <cell r="N302">
            <v>0</v>
          </cell>
          <cell r="Q302" t="str">
            <v/>
          </cell>
          <cell r="R302" t="str">
            <v/>
          </cell>
          <cell r="S302">
            <v>193</v>
          </cell>
          <cell r="X302">
            <v>1</v>
          </cell>
          <cell r="Y302">
            <v>1</v>
          </cell>
          <cell r="Z302">
            <v>1</v>
          </cell>
          <cell r="AA302">
            <v>0</v>
          </cell>
          <cell r="AB302" t="str">
            <v/>
          </cell>
          <cell r="AD302">
            <v>35</v>
          </cell>
          <cell r="AE302">
            <v>118</v>
          </cell>
          <cell r="AF302">
            <v>0.70199748065502965</v>
          </cell>
          <cell r="AG302">
            <v>0</v>
          </cell>
          <cell r="AH302" t="str">
            <v/>
          </cell>
          <cell r="AI302">
            <v>6</v>
          </cell>
          <cell r="AJ302">
            <v>165</v>
          </cell>
          <cell r="AK302">
            <v>1099.537037037037</v>
          </cell>
          <cell r="AL302">
            <v>0.18559556786703602</v>
          </cell>
          <cell r="AM302">
            <v>0.18043991118512351</v>
          </cell>
          <cell r="AN302">
            <v>0.3</v>
          </cell>
          <cell r="AO302">
            <v>149</v>
          </cell>
          <cell r="AQ302">
            <v>24346</v>
          </cell>
          <cell r="AR302" t="str">
            <v/>
          </cell>
          <cell r="AS302">
            <v>12018</v>
          </cell>
          <cell r="AU302">
            <v>20445</v>
          </cell>
          <cell r="AV302" t="str">
            <v/>
          </cell>
          <cell r="AW302">
            <v>14992</v>
          </cell>
          <cell r="AX302" t="str">
            <v/>
          </cell>
          <cell r="AY302" t="str">
            <v/>
          </cell>
          <cell r="AZ302">
            <v>12040</v>
          </cell>
          <cell r="BA302" t="str">
            <v/>
          </cell>
          <cell r="BB302">
            <v>243.29561519999999</v>
          </cell>
          <cell r="BC302" t="str">
            <v/>
          </cell>
          <cell r="BD302">
            <v>440.93979739999997</v>
          </cell>
          <cell r="BE302" t="str">
            <v/>
          </cell>
          <cell r="BF302">
            <v>715.12152189999995</v>
          </cell>
          <cell r="BG302" t="str">
            <v/>
          </cell>
          <cell r="BH302">
            <v>91</v>
          </cell>
          <cell r="BI302">
            <v>98</v>
          </cell>
          <cell r="BJ302">
            <v>21</v>
          </cell>
        </row>
        <row r="303">
          <cell r="A303" t="str">
            <v>5MK</v>
          </cell>
          <cell r="B303" t="str">
            <v>Q26</v>
          </cell>
          <cell r="C303" t="str">
            <v/>
          </cell>
          <cell r="D303" t="str">
            <v/>
          </cell>
          <cell r="E303" t="str">
            <v/>
          </cell>
          <cell r="F303">
            <v>1</v>
          </cell>
          <cell r="G303">
            <v>1</v>
          </cell>
          <cell r="H303">
            <v>0</v>
          </cell>
          <cell r="J303">
            <v>0</v>
          </cell>
          <cell r="K303">
            <v>38</v>
          </cell>
          <cell r="L303">
            <v>612.78330310399997</v>
          </cell>
          <cell r="M303" t="str">
            <v/>
          </cell>
          <cell r="N303">
            <v>1</v>
          </cell>
          <cell r="Q303" t="str">
            <v/>
          </cell>
          <cell r="R303" t="str">
            <v/>
          </cell>
          <cell r="S303">
            <v>891</v>
          </cell>
          <cell r="X303">
            <v>1</v>
          </cell>
          <cell r="Y303">
            <v>1</v>
          </cell>
          <cell r="Z303">
            <v>0.8571428571428571</v>
          </cell>
          <cell r="AA303">
            <v>0</v>
          </cell>
          <cell r="AB303" t="str">
            <v/>
          </cell>
          <cell r="AD303">
            <v>13</v>
          </cell>
          <cell r="AE303">
            <v>195</v>
          </cell>
          <cell r="AF303">
            <v>0.80272873194221506</v>
          </cell>
          <cell r="AG303">
            <v>0</v>
          </cell>
          <cell r="AH303" t="str">
            <v/>
          </cell>
          <cell r="AI303">
            <v>2</v>
          </cell>
          <cell r="AJ303">
            <v>14</v>
          </cell>
          <cell r="AK303">
            <v>1466.010882220163</v>
          </cell>
          <cell r="AL303" t="str">
            <v/>
          </cell>
          <cell r="AM303">
            <v>0.25983349467570183</v>
          </cell>
          <cell r="AN303">
            <v>8.8235294117647065E-2</v>
          </cell>
          <cell r="AO303">
            <v>1790</v>
          </cell>
          <cell r="AQ303">
            <v>24343</v>
          </cell>
          <cell r="AR303" t="str">
            <v/>
          </cell>
          <cell r="AS303">
            <v>17792</v>
          </cell>
          <cell r="AU303">
            <v>22020</v>
          </cell>
          <cell r="AV303" t="str">
            <v/>
          </cell>
          <cell r="AW303">
            <v>18143</v>
          </cell>
          <cell r="AX303" t="str">
            <v/>
          </cell>
          <cell r="AY303" t="str">
            <v/>
          </cell>
          <cell r="AZ303">
            <v>13944</v>
          </cell>
          <cell r="BA303" t="str">
            <v/>
          </cell>
          <cell r="BB303">
            <v>310.19879225300002</v>
          </cell>
          <cell r="BC303" t="str">
            <v/>
          </cell>
          <cell r="BD303">
            <v>894.38403553700005</v>
          </cell>
          <cell r="BE303" t="str">
            <v/>
          </cell>
          <cell r="BF303">
            <v>1553.365241879</v>
          </cell>
          <cell r="BG303" t="str">
            <v/>
          </cell>
          <cell r="BH303">
            <v>44</v>
          </cell>
          <cell r="BI303">
            <v>2</v>
          </cell>
          <cell r="BJ303">
            <v>2</v>
          </cell>
        </row>
        <row r="304">
          <cell r="A304" t="str">
            <v>5ML</v>
          </cell>
          <cell r="B304" t="str">
            <v>Q26</v>
          </cell>
          <cell r="C304" t="str">
            <v/>
          </cell>
          <cell r="D304" t="str">
            <v/>
          </cell>
          <cell r="E304">
            <v>1</v>
          </cell>
          <cell r="F304">
            <v>1</v>
          </cell>
          <cell r="G304">
            <v>1</v>
          </cell>
          <cell r="H304">
            <v>0</v>
          </cell>
          <cell r="J304">
            <v>0</v>
          </cell>
          <cell r="K304">
            <v>13.346700002000002</v>
          </cell>
          <cell r="L304">
            <v>656.88936650199992</v>
          </cell>
          <cell r="M304" t="str">
            <v/>
          </cell>
          <cell r="N304">
            <v>0</v>
          </cell>
          <cell r="Q304" t="str">
            <v/>
          </cell>
          <cell r="R304" t="str">
            <v/>
          </cell>
          <cell r="S304">
            <v>112</v>
          </cell>
          <cell r="X304">
            <v>1</v>
          </cell>
          <cell r="Y304">
            <v>1</v>
          </cell>
          <cell r="Z304">
            <v>1</v>
          </cell>
          <cell r="AA304">
            <v>0</v>
          </cell>
          <cell r="AB304" t="str">
            <v/>
          </cell>
          <cell r="AD304">
            <v>51</v>
          </cell>
          <cell r="AE304">
            <v>91</v>
          </cell>
          <cell r="AF304">
            <v>0.5978511128165771</v>
          </cell>
          <cell r="AG304">
            <v>0</v>
          </cell>
          <cell r="AH304" t="str">
            <v/>
          </cell>
          <cell r="AI304">
            <v>6</v>
          </cell>
          <cell r="AJ304">
            <v>154</v>
          </cell>
          <cell r="AK304">
            <v>809.9017014467197</v>
          </cell>
          <cell r="AL304">
            <v>0.13513513513513514</v>
          </cell>
          <cell r="AM304">
            <v>0.25952956055689747</v>
          </cell>
          <cell r="AN304">
            <v>0.5625</v>
          </cell>
          <cell r="AO304">
            <v>97</v>
          </cell>
          <cell r="AQ304">
            <v>25151</v>
          </cell>
          <cell r="AR304" t="str">
            <v/>
          </cell>
          <cell r="AS304">
            <v>13732</v>
          </cell>
          <cell r="AU304">
            <v>17810</v>
          </cell>
          <cell r="AV304" t="str">
            <v/>
          </cell>
          <cell r="AW304">
            <v>14386</v>
          </cell>
          <cell r="AX304" t="str">
            <v/>
          </cell>
          <cell r="AY304" t="str">
            <v/>
          </cell>
          <cell r="AZ304">
            <v>9561</v>
          </cell>
          <cell r="BA304" t="str">
            <v/>
          </cell>
          <cell r="BB304">
            <v>140.254292128</v>
          </cell>
          <cell r="BC304">
            <v>4</v>
          </cell>
          <cell r="BD304">
            <v>319.66393529099997</v>
          </cell>
          <cell r="BE304" t="str">
            <v/>
          </cell>
          <cell r="BF304">
            <v>651.023941562</v>
          </cell>
          <cell r="BG304" t="str">
            <v/>
          </cell>
          <cell r="BH304">
            <v>108</v>
          </cell>
          <cell r="BI304">
            <v>108</v>
          </cell>
          <cell r="BJ304">
            <v>28</v>
          </cell>
        </row>
        <row r="305">
          <cell r="A305" t="str">
            <v>5MM</v>
          </cell>
          <cell r="B305" t="str">
            <v>Q26</v>
          </cell>
          <cell r="C305" t="str">
            <v/>
          </cell>
          <cell r="D305" t="str">
            <v/>
          </cell>
          <cell r="E305" t="str">
            <v/>
          </cell>
          <cell r="F305">
            <v>1</v>
          </cell>
          <cell r="G305">
            <v>1</v>
          </cell>
          <cell r="H305">
            <v>0</v>
          </cell>
          <cell r="J305">
            <v>0</v>
          </cell>
          <cell r="K305">
            <v>45.005699999999997</v>
          </cell>
          <cell r="L305">
            <v>560.93329738300008</v>
          </cell>
          <cell r="M305" t="str">
            <v/>
          </cell>
          <cell r="N305">
            <v>0</v>
          </cell>
          <cell r="Q305" t="str">
            <v/>
          </cell>
          <cell r="R305" t="str">
            <v/>
          </cell>
          <cell r="S305">
            <v>236</v>
          </cell>
          <cell r="X305">
            <v>1</v>
          </cell>
          <cell r="Y305">
            <v>1</v>
          </cell>
          <cell r="Z305">
            <v>1</v>
          </cell>
          <cell r="AA305">
            <v>0</v>
          </cell>
          <cell r="AB305" t="str">
            <v/>
          </cell>
          <cell r="AD305">
            <v>26</v>
          </cell>
          <cell r="AE305">
            <v>108</v>
          </cell>
          <cell r="AF305">
            <v>0.80552305172010297</v>
          </cell>
          <cell r="AG305">
            <v>0</v>
          </cell>
          <cell r="AH305" t="str">
            <v/>
          </cell>
          <cell r="AI305">
            <v>0</v>
          </cell>
          <cell r="AJ305">
            <v>0</v>
          </cell>
          <cell r="AK305">
            <v>709.12980201017785</v>
          </cell>
          <cell r="AL305">
            <v>0.10320284697508897</v>
          </cell>
          <cell r="AM305">
            <v>0.34937468528737758</v>
          </cell>
          <cell r="AN305">
            <v>0.2857142857142857</v>
          </cell>
          <cell r="AO305">
            <v>101</v>
          </cell>
          <cell r="AQ305">
            <v>32190</v>
          </cell>
          <cell r="AR305" t="str">
            <v/>
          </cell>
          <cell r="AS305">
            <v>14722</v>
          </cell>
          <cell r="AU305">
            <v>21125</v>
          </cell>
          <cell r="AV305" t="str">
            <v/>
          </cell>
          <cell r="AW305">
            <v>17774</v>
          </cell>
          <cell r="AX305" t="str">
            <v/>
          </cell>
          <cell r="AY305" t="str">
            <v/>
          </cell>
          <cell r="AZ305">
            <v>11451</v>
          </cell>
          <cell r="BA305" t="str">
            <v/>
          </cell>
          <cell r="BB305">
            <v>269.33415390299996</v>
          </cell>
          <cell r="BC305">
            <v>4</v>
          </cell>
          <cell r="BD305">
            <v>461.38201996499998</v>
          </cell>
          <cell r="BE305" t="str">
            <v/>
          </cell>
          <cell r="BF305">
            <v>741.50861973799988</v>
          </cell>
          <cell r="BG305" t="str">
            <v/>
          </cell>
          <cell r="BH305">
            <v>1</v>
          </cell>
          <cell r="BI305">
            <v>1</v>
          </cell>
          <cell r="BJ305">
            <v>1</v>
          </cell>
        </row>
        <row r="306">
          <cell r="A306" t="str">
            <v>5MN</v>
          </cell>
          <cell r="B306" t="str">
            <v>Q26</v>
          </cell>
          <cell r="C306" t="str">
            <v/>
          </cell>
          <cell r="D306" t="str">
            <v/>
          </cell>
          <cell r="E306" t="str">
            <v/>
          </cell>
          <cell r="F306">
            <v>1</v>
          </cell>
          <cell r="G306">
            <v>1</v>
          </cell>
          <cell r="H306">
            <v>0</v>
          </cell>
          <cell r="J306">
            <v>1</v>
          </cell>
          <cell r="K306">
            <v>66.009800000000013</v>
          </cell>
          <cell r="L306">
            <v>1125.6933414810003</v>
          </cell>
          <cell r="M306" t="str">
            <v/>
          </cell>
          <cell r="N306">
            <v>0</v>
          </cell>
          <cell r="Q306" t="str">
            <v/>
          </cell>
          <cell r="R306" t="str">
            <v/>
          </cell>
          <cell r="S306">
            <v>283</v>
          </cell>
          <cell r="X306">
            <v>1</v>
          </cell>
          <cell r="Y306">
            <v>1</v>
          </cell>
          <cell r="Z306">
            <v>1</v>
          </cell>
          <cell r="AA306">
            <v>0</v>
          </cell>
          <cell r="AB306" t="str">
            <v/>
          </cell>
          <cell r="AD306">
            <v>68</v>
          </cell>
          <cell r="AE306">
            <v>148</v>
          </cell>
          <cell r="AF306">
            <v>0.57482036863480157</v>
          </cell>
          <cell r="AG306">
            <v>0</v>
          </cell>
          <cell r="AH306" t="str">
            <v/>
          </cell>
          <cell r="AI306">
            <v>2</v>
          </cell>
          <cell r="AJ306">
            <v>20</v>
          </cell>
          <cell r="AK306">
            <v>679.55226619365101</v>
          </cell>
          <cell r="AL306">
            <v>5.9659090909090912E-2</v>
          </cell>
          <cell r="AM306">
            <v>0.29999723351868757</v>
          </cell>
          <cell r="AN306">
            <v>0.31372549019607843</v>
          </cell>
          <cell r="AO306">
            <v>-4911</v>
          </cell>
          <cell r="AQ306">
            <v>38748</v>
          </cell>
          <cell r="AR306" t="str">
            <v/>
          </cell>
          <cell r="AS306">
            <v>22140</v>
          </cell>
          <cell r="AU306">
            <v>26341</v>
          </cell>
          <cell r="AV306" t="str">
            <v/>
          </cell>
          <cell r="AW306">
            <v>23946</v>
          </cell>
          <cell r="AX306" t="str">
            <v/>
          </cell>
          <cell r="AY306" t="str">
            <v/>
          </cell>
          <cell r="AZ306">
            <v>15445</v>
          </cell>
          <cell r="BA306" t="str">
            <v/>
          </cell>
          <cell r="BB306">
            <v>384.10323741299999</v>
          </cell>
          <cell r="BC306">
            <v>12</v>
          </cell>
          <cell r="BD306">
            <v>705.03965775400002</v>
          </cell>
          <cell r="BE306" t="str">
            <v/>
          </cell>
          <cell r="BF306">
            <v>1068.2646179850001</v>
          </cell>
          <cell r="BG306" t="str">
            <v/>
          </cell>
          <cell r="BH306">
            <v>2</v>
          </cell>
          <cell r="BI306">
            <v>2</v>
          </cell>
          <cell r="BJ306">
            <v>2</v>
          </cell>
        </row>
        <row r="307">
          <cell r="A307" t="str">
            <v>5MP</v>
          </cell>
          <cell r="B307" t="str">
            <v>Q28</v>
          </cell>
          <cell r="C307" t="str">
            <v/>
          </cell>
          <cell r="D307" t="str">
            <v/>
          </cell>
          <cell r="E307">
            <v>0.99089253187613846</v>
          </cell>
          <cell r="F307">
            <v>1</v>
          </cell>
          <cell r="G307">
            <v>1</v>
          </cell>
          <cell r="H307">
            <v>0</v>
          </cell>
          <cell r="J307">
            <v>1</v>
          </cell>
          <cell r="K307">
            <v>26.005700000000001</v>
          </cell>
          <cell r="L307">
            <v>143.66984458200002</v>
          </cell>
          <cell r="M307" t="str">
            <v/>
          </cell>
          <cell r="N307">
            <v>0</v>
          </cell>
          <cell r="Q307" t="str">
            <v/>
          </cell>
          <cell r="R307">
            <v>1</v>
          </cell>
          <cell r="S307">
            <v>123</v>
          </cell>
          <cell r="X307">
            <v>0.99425287356321834</v>
          </cell>
          <cell r="Y307">
            <v>1</v>
          </cell>
          <cell r="Z307">
            <v>0.91666666666666663</v>
          </cell>
          <cell r="AA307">
            <v>0</v>
          </cell>
          <cell r="AB307" t="str">
            <v/>
          </cell>
          <cell r="AD307">
            <v>37</v>
          </cell>
          <cell r="AE307">
            <v>651</v>
          </cell>
          <cell r="AF307">
            <v>0.99189388356669128</v>
          </cell>
          <cell r="AG307">
            <v>0</v>
          </cell>
          <cell r="AH307" t="str">
            <v/>
          </cell>
          <cell r="AI307">
            <v>4</v>
          </cell>
          <cell r="AJ307">
            <v>270</v>
          </cell>
          <cell r="AK307">
            <v>759.44859512281971</v>
          </cell>
          <cell r="AL307" t="str">
            <v/>
          </cell>
          <cell r="AM307">
            <v>0.22340018619689239</v>
          </cell>
          <cell r="AN307">
            <v>0.27500000000000002</v>
          </cell>
          <cell r="AO307">
            <v>1688</v>
          </cell>
          <cell r="AQ307">
            <v>37677</v>
          </cell>
          <cell r="AR307" t="str">
            <v/>
          </cell>
          <cell r="AS307">
            <v>12931</v>
          </cell>
          <cell r="AU307">
            <v>27863</v>
          </cell>
          <cell r="AV307" t="str">
            <v/>
          </cell>
          <cell r="AW307">
            <v>19937</v>
          </cell>
          <cell r="AX307" t="str">
            <v/>
          </cell>
          <cell r="AY307" t="str">
            <v/>
          </cell>
          <cell r="AZ307">
            <v>13527</v>
          </cell>
          <cell r="BA307" t="str">
            <v/>
          </cell>
          <cell r="BB307">
            <v>372.80232967299997</v>
          </cell>
          <cell r="BC307">
            <v>107</v>
          </cell>
          <cell r="BD307">
            <v>659.48599329899992</v>
          </cell>
          <cell r="BE307" t="str">
            <v/>
          </cell>
          <cell r="BF307">
            <v>821.82566001199996</v>
          </cell>
          <cell r="BG307" t="str">
            <v/>
          </cell>
          <cell r="BH307">
            <v>57</v>
          </cell>
          <cell r="BI307">
            <v>2</v>
          </cell>
          <cell r="BJ307">
            <v>2</v>
          </cell>
        </row>
        <row r="308">
          <cell r="A308" t="str">
            <v>5MQ</v>
          </cell>
          <cell r="B308" t="str">
            <v>Q28</v>
          </cell>
          <cell r="C308" t="str">
            <v/>
          </cell>
          <cell r="D308" t="str">
            <v/>
          </cell>
          <cell r="E308">
            <v>1</v>
          </cell>
          <cell r="F308">
            <v>1</v>
          </cell>
          <cell r="G308">
            <v>1</v>
          </cell>
          <cell r="H308">
            <v>0</v>
          </cell>
          <cell r="J308">
            <v>0</v>
          </cell>
          <cell r="K308">
            <v>18.033300001000001</v>
          </cell>
          <cell r="L308">
            <v>826.42897924800013</v>
          </cell>
          <cell r="M308" t="str">
            <v/>
          </cell>
          <cell r="N308">
            <v>1</v>
          </cell>
          <cell r="Q308" t="str">
            <v/>
          </cell>
          <cell r="R308">
            <v>0.85227272727272729</v>
          </cell>
          <cell r="S308">
            <v>126</v>
          </cell>
          <cell r="X308">
            <v>1</v>
          </cell>
          <cell r="Y308">
            <v>1</v>
          </cell>
          <cell r="Z308">
            <v>0.9375</v>
          </cell>
          <cell r="AA308">
            <v>0</v>
          </cell>
          <cell r="AB308" t="str">
            <v/>
          </cell>
          <cell r="AD308">
            <v>73</v>
          </cell>
          <cell r="AE308">
            <v>393</v>
          </cell>
          <cell r="AF308">
            <v>0.86420549890280107</v>
          </cell>
          <cell r="AG308">
            <v>0</v>
          </cell>
          <cell r="AH308" t="str">
            <v/>
          </cell>
          <cell r="AI308">
            <v>2</v>
          </cell>
          <cell r="AJ308">
            <v>57</v>
          </cell>
          <cell r="AK308">
            <v>526.44196193124606</v>
          </cell>
          <cell r="AL308" t="str">
            <v/>
          </cell>
          <cell r="AM308">
            <v>0.25982238648662698</v>
          </cell>
          <cell r="AN308">
            <v>0.55555555555555558</v>
          </cell>
          <cell r="AO308">
            <v>220</v>
          </cell>
          <cell r="AQ308">
            <v>50831</v>
          </cell>
          <cell r="AR308" t="str">
            <v/>
          </cell>
          <cell r="AS308">
            <v>19318</v>
          </cell>
          <cell r="AU308">
            <v>38971</v>
          </cell>
          <cell r="AV308" t="str">
            <v/>
          </cell>
          <cell r="AW308">
            <v>29239</v>
          </cell>
          <cell r="AX308" t="str">
            <v/>
          </cell>
          <cell r="AY308" t="str">
            <v/>
          </cell>
          <cell r="AZ308">
            <v>21036</v>
          </cell>
          <cell r="BA308" t="str">
            <v/>
          </cell>
          <cell r="BB308">
            <v>584.91288062000001</v>
          </cell>
          <cell r="BC308" t="str">
            <v/>
          </cell>
          <cell r="BD308">
            <v>987.51768881800001</v>
          </cell>
          <cell r="BE308" t="str">
            <v/>
          </cell>
          <cell r="BF308">
            <v>1578.6629047019999</v>
          </cell>
          <cell r="BG308" t="str">
            <v/>
          </cell>
          <cell r="BH308">
            <v>682</v>
          </cell>
          <cell r="BI308">
            <v>0</v>
          </cell>
          <cell r="BJ308">
            <v>0</v>
          </cell>
        </row>
        <row r="309">
          <cell r="A309" t="str">
            <v>5MR</v>
          </cell>
          <cell r="B309" t="str">
            <v>Q28</v>
          </cell>
          <cell r="C309" t="str">
            <v/>
          </cell>
          <cell r="D309" t="str">
            <v/>
          </cell>
          <cell r="E309">
            <v>1</v>
          </cell>
          <cell r="F309">
            <v>1</v>
          </cell>
          <cell r="G309">
            <v>1</v>
          </cell>
          <cell r="H309">
            <v>0</v>
          </cell>
          <cell r="J309">
            <v>0</v>
          </cell>
          <cell r="K309">
            <v>12.006</v>
          </cell>
          <cell r="L309">
            <v>173.11974685999999</v>
          </cell>
          <cell r="M309" t="str">
            <v/>
          </cell>
          <cell r="N309">
            <v>0</v>
          </cell>
          <cell r="Q309" t="str">
            <v/>
          </cell>
          <cell r="R309" t="str">
            <v/>
          </cell>
          <cell r="S309">
            <v>16</v>
          </cell>
          <cell r="X309">
            <v>1</v>
          </cell>
          <cell r="Y309">
            <v>1</v>
          </cell>
          <cell r="Z309">
            <v>0.88461538461538458</v>
          </cell>
          <cell r="AA309">
            <v>0</v>
          </cell>
          <cell r="AB309" t="str">
            <v/>
          </cell>
          <cell r="AD309">
            <v>41</v>
          </cell>
          <cell r="AE309">
            <v>201</v>
          </cell>
          <cell r="AF309">
            <v>0.94105226112968499</v>
          </cell>
          <cell r="AG309">
            <v>0</v>
          </cell>
          <cell r="AH309" t="str">
            <v/>
          </cell>
          <cell r="AI309">
            <v>0</v>
          </cell>
          <cell r="AJ309">
            <v>0</v>
          </cell>
          <cell r="AK309">
            <v>624.35589790652716</v>
          </cell>
          <cell r="AL309">
            <v>0.24889867841409691</v>
          </cell>
          <cell r="AM309">
            <v>0.42470863957399996</v>
          </cell>
          <cell r="AN309">
            <v>0.76086956521739135</v>
          </cell>
          <cell r="AO309">
            <v>824</v>
          </cell>
          <cell r="AQ309">
            <v>33021</v>
          </cell>
          <cell r="AR309" t="str">
            <v/>
          </cell>
          <cell r="AS309">
            <v>10609</v>
          </cell>
          <cell r="AU309">
            <v>25605</v>
          </cell>
          <cell r="AV309" t="str">
            <v/>
          </cell>
          <cell r="AW309">
            <v>14607</v>
          </cell>
          <cell r="AX309" t="str">
            <v/>
          </cell>
          <cell r="AY309" t="str">
            <v/>
          </cell>
          <cell r="AZ309">
            <v>14317</v>
          </cell>
          <cell r="BA309" t="str">
            <v/>
          </cell>
          <cell r="BB309">
            <v>383.54686839999999</v>
          </cell>
          <cell r="BC309" t="str">
            <v/>
          </cell>
          <cell r="BD309">
            <v>733.90525996099996</v>
          </cell>
          <cell r="BE309" t="str">
            <v/>
          </cell>
          <cell r="BF309">
            <v>1543.859831512</v>
          </cell>
          <cell r="BG309" t="str">
            <v/>
          </cell>
          <cell r="BH309">
            <v>54</v>
          </cell>
          <cell r="BI309">
            <v>335</v>
          </cell>
          <cell r="BJ309">
            <v>0</v>
          </cell>
        </row>
        <row r="310">
          <cell r="A310" t="str">
            <v>5MT</v>
          </cell>
          <cell r="B310" t="str">
            <v>Q28</v>
          </cell>
          <cell r="C310" t="str">
            <v/>
          </cell>
          <cell r="D310" t="str">
            <v/>
          </cell>
          <cell r="E310">
            <v>1</v>
          </cell>
          <cell r="F310">
            <v>1</v>
          </cell>
          <cell r="G310">
            <v>1</v>
          </cell>
          <cell r="H310">
            <v>0</v>
          </cell>
          <cell r="J310">
            <v>2</v>
          </cell>
          <cell r="K310">
            <v>27.012</v>
          </cell>
          <cell r="L310">
            <v>263.74554665400001</v>
          </cell>
          <cell r="M310">
            <v>360</v>
          </cell>
          <cell r="N310">
            <v>0</v>
          </cell>
          <cell r="Q310">
            <v>1</v>
          </cell>
          <cell r="R310">
            <v>1</v>
          </cell>
          <cell r="S310">
            <v>2</v>
          </cell>
          <cell r="X310">
            <v>0.99613899613899615</v>
          </cell>
          <cell r="Y310">
            <v>1</v>
          </cell>
          <cell r="Z310">
            <v>0.83333333333333337</v>
          </cell>
          <cell r="AA310">
            <v>0</v>
          </cell>
          <cell r="AB310" t="str">
            <v/>
          </cell>
          <cell r="AD310">
            <v>86</v>
          </cell>
          <cell r="AE310">
            <v>363</v>
          </cell>
          <cell r="AF310">
            <v>0.25954125820881319</v>
          </cell>
          <cell r="AG310">
            <v>0</v>
          </cell>
          <cell r="AH310" t="str">
            <v/>
          </cell>
          <cell r="AI310">
            <v>3</v>
          </cell>
          <cell r="AJ310">
            <v>40</v>
          </cell>
          <cell r="AK310">
            <v>664.23706017614643</v>
          </cell>
          <cell r="AL310">
            <v>0.25068119891008173</v>
          </cell>
          <cell r="AM310">
            <v>0.20460124130850715</v>
          </cell>
          <cell r="AN310">
            <v>0.84090909090909094</v>
          </cell>
          <cell r="AO310">
            <v>11</v>
          </cell>
          <cell r="AQ310">
            <v>53338</v>
          </cell>
          <cell r="AR310" t="str">
            <v>x</v>
          </cell>
          <cell r="AS310">
            <v>14521</v>
          </cell>
          <cell r="AU310">
            <v>42804</v>
          </cell>
          <cell r="AV310" t="str">
            <v>x</v>
          </cell>
          <cell r="AW310">
            <v>29543</v>
          </cell>
          <cell r="AX310" t="str">
            <v>x</v>
          </cell>
          <cell r="AY310" t="str">
            <v>x</v>
          </cell>
          <cell r="AZ310">
            <v>23628</v>
          </cell>
          <cell r="BA310" t="str">
            <v>x</v>
          </cell>
          <cell r="BB310">
            <v>480.06854059199998</v>
          </cell>
          <cell r="BC310" t="str">
            <v/>
          </cell>
          <cell r="BD310">
            <v>1329.8981576399999</v>
          </cell>
          <cell r="BE310" t="str">
            <v/>
          </cell>
          <cell r="BF310">
            <v>1711.146260814</v>
          </cell>
          <cell r="BG310" t="str">
            <v/>
          </cell>
          <cell r="BH310">
            <v>805</v>
          </cell>
          <cell r="BI310">
            <v>1580</v>
          </cell>
          <cell r="BJ310">
            <v>101</v>
          </cell>
        </row>
        <row r="311">
          <cell r="A311" t="str">
            <v>5MV</v>
          </cell>
          <cell r="B311" t="str">
            <v>Q27</v>
          </cell>
          <cell r="C311" t="str">
            <v/>
          </cell>
          <cell r="D311" t="str">
            <v/>
          </cell>
          <cell r="E311">
            <v>0.99822064056939497</v>
          </cell>
          <cell r="F311">
            <v>1</v>
          </cell>
          <cell r="G311">
            <v>1</v>
          </cell>
          <cell r="H311">
            <v>0</v>
          </cell>
          <cell r="J311">
            <v>0</v>
          </cell>
          <cell r="K311">
            <v>20</v>
          </cell>
          <cell r="L311">
            <v>1856.0986616050002</v>
          </cell>
          <cell r="M311" t="str">
            <v/>
          </cell>
          <cell r="N311">
            <v>0</v>
          </cell>
          <cell r="Q311" t="str">
            <v/>
          </cell>
          <cell r="R311">
            <v>0.66666666666666663</v>
          </cell>
          <cell r="S311">
            <v>351</v>
          </cell>
          <cell r="X311">
            <v>1</v>
          </cell>
          <cell r="Y311">
            <v>0.9885057471264368</v>
          </cell>
          <cell r="Z311">
            <v>1</v>
          </cell>
          <cell r="AA311">
            <v>0</v>
          </cell>
          <cell r="AB311" t="str">
            <v/>
          </cell>
          <cell r="AD311">
            <v>35</v>
          </cell>
          <cell r="AE311">
            <v>295</v>
          </cell>
          <cell r="AF311">
            <v>0.87844917918267551</v>
          </cell>
          <cell r="AG311">
            <v>0</v>
          </cell>
          <cell r="AH311" t="str">
            <v/>
          </cell>
          <cell r="AI311">
            <v>4</v>
          </cell>
          <cell r="AJ311">
            <v>98</v>
          </cell>
          <cell r="AK311">
            <v>899.23826154240282</v>
          </cell>
          <cell r="AL311">
            <v>0.20578778135048231</v>
          </cell>
          <cell r="AM311">
            <v>0.29327179306740625</v>
          </cell>
          <cell r="AN311">
            <v>0.4375</v>
          </cell>
          <cell r="AO311">
            <v>1315</v>
          </cell>
          <cell r="AQ311">
            <v>45586</v>
          </cell>
          <cell r="AR311" t="str">
            <v/>
          </cell>
          <cell r="AS311">
            <v>31178</v>
          </cell>
          <cell r="AU311">
            <v>45626</v>
          </cell>
          <cell r="AV311" t="str">
            <v/>
          </cell>
          <cell r="AW311">
            <v>26538</v>
          </cell>
          <cell r="AX311" t="str">
            <v/>
          </cell>
          <cell r="AY311" t="str">
            <v/>
          </cell>
          <cell r="AZ311">
            <v>24500</v>
          </cell>
          <cell r="BA311" t="str">
            <v/>
          </cell>
          <cell r="BB311">
            <v>491.19275349399999</v>
          </cell>
          <cell r="BC311" t="str">
            <v/>
          </cell>
          <cell r="BD311">
            <v>1025.3042131740001</v>
          </cell>
          <cell r="BE311" t="str">
            <v/>
          </cell>
          <cell r="BF311">
            <v>1430.8714512839999</v>
          </cell>
          <cell r="BG311" t="str">
            <v/>
          </cell>
          <cell r="BH311">
            <v>91</v>
          </cell>
          <cell r="BI311">
            <v>91</v>
          </cell>
          <cell r="BJ311">
            <v>0</v>
          </cell>
        </row>
        <row r="312">
          <cell r="A312" t="str">
            <v>5MW</v>
          </cell>
          <cell r="B312" t="str">
            <v>Q27</v>
          </cell>
          <cell r="C312" t="str">
            <v/>
          </cell>
          <cell r="D312" t="str">
            <v/>
          </cell>
          <cell r="E312" t="str">
            <v/>
          </cell>
          <cell r="F312">
            <v>1</v>
          </cell>
          <cell r="G312">
            <v>1</v>
          </cell>
          <cell r="H312">
            <v>0</v>
          </cell>
          <cell r="J312">
            <v>0</v>
          </cell>
          <cell r="K312">
            <v>22.487899719000001</v>
          </cell>
          <cell r="L312">
            <v>568.10871310899995</v>
          </cell>
          <cell r="M312" t="str">
            <v/>
          </cell>
          <cell r="N312">
            <v>0</v>
          </cell>
          <cell r="Q312" t="str">
            <v/>
          </cell>
          <cell r="R312" t="str">
            <v/>
          </cell>
          <cell r="S312">
            <v>78</v>
          </cell>
          <cell r="X312">
            <v>1</v>
          </cell>
          <cell r="Y312">
            <v>1</v>
          </cell>
          <cell r="Z312">
            <v>1</v>
          </cell>
          <cell r="AA312">
            <v>0</v>
          </cell>
          <cell r="AB312" t="str">
            <v/>
          </cell>
          <cell r="AD312">
            <v>7</v>
          </cell>
          <cell r="AE312">
            <v>416</v>
          </cell>
          <cell r="AF312">
            <v>0.99950641658440276</v>
          </cell>
          <cell r="AG312">
            <v>0</v>
          </cell>
          <cell r="AH312" t="str">
            <v/>
          </cell>
          <cell r="AI312">
            <v>6</v>
          </cell>
          <cell r="AJ312">
            <v>94</v>
          </cell>
          <cell r="AK312">
            <v>842.04568920024781</v>
          </cell>
          <cell r="AL312">
            <v>0.16375545851528384</v>
          </cell>
          <cell r="AM312">
            <v>0.32152787070490801</v>
          </cell>
          <cell r="AN312">
            <v>0.16</v>
          </cell>
          <cell r="AO312">
            <v>-3999</v>
          </cell>
          <cell r="AQ312">
            <v>36835</v>
          </cell>
          <cell r="AR312" t="str">
            <v/>
          </cell>
          <cell r="AS312">
            <v>17674</v>
          </cell>
          <cell r="AU312">
            <v>33995</v>
          </cell>
          <cell r="AV312" t="str">
            <v/>
          </cell>
          <cell r="AW312">
            <v>21754</v>
          </cell>
          <cell r="AX312" t="str">
            <v/>
          </cell>
          <cell r="AY312" t="str">
            <v/>
          </cell>
          <cell r="AZ312">
            <v>14158</v>
          </cell>
          <cell r="BA312" t="str">
            <v/>
          </cell>
          <cell r="BB312">
            <v>340.29095755600008</v>
          </cell>
          <cell r="BC312" t="str">
            <v/>
          </cell>
          <cell r="BD312">
            <v>619.79674429400006</v>
          </cell>
          <cell r="BE312">
            <v>0.47999998900000002</v>
          </cell>
          <cell r="BF312">
            <v>826.99574318600003</v>
          </cell>
          <cell r="BG312" t="str">
            <v/>
          </cell>
          <cell r="BH312">
            <v>74</v>
          </cell>
          <cell r="BI312">
            <v>11</v>
          </cell>
          <cell r="BJ312">
            <v>11</v>
          </cell>
        </row>
        <row r="313">
          <cell r="A313" t="str">
            <v>5MX</v>
          </cell>
          <cell r="B313" t="str">
            <v>Q27</v>
          </cell>
          <cell r="C313" t="str">
            <v/>
          </cell>
          <cell r="D313" t="str">
            <v/>
          </cell>
          <cell r="E313">
            <v>1</v>
          </cell>
          <cell r="F313">
            <v>1</v>
          </cell>
          <cell r="G313">
            <v>1</v>
          </cell>
          <cell r="H313">
            <v>1</v>
          </cell>
          <cell r="J313">
            <v>0</v>
          </cell>
          <cell r="K313">
            <v>50.007899999999999</v>
          </cell>
          <cell r="L313">
            <v>552.73006912799997</v>
          </cell>
          <cell r="M313" t="str">
            <v/>
          </cell>
          <cell r="N313">
            <v>0</v>
          </cell>
          <cell r="Q313" t="str">
            <v/>
          </cell>
          <cell r="R313">
            <v>1</v>
          </cell>
          <cell r="S313">
            <v>388</v>
          </cell>
          <cell r="X313">
            <v>1</v>
          </cell>
          <cell r="Y313">
            <v>1</v>
          </cell>
          <cell r="Z313">
            <v>1</v>
          </cell>
          <cell r="AA313">
            <v>0</v>
          </cell>
          <cell r="AB313" t="str">
            <v/>
          </cell>
          <cell r="AD313">
            <v>210</v>
          </cell>
          <cell r="AE313">
            <v>904</v>
          </cell>
          <cell r="AF313">
            <v>0.94636190975178469</v>
          </cell>
          <cell r="AG313">
            <v>0</v>
          </cell>
          <cell r="AH313" t="str">
            <v/>
          </cell>
          <cell r="AI313">
            <v>5</v>
          </cell>
          <cell r="AJ313">
            <v>717</v>
          </cell>
          <cell r="AK313">
            <v>1466.1713779275558</v>
          </cell>
          <cell r="AL313">
            <v>6.1801935964259119E-2</v>
          </cell>
          <cell r="AM313">
            <v>0.38230476190476192</v>
          </cell>
          <cell r="AN313">
            <v>0.33673469387755101</v>
          </cell>
          <cell r="AO313">
            <v>6165</v>
          </cell>
          <cell r="AQ313">
            <v>61540</v>
          </cell>
          <cell r="AR313" t="str">
            <v/>
          </cell>
          <cell r="AS313">
            <v>27611</v>
          </cell>
          <cell r="AU313">
            <v>52894</v>
          </cell>
          <cell r="AV313" t="str">
            <v/>
          </cell>
          <cell r="AW313">
            <v>22372</v>
          </cell>
          <cell r="AX313" t="str">
            <v/>
          </cell>
          <cell r="AY313" t="str">
            <v/>
          </cell>
          <cell r="AZ313">
            <v>26133</v>
          </cell>
          <cell r="BA313" t="str">
            <v/>
          </cell>
          <cell r="BB313">
            <v>668.46815209500005</v>
          </cell>
          <cell r="BC313" t="str">
            <v/>
          </cell>
          <cell r="BD313">
            <v>887.81963889000008</v>
          </cell>
          <cell r="BE313" t="str">
            <v/>
          </cell>
          <cell r="BF313">
            <v>1376.984245479</v>
          </cell>
          <cell r="BG313" t="str">
            <v/>
          </cell>
          <cell r="BH313">
            <v>16</v>
          </cell>
          <cell r="BI313">
            <v>0</v>
          </cell>
          <cell r="BJ313">
            <v>0</v>
          </cell>
        </row>
        <row r="314">
          <cell r="A314" t="str">
            <v>5MY</v>
          </cell>
          <cell r="B314" t="str">
            <v>Q27</v>
          </cell>
          <cell r="C314" t="str">
            <v/>
          </cell>
          <cell r="D314" t="str">
            <v/>
          </cell>
          <cell r="E314" t="str">
            <v/>
          </cell>
          <cell r="F314">
            <v>1</v>
          </cell>
          <cell r="G314">
            <v>1</v>
          </cell>
          <cell r="H314">
            <v>0</v>
          </cell>
          <cell r="J314">
            <v>0</v>
          </cell>
          <cell r="K314">
            <v>54.207900078000002</v>
          </cell>
          <cell r="L314">
            <v>229.46208003800001</v>
          </cell>
          <cell r="M314" t="str">
            <v/>
          </cell>
          <cell r="N314">
            <v>0</v>
          </cell>
          <cell r="Q314" t="str">
            <v/>
          </cell>
          <cell r="R314" t="str">
            <v/>
          </cell>
          <cell r="S314">
            <v>737</v>
          </cell>
          <cell r="X314">
            <v>1</v>
          </cell>
          <cell r="Y314">
            <v>1</v>
          </cell>
          <cell r="Z314">
            <v>1</v>
          </cell>
          <cell r="AA314">
            <v>0</v>
          </cell>
          <cell r="AB314" t="str">
            <v/>
          </cell>
          <cell r="AD314">
            <v>33</v>
          </cell>
          <cell r="AE314">
            <v>784</v>
          </cell>
          <cell r="AF314">
            <v>0.9710132001427042</v>
          </cell>
          <cell r="AG314">
            <v>0</v>
          </cell>
          <cell r="AH314" t="str">
            <v/>
          </cell>
          <cell r="AI314">
            <v>15</v>
          </cell>
          <cell r="AJ314">
            <v>284</v>
          </cell>
          <cell r="AK314">
            <v>1365.7661250124613</v>
          </cell>
          <cell r="AL314">
            <v>0.15603532875368009</v>
          </cell>
          <cell r="AM314">
            <v>0.32218230563002681</v>
          </cell>
          <cell r="AN314">
            <v>0.43333333333333335</v>
          </cell>
          <cell r="AO314">
            <v>98</v>
          </cell>
          <cell r="AQ314">
            <v>58236</v>
          </cell>
          <cell r="AR314" t="str">
            <v/>
          </cell>
          <cell r="AS314">
            <v>42747</v>
          </cell>
          <cell r="AU314">
            <v>45447</v>
          </cell>
          <cell r="AV314" t="str">
            <v/>
          </cell>
          <cell r="AW314">
            <v>25703</v>
          </cell>
          <cell r="AX314" t="str">
            <v/>
          </cell>
          <cell r="AY314" t="str">
            <v/>
          </cell>
          <cell r="AZ314">
            <v>25818</v>
          </cell>
          <cell r="BA314" t="str">
            <v/>
          </cell>
          <cell r="BB314">
            <v>751.54133358599995</v>
          </cell>
          <cell r="BC314" t="str">
            <v/>
          </cell>
          <cell r="BD314">
            <v>1404.9554759640002</v>
          </cell>
          <cell r="BE314">
            <v>0.20000000300000001</v>
          </cell>
          <cell r="BF314">
            <v>1707.546969476</v>
          </cell>
          <cell r="BG314" t="str">
            <v/>
          </cell>
          <cell r="BH314">
            <v>28</v>
          </cell>
          <cell r="BI314">
            <v>12</v>
          </cell>
          <cell r="BJ314">
            <v>1</v>
          </cell>
        </row>
        <row r="315">
          <cell r="A315" t="str">
            <v>5NA</v>
          </cell>
          <cell r="B315" t="str">
            <v>Q06</v>
          </cell>
          <cell r="C315" t="str">
            <v/>
          </cell>
          <cell r="D315" t="str">
            <v/>
          </cell>
          <cell r="E315" t="str">
            <v/>
          </cell>
          <cell r="F315">
            <v>1</v>
          </cell>
          <cell r="G315">
            <v>1</v>
          </cell>
          <cell r="H315">
            <v>0</v>
          </cell>
          <cell r="J315">
            <v>0</v>
          </cell>
          <cell r="K315">
            <v>59.291500622000001</v>
          </cell>
          <cell r="L315">
            <v>680.56850441500012</v>
          </cell>
          <cell r="M315" t="str">
            <v/>
          </cell>
          <cell r="N315">
            <v>0</v>
          </cell>
          <cell r="Q315" t="str">
            <v/>
          </cell>
          <cell r="R315" t="str">
            <v/>
          </cell>
          <cell r="S315">
            <v>223</v>
          </cell>
          <cell r="X315">
            <v>1</v>
          </cell>
          <cell r="Y315">
            <v>0.95238095238095233</v>
          </cell>
          <cell r="Z315">
            <v>0.89473684210526316</v>
          </cell>
          <cell r="AA315">
            <v>0</v>
          </cell>
          <cell r="AB315" t="str">
            <v/>
          </cell>
          <cell r="AD315">
            <v>0</v>
          </cell>
          <cell r="AE315">
            <v>222</v>
          </cell>
          <cell r="AF315">
            <v>0.96363478562749527</v>
          </cell>
          <cell r="AG315">
            <v>0</v>
          </cell>
          <cell r="AH315" t="str">
            <v/>
          </cell>
          <cell r="AI315">
            <v>3</v>
          </cell>
          <cell r="AJ315">
            <v>240</v>
          </cell>
          <cell r="AK315">
            <v>836.98092319047078</v>
          </cell>
          <cell r="AL315">
            <v>5.4945054945054944E-2</v>
          </cell>
          <cell r="AM315">
            <v>0.34984728614758098</v>
          </cell>
          <cell r="AN315">
            <v>0.68888888888888888</v>
          </cell>
          <cell r="AO315">
            <v>2047</v>
          </cell>
          <cell r="AQ315">
            <v>44200</v>
          </cell>
          <cell r="AR315" t="str">
            <v/>
          </cell>
          <cell r="AS315">
            <v>20889</v>
          </cell>
          <cell r="AU315">
            <v>32785</v>
          </cell>
          <cell r="AV315" t="str">
            <v/>
          </cell>
          <cell r="AW315">
            <v>20482</v>
          </cell>
          <cell r="AX315" t="str">
            <v/>
          </cell>
          <cell r="AY315" t="str">
            <v/>
          </cell>
          <cell r="AZ315">
            <v>17818</v>
          </cell>
          <cell r="BA315" t="str">
            <v/>
          </cell>
          <cell r="BB315">
            <v>678.76529253900003</v>
          </cell>
          <cell r="BC315">
            <v>39</v>
          </cell>
          <cell r="BD315">
            <v>503.01698202299997</v>
          </cell>
          <cell r="BE315" t="str">
            <v/>
          </cell>
          <cell r="BF315">
            <v>1237.6547871519999</v>
          </cell>
          <cell r="BG315">
            <v>0.38700001299999998</v>
          </cell>
          <cell r="BH315">
            <v>0</v>
          </cell>
          <cell r="BI315">
            <v>0</v>
          </cell>
          <cell r="BJ315">
            <v>0</v>
          </cell>
        </row>
        <row r="316">
          <cell r="A316" t="str">
            <v>5NC</v>
          </cell>
          <cell r="B316" t="str">
            <v>Q06</v>
          </cell>
          <cell r="C316" t="str">
            <v/>
          </cell>
          <cell r="D316" t="str">
            <v/>
          </cell>
          <cell r="E316" t="str">
            <v/>
          </cell>
          <cell r="F316">
            <v>1</v>
          </cell>
          <cell r="G316">
            <v>1</v>
          </cell>
          <cell r="H316">
            <v>0</v>
          </cell>
          <cell r="J316">
            <v>0</v>
          </cell>
          <cell r="K316">
            <v>105.73659996999999</v>
          </cell>
          <cell r="L316">
            <v>706.82259971300005</v>
          </cell>
          <cell r="M316" t="str">
            <v/>
          </cell>
          <cell r="N316">
            <v>0</v>
          </cell>
          <cell r="Q316" t="str">
            <v/>
          </cell>
          <cell r="R316" t="str">
            <v/>
          </cell>
          <cell r="S316">
            <v>93</v>
          </cell>
          <cell r="X316">
            <v>1</v>
          </cell>
          <cell r="Y316">
            <v>1</v>
          </cell>
          <cell r="Z316">
            <v>1</v>
          </cell>
          <cell r="AA316">
            <v>0</v>
          </cell>
          <cell r="AB316" t="str">
            <v/>
          </cell>
          <cell r="AD316">
            <v>0</v>
          </cell>
          <cell r="AE316">
            <v>620</v>
          </cell>
          <cell r="AF316">
            <v>0.79949995191845369</v>
          </cell>
          <cell r="AG316">
            <v>0</v>
          </cell>
          <cell r="AH316" t="str">
            <v/>
          </cell>
          <cell r="AI316">
            <v>2</v>
          </cell>
          <cell r="AJ316">
            <v>219</v>
          </cell>
          <cell r="AK316">
            <v>880.87894043661947</v>
          </cell>
          <cell r="AL316" t="str">
            <v/>
          </cell>
          <cell r="AM316">
            <v>0.11699647073141049</v>
          </cell>
          <cell r="AN316">
            <v>0.65686274509803921</v>
          </cell>
          <cell r="AO316">
            <v>-1962</v>
          </cell>
          <cell r="AQ316">
            <v>42042</v>
          </cell>
          <cell r="AR316" t="str">
            <v/>
          </cell>
          <cell r="AS316">
            <v>23534</v>
          </cell>
          <cell r="AU316">
            <v>36413</v>
          </cell>
          <cell r="AV316" t="str">
            <v/>
          </cell>
          <cell r="AW316">
            <v>20413</v>
          </cell>
          <cell r="AX316" t="str">
            <v/>
          </cell>
          <cell r="AY316" t="str">
            <v/>
          </cell>
          <cell r="AZ316">
            <v>18920</v>
          </cell>
          <cell r="BA316" t="str">
            <v/>
          </cell>
          <cell r="BB316">
            <v>214.61718272599998</v>
          </cell>
          <cell r="BC316" t="str">
            <v/>
          </cell>
          <cell r="BD316">
            <v>584.97848988699991</v>
          </cell>
          <cell r="BE316" t="str">
            <v/>
          </cell>
          <cell r="BF316">
            <v>197.961714019</v>
          </cell>
          <cell r="BG316">
            <v>0.35999999199999999</v>
          </cell>
          <cell r="BH316">
            <v>0</v>
          </cell>
          <cell r="BI316">
            <v>105</v>
          </cell>
          <cell r="BJ316">
            <v>0</v>
          </cell>
        </row>
        <row r="317">
          <cell r="A317" t="str">
            <v>RA0</v>
          </cell>
          <cell r="B317" t="str">
            <v>Q08</v>
          </cell>
          <cell r="C317" t="str">
            <v/>
          </cell>
          <cell r="D317" t="str">
            <v/>
          </cell>
          <cell r="E317" t="str">
            <v/>
          </cell>
          <cell r="J317" t="str">
            <v/>
          </cell>
          <cell r="K317" t="str">
            <v/>
          </cell>
          <cell r="L317" t="str">
            <v/>
          </cell>
          <cell r="M317" t="str">
            <v/>
          </cell>
          <cell r="Q317" t="str">
            <v/>
          </cell>
          <cell r="R317" t="str">
            <v/>
          </cell>
          <cell r="X317" t="str">
            <v/>
          </cell>
          <cell r="Y317" t="str">
            <v/>
          </cell>
          <cell r="Z317" t="str">
            <v/>
          </cell>
          <cell r="AB317" t="str">
            <v/>
          </cell>
          <cell r="AD317" t="str">
            <v/>
          </cell>
          <cell r="AE317" t="str">
            <v/>
          </cell>
          <cell r="AF317" t="str">
            <v/>
          </cell>
          <cell r="AG317">
            <v>0</v>
          </cell>
          <cell r="AH317" t="str">
            <v/>
          </cell>
          <cell r="AI317" t="str">
            <v/>
          </cell>
          <cell r="AJ317" t="str">
            <v/>
          </cell>
          <cell r="AK317" t="str">
            <v/>
          </cell>
          <cell r="AL317" t="str">
            <v/>
          </cell>
          <cell r="AM317" t="str">
            <v/>
          </cell>
          <cell r="AN317" t="str">
            <v/>
          </cell>
          <cell r="AO317" t="str">
            <v/>
          </cell>
          <cell r="AS317" t="str">
            <v/>
          </cell>
          <cell r="BB317" t="str">
            <v/>
          </cell>
          <cell r="BC317" t="str">
            <v/>
          </cell>
          <cell r="BD317" t="str">
            <v/>
          </cell>
          <cell r="BE317" t="str">
            <v/>
          </cell>
          <cell r="BF317" t="str">
            <v/>
          </cell>
          <cell r="BG317" t="str">
            <v/>
          </cell>
          <cell r="BH317" t="str">
            <v/>
          </cell>
          <cell r="BI317" t="str">
            <v/>
          </cell>
          <cell r="BJ317" t="str">
            <v/>
          </cell>
        </row>
        <row r="318">
          <cell r="A318" t="str">
            <v>RA2</v>
          </cell>
          <cell r="B318" t="str">
            <v>Q19</v>
          </cell>
          <cell r="C318" t="str">
            <v/>
          </cell>
          <cell r="D318" t="str">
            <v/>
          </cell>
          <cell r="E318">
            <v>0.99537928378898732</v>
          </cell>
          <cell r="F318" t="str">
            <v/>
          </cell>
          <cell r="G318" t="str">
            <v/>
          </cell>
          <cell r="H318" t="str">
            <v/>
          </cell>
          <cell r="J318" t="str">
            <v/>
          </cell>
          <cell r="K318" t="str">
            <v/>
          </cell>
          <cell r="L318" t="str">
            <v/>
          </cell>
          <cell r="M318">
            <v>3830</v>
          </cell>
          <cell r="N318" t="str">
            <v/>
          </cell>
          <cell r="Q318">
            <v>1</v>
          </cell>
          <cell r="R318">
            <v>1</v>
          </cell>
          <cell r="S318" t="str">
            <v/>
          </cell>
          <cell r="X318" t="str">
            <v/>
          </cell>
          <cell r="Y318" t="str">
            <v/>
          </cell>
          <cell r="Z318" t="str">
            <v/>
          </cell>
          <cell r="AB318">
            <v>1</v>
          </cell>
          <cell r="AD318" t="str">
            <v/>
          </cell>
          <cell r="AE318" t="str">
            <v/>
          </cell>
          <cell r="AF318" t="str">
            <v/>
          </cell>
          <cell r="AG318">
            <v>1.03866128101558E-2</v>
          </cell>
          <cell r="AH318">
            <v>2</v>
          </cell>
          <cell r="AI318" t="str">
            <v/>
          </cell>
          <cell r="AJ318" t="str">
            <v/>
          </cell>
          <cell r="AK318" t="str">
            <v/>
          </cell>
          <cell r="AL318" t="str">
            <v/>
          </cell>
          <cell r="AM318" t="str">
            <v/>
          </cell>
          <cell r="AN318" t="str">
            <v/>
          </cell>
          <cell r="AO318">
            <v>276</v>
          </cell>
          <cell r="AQ318" t="str">
            <v/>
          </cell>
          <cell r="AR318" t="str">
            <v/>
          </cell>
          <cell r="AS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row>
        <row r="319">
          <cell r="A319" t="str">
            <v>RA3</v>
          </cell>
          <cell r="B319" t="str">
            <v>Q20</v>
          </cell>
          <cell r="C319" t="str">
            <v/>
          </cell>
          <cell r="D319" t="str">
            <v/>
          </cell>
          <cell r="E319">
            <v>0.97658493483543185</v>
          </cell>
          <cell r="F319" t="str">
            <v/>
          </cell>
          <cell r="G319" t="str">
            <v/>
          </cell>
          <cell r="H319" t="str">
            <v/>
          </cell>
          <cell r="J319" t="str">
            <v/>
          </cell>
          <cell r="K319" t="str">
            <v/>
          </cell>
          <cell r="L319" t="str">
            <v/>
          </cell>
          <cell r="M319">
            <v>1225</v>
          </cell>
          <cell r="N319" t="str">
            <v/>
          </cell>
          <cell r="Q319">
            <v>1</v>
          </cell>
          <cell r="R319">
            <v>1</v>
          </cell>
          <cell r="S319" t="str">
            <v/>
          </cell>
          <cell r="X319" t="str">
            <v/>
          </cell>
          <cell r="Y319" t="str">
            <v/>
          </cell>
          <cell r="Z319" t="str">
            <v/>
          </cell>
          <cell r="AB319">
            <v>1</v>
          </cell>
          <cell r="AD319" t="str">
            <v/>
          </cell>
          <cell r="AE319" t="str">
            <v/>
          </cell>
          <cell r="AF319" t="str">
            <v/>
          </cell>
          <cell r="AG319">
            <v>9.9573257467994308E-3</v>
          </cell>
          <cell r="AH319">
            <v>0.66666666666666663</v>
          </cell>
          <cell r="AI319" t="str">
            <v/>
          </cell>
          <cell r="AJ319" t="str">
            <v/>
          </cell>
          <cell r="AK319" t="str">
            <v/>
          </cell>
          <cell r="AL319" t="str">
            <v/>
          </cell>
          <cell r="AM319" t="str">
            <v/>
          </cell>
          <cell r="AN319" t="str">
            <v/>
          </cell>
          <cell r="AO319">
            <v>-6989</v>
          </cell>
          <cell r="AQ319" t="str">
            <v/>
          </cell>
          <cell r="AR319" t="str">
            <v/>
          </cell>
          <cell r="AS319" t="str">
            <v/>
          </cell>
          <cell r="AU319" t="str">
            <v/>
          </cell>
          <cell r="AV319" t="str">
            <v/>
          </cell>
          <cell r="AW319" t="str">
            <v/>
          </cell>
          <cell r="AX319" t="str">
            <v/>
          </cell>
          <cell r="AY319" t="str">
            <v/>
          </cell>
          <cell r="AZ319" t="str">
            <v/>
          </cell>
          <cell r="BA319" t="str">
            <v/>
          </cell>
          <cell r="BB319" t="str">
            <v/>
          </cell>
          <cell r="BC319" t="str">
            <v/>
          </cell>
          <cell r="BD319" t="str">
            <v/>
          </cell>
          <cell r="BE319" t="str">
            <v/>
          </cell>
          <cell r="BF319" t="str">
            <v/>
          </cell>
          <cell r="BG319" t="str">
            <v/>
          </cell>
          <cell r="BH319" t="str">
            <v/>
          </cell>
          <cell r="BI319" t="str">
            <v/>
          </cell>
          <cell r="BJ319" t="str">
            <v/>
          </cell>
        </row>
        <row r="320">
          <cell r="A320" t="str">
            <v>RA4</v>
          </cell>
          <cell r="B320" t="str">
            <v>Q22</v>
          </cell>
          <cell r="C320" t="str">
            <v/>
          </cell>
          <cell r="D320" t="str">
            <v/>
          </cell>
          <cell r="E320">
            <v>0.99081577525661801</v>
          </cell>
          <cell r="F320" t="str">
            <v/>
          </cell>
          <cell r="G320" t="str">
            <v/>
          </cell>
          <cell r="H320" t="str">
            <v/>
          </cell>
          <cell r="J320" t="str">
            <v/>
          </cell>
          <cell r="K320" t="str">
            <v/>
          </cell>
          <cell r="L320" t="str">
            <v/>
          </cell>
          <cell r="M320">
            <v>1029</v>
          </cell>
          <cell r="N320" t="str">
            <v/>
          </cell>
          <cell r="Q320">
            <v>1</v>
          </cell>
          <cell r="R320">
            <v>1</v>
          </cell>
          <cell r="S320" t="str">
            <v/>
          </cell>
          <cell r="X320" t="str">
            <v/>
          </cell>
          <cell r="Y320" t="str">
            <v/>
          </cell>
          <cell r="Z320" t="str">
            <v/>
          </cell>
          <cell r="AB320">
            <v>1</v>
          </cell>
          <cell r="AD320" t="str">
            <v/>
          </cell>
          <cell r="AE320" t="str">
            <v/>
          </cell>
          <cell r="AF320" t="str">
            <v/>
          </cell>
          <cell r="AG320">
            <v>3.1601123595505619E-2</v>
          </cell>
          <cell r="AH320">
            <v>1</v>
          </cell>
          <cell r="AI320" t="str">
            <v/>
          </cell>
          <cell r="AJ320" t="str">
            <v/>
          </cell>
          <cell r="AK320" t="str">
            <v/>
          </cell>
          <cell r="AL320" t="str">
            <v/>
          </cell>
          <cell r="AM320" t="str">
            <v/>
          </cell>
          <cell r="AN320" t="str">
            <v/>
          </cell>
          <cell r="AO320">
            <v>2</v>
          </cell>
          <cell r="AQ320" t="str">
            <v/>
          </cell>
          <cell r="AR320" t="str">
            <v/>
          </cell>
          <cell r="AS320" t="str">
            <v/>
          </cell>
          <cell r="AU320" t="str">
            <v/>
          </cell>
          <cell r="AV320" t="str">
            <v/>
          </cell>
          <cell r="AW320" t="str">
            <v/>
          </cell>
          <cell r="AX320" t="str">
            <v/>
          </cell>
          <cell r="AY320" t="str">
            <v/>
          </cell>
          <cell r="AZ320" t="str">
            <v/>
          </cell>
          <cell r="BA320" t="str">
            <v/>
          </cell>
          <cell r="BB320" t="str">
            <v/>
          </cell>
          <cell r="BC320" t="str">
            <v/>
          </cell>
          <cell r="BD320" t="str">
            <v/>
          </cell>
          <cell r="BE320" t="str">
            <v/>
          </cell>
          <cell r="BF320" t="str">
            <v/>
          </cell>
          <cell r="BG320" t="str">
            <v/>
          </cell>
          <cell r="BH320" t="str">
            <v/>
          </cell>
          <cell r="BI320" t="str">
            <v/>
          </cell>
          <cell r="BJ320" t="str">
            <v/>
          </cell>
        </row>
        <row r="321">
          <cell r="A321" t="str">
            <v>RA7</v>
          </cell>
          <cell r="B321" t="str">
            <v>Q20</v>
          </cell>
          <cell r="C321" t="str">
            <v/>
          </cell>
          <cell r="D321" t="str">
            <v/>
          </cell>
          <cell r="E321">
            <v>0.96934291991212307</v>
          </cell>
          <cell r="F321" t="str">
            <v/>
          </cell>
          <cell r="G321" t="str">
            <v/>
          </cell>
          <cell r="H321" t="str">
            <v/>
          </cell>
          <cell r="J321" t="str">
            <v/>
          </cell>
          <cell r="K321" t="str">
            <v/>
          </cell>
          <cell r="L321" t="str">
            <v/>
          </cell>
          <cell r="M321">
            <v>6804</v>
          </cell>
          <cell r="N321" t="str">
            <v/>
          </cell>
          <cell r="Q321">
            <v>1</v>
          </cell>
          <cell r="R321">
            <v>0.9989624762234135</v>
          </cell>
          <cell r="S321" t="str">
            <v/>
          </cell>
          <cell r="X321" t="str">
            <v/>
          </cell>
          <cell r="Y321" t="str">
            <v/>
          </cell>
          <cell r="Z321" t="str">
            <v/>
          </cell>
          <cell r="AB321">
            <v>0.79347826086956519</v>
          </cell>
          <cell r="AD321" t="str">
            <v/>
          </cell>
          <cell r="AE321" t="str">
            <v/>
          </cell>
          <cell r="AF321" t="str">
            <v/>
          </cell>
          <cell r="AG321">
            <v>1.4084507042253523E-2</v>
          </cell>
          <cell r="AH321">
            <v>4</v>
          </cell>
          <cell r="AI321" t="str">
            <v/>
          </cell>
          <cell r="AJ321" t="str">
            <v/>
          </cell>
          <cell r="AK321" t="str">
            <v/>
          </cell>
          <cell r="AL321" t="str">
            <v/>
          </cell>
          <cell r="AM321" t="str">
            <v/>
          </cell>
          <cell r="AN321" t="str">
            <v/>
          </cell>
          <cell r="AO321">
            <v>3285</v>
          </cell>
          <cell r="AQ321" t="str">
            <v/>
          </cell>
          <cell r="AR321" t="str">
            <v/>
          </cell>
          <cell r="AS321" t="str">
            <v/>
          </cell>
          <cell r="AU321" t="str">
            <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row>
        <row r="322">
          <cell r="A322" t="str">
            <v>RA9</v>
          </cell>
          <cell r="B322" t="str">
            <v>Q21</v>
          </cell>
          <cell r="C322" t="str">
            <v/>
          </cell>
          <cell r="D322" t="str">
            <v/>
          </cell>
          <cell r="E322">
            <v>0.92879353233830841</v>
          </cell>
          <cell r="F322" t="str">
            <v/>
          </cell>
          <cell r="G322" t="str">
            <v/>
          </cell>
          <cell r="H322" t="str">
            <v/>
          </cell>
          <cell r="J322" t="str">
            <v/>
          </cell>
          <cell r="K322" t="str">
            <v/>
          </cell>
          <cell r="L322" t="str">
            <v/>
          </cell>
          <cell r="M322">
            <v>4176</v>
          </cell>
          <cell r="N322" t="str">
            <v/>
          </cell>
          <cell r="Q322">
            <v>1</v>
          </cell>
          <cell r="R322">
            <v>1</v>
          </cell>
          <cell r="S322" t="str">
            <v/>
          </cell>
          <cell r="X322" t="str">
            <v/>
          </cell>
          <cell r="Y322" t="str">
            <v/>
          </cell>
          <cell r="Z322" t="str">
            <v/>
          </cell>
          <cell r="AB322">
            <v>0.96799999999999997</v>
          </cell>
          <cell r="AD322" t="str">
            <v/>
          </cell>
          <cell r="AE322" t="str">
            <v/>
          </cell>
          <cell r="AF322" t="str">
            <v/>
          </cell>
          <cell r="AG322">
            <v>1.4985014985014986E-2</v>
          </cell>
          <cell r="AH322">
            <v>3.3333333333333335</v>
          </cell>
          <cell r="AI322" t="str">
            <v/>
          </cell>
          <cell r="AJ322" t="str">
            <v/>
          </cell>
          <cell r="AK322" t="str">
            <v/>
          </cell>
          <cell r="AL322" t="str">
            <v/>
          </cell>
          <cell r="AM322" t="str">
            <v/>
          </cell>
          <cell r="AN322" t="str">
            <v/>
          </cell>
          <cell r="AO322">
            <v>77</v>
          </cell>
          <cell r="AQ322" t="str">
            <v/>
          </cell>
          <cell r="AR322" t="str">
            <v/>
          </cell>
          <cell r="AS322" t="str">
            <v/>
          </cell>
          <cell r="AU322" t="str">
            <v/>
          </cell>
          <cell r="AV322" t="str">
            <v/>
          </cell>
          <cell r="AW322" t="str">
            <v/>
          </cell>
          <cell r="AX322" t="str">
            <v/>
          </cell>
          <cell r="AY322" t="str">
            <v/>
          </cell>
          <cell r="AZ322" t="str">
            <v/>
          </cell>
          <cell r="BA322" t="str">
            <v/>
          </cell>
          <cell r="BB322" t="str">
            <v/>
          </cell>
          <cell r="BC322" t="str">
            <v/>
          </cell>
          <cell r="BD322" t="str">
            <v/>
          </cell>
          <cell r="BE322" t="str">
            <v/>
          </cell>
          <cell r="BF322" t="str">
            <v/>
          </cell>
          <cell r="BG322" t="str">
            <v/>
          </cell>
          <cell r="BH322" t="str">
            <v/>
          </cell>
          <cell r="BI322" t="str">
            <v/>
          </cell>
          <cell r="BJ322" t="str">
            <v/>
          </cell>
        </row>
        <row r="323">
          <cell r="A323" t="str">
            <v>RAE</v>
          </cell>
          <cell r="B323" t="str">
            <v>Q12</v>
          </cell>
          <cell r="C323" t="str">
            <v/>
          </cell>
          <cell r="D323" t="str">
            <v/>
          </cell>
          <cell r="E323">
            <v>0.98773637895525179</v>
          </cell>
          <cell r="F323" t="str">
            <v/>
          </cell>
          <cell r="G323" t="str">
            <v/>
          </cell>
          <cell r="H323" t="str">
            <v/>
          </cell>
          <cell r="J323" t="str">
            <v/>
          </cell>
          <cell r="K323" t="str">
            <v/>
          </cell>
          <cell r="L323" t="str">
            <v/>
          </cell>
          <cell r="M323">
            <v>5054</v>
          </cell>
          <cell r="N323" t="str">
            <v/>
          </cell>
          <cell r="Q323">
            <v>1</v>
          </cell>
          <cell r="R323">
            <v>1</v>
          </cell>
          <cell r="S323" t="str">
            <v/>
          </cell>
          <cell r="X323" t="str">
            <v/>
          </cell>
          <cell r="Y323" t="str">
            <v/>
          </cell>
          <cell r="Z323" t="str">
            <v/>
          </cell>
          <cell r="AB323">
            <v>1</v>
          </cell>
          <cell r="AD323" t="str">
            <v/>
          </cell>
          <cell r="AE323" t="str">
            <v/>
          </cell>
          <cell r="AF323" t="str">
            <v/>
          </cell>
          <cell r="AG323">
            <v>5.7919919415764295E-3</v>
          </cell>
          <cell r="AH323">
            <v>2.6666666666666665</v>
          </cell>
          <cell r="AI323" t="str">
            <v/>
          </cell>
          <cell r="AJ323" t="str">
            <v/>
          </cell>
          <cell r="AK323" t="str">
            <v/>
          </cell>
          <cell r="AL323" t="str">
            <v/>
          </cell>
          <cell r="AM323" t="str">
            <v/>
          </cell>
          <cell r="AN323" t="str">
            <v/>
          </cell>
          <cell r="AO323" t="str">
            <v/>
          </cell>
          <cell r="AQ323" t="str">
            <v/>
          </cell>
          <cell r="AR323" t="str">
            <v/>
          </cell>
          <cell r="AS323" t="str">
            <v/>
          </cell>
          <cell r="AU323" t="str">
            <v/>
          </cell>
          <cell r="AV323" t="str">
            <v/>
          </cell>
          <cell r="AW323" t="str">
            <v/>
          </cell>
          <cell r="AX323" t="str">
            <v/>
          </cell>
          <cell r="AY323" t="str">
            <v/>
          </cell>
          <cell r="AZ323" t="str">
            <v/>
          </cell>
          <cell r="BA323" t="str">
            <v/>
          </cell>
          <cell r="BB323" t="str">
            <v/>
          </cell>
          <cell r="BC323" t="str">
            <v/>
          </cell>
          <cell r="BD323" t="str">
            <v/>
          </cell>
          <cell r="BE323" t="str">
            <v/>
          </cell>
          <cell r="BF323" t="str">
            <v/>
          </cell>
          <cell r="BG323" t="str">
            <v/>
          </cell>
          <cell r="BH323" t="str">
            <v/>
          </cell>
          <cell r="BI323" t="str">
            <v/>
          </cell>
          <cell r="BJ323" t="str">
            <v/>
          </cell>
        </row>
        <row r="324">
          <cell r="A324" t="str">
            <v>RAJ</v>
          </cell>
          <cell r="B324" t="str">
            <v>Q03</v>
          </cell>
          <cell r="C324" t="str">
            <v/>
          </cell>
          <cell r="D324" t="str">
            <v/>
          </cell>
          <cell r="E324">
            <v>0.98202247191011238</v>
          </cell>
          <cell r="F324" t="str">
            <v/>
          </cell>
          <cell r="G324" t="str">
            <v/>
          </cell>
          <cell r="H324" t="str">
            <v/>
          </cell>
          <cell r="J324" t="str">
            <v/>
          </cell>
          <cell r="K324" t="str">
            <v/>
          </cell>
          <cell r="L324" t="str">
            <v/>
          </cell>
          <cell r="M324">
            <v>6126</v>
          </cell>
          <cell r="N324" t="str">
            <v/>
          </cell>
          <cell r="Q324">
            <v>1</v>
          </cell>
          <cell r="R324">
            <v>1</v>
          </cell>
          <cell r="S324" t="str">
            <v/>
          </cell>
          <cell r="X324" t="str">
            <v/>
          </cell>
          <cell r="Y324" t="str">
            <v/>
          </cell>
          <cell r="Z324" t="str">
            <v/>
          </cell>
          <cell r="AB324">
            <v>1</v>
          </cell>
          <cell r="AD324" t="str">
            <v/>
          </cell>
          <cell r="AE324" t="str">
            <v/>
          </cell>
          <cell r="AF324" t="str">
            <v/>
          </cell>
          <cell r="AG324">
            <v>2.3134759976865239E-2</v>
          </cell>
          <cell r="AH324">
            <v>3</v>
          </cell>
          <cell r="AI324" t="str">
            <v/>
          </cell>
          <cell r="AJ324" t="str">
            <v/>
          </cell>
          <cell r="AK324" t="str">
            <v/>
          </cell>
          <cell r="AL324" t="str">
            <v/>
          </cell>
          <cell r="AM324" t="str">
            <v/>
          </cell>
          <cell r="AN324" t="str">
            <v/>
          </cell>
          <cell r="AO324">
            <v>524</v>
          </cell>
          <cell r="AQ324" t="str">
            <v/>
          </cell>
          <cell r="AR324" t="str">
            <v/>
          </cell>
          <cell r="AS324" t="str">
            <v/>
          </cell>
          <cell r="AU324" t="str">
            <v/>
          </cell>
          <cell r="AV324" t="str">
            <v/>
          </cell>
          <cell r="AW324" t="str">
            <v/>
          </cell>
          <cell r="AX324" t="str">
            <v/>
          </cell>
          <cell r="AY324" t="str">
            <v/>
          </cell>
          <cell r="AZ324" t="str">
            <v/>
          </cell>
          <cell r="BA324" t="str">
            <v/>
          </cell>
          <cell r="BB324" t="str">
            <v/>
          </cell>
          <cell r="BC324" t="str">
            <v/>
          </cell>
          <cell r="BD324" t="str">
            <v/>
          </cell>
          <cell r="BE324" t="str">
            <v/>
          </cell>
          <cell r="BF324" t="str">
            <v/>
          </cell>
          <cell r="BG324" t="str">
            <v/>
          </cell>
          <cell r="BH324" t="str">
            <v/>
          </cell>
          <cell r="BI324" t="str">
            <v/>
          </cell>
          <cell r="BJ324" t="str">
            <v/>
          </cell>
        </row>
        <row r="325">
          <cell r="A325" t="str">
            <v>RAL</v>
          </cell>
          <cell r="B325" t="str">
            <v>Q05</v>
          </cell>
          <cell r="C325" t="str">
            <v/>
          </cell>
          <cell r="D325" t="str">
            <v/>
          </cell>
          <cell r="E325">
            <v>0.98577209241613362</v>
          </cell>
          <cell r="F325" t="str">
            <v/>
          </cell>
          <cell r="G325" t="str">
            <v/>
          </cell>
          <cell r="H325" t="str">
            <v/>
          </cell>
          <cell r="J325" t="str">
            <v/>
          </cell>
          <cell r="K325" t="str">
            <v/>
          </cell>
          <cell r="L325" t="str">
            <v/>
          </cell>
          <cell r="M325">
            <v>5393</v>
          </cell>
          <cell r="N325" t="str">
            <v/>
          </cell>
          <cell r="Q325">
            <v>1</v>
          </cell>
          <cell r="R325">
            <v>1</v>
          </cell>
          <cell r="S325" t="str">
            <v/>
          </cell>
          <cell r="X325" t="str">
            <v/>
          </cell>
          <cell r="Y325" t="str">
            <v/>
          </cell>
          <cell r="Z325" t="str">
            <v/>
          </cell>
          <cell r="AB325">
            <v>0.77884615384615385</v>
          </cell>
          <cell r="AD325" t="str">
            <v/>
          </cell>
          <cell r="AE325" t="str">
            <v/>
          </cell>
          <cell r="AF325" t="str">
            <v/>
          </cell>
          <cell r="AG325">
            <v>7.4626865671641781E-3</v>
          </cell>
          <cell r="AH325">
            <v>6.333333333333333</v>
          </cell>
          <cell r="AI325" t="str">
            <v/>
          </cell>
          <cell r="AJ325" t="str">
            <v/>
          </cell>
          <cell r="AK325" t="str">
            <v/>
          </cell>
          <cell r="AL325" t="str">
            <v/>
          </cell>
          <cell r="AM325" t="str">
            <v/>
          </cell>
          <cell r="AN325" t="str">
            <v/>
          </cell>
          <cell r="AO325">
            <v>-4845</v>
          </cell>
          <cell r="AQ325" t="str">
            <v/>
          </cell>
          <cell r="AR325" t="str">
            <v/>
          </cell>
          <cell r="AS325" t="str">
            <v/>
          </cell>
          <cell r="AU325" t="str">
            <v/>
          </cell>
          <cell r="AV325" t="str">
            <v/>
          </cell>
          <cell r="AW325" t="str">
            <v/>
          </cell>
          <cell r="AX325" t="str">
            <v/>
          </cell>
          <cell r="AY325" t="str">
            <v/>
          </cell>
          <cell r="AZ325" t="str">
            <v/>
          </cell>
          <cell r="BA325" t="str">
            <v/>
          </cell>
          <cell r="BB325" t="str">
            <v/>
          </cell>
          <cell r="BC325" t="str">
            <v/>
          </cell>
          <cell r="BD325" t="str">
            <v/>
          </cell>
          <cell r="BE325" t="str">
            <v/>
          </cell>
          <cell r="BF325" t="str">
            <v/>
          </cell>
          <cell r="BG325" t="str">
            <v/>
          </cell>
          <cell r="BH325" t="str">
            <v/>
          </cell>
          <cell r="BI325" t="str">
            <v/>
          </cell>
          <cell r="BJ325" t="str">
            <v/>
          </cell>
        </row>
        <row r="326">
          <cell r="A326" t="str">
            <v>RAN</v>
          </cell>
          <cell r="B326" t="str">
            <v>Q05</v>
          </cell>
          <cell r="C326" t="str">
            <v/>
          </cell>
          <cell r="D326" t="str">
            <v/>
          </cell>
          <cell r="E326" t="str">
            <v/>
          </cell>
          <cell r="F326" t="str">
            <v/>
          </cell>
          <cell r="G326" t="str">
            <v/>
          </cell>
          <cell r="H326" t="str">
            <v/>
          </cell>
          <cell r="J326" t="str">
            <v/>
          </cell>
          <cell r="K326" t="str">
            <v/>
          </cell>
          <cell r="L326" t="str">
            <v/>
          </cell>
          <cell r="M326">
            <v>2310</v>
          </cell>
          <cell r="N326" t="str">
            <v/>
          </cell>
          <cell r="Q326">
            <v>1</v>
          </cell>
          <cell r="R326">
            <v>1</v>
          </cell>
          <cell r="S326" t="str">
            <v/>
          </cell>
          <cell r="X326" t="str">
            <v/>
          </cell>
          <cell r="Y326" t="str">
            <v/>
          </cell>
          <cell r="Z326" t="str">
            <v/>
          </cell>
          <cell r="AB326" t="str">
            <v/>
          </cell>
          <cell r="AD326" t="str">
            <v/>
          </cell>
          <cell r="AE326" t="str">
            <v/>
          </cell>
          <cell r="AF326" t="str">
            <v/>
          </cell>
          <cell r="AG326">
            <v>1.1945392491467578E-2</v>
          </cell>
          <cell r="AH326">
            <v>0</v>
          </cell>
          <cell r="AI326" t="str">
            <v/>
          </cell>
          <cell r="AJ326" t="str">
            <v/>
          </cell>
          <cell r="AK326" t="str">
            <v/>
          </cell>
          <cell r="AL326" t="str">
            <v/>
          </cell>
          <cell r="AM326" t="str">
            <v/>
          </cell>
          <cell r="AN326" t="str">
            <v/>
          </cell>
          <cell r="AO326">
            <v>6</v>
          </cell>
          <cell r="AQ326" t="str">
            <v/>
          </cell>
          <cell r="AR326" t="str">
            <v/>
          </cell>
          <cell r="AS326" t="str">
            <v/>
          </cell>
          <cell r="AU326" t="str">
            <v/>
          </cell>
          <cell r="AV326" t="str">
            <v/>
          </cell>
          <cell r="AW326" t="str">
            <v/>
          </cell>
          <cell r="AX326" t="str">
            <v/>
          </cell>
          <cell r="AY326" t="str">
            <v/>
          </cell>
          <cell r="AZ326" t="str">
            <v/>
          </cell>
          <cell r="BA326" t="str">
            <v/>
          </cell>
          <cell r="BB326" t="str">
            <v/>
          </cell>
          <cell r="BC326" t="str">
            <v/>
          </cell>
          <cell r="BD326" t="str">
            <v/>
          </cell>
          <cell r="BE326" t="str">
            <v/>
          </cell>
          <cell r="BF326" t="str">
            <v/>
          </cell>
          <cell r="BG326" t="str">
            <v/>
          </cell>
          <cell r="BH326" t="str">
            <v/>
          </cell>
          <cell r="BI326" t="str">
            <v/>
          </cell>
          <cell r="BJ326" t="str">
            <v/>
          </cell>
        </row>
        <row r="327">
          <cell r="A327" t="str">
            <v>RAP</v>
          </cell>
          <cell r="B327" t="str">
            <v>Q05</v>
          </cell>
          <cell r="C327" t="str">
            <v/>
          </cell>
          <cell r="D327" t="str">
            <v/>
          </cell>
          <cell r="E327">
            <v>0.94909210960713108</v>
          </cell>
          <cell r="F327" t="str">
            <v/>
          </cell>
          <cell r="G327" t="str">
            <v/>
          </cell>
          <cell r="H327" t="str">
            <v/>
          </cell>
          <cell r="J327" t="str">
            <v/>
          </cell>
          <cell r="K327" t="str">
            <v/>
          </cell>
          <cell r="L327" t="str">
            <v/>
          </cell>
          <cell r="M327">
            <v>2228</v>
          </cell>
          <cell r="N327" t="str">
            <v/>
          </cell>
          <cell r="Q327">
            <v>1</v>
          </cell>
          <cell r="R327">
            <v>1</v>
          </cell>
          <cell r="S327" t="str">
            <v/>
          </cell>
          <cell r="X327" t="str">
            <v/>
          </cell>
          <cell r="Y327" t="str">
            <v/>
          </cell>
          <cell r="Z327" t="str">
            <v/>
          </cell>
          <cell r="AB327">
            <v>1</v>
          </cell>
          <cell r="AD327" t="str">
            <v/>
          </cell>
          <cell r="AE327" t="str">
            <v/>
          </cell>
          <cell r="AF327" t="str">
            <v/>
          </cell>
          <cell r="AG327">
            <v>7.3154362416107385E-2</v>
          </cell>
          <cell r="AH327">
            <v>3.6666666666666665</v>
          </cell>
          <cell r="AI327" t="str">
            <v/>
          </cell>
          <cell r="AJ327" t="str">
            <v/>
          </cell>
          <cell r="AK327" t="str">
            <v/>
          </cell>
          <cell r="AL327" t="str">
            <v/>
          </cell>
          <cell r="AM327" t="str">
            <v/>
          </cell>
          <cell r="AN327" t="str">
            <v/>
          </cell>
          <cell r="AO327">
            <v>-8166</v>
          </cell>
          <cell r="AQ327" t="str">
            <v/>
          </cell>
          <cell r="AR327" t="str">
            <v/>
          </cell>
          <cell r="AS327" t="str">
            <v/>
          </cell>
          <cell r="AU327" t="str">
            <v/>
          </cell>
          <cell r="AV327" t="str">
            <v/>
          </cell>
          <cell r="AW327" t="str">
            <v/>
          </cell>
          <cell r="AX327" t="str">
            <v/>
          </cell>
          <cell r="AY327" t="str">
            <v/>
          </cell>
          <cell r="AZ327" t="str">
            <v/>
          </cell>
          <cell r="BA327" t="str">
            <v/>
          </cell>
          <cell r="BB327" t="str">
            <v/>
          </cell>
          <cell r="BC327" t="str">
            <v/>
          </cell>
          <cell r="BD327" t="str">
            <v/>
          </cell>
          <cell r="BE327" t="str">
            <v/>
          </cell>
          <cell r="BF327" t="str">
            <v/>
          </cell>
          <cell r="BG327" t="str">
            <v/>
          </cell>
          <cell r="BH327" t="str">
            <v/>
          </cell>
          <cell r="BI327" t="str">
            <v/>
          </cell>
          <cell r="BJ327" t="str">
            <v/>
          </cell>
        </row>
        <row r="328">
          <cell r="A328" t="str">
            <v>RAS</v>
          </cell>
          <cell r="B328" t="str">
            <v>Q04</v>
          </cell>
          <cell r="C328" t="str">
            <v/>
          </cell>
          <cell r="D328" t="str">
            <v/>
          </cell>
          <cell r="E328">
            <v>0.98902849053264907</v>
          </cell>
          <cell r="F328" t="str">
            <v/>
          </cell>
          <cell r="G328" t="str">
            <v/>
          </cell>
          <cell r="H328" t="str">
            <v/>
          </cell>
          <cell r="J328" t="str">
            <v/>
          </cell>
          <cell r="K328" t="str">
            <v/>
          </cell>
          <cell r="L328" t="str">
            <v/>
          </cell>
          <cell r="M328">
            <v>2916</v>
          </cell>
          <cell r="N328" t="str">
            <v/>
          </cell>
          <cell r="Q328">
            <v>1</v>
          </cell>
          <cell r="R328">
            <v>1</v>
          </cell>
          <cell r="S328" t="str">
            <v/>
          </cell>
          <cell r="X328" t="str">
            <v/>
          </cell>
          <cell r="Y328" t="str">
            <v/>
          </cell>
          <cell r="Z328" t="str">
            <v/>
          </cell>
          <cell r="AB328">
            <v>0.78823529411764703</v>
          </cell>
          <cell r="AD328" t="str">
            <v/>
          </cell>
          <cell r="AE328" t="str">
            <v/>
          </cell>
          <cell r="AF328" t="str">
            <v/>
          </cell>
          <cell r="AG328">
            <v>2.3523523523523524E-2</v>
          </cell>
          <cell r="AH328">
            <v>2.3333333333333335</v>
          </cell>
          <cell r="AI328" t="str">
            <v/>
          </cell>
          <cell r="AJ328" t="str">
            <v/>
          </cell>
          <cell r="AK328" t="str">
            <v/>
          </cell>
          <cell r="AL328" t="str">
            <v/>
          </cell>
          <cell r="AM328" t="str">
            <v/>
          </cell>
          <cell r="AN328" t="str">
            <v/>
          </cell>
          <cell r="AO328">
            <v>2212</v>
          </cell>
          <cell r="AQ328" t="str">
            <v/>
          </cell>
          <cell r="AR328" t="str">
            <v/>
          </cell>
          <cell r="AS328" t="str">
            <v/>
          </cell>
          <cell r="AU328" t="str">
            <v/>
          </cell>
          <cell r="AV328" t="str">
            <v/>
          </cell>
          <cell r="AW328" t="str">
            <v/>
          </cell>
          <cell r="AX328" t="str">
            <v/>
          </cell>
          <cell r="AY328" t="str">
            <v/>
          </cell>
          <cell r="AZ328" t="str">
            <v/>
          </cell>
          <cell r="BA328" t="str">
            <v/>
          </cell>
          <cell r="BB328" t="str">
            <v/>
          </cell>
          <cell r="BC328" t="str">
            <v/>
          </cell>
          <cell r="BD328" t="str">
            <v/>
          </cell>
          <cell r="BE328" t="str">
            <v/>
          </cell>
          <cell r="BF328" t="str">
            <v/>
          </cell>
          <cell r="BG328" t="str">
            <v/>
          </cell>
          <cell r="BH328" t="str">
            <v/>
          </cell>
          <cell r="BI328" t="str">
            <v/>
          </cell>
          <cell r="BJ328" t="str">
            <v/>
          </cell>
        </row>
        <row r="329">
          <cell r="A329" t="str">
            <v>RAT</v>
          </cell>
          <cell r="B329" t="str">
            <v>Q06</v>
          </cell>
          <cell r="C329" t="str">
            <v/>
          </cell>
          <cell r="D329" t="str">
            <v/>
          </cell>
          <cell r="E329" t="str">
            <v/>
          </cell>
          <cell r="F329" t="str">
            <v/>
          </cell>
          <cell r="G329" t="str">
            <v/>
          </cell>
          <cell r="H329" t="str">
            <v/>
          </cell>
          <cell r="J329" t="str">
            <v/>
          </cell>
          <cell r="K329" t="str">
            <v/>
          </cell>
          <cell r="L329" t="str">
            <v/>
          </cell>
          <cell r="M329" t="str">
            <v/>
          </cell>
          <cell r="N329" t="str">
            <v/>
          </cell>
          <cell r="Q329" t="str">
            <v/>
          </cell>
          <cell r="R329" t="str">
            <v/>
          </cell>
          <cell r="S329" t="str">
            <v/>
          </cell>
          <cell r="X329" t="str">
            <v/>
          </cell>
          <cell r="Y329" t="str">
            <v/>
          </cell>
          <cell r="Z329" t="str">
            <v/>
          </cell>
          <cell r="AB329" t="str">
            <v/>
          </cell>
          <cell r="AD329" t="str">
            <v/>
          </cell>
          <cell r="AE329" t="str">
            <v/>
          </cell>
          <cell r="AF329" t="str">
            <v/>
          </cell>
          <cell r="AG329">
            <v>0</v>
          </cell>
          <cell r="AH329" t="str">
            <v/>
          </cell>
          <cell r="AI329" t="str">
            <v/>
          </cell>
          <cell r="AJ329" t="str">
            <v/>
          </cell>
          <cell r="AK329" t="str">
            <v/>
          </cell>
          <cell r="AL329" t="str">
            <v/>
          </cell>
          <cell r="AM329" t="str">
            <v/>
          </cell>
          <cell r="AN329" t="str">
            <v/>
          </cell>
          <cell r="AO329">
            <v>352</v>
          </cell>
          <cell r="AQ329" t="str">
            <v/>
          </cell>
          <cell r="AR329" t="str">
            <v/>
          </cell>
          <cell r="AS329" t="str">
            <v/>
          </cell>
          <cell r="AU329" t="str">
            <v/>
          </cell>
          <cell r="AV329" t="str">
            <v/>
          </cell>
          <cell r="AW329" t="str">
            <v/>
          </cell>
          <cell r="AX329" t="str">
            <v/>
          </cell>
          <cell r="AY329" t="str">
            <v/>
          </cell>
          <cell r="AZ329" t="str">
            <v/>
          </cell>
          <cell r="BA329" t="str">
            <v/>
          </cell>
          <cell r="BB329" t="str">
            <v/>
          </cell>
          <cell r="BC329" t="str">
            <v/>
          </cell>
          <cell r="BD329" t="str">
            <v/>
          </cell>
          <cell r="BE329" t="str">
            <v/>
          </cell>
          <cell r="BF329" t="str">
            <v/>
          </cell>
          <cell r="BG329" t="str">
            <v/>
          </cell>
          <cell r="BH329" t="str">
            <v/>
          </cell>
          <cell r="BI329" t="str">
            <v/>
          </cell>
          <cell r="BJ329" t="str">
            <v/>
          </cell>
        </row>
        <row r="330">
          <cell r="A330" t="str">
            <v>RAX</v>
          </cell>
          <cell r="B330" t="str">
            <v>Q08</v>
          </cell>
          <cell r="C330" t="str">
            <v/>
          </cell>
          <cell r="D330" t="str">
            <v/>
          </cell>
          <cell r="E330">
            <v>0.97421434327155521</v>
          </cell>
          <cell r="F330" t="str">
            <v/>
          </cell>
          <cell r="G330" t="str">
            <v/>
          </cell>
          <cell r="H330" t="str">
            <v/>
          </cell>
          <cell r="J330" t="str">
            <v/>
          </cell>
          <cell r="K330" t="str">
            <v/>
          </cell>
          <cell r="L330" t="str">
            <v/>
          </cell>
          <cell r="M330">
            <v>4931</v>
          </cell>
          <cell r="N330" t="str">
            <v/>
          </cell>
          <cell r="Q330">
            <v>1</v>
          </cell>
          <cell r="R330">
            <v>1</v>
          </cell>
          <cell r="S330" t="str">
            <v/>
          </cell>
          <cell r="X330" t="str">
            <v/>
          </cell>
          <cell r="Y330" t="str">
            <v/>
          </cell>
          <cell r="Z330" t="str">
            <v/>
          </cell>
          <cell r="AB330">
            <v>1</v>
          </cell>
          <cell r="AD330" t="str">
            <v/>
          </cell>
          <cell r="AE330" t="str">
            <v/>
          </cell>
          <cell r="AF330" t="str">
            <v/>
          </cell>
          <cell r="AG330">
            <v>4.0399999999999998E-2</v>
          </cell>
          <cell r="AH330">
            <v>4.333333333333333</v>
          </cell>
          <cell r="AI330" t="str">
            <v/>
          </cell>
          <cell r="AJ330" t="str">
            <v/>
          </cell>
          <cell r="AK330" t="str">
            <v/>
          </cell>
          <cell r="AL330" t="str">
            <v/>
          </cell>
          <cell r="AM330" t="str">
            <v/>
          </cell>
          <cell r="AN330" t="str">
            <v/>
          </cell>
          <cell r="AO330">
            <v>14</v>
          </cell>
          <cell r="AQ330" t="str">
            <v/>
          </cell>
          <cell r="AR330" t="str">
            <v/>
          </cell>
          <cell r="AS330" t="str">
            <v/>
          </cell>
          <cell r="AU330" t="str">
            <v/>
          </cell>
          <cell r="AV330" t="str">
            <v/>
          </cell>
          <cell r="AW330" t="str">
            <v/>
          </cell>
          <cell r="AX330" t="str">
            <v/>
          </cell>
          <cell r="AY330" t="str">
            <v/>
          </cell>
          <cell r="AZ330" t="str">
            <v/>
          </cell>
          <cell r="BA330" t="str">
            <v/>
          </cell>
          <cell r="BB330" t="str">
            <v/>
          </cell>
          <cell r="BC330" t="str">
            <v/>
          </cell>
          <cell r="BD330" t="str">
            <v/>
          </cell>
          <cell r="BE330" t="str">
            <v/>
          </cell>
          <cell r="BF330" t="str">
            <v/>
          </cell>
          <cell r="BG330" t="str">
            <v/>
          </cell>
          <cell r="BH330" t="str">
            <v/>
          </cell>
          <cell r="BI330" t="str">
            <v/>
          </cell>
          <cell r="BJ330" t="str">
            <v/>
          </cell>
        </row>
        <row r="331">
          <cell r="A331" t="str">
            <v>RB1</v>
          </cell>
          <cell r="B331" t="str">
            <v>Q20</v>
          </cell>
          <cell r="J331" t="str">
            <v/>
          </cell>
          <cell r="K331" t="str">
            <v/>
          </cell>
          <cell r="L331" t="str">
            <v/>
          </cell>
          <cell r="Q331" t="str">
            <v/>
          </cell>
          <cell r="R331" t="str">
            <v/>
          </cell>
          <cell r="AH331" t="str">
            <v/>
          </cell>
          <cell r="AK331" t="str">
            <v/>
          </cell>
          <cell r="AO331">
            <v>-947</v>
          </cell>
        </row>
        <row r="332">
          <cell r="A332" t="str">
            <v>RB4</v>
          </cell>
          <cell r="B332" t="str">
            <v>Q03</v>
          </cell>
          <cell r="C332">
            <v>0.77012633143423337</v>
          </cell>
          <cell r="D332">
            <v>0.9534676941315946</v>
          </cell>
          <cell r="E332" t="str">
            <v/>
          </cell>
          <cell r="F332" t="str">
            <v/>
          </cell>
          <cell r="G332" t="str">
            <v/>
          </cell>
          <cell r="H332" t="str">
            <v/>
          </cell>
          <cell r="J332" t="str">
            <v/>
          </cell>
          <cell r="K332" t="str">
            <v/>
          </cell>
          <cell r="L332" t="str">
            <v/>
          </cell>
          <cell r="M332" t="str">
            <v/>
          </cell>
          <cell r="N332" t="str">
            <v/>
          </cell>
          <cell r="Q332" t="str">
            <v/>
          </cell>
          <cell r="R332" t="str">
            <v/>
          </cell>
          <cell r="S332" t="str">
            <v/>
          </cell>
          <cell r="X332" t="str">
            <v/>
          </cell>
          <cell r="Y332" t="str">
            <v/>
          </cell>
          <cell r="Z332" t="str">
            <v/>
          </cell>
          <cell r="AB332" t="str">
            <v/>
          </cell>
          <cell r="AD332" t="str">
            <v/>
          </cell>
          <cell r="AE332" t="str">
            <v/>
          </cell>
          <cell r="AF332" t="str">
            <v/>
          </cell>
          <cell r="AG332" t="str">
            <v/>
          </cell>
          <cell r="AH332" t="str">
            <v/>
          </cell>
          <cell r="AI332" t="str">
            <v/>
          </cell>
          <cell r="AJ332" t="str">
            <v/>
          </cell>
          <cell r="AK332" t="str">
            <v/>
          </cell>
          <cell r="AL332" t="str">
            <v/>
          </cell>
          <cell r="AM332" t="str">
            <v/>
          </cell>
          <cell r="AN332" t="str">
            <v/>
          </cell>
          <cell r="AO332">
            <v>1445</v>
          </cell>
          <cell r="AQ332" t="str">
            <v/>
          </cell>
          <cell r="AR332" t="str">
            <v/>
          </cell>
          <cell r="AS332" t="str">
            <v/>
          </cell>
          <cell r="AU332" t="str">
            <v/>
          </cell>
          <cell r="AV332" t="str">
            <v/>
          </cell>
          <cell r="AW332" t="str">
            <v/>
          </cell>
          <cell r="AX332" t="str">
            <v/>
          </cell>
          <cell r="AY332" t="str">
            <v/>
          </cell>
          <cell r="AZ332" t="str">
            <v/>
          </cell>
          <cell r="BA332" t="str">
            <v/>
          </cell>
          <cell r="BB332" t="str">
            <v/>
          </cell>
          <cell r="BC332" t="str">
            <v/>
          </cell>
          <cell r="BD332" t="str">
            <v/>
          </cell>
          <cell r="BE332" t="str">
            <v/>
          </cell>
          <cell r="BF332" t="str">
            <v/>
          </cell>
          <cell r="BG332" t="str">
            <v/>
          </cell>
          <cell r="BH332" t="str">
            <v/>
          </cell>
          <cell r="BI332" t="str">
            <v/>
          </cell>
          <cell r="BJ332" t="str">
            <v/>
          </cell>
        </row>
        <row r="333">
          <cell r="A333" t="str">
            <v>RB5</v>
          </cell>
          <cell r="B333" t="str">
            <v>Q20</v>
          </cell>
          <cell r="J333" t="str">
            <v/>
          </cell>
          <cell r="K333" t="str">
            <v/>
          </cell>
          <cell r="L333" t="str">
            <v/>
          </cell>
          <cell r="Q333" t="str">
            <v/>
          </cell>
          <cell r="R333" t="str">
            <v/>
          </cell>
          <cell r="AH333" t="str">
            <v/>
          </cell>
          <cell r="AK333" t="str">
            <v/>
          </cell>
          <cell r="AO333">
            <v>-488</v>
          </cell>
        </row>
        <row r="334">
          <cell r="A334" t="str">
            <v>RB6</v>
          </cell>
          <cell r="B334" t="str">
            <v>Q15</v>
          </cell>
          <cell r="C334">
            <v>0.73850315599639316</v>
          </cell>
          <cell r="D334">
            <v>0.76602698399396629</v>
          </cell>
          <cell r="E334" t="str">
            <v/>
          </cell>
          <cell r="F334" t="str">
            <v/>
          </cell>
          <cell r="G334" t="str">
            <v/>
          </cell>
          <cell r="H334" t="str">
            <v/>
          </cell>
          <cell r="J334" t="str">
            <v/>
          </cell>
          <cell r="K334" t="str">
            <v/>
          </cell>
          <cell r="L334" t="str">
            <v/>
          </cell>
          <cell r="M334" t="str">
            <v/>
          </cell>
          <cell r="N334" t="str">
            <v/>
          </cell>
          <cell r="Q334" t="str">
            <v/>
          </cell>
          <cell r="R334" t="str">
            <v/>
          </cell>
          <cell r="S334" t="str">
            <v/>
          </cell>
          <cell r="X334" t="str">
            <v/>
          </cell>
          <cell r="Y334" t="str">
            <v/>
          </cell>
          <cell r="Z334" t="str">
            <v/>
          </cell>
          <cell r="AB334" t="str">
            <v/>
          </cell>
          <cell r="AD334" t="str">
            <v/>
          </cell>
          <cell r="AE334" t="str">
            <v/>
          </cell>
          <cell r="AF334" t="str">
            <v/>
          </cell>
          <cell r="AG334" t="str">
            <v/>
          </cell>
          <cell r="AH334" t="str">
            <v/>
          </cell>
          <cell r="AI334" t="str">
            <v/>
          </cell>
          <cell r="AJ334" t="str">
            <v/>
          </cell>
          <cell r="AK334" t="str">
            <v/>
          </cell>
          <cell r="AL334" t="str">
            <v/>
          </cell>
          <cell r="AM334" t="str">
            <v/>
          </cell>
          <cell r="AN334" t="str">
            <v/>
          </cell>
          <cell r="AO334">
            <v>5</v>
          </cell>
          <cell r="AQ334" t="str">
            <v/>
          </cell>
          <cell r="AR334" t="str">
            <v/>
          </cell>
          <cell r="AS334" t="str">
            <v/>
          </cell>
          <cell r="AU334" t="str">
            <v/>
          </cell>
          <cell r="AV334" t="str">
            <v/>
          </cell>
          <cell r="AW334" t="str">
            <v/>
          </cell>
          <cell r="AX334" t="str">
            <v/>
          </cell>
          <cell r="AY334" t="str">
            <v/>
          </cell>
          <cell r="AZ334" t="str">
            <v/>
          </cell>
          <cell r="BA334" t="str">
            <v/>
          </cell>
          <cell r="BB334" t="str">
            <v/>
          </cell>
          <cell r="BC334" t="str">
            <v/>
          </cell>
          <cell r="BD334" t="str">
            <v/>
          </cell>
          <cell r="BE334" t="str">
            <v/>
          </cell>
          <cell r="BF334" t="str">
            <v/>
          </cell>
          <cell r="BG334" t="str">
            <v/>
          </cell>
          <cell r="BH334" t="str">
            <v/>
          </cell>
          <cell r="BI334" t="str">
            <v/>
          </cell>
          <cell r="BJ334" t="str">
            <v/>
          </cell>
        </row>
        <row r="335">
          <cell r="A335" t="str">
            <v>RB7</v>
          </cell>
          <cell r="B335" t="str">
            <v>Q26</v>
          </cell>
          <cell r="C335">
            <v>0.87364620938628157</v>
          </cell>
          <cell r="D335">
            <v>0.99692957205910571</v>
          </cell>
          <cell r="E335" t="str">
            <v/>
          </cell>
          <cell r="F335" t="str">
            <v/>
          </cell>
          <cell r="G335" t="str">
            <v/>
          </cell>
          <cell r="H335" t="str">
            <v/>
          </cell>
          <cell r="J335" t="str">
            <v/>
          </cell>
          <cell r="K335" t="str">
            <v/>
          </cell>
          <cell r="L335" t="str">
            <v/>
          </cell>
          <cell r="M335" t="str">
            <v/>
          </cell>
          <cell r="N335" t="str">
            <v/>
          </cell>
          <cell r="Q335" t="str">
            <v/>
          </cell>
          <cell r="R335" t="str">
            <v/>
          </cell>
          <cell r="S335" t="str">
            <v/>
          </cell>
          <cell r="X335" t="str">
            <v/>
          </cell>
          <cell r="Y335" t="str">
            <v/>
          </cell>
          <cell r="Z335" t="str">
            <v/>
          </cell>
          <cell r="AB335" t="str">
            <v/>
          </cell>
          <cell r="AD335" t="str">
            <v/>
          </cell>
          <cell r="AE335" t="str">
            <v/>
          </cell>
          <cell r="AF335" t="str">
            <v/>
          </cell>
          <cell r="AG335" t="str">
            <v/>
          </cell>
          <cell r="AH335" t="str">
            <v/>
          </cell>
          <cell r="AI335" t="str">
            <v/>
          </cell>
          <cell r="AJ335" t="str">
            <v/>
          </cell>
          <cell r="AK335" t="str">
            <v/>
          </cell>
          <cell r="AL335" t="str">
            <v/>
          </cell>
          <cell r="AM335" t="str">
            <v/>
          </cell>
          <cell r="AN335" t="str">
            <v/>
          </cell>
          <cell r="AO335">
            <v>0</v>
          </cell>
          <cell r="AQ335" t="str">
            <v/>
          </cell>
          <cell r="AR335" t="str">
            <v/>
          </cell>
          <cell r="AS335" t="str">
            <v/>
          </cell>
          <cell r="AU335" t="str">
            <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row>
        <row r="336">
          <cell r="A336" t="str">
            <v>RB8</v>
          </cell>
          <cell r="B336" t="str">
            <v>Q23</v>
          </cell>
          <cell r="C336">
            <v>0.80352084176446781</v>
          </cell>
          <cell r="D336">
            <v>0.91943127962085303</v>
          </cell>
          <cell r="E336" t="str">
            <v/>
          </cell>
          <cell r="F336" t="str">
            <v/>
          </cell>
          <cell r="G336" t="str">
            <v/>
          </cell>
          <cell r="H336" t="str">
            <v/>
          </cell>
          <cell r="J336" t="str">
            <v/>
          </cell>
          <cell r="K336" t="str">
            <v/>
          </cell>
          <cell r="L336" t="str">
            <v/>
          </cell>
          <cell r="M336" t="str">
            <v/>
          </cell>
          <cell r="N336" t="str">
            <v/>
          </cell>
          <cell r="Q336" t="str">
            <v/>
          </cell>
          <cell r="R336" t="str">
            <v/>
          </cell>
          <cell r="S336" t="str">
            <v/>
          </cell>
          <cell r="X336" t="str">
            <v/>
          </cell>
          <cell r="Y336" t="str">
            <v/>
          </cell>
          <cell r="Z336" t="str">
            <v/>
          </cell>
          <cell r="AB336" t="str">
            <v/>
          </cell>
          <cell r="AD336" t="str">
            <v/>
          </cell>
          <cell r="AE336" t="str">
            <v/>
          </cell>
          <cell r="AF336" t="str">
            <v/>
          </cell>
          <cell r="AG336" t="str">
            <v/>
          </cell>
          <cell r="AH336" t="str">
            <v/>
          </cell>
          <cell r="AI336" t="str">
            <v/>
          </cell>
          <cell r="AJ336" t="str">
            <v/>
          </cell>
          <cell r="AK336" t="str">
            <v/>
          </cell>
          <cell r="AL336" t="str">
            <v/>
          </cell>
          <cell r="AM336" t="str">
            <v/>
          </cell>
          <cell r="AN336" t="str">
            <v/>
          </cell>
          <cell r="AO336">
            <v>611</v>
          </cell>
          <cell r="AQ336" t="str">
            <v/>
          </cell>
          <cell r="AR336" t="str">
            <v/>
          </cell>
          <cell r="AS336" t="str">
            <v/>
          </cell>
          <cell r="AU336" t="str">
            <v/>
          </cell>
          <cell r="AV336" t="str">
            <v/>
          </cell>
          <cell r="AW336" t="str">
            <v/>
          </cell>
          <cell r="AX336" t="str">
            <v/>
          </cell>
          <cell r="AY336" t="str">
            <v/>
          </cell>
          <cell r="AZ336" t="str">
            <v/>
          </cell>
          <cell r="BA336" t="str">
            <v/>
          </cell>
          <cell r="BB336" t="str">
            <v/>
          </cell>
          <cell r="BC336" t="str">
            <v/>
          </cell>
          <cell r="BD336" t="str">
            <v/>
          </cell>
          <cell r="BE336" t="str">
            <v/>
          </cell>
          <cell r="BF336" t="str">
            <v/>
          </cell>
          <cell r="BG336" t="str">
            <v/>
          </cell>
          <cell r="BH336" t="str">
            <v/>
          </cell>
          <cell r="BI336" t="str">
            <v/>
          </cell>
          <cell r="BJ336" t="str">
            <v/>
          </cell>
        </row>
        <row r="337">
          <cell r="A337" t="str">
            <v>RBA</v>
          </cell>
          <cell r="B337" t="str">
            <v>Q22</v>
          </cell>
          <cell r="C337" t="str">
            <v/>
          </cell>
          <cell r="D337" t="str">
            <v/>
          </cell>
          <cell r="E337">
            <v>0.98840381991814463</v>
          </cell>
          <cell r="F337" t="str">
            <v/>
          </cell>
          <cell r="G337" t="str">
            <v/>
          </cell>
          <cell r="H337" t="str">
            <v/>
          </cell>
          <cell r="J337" t="str">
            <v/>
          </cell>
          <cell r="K337" t="str">
            <v/>
          </cell>
          <cell r="L337" t="str">
            <v/>
          </cell>
          <cell r="M337">
            <v>3522</v>
          </cell>
          <cell r="N337" t="str">
            <v/>
          </cell>
          <cell r="Q337">
            <v>1</v>
          </cell>
          <cell r="R337">
            <v>1</v>
          </cell>
          <cell r="S337" t="str">
            <v/>
          </cell>
          <cell r="X337" t="str">
            <v/>
          </cell>
          <cell r="Y337" t="str">
            <v/>
          </cell>
          <cell r="Z337" t="str">
            <v/>
          </cell>
          <cell r="AB337">
            <v>1</v>
          </cell>
          <cell r="AD337" t="str">
            <v/>
          </cell>
          <cell r="AE337" t="str">
            <v/>
          </cell>
          <cell r="AF337" t="str">
            <v/>
          </cell>
          <cell r="AG337">
            <v>4.9563838223632042E-2</v>
          </cell>
          <cell r="AH337">
            <v>5</v>
          </cell>
          <cell r="AI337" t="str">
            <v/>
          </cell>
          <cell r="AJ337" t="str">
            <v/>
          </cell>
          <cell r="AK337" t="str">
            <v/>
          </cell>
          <cell r="AL337" t="str">
            <v/>
          </cell>
          <cell r="AM337" t="str">
            <v/>
          </cell>
          <cell r="AN337" t="str">
            <v/>
          </cell>
          <cell r="AO337">
            <v>16</v>
          </cell>
          <cell r="AQ337" t="str">
            <v/>
          </cell>
          <cell r="AR337" t="str">
            <v/>
          </cell>
          <cell r="AS337" t="str">
            <v/>
          </cell>
          <cell r="AU337" t="str">
            <v/>
          </cell>
          <cell r="AV337" t="str">
            <v/>
          </cell>
          <cell r="AW337" t="str">
            <v/>
          </cell>
          <cell r="AX337" t="str">
            <v/>
          </cell>
          <cell r="AY337" t="str">
            <v/>
          </cell>
          <cell r="AZ337" t="str">
            <v/>
          </cell>
          <cell r="BA337" t="str">
            <v/>
          </cell>
          <cell r="BB337" t="str">
            <v/>
          </cell>
          <cell r="BC337" t="str">
            <v/>
          </cell>
          <cell r="BD337" t="str">
            <v/>
          </cell>
          <cell r="BE337" t="str">
            <v/>
          </cell>
          <cell r="BF337" t="str">
            <v/>
          </cell>
          <cell r="BG337" t="str">
            <v/>
          </cell>
          <cell r="BH337" t="str">
            <v/>
          </cell>
          <cell r="BI337" t="str">
            <v/>
          </cell>
          <cell r="BJ337" t="str">
            <v/>
          </cell>
        </row>
        <row r="338">
          <cell r="A338" t="str">
            <v>RBB</v>
          </cell>
          <cell r="B338" t="str">
            <v>Q20</v>
          </cell>
          <cell r="C338" t="str">
            <v/>
          </cell>
          <cell r="D338" t="str">
            <v/>
          </cell>
          <cell r="E338" t="str">
            <v/>
          </cell>
          <cell r="F338" t="str">
            <v/>
          </cell>
          <cell r="G338" t="str">
            <v/>
          </cell>
          <cell r="H338" t="str">
            <v/>
          </cell>
          <cell r="J338" t="str">
            <v/>
          </cell>
          <cell r="K338" t="str">
            <v/>
          </cell>
          <cell r="L338" t="str">
            <v/>
          </cell>
          <cell r="M338">
            <v>164</v>
          </cell>
          <cell r="N338" t="str">
            <v/>
          </cell>
          <cell r="Q338">
            <v>1</v>
          </cell>
          <cell r="R338">
            <v>1</v>
          </cell>
          <cell r="S338" t="str">
            <v/>
          </cell>
          <cell r="X338" t="str">
            <v/>
          </cell>
          <cell r="Y338" t="str">
            <v/>
          </cell>
          <cell r="Z338" t="str">
            <v/>
          </cell>
          <cell r="AB338" t="str">
            <v/>
          </cell>
          <cell r="AD338" t="str">
            <v/>
          </cell>
          <cell r="AE338" t="str">
            <v/>
          </cell>
          <cell r="AF338" t="str">
            <v/>
          </cell>
          <cell r="AG338">
            <v>0</v>
          </cell>
          <cell r="AH338">
            <v>0.33333333333333331</v>
          </cell>
          <cell r="AI338" t="str">
            <v/>
          </cell>
          <cell r="AJ338" t="str">
            <v/>
          </cell>
          <cell r="AK338" t="str">
            <v/>
          </cell>
          <cell r="AL338" t="str">
            <v/>
          </cell>
          <cell r="AM338" t="str">
            <v/>
          </cell>
          <cell r="AN338" t="str">
            <v/>
          </cell>
          <cell r="AO338" t="str">
            <v/>
          </cell>
          <cell r="AQ338" t="str">
            <v/>
          </cell>
          <cell r="AR338" t="str">
            <v/>
          </cell>
          <cell r="AS338" t="str">
            <v/>
          </cell>
          <cell r="AU338" t="str">
            <v/>
          </cell>
          <cell r="AV338" t="str">
            <v/>
          </cell>
          <cell r="AW338" t="str">
            <v/>
          </cell>
          <cell r="AX338" t="str">
            <v/>
          </cell>
          <cell r="AY338" t="str">
            <v/>
          </cell>
          <cell r="AZ338" t="str">
            <v/>
          </cell>
          <cell r="BA338" t="str">
            <v/>
          </cell>
          <cell r="BB338" t="str">
            <v/>
          </cell>
          <cell r="BC338" t="str">
            <v/>
          </cell>
          <cell r="BD338" t="str">
            <v/>
          </cell>
          <cell r="BE338" t="str">
            <v/>
          </cell>
          <cell r="BF338" t="str">
            <v/>
          </cell>
          <cell r="BG338" t="str">
            <v/>
          </cell>
          <cell r="BH338" t="str">
            <v/>
          </cell>
          <cell r="BI338" t="str">
            <v/>
          </cell>
          <cell r="BJ338" t="str">
            <v/>
          </cell>
        </row>
        <row r="339">
          <cell r="A339" t="str">
            <v>RBD</v>
          </cell>
          <cell r="B339" t="str">
            <v>Q22</v>
          </cell>
          <cell r="C339" t="str">
            <v/>
          </cell>
          <cell r="D339" t="str">
            <v/>
          </cell>
          <cell r="E339">
            <v>0.97199902605308008</v>
          </cell>
          <cell r="F339" t="str">
            <v/>
          </cell>
          <cell r="G339" t="str">
            <v/>
          </cell>
          <cell r="H339" t="str">
            <v/>
          </cell>
          <cell r="J339" t="str">
            <v/>
          </cell>
          <cell r="K339" t="str">
            <v/>
          </cell>
          <cell r="L339" t="str">
            <v/>
          </cell>
          <cell r="M339">
            <v>2035</v>
          </cell>
          <cell r="N339" t="str">
            <v/>
          </cell>
          <cell r="Q339">
            <v>0.99875311720698257</v>
          </cell>
          <cell r="R339">
            <v>1</v>
          </cell>
          <cell r="S339" t="str">
            <v/>
          </cell>
          <cell r="X339" t="str">
            <v/>
          </cell>
          <cell r="Y339" t="str">
            <v/>
          </cell>
          <cell r="Z339" t="str">
            <v/>
          </cell>
          <cell r="AB339">
            <v>1</v>
          </cell>
          <cell r="AD339" t="str">
            <v/>
          </cell>
          <cell r="AE339" t="str">
            <v/>
          </cell>
          <cell r="AF339" t="str">
            <v/>
          </cell>
          <cell r="AG339">
            <v>1.8626309662398137E-2</v>
          </cell>
          <cell r="AH339">
            <v>1.6666666666666667</v>
          </cell>
          <cell r="AI339" t="str">
            <v/>
          </cell>
          <cell r="AJ339" t="str">
            <v/>
          </cell>
          <cell r="AK339" t="str">
            <v/>
          </cell>
          <cell r="AL339" t="str">
            <v/>
          </cell>
          <cell r="AM339" t="str">
            <v/>
          </cell>
          <cell r="AN339" t="str">
            <v/>
          </cell>
          <cell r="AO339">
            <v>-998</v>
          </cell>
          <cell r="AQ339" t="str">
            <v/>
          </cell>
          <cell r="AR339" t="str">
            <v/>
          </cell>
          <cell r="AS339" t="str">
            <v/>
          </cell>
          <cell r="AU339" t="str">
            <v/>
          </cell>
          <cell r="AV339" t="str">
            <v/>
          </cell>
          <cell r="AW339" t="str">
            <v/>
          </cell>
          <cell r="AX339" t="str">
            <v/>
          </cell>
          <cell r="AY339" t="str">
            <v/>
          </cell>
          <cell r="AZ339" t="str">
            <v/>
          </cell>
          <cell r="BA339" t="str">
            <v/>
          </cell>
          <cell r="BB339" t="str">
            <v/>
          </cell>
          <cell r="BC339" t="str">
            <v/>
          </cell>
          <cell r="BD339" t="str">
            <v/>
          </cell>
          <cell r="BE339" t="str">
            <v/>
          </cell>
          <cell r="BF339" t="str">
            <v/>
          </cell>
          <cell r="BG339" t="str">
            <v/>
          </cell>
          <cell r="BH339" t="str">
            <v/>
          </cell>
          <cell r="BI339" t="str">
            <v/>
          </cell>
          <cell r="BJ339" t="str">
            <v/>
          </cell>
        </row>
        <row r="340">
          <cell r="A340" t="str">
            <v>RBF</v>
          </cell>
          <cell r="B340" t="str">
            <v>Q16</v>
          </cell>
          <cell r="C340" t="str">
            <v/>
          </cell>
          <cell r="D340" t="str">
            <v/>
          </cell>
          <cell r="E340" t="str">
            <v/>
          </cell>
          <cell r="F340" t="str">
            <v/>
          </cell>
          <cell r="G340" t="str">
            <v/>
          </cell>
          <cell r="H340" t="str">
            <v/>
          </cell>
          <cell r="J340" t="str">
            <v/>
          </cell>
          <cell r="K340" t="str">
            <v/>
          </cell>
          <cell r="L340" t="str">
            <v/>
          </cell>
          <cell r="M340">
            <v>2507</v>
          </cell>
          <cell r="N340" t="str">
            <v/>
          </cell>
          <cell r="Q340">
            <v>1</v>
          </cell>
          <cell r="R340">
            <v>1</v>
          </cell>
          <cell r="S340" t="str">
            <v/>
          </cell>
          <cell r="X340" t="str">
            <v/>
          </cell>
          <cell r="Y340" t="str">
            <v/>
          </cell>
          <cell r="Z340" t="str">
            <v/>
          </cell>
          <cell r="AB340" t="str">
            <v/>
          </cell>
          <cell r="AD340" t="str">
            <v/>
          </cell>
          <cell r="AE340" t="str">
            <v/>
          </cell>
          <cell r="AF340" t="str">
            <v/>
          </cell>
          <cell r="AG340">
            <v>5.3608247422680409E-2</v>
          </cell>
          <cell r="AH340">
            <v>0.33333333333333331</v>
          </cell>
          <cell r="AI340" t="str">
            <v/>
          </cell>
          <cell r="AJ340" t="str">
            <v/>
          </cell>
          <cell r="AK340" t="str">
            <v/>
          </cell>
          <cell r="AL340" t="str">
            <v/>
          </cell>
          <cell r="AM340" t="str">
            <v/>
          </cell>
          <cell r="AN340" t="str">
            <v/>
          </cell>
          <cell r="AO340">
            <v>228.68506000000301</v>
          </cell>
          <cell r="AQ340" t="str">
            <v/>
          </cell>
          <cell r="AR340" t="str">
            <v/>
          </cell>
          <cell r="AS340" t="str">
            <v/>
          </cell>
          <cell r="AU340" t="str">
            <v/>
          </cell>
          <cell r="AV340" t="str">
            <v/>
          </cell>
          <cell r="AW340" t="str">
            <v/>
          </cell>
          <cell r="AX340" t="str">
            <v/>
          </cell>
          <cell r="AY340" t="str">
            <v/>
          </cell>
          <cell r="AZ340" t="str">
            <v/>
          </cell>
          <cell r="BA340" t="str">
            <v/>
          </cell>
          <cell r="BB340" t="str">
            <v/>
          </cell>
          <cell r="BC340" t="str">
            <v/>
          </cell>
          <cell r="BD340" t="str">
            <v/>
          </cell>
          <cell r="BE340" t="str">
            <v/>
          </cell>
          <cell r="BF340" t="str">
            <v/>
          </cell>
          <cell r="BG340" t="str">
            <v/>
          </cell>
          <cell r="BH340" t="str">
            <v/>
          </cell>
          <cell r="BI340" t="str">
            <v/>
          </cell>
          <cell r="BJ340" t="str">
            <v/>
          </cell>
        </row>
        <row r="341">
          <cell r="A341" t="str">
            <v>RBK</v>
          </cell>
          <cell r="B341" t="str">
            <v>Q27</v>
          </cell>
          <cell r="C341" t="str">
            <v/>
          </cell>
          <cell r="D341" t="str">
            <v/>
          </cell>
          <cell r="E341">
            <v>0.9604806408544726</v>
          </cell>
          <cell r="F341" t="str">
            <v/>
          </cell>
          <cell r="G341" t="str">
            <v/>
          </cell>
          <cell r="H341" t="str">
            <v/>
          </cell>
          <cell r="J341" t="str">
            <v/>
          </cell>
          <cell r="K341" t="str">
            <v/>
          </cell>
          <cell r="L341" t="str">
            <v/>
          </cell>
          <cell r="M341">
            <v>2697</v>
          </cell>
          <cell r="N341" t="str">
            <v/>
          </cell>
          <cell r="Q341">
            <v>1</v>
          </cell>
          <cell r="R341">
            <v>1</v>
          </cell>
          <cell r="S341" t="str">
            <v/>
          </cell>
          <cell r="X341" t="str">
            <v/>
          </cell>
          <cell r="Y341" t="str">
            <v/>
          </cell>
          <cell r="Z341" t="str">
            <v/>
          </cell>
          <cell r="AB341">
            <v>1</v>
          </cell>
          <cell r="AD341" t="str">
            <v/>
          </cell>
          <cell r="AE341" t="str">
            <v/>
          </cell>
          <cell r="AF341" t="str">
            <v/>
          </cell>
          <cell r="AG341">
            <v>1.3993541442411194E-2</v>
          </cell>
          <cell r="AH341">
            <v>1.6666666666666667</v>
          </cell>
          <cell r="AI341" t="str">
            <v/>
          </cell>
          <cell r="AJ341" t="str">
            <v/>
          </cell>
          <cell r="AK341" t="str">
            <v/>
          </cell>
          <cell r="AL341" t="str">
            <v/>
          </cell>
          <cell r="AM341" t="str">
            <v/>
          </cell>
          <cell r="AN341" t="str">
            <v/>
          </cell>
          <cell r="AO341">
            <v>1926</v>
          </cell>
          <cell r="AQ341" t="str">
            <v/>
          </cell>
          <cell r="AR341" t="str">
            <v/>
          </cell>
          <cell r="AS341" t="str">
            <v/>
          </cell>
          <cell r="AU341" t="str">
            <v/>
          </cell>
          <cell r="AV341" t="str">
            <v/>
          </cell>
          <cell r="AW341" t="str">
            <v/>
          </cell>
          <cell r="AX341" t="str">
            <v/>
          </cell>
          <cell r="AY341" t="str">
            <v/>
          </cell>
          <cell r="AZ341" t="str">
            <v/>
          </cell>
          <cell r="BA341" t="str">
            <v/>
          </cell>
          <cell r="BB341" t="str">
            <v/>
          </cell>
          <cell r="BC341" t="str">
            <v/>
          </cell>
          <cell r="BD341" t="str">
            <v/>
          </cell>
          <cell r="BE341" t="str">
            <v/>
          </cell>
          <cell r="BF341" t="str">
            <v/>
          </cell>
          <cell r="BG341" t="str">
            <v/>
          </cell>
          <cell r="BH341" t="str">
            <v/>
          </cell>
          <cell r="BI341" t="str">
            <v/>
          </cell>
          <cell r="BJ341" t="str">
            <v/>
          </cell>
        </row>
        <row r="342">
          <cell r="A342" t="str">
            <v>RBL</v>
          </cell>
          <cell r="B342" t="str">
            <v>Q15</v>
          </cell>
          <cell r="C342" t="str">
            <v/>
          </cell>
          <cell r="D342" t="str">
            <v/>
          </cell>
          <cell r="E342">
            <v>0.96523941068139962</v>
          </cell>
          <cell r="F342" t="str">
            <v/>
          </cell>
          <cell r="G342" t="str">
            <v/>
          </cell>
          <cell r="H342" t="str">
            <v/>
          </cell>
          <cell r="J342" t="str">
            <v/>
          </cell>
          <cell r="K342" t="str">
            <v/>
          </cell>
          <cell r="L342" t="str">
            <v/>
          </cell>
          <cell r="M342">
            <v>4040</v>
          </cell>
          <cell r="N342" t="str">
            <v/>
          </cell>
          <cell r="Q342">
            <v>0.99213630406290954</v>
          </cell>
          <cell r="R342">
            <v>0.99606380774808367</v>
          </cell>
          <cell r="S342" t="str">
            <v/>
          </cell>
          <cell r="X342" t="str">
            <v/>
          </cell>
          <cell r="Y342" t="str">
            <v/>
          </cell>
          <cell r="Z342" t="str">
            <v/>
          </cell>
          <cell r="AB342">
            <v>1</v>
          </cell>
          <cell r="AD342" t="str">
            <v/>
          </cell>
          <cell r="AE342" t="str">
            <v/>
          </cell>
          <cell r="AF342" t="str">
            <v/>
          </cell>
          <cell r="AG342">
            <v>1.982570806100218E-2</v>
          </cell>
          <cell r="AH342">
            <v>8</v>
          </cell>
          <cell r="AI342" t="str">
            <v/>
          </cell>
          <cell r="AJ342" t="str">
            <v/>
          </cell>
          <cell r="AK342" t="str">
            <v/>
          </cell>
          <cell r="AL342" t="str">
            <v/>
          </cell>
          <cell r="AM342" t="str">
            <v/>
          </cell>
          <cell r="AN342" t="str">
            <v/>
          </cell>
          <cell r="AO342">
            <v>20</v>
          </cell>
          <cell r="AQ342" t="str">
            <v/>
          </cell>
          <cell r="AR342" t="str">
            <v/>
          </cell>
          <cell r="AS342" t="str">
            <v/>
          </cell>
          <cell r="AU342" t="str">
            <v/>
          </cell>
          <cell r="AV342" t="str">
            <v/>
          </cell>
          <cell r="AW342" t="str">
            <v/>
          </cell>
          <cell r="AX342" t="str">
            <v/>
          </cell>
          <cell r="AY342" t="str">
            <v/>
          </cell>
          <cell r="AZ342" t="str">
            <v/>
          </cell>
          <cell r="BA342" t="str">
            <v/>
          </cell>
          <cell r="BB342" t="str">
            <v/>
          </cell>
          <cell r="BC342" t="str">
            <v/>
          </cell>
          <cell r="BD342" t="str">
            <v/>
          </cell>
          <cell r="BE342" t="str">
            <v/>
          </cell>
          <cell r="BF342" t="str">
            <v/>
          </cell>
          <cell r="BG342" t="str">
            <v/>
          </cell>
          <cell r="BH342" t="str">
            <v/>
          </cell>
          <cell r="BI342" t="str">
            <v/>
          </cell>
          <cell r="BJ342" t="str">
            <v/>
          </cell>
        </row>
        <row r="343">
          <cell r="A343" t="str">
            <v>RBN</v>
          </cell>
          <cell r="B343" t="str">
            <v>Q15</v>
          </cell>
          <cell r="C343" t="str">
            <v/>
          </cell>
          <cell r="D343" t="str">
            <v/>
          </cell>
          <cell r="E343">
            <v>0.98184751916095203</v>
          </cell>
          <cell r="F343" t="str">
            <v/>
          </cell>
          <cell r="G343" t="str">
            <v/>
          </cell>
          <cell r="H343" t="str">
            <v/>
          </cell>
          <cell r="J343" t="str">
            <v/>
          </cell>
          <cell r="K343" t="str">
            <v/>
          </cell>
          <cell r="L343" t="str">
            <v/>
          </cell>
          <cell r="M343">
            <v>4053</v>
          </cell>
          <cell r="N343" t="str">
            <v/>
          </cell>
          <cell r="Q343">
            <v>0.99850523168908822</v>
          </cell>
          <cell r="R343">
            <v>0.9987642115669797</v>
          </cell>
          <cell r="S343" t="str">
            <v/>
          </cell>
          <cell r="X343" t="str">
            <v/>
          </cell>
          <cell r="Y343" t="str">
            <v/>
          </cell>
          <cell r="Z343" t="str">
            <v/>
          </cell>
          <cell r="AB343">
            <v>0.99588477366255146</v>
          </cell>
          <cell r="AD343" t="str">
            <v/>
          </cell>
          <cell r="AE343" t="str">
            <v/>
          </cell>
          <cell r="AF343" t="str">
            <v/>
          </cell>
          <cell r="AG343">
            <v>1.2191742865059575E-2</v>
          </cell>
          <cell r="AH343">
            <v>1.6666666666666667</v>
          </cell>
          <cell r="AI343" t="str">
            <v/>
          </cell>
          <cell r="AJ343" t="str">
            <v/>
          </cell>
          <cell r="AK343" t="str">
            <v/>
          </cell>
          <cell r="AL343" t="str">
            <v/>
          </cell>
          <cell r="AM343" t="str">
            <v/>
          </cell>
          <cell r="AN343" t="str">
            <v/>
          </cell>
          <cell r="AO343">
            <v>106</v>
          </cell>
          <cell r="AQ343" t="str">
            <v/>
          </cell>
          <cell r="AR343" t="str">
            <v/>
          </cell>
          <cell r="AS343" t="str">
            <v/>
          </cell>
          <cell r="AU343" t="str">
            <v/>
          </cell>
          <cell r="AV343" t="str">
            <v/>
          </cell>
          <cell r="AW343" t="str">
            <v/>
          </cell>
          <cell r="AX343" t="str">
            <v/>
          </cell>
          <cell r="AY343" t="str">
            <v/>
          </cell>
          <cell r="AZ343" t="str">
            <v/>
          </cell>
          <cell r="BA343" t="str">
            <v/>
          </cell>
          <cell r="BB343" t="str">
            <v/>
          </cell>
          <cell r="BC343" t="str">
            <v/>
          </cell>
          <cell r="BD343" t="str">
            <v/>
          </cell>
          <cell r="BE343" t="str">
            <v/>
          </cell>
          <cell r="BF343" t="str">
            <v/>
          </cell>
          <cell r="BG343" t="str">
            <v/>
          </cell>
          <cell r="BH343" t="str">
            <v/>
          </cell>
          <cell r="BI343" t="str">
            <v/>
          </cell>
          <cell r="BJ343" t="str">
            <v/>
          </cell>
        </row>
        <row r="344">
          <cell r="A344" t="str">
            <v>RBQ</v>
          </cell>
          <cell r="B344" t="str">
            <v>Q15</v>
          </cell>
          <cell r="C344" t="str">
            <v/>
          </cell>
          <cell r="D344" t="str">
            <v/>
          </cell>
          <cell r="E344" t="str">
            <v/>
          </cell>
          <cell r="F344" t="str">
            <v/>
          </cell>
          <cell r="G344" t="str">
            <v/>
          </cell>
          <cell r="H344" t="str">
            <v/>
          </cell>
          <cell r="J344" t="str">
            <v/>
          </cell>
          <cell r="K344" t="str">
            <v/>
          </cell>
          <cell r="L344" t="str">
            <v/>
          </cell>
          <cell r="M344">
            <v>698</v>
          </cell>
          <cell r="N344" t="str">
            <v/>
          </cell>
          <cell r="Q344">
            <v>1</v>
          </cell>
          <cell r="R344">
            <v>1</v>
          </cell>
          <cell r="S344" t="str">
            <v/>
          </cell>
          <cell r="X344" t="str">
            <v/>
          </cell>
          <cell r="Y344" t="str">
            <v/>
          </cell>
          <cell r="Z344" t="str">
            <v/>
          </cell>
          <cell r="AB344" t="str">
            <v/>
          </cell>
          <cell r="AD344" t="str">
            <v/>
          </cell>
          <cell r="AE344" t="str">
            <v/>
          </cell>
          <cell r="AF344" t="str">
            <v/>
          </cell>
          <cell r="AG344">
            <v>0</v>
          </cell>
          <cell r="AH344">
            <v>1.3333333333333333</v>
          </cell>
          <cell r="AI344" t="str">
            <v/>
          </cell>
          <cell r="AJ344" t="str">
            <v/>
          </cell>
          <cell r="AK344" t="str">
            <v/>
          </cell>
          <cell r="AL344" t="str">
            <v/>
          </cell>
          <cell r="AM344" t="str">
            <v/>
          </cell>
          <cell r="AN344" t="str">
            <v/>
          </cell>
          <cell r="AO344">
            <v>0</v>
          </cell>
          <cell r="AQ344" t="str">
            <v/>
          </cell>
          <cell r="AR344" t="str">
            <v/>
          </cell>
          <cell r="AS344" t="str">
            <v/>
          </cell>
          <cell r="AU344" t="str">
            <v/>
          </cell>
          <cell r="AV344" t="str">
            <v/>
          </cell>
          <cell r="AW344" t="str">
            <v/>
          </cell>
          <cell r="AX344" t="str">
            <v/>
          </cell>
          <cell r="AY344" t="str">
            <v/>
          </cell>
          <cell r="AZ344" t="str">
            <v/>
          </cell>
          <cell r="BA344" t="str">
            <v/>
          </cell>
          <cell r="BB344" t="str">
            <v/>
          </cell>
          <cell r="BC344" t="str">
            <v/>
          </cell>
          <cell r="BD344" t="str">
            <v/>
          </cell>
          <cell r="BE344" t="str">
            <v/>
          </cell>
          <cell r="BF344" t="str">
            <v/>
          </cell>
          <cell r="BG344" t="str">
            <v/>
          </cell>
          <cell r="BH344" t="str">
            <v/>
          </cell>
          <cell r="BI344" t="str">
            <v/>
          </cell>
          <cell r="BJ344" t="str">
            <v/>
          </cell>
        </row>
        <row r="345">
          <cell r="A345" t="str">
            <v>RBS</v>
          </cell>
          <cell r="B345" t="str">
            <v>Q15</v>
          </cell>
          <cell r="C345" t="str">
            <v/>
          </cell>
          <cell r="D345" t="str">
            <v/>
          </cell>
          <cell r="E345">
            <v>0.98970673917265484</v>
          </cell>
          <cell r="F345" t="str">
            <v/>
          </cell>
          <cell r="G345" t="str">
            <v/>
          </cell>
          <cell r="H345" t="str">
            <v/>
          </cell>
          <cell r="J345" t="str">
            <v/>
          </cell>
          <cell r="K345" t="str">
            <v/>
          </cell>
          <cell r="L345" t="str">
            <v/>
          </cell>
          <cell r="M345">
            <v>1789</v>
          </cell>
          <cell r="N345" t="str">
            <v/>
          </cell>
          <cell r="Q345">
            <v>1</v>
          </cell>
          <cell r="R345">
            <v>1</v>
          </cell>
          <cell r="S345" t="str">
            <v/>
          </cell>
          <cell r="X345" t="str">
            <v/>
          </cell>
          <cell r="Y345" t="str">
            <v/>
          </cell>
          <cell r="Z345" t="str">
            <v/>
          </cell>
          <cell r="AB345" t="str">
            <v/>
          </cell>
          <cell r="AD345" t="str">
            <v/>
          </cell>
          <cell r="AE345" t="str">
            <v/>
          </cell>
          <cell r="AF345" t="str">
            <v/>
          </cell>
          <cell r="AG345">
            <v>0</v>
          </cell>
          <cell r="AH345">
            <v>0.66666666666666663</v>
          </cell>
          <cell r="AI345" t="str">
            <v/>
          </cell>
          <cell r="AJ345" t="str">
            <v/>
          </cell>
          <cell r="AK345" t="str">
            <v/>
          </cell>
          <cell r="AL345" t="str">
            <v/>
          </cell>
          <cell r="AM345" t="str">
            <v/>
          </cell>
          <cell r="AN345" t="str">
            <v/>
          </cell>
          <cell r="AO345">
            <v>1</v>
          </cell>
          <cell r="AQ345" t="str">
            <v/>
          </cell>
          <cell r="AR345" t="str">
            <v/>
          </cell>
          <cell r="AS345" t="str">
            <v/>
          </cell>
          <cell r="AU345" t="str">
            <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row>
        <row r="346">
          <cell r="A346" t="str">
            <v>RBT</v>
          </cell>
          <cell r="B346" t="str">
            <v>Q15</v>
          </cell>
          <cell r="C346" t="str">
            <v/>
          </cell>
          <cell r="D346" t="str">
            <v/>
          </cell>
          <cell r="E346">
            <v>0.98315488936473949</v>
          </cell>
          <cell r="F346" t="str">
            <v/>
          </cell>
          <cell r="G346" t="str">
            <v/>
          </cell>
          <cell r="H346" t="str">
            <v/>
          </cell>
          <cell r="J346" t="str">
            <v/>
          </cell>
          <cell r="K346" t="str">
            <v/>
          </cell>
          <cell r="L346" t="str">
            <v/>
          </cell>
          <cell r="M346">
            <v>3170</v>
          </cell>
          <cell r="N346" t="str">
            <v/>
          </cell>
          <cell r="Q346">
            <v>1</v>
          </cell>
          <cell r="R346">
            <v>0.99925650557620815</v>
          </cell>
          <cell r="S346" t="str">
            <v/>
          </cell>
          <cell r="X346" t="str">
            <v/>
          </cell>
          <cell r="Y346" t="str">
            <v/>
          </cell>
          <cell r="Z346" t="str">
            <v/>
          </cell>
          <cell r="AB346">
            <v>1</v>
          </cell>
          <cell r="AD346" t="str">
            <v/>
          </cell>
          <cell r="AE346" t="str">
            <v/>
          </cell>
          <cell r="AF346" t="str">
            <v/>
          </cell>
          <cell r="AG346">
            <v>1.098901098901099E-2</v>
          </cell>
          <cell r="AH346">
            <v>3</v>
          </cell>
          <cell r="AI346" t="str">
            <v/>
          </cell>
          <cell r="AJ346" t="str">
            <v/>
          </cell>
          <cell r="AK346" t="str">
            <v/>
          </cell>
          <cell r="AL346" t="str">
            <v/>
          </cell>
          <cell r="AM346" t="str">
            <v/>
          </cell>
          <cell r="AN346" t="str">
            <v/>
          </cell>
          <cell r="AO346">
            <v>32</v>
          </cell>
          <cell r="AQ346" t="str">
            <v/>
          </cell>
          <cell r="AR346" t="str">
            <v/>
          </cell>
          <cell r="AS346" t="str">
            <v/>
          </cell>
          <cell r="AU346" t="str">
            <v/>
          </cell>
          <cell r="AV346" t="str">
            <v/>
          </cell>
          <cell r="AW346" t="str">
            <v/>
          </cell>
          <cell r="AX346" t="str">
            <v/>
          </cell>
          <cell r="AY346" t="str">
            <v/>
          </cell>
          <cell r="AZ346" t="str">
            <v/>
          </cell>
          <cell r="BA346" t="str">
            <v/>
          </cell>
          <cell r="BB346" t="str">
            <v/>
          </cell>
          <cell r="BC346" t="str">
            <v/>
          </cell>
          <cell r="BD346" t="str">
            <v/>
          </cell>
          <cell r="BE346" t="str">
            <v/>
          </cell>
          <cell r="BF346" t="str">
            <v/>
          </cell>
          <cell r="BG346" t="str">
            <v/>
          </cell>
          <cell r="BH346" t="str">
            <v/>
          </cell>
          <cell r="BI346" t="str">
            <v/>
          </cell>
          <cell r="BJ346" t="str">
            <v/>
          </cell>
        </row>
        <row r="347">
          <cell r="A347" t="str">
            <v>RBV</v>
          </cell>
          <cell r="B347" t="str">
            <v>Q14</v>
          </cell>
          <cell r="C347" t="str">
            <v/>
          </cell>
          <cell r="D347" t="str">
            <v/>
          </cell>
          <cell r="E347" t="str">
            <v/>
          </cell>
          <cell r="F347" t="str">
            <v/>
          </cell>
          <cell r="G347" t="str">
            <v/>
          </cell>
          <cell r="H347" t="str">
            <v/>
          </cell>
          <cell r="J347" t="str">
            <v/>
          </cell>
          <cell r="K347" t="str">
            <v/>
          </cell>
          <cell r="L347" t="str">
            <v/>
          </cell>
          <cell r="M347">
            <v>210</v>
          </cell>
          <cell r="N347" t="str">
            <v/>
          </cell>
          <cell r="Q347">
            <v>1</v>
          </cell>
          <cell r="R347" t="str">
            <v/>
          </cell>
          <cell r="S347" t="str">
            <v/>
          </cell>
          <cell r="X347" t="str">
            <v/>
          </cell>
          <cell r="Y347" t="str">
            <v/>
          </cell>
          <cell r="Z347" t="str">
            <v/>
          </cell>
          <cell r="AB347" t="str">
            <v/>
          </cell>
          <cell r="AD347" t="str">
            <v/>
          </cell>
          <cell r="AE347" t="str">
            <v/>
          </cell>
          <cell r="AF347" t="str">
            <v/>
          </cell>
          <cell r="AG347">
            <v>0</v>
          </cell>
          <cell r="AH347">
            <v>1</v>
          </cell>
          <cell r="AI347" t="str">
            <v/>
          </cell>
          <cell r="AJ347" t="str">
            <v/>
          </cell>
          <cell r="AK347" t="str">
            <v/>
          </cell>
          <cell r="AL347" t="str">
            <v/>
          </cell>
          <cell r="AM347" t="str">
            <v/>
          </cell>
          <cell r="AN347" t="str">
            <v/>
          </cell>
          <cell r="AO347">
            <v>10</v>
          </cell>
          <cell r="AQ347" t="str">
            <v/>
          </cell>
          <cell r="AR347" t="str">
            <v/>
          </cell>
          <cell r="AS347" t="str">
            <v/>
          </cell>
          <cell r="AU347" t="str">
            <v/>
          </cell>
          <cell r="AV347" t="str">
            <v/>
          </cell>
          <cell r="AW347" t="str">
            <v/>
          </cell>
          <cell r="AX347" t="str">
            <v/>
          </cell>
          <cell r="AY347" t="str">
            <v/>
          </cell>
          <cell r="AZ347" t="str">
            <v/>
          </cell>
          <cell r="BA347" t="str">
            <v/>
          </cell>
          <cell r="BB347" t="str">
            <v/>
          </cell>
          <cell r="BC347" t="str">
            <v/>
          </cell>
          <cell r="BD347" t="str">
            <v/>
          </cell>
          <cell r="BE347" t="str">
            <v/>
          </cell>
          <cell r="BF347" t="str">
            <v/>
          </cell>
          <cell r="BG347" t="str">
            <v/>
          </cell>
          <cell r="BH347" t="str">
            <v/>
          </cell>
          <cell r="BI347" t="str">
            <v/>
          </cell>
          <cell r="BJ347" t="str">
            <v/>
          </cell>
        </row>
        <row r="348">
          <cell r="A348" t="str">
            <v>RBX</v>
          </cell>
          <cell r="B348" t="str">
            <v>Q24</v>
          </cell>
          <cell r="C348">
            <v>0.7542115437724386</v>
          </cell>
          <cell r="D348">
            <v>0.92793481028775149</v>
          </cell>
          <cell r="E348" t="str">
            <v/>
          </cell>
          <cell r="F348" t="str">
            <v/>
          </cell>
          <cell r="G348" t="str">
            <v/>
          </cell>
          <cell r="H348" t="str">
            <v/>
          </cell>
          <cell r="J348" t="str">
            <v/>
          </cell>
          <cell r="K348" t="str">
            <v/>
          </cell>
          <cell r="L348" t="str">
            <v/>
          </cell>
          <cell r="M348" t="str">
            <v/>
          </cell>
          <cell r="N348" t="str">
            <v/>
          </cell>
          <cell r="Q348" t="str">
            <v/>
          </cell>
          <cell r="R348" t="str">
            <v/>
          </cell>
          <cell r="S348" t="str">
            <v/>
          </cell>
          <cell r="X348" t="str">
            <v/>
          </cell>
          <cell r="Y348" t="str">
            <v/>
          </cell>
          <cell r="Z348" t="str">
            <v/>
          </cell>
          <cell r="AB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v>3</v>
          </cell>
          <cell r="AQ348" t="str">
            <v/>
          </cell>
          <cell r="AR348" t="str">
            <v/>
          </cell>
          <cell r="AS348" t="str">
            <v/>
          </cell>
          <cell r="AU348" t="str">
            <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row>
        <row r="349">
          <cell r="A349" t="str">
            <v>RBZ</v>
          </cell>
          <cell r="B349" t="str">
            <v>Q21</v>
          </cell>
          <cell r="C349" t="str">
            <v/>
          </cell>
          <cell r="D349" t="str">
            <v/>
          </cell>
          <cell r="E349">
            <v>0.97549668874172191</v>
          </cell>
          <cell r="F349" t="str">
            <v/>
          </cell>
          <cell r="G349" t="str">
            <v/>
          </cell>
          <cell r="H349" t="str">
            <v/>
          </cell>
          <cell r="J349" t="str">
            <v/>
          </cell>
          <cell r="K349" t="str">
            <v/>
          </cell>
          <cell r="L349" t="str">
            <v/>
          </cell>
          <cell r="M349">
            <v>2398</v>
          </cell>
          <cell r="N349" t="str">
            <v/>
          </cell>
          <cell r="Q349">
            <v>1</v>
          </cell>
          <cell r="R349">
            <v>1</v>
          </cell>
          <cell r="S349" t="str">
            <v/>
          </cell>
          <cell r="X349" t="str">
            <v/>
          </cell>
          <cell r="Y349" t="str">
            <v/>
          </cell>
          <cell r="Z349" t="str">
            <v/>
          </cell>
          <cell r="AB349">
            <v>1</v>
          </cell>
          <cell r="AD349" t="str">
            <v/>
          </cell>
          <cell r="AE349" t="str">
            <v/>
          </cell>
          <cell r="AF349" t="str">
            <v/>
          </cell>
          <cell r="AG349">
            <v>2.9930928626247123E-2</v>
          </cell>
          <cell r="AH349">
            <v>2</v>
          </cell>
          <cell r="AI349" t="str">
            <v/>
          </cell>
          <cell r="AJ349" t="str">
            <v/>
          </cell>
          <cell r="AK349" t="str">
            <v/>
          </cell>
          <cell r="AL349" t="str">
            <v/>
          </cell>
          <cell r="AM349" t="str">
            <v/>
          </cell>
          <cell r="AN349" t="str">
            <v/>
          </cell>
          <cell r="AO349">
            <v>-7961</v>
          </cell>
          <cell r="AQ349" t="str">
            <v/>
          </cell>
          <cell r="AR349" t="str">
            <v/>
          </cell>
          <cell r="AS349" t="str">
            <v/>
          </cell>
          <cell r="AU349" t="str">
            <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row>
        <row r="350">
          <cell r="A350" t="str">
            <v>RC1</v>
          </cell>
          <cell r="B350" t="str">
            <v>Q02</v>
          </cell>
          <cell r="C350" t="str">
            <v/>
          </cell>
          <cell r="D350" t="str">
            <v/>
          </cell>
          <cell r="E350">
            <v>0.98814033931806955</v>
          </cell>
          <cell r="F350" t="str">
            <v/>
          </cell>
          <cell r="G350" t="str">
            <v/>
          </cell>
          <cell r="H350" t="str">
            <v/>
          </cell>
          <cell r="J350" t="str">
            <v/>
          </cell>
          <cell r="K350" t="str">
            <v/>
          </cell>
          <cell r="L350" t="str">
            <v/>
          </cell>
          <cell r="M350">
            <v>3877</v>
          </cell>
          <cell r="N350" t="str">
            <v/>
          </cell>
          <cell r="Q350">
            <v>1</v>
          </cell>
          <cell r="R350">
            <v>1</v>
          </cell>
          <cell r="S350" t="str">
            <v/>
          </cell>
          <cell r="X350" t="str">
            <v/>
          </cell>
          <cell r="Y350" t="str">
            <v/>
          </cell>
          <cell r="Z350" t="str">
            <v/>
          </cell>
          <cell r="AB350">
            <v>1</v>
          </cell>
          <cell r="AD350" t="str">
            <v/>
          </cell>
          <cell r="AE350" t="str">
            <v/>
          </cell>
          <cell r="AF350" t="str">
            <v/>
          </cell>
          <cell r="AG350">
            <v>1.872871736662883E-2</v>
          </cell>
          <cell r="AH350">
            <v>2.3333333333333335</v>
          </cell>
          <cell r="AI350" t="str">
            <v/>
          </cell>
          <cell r="AJ350" t="str">
            <v/>
          </cell>
          <cell r="AK350" t="str">
            <v/>
          </cell>
          <cell r="AL350" t="str">
            <v/>
          </cell>
          <cell r="AM350" t="str">
            <v/>
          </cell>
          <cell r="AN350" t="str">
            <v/>
          </cell>
          <cell r="AO350">
            <v>-11887</v>
          </cell>
          <cell r="AQ350" t="str">
            <v/>
          </cell>
          <cell r="AR350" t="str">
            <v/>
          </cell>
          <cell r="AS350" t="str">
            <v/>
          </cell>
          <cell r="AU350" t="str">
            <v/>
          </cell>
          <cell r="AV350" t="str">
            <v/>
          </cell>
          <cell r="AW350" t="str">
            <v/>
          </cell>
          <cell r="AX350" t="str">
            <v/>
          </cell>
          <cell r="AY350" t="str">
            <v/>
          </cell>
          <cell r="AZ350" t="str">
            <v/>
          </cell>
          <cell r="BA350" t="str">
            <v/>
          </cell>
          <cell r="BB350" t="str">
            <v/>
          </cell>
          <cell r="BC350" t="str">
            <v/>
          </cell>
          <cell r="BD350" t="str">
            <v/>
          </cell>
          <cell r="BE350" t="str">
            <v/>
          </cell>
          <cell r="BF350" t="str">
            <v/>
          </cell>
          <cell r="BG350" t="str">
            <v/>
          </cell>
          <cell r="BH350" t="str">
            <v/>
          </cell>
          <cell r="BI350" t="str">
            <v/>
          </cell>
          <cell r="BJ350" t="str">
            <v/>
          </cell>
        </row>
        <row r="351">
          <cell r="A351" t="str">
            <v>RC3</v>
          </cell>
          <cell r="B351" t="str">
            <v>Q04</v>
          </cell>
          <cell r="C351" t="str">
            <v/>
          </cell>
          <cell r="D351" t="str">
            <v/>
          </cell>
          <cell r="E351">
            <v>0.97950559898584411</v>
          </cell>
          <cell r="F351" t="str">
            <v/>
          </cell>
          <cell r="G351" t="str">
            <v/>
          </cell>
          <cell r="H351" t="str">
            <v/>
          </cell>
          <cell r="J351" t="str">
            <v/>
          </cell>
          <cell r="K351" t="str">
            <v/>
          </cell>
          <cell r="L351" t="str">
            <v/>
          </cell>
          <cell r="M351">
            <v>2838</v>
          </cell>
          <cell r="N351" t="str">
            <v/>
          </cell>
          <cell r="Q351">
            <v>1</v>
          </cell>
          <cell r="R351">
            <v>1</v>
          </cell>
          <cell r="S351" t="str">
            <v/>
          </cell>
          <cell r="X351" t="str">
            <v/>
          </cell>
          <cell r="Y351" t="str">
            <v/>
          </cell>
          <cell r="Z351" t="str">
            <v/>
          </cell>
          <cell r="AB351">
            <v>0.9623655913978495</v>
          </cell>
          <cell r="AD351" t="str">
            <v/>
          </cell>
          <cell r="AE351" t="str">
            <v/>
          </cell>
          <cell r="AF351" t="str">
            <v/>
          </cell>
          <cell r="AG351">
            <v>1.3871374527112233E-2</v>
          </cell>
          <cell r="AH351">
            <v>4.666666666666667</v>
          </cell>
          <cell r="AI351" t="str">
            <v/>
          </cell>
          <cell r="AJ351" t="str">
            <v/>
          </cell>
          <cell r="AK351" t="str">
            <v/>
          </cell>
          <cell r="AL351" t="str">
            <v/>
          </cell>
          <cell r="AM351" t="str">
            <v/>
          </cell>
          <cell r="AN351" t="str">
            <v/>
          </cell>
          <cell r="AO351">
            <v>1059</v>
          </cell>
          <cell r="AQ351" t="str">
            <v/>
          </cell>
          <cell r="AR351" t="str">
            <v/>
          </cell>
          <cell r="AS351" t="str">
            <v/>
          </cell>
          <cell r="AU351" t="str">
            <v/>
          </cell>
          <cell r="AV351" t="str">
            <v/>
          </cell>
          <cell r="AW351" t="str">
            <v/>
          </cell>
          <cell r="AX351" t="str">
            <v/>
          </cell>
          <cell r="AY351" t="str">
            <v/>
          </cell>
          <cell r="AZ351" t="str">
            <v/>
          </cell>
          <cell r="BA351" t="str">
            <v/>
          </cell>
          <cell r="BB351" t="str">
            <v/>
          </cell>
          <cell r="BC351" t="str">
            <v/>
          </cell>
          <cell r="BD351" t="str">
            <v/>
          </cell>
          <cell r="BE351" t="str">
            <v/>
          </cell>
          <cell r="BF351" t="str">
            <v/>
          </cell>
          <cell r="BG351" t="str">
            <v/>
          </cell>
          <cell r="BH351" t="str">
            <v/>
          </cell>
          <cell r="BI351" t="str">
            <v/>
          </cell>
          <cell r="BJ351" t="str">
            <v/>
          </cell>
        </row>
        <row r="352">
          <cell r="A352" t="str">
            <v>RC9</v>
          </cell>
          <cell r="B352" t="str">
            <v>Q02</v>
          </cell>
          <cell r="C352" t="str">
            <v/>
          </cell>
          <cell r="D352" t="str">
            <v/>
          </cell>
          <cell r="E352">
            <v>0.8953404152583293</v>
          </cell>
          <cell r="F352" t="str">
            <v/>
          </cell>
          <cell r="G352" t="str">
            <v/>
          </cell>
          <cell r="H352" t="str">
            <v/>
          </cell>
          <cell r="J352" t="str">
            <v/>
          </cell>
          <cell r="K352" t="str">
            <v/>
          </cell>
          <cell r="L352" t="str">
            <v/>
          </cell>
          <cell r="M352">
            <v>4206</v>
          </cell>
          <cell r="N352" t="str">
            <v/>
          </cell>
          <cell r="Q352">
            <v>1</v>
          </cell>
          <cell r="R352">
            <v>1</v>
          </cell>
          <cell r="S352" t="str">
            <v/>
          </cell>
          <cell r="X352" t="str">
            <v/>
          </cell>
          <cell r="Y352" t="str">
            <v/>
          </cell>
          <cell r="Z352" t="str">
            <v/>
          </cell>
          <cell r="AB352">
            <v>1</v>
          </cell>
          <cell r="AD352" t="str">
            <v/>
          </cell>
          <cell r="AE352" t="str">
            <v/>
          </cell>
          <cell r="AF352" t="str">
            <v/>
          </cell>
          <cell r="AG352">
            <v>4.3084877208099955E-2</v>
          </cell>
          <cell r="AH352">
            <v>1.6666666666666667</v>
          </cell>
          <cell r="AI352" t="str">
            <v/>
          </cell>
          <cell r="AJ352" t="str">
            <v/>
          </cell>
          <cell r="AK352" t="str">
            <v/>
          </cell>
          <cell r="AL352" t="str">
            <v/>
          </cell>
          <cell r="AM352" t="str">
            <v/>
          </cell>
          <cell r="AN352" t="str">
            <v/>
          </cell>
          <cell r="AO352">
            <v>396</v>
          </cell>
          <cell r="AQ352" t="str">
            <v/>
          </cell>
          <cell r="AR352" t="str">
            <v/>
          </cell>
          <cell r="AS352" t="str">
            <v/>
          </cell>
          <cell r="AU352" t="str">
            <v/>
          </cell>
          <cell r="AV352" t="str">
            <v/>
          </cell>
          <cell r="AW352" t="str">
            <v/>
          </cell>
          <cell r="AX352" t="str">
            <v/>
          </cell>
          <cell r="AY352" t="str">
            <v/>
          </cell>
          <cell r="AZ352" t="str">
            <v/>
          </cell>
          <cell r="BA352" t="str">
            <v/>
          </cell>
          <cell r="BB352" t="str">
            <v/>
          </cell>
          <cell r="BC352" t="str">
            <v/>
          </cell>
          <cell r="BD352" t="str">
            <v/>
          </cell>
          <cell r="BE352" t="str">
            <v/>
          </cell>
          <cell r="BF352" t="str">
            <v/>
          </cell>
          <cell r="BG352" t="str">
            <v/>
          </cell>
          <cell r="BH352" t="str">
            <v/>
          </cell>
          <cell r="BI352" t="str">
            <v/>
          </cell>
          <cell r="BJ352" t="str">
            <v/>
          </cell>
        </row>
        <row r="353">
          <cell r="A353" t="str">
            <v>RCB</v>
          </cell>
          <cell r="B353" t="str">
            <v>Q11</v>
          </cell>
          <cell r="C353" t="str">
            <v/>
          </cell>
          <cell r="D353" t="str">
            <v/>
          </cell>
          <cell r="E353">
            <v>0.98443052970045697</v>
          </cell>
          <cell r="F353" t="str">
            <v/>
          </cell>
          <cell r="G353" t="str">
            <v/>
          </cell>
          <cell r="H353" t="str">
            <v/>
          </cell>
          <cell r="J353" t="str">
            <v/>
          </cell>
          <cell r="K353" t="str">
            <v/>
          </cell>
          <cell r="L353" t="str">
            <v/>
          </cell>
          <cell r="M353">
            <v>4738</v>
          </cell>
          <cell r="N353" t="str">
            <v/>
          </cell>
          <cell r="Q353">
            <v>1</v>
          </cell>
          <cell r="R353">
            <v>1</v>
          </cell>
          <cell r="S353" t="str">
            <v/>
          </cell>
          <cell r="X353" t="str">
            <v/>
          </cell>
          <cell r="Y353" t="str">
            <v/>
          </cell>
          <cell r="Z353" t="str">
            <v/>
          </cell>
          <cell r="AB353">
            <v>1</v>
          </cell>
          <cell r="AD353" t="str">
            <v/>
          </cell>
          <cell r="AE353" t="str">
            <v/>
          </cell>
          <cell r="AF353" t="str">
            <v/>
          </cell>
          <cell r="AG353">
            <v>2.4082116067903673E-2</v>
          </cell>
          <cell r="AH353">
            <v>2.6666666666666665</v>
          </cell>
          <cell r="AI353" t="str">
            <v/>
          </cell>
          <cell r="AJ353" t="str">
            <v/>
          </cell>
          <cell r="AK353" t="str">
            <v/>
          </cell>
          <cell r="AL353" t="str">
            <v/>
          </cell>
          <cell r="AM353" t="str">
            <v/>
          </cell>
          <cell r="AN353" t="str">
            <v/>
          </cell>
          <cell r="AO353">
            <v>3</v>
          </cell>
          <cell r="AQ353" t="str">
            <v/>
          </cell>
          <cell r="AR353" t="str">
            <v/>
          </cell>
          <cell r="AS353" t="str">
            <v/>
          </cell>
          <cell r="AU353" t="str">
            <v/>
          </cell>
          <cell r="AV353" t="str">
            <v/>
          </cell>
          <cell r="AW353" t="str">
            <v/>
          </cell>
          <cell r="AX353" t="str">
            <v/>
          </cell>
          <cell r="AY353" t="str">
            <v/>
          </cell>
          <cell r="AZ353" t="str">
            <v/>
          </cell>
          <cell r="BA353" t="str">
            <v/>
          </cell>
          <cell r="BB353" t="str">
            <v/>
          </cell>
          <cell r="BC353" t="str">
            <v/>
          </cell>
          <cell r="BD353" t="str">
            <v/>
          </cell>
          <cell r="BE353" t="str">
            <v/>
          </cell>
          <cell r="BF353" t="str">
            <v/>
          </cell>
          <cell r="BG353" t="str">
            <v/>
          </cell>
          <cell r="BH353" t="str">
            <v/>
          </cell>
          <cell r="BI353" t="str">
            <v/>
          </cell>
          <cell r="BJ353" t="str">
            <v/>
          </cell>
        </row>
        <row r="354">
          <cell r="A354" t="str">
            <v>RCC</v>
          </cell>
          <cell r="B354" t="str">
            <v>Q11</v>
          </cell>
          <cell r="C354" t="str">
            <v/>
          </cell>
          <cell r="D354" t="str">
            <v/>
          </cell>
          <cell r="E354">
            <v>0.97930098405157784</v>
          </cell>
          <cell r="F354" t="str">
            <v/>
          </cell>
          <cell r="G354" t="str">
            <v/>
          </cell>
          <cell r="H354" t="str">
            <v/>
          </cell>
          <cell r="J354" t="str">
            <v/>
          </cell>
          <cell r="K354" t="str">
            <v/>
          </cell>
          <cell r="L354" t="str">
            <v/>
          </cell>
          <cell r="M354">
            <v>3390</v>
          </cell>
          <cell r="N354" t="str">
            <v/>
          </cell>
          <cell r="Q354">
            <v>0.98187311178247738</v>
          </cell>
          <cell r="R354">
            <v>0.97861635220125787</v>
          </cell>
          <cell r="S354" t="str">
            <v/>
          </cell>
          <cell r="X354" t="str">
            <v/>
          </cell>
          <cell r="Y354" t="str">
            <v/>
          </cell>
          <cell r="Z354" t="str">
            <v/>
          </cell>
          <cell r="AB354">
            <v>0.8904109589041096</v>
          </cell>
          <cell r="AD354" t="str">
            <v/>
          </cell>
          <cell r="AE354" t="str">
            <v/>
          </cell>
          <cell r="AF354" t="str">
            <v/>
          </cell>
          <cell r="AG354">
            <v>1.4143530644316398E-2</v>
          </cell>
          <cell r="AH354">
            <v>1</v>
          </cell>
          <cell r="AI354" t="str">
            <v/>
          </cell>
          <cell r="AJ354" t="str">
            <v/>
          </cell>
          <cell r="AK354" t="str">
            <v/>
          </cell>
          <cell r="AL354" t="str">
            <v/>
          </cell>
          <cell r="AM354" t="str">
            <v/>
          </cell>
          <cell r="AN354" t="str">
            <v/>
          </cell>
          <cell r="AO354">
            <v>-7292</v>
          </cell>
          <cell r="AQ354" t="str">
            <v/>
          </cell>
          <cell r="AR354" t="str">
            <v/>
          </cell>
          <cell r="AS354" t="str">
            <v/>
          </cell>
          <cell r="AU354" t="str">
            <v/>
          </cell>
          <cell r="AV354" t="str">
            <v/>
          </cell>
          <cell r="AW354" t="str">
            <v/>
          </cell>
          <cell r="AX354" t="str">
            <v/>
          </cell>
          <cell r="AY354" t="str">
            <v/>
          </cell>
          <cell r="AZ354" t="str">
            <v/>
          </cell>
          <cell r="BA354" t="str">
            <v/>
          </cell>
          <cell r="BB354" t="str">
            <v/>
          </cell>
          <cell r="BC354" t="str">
            <v/>
          </cell>
          <cell r="BD354" t="str">
            <v/>
          </cell>
          <cell r="BE354" t="str">
            <v/>
          </cell>
          <cell r="BF354" t="str">
            <v/>
          </cell>
          <cell r="BG354" t="str">
            <v/>
          </cell>
          <cell r="BH354" t="str">
            <v/>
          </cell>
          <cell r="BI354" t="str">
            <v/>
          </cell>
          <cell r="BJ354" t="str">
            <v/>
          </cell>
        </row>
        <row r="355">
          <cell r="A355" t="str">
            <v>RCD</v>
          </cell>
          <cell r="B355" t="str">
            <v>Q11</v>
          </cell>
          <cell r="C355" t="str">
            <v/>
          </cell>
          <cell r="D355" t="str">
            <v/>
          </cell>
          <cell r="E355">
            <v>0.99094202898550721</v>
          </cell>
          <cell r="F355" t="str">
            <v/>
          </cell>
          <cell r="G355" t="str">
            <v/>
          </cell>
          <cell r="H355" t="str">
            <v/>
          </cell>
          <cell r="J355" t="str">
            <v/>
          </cell>
          <cell r="K355" t="str">
            <v/>
          </cell>
          <cell r="L355" t="str">
            <v/>
          </cell>
          <cell r="M355">
            <v>2636</v>
          </cell>
          <cell r="N355" t="str">
            <v/>
          </cell>
          <cell r="Q355">
            <v>1</v>
          </cell>
          <cell r="R355">
            <v>1</v>
          </cell>
          <cell r="S355" t="str">
            <v/>
          </cell>
          <cell r="X355" t="str">
            <v/>
          </cell>
          <cell r="Y355" t="str">
            <v/>
          </cell>
          <cell r="Z355" t="str">
            <v/>
          </cell>
          <cell r="AB355">
            <v>1</v>
          </cell>
          <cell r="AD355" t="str">
            <v/>
          </cell>
          <cell r="AE355" t="str">
            <v/>
          </cell>
          <cell r="AF355" t="str">
            <v/>
          </cell>
          <cell r="AG355">
            <v>1.6372795969773299E-2</v>
          </cell>
          <cell r="AH355">
            <v>1</v>
          </cell>
          <cell r="AI355" t="str">
            <v/>
          </cell>
          <cell r="AJ355" t="str">
            <v/>
          </cell>
          <cell r="AK355" t="str">
            <v/>
          </cell>
          <cell r="AL355" t="str">
            <v/>
          </cell>
          <cell r="AM355" t="str">
            <v/>
          </cell>
          <cell r="AN355" t="str">
            <v/>
          </cell>
          <cell r="AO355" t="str">
            <v/>
          </cell>
          <cell r="AQ355" t="str">
            <v/>
          </cell>
          <cell r="AR355" t="str">
            <v/>
          </cell>
          <cell r="AS355" t="str">
            <v/>
          </cell>
          <cell r="AU355" t="str">
            <v/>
          </cell>
          <cell r="AV355" t="str">
            <v/>
          </cell>
          <cell r="AW355" t="str">
            <v/>
          </cell>
          <cell r="AX355" t="str">
            <v/>
          </cell>
          <cell r="AY355" t="str">
            <v/>
          </cell>
          <cell r="AZ355" t="str">
            <v/>
          </cell>
          <cell r="BA355" t="str">
            <v/>
          </cell>
          <cell r="BB355" t="str">
            <v/>
          </cell>
          <cell r="BC355" t="str">
            <v/>
          </cell>
          <cell r="BD355" t="str">
            <v/>
          </cell>
          <cell r="BE355" t="str">
            <v/>
          </cell>
          <cell r="BF355" t="str">
            <v/>
          </cell>
          <cell r="BG355" t="str">
            <v/>
          </cell>
          <cell r="BH355" t="str">
            <v/>
          </cell>
          <cell r="BI355" t="str">
            <v/>
          </cell>
          <cell r="BJ355" t="str">
            <v/>
          </cell>
        </row>
        <row r="356">
          <cell r="A356" t="str">
            <v>RCF</v>
          </cell>
          <cell r="B356" t="str">
            <v>Q12</v>
          </cell>
          <cell r="C356" t="str">
            <v/>
          </cell>
          <cell r="D356" t="str">
            <v/>
          </cell>
          <cell r="E356">
            <v>0.98218940052128589</v>
          </cell>
          <cell r="F356" t="str">
            <v/>
          </cell>
          <cell r="G356" t="str">
            <v/>
          </cell>
          <cell r="H356" t="str">
            <v/>
          </cell>
          <cell r="J356" t="str">
            <v/>
          </cell>
          <cell r="K356" t="str">
            <v/>
          </cell>
          <cell r="L356" t="str">
            <v/>
          </cell>
          <cell r="M356">
            <v>1583</v>
          </cell>
          <cell r="N356" t="str">
            <v/>
          </cell>
          <cell r="Q356">
            <v>1</v>
          </cell>
          <cell r="R356">
            <v>1</v>
          </cell>
          <cell r="S356" t="str">
            <v/>
          </cell>
          <cell r="X356" t="str">
            <v/>
          </cell>
          <cell r="Y356" t="str">
            <v/>
          </cell>
          <cell r="Z356" t="str">
            <v/>
          </cell>
          <cell r="AB356">
            <v>1</v>
          </cell>
          <cell r="AD356" t="str">
            <v/>
          </cell>
          <cell r="AE356" t="str">
            <v/>
          </cell>
          <cell r="AF356" t="str">
            <v/>
          </cell>
          <cell r="AG356">
            <v>2.7917364600781687E-3</v>
          </cell>
          <cell r="AH356">
            <v>1.6666666666666667</v>
          </cell>
          <cell r="AI356" t="str">
            <v/>
          </cell>
          <cell r="AJ356" t="str">
            <v/>
          </cell>
          <cell r="AK356" t="str">
            <v/>
          </cell>
          <cell r="AL356" t="str">
            <v/>
          </cell>
          <cell r="AM356" t="str">
            <v/>
          </cell>
          <cell r="AN356" t="str">
            <v/>
          </cell>
          <cell r="AO356">
            <v>4267</v>
          </cell>
          <cell r="AQ356" t="str">
            <v/>
          </cell>
          <cell r="AR356" t="str">
            <v/>
          </cell>
          <cell r="AS356" t="str">
            <v/>
          </cell>
          <cell r="AU356" t="str">
            <v/>
          </cell>
          <cell r="AV356" t="str">
            <v/>
          </cell>
          <cell r="AW356" t="str">
            <v/>
          </cell>
          <cell r="AX356" t="str">
            <v/>
          </cell>
          <cell r="AY356" t="str">
            <v/>
          </cell>
          <cell r="AZ356" t="str">
            <v/>
          </cell>
          <cell r="BA356" t="str">
            <v/>
          </cell>
          <cell r="BB356" t="str">
            <v/>
          </cell>
          <cell r="BC356" t="str">
            <v/>
          </cell>
          <cell r="BD356" t="str">
            <v/>
          </cell>
          <cell r="BE356" t="str">
            <v/>
          </cell>
          <cell r="BF356" t="str">
            <v/>
          </cell>
          <cell r="BG356" t="str">
            <v/>
          </cell>
          <cell r="BH356" t="str">
            <v/>
          </cell>
          <cell r="BI356" t="str">
            <v/>
          </cell>
          <cell r="BJ356" t="str">
            <v/>
          </cell>
        </row>
        <row r="357">
          <cell r="A357" t="str">
            <v>RCS</v>
          </cell>
          <cell r="B357" t="str">
            <v>Q24</v>
          </cell>
          <cell r="C357" t="str">
            <v/>
          </cell>
          <cell r="D357" t="str">
            <v/>
          </cell>
          <cell r="E357" t="str">
            <v/>
          </cell>
          <cell r="J357" t="str">
            <v/>
          </cell>
          <cell r="K357" t="str">
            <v/>
          </cell>
          <cell r="L357" t="str">
            <v/>
          </cell>
          <cell r="M357">
            <v>3314</v>
          </cell>
          <cell r="Q357">
            <v>1</v>
          </cell>
          <cell r="R357">
            <v>1</v>
          </cell>
          <cell r="X357" t="str">
            <v/>
          </cell>
          <cell r="Y357" t="str">
            <v/>
          </cell>
          <cell r="Z357" t="str">
            <v/>
          </cell>
          <cell r="AB357">
            <v>1</v>
          </cell>
          <cell r="AD357" t="str">
            <v/>
          </cell>
          <cell r="AE357" t="str">
            <v/>
          </cell>
          <cell r="AF357" t="str">
            <v/>
          </cell>
          <cell r="AG357">
            <v>1.2240553485896753E-2</v>
          </cell>
          <cell r="AH357">
            <v>1.6666666666666667</v>
          </cell>
          <cell r="AI357" t="str">
            <v/>
          </cell>
          <cell r="AJ357" t="str">
            <v/>
          </cell>
          <cell r="AK357" t="str">
            <v/>
          </cell>
          <cell r="AL357" t="str">
            <v/>
          </cell>
          <cell r="AM357" t="str">
            <v/>
          </cell>
          <cell r="AN357" t="str">
            <v/>
          </cell>
          <cell r="AO357">
            <v>126</v>
          </cell>
          <cell r="AS357" t="str">
            <v/>
          </cell>
          <cell r="BB357" t="str">
            <v/>
          </cell>
          <cell r="BC357" t="str">
            <v/>
          </cell>
          <cell r="BD357" t="str">
            <v/>
          </cell>
          <cell r="BE357" t="str">
            <v/>
          </cell>
          <cell r="BF357" t="str">
            <v/>
          </cell>
          <cell r="BG357" t="str">
            <v/>
          </cell>
          <cell r="BH357" t="str">
            <v/>
          </cell>
          <cell r="BI357" t="str">
            <v/>
          </cell>
          <cell r="BJ357" t="str">
            <v/>
          </cell>
        </row>
        <row r="358">
          <cell r="A358" t="str">
            <v>RCU</v>
          </cell>
          <cell r="B358" t="str">
            <v>Q23</v>
          </cell>
          <cell r="C358" t="str">
            <v/>
          </cell>
          <cell r="D358" t="str">
            <v/>
          </cell>
          <cell r="E358">
            <v>0.96726646248085757</v>
          </cell>
          <cell r="F358" t="str">
            <v/>
          </cell>
          <cell r="G358" t="str">
            <v/>
          </cell>
          <cell r="H358" t="str">
            <v/>
          </cell>
          <cell r="J358" t="str">
            <v/>
          </cell>
          <cell r="K358" t="str">
            <v/>
          </cell>
          <cell r="L358" t="str">
            <v/>
          </cell>
          <cell r="M358">
            <v>1222</v>
          </cell>
          <cell r="N358" t="str">
            <v/>
          </cell>
          <cell r="Q358">
            <v>1</v>
          </cell>
          <cell r="R358">
            <v>1</v>
          </cell>
          <cell r="S358" t="str">
            <v/>
          </cell>
          <cell r="X358" t="str">
            <v/>
          </cell>
          <cell r="Y358" t="str">
            <v/>
          </cell>
          <cell r="Z358" t="str">
            <v/>
          </cell>
          <cell r="AB358" t="str">
            <v/>
          </cell>
          <cell r="AD358" t="str">
            <v/>
          </cell>
          <cell r="AE358" t="str">
            <v/>
          </cell>
          <cell r="AF358" t="str">
            <v/>
          </cell>
          <cell r="AG358">
            <v>0</v>
          </cell>
          <cell r="AH358">
            <v>0.33333333333333331</v>
          </cell>
          <cell r="AI358" t="str">
            <v/>
          </cell>
          <cell r="AJ358" t="str">
            <v/>
          </cell>
          <cell r="AK358" t="str">
            <v/>
          </cell>
          <cell r="AL358" t="str">
            <v/>
          </cell>
          <cell r="AM358" t="str">
            <v/>
          </cell>
          <cell r="AN358" t="str">
            <v/>
          </cell>
          <cell r="AO358">
            <v>1379</v>
          </cell>
          <cell r="AQ358" t="str">
            <v/>
          </cell>
          <cell r="AR358" t="str">
            <v/>
          </cell>
          <cell r="AS358" t="str">
            <v/>
          </cell>
          <cell r="AU358" t="str">
            <v/>
          </cell>
          <cell r="AV358" t="str">
            <v/>
          </cell>
          <cell r="AW358" t="str">
            <v/>
          </cell>
          <cell r="AX358" t="str">
            <v/>
          </cell>
          <cell r="AY358" t="str">
            <v/>
          </cell>
          <cell r="AZ358" t="str">
            <v/>
          </cell>
          <cell r="BA358" t="str">
            <v/>
          </cell>
          <cell r="BB358" t="str">
            <v/>
          </cell>
          <cell r="BC358" t="str">
            <v/>
          </cell>
          <cell r="BD358" t="str">
            <v/>
          </cell>
          <cell r="BE358" t="str">
            <v/>
          </cell>
          <cell r="BF358" t="str">
            <v/>
          </cell>
          <cell r="BG358" t="str">
            <v/>
          </cell>
          <cell r="BH358" t="str">
            <v/>
          </cell>
          <cell r="BI358" t="str">
            <v/>
          </cell>
          <cell r="BJ358" t="str">
            <v/>
          </cell>
        </row>
        <row r="359">
          <cell r="A359" t="str">
            <v>RCX</v>
          </cell>
          <cell r="B359" t="str">
            <v>Q01</v>
          </cell>
          <cell r="C359" t="str">
            <v/>
          </cell>
          <cell r="D359" t="str">
            <v/>
          </cell>
          <cell r="E359">
            <v>0.97937398226886196</v>
          </cell>
          <cell r="F359" t="str">
            <v/>
          </cell>
          <cell r="G359" t="str">
            <v/>
          </cell>
          <cell r="H359" t="str">
            <v/>
          </cell>
          <cell r="J359" t="str">
            <v/>
          </cell>
          <cell r="K359" t="str">
            <v/>
          </cell>
          <cell r="L359" t="str">
            <v/>
          </cell>
          <cell r="M359">
            <v>4202</v>
          </cell>
          <cell r="N359" t="str">
            <v/>
          </cell>
          <cell r="Q359">
            <v>1</v>
          </cell>
          <cell r="R359">
            <v>1</v>
          </cell>
          <cell r="S359" t="str">
            <v/>
          </cell>
          <cell r="X359" t="str">
            <v/>
          </cell>
          <cell r="Y359" t="str">
            <v/>
          </cell>
          <cell r="Z359" t="str">
            <v/>
          </cell>
          <cell r="AB359">
            <v>0.69230769230769229</v>
          </cell>
          <cell r="AD359" t="str">
            <v/>
          </cell>
          <cell r="AE359" t="str">
            <v/>
          </cell>
          <cell r="AF359" t="str">
            <v/>
          </cell>
          <cell r="AG359">
            <v>7.2115384615384611E-3</v>
          </cell>
          <cell r="AH359">
            <v>2</v>
          </cell>
          <cell r="AI359" t="str">
            <v/>
          </cell>
          <cell r="AJ359" t="str">
            <v/>
          </cell>
          <cell r="AK359" t="str">
            <v/>
          </cell>
          <cell r="AL359" t="str">
            <v/>
          </cell>
          <cell r="AM359" t="str">
            <v/>
          </cell>
          <cell r="AN359" t="str">
            <v/>
          </cell>
          <cell r="AO359">
            <v>-10986</v>
          </cell>
          <cell r="AQ359" t="str">
            <v/>
          </cell>
          <cell r="AR359" t="str">
            <v/>
          </cell>
          <cell r="AS359" t="str">
            <v/>
          </cell>
          <cell r="AU359" t="str">
            <v/>
          </cell>
          <cell r="AV359" t="str">
            <v/>
          </cell>
          <cell r="AW359" t="str">
            <v/>
          </cell>
          <cell r="AX359" t="str">
            <v/>
          </cell>
          <cell r="AY359" t="str">
            <v/>
          </cell>
          <cell r="AZ359" t="str">
            <v/>
          </cell>
          <cell r="BA359" t="str">
            <v/>
          </cell>
          <cell r="BB359" t="str">
            <v/>
          </cell>
          <cell r="BC359" t="str">
            <v/>
          </cell>
          <cell r="BD359" t="str">
            <v/>
          </cell>
          <cell r="BE359" t="str">
            <v/>
          </cell>
          <cell r="BF359" t="str">
            <v/>
          </cell>
          <cell r="BG359" t="str">
            <v/>
          </cell>
          <cell r="BH359" t="str">
            <v/>
          </cell>
          <cell r="BI359" t="str">
            <v/>
          </cell>
          <cell r="BJ359" t="str">
            <v/>
          </cell>
        </row>
        <row r="360">
          <cell r="A360" t="str">
            <v>RD1</v>
          </cell>
          <cell r="B360" t="str">
            <v>Q20</v>
          </cell>
          <cell r="C360" t="str">
            <v/>
          </cell>
          <cell r="D360" t="str">
            <v/>
          </cell>
          <cell r="E360">
            <v>0.90524534686971236</v>
          </cell>
          <cell r="F360" t="str">
            <v/>
          </cell>
          <cell r="G360" t="str">
            <v/>
          </cell>
          <cell r="H360" t="str">
            <v/>
          </cell>
          <cell r="J360" t="str">
            <v/>
          </cell>
          <cell r="K360" t="str">
            <v/>
          </cell>
          <cell r="L360" t="str">
            <v/>
          </cell>
          <cell r="M360">
            <v>4374</v>
          </cell>
          <cell r="N360" t="str">
            <v/>
          </cell>
          <cell r="Q360">
            <v>1</v>
          </cell>
          <cell r="R360">
            <v>1</v>
          </cell>
          <cell r="S360" t="str">
            <v/>
          </cell>
          <cell r="X360" t="str">
            <v/>
          </cell>
          <cell r="Y360" t="str">
            <v/>
          </cell>
          <cell r="Z360" t="str">
            <v/>
          </cell>
          <cell r="AB360">
            <v>0.76126126126126126</v>
          </cell>
          <cell r="AD360" t="str">
            <v/>
          </cell>
          <cell r="AE360" t="str">
            <v/>
          </cell>
          <cell r="AF360" t="str">
            <v/>
          </cell>
          <cell r="AG360">
            <v>4.5994517209869024E-2</v>
          </cell>
          <cell r="AH360">
            <v>7</v>
          </cell>
          <cell r="AI360" t="str">
            <v/>
          </cell>
          <cell r="AJ360" t="str">
            <v/>
          </cell>
          <cell r="AK360" t="str">
            <v/>
          </cell>
          <cell r="AL360" t="str">
            <v/>
          </cell>
          <cell r="AM360" t="str">
            <v/>
          </cell>
          <cell r="AN360" t="str">
            <v/>
          </cell>
          <cell r="AO360">
            <v>-7338</v>
          </cell>
          <cell r="AQ360" t="str">
            <v/>
          </cell>
          <cell r="AR360" t="str">
            <v/>
          </cell>
          <cell r="AS360" t="str">
            <v/>
          </cell>
          <cell r="AU360" t="str">
            <v/>
          </cell>
          <cell r="AV360" t="str">
            <v/>
          </cell>
          <cell r="AW360" t="str">
            <v/>
          </cell>
          <cell r="AX360" t="str">
            <v/>
          </cell>
          <cell r="AY360" t="str">
            <v/>
          </cell>
          <cell r="AZ360" t="str">
            <v/>
          </cell>
          <cell r="BA360" t="str">
            <v/>
          </cell>
          <cell r="BB360" t="str">
            <v/>
          </cell>
          <cell r="BC360" t="str">
            <v/>
          </cell>
          <cell r="BD360" t="str">
            <v/>
          </cell>
          <cell r="BE360" t="str">
            <v/>
          </cell>
          <cell r="BF360" t="str">
            <v/>
          </cell>
          <cell r="BG360" t="str">
            <v/>
          </cell>
          <cell r="BH360" t="str">
            <v/>
          </cell>
          <cell r="BI360" t="str">
            <v/>
          </cell>
          <cell r="BJ360" t="str">
            <v/>
          </cell>
        </row>
        <row r="361">
          <cell r="A361" t="str">
            <v>RD3</v>
          </cell>
          <cell r="B361" t="str">
            <v>Q22</v>
          </cell>
          <cell r="C361" t="str">
            <v/>
          </cell>
          <cell r="D361" t="str">
            <v/>
          </cell>
          <cell r="E361">
            <v>0.98811349693251538</v>
          </cell>
          <cell r="F361" t="str">
            <v/>
          </cell>
          <cell r="G361" t="str">
            <v/>
          </cell>
          <cell r="H361" t="str">
            <v/>
          </cell>
          <cell r="J361" t="str">
            <v/>
          </cell>
          <cell r="K361" t="str">
            <v/>
          </cell>
          <cell r="L361" t="str">
            <v/>
          </cell>
          <cell r="M361">
            <v>1336</v>
          </cell>
          <cell r="N361" t="str">
            <v/>
          </cell>
          <cell r="Q361">
            <v>1</v>
          </cell>
          <cell r="R361">
            <v>1</v>
          </cell>
          <cell r="S361" t="str">
            <v/>
          </cell>
          <cell r="X361" t="str">
            <v/>
          </cell>
          <cell r="Y361" t="str">
            <v/>
          </cell>
          <cell r="Z361" t="str">
            <v/>
          </cell>
          <cell r="AB361">
            <v>0.97385620915032678</v>
          </cell>
          <cell r="AD361" t="str">
            <v/>
          </cell>
          <cell r="AE361" t="str">
            <v/>
          </cell>
          <cell r="AF361" t="str">
            <v/>
          </cell>
          <cell r="AG361">
            <v>4.6137339055794001E-2</v>
          </cell>
          <cell r="AH361">
            <v>2.3333333333333335</v>
          </cell>
          <cell r="AI361" t="str">
            <v/>
          </cell>
          <cell r="AJ361" t="str">
            <v/>
          </cell>
          <cell r="AK361" t="str">
            <v/>
          </cell>
          <cell r="AL361" t="str">
            <v/>
          </cell>
          <cell r="AM361" t="str">
            <v/>
          </cell>
          <cell r="AN361" t="str">
            <v/>
          </cell>
          <cell r="AO361">
            <v>0</v>
          </cell>
          <cell r="AQ361" t="str">
            <v/>
          </cell>
          <cell r="AR361" t="str">
            <v/>
          </cell>
          <cell r="AS361" t="str">
            <v/>
          </cell>
          <cell r="AU361" t="str">
            <v/>
          </cell>
          <cell r="AV361" t="str">
            <v/>
          </cell>
          <cell r="AW361" t="str">
            <v/>
          </cell>
          <cell r="AX361" t="str">
            <v/>
          </cell>
          <cell r="AY361" t="str">
            <v/>
          </cell>
          <cell r="AZ361" t="str">
            <v/>
          </cell>
          <cell r="BA361" t="str">
            <v/>
          </cell>
          <cell r="BB361" t="str">
            <v/>
          </cell>
          <cell r="BC361" t="str">
            <v/>
          </cell>
          <cell r="BD361" t="str">
            <v/>
          </cell>
          <cell r="BE361" t="str">
            <v/>
          </cell>
          <cell r="BF361" t="str">
            <v/>
          </cell>
          <cell r="BG361" t="str">
            <v/>
          </cell>
          <cell r="BH361" t="str">
            <v/>
          </cell>
          <cell r="BI361" t="str">
            <v/>
          </cell>
          <cell r="BJ361" t="str">
            <v/>
          </cell>
        </row>
        <row r="362">
          <cell r="A362" t="str">
            <v>RD7</v>
          </cell>
          <cell r="B362" t="str">
            <v>Q16</v>
          </cell>
          <cell r="C362" t="str">
            <v/>
          </cell>
          <cell r="D362" t="str">
            <v/>
          </cell>
          <cell r="E362">
            <v>0.9777426454632816</v>
          </cell>
          <cell r="F362" t="str">
            <v/>
          </cell>
          <cell r="G362" t="str">
            <v/>
          </cell>
          <cell r="H362" t="str">
            <v/>
          </cell>
          <cell r="J362" t="str">
            <v/>
          </cell>
          <cell r="K362" t="str">
            <v/>
          </cell>
          <cell r="L362" t="str">
            <v/>
          </cell>
          <cell r="M362">
            <v>4941</v>
          </cell>
          <cell r="N362" t="str">
            <v/>
          </cell>
          <cell r="Q362">
            <v>1</v>
          </cell>
          <cell r="R362">
            <v>1</v>
          </cell>
          <cell r="S362" t="str">
            <v/>
          </cell>
          <cell r="X362" t="str">
            <v/>
          </cell>
          <cell r="Y362" t="str">
            <v/>
          </cell>
          <cell r="Z362" t="str">
            <v/>
          </cell>
          <cell r="AB362">
            <v>0.81684981684981683</v>
          </cell>
          <cell r="AD362" t="str">
            <v/>
          </cell>
          <cell r="AE362" t="str">
            <v/>
          </cell>
          <cell r="AF362" t="str">
            <v/>
          </cell>
          <cell r="AG362">
            <v>1.6354208216992423E-2</v>
          </cell>
          <cell r="AH362">
            <v>5.333333333333333</v>
          </cell>
          <cell r="AI362" t="str">
            <v/>
          </cell>
          <cell r="AJ362" t="str">
            <v/>
          </cell>
          <cell r="AK362" t="str">
            <v/>
          </cell>
          <cell r="AL362" t="str">
            <v/>
          </cell>
          <cell r="AM362" t="str">
            <v/>
          </cell>
          <cell r="AN362" t="str">
            <v/>
          </cell>
          <cell r="AO362">
            <v>-3691</v>
          </cell>
          <cell r="AQ362" t="str">
            <v/>
          </cell>
          <cell r="AR362" t="str">
            <v/>
          </cell>
          <cell r="AS362" t="str">
            <v/>
          </cell>
          <cell r="AU362" t="str">
            <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row>
        <row r="363">
          <cell r="A363" t="str">
            <v>RD8</v>
          </cell>
          <cell r="B363" t="str">
            <v>Q16</v>
          </cell>
          <cell r="C363" t="str">
            <v/>
          </cell>
          <cell r="D363" t="str">
            <v/>
          </cell>
          <cell r="E363">
            <v>0.96711124583207031</v>
          </cell>
          <cell r="F363" t="str">
            <v/>
          </cell>
          <cell r="G363" t="str">
            <v/>
          </cell>
          <cell r="H363" t="str">
            <v/>
          </cell>
          <cell r="J363" t="str">
            <v/>
          </cell>
          <cell r="K363" t="str">
            <v/>
          </cell>
          <cell r="L363" t="str">
            <v/>
          </cell>
          <cell r="M363">
            <v>1911</v>
          </cell>
          <cell r="N363" t="str">
            <v/>
          </cell>
          <cell r="Q363">
            <v>1</v>
          </cell>
          <cell r="R363">
            <v>1</v>
          </cell>
          <cell r="S363" t="str">
            <v/>
          </cell>
          <cell r="X363" t="str">
            <v/>
          </cell>
          <cell r="Y363" t="str">
            <v/>
          </cell>
          <cell r="Z363" t="str">
            <v/>
          </cell>
          <cell r="AB363">
            <v>1</v>
          </cell>
          <cell r="AD363" t="str">
            <v/>
          </cell>
          <cell r="AE363" t="str">
            <v/>
          </cell>
          <cell r="AF363" t="str">
            <v/>
          </cell>
          <cell r="AG363">
            <v>2.5669033315128344E-2</v>
          </cell>
          <cell r="AH363">
            <v>2</v>
          </cell>
          <cell r="AI363" t="str">
            <v/>
          </cell>
          <cell r="AJ363" t="str">
            <v/>
          </cell>
          <cell r="AK363" t="str">
            <v/>
          </cell>
          <cell r="AL363" t="str">
            <v/>
          </cell>
          <cell r="AM363" t="str">
            <v/>
          </cell>
          <cell r="AN363" t="str">
            <v/>
          </cell>
          <cell r="AO363">
            <v>374</v>
          </cell>
          <cell r="AQ363" t="str">
            <v/>
          </cell>
          <cell r="AR363" t="str">
            <v/>
          </cell>
          <cell r="AS363" t="str">
            <v/>
          </cell>
          <cell r="AU363" t="str">
            <v/>
          </cell>
          <cell r="AV363" t="str">
            <v/>
          </cell>
          <cell r="AW363" t="str">
            <v/>
          </cell>
          <cell r="AX363" t="str">
            <v/>
          </cell>
          <cell r="AY363" t="str">
            <v/>
          </cell>
          <cell r="AZ363" t="str">
            <v/>
          </cell>
          <cell r="BA363" t="str">
            <v/>
          </cell>
          <cell r="BB363" t="str">
            <v/>
          </cell>
          <cell r="BC363" t="str">
            <v/>
          </cell>
          <cell r="BD363" t="str">
            <v/>
          </cell>
          <cell r="BE363" t="str">
            <v/>
          </cell>
          <cell r="BF363" t="str">
            <v/>
          </cell>
          <cell r="BG363" t="str">
            <v/>
          </cell>
          <cell r="BH363" t="str">
            <v/>
          </cell>
          <cell r="BI363" t="str">
            <v/>
          </cell>
          <cell r="BJ363" t="str">
            <v/>
          </cell>
        </row>
        <row r="364">
          <cell r="A364" t="str">
            <v>RD9</v>
          </cell>
          <cell r="B364" t="str">
            <v>Q16</v>
          </cell>
          <cell r="C364" t="str">
            <v/>
          </cell>
          <cell r="D364" t="str">
            <v/>
          </cell>
          <cell r="E364" t="str">
            <v/>
          </cell>
          <cell r="J364" t="str">
            <v/>
          </cell>
          <cell r="K364" t="str">
            <v/>
          </cell>
          <cell r="L364" t="str">
            <v/>
          </cell>
          <cell r="M364" t="str">
            <v/>
          </cell>
          <cell r="Q364" t="str">
            <v/>
          </cell>
          <cell r="R364" t="str">
            <v/>
          </cell>
          <cell r="X364" t="str">
            <v/>
          </cell>
          <cell r="Y364" t="str">
            <v/>
          </cell>
          <cell r="Z364" t="str">
            <v/>
          </cell>
          <cell r="AB364" t="str">
            <v/>
          </cell>
          <cell r="AD364" t="str">
            <v/>
          </cell>
          <cell r="AE364" t="str">
            <v/>
          </cell>
          <cell r="AF364" t="str">
            <v/>
          </cell>
          <cell r="AG364">
            <v>0</v>
          </cell>
          <cell r="AH364" t="str">
            <v/>
          </cell>
          <cell r="AI364" t="str">
            <v/>
          </cell>
          <cell r="AJ364" t="str">
            <v/>
          </cell>
          <cell r="AK364" t="str">
            <v/>
          </cell>
          <cell r="AL364" t="str">
            <v/>
          </cell>
          <cell r="AM364" t="str">
            <v/>
          </cell>
          <cell r="AN364" t="str">
            <v/>
          </cell>
          <cell r="AO364" t="str">
            <v/>
          </cell>
          <cell r="AS364" t="str">
            <v/>
          </cell>
          <cell r="BB364" t="str">
            <v/>
          </cell>
          <cell r="BC364" t="str">
            <v/>
          </cell>
          <cell r="BD364" t="str">
            <v/>
          </cell>
          <cell r="BE364" t="str">
            <v/>
          </cell>
          <cell r="BF364" t="str">
            <v/>
          </cell>
          <cell r="BG364" t="str">
            <v/>
          </cell>
          <cell r="BH364" t="str">
            <v/>
          </cell>
          <cell r="BI364" t="str">
            <v/>
          </cell>
          <cell r="BJ364" t="str">
            <v/>
          </cell>
        </row>
        <row r="365">
          <cell r="A365" t="str">
            <v>RDD</v>
          </cell>
          <cell r="B365" t="str">
            <v>Q03</v>
          </cell>
          <cell r="C365" t="str">
            <v/>
          </cell>
          <cell r="D365" t="str">
            <v/>
          </cell>
          <cell r="E365">
            <v>0.9788249328959141</v>
          </cell>
          <cell r="F365" t="str">
            <v/>
          </cell>
          <cell r="G365" t="str">
            <v/>
          </cell>
          <cell r="H365" t="str">
            <v/>
          </cell>
          <cell r="J365" t="str">
            <v/>
          </cell>
          <cell r="K365" t="str">
            <v/>
          </cell>
          <cell r="L365" t="str">
            <v/>
          </cell>
          <cell r="M365">
            <v>3723</v>
          </cell>
          <cell r="N365" t="str">
            <v/>
          </cell>
          <cell r="Q365">
            <v>1</v>
          </cell>
          <cell r="R365">
            <v>1</v>
          </cell>
          <cell r="S365" t="str">
            <v/>
          </cell>
          <cell r="X365" t="str">
            <v/>
          </cell>
          <cell r="Y365" t="str">
            <v/>
          </cell>
          <cell r="Z365" t="str">
            <v/>
          </cell>
          <cell r="AB365">
            <v>0.90163934426229508</v>
          </cell>
          <cell r="AD365" t="str">
            <v/>
          </cell>
          <cell r="AE365" t="str">
            <v/>
          </cell>
          <cell r="AF365" t="str">
            <v/>
          </cell>
          <cell r="AG365">
            <v>3.0252797347699957E-2</v>
          </cell>
          <cell r="AH365">
            <v>2.6666666666666665</v>
          </cell>
          <cell r="AI365" t="str">
            <v/>
          </cell>
          <cell r="AJ365" t="str">
            <v/>
          </cell>
          <cell r="AK365" t="str">
            <v/>
          </cell>
          <cell r="AL365" t="str">
            <v/>
          </cell>
          <cell r="AM365" t="str">
            <v/>
          </cell>
          <cell r="AN365" t="str">
            <v/>
          </cell>
          <cell r="AO365" t="str">
            <v/>
          </cell>
          <cell r="AQ365" t="str">
            <v/>
          </cell>
          <cell r="AR365" t="str">
            <v/>
          </cell>
          <cell r="AS365" t="str">
            <v/>
          </cell>
          <cell r="AU365" t="str">
            <v/>
          </cell>
          <cell r="AV365" t="str">
            <v/>
          </cell>
          <cell r="AW365" t="str">
            <v/>
          </cell>
          <cell r="AX365" t="str">
            <v/>
          </cell>
          <cell r="AY365" t="str">
            <v/>
          </cell>
          <cell r="AZ365" t="str">
            <v/>
          </cell>
          <cell r="BA365" t="str">
            <v/>
          </cell>
          <cell r="BB365" t="str">
            <v/>
          </cell>
          <cell r="BC365" t="str">
            <v/>
          </cell>
          <cell r="BD365" t="str">
            <v/>
          </cell>
          <cell r="BE365" t="str">
            <v/>
          </cell>
          <cell r="BF365" t="str">
            <v/>
          </cell>
          <cell r="BG365" t="str">
            <v/>
          </cell>
          <cell r="BH365" t="str">
            <v/>
          </cell>
          <cell r="BI365" t="str">
            <v/>
          </cell>
          <cell r="BJ365" t="str">
            <v/>
          </cell>
        </row>
        <row r="366">
          <cell r="A366" t="str">
            <v>RDE</v>
          </cell>
          <cell r="B366" t="str">
            <v>Q03</v>
          </cell>
          <cell r="C366" t="str">
            <v/>
          </cell>
          <cell r="D366" t="str">
            <v/>
          </cell>
          <cell r="E366">
            <v>0.96412366782737158</v>
          </cell>
          <cell r="F366" t="str">
            <v/>
          </cell>
          <cell r="G366" t="str">
            <v/>
          </cell>
          <cell r="H366" t="str">
            <v/>
          </cell>
          <cell r="J366" t="str">
            <v/>
          </cell>
          <cell r="K366" t="str">
            <v/>
          </cell>
          <cell r="L366" t="str">
            <v/>
          </cell>
          <cell r="M366">
            <v>4837</v>
          </cell>
          <cell r="N366" t="str">
            <v/>
          </cell>
          <cell r="Q366">
            <v>1</v>
          </cell>
          <cell r="R366">
            <v>1</v>
          </cell>
          <cell r="S366" t="str">
            <v/>
          </cell>
          <cell r="X366" t="str">
            <v/>
          </cell>
          <cell r="Y366" t="str">
            <v/>
          </cell>
          <cell r="Z366" t="str">
            <v/>
          </cell>
          <cell r="AB366">
            <v>0.8666666666666667</v>
          </cell>
          <cell r="AD366" t="str">
            <v/>
          </cell>
          <cell r="AE366" t="str">
            <v/>
          </cell>
          <cell r="AF366" t="str">
            <v/>
          </cell>
          <cell r="AG366">
            <v>1.106883431338637E-2</v>
          </cell>
          <cell r="AH366">
            <v>0.66666666666666663</v>
          </cell>
          <cell r="AI366" t="str">
            <v/>
          </cell>
          <cell r="AJ366" t="str">
            <v/>
          </cell>
          <cell r="AK366" t="str">
            <v/>
          </cell>
          <cell r="AL366" t="str">
            <v/>
          </cell>
          <cell r="AM366" t="str">
            <v/>
          </cell>
          <cell r="AN366" t="str">
            <v/>
          </cell>
          <cell r="AO366">
            <v>-1439</v>
          </cell>
          <cell r="AQ366" t="str">
            <v/>
          </cell>
          <cell r="AR366" t="str">
            <v/>
          </cell>
          <cell r="AS366" t="str">
            <v/>
          </cell>
          <cell r="AU366" t="str">
            <v/>
          </cell>
          <cell r="AV366" t="str">
            <v/>
          </cell>
          <cell r="AW366" t="str">
            <v/>
          </cell>
          <cell r="AX366" t="str">
            <v/>
          </cell>
          <cell r="AY366" t="str">
            <v/>
          </cell>
          <cell r="AZ366" t="str">
            <v/>
          </cell>
          <cell r="BA366" t="str">
            <v/>
          </cell>
          <cell r="BB366" t="str">
            <v/>
          </cell>
          <cell r="BC366" t="str">
            <v/>
          </cell>
          <cell r="BD366" t="str">
            <v/>
          </cell>
          <cell r="BE366" t="str">
            <v/>
          </cell>
          <cell r="BF366" t="str">
            <v/>
          </cell>
          <cell r="BG366" t="str">
            <v/>
          </cell>
          <cell r="BH366" t="str">
            <v/>
          </cell>
          <cell r="BI366" t="str">
            <v/>
          </cell>
          <cell r="BJ366" t="str">
            <v/>
          </cell>
        </row>
        <row r="367">
          <cell r="A367" t="str">
            <v>RDR</v>
          </cell>
          <cell r="B367" t="str">
            <v>Q19</v>
          </cell>
          <cell r="C367" t="str">
            <v/>
          </cell>
          <cell r="D367" t="str">
            <v/>
          </cell>
          <cell r="E367" t="str">
            <v/>
          </cell>
          <cell r="F367" t="str">
            <v/>
          </cell>
          <cell r="G367" t="str">
            <v/>
          </cell>
          <cell r="H367" t="str">
            <v/>
          </cell>
          <cell r="J367" t="str">
            <v/>
          </cell>
          <cell r="K367" t="str">
            <v/>
          </cell>
          <cell r="L367" t="str">
            <v/>
          </cell>
          <cell r="M367" t="str">
            <v/>
          </cell>
          <cell r="N367" t="str">
            <v/>
          </cell>
          <cell r="Q367" t="str">
            <v/>
          </cell>
          <cell r="R367" t="str">
            <v/>
          </cell>
          <cell r="S367" t="str">
            <v/>
          </cell>
          <cell r="X367" t="str">
            <v/>
          </cell>
          <cell r="Y367" t="str">
            <v/>
          </cell>
          <cell r="Z367" t="str">
            <v/>
          </cell>
          <cell r="AB367" t="str">
            <v/>
          </cell>
          <cell r="AD367" t="str">
            <v/>
          </cell>
          <cell r="AE367" t="str">
            <v/>
          </cell>
          <cell r="AF367" t="str">
            <v/>
          </cell>
          <cell r="AG367">
            <v>0</v>
          </cell>
          <cell r="AH367" t="str">
            <v/>
          </cell>
          <cell r="AI367" t="str">
            <v/>
          </cell>
          <cell r="AJ367" t="str">
            <v/>
          </cell>
          <cell r="AK367" t="str">
            <v/>
          </cell>
          <cell r="AL367" t="str">
            <v/>
          </cell>
          <cell r="AM367" t="str">
            <v/>
          </cell>
          <cell r="AN367" t="str">
            <v/>
          </cell>
          <cell r="AO367">
            <v>2457</v>
          </cell>
          <cell r="AQ367" t="str">
            <v/>
          </cell>
          <cell r="AR367" t="str">
            <v/>
          </cell>
          <cell r="AS367" t="str">
            <v/>
          </cell>
          <cell r="AU367" t="str">
            <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row>
        <row r="368">
          <cell r="A368" t="str">
            <v>RDU</v>
          </cell>
          <cell r="B368" t="str">
            <v>Q19</v>
          </cell>
          <cell r="C368" t="str">
            <v/>
          </cell>
          <cell r="D368" t="str">
            <v/>
          </cell>
          <cell r="E368">
            <v>0.98948640483383687</v>
          </cell>
          <cell r="F368" t="str">
            <v/>
          </cell>
          <cell r="G368" t="str">
            <v/>
          </cell>
          <cell r="H368" t="str">
            <v/>
          </cell>
          <cell r="J368" t="str">
            <v/>
          </cell>
          <cell r="K368" t="str">
            <v/>
          </cell>
          <cell r="L368" t="str">
            <v/>
          </cell>
          <cell r="M368">
            <v>4762</v>
          </cell>
          <cell r="N368" t="str">
            <v/>
          </cell>
          <cell r="Q368">
            <v>1</v>
          </cell>
          <cell r="R368">
            <v>1</v>
          </cell>
          <cell r="S368" t="str">
            <v/>
          </cell>
          <cell r="X368" t="str">
            <v/>
          </cell>
          <cell r="Y368" t="str">
            <v/>
          </cell>
          <cell r="Z368" t="str">
            <v/>
          </cell>
          <cell r="AB368">
            <v>1</v>
          </cell>
          <cell r="AD368" t="str">
            <v/>
          </cell>
          <cell r="AE368" t="str">
            <v/>
          </cell>
          <cell r="AF368" t="str">
            <v/>
          </cell>
          <cell r="AG368">
            <v>2.3902821316614416E-2</v>
          </cell>
          <cell r="AH368">
            <v>1.3333333333333333</v>
          </cell>
          <cell r="AI368" t="str">
            <v/>
          </cell>
          <cell r="AJ368" t="str">
            <v/>
          </cell>
          <cell r="AK368" t="str">
            <v/>
          </cell>
          <cell r="AL368" t="str">
            <v/>
          </cell>
          <cell r="AM368" t="str">
            <v/>
          </cell>
          <cell r="AN368" t="str">
            <v/>
          </cell>
          <cell r="AO368" t="str">
            <v/>
          </cell>
          <cell r="AQ368" t="str">
            <v/>
          </cell>
          <cell r="AR368" t="str">
            <v/>
          </cell>
          <cell r="AS368" t="str">
            <v/>
          </cell>
          <cell r="AU368" t="str">
            <v/>
          </cell>
          <cell r="AV368" t="str">
            <v/>
          </cell>
          <cell r="AW368" t="str">
            <v/>
          </cell>
          <cell r="AX368" t="str">
            <v/>
          </cell>
          <cell r="AY368" t="str">
            <v/>
          </cell>
          <cell r="AZ368" t="str">
            <v/>
          </cell>
          <cell r="BA368" t="str">
            <v/>
          </cell>
          <cell r="BB368" t="str">
            <v/>
          </cell>
          <cell r="BC368" t="str">
            <v/>
          </cell>
          <cell r="BD368" t="str">
            <v/>
          </cell>
          <cell r="BE368" t="str">
            <v/>
          </cell>
          <cell r="BF368" t="str">
            <v/>
          </cell>
          <cell r="BG368" t="str">
            <v/>
          </cell>
          <cell r="BH368" t="str">
            <v/>
          </cell>
          <cell r="BI368" t="str">
            <v/>
          </cell>
          <cell r="BJ368" t="str">
            <v/>
          </cell>
        </row>
        <row r="369">
          <cell r="A369" t="str">
            <v>RDY</v>
          </cell>
          <cell r="B369" t="str">
            <v>Q22</v>
          </cell>
          <cell r="C369" t="str">
            <v/>
          </cell>
          <cell r="D369" t="str">
            <v/>
          </cell>
          <cell r="E369" t="str">
            <v/>
          </cell>
          <cell r="F369" t="str">
            <v/>
          </cell>
          <cell r="G369" t="str">
            <v/>
          </cell>
          <cell r="H369" t="str">
            <v/>
          </cell>
          <cell r="J369" t="str">
            <v/>
          </cell>
          <cell r="K369" t="str">
            <v/>
          </cell>
          <cell r="L369" t="str">
            <v/>
          </cell>
          <cell r="M369" t="str">
            <v/>
          </cell>
          <cell r="N369" t="str">
            <v/>
          </cell>
          <cell r="Q369" t="str">
            <v/>
          </cell>
          <cell r="R369" t="str">
            <v/>
          </cell>
          <cell r="S369" t="str">
            <v/>
          </cell>
          <cell r="X369" t="str">
            <v/>
          </cell>
          <cell r="Y369" t="str">
            <v/>
          </cell>
          <cell r="Z369" t="str">
            <v/>
          </cell>
          <cell r="AB369" t="str">
            <v/>
          </cell>
          <cell r="AD369" t="str">
            <v/>
          </cell>
          <cell r="AE369" t="str">
            <v/>
          </cell>
          <cell r="AF369" t="str">
            <v/>
          </cell>
          <cell r="AG369">
            <v>0</v>
          </cell>
          <cell r="AH369" t="str">
            <v/>
          </cell>
          <cell r="AI369" t="str">
            <v/>
          </cell>
          <cell r="AJ369" t="str">
            <v/>
          </cell>
          <cell r="AK369" t="str">
            <v/>
          </cell>
          <cell r="AL369" t="str">
            <v/>
          </cell>
          <cell r="AM369" t="str">
            <v/>
          </cell>
          <cell r="AN369" t="str">
            <v/>
          </cell>
          <cell r="AO369">
            <v>1453</v>
          </cell>
          <cell r="AQ369" t="str">
            <v/>
          </cell>
          <cell r="AR369" t="str">
            <v/>
          </cell>
          <cell r="AS369" t="str">
            <v/>
          </cell>
          <cell r="AU369" t="str">
            <v/>
          </cell>
          <cell r="AV369" t="str">
            <v/>
          </cell>
          <cell r="AW369" t="str">
            <v/>
          </cell>
          <cell r="AX369" t="str">
            <v/>
          </cell>
          <cell r="AY369" t="str">
            <v/>
          </cell>
          <cell r="AZ369" t="str">
            <v/>
          </cell>
          <cell r="BA369" t="str">
            <v/>
          </cell>
          <cell r="BB369" t="str">
            <v/>
          </cell>
          <cell r="BC369" t="str">
            <v/>
          </cell>
          <cell r="BD369" t="str">
            <v/>
          </cell>
          <cell r="BE369" t="str">
            <v/>
          </cell>
          <cell r="BF369" t="str">
            <v/>
          </cell>
          <cell r="BG369" t="str">
            <v/>
          </cell>
          <cell r="BH369" t="str">
            <v/>
          </cell>
          <cell r="BI369" t="str">
            <v/>
          </cell>
          <cell r="BJ369" t="str">
            <v/>
          </cell>
        </row>
        <row r="370">
          <cell r="A370" t="str">
            <v>RDZ</v>
          </cell>
          <cell r="B370" t="str">
            <v>Q22</v>
          </cell>
          <cell r="C370" t="str">
            <v/>
          </cell>
          <cell r="D370" t="str">
            <v/>
          </cell>
          <cell r="E370">
            <v>0.98671390611160315</v>
          </cell>
          <cell r="F370" t="str">
            <v/>
          </cell>
          <cell r="G370" t="str">
            <v/>
          </cell>
          <cell r="H370" t="str">
            <v/>
          </cell>
          <cell r="J370" t="str">
            <v/>
          </cell>
          <cell r="K370" t="str">
            <v/>
          </cell>
          <cell r="L370" t="str">
            <v/>
          </cell>
          <cell r="M370">
            <v>3829</v>
          </cell>
          <cell r="N370" t="str">
            <v/>
          </cell>
          <cell r="Q370">
            <v>1</v>
          </cell>
          <cell r="R370">
            <v>1</v>
          </cell>
          <cell r="S370" t="str">
            <v/>
          </cell>
          <cell r="X370" t="str">
            <v/>
          </cell>
          <cell r="Y370" t="str">
            <v/>
          </cell>
          <cell r="Z370" t="str">
            <v/>
          </cell>
          <cell r="AB370">
            <v>1</v>
          </cell>
          <cell r="AD370" t="str">
            <v/>
          </cell>
          <cell r="AE370" t="str">
            <v/>
          </cell>
          <cell r="AF370" t="str">
            <v/>
          </cell>
          <cell r="AG370">
            <v>2.5050100200400802E-2</v>
          </cell>
          <cell r="AH370">
            <v>2.6666666666666665</v>
          </cell>
          <cell r="AI370" t="str">
            <v/>
          </cell>
          <cell r="AJ370" t="str">
            <v/>
          </cell>
          <cell r="AK370" t="str">
            <v/>
          </cell>
          <cell r="AL370" t="str">
            <v/>
          </cell>
          <cell r="AM370" t="str">
            <v/>
          </cell>
          <cell r="AN370" t="str">
            <v/>
          </cell>
          <cell r="AO370" t="str">
            <v/>
          </cell>
          <cell r="AQ370" t="str">
            <v/>
          </cell>
          <cell r="AR370" t="str">
            <v/>
          </cell>
          <cell r="AS370" t="str">
            <v/>
          </cell>
          <cell r="AU370" t="str">
            <v/>
          </cell>
          <cell r="AV370" t="str">
            <v/>
          </cell>
          <cell r="AW370" t="str">
            <v/>
          </cell>
          <cell r="AX370" t="str">
            <v/>
          </cell>
          <cell r="AY370" t="str">
            <v/>
          </cell>
          <cell r="AZ370" t="str">
            <v/>
          </cell>
          <cell r="BA370" t="str">
            <v/>
          </cell>
          <cell r="BB370" t="str">
            <v/>
          </cell>
          <cell r="BC370" t="str">
            <v/>
          </cell>
          <cell r="BD370" t="str">
            <v/>
          </cell>
          <cell r="BE370" t="str">
            <v/>
          </cell>
          <cell r="BF370" t="str">
            <v/>
          </cell>
          <cell r="BG370" t="str">
            <v/>
          </cell>
          <cell r="BH370" t="str">
            <v/>
          </cell>
          <cell r="BI370" t="str">
            <v/>
          </cell>
          <cell r="BJ370" t="str">
            <v/>
          </cell>
        </row>
        <row r="371">
          <cell r="A371" t="str">
            <v>RE6</v>
          </cell>
          <cell r="B371" t="str">
            <v>Q13</v>
          </cell>
          <cell r="C371">
            <v>0.72840466926070035</v>
          </cell>
          <cell r="D371">
            <v>0.906993006993007</v>
          </cell>
          <cell r="E371" t="str">
            <v/>
          </cell>
          <cell r="F371" t="str">
            <v/>
          </cell>
          <cell r="G371" t="str">
            <v/>
          </cell>
          <cell r="H371" t="str">
            <v/>
          </cell>
          <cell r="J371" t="str">
            <v/>
          </cell>
          <cell r="K371" t="str">
            <v/>
          </cell>
          <cell r="L371" t="str">
            <v/>
          </cell>
          <cell r="M371" t="str">
            <v/>
          </cell>
          <cell r="N371" t="str">
            <v/>
          </cell>
          <cell r="Q371" t="str">
            <v/>
          </cell>
          <cell r="R371" t="str">
            <v/>
          </cell>
          <cell r="S371" t="str">
            <v/>
          </cell>
          <cell r="X371" t="str">
            <v/>
          </cell>
          <cell r="Y371" t="str">
            <v/>
          </cell>
          <cell r="Z371" t="str">
            <v/>
          </cell>
          <cell r="AB371" t="str">
            <v/>
          </cell>
          <cell r="AD371" t="str">
            <v/>
          </cell>
          <cell r="AE371" t="str">
            <v/>
          </cell>
          <cell r="AF371" t="str">
            <v/>
          </cell>
          <cell r="AG371" t="str">
            <v/>
          </cell>
          <cell r="AH371" t="str">
            <v/>
          </cell>
          <cell r="AI371" t="str">
            <v/>
          </cell>
          <cell r="AJ371" t="str">
            <v/>
          </cell>
          <cell r="AK371" t="str">
            <v/>
          </cell>
          <cell r="AL371" t="str">
            <v/>
          </cell>
          <cell r="AM371" t="str">
            <v/>
          </cell>
          <cell r="AN371" t="str">
            <v/>
          </cell>
          <cell r="AO371">
            <v>24</v>
          </cell>
          <cell r="AQ371" t="str">
            <v/>
          </cell>
          <cell r="AR371" t="str">
            <v/>
          </cell>
          <cell r="AS371" t="str">
            <v/>
          </cell>
          <cell r="AU371" t="str">
            <v/>
          </cell>
          <cell r="AV371" t="str">
            <v/>
          </cell>
          <cell r="AW371" t="str">
            <v/>
          </cell>
          <cell r="AX371" t="str">
            <v/>
          </cell>
          <cell r="AY371" t="str">
            <v/>
          </cell>
          <cell r="AZ371" t="str">
            <v/>
          </cell>
          <cell r="BA371" t="str">
            <v/>
          </cell>
          <cell r="BB371" t="str">
            <v/>
          </cell>
          <cell r="BC371" t="str">
            <v/>
          </cell>
          <cell r="BD371" t="str">
            <v/>
          </cell>
          <cell r="BE371" t="str">
            <v/>
          </cell>
          <cell r="BF371" t="str">
            <v/>
          </cell>
          <cell r="BG371" t="str">
            <v/>
          </cell>
          <cell r="BH371" t="str">
            <v/>
          </cell>
          <cell r="BI371" t="str">
            <v/>
          </cell>
          <cell r="BJ371" t="str">
            <v/>
          </cell>
        </row>
        <row r="372">
          <cell r="A372" t="str">
            <v>RE9</v>
          </cell>
          <cell r="B372" t="str">
            <v>Q09</v>
          </cell>
          <cell r="C372" t="str">
            <v/>
          </cell>
          <cell r="D372" t="str">
            <v/>
          </cell>
          <cell r="E372">
            <v>0.98886086591004618</v>
          </cell>
          <cell r="F372" t="str">
            <v/>
          </cell>
          <cell r="G372" t="str">
            <v/>
          </cell>
          <cell r="H372" t="str">
            <v/>
          </cell>
          <cell r="J372" t="str">
            <v/>
          </cell>
          <cell r="K372" t="str">
            <v/>
          </cell>
          <cell r="L372" t="str">
            <v/>
          </cell>
          <cell r="M372">
            <v>1867</v>
          </cell>
          <cell r="N372" t="str">
            <v/>
          </cell>
          <cell r="Q372">
            <v>1</v>
          </cell>
          <cell r="R372">
            <v>0.99256044637321761</v>
          </cell>
          <cell r="S372" t="str">
            <v/>
          </cell>
          <cell r="X372" t="str">
            <v/>
          </cell>
          <cell r="Y372" t="str">
            <v/>
          </cell>
          <cell r="Z372" t="str">
            <v/>
          </cell>
          <cell r="AB372">
            <v>1</v>
          </cell>
          <cell r="AD372" t="str">
            <v/>
          </cell>
          <cell r="AE372" t="str">
            <v/>
          </cell>
          <cell r="AF372" t="str">
            <v/>
          </cell>
          <cell r="AG372">
            <v>2.2624434389140274E-3</v>
          </cell>
          <cell r="AH372">
            <v>1.3333333333333333</v>
          </cell>
          <cell r="AI372" t="str">
            <v/>
          </cell>
          <cell r="AJ372" t="str">
            <v/>
          </cell>
          <cell r="AK372" t="str">
            <v/>
          </cell>
          <cell r="AL372" t="str">
            <v/>
          </cell>
          <cell r="AM372" t="str">
            <v/>
          </cell>
          <cell r="AN372" t="str">
            <v/>
          </cell>
          <cell r="AO372" t="str">
            <v/>
          </cell>
          <cell r="AQ372" t="str">
            <v/>
          </cell>
          <cell r="AR372" t="str">
            <v/>
          </cell>
          <cell r="AS372" t="str">
            <v/>
          </cell>
          <cell r="AU372" t="str">
            <v/>
          </cell>
          <cell r="AV372" t="str">
            <v/>
          </cell>
          <cell r="AW372" t="str">
            <v/>
          </cell>
          <cell r="AX372" t="str">
            <v/>
          </cell>
          <cell r="AY372" t="str">
            <v/>
          </cell>
          <cell r="AZ372" t="str">
            <v/>
          </cell>
          <cell r="BA372" t="str">
            <v/>
          </cell>
          <cell r="BB372" t="str">
            <v/>
          </cell>
          <cell r="BC372" t="str">
            <v/>
          </cell>
          <cell r="BD372" t="str">
            <v/>
          </cell>
          <cell r="BE372" t="str">
            <v/>
          </cell>
          <cell r="BF372" t="str">
            <v/>
          </cell>
          <cell r="BG372" t="str">
            <v/>
          </cell>
          <cell r="BH372" t="str">
            <v/>
          </cell>
          <cell r="BI372" t="str">
            <v/>
          </cell>
          <cell r="BJ372" t="str">
            <v/>
          </cell>
        </row>
        <row r="373">
          <cell r="A373" t="str">
            <v>REF</v>
          </cell>
          <cell r="B373" t="str">
            <v>Q21</v>
          </cell>
          <cell r="C373" t="str">
            <v/>
          </cell>
          <cell r="D373" t="str">
            <v/>
          </cell>
          <cell r="E373">
            <v>0.92754303599374022</v>
          </cell>
          <cell r="F373" t="str">
            <v/>
          </cell>
          <cell r="G373" t="str">
            <v/>
          </cell>
          <cell r="H373" t="str">
            <v/>
          </cell>
          <cell r="J373" t="str">
            <v/>
          </cell>
          <cell r="K373" t="str">
            <v/>
          </cell>
          <cell r="L373" t="str">
            <v/>
          </cell>
          <cell r="M373">
            <v>7076</v>
          </cell>
          <cell r="N373" t="str">
            <v/>
          </cell>
          <cell r="Q373">
            <v>1</v>
          </cell>
          <cell r="R373">
            <v>1</v>
          </cell>
          <cell r="S373" t="str">
            <v/>
          </cell>
          <cell r="X373" t="str">
            <v/>
          </cell>
          <cell r="Y373" t="str">
            <v/>
          </cell>
          <cell r="Z373" t="str">
            <v/>
          </cell>
          <cell r="AB373">
            <v>0.71897810218978098</v>
          </cell>
          <cell r="AD373" t="str">
            <v/>
          </cell>
          <cell r="AE373" t="str">
            <v/>
          </cell>
          <cell r="AF373" t="str">
            <v/>
          </cell>
          <cell r="AG373">
            <v>3.923620193565263E-2</v>
          </cell>
          <cell r="AH373">
            <v>5</v>
          </cell>
          <cell r="AI373" t="str">
            <v/>
          </cell>
          <cell r="AJ373" t="str">
            <v/>
          </cell>
          <cell r="AK373" t="str">
            <v/>
          </cell>
          <cell r="AL373" t="str">
            <v/>
          </cell>
          <cell r="AM373" t="str">
            <v/>
          </cell>
          <cell r="AN373" t="str">
            <v/>
          </cell>
          <cell r="AO373">
            <v>-15687</v>
          </cell>
          <cell r="AQ373" t="str">
            <v/>
          </cell>
          <cell r="AR373" t="str">
            <v/>
          </cell>
          <cell r="AS373" t="str">
            <v/>
          </cell>
          <cell r="AU373" t="str">
            <v/>
          </cell>
          <cell r="AV373" t="str">
            <v/>
          </cell>
          <cell r="AW373" t="str">
            <v/>
          </cell>
          <cell r="AX373" t="str">
            <v/>
          </cell>
          <cell r="AY373" t="str">
            <v/>
          </cell>
          <cell r="AZ373" t="str">
            <v/>
          </cell>
          <cell r="BA373" t="str">
            <v/>
          </cell>
          <cell r="BB373" t="str">
            <v/>
          </cell>
          <cell r="BC373" t="str">
            <v/>
          </cell>
          <cell r="BD373" t="str">
            <v/>
          </cell>
          <cell r="BE373" t="str">
            <v/>
          </cell>
          <cell r="BF373" t="str">
            <v/>
          </cell>
          <cell r="BG373" t="str">
            <v/>
          </cell>
          <cell r="BH373" t="str">
            <v/>
          </cell>
          <cell r="BI373" t="str">
            <v/>
          </cell>
          <cell r="BJ373" t="str">
            <v/>
          </cell>
        </row>
        <row r="374">
          <cell r="A374" t="str">
            <v>REM</v>
          </cell>
          <cell r="B374" t="str">
            <v>Q15</v>
          </cell>
          <cell r="C374" t="str">
            <v/>
          </cell>
          <cell r="D374" t="str">
            <v/>
          </cell>
          <cell r="E374">
            <v>0.96788034816721835</v>
          </cell>
          <cell r="F374" t="str">
            <v/>
          </cell>
          <cell r="G374" t="str">
            <v/>
          </cell>
          <cell r="H374" t="str">
            <v/>
          </cell>
          <cell r="J374" t="str">
            <v/>
          </cell>
          <cell r="K374" t="str">
            <v/>
          </cell>
          <cell r="L374" t="str">
            <v/>
          </cell>
          <cell r="M374">
            <v>4954</v>
          </cell>
          <cell r="N374" t="str">
            <v/>
          </cell>
          <cell r="Q374">
            <v>1</v>
          </cell>
          <cell r="R374">
            <v>1</v>
          </cell>
          <cell r="S374" t="str">
            <v/>
          </cell>
          <cell r="X374" t="str">
            <v/>
          </cell>
          <cell r="Y374" t="str">
            <v/>
          </cell>
          <cell r="Z374" t="str">
            <v/>
          </cell>
          <cell r="AB374">
            <v>1</v>
          </cell>
          <cell r="AD374" t="str">
            <v/>
          </cell>
          <cell r="AE374" t="str">
            <v/>
          </cell>
          <cell r="AF374" t="str">
            <v/>
          </cell>
          <cell r="AG374">
            <v>1.6908929101156926E-2</v>
          </cell>
          <cell r="AH374">
            <v>6</v>
          </cell>
          <cell r="AI374" t="str">
            <v/>
          </cell>
          <cell r="AJ374" t="str">
            <v/>
          </cell>
          <cell r="AK374" t="str">
            <v/>
          </cell>
          <cell r="AL374" t="str">
            <v/>
          </cell>
          <cell r="AM374" t="str">
            <v/>
          </cell>
          <cell r="AN374" t="str">
            <v/>
          </cell>
          <cell r="AO374">
            <v>6</v>
          </cell>
          <cell r="AQ374" t="str">
            <v/>
          </cell>
          <cell r="AR374" t="str">
            <v/>
          </cell>
          <cell r="AS374" t="str">
            <v/>
          </cell>
          <cell r="AU374" t="str">
            <v/>
          </cell>
          <cell r="AV374" t="str">
            <v/>
          </cell>
          <cell r="AW374" t="str">
            <v/>
          </cell>
          <cell r="AX374" t="str">
            <v/>
          </cell>
          <cell r="AY374" t="str">
            <v/>
          </cell>
          <cell r="AZ374" t="str">
            <v/>
          </cell>
          <cell r="BA374" t="str">
            <v/>
          </cell>
          <cell r="BB374" t="str">
            <v/>
          </cell>
          <cell r="BC374" t="str">
            <v/>
          </cell>
          <cell r="BD374" t="str">
            <v/>
          </cell>
          <cell r="BE374" t="str">
            <v/>
          </cell>
          <cell r="BF374" t="str">
            <v/>
          </cell>
          <cell r="BG374" t="str">
            <v/>
          </cell>
          <cell r="BH374" t="str">
            <v/>
          </cell>
          <cell r="BI374" t="str">
            <v/>
          </cell>
          <cell r="BJ374" t="str">
            <v/>
          </cell>
        </row>
        <row r="375">
          <cell r="A375" t="str">
            <v>REN</v>
          </cell>
          <cell r="B375" t="str">
            <v>Q15</v>
          </cell>
          <cell r="C375" t="str">
            <v/>
          </cell>
          <cell r="D375" t="str">
            <v/>
          </cell>
          <cell r="E375" t="str">
            <v/>
          </cell>
          <cell r="F375" t="str">
            <v/>
          </cell>
          <cell r="G375" t="str">
            <v/>
          </cell>
          <cell r="H375" t="str">
            <v/>
          </cell>
          <cell r="J375" t="str">
            <v/>
          </cell>
          <cell r="K375" t="str">
            <v/>
          </cell>
          <cell r="L375" t="str">
            <v/>
          </cell>
          <cell r="M375">
            <v>25</v>
          </cell>
          <cell r="N375" t="str">
            <v/>
          </cell>
          <cell r="Q375">
            <v>1</v>
          </cell>
          <cell r="R375">
            <v>1</v>
          </cell>
          <cell r="S375" t="str">
            <v/>
          </cell>
          <cell r="X375" t="str">
            <v/>
          </cell>
          <cell r="Y375" t="str">
            <v/>
          </cell>
          <cell r="Z375" t="str">
            <v/>
          </cell>
          <cell r="AB375" t="str">
            <v/>
          </cell>
          <cell r="AD375" t="str">
            <v/>
          </cell>
          <cell r="AE375" t="str">
            <v/>
          </cell>
          <cell r="AF375" t="str">
            <v/>
          </cell>
          <cell r="AG375">
            <v>0</v>
          </cell>
          <cell r="AH375">
            <v>0</v>
          </cell>
          <cell r="AI375" t="str">
            <v/>
          </cell>
          <cell r="AJ375" t="str">
            <v/>
          </cell>
          <cell r="AK375" t="str">
            <v/>
          </cell>
          <cell r="AL375" t="str">
            <v/>
          </cell>
          <cell r="AM375" t="str">
            <v/>
          </cell>
          <cell r="AN375" t="str">
            <v/>
          </cell>
          <cell r="AO375">
            <v>170</v>
          </cell>
          <cell r="AQ375" t="str">
            <v/>
          </cell>
          <cell r="AR375" t="str">
            <v/>
          </cell>
          <cell r="AS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row>
        <row r="376">
          <cell r="A376" t="str">
            <v>REP</v>
          </cell>
          <cell r="B376" t="str">
            <v>Q15</v>
          </cell>
          <cell r="C376" t="str">
            <v/>
          </cell>
          <cell r="D376" t="str">
            <v/>
          </cell>
          <cell r="E376">
            <v>1</v>
          </cell>
          <cell r="F376" t="str">
            <v/>
          </cell>
          <cell r="G376" t="str">
            <v/>
          </cell>
          <cell r="H376" t="str">
            <v/>
          </cell>
          <cell r="J376" t="str">
            <v/>
          </cell>
          <cell r="K376" t="str">
            <v/>
          </cell>
          <cell r="L376" t="str">
            <v/>
          </cell>
          <cell r="M376">
            <v>887</v>
          </cell>
          <cell r="N376" t="str">
            <v/>
          </cell>
          <cell r="Q376">
            <v>1</v>
          </cell>
          <cell r="R376">
            <v>0.99927536231884062</v>
          </cell>
          <cell r="S376" t="str">
            <v/>
          </cell>
          <cell r="X376" t="str">
            <v/>
          </cell>
          <cell r="Y376" t="str">
            <v/>
          </cell>
          <cell r="Z376" t="str">
            <v/>
          </cell>
          <cell r="AB376" t="str">
            <v/>
          </cell>
          <cell r="AD376" t="str">
            <v/>
          </cell>
          <cell r="AE376" t="str">
            <v/>
          </cell>
          <cell r="AF376" t="str">
            <v/>
          </cell>
          <cell r="AG376">
            <v>0</v>
          </cell>
          <cell r="AH376">
            <v>0.33333333333333331</v>
          </cell>
          <cell r="AI376" t="str">
            <v/>
          </cell>
          <cell r="AJ376" t="str">
            <v/>
          </cell>
          <cell r="AK376" t="str">
            <v/>
          </cell>
          <cell r="AL376" t="str">
            <v/>
          </cell>
          <cell r="AM376" t="str">
            <v/>
          </cell>
          <cell r="AN376" t="str">
            <v/>
          </cell>
          <cell r="AO376" t="str">
            <v/>
          </cell>
          <cell r="AQ376" t="str">
            <v/>
          </cell>
          <cell r="AR376" t="str">
            <v/>
          </cell>
          <cell r="AS376" t="str">
            <v/>
          </cell>
          <cell r="AU376" t="str">
            <v/>
          </cell>
          <cell r="AV376" t="str">
            <v/>
          </cell>
          <cell r="AW376" t="str">
            <v/>
          </cell>
          <cell r="AX376" t="str">
            <v/>
          </cell>
          <cell r="AY376" t="str">
            <v/>
          </cell>
          <cell r="AZ376" t="str">
            <v/>
          </cell>
          <cell r="BA376" t="str">
            <v/>
          </cell>
          <cell r="BB376" t="str">
            <v/>
          </cell>
          <cell r="BC376" t="str">
            <v/>
          </cell>
          <cell r="BD376" t="str">
            <v/>
          </cell>
          <cell r="BE376" t="str">
            <v/>
          </cell>
          <cell r="BF376" t="str">
            <v/>
          </cell>
          <cell r="BG376" t="str">
            <v/>
          </cell>
          <cell r="BH376" t="str">
            <v/>
          </cell>
          <cell r="BI376" t="str">
            <v/>
          </cell>
          <cell r="BJ376" t="str">
            <v/>
          </cell>
        </row>
        <row r="377">
          <cell r="A377" t="str">
            <v>RET</v>
          </cell>
          <cell r="B377" t="str">
            <v>Q15</v>
          </cell>
          <cell r="C377" t="str">
            <v/>
          </cell>
          <cell r="D377" t="str">
            <v/>
          </cell>
          <cell r="E377" t="str">
            <v/>
          </cell>
          <cell r="F377" t="str">
            <v/>
          </cell>
          <cell r="G377" t="str">
            <v/>
          </cell>
          <cell r="H377" t="str">
            <v/>
          </cell>
          <cell r="J377" t="str">
            <v/>
          </cell>
          <cell r="K377" t="str">
            <v/>
          </cell>
          <cell r="L377" t="str">
            <v/>
          </cell>
          <cell r="M377">
            <v>617</v>
          </cell>
          <cell r="N377" t="str">
            <v/>
          </cell>
          <cell r="Q377">
            <v>1</v>
          </cell>
          <cell r="R377">
            <v>1</v>
          </cell>
          <cell r="S377" t="str">
            <v/>
          </cell>
          <cell r="X377" t="str">
            <v/>
          </cell>
          <cell r="Y377" t="str">
            <v/>
          </cell>
          <cell r="Z377" t="str">
            <v/>
          </cell>
          <cell r="AB377" t="str">
            <v/>
          </cell>
          <cell r="AD377" t="str">
            <v/>
          </cell>
          <cell r="AE377" t="str">
            <v/>
          </cell>
          <cell r="AF377" t="str">
            <v/>
          </cell>
          <cell r="AG377">
            <v>1.3605442176870748E-2</v>
          </cell>
          <cell r="AH377">
            <v>0.33333333333333331</v>
          </cell>
          <cell r="AI377" t="str">
            <v/>
          </cell>
          <cell r="AJ377" t="str">
            <v/>
          </cell>
          <cell r="AK377" t="str">
            <v/>
          </cell>
          <cell r="AL377" t="str">
            <v/>
          </cell>
          <cell r="AM377" t="str">
            <v/>
          </cell>
          <cell r="AN377" t="str">
            <v/>
          </cell>
          <cell r="AO377">
            <v>10</v>
          </cell>
          <cell r="AQ377" t="str">
            <v/>
          </cell>
          <cell r="AR377" t="str">
            <v/>
          </cell>
          <cell r="AS377" t="str">
            <v/>
          </cell>
          <cell r="AU377" t="str">
            <v/>
          </cell>
          <cell r="AV377" t="str">
            <v/>
          </cell>
          <cell r="AW377" t="str">
            <v/>
          </cell>
          <cell r="AX377" t="str">
            <v/>
          </cell>
          <cell r="AY377" t="str">
            <v/>
          </cell>
          <cell r="AZ377" t="str">
            <v/>
          </cell>
          <cell r="BA377" t="str">
            <v/>
          </cell>
          <cell r="BB377" t="str">
            <v/>
          </cell>
          <cell r="BC377" t="str">
            <v/>
          </cell>
          <cell r="BD377" t="str">
            <v/>
          </cell>
          <cell r="BE377" t="str">
            <v/>
          </cell>
          <cell r="BF377" t="str">
            <v/>
          </cell>
          <cell r="BG377" t="str">
            <v/>
          </cell>
          <cell r="BH377" t="str">
            <v/>
          </cell>
          <cell r="BI377" t="str">
            <v/>
          </cell>
          <cell r="BJ377" t="str">
            <v/>
          </cell>
        </row>
        <row r="378">
          <cell r="A378" t="str">
            <v>RF4</v>
          </cell>
          <cell r="B378" t="str">
            <v>Q06</v>
          </cell>
          <cell r="C378" t="str">
            <v/>
          </cell>
          <cell r="D378" t="str">
            <v/>
          </cell>
          <cell r="E378">
            <v>0.98907065127587757</v>
          </cell>
          <cell r="F378" t="str">
            <v/>
          </cell>
          <cell r="G378" t="str">
            <v/>
          </cell>
          <cell r="H378" t="str">
            <v/>
          </cell>
          <cell r="J378" t="str">
            <v/>
          </cell>
          <cell r="K378" t="str">
            <v/>
          </cell>
          <cell r="L378" t="str">
            <v/>
          </cell>
          <cell r="M378">
            <v>8845</v>
          </cell>
          <cell r="N378" t="str">
            <v/>
          </cell>
          <cell r="Q378">
            <v>0.99820520490577325</v>
          </cell>
          <cell r="R378">
            <v>1</v>
          </cell>
          <cell r="S378" t="str">
            <v/>
          </cell>
          <cell r="X378" t="str">
            <v/>
          </cell>
          <cell r="Y378" t="str">
            <v/>
          </cell>
          <cell r="Z378" t="str">
            <v/>
          </cell>
          <cell r="AB378">
            <v>1</v>
          </cell>
          <cell r="AD378" t="str">
            <v/>
          </cell>
          <cell r="AE378" t="str">
            <v/>
          </cell>
          <cell r="AF378" t="str">
            <v/>
          </cell>
          <cell r="AG378">
            <v>1.2267657992565056E-2</v>
          </cell>
          <cell r="AH378">
            <v>5.333333333333333</v>
          </cell>
          <cell r="AI378" t="str">
            <v/>
          </cell>
          <cell r="AJ378" t="str">
            <v/>
          </cell>
          <cell r="AK378" t="str">
            <v/>
          </cell>
          <cell r="AL378" t="str">
            <v/>
          </cell>
          <cell r="AM378" t="str">
            <v/>
          </cell>
          <cell r="AN378" t="str">
            <v/>
          </cell>
          <cell r="AO378">
            <v>-16009</v>
          </cell>
          <cell r="AQ378" t="str">
            <v/>
          </cell>
          <cell r="AR378" t="str">
            <v/>
          </cell>
          <cell r="AS378" t="str">
            <v/>
          </cell>
          <cell r="AU378" t="str">
            <v/>
          </cell>
          <cell r="AV378" t="str">
            <v/>
          </cell>
          <cell r="AW378" t="str">
            <v/>
          </cell>
          <cell r="AX378" t="str">
            <v/>
          </cell>
          <cell r="AY378" t="str">
            <v/>
          </cell>
          <cell r="AZ378" t="str">
            <v/>
          </cell>
          <cell r="BA378" t="str">
            <v/>
          </cell>
          <cell r="BB378" t="str">
            <v/>
          </cell>
          <cell r="BC378" t="str">
            <v/>
          </cell>
          <cell r="BD378" t="str">
            <v/>
          </cell>
          <cell r="BE378" t="str">
            <v/>
          </cell>
          <cell r="BF378" t="str">
            <v/>
          </cell>
          <cell r="BG378" t="str">
            <v/>
          </cell>
          <cell r="BH378" t="str">
            <v/>
          </cell>
          <cell r="BI378" t="str">
            <v/>
          </cell>
          <cell r="BJ378" t="str">
            <v/>
          </cell>
        </row>
        <row r="379">
          <cell r="A379" t="str">
            <v>RF41</v>
          </cell>
          <cell r="B379" t="str">
            <v>Q06</v>
          </cell>
          <cell r="C379" t="str">
            <v/>
          </cell>
          <cell r="D379" t="str">
            <v/>
          </cell>
          <cell r="E379" t="str">
            <v/>
          </cell>
          <cell r="J379" t="str">
            <v/>
          </cell>
          <cell r="K379" t="str">
            <v/>
          </cell>
          <cell r="L379" t="str">
            <v/>
          </cell>
          <cell r="M379" t="str">
            <v/>
          </cell>
          <cell r="Q379" t="str">
            <v/>
          </cell>
          <cell r="R379" t="str">
            <v/>
          </cell>
          <cell r="X379" t="str">
            <v/>
          </cell>
          <cell r="Y379" t="str">
            <v/>
          </cell>
          <cell r="Z379" t="str">
            <v/>
          </cell>
          <cell r="AB379" t="str">
            <v/>
          </cell>
          <cell r="AD379" t="str">
            <v/>
          </cell>
          <cell r="AE379" t="str">
            <v/>
          </cell>
          <cell r="AF379" t="str">
            <v/>
          </cell>
          <cell r="AG379">
            <v>4.4438310792161193E-2</v>
          </cell>
          <cell r="AH379" t="str">
            <v/>
          </cell>
          <cell r="AI379" t="str">
            <v/>
          </cell>
          <cell r="AJ379" t="str">
            <v/>
          </cell>
          <cell r="AK379" t="str">
            <v/>
          </cell>
          <cell r="AL379" t="str">
            <v/>
          </cell>
          <cell r="AM379" t="str">
            <v/>
          </cell>
          <cell r="AN379" t="str">
            <v/>
          </cell>
          <cell r="AO379" t="str">
            <v/>
          </cell>
          <cell r="AS379" t="str">
            <v/>
          </cell>
          <cell r="BB379" t="str">
            <v/>
          </cell>
          <cell r="BC379" t="str">
            <v/>
          </cell>
          <cell r="BD379" t="str">
            <v/>
          </cell>
          <cell r="BE379" t="str">
            <v/>
          </cell>
          <cell r="BF379" t="str">
            <v/>
          </cell>
          <cell r="BG379" t="str">
            <v/>
          </cell>
          <cell r="BH379" t="str">
            <v/>
          </cell>
          <cell r="BI379" t="str">
            <v/>
          </cell>
          <cell r="BJ379" t="str">
            <v/>
          </cell>
        </row>
        <row r="380">
          <cell r="A380" t="str">
            <v>RFF</v>
          </cell>
          <cell r="B380" t="str">
            <v>Q23</v>
          </cell>
          <cell r="C380" t="str">
            <v/>
          </cell>
          <cell r="D380" t="str">
            <v/>
          </cell>
          <cell r="E380">
            <v>0.97849145550972305</v>
          </cell>
          <cell r="F380" t="str">
            <v/>
          </cell>
          <cell r="G380" t="str">
            <v/>
          </cell>
          <cell r="H380" t="str">
            <v/>
          </cell>
          <cell r="J380" t="str">
            <v/>
          </cell>
          <cell r="K380" t="str">
            <v/>
          </cell>
          <cell r="L380" t="str">
            <v/>
          </cell>
          <cell r="M380">
            <v>2741</v>
          </cell>
          <cell r="N380" t="str">
            <v/>
          </cell>
          <cell r="Q380">
            <v>1</v>
          </cell>
          <cell r="R380">
            <v>1</v>
          </cell>
          <cell r="S380" t="str">
            <v/>
          </cell>
          <cell r="X380" t="str">
            <v/>
          </cell>
          <cell r="Y380" t="str">
            <v/>
          </cell>
          <cell r="Z380" t="str">
            <v/>
          </cell>
          <cell r="AB380">
            <v>1</v>
          </cell>
          <cell r="AD380" t="str">
            <v/>
          </cell>
          <cell r="AE380" t="str">
            <v/>
          </cell>
          <cell r="AF380" t="str">
            <v/>
          </cell>
          <cell r="AG380">
            <v>2.3786869647954329E-3</v>
          </cell>
          <cell r="AH380">
            <v>2.3333333333333335</v>
          </cell>
          <cell r="AI380" t="str">
            <v/>
          </cell>
          <cell r="AJ380" t="str">
            <v/>
          </cell>
          <cell r="AK380" t="str">
            <v/>
          </cell>
          <cell r="AL380" t="str">
            <v/>
          </cell>
          <cell r="AM380" t="str">
            <v/>
          </cell>
          <cell r="AN380" t="str">
            <v/>
          </cell>
          <cell r="AO380" t="str">
            <v/>
          </cell>
          <cell r="AQ380" t="str">
            <v/>
          </cell>
          <cell r="AR380" t="str">
            <v/>
          </cell>
          <cell r="AS380" t="str">
            <v/>
          </cell>
          <cell r="AU380" t="str">
            <v/>
          </cell>
          <cell r="AV380" t="str">
            <v/>
          </cell>
          <cell r="AW380" t="str">
            <v/>
          </cell>
          <cell r="AX380" t="str">
            <v/>
          </cell>
          <cell r="AY380" t="str">
            <v/>
          </cell>
          <cell r="AZ380" t="str">
            <v/>
          </cell>
          <cell r="BA380" t="str">
            <v/>
          </cell>
          <cell r="BB380" t="str">
            <v/>
          </cell>
          <cell r="BC380" t="str">
            <v/>
          </cell>
          <cell r="BD380" t="str">
            <v/>
          </cell>
          <cell r="BE380" t="str">
            <v/>
          </cell>
          <cell r="BF380" t="str">
            <v/>
          </cell>
          <cell r="BG380" t="str">
            <v/>
          </cell>
          <cell r="BH380" t="str">
            <v/>
          </cell>
          <cell r="BI380" t="str">
            <v/>
          </cell>
          <cell r="BJ380" t="str">
            <v/>
          </cell>
        </row>
        <row r="381">
          <cell r="A381" t="str">
            <v>RFK</v>
          </cell>
          <cell r="B381" t="str">
            <v>Q24</v>
          </cell>
          <cell r="C381" t="str">
            <v/>
          </cell>
          <cell r="D381" t="str">
            <v/>
          </cell>
          <cell r="E381">
            <v>0.95183640521996504</v>
          </cell>
          <cell r="J381" t="str">
            <v/>
          </cell>
          <cell r="K381" t="str">
            <v/>
          </cell>
          <cell r="L381" t="str">
            <v/>
          </cell>
          <cell r="M381">
            <v>5290</v>
          </cell>
          <cell r="Q381">
            <v>1</v>
          </cell>
          <cell r="R381">
            <v>1</v>
          </cell>
          <cell r="X381" t="str">
            <v/>
          </cell>
          <cell r="Y381" t="str">
            <v/>
          </cell>
          <cell r="Z381" t="str">
            <v/>
          </cell>
          <cell r="AB381">
            <v>1</v>
          </cell>
          <cell r="AD381" t="str">
            <v/>
          </cell>
          <cell r="AE381" t="str">
            <v/>
          </cell>
          <cell r="AF381" t="str">
            <v/>
          </cell>
          <cell r="AG381">
            <v>2.4178832116788326E-2</v>
          </cell>
          <cell r="AH381">
            <v>3.3333333333333335</v>
          </cell>
          <cell r="AI381" t="str">
            <v/>
          </cell>
          <cell r="AJ381" t="str">
            <v/>
          </cell>
          <cell r="AK381" t="str">
            <v/>
          </cell>
          <cell r="AL381" t="str">
            <v/>
          </cell>
          <cell r="AM381" t="str">
            <v/>
          </cell>
          <cell r="AN381" t="str">
            <v/>
          </cell>
          <cell r="AO381">
            <v>29</v>
          </cell>
          <cell r="AS381" t="str">
            <v/>
          </cell>
          <cell r="BB381" t="str">
            <v/>
          </cell>
          <cell r="BC381" t="str">
            <v/>
          </cell>
          <cell r="BD381" t="str">
            <v/>
          </cell>
          <cell r="BE381" t="str">
            <v/>
          </cell>
          <cell r="BF381" t="str">
            <v/>
          </cell>
          <cell r="BG381" t="str">
            <v/>
          </cell>
          <cell r="BH381" t="str">
            <v/>
          </cell>
          <cell r="BI381" t="str">
            <v/>
          </cell>
          <cell r="BJ381" t="str">
            <v/>
          </cell>
        </row>
        <row r="382">
          <cell r="A382" t="str">
            <v>RFR</v>
          </cell>
          <cell r="B382" t="str">
            <v>Q23</v>
          </cell>
          <cell r="C382" t="str">
            <v/>
          </cell>
          <cell r="D382" t="str">
            <v/>
          </cell>
          <cell r="E382">
            <v>0.97924028268551233</v>
          </cell>
          <cell r="F382" t="str">
            <v/>
          </cell>
          <cell r="G382" t="str">
            <v/>
          </cell>
          <cell r="H382" t="str">
            <v/>
          </cell>
          <cell r="J382" t="str">
            <v/>
          </cell>
          <cell r="K382" t="str">
            <v/>
          </cell>
          <cell r="L382" t="str">
            <v/>
          </cell>
          <cell r="M382">
            <v>3572</v>
          </cell>
          <cell r="N382" t="str">
            <v/>
          </cell>
          <cell r="Q382">
            <v>0.99888847721378293</v>
          </cell>
          <cell r="R382">
            <v>1</v>
          </cell>
          <cell r="S382" t="str">
            <v/>
          </cell>
          <cell r="X382" t="str">
            <v/>
          </cell>
          <cell r="Y382" t="str">
            <v/>
          </cell>
          <cell r="Z382" t="str">
            <v/>
          </cell>
          <cell r="AB382">
            <v>1</v>
          </cell>
          <cell r="AD382" t="str">
            <v/>
          </cell>
          <cell r="AE382" t="str">
            <v/>
          </cell>
          <cell r="AF382" t="str">
            <v/>
          </cell>
          <cell r="AG382">
            <v>9.4899169632265724E-3</v>
          </cell>
          <cell r="AH382">
            <v>1.6666666666666667</v>
          </cell>
          <cell r="AI382" t="str">
            <v/>
          </cell>
          <cell r="AJ382" t="str">
            <v/>
          </cell>
          <cell r="AK382" t="str">
            <v/>
          </cell>
          <cell r="AL382" t="str">
            <v/>
          </cell>
          <cell r="AM382" t="str">
            <v/>
          </cell>
          <cell r="AN382" t="str">
            <v/>
          </cell>
          <cell r="AO382">
            <v>23</v>
          </cell>
          <cell r="AQ382" t="str">
            <v/>
          </cell>
          <cell r="AR382" t="str">
            <v/>
          </cell>
          <cell r="AS382" t="str">
            <v/>
          </cell>
          <cell r="AU382" t="str">
            <v/>
          </cell>
          <cell r="AV382" t="str">
            <v/>
          </cell>
          <cell r="AW382" t="str">
            <v/>
          </cell>
          <cell r="AX382" t="str">
            <v/>
          </cell>
          <cell r="AY382" t="str">
            <v/>
          </cell>
          <cell r="AZ382" t="str">
            <v/>
          </cell>
          <cell r="BA382" t="str">
            <v/>
          </cell>
          <cell r="BB382" t="str">
            <v/>
          </cell>
          <cell r="BC382" t="str">
            <v/>
          </cell>
          <cell r="BD382" t="str">
            <v/>
          </cell>
          <cell r="BE382" t="str">
            <v/>
          </cell>
          <cell r="BF382" t="str">
            <v/>
          </cell>
          <cell r="BG382" t="str">
            <v/>
          </cell>
          <cell r="BH382" t="str">
            <v/>
          </cell>
          <cell r="BI382" t="str">
            <v/>
          </cell>
          <cell r="BJ382" t="str">
            <v/>
          </cell>
        </row>
        <row r="383">
          <cell r="A383" t="str">
            <v>RFS</v>
          </cell>
          <cell r="B383" t="str">
            <v>Q24</v>
          </cell>
          <cell r="C383" t="str">
            <v/>
          </cell>
          <cell r="D383" t="str">
            <v/>
          </cell>
          <cell r="E383">
            <v>0.98056749785038688</v>
          </cell>
          <cell r="F383" t="str">
            <v/>
          </cell>
          <cell r="G383" t="str">
            <v/>
          </cell>
          <cell r="H383" t="str">
            <v/>
          </cell>
          <cell r="J383" t="str">
            <v/>
          </cell>
          <cell r="K383" t="str">
            <v/>
          </cell>
          <cell r="L383" t="str">
            <v/>
          </cell>
          <cell r="M383">
            <v>3336</v>
          </cell>
          <cell r="N383" t="str">
            <v/>
          </cell>
          <cell r="Q383">
            <v>1</v>
          </cell>
          <cell r="R383">
            <v>1</v>
          </cell>
          <cell r="S383" t="str">
            <v/>
          </cell>
          <cell r="X383" t="str">
            <v/>
          </cell>
          <cell r="Y383" t="str">
            <v/>
          </cell>
          <cell r="Z383" t="str">
            <v/>
          </cell>
          <cell r="AB383">
            <v>1</v>
          </cell>
          <cell r="AD383" t="str">
            <v/>
          </cell>
          <cell r="AE383" t="str">
            <v/>
          </cell>
          <cell r="AF383" t="str">
            <v/>
          </cell>
          <cell r="AG383">
            <v>3.3088235294117647E-2</v>
          </cell>
          <cell r="AH383">
            <v>2.3333333333333335</v>
          </cell>
          <cell r="AI383" t="str">
            <v/>
          </cell>
          <cell r="AJ383" t="str">
            <v/>
          </cell>
          <cell r="AK383" t="str">
            <v/>
          </cell>
          <cell r="AL383" t="str">
            <v/>
          </cell>
          <cell r="AM383" t="str">
            <v/>
          </cell>
          <cell r="AN383" t="str">
            <v/>
          </cell>
          <cell r="AO383" t="str">
            <v/>
          </cell>
          <cell r="AQ383" t="str">
            <v/>
          </cell>
          <cell r="AR383" t="str">
            <v/>
          </cell>
          <cell r="AS383" t="str">
            <v/>
          </cell>
          <cell r="AU383" t="str">
            <v/>
          </cell>
          <cell r="AV383" t="str">
            <v/>
          </cell>
          <cell r="AW383" t="str">
            <v/>
          </cell>
          <cell r="AX383" t="str">
            <v/>
          </cell>
          <cell r="AY383" t="str">
            <v/>
          </cell>
          <cell r="AZ383" t="str">
            <v/>
          </cell>
          <cell r="BA383" t="str">
            <v/>
          </cell>
          <cell r="BB383" t="str">
            <v/>
          </cell>
          <cell r="BC383" t="str">
            <v/>
          </cell>
          <cell r="BD383" t="str">
            <v/>
          </cell>
          <cell r="BE383" t="str">
            <v/>
          </cell>
          <cell r="BF383" t="str">
            <v/>
          </cell>
          <cell r="BG383" t="str">
            <v/>
          </cell>
          <cell r="BH383" t="str">
            <v/>
          </cell>
          <cell r="BI383" t="str">
            <v/>
          </cell>
          <cell r="BJ383" t="str">
            <v/>
          </cell>
        </row>
        <row r="384">
          <cell r="A384" t="str">
            <v>RFU</v>
          </cell>
          <cell r="B384" t="str">
            <v>Q02</v>
          </cell>
          <cell r="C384">
            <v>0.77124532335649387</v>
          </cell>
          <cell r="D384">
            <v>0.96440489432703003</v>
          </cell>
          <cell r="E384" t="str">
            <v/>
          </cell>
          <cell r="F384" t="str">
            <v/>
          </cell>
          <cell r="G384" t="str">
            <v/>
          </cell>
          <cell r="H384" t="str">
            <v/>
          </cell>
          <cell r="J384" t="str">
            <v/>
          </cell>
          <cell r="K384" t="str">
            <v/>
          </cell>
          <cell r="L384" t="str">
            <v/>
          </cell>
          <cell r="M384" t="str">
            <v/>
          </cell>
          <cell r="N384" t="str">
            <v/>
          </cell>
          <cell r="Q384" t="str">
            <v/>
          </cell>
          <cell r="R384" t="str">
            <v/>
          </cell>
          <cell r="S384" t="str">
            <v/>
          </cell>
          <cell r="X384" t="str">
            <v/>
          </cell>
          <cell r="Y384" t="str">
            <v/>
          </cell>
          <cell r="Z384" t="str">
            <v/>
          </cell>
          <cell r="AB384" t="str">
            <v/>
          </cell>
          <cell r="AD384" t="str">
            <v/>
          </cell>
          <cell r="AE384" t="str">
            <v/>
          </cell>
          <cell r="AF384" t="str">
            <v/>
          </cell>
          <cell r="AG384" t="str">
            <v/>
          </cell>
          <cell r="AH384" t="str">
            <v/>
          </cell>
          <cell r="AI384" t="str">
            <v/>
          </cell>
          <cell r="AJ384" t="str">
            <v/>
          </cell>
          <cell r="AK384" t="str">
            <v/>
          </cell>
          <cell r="AL384" t="str">
            <v/>
          </cell>
          <cell r="AM384" t="str">
            <v/>
          </cell>
          <cell r="AN384" t="str">
            <v/>
          </cell>
          <cell r="AO384">
            <v>147</v>
          </cell>
          <cell r="AQ384" t="str">
            <v/>
          </cell>
          <cell r="AR384" t="str">
            <v/>
          </cell>
          <cell r="AS384" t="str">
            <v/>
          </cell>
          <cell r="AU384" t="str">
            <v/>
          </cell>
          <cell r="AV384" t="str">
            <v/>
          </cell>
          <cell r="AW384" t="str">
            <v/>
          </cell>
          <cell r="AX384" t="str">
            <v/>
          </cell>
          <cell r="AY384" t="str">
            <v/>
          </cell>
          <cell r="AZ384" t="str">
            <v/>
          </cell>
          <cell r="BA384" t="str">
            <v/>
          </cell>
          <cell r="BB384" t="str">
            <v/>
          </cell>
          <cell r="BC384" t="str">
            <v/>
          </cell>
          <cell r="BD384" t="str">
            <v/>
          </cell>
          <cell r="BE384" t="str">
            <v/>
          </cell>
          <cell r="BF384" t="str">
            <v/>
          </cell>
          <cell r="BG384" t="str">
            <v/>
          </cell>
          <cell r="BH384" t="str">
            <v/>
          </cell>
          <cell r="BI384" t="str">
            <v/>
          </cell>
          <cell r="BJ384" t="str">
            <v/>
          </cell>
        </row>
        <row r="385">
          <cell r="A385" t="str">
            <v>RFW</v>
          </cell>
          <cell r="B385" t="str">
            <v>Q04</v>
          </cell>
          <cell r="C385" t="str">
            <v/>
          </cell>
          <cell r="D385" t="str">
            <v/>
          </cell>
          <cell r="E385">
            <v>0.96139296840231414</v>
          </cell>
          <cell r="F385" t="str">
            <v/>
          </cell>
          <cell r="G385" t="str">
            <v/>
          </cell>
          <cell r="H385" t="str">
            <v/>
          </cell>
          <cell r="J385" t="str">
            <v/>
          </cell>
          <cell r="K385" t="str">
            <v/>
          </cell>
          <cell r="L385" t="str">
            <v/>
          </cell>
          <cell r="M385">
            <v>1563</v>
          </cell>
          <cell r="N385" t="str">
            <v/>
          </cell>
          <cell r="Q385">
            <v>1</v>
          </cell>
          <cell r="R385">
            <v>1</v>
          </cell>
          <cell r="S385" t="str">
            <v/>
          </cell>
          <cell r="X385" t="str">
            <v/>
          </cell>
          <cell r="Y385" t="str">
            <v/>
          </cell>
          <cell r="Z385" t="str">
            <v/>
          </cell>
          <cell r="AB385">
            <v>1</v>
          </cell>
          <cell r="AD385" t="str">
            <v/>
          </cell>
          <cell r="AE385" t="str">
            <v/>
          </cell>
          <cell r="AF385" t="str">
            <v/>
          </cell>
          <cell r="AG385">
            <v>1.7740981667652277E-3</v>
          </cell>
          <cell r="AH385">
            <v>2.6666666666666665</v>
          </cell>
          <cell r="AI385" t="str">
            <v/>
          </cell>
          <cell r="AJ385" t="str">
            <v/>
          </cell>
          <cell r="AK385" t="str">
            <v/>
          </cell>
          <cell r="AL385" t="str">
            <v/>
          </cell>
          <cell r="AM385" t="str">
            <v/>
          </cell>
          <cell r="AN385" t="str">
            <v/>
          </cell>
          <cell r="AO385">
            <v>-9024</v>
          </cell>
          <cell r="AQ385" t="str">
            <v/>
          </cell>
          <cell r="AR385" t="str">
            <v/>
          </cell>
          <cell r="AS385" t="str">
            <v/>
          </cell>
          <cell r="AU385" t="str">
            <v/>
          </cell>
          <cell r="AV385" t="str">
            <v/>
          </cell>
          <cell r="AW385" t="str">
            <v/>
          </cell>
          <cell r="AX385" t="str">
            <v/>
          </cell>
          <cell r="AY385" t="str">
            <v/>
          </cell>
          <cell r="AZ385" t="str">
            <v/>
          </cell>
          <cell r="BA385" t="str">
            <v/>
          </cell>
          <cell r="BB385" t="str">
            <v/>
          </cell>
          <cell r="BC385" t="str">
            <v/>
          </cell>
          <cell r="BD385" t="str">
            <v/>
          </cell>
          <cell r="BE385" t="str">
            <v/>
          </cell>
          <cell r="BF385" t="str">
            <v/>
          </cell>
          <cell r="BG385" t="str">
            <v/>
          </cell>
          <cell r="BH385" t="str">
            <v/>
          </cell>
          <cell r="BI385" t="str">
            <v/>
          </cell>
          <cell r="BJ385" t="str">
            <v/>
          </cell>
        </row>
        <row r="386">
          <cell r="A386" t="str">
            <v>RG2</v>
          </cell>
          <cell r="B386" t="str">
            <v>Q07</v>
          </cell>
          <cell r="C386" t="str">
            <v/>
          </cell>
          <cell r="D386" t="str">
            <v/>
          </cell>
          <cell r="E386">
            <v>0.96443556443556444</v>
          </cell>
          <cell r="F386" t="str">
            <v/>
          </cell>
          <cell r="G386" t="str">
            <v/>
          </cell>
          <cell r="H386" t="str">
            <v/>
          </cell>
          <cell r="J386" t="str">
            <v/>
          </cell>
          <cell r="K386" t="str">
            <v/>
          </cell>
          <cell r="L386" t="str">
            <v/>
          </cell>
          <cell r="M386">
            <v>3186</v>
          </cell>
          <cell r="N386" t="str">
            <v/>
          </cell>
          <cell r="Q386">
            <v>1</v>
          </cell>
          <cell r="R386">
            <v>0.97137404580152675</v>
          </cell>
          <cell r="S386" t="str">
            <v/>
          </cell>
          <cell r="X386" t="str">
            <v/>
          </cell>
          <cell r="Y386" t="str">
            <v/>
          </cell>
          <cell r="Z386" t="str">
            <v/>
          </cell>
          <cell r="AB386">
            <v>0.98837209302325579</v>
          </cell>
          <cell r="AD386" t="str">
            <v/>
          </cell>
          <cell r="AE386" t="str">
            <v/>
          </cell>
          <cell r="AF386" t="str">
            <v/>
          </cell>
          <cell r="AG386">
            <v>4.511677282377919E-2</v>
          </cell>
          <cell r="AH386">
            <v>1.3333333333333333</v>
          </cell>
          <cell r="AI386" t="str">
            <v/>
          </cell>
          <cell r="AJ386" t="str">
            <v/>
          </cell>
          <cell r="AK386" t="str">
            <v/>
          </cell>
          <cell r="AL386" t="str">
            <v/>
          </cell>
          <cell r="AM386" t="str">
            <v/>
          </cell>
          <cell r="AN386" t="str">
            <v/>
          </cell>
          <cell r="AO386">
            <v>-19199</v>
          </cell>
          <cell r="AQ386" t="str">
            <v/>
          </cell>
          <cell r="AR386" t="str">
            <v/>
          </cell>
          <cell r="AS386" t="str">
            <v/>
          </cell>
          <cell r="AU386" t="str">
            <v/>
          </cell>
          <cell r="AV386" t="str">
            <v/>
          </cell>
          <cell r="AW386" t="str">
            <v/>
          </cell>
          <cell r="AX386" t="str">
            <v/>
          </cell>
          <cell r="AY386" t="str">
            <v/>
          </cell>
          <cell r="AZ386" t="str">
            <v/>
          </cell>
          <cell r="BA386" t="str">
            <v/>
          </cell>
          <cell r="BB386" t="str">
            <v/>
          </cell>
          <cell r="BC386" t="str">
            <v/>
          </cell>
          <cell r="BD386" t="str">
            <v/>
          </cell>
          <cell r="BE386" t="str">
            <v/>
          </cell>
          <cell r="BF386" t="str">
            <v/>
          </cell>
          <cell r="BG386" t="str">
            <v/>
          </cell>
          <cell r="BH386" t="str">
            <v/>
          </cell>
          <cell r="BI386" t="str">
            <v/>
          </cell>
          <cell r="BJ386" t="str">
            <v/>
          </cell>
        </row>
        <row r="387">
          <cell r="A387" t="str">
            <v>RG3</v>
          </cell>
          <cell r="B387" t="str">
            <v>Q07</v>
          </cell>
          <cell r="C387" t="str">
            <v/>
          </cell>
          <cell r="D387" t="str">
            <v/>
          </cell>
          <cell r="E387">
            <v>0.96675681766959654</v>
          </cell>
          <cell r="F387" t="str">
            <v/>
          </cell>
          <cell r="G387" t="str">
            <v/>
          </cell>
          <cell r="H387" t="str">
            <v/>
          </cell>
          <cell r="J387" t="str">
            <v/>
          </cell>
          <cell r="K387" t="str">
            <v/>
          </cell>
          <cell r="L387" t="str">
            <v/>
          </cell>
          <cell r="M387">
            <v>4577</v>
          </cell>
          <cell r="N387" t="str">
            <v/>
          </cell>
          <cell r="Q387">
            <v>1</v>
          </cell>
          <cell r="R387">
            <v>1</v>
          </cell>
          <cell r="S387" t="str">
            <v/>
          </cell>
          <cell r="X387" t="str">
            <v/>
          </cell>
          <cell r="Y387" t="str">
            <v/>
          </cell>
          <cell r="Z387" t="str">
            <v/>
          </cell>
          <cell r="AB387">
            <v>1</v>
          </cell>
          <cell r="AD387" t="str">
            <v/>
          </cell>
          <cell r="AE387" t="str">
            <v/>
          </cell>
          <cell r="AF387" t="str">
            <v/>
          </cell>
          <cell r="AG387">
            <v>1.0633584404076208E-2</v>
          </cell>
          <cell r="AH387">
            <v>1</v>
          </cell>
          <cell r="AI387" t="str">
            <v/>
          </cell>
          <cell r="AJ387" t="str">
            <v/>
          </cell>
          <cell r="AK387" t="str">
            <v/>
          </cell>
          <cell r="AL387" t="str">
            <v/>
          </cell>
          <cell r="AM387" t="str">
            <v/>
          </cell>
          <cell r="AN387" t="str">
            <v/>
          </cell>
          <cell r="AO387">
            <v>-15765</v>
          </cell>
          <cell r="AQ387" t="str">
            <v/>
          </cell>
          <cell r="AR387" t="str">
            <v/>
          </cell>
          <cell r="AS387" t="str">
            <v/>
          </cell>
          <cell r="AU387" t="str">
            <v/>
          </cell>
          <cell r="AV387" t="str">
            <v/>
          </cell>
          <cell r="AW387" t="str">
            <v/>
          </cell>
          <cell r="AX387" t="str">
            <v/>
          </cell>
          <cell r="AY387" t="str">
            <v/>
          </cell>
          <cell r="AZ387" t="str">
            <v/>
          </cell>
          <cell r="BA387" t="str">
            <v/>
          </cell>
          <cell r="BB387" t="str">
            <v/>
          </cell>
          <cell r="BC387" t="str">
            <v/>
          </cell>
          <cell r="BD387" t="str">
            <v/>
          </cell>
          <cell r="BE387" t="str">
            <v/>
          </cell>
          <cell r="BF387" t="str">
            <v/>
          </cell>
          <cell r="BG387" t="str">
            <v/>
          </cell>
          <cell r="BH387" t="str">
            <v/>
          </cell>
          <cell r="BI387" t="str">
            <v/>
          </cell>
          <cell r="BJ387" t="str">
            <v/>
          </cell>
        </row>
        <row r="388">
          <cell r="A388" t="str">
            <v>RGC</v>
          </cell>
          <cell r="B388" t="str">
            <v>Q06</v>
          </cell>
          <cell r="C388" t="str">
            <v/>
          </cell>
          <cell r="D388" t="str">
            <v/>
          </cell>
          <cell r="E388">
            <v>0.93233837505019412</v>
          </cell>
          <cell r="F388" t="str">
            <v/>
          </cell>
          <cell r="G388" t="str">
            <v/>
          </cell>
          <cell r="H388" t="str">
            <v/>
          </cell>
          <cell r="J388" t="str">
            <v/>
          </cell>
          <cell r="K388" t="str">
            <v/>
          </cell>
          <cell r="L388" t="str">
            <v/>
          </cell>
          <cell r="M388">
            <v>4255</v>
          </cell>
          <cell r="N388" t="str">
            <v/>
          </cell>
          <cell r="Q388">
            <v>1</v>
          </cell>
          <cell r="R388">
            <v>0.99969696969696975</v>
          </cell>
          <cell r="S388" t="str">
            <v/>
          </cell>
          <cell r="X388" t="str">
            <v/>
          </cell>
          <cell r="Y388" t="str">
            <v/>
          </cell>
          <cell r="Z388" t="str">
            <v/>
          </cell>
          <cell r="AB388">
            <v>1</v>
          </cell>
          <cell r="AD388" t="str">
            <v/>
          </cell>
          <cell r="AE388" t="str">
            <v/>
          </cell>
          <cell r="AF388" t="str">
            <v/>
          </cell>
          <cell r="AG388">
            <v>2.8449502133712657E-2</v>
          </cell>
          <cell r="AH388">
            <v>1</v>
          </cell>
          <cell r="AI388" t="str">
            <v/>
          </cell>
          <cell r="AJ388" t="str">
            <v/>
          </cell>
          <cell r="AK388" t="str">
            <v/>
          </cell>
          <cell r="AL388" t="str">
            <v/>
          </cell>
          <cell r="AM388" t="str">
            <v/>
          </cell>
          <cell r="AN388" t="str">
            <v/>
          </cell>
          <cell r="AO388">
            <v>-15602</v>
          </cell>
          <cell r="AQ388" t="str">
            <v/>
          </cell>
          <cell r="AR388" t="str">
            <v/>
          </cell>
          <cell r="AS388" t="str">
            <v/>
          </cell>
          <cell r="AU388" t="str">
            <v/>
          </cell>
          <cell r="AV388" t="str">
            <v/>
          </cell>
          <cell r="AW388" t="str">
            <v/>
          </cell>
          <cell r="AX388" t="str">
            <v/>
          </cell>
          <cell r="AY388" t="str">
            <v/>
          </cell>
          <cell r="AZ388" t="str">
            <v/>
          </cell>
          <cell r="BA388" t="str">
            <v/>
          </cell>
          <cell r="BB388" t="str">
            <v/>
          </cell>
          <cell r="BC388" t="str">
            <v/>
          </cell>
          <cell r="BD388" t="str">
            <v/>
          </cell>
          <cell r="BE388" t="str">
            <v/>
          </cell>
          <cell r="BF388" t="str">
            <v/>
          </cell>
          <cell r="BG388" t="str">
            <v/>
          </cell>
          <cell r="BH388" t="str">
            <v/>
          </cell>
          <cell r="BI388" t="str">
            <v/>
          </cell>
          <cell r="BJ388" t="str">
            <v/>
          </cell>
        </row>
        <row r="389">
          <cell r="A389" t="str">
            <v>RGD</v>
          </cell>
          <cell r="B389" t="str">
            <v>Q12</v>
          </cell>
          <cell r="C389" t="str">
            <v/>
          </cell>
          <cell r="D389" t="str">
            <v/>
          </cell>
          <cell r="E389" t="str">
            <v/>
          </cell>
          <cell r="F389" t="str">
            <v/>
          </cell>
          <cell r="G389" t="str">
            <v/>
          </cell>
          <cell r="H389" t="str">
            <v/>
          </cell>
          <cell r="J389" t="str">
            <v/>
          </cell>
          <cell r="K389" t="str">
            <v/>
          </cell>
          <cell r="L389" t="str">
            <v/>
          </cell>
          <cell r="M389">
            <v>15</v>
          </cell>
          <cell r="N389" t="str">
            <v/>
          </cell>
          <cell r="Q389">
            <v>0</v>
          </cell>
          <cell r="R389">
            <v>0.88131313131313127</v>
          </cell>
          <cell r="S389" t="str">
            <v/>
          </cell>
          <cell r="X389" t="str">
            <v/>
          </cell>
          <cell r="Y389" t="str">
            <v/>
          </cell>
          <cell r="Z389" t="str">
            <v/>
          </cell>
          <cell r="AB389" t="str">
            <v/>
          </cell>
          <cell r="AD389" t="str">
            <v/>
          </cell>
          <cell r="AE389" t="str">
            <v/>
          </cell>
          <cell r="AF389" t="str">
            <v/>
          </cell>
          <cell r="AG389">
            <v>0</v>
          </cell>
          <cell r="AH389" t="str">
            <v/>
          </cell>
          <cell r="AI389" t="str">
            <v/>
          </cell>
          <cell r="AJ389" t="str">
            <v/>
          </cell>
          <cell r="AK389" t="str">
            <v/>
          </cell>
          <cell r="AL389" t="str">
            <v/>
          </cell>
          <cell r="AM389" t="str">
            <v/>
          </cell>
          <cell r="AN389" t="str">
            <v/>
          </cell>
          <cell r="AO389">
            <v>1549</v>
          </cell>
          <cell r="AQ389" t="str">
            <v/>
          </cell>
          <cell r="AR389" t="str">
            <v/>
          </cell>
          <cell r="AS389" t="str">
            <v/>
          </cell>
          <cell r="AU389" t="str">
            <v/>
          </cell>
          <cell r="AV389" t="str">
            <v/>
          </cell>
          <cell r="AW389" t="str">
            <v/>
          </cell>
          <cell r="AX389" t="str">
            <v/>
          </cell>
          <cell r="AY389" t="str">
            <v/>
          </cell>
          <cell r="AZ389" t="str">
            <v/>
          </cell>
          <cell r="BA389" t="str">
            <v/>
          </cell>
          <cell r="BB389" t="str">
            <v/>
          </cell>
          <cell r="BC389" t="str">
            <v/>
          </cell>
          <cell r="BD389" t="str">
            <v/>
          </cell>
          <cell r="BE389" t="str">
            <v/>
          </cell>
          <cell r="BF389" t="str">
            <v/>
          </cell>
          <cell r="BG389" t="str">
            <v/>
          </cell>
          <cell r="BH389" t="str">
            <v/>
          </cell>
          <cell r="BI389" t="str">
            <v/>
          </cell>
          <cell r="BJ389" t="str">
            <v/>
          </cell>
        </row>
        <row r="390">
          <cell r="A390" t="str">
            <v>RGH</v>
          </cell>
          <cell r="B390" t="str">
            <v>Q12</v>
          </cell>
          <cell r="C390">
            <v>0.62624182214683788</v>
          </cell>
          <cell r="D390">
            <v>0.81490080202617143</v>
          </cell>
          <cell r="E390" t="str">
            <v/>
          </cell>
          <cell r="F390" t="str">
            <v/>
          </cell>
          <cell r="G390" t="str">
            <v/>
          </cell>
          <cell r="H390" t="str">
            <v/>
          </cell>
          <cell r="J390" t="str">
            <v/>
          </cell>
          <cell r="K390" t="str">
            <v/>
          </cell>
          <cell r="L390" t="str">
            <v/>
          </cell>
          <cell r="M390" t="str">
            <v/>
          </cell>
          <cell r="N390" t="str">
            <v/>
          </cell>
          <cell r="Q390" t="str">
            <v/>
          </cell>
          <cell r="R390" t="str">
            <v/>
          </cell>
          <cell r="S390" t="str">
            <v/>
          </cell>
          <cell r="X390" t="str">
            <v/>
          </cell>
          <cell r="Y390" t="str">
            <v/>
          </cell>
          <cell r="Z390" t="str">
            <v/>
          </cell>
          <cell r="AB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v>-279</v>
          </cell>
          <cell r="AQ390" t="str">
            <v/>
          </cell>
          <cell r="AR390" t="str">
            <v/>
          </cell>
          <cell r="AS390" t="str">
            <v/>
          </cell>
          <cell r="AU390" t="str">
            <v/>
          </cell>
          <cell r="AV390" t="str">
            <v/>
          </cell>
          <cell r="AW390" t="str">
            <v/>
          </cell>
          <cell r="AX390" t="str">
            <v/>
          </cell>
          <cell r="AY390" t="str">
            <v/>
          </cell>
          <cell r="AZ390" t="str">
            <v/>
          </cell>
          <cell r="BA390" t="str">
            <v/>
          </cell>
          <cell r="BB390" t="str">
            <v/>
          </cell>
          <cell r="BC390" t="str">
            <v/>
          </cell>
          <cell r="BD390" t="str">
            <v/>
          </cell>
          <cell r="BE390" t="str">
            <v/>
          </cell>
          <cell r="BF390" t="str">
            <v/>
          </cell>
          <cell r="BG390" t="str">
            <v/>
          </cell>
          <cell r="BH390" t="str">
            <v/>
          </cell>
          <cell r="BI390" t="str">
            <v/>
          </cell>
          <cell r="BJ390" t="str">
            <v/>
          </cell>
        </row>
        <row r="391">
          <cell r="A391" t="str">
            <v>RGK</v>
          </cell>
          <cell r="B391" t="str">
            <v>Q01</v>
          </cell>
          <cell r="C391" t="str">
            <v/>
          </cell>
          <cell r="D391" t="str">
            <v/>
          </cell>
          <cell r="E391" t="str">
            <v/>
          </cell>
          <cell r="J391" t="str">
            <v/>
          </cell>
          <cell r="K391" t="str">
            <v/>
          </cell>
          <cell r="L391" t="str">
            <v/>
          </cell>
          <cell r="M391" t="str">
            <v/>
          </cell>
          <cell r="Q391" t="str">
            <v/>
          </cell>
          <cell r="R391" t="str">
            <v/>
          </cell>
          <cell r="X391" t="str">
            <v/>
          </cell>
          <cell r="Y391" t="str">
            <v/>
          </cell>
          <cell r="Z391" t="str">
            <v/>
          </cell>
          <cell r="AB391" t="str">
            <v/>
          </cell>
          <cell r="AD391" t="str">
            <v/>
          </cell>
          <cell r="AE391" t="str">
            <v/>
          </cell>
          <cell r="AF391" t="str">
            <v/>
          </cell>
          <cell r="AG391">
            <v>0</v>
          </cell>
          <cell r="AH391" t="str">
            <v/>
          </cell>
          <cell r="AI391" t="str">
            <v/>
          </cell>
          <cell r="AJ391" t="str">
            <v/>
          </cell>
          <cell r="AK391" t="str">
            <v/>
          </cell>
          <cell r="AL391" t="str">
            <v/>
          </cell>
          <cell r="AM391" t="str">
            <v/>
          </cell>
          <cell r="AN391" t="str">
            <v/>
          </cell>
          <cell r="AO391" t="str">
            <v/>
          </cell>
          <cell r="AS391" t="str">
            <v/>
          </cell>
          <cell r="BB391" t="str">
            <v/>
          </cell>
          <cell r="BC391" t="str">
            <v/>
          </cell>
          <cell r="BD391" t="str">
            <v/>
          </cell>
          <cell r="BE391" t="str">
            <v/>
          </cell>
          <cell r="BF391" t="str">
            <v/>
          </cell>
          <cell r="BG391" t="str">
            <v/>
          </cell>
          <cell r="BH391" t="str">
            <v/>
          </cell>
          <cell r="BI391" t="str">
            <v/>
          </cell>
          <cell r="BJ391" t="str">
            <v/>
          </cell>
        </row>
        <row r="392">
          <cell r="A392" t="str">
            <v>RGM</v>
          </cell>
          <cell r="B392" t="str">
            <v>Q01</v>
          </cell>
          <cell r="C392" t="str">
            <v/>
          </cell>
          <cell r="D392" t="str">
            <v/>
          </cell>
          <cell r="E392" t="str">
            <v/>
          </cell>
          <cell r="F392" t="str">
            <v/>
          </cell>
          <cell r="G392" t="str">
            <v/>
          </cell>
          <cell r="H392" t="str">
            <v/>
          </cell>
          <cell r="J392" t="str">
            <v/>
          </cell>
          <cell r="K392" t="str">
            <v/>
          </cell>
          <cell r="L392" t="str">
            <v/>
          </cell>
          <cell r="M392">
            <v>1595</v>
          </cell>
          <cell r="N392" t="str">
            <v/>
          </cell>
          <cell r="Q392">
            <v>1</v>
          </cell>
          <cell r="R392">
            <v>1</v>
          </cell>
          <cell r="S392" t="str">
            <v/>
          </cell>
          <cell r="X392" t="str">
            <v/>
          </cell>
          <cell r="Y392" t="str">
            <v/>
          </cell>
          <cell r="Z392" t="str">
            <v/>
          </cell>
          <cell r="AB392" t="str">
            <v/>
          </cell>
          <cell r="AD392" t="str">
            <v/>
          </cell>
          <cell r="AE392" t="str">
            <v/>
          </cell>
          <cell r="AF392" t="str">
            <v/>
          </cell>
          <cell r="AG392">
            <v>2.1978021978021978E-3</v>
          </cell>
          <cell r="AH392">
            <v>1</v>
          </cell>
          <cell r="AI392" t="str">
            <v/>
          </cell>
          <cell r="AJ392" t="str">
            <v/>
          </cell>
          <cell r="AK392" t="str">
            <v/>
          </cell>
          <cell r="AL392" t="str">
            <v/>
          </cell>
          <cell r="AM392" t="str">
            <v/>
          </cell>
          <cell r="AN392" t="str">
            <v/>
          </cell>
          <cell r="AO392" t="str">
            <v/>
          </cell>
          <cell r="AQ392" t="str">
            <v/>
          </cell>
          <cell r="AR392" t="str">
            <v/>
          </cell>
          <cell r="AS392" t="str">
            <v/>
          </cell>
          <cell r="AU392" t="str">
            <v/>
          </cell>
          <cell r="AV392" t="str">
            <v/>
          </cell>
          <cell r="AW392" t="str">
            <v/>
          </cell>
          <cell r="AX392" t="str">
            <v/>
          </cell>
          <cell r="AY392" t="str">
            <v/>
          </cell>
          <cell r="AZ392" t="str">
            <v/>
          </cell>
          <cell r="BA392" t="str">
            <v/>
          </cell>
          <cell r="BB392" t="str">
            <v/>
          </cell>
          <cell r="BC392" t="str">
            <v/>
          </cell>
          <cell r="BD392" t="str">
            <v/>
          </cell>
          <cell r="BE392" t="str">
            <v/>
          </cell>
          <cell r="BF392" t="str">
            <v/>
          </cell>
          <cell r="BG392" t="str">
            <v/>
          </cell>
          <cell r="BH392" t="str">
            <v/>
          </cell>
          <cell r="BI392" t="str">
            <v/>
          </cell>
          <cell r="BJ392" t="str">
            <v/>
          </cell>
        </row>
        <row r="393">
          <cell r="A393" t="str">
            <v>RGN</v>
          </cell>
          <cell r="B393" t="str">
            <v>Q01</v>
          </cell>
          <cell r="C393" t="str">
            <v/>
          </cell>
          <cell r="D393" t="str">
            <v/>
          </cell>
          <cell r="E393">
            <v>0.97870637207813005</v>
          </cell>
          <cell r="F393" t="str">
            <v/>
          </cell>
          <cell r="G393" t="str">
            <v/>
          </cell>
          <cell r="H393" t="str">
            <v/>
          </cell>
          <cell r="J393" t="str">
            <v/>
          </cell>
          <cell r="K393" t="str">
            <v/>
          </cell>
          <cell r="L393" t="str">
            <v/>
          </cell>
          <cell r="M393">
            <v>5093</v>
          </cell>
          <cell r="N393" t="str">
            <v/>
          </cell>
          <cell r="Q393">
            <v>0.98321858864027534</v>
          </cell>
          <cell r="R393">
            <v>0.99946275071633239</v>
          </cell>
          <cell r="S393" t="str">
            <v/>
          </cell>
          <cell r="X393" t="str">
            <v/>
          </cell>
          <cell r="Y393" t="str">
            <v/>
          </cell>
          <cell r="Z393" t="str">
            <v/>
          </cell>
          <cell r="AB393">
            <v>0.98780487804878048</v>
          </cell>
          <cell r="AD393" t="str">
            <v/>
          </cell>
          <cell r="AE393" t="str">
            <v/>
          </cell>
          <cell r="AF393" t="str">
            <v/>
          </cell>
          <cell r="AG393">
            <v>2.2502960915909989E-2</v>
          </cell>
          <cell r="AH393">
            <v>0.66666666666666663</v>
          </cell>
          <cell r="AI393" t="str">
            <v/>
          </cell>
          <cell r="AJ393" t="str">
            <v/>
          </cell>
          <cell r="AK393" t="str">
            <v/>
          </cell>
          <cell r="AL393" t="str">
            <v/>
          </cell>
          <cell r="AM393" t="str">
            <v/>
          </cell>
          <cell r="AN393" t="str">
            <v/>
          </cell>
          <cell r="AO393" t="str">
            <v/>
          </cell>
          <cell r="AQ393" t="str">
            <v/>
          </cell>
          <cell r="AR393" t="str">
            <v/>
          </cell>
          <cell r="AS393" t="str">
            <v/>
          </cell>
          <cell r="AU393" t="str">
            <v/>
          </cell>
          <cell r="AV393" t="str">
            <v/>
          </cell>
          <cell r="AW393" t="str">
            <v/>
          </cell>
          <cell r="AX393" t="str">
            <v/>
          </cell>
          <cell r="AY393" t="str">
            <v/>
          </cell>
          <cell r="AZ393" t="str">
            <v/>
          </cell>
          <cell r="BA393" t="str">
            <v/>
          </cell>
          <cell r="BB393" t="str">
            <v/>
          </cell>
          <cell r="BC393" t="str">
            <v/>
          </cell>
          <cell r="BD393" t="str">
            <v/>
          </cell>
          <cell r="BE393" t="str">
            <v/>
          </cell>
          <cell r="BF393" t="str">
            <v/>
          </cell>
          <cell r="BG393" t="str">
            <v/>
          </cell>
          <cell r="BH393" t="str">
            <v/>
          </cell>
          <cell r="BI393" t="str">
            <v/>
          </cell>
          <cell r="BJ393" t="str">
            <v/>
          </cell>
        </row>
        <row r="394">
          <cell r="A394" t="str">
            <v>RGP</v>
          </cell>
          <cell r="B394" t="str">
            <v>Q01</v>
          </cell>
          <cell r="C394" t="str">
            <v/>
          </cell>
          <cell r="D394" t="str">
            <v/>
          </cell>
          <cell r="E394">
            <v>0.99289099526066349</v>
          </cell>
          <cell r="F394" t="str">
            <v/>
          </cell>
          <cell r="G394" t="str">
            <v/>
          </cell>
          <cell r="H394" t="str">
            <v/>
          </cell>
          <cell r="J394" t="str">
            <v/>
          </cell>
          <cell r="K394" t="str">
            <v/>
          </cell>
          <cell r="L394" t="str">
            <v/>
          </cell>
          <cell r="M394">
            <v>3866</v>
          </cell>
          <cell r="N394" t="str">
            <v/>
          </cell>
          <cell r="Q394">
            <v>1</v>
          </cell>
          <cell r="R394">
            <v>1</v>
          </cell>
          <cell r="S394" t="str">
            <v/>
          </cell>
          <cell r="X394" t="str">
            <v/>
          </cell>
          <cell r="Y394" t="str">
            <v/>
          </cell>
          <cell r="Z394" t="str">
            <v/>
          </cell>
          <cell r="AB394">
            <v>0.98181818181818181</v>
          </cell>
          <cell r="AD394" t="str">
            <v/>
          </cell>
          <cell r="AE394" t="str">
            <v/>
          </cell>
          <cell r="AF394" t="str">
            <v/>
          </cell>
          <cell r="AG394">
            <v>4.2944785276073622E-2</v>
          </cell>
          <cell r="AH394">
            <v>6</v>
          </cell>
          <cell r="AI394" t="str">
            <v/>
          </cell>
          <cell r="AJ394" t="str">
            <v/>
          </cell>
          <cell r="AK394" t="str">
            <v/>
          </cell>
          <cell r="AL394" t="str">
            <v/>
          </cell>
          <cell r="AM394" t="str">
            <v/>
          </cell>
          <cell r="AN394" t="str">
            <v/>
          </cell>
          <cell r="AO394">
            <v>1527</v>
          </cell>
          <cell r="AQ394" t="str">
            <v/>
          </cell>
          <cell r="AR394" t="str">
            <v/>
          </cell>
          <cell r="AS394" t="str">
            <v/>
          </cell>
          <cell r="AU394" t="str">
            <v/>
          </cell>
          <cell r="AV394" t="str">
            <v/>
          </cell>
          <cell r="AW394" t="str">
            <v/>
          </cell>
          <cell r="AX394" t="str">
            <v/>
          </cell>
          <cell r="AY394" t="str">
            <v/>
          </cell>
          <cell r="AZ394" t="str">
            <v/>
          </cell>
          <cell r="BA394" t="str">
            <v/>
          </cell>
          <cell r="BB394" t="str">
            <v/>
          </cell>
          <cell r="BC394" t="str">
            <v/>
          </cell>
          <cell r="BD394" t="str">
            <v/>
          </cell>
          <cell r="BE394" t="str">
            <v/>
          </cell>
          <cell r="BF394" t="str">
            <v/>
          </cell>
          <cell r="BG394" t="str">
            <v/>
          </cell>
          <cell r="BH394" t="str">
            <v/>
          </cell>
          <cell r="BI394" t="str">
            <v/>
          </cell>
          <cell r="BJ394" t="str">
            <v/>
          </cell>
        </row>
        <row r="395">
          <cell r="A395" t="str">
            <v>RGQ</v>
          </cell>
          <cell r="B395" t="str">
            <v>Q01</v>
          </cell>
          <cell r="C395" t="str">
            <v/>
          </cell>
          <cell r="D395" t="str">
            <v/>
          </cell>
          <cell r="E395">
            <v>0.97938889893328507</v>
          </cell>
          <cell r="F395" t="str">
            <v/>
          </cell>
          <cell r="G395" t="str">
            <v/>
          </cell>
          <cell r="H395" t="str">
            <v/>
          </cell>
          <cell r="J395" t="str">
            <v/>
          </cell>
          <cell r="K395" t="str">
            <v/>
          </cell>
          <cell r="L395" t="str">
            <v/>
          </cell>
          <cell r="M395">
            <v>6213</v>
          </cell>
          <cell r="N395" t="str">
            <v/>
          </cell>
          <cell r="Q395">
            <v>0.9986130374479889</v>
          </cell>
          <cell r="R395">
            <v>1</v>
          </cell>
          <cell r="S395" t="str">
            <v/>
          </cell>
          <cell r="X395" t="str">
            <v/>
          </cell>
          <cell r="Y395" t="str">
            <v/>
          </cell>
          <cell r="Z395" t="str">
            <v/>
          </cell>
          <cell r="AB395">
            <v>0.82380952380952377</v>
          </cell>
          <cell r="AD395" t="str">
            <v/>
          </cell>
          <cell r="AE395" t="str">
            <v/>
          </cell>
          <cell r="AF395" t="str">
            <v/>
          </cell>
          <cell r="AG395">
            <v>3.5120727500783946E-2</v>
          </cell>
          <cell r="AH395">
            <v>2.3333333333333335</v>
          </cell>
          <cell r="AI395" t="str">
            <v/>
          </cell>
          <cell r="AJ395" t="str">
            <v/>
          </cell>
          <cell r="AK395" t="str">
            <v/>
          </cell>
          <cell r="AL395" t="str">
            <v/>
          </cell>
          <cell r="AM395" t="str">
            <v/>
          </cell>
          <cell r="AN395" t="str">
            <v/>
          </cell>
          <cell r="AO395">
            <v>-11905</v>
          </cell>
          <cell r="AQ395" t="str">
            <v/>
          </cell>
          <cell r="AR395" t="str">
            <v/>
          </cell>
          <cell r="AS395" t="str">
            <v/>
          </cell>
          <cell r="AU395" t="str">
            <v/>
          </cell>
          <cell r="AV395" t="str">
            <v/>
          </cell>
          <cell r="AW395" t="str">
            <v/>
          </cell>
          <cell r="AX395" t="str">
            <v/>
          </cell>
          <cell r="AY395" t="str">
            <v/>
          </cell>
          <cell r="AZ395" t="str">
            <v/>
          </cell>
          <cell r="BA395" t="str">
            <v/>
          </cell>
          <cell r="BB395" t="str">
            <v/>
          </cell>
          <cell r="BC395" t="str">
            <v/>
          </cell>
          <cell r="BD395" t="str">
            <v/>
          </cell>
          <cell r="BE395" t="str">
            <v/>
          </cell>
          <cell r="BF395" t="str">
            <v/>
          </cell>
          <cell r="BG395" t="str">
            <v/>
          </cell>
          <cell r="BH395" t="str">
            <v/>
          </cell>
          <cell r="BI395" t="str">
            <v/>
          </cell>
          <cell r="BJ395" t="str">
            <v/>
          </cell>
        </row>
        <row r="396">
          <cell r="A396" t="str">
            <v>RGR</v>
          </cell>
          <cell r="B396" t="str">
            <v>Q01</v>
          </cell>
          <cell r="C396" t="str">
            <v/>
          </cell>
          <cell r="D396" t="str">
            <v/>
          </cell>
          <cell r="E396">
            <v>0.98049476688867743</v>
          </cell>
          <cell r="F396" t="str">
            <v/>
          </cell>
          <cell r="G396" t="str">
            <v/>
          </cell>
          <cell r="H396" t="str">
            <v/>
          </cell>
          <cell r="J396" t="str">
            <v/>
          </cell>
          <cell r="K396" t="str">
            <v/>
          </cell>
          <cell r="L396" t="str">
            <v/>
          </cell>
          <cell r="M396">
            <v>3507</v>
          </cell>
          <cell r="N396" t="str">
            <v/>
          </cell>
          <cell r="Q396">
            <v>1</v>
          </cell>
          <cell r="R396">
            <v>1</v>
          </cell>
          <cell r="S396" t="str">
            <v/>
          </cell>
          <cell r="X396" t="str">
            <v/>
          </cell>
          <cell r="Y396" t="str">
            <v/>
          </cell>
          <cell r="Z396" t="str">
            <v/>
          </cell>
          <cell r="AB396">
            <v>1</v>
          </cell>
          <cell r="AD396" t="str">
            <v/>
          </cell>
          <cell r="AE396" t="str">
            <v/>
          </cell>
          <cell r="AF396" t="str">
            <v/>
          </cell>
          <cell r="AG396">
            <v>9.5648015303682454E-3</v>
          </cell>
          <cell r="AH396">
            <v>1.3333333333333333</v>
          </cell>
          <cell r="AI396" t="str">
            <v/>
          </cell>
          <cell r="AJ396" t="str">
            <v/>
          </cell>
          <cell r="AK396" t="str">
            <v/>
          </cell>
          <cell r="AL396" t="str">
            <v/>
          </cell>
          <cell r="AM396" t="str">
            <v/>
          </cell>
          <cell r="AN396" t="str">
            <v/>
          </cell>
          <cell r="AO396">
            <v>-11833</v>
          </cell>
          <cell r="AQ396" t="str">
            <v/>
          </cell>
          <cell r="AR396" t="str">
            <v/>
          </cell>
          <cell r="AS396" t="str">
            <v/>
          </cell>
          <cell r="AU396" t="str">
            <v/>
          </cell>
          <cell r="AV396" t="str">
            <v/>
          </cell>
          <cell r="AW396" t="str">
            <v/>
          </cell>
          <cell r="AX396" t="str">
            <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row>
        <row r="397">
          <cell r="A397" t="str">
            <v>RGS</v>
          </cell>
          <cell r="B397" t="str">
            <v>Q01</v>
          </cell>
          <cell r="C397" t="str">
            <v/>
          </cell>
          <cell r="D397" t="str">
            <v/>
          </cell>
          <cell r="E397" t="str">
            <v/>
          </cell>
          <cell r="J397" t="str">
            <v/>
          </cell>
          <cell r="K397" t="str">
            <v/>
          </cell>
          <cell r="L397" t="str">
            <v/>
          </cell>
          <cell r="M397" t="str">
            <v/>
          </cell>
          <cell r="Q397" t="str">
            <v/>
          </cell>
          <cell r="R397" t="str">
            <v/>
          </cell>
          <cell r="X397" t="str">
            <v/>
          </cell>
          <cell r="Y397" t="str">
            <v/>
          </cell>
          <cell r="Z397" t="str">
            <v/>
          </cell>
          <cell r="AB397" t="str">
            <v/>
          </cell>
          <cell r="AD397" t="str">
            <v/>
          </cell>
          <cell r="AE397" t="str">
            <v/>
          </cell>
          <cell r="AF397" t="str">
            <v/>
          </cell>
          <cell r="AG397">
            <v>0</v>
          </cell>
          <cell r="AH397" t="str">
            <v/>
          </cell>
          <cell r="AI397" t="str">
            <v/>
          </cell>
          <cell r="AJ397" t="str">
            <v/>
          </cell>
          <cell r="AK397" t="str">
            <v/>
          </cell>
          <cell r="AL397" t="str">
            <v/>
          </cell>
          <cell r="AM397" t="str">
            <v/>
          </cell>
          <cell r="AN397" t="str">
            <v/>
          </cell>
          <cell r="AO397" t="str">
            <v/>
          </cell>
          <cell r="AS397" t="str">
            <v/>
          </cell>
          <cell r="BB397" t="str">
            <v/>
          </cell>
          <cell r="BC397" t="str">
            <v/>
          </cell>
          <cell r="BD397" t="str">
            <v/>
          </cell>
          <cell r="BE397" t="str">
            <v/>
          </cell>
          <cell r="BF397" t="str">
            <v/>
          </cell>
          <cell r="BG397" t="str">
            <v/>
          </cell>
          <cell r="BH397" t="str">
            <v/>
          </cell>
          <cell r="BI397" t="str">
            <v/>
          </cell>
          <cell r="BJ397" t="str">
            <v/>
          </cell>
        </row>
        <row r="398">
          <cell r="A398" t="str">
            <v>RGT</v>
          </cell>
          <cell r="B398" t="str">
            <v>Q01</v>
          </cell>
          <cell r="C398" t="str">
            <v/>
          </cell>
          <cell r="D398" t="str">
            <v/>
          </cell>
          <cell r="E398">
            <v>0.98945465501657126</v>
          </cell>
          <cell r="F398" t="str">
            <v/>
          </cell>
          <cell r="G398" t="str">
            <v/>
          </cell>
          <cell r="H398" t="str">
            <v/>
          </cell>
          <cell r="J398" t="str">
            <v/>
          </cell>
          <cell r="K398" t="str">
            <v/>
          </cell>
          <cell r="L398" t="str">
            <v/>
          </cell>
          <cell r="M398">
            <v>7683</v>
          </cell>
          <cell r="N398" t="str">
            <v/>
          </cell>
          <cell r="Q398">
            <v>1</v>
          </cell>
          <cell r="R398">
            <v>1</v>
          </cell>
          <cell r="S398" t="str">
            <v/>
          </cell>
          <cell r="X398" t="str">
            <v/>
          </cell>
          <cell r="Y398" t="str">
            <v/>
          </cell>
          <cell r="Z398" t="str">
            <v/>
          </cell>
          <cell r="AB398">
            <v>1</v>
          </cell>
          <cell r="AD398" t="str">
            <v/>
          </cell>
          <cell r="AE398" t="str">
            <v/>
          </cell>
          <cell r="AF398" t="str">
            <v/>
          </cell>
          <cell r="AG398">
            <v>3.4188034188034191E-2</v>
          </cell>
          <cell r="AH398">
            <v>10</v>
          </cell>
          <cell r="AI398" t="str">
            <v/>
          </cell>
          <cell r="AJ398" t="str">
            <v/>
          </cell>
          <cell r="AK398" t="str">
            <v/>
          </cell>
          <cell r="AL398" t="str">
            <v/>
          </cell>
          <cell r="AM398" t="str">
            <v/>
          </cell>
          <cell r="AN398" t="str">
            <v/>
          </cell>
          <cell r="AO398" t="str">
            <v/>
          </cell>
          <cell r="AQ398" t="str">
            <v/>
          </cell>
          <cell r="AR398" t="str">
            <v/>
          </cell>
          <cell r="AS398" t="str">
            <v/>
          </cell>
          <cell r="AU398" t="str">
            <v/>
          </cell>
          <cell r="AV398" t="str">
            <v/>
          </cell>
          <cell r="AW398" t="str">
            <v/>
          </cell>
          <cell r="AX398" t="str">
            <v/>
          </cell>
          <cell r="AY398" t="str">
            <v/>
          </cell>
          <cell r="AZ398" t="str">
            <v/>
          </cell>
          <cell r="BA398" t="str">
            <v/>
          </cell>
          <cell r="BB398" t="str">
            <v/>
          </cell>
          <cell r="BC398" t="str">
            <v/>
          </cell>
          <cell r="BD398" t="str">
            <v/>
          </cell>
          <cell r="BE398" t="str">
            <v/>
          </cell>
          <cell r="BF398" t="str">
            <v/>
          </cell>
          <cell r="BG398" t="str">
            <v/>
          </cell>
          <cell r="BH398" t="str">
            <v/>
          </cell>
          <cell r="BI398" t="str">
            <v/>
          </cell>
          <cell r="BJ398" t="str">
            <v/>
          </cell>
        </row>
        <row r="399">
          <cell r="A399" t="str">
            <v>RGZ</v>
          </cell>
          <cell r="B399" t="str">
            <v>Q07</v>
          </cell>
          <cell r="C399" t="str">
            <v/>
          </cell>
          <cell r="D399" t="str">
            <v/>
          </cell>
          <cell r="E399">
            <v>0.97745959739155086</v>
          </cell>
          <cell r="F399" t="str">
            <v/>
          </cell>
          <cell r="G399" t="str">
            <v/>
          </cell>
          <cell r="H399" t="str">
            <v/>
          </cell>
          <cell r="J399" t="str">
            <v/>
          </cell>
          <cell r="K399" t="str">
            <v/>
          </cell>
          <cell r="L399" t="str">
            <v/>
          </cell>
          <cell r="M399">
            <v>2412</v>
          </cell>
          <cell r="N399" t="str">
            <v/>
          </cell>
          <cell r="Q399">
            <v>1</v>
          </cell>
          <cell r="R399">
            <v>0.85040932771024558</v>
          </cell>
          <cell r="S399" t="str">
            <v/>
          </cell>
          <cell r="X399" t="str">
            <v/>
          </cell>
          <cell r="Y399" t="str">
            <v/>
          </cell>
          <cell r="Z399" t="str">
            <v/>
          </cell>
          <cell r="AB399">
            <v>0.97727272727272729</v>
          </cell>
          <cell r="AD399" t="str">
            <v/>
          </cell>
          <cell r="AE399" t="str">
            <v/>
          </cell>
          <cell r="AF399" t="str">
            <v/>
          </cell>
          <cell r="AG399">
            <v>1.6938519447929738E-2</v>
          </cell>
          <cell r="AH399">
            <v>1</v>
          </cell>
          <cell r="AI399" t="str">
            <v/>
          </cell>
          <cell r="AJ399" t="str">
            <v/>
          </cell>
          <cell r="AK399" t="str">
            <v/>
          </cell>
          <cell r="AL399" t="str">
            <v/>
          </cell>
          <cell r="AM399" t="str">
            <v/>
          </cell>
          <cell r="AN399" t="str">
            <v/>
          </cell>
          <cell r="AO399">
            <v>-19692</v>
          </cell>
          <cell r="AQ399" t="str">
            <v/>
          </cell>
          <cell r="AR399" t="str">
            <v/>
          </cell>
          <cell r="AS399" t="str">
            <v/>
          </cell>
          <cell r="AU399" t="str">
            <v/>
          </cell>
          <cell r="AV399" t="str">
            <v/>
          </cell>
          <cell r="AW399" t="str">
            <v/>
          </cell>
          <cell r="AX399" t="str">
            <v/>
          </cell>
          <cell r="AY399" t="str">
            <v/>
          </cell>
          <cell r="AZ399" t="str">
            <v/>
          </cell>
          <cell r="BA399" t="str">
            <v/>
          </cell>
          <cell r="BB399" t="str">
            <v/>
          </cell>
          <cell r="BC399" t="str">
            <v/>
          </cell>
          <cell r="BD399" t="str">
            <v/>
          </cell>
          <cell r="BE399" t="str">
            <v/>
          </cell>
          <cell r="BF399" t="str">
            <v/>
          </cell>
          <cell r="BG399" t="str">
            <v/>
          </cell>
          <cell r="BH399" t="str">
            <v/>
          </cell>
          <cell r="BI399" t="str">
            <v/>
          </cell>
          <cell r="BJ399" t="str">
            <v/>
          </cell>
        </row>
        <row r="400">
          <cell r="A400" t="str">
            <v>RH1</v>
          </cell>
          <cell r="B400" t="str">
            <v>Q16</v>
          </cell>
          <cell r="C400">
            <v>0.77094379639448574</v>
          </cell>
          <cell r="D400">
            <v>0.96118873364382351</v>
          </cell>
          <cell r="E400" t="str">
            <v/>
          </cell>
          <cell r="F400" t="str">
            <v/>
          </cell>
          <cell r="G400" t="str">
            <v/>
          </cell>
          <cell r="H400" t="str">
            <v/>
          </cell>
          <cell r="J400" t="str">
            <v/>
          </cell>
          <cell r="K400" t="str">
            <v/>
          </cell>
          <cell r="L400" t="str">
            <v/>
          </cell>
          <cell r="M400" t="str">
            <v/>
          </cell>
          <cell r="N400" t="str">
            <v/>
          </cell>
          <cell r="Q400" t="str">
            <v/>
          </cell>
          <cell r="R400" t="str">
            <v/>
          </cell>
          <cell r="S400" t="str">
            <v/>
          </cell>
          <cell r="X400" t="str">
            <v/>
          </cell>
          <cell r="Y400" t="str">
            <v/>
          </cell>
          <cell r="Z400" t="str">
            <v/>
          </cell>
          <cell r="AB400" t="str">
            <v/>
          </cell>
          <cell r="AD400" t="str">
            <v/>
          </cell>
          <cell r="AE400" t="str">
            <v/>
          </cell>
          <cell r="AF400" t="str">
            <v/>
          </cell>
          <cell r="AG400" t="str">
            <v/>
          </cell>
          <cell r="AH400" t="str">
            <v/>
          </cell>
          <cell r="AI400" t="str">
            <v/>
          </cell>
          <cell r="AJ400" t="str">
            <v/>
          </cell>
          <cell r="AK400" t="str">
            <v/>
          </cell>
          <cell r="AL400" t="str">
            <v/>
          </cell>
          <cell r="AM400" t="str">
            <v/>
          </cell>
          <cell r="AN400" t="str">
            <v/>
          </cell>
          <cell r="AO400">
            <v>64</v>
          </cell>
          <cell r="AQ400" t="str">
            <v/>
          </cell>
          <cell r="AR400" t="str">
            <v/>
          </cell>
          <cell r="AS400" t="str">
            <v/>
          </cell>
          <cell r="AU400" t="str">
            <v/>
          </cell>
          <cell r="AV400" t="str">
            <v/>
          </cell>
          <cell r="AW400" t="str">
            <v/>
          </cell>
          <cell r="AX400" t="str">
            <v/>
          </cell>
          <cell r="AY400" t="str">
            <v/>
          </cell>
          <cell r="AZ400" t="str">
            <v/>
          </cell>
          <cell r="BA400" t="str">
            <v/>
          </cell>
          <cell r="BB400" t="str">
            <v/>
          </cell>
          <cell r="BC400" t="str">
            <v/>
          </cell>
          <cell r="BD400" t="str">
            <v/>
          </cell>
          <cell r="BE400" t="str">
            <v/>
          </cell>
          <cell r="BF400" t="str">
            <v/>
          </cell>
          <cell r="BG400" t="str">
            <v/>
          </cell>
          <cell r="BH400" t="str">
            <v/>
          </cell>
          <cell r="BI400" t="str">
            <v/>
          </cell>
          <cell r="BJ400" t="str">
            <v/>
          </cell>
        </row>
        <row r="401">
          <cell r="A401" t="str">
            <v>RH5</v>
          </cell>
          <cell r="B401" t="str">
            <v>Q22</v>
          </cell>
          <cell r="C401" t="str">
            <v/>
          </cell>
          <cell r="D401" t="str">
            <v/>
          </cell>
          <cell r="E401" t="str">
            <v/>
          </cell>
          <cell r="F401" t="str">
            <v/>
          </cell>
          <cell r="G401" t="str">
            <v/>
          </cell>
          <cell r="H401" t="str">
            <v/>
          </cell>
          <cell r="J401" t="str">
            <v/>
          </cell>
          <cell r="K401" t="str">
            <v/>
          </cell>
          <cell r="L401" t="str">
            <v/>
          </cell>
          <cell r="M401" t="str">
            <v/>
          </cell>
          <cell r="N401" t="str">
            <v/>
          </cell>
          <cell r="Q401" t="str">
            <v/>
          </cell>
          <cell r="R401" t="str">
            <v/>
          </cell>
          <cell r="S401" t="str">
            <v/>
          </cell>
          <cell r="X401" t="str">
            <v/>
          </cell>
          <cell r="Y401" t="str">
            <v/>
          </cell>
          <cell r="Z401" t="str">
            <v/>
          </cell>
          <cell r="AB401" t="str">
            <v/>
          </cell>
          <cell r="AD401" t="str">
            <v/>
          </cell>
          <cell r="AE401" t="str">
            <v/>
          </cell>
          <cell r="AF401" t="str">
            <v/>
          </cell>
          <cell r="AG401" t="str">
            <v/>
          </cell>
          <cell r="AH401" t="str">
            <v/>
          </cell>
          <cell r="AI401" t="str">
            <v/>
          </cell>
          <cell r="AJ401" t="str">
            <v/>
          </cell>
          <cell r="AK401" t="str">
            <v/>
          </cell>
          <cell r="AL401" t="str">
            <v/>
          </cell>
          <cell r="AM401" t="str">
            <v/>
          </cell>
          <cell r="AN401" t="str">
            <v/>
          </cell>
          <cell r="AO401">
            <v>3</v>
          </cell>
          <cell r="AQ401" t="str">
            <v/>
          </cell>
          <cell r="AR401" t="str">
            <v/>
          </cell>
          <cell r="AS401" t="str">
            <v/>
          </cell>
          <cell r="AU401" t="str">
            <v/>
          </cell>
          <cell r="AV401" t="str">
            <v/>
          </cell>
          <cell r="AW401" t="str">
            <v/>
          </cell>
          <cell r="AX401" t="str">
            <v/>
          </cell>
          <cell r="AY401" t="str">
            <v/>
          </cell>
          <cell r="AZ401" t="str">
            <v/>
          </cell>
          <cell r="BA401" t="str">
            <v/>
          </cell>
          <cell r="BB401" t="str">
            <v/>
          </cell>
          <cell r="BC401" t="str">
            <v/>
          </cell>
          <cell r="BD401" t="str">
            <v/>
          </cell>
          <cell r="BE401" t="str">
            <v/>
          </cell>
          <cell r="BF401" t="str">
            <v/>
          </cell>
          <cell r="BG401" t="str">
            <v/>
          </cell>
          <cell r="BH401" t="str">
            <v/>
          </cell>
          <cell r="BI401" t="str">
            <v/>
          </cell>
          <cell r="BJ401" t="str">
            <v/>
          </cell>
        </row>
        <row r="402">
          <cell r="A402" t="str">
            <v>RH8</v>
          </cell>
          <cell r="B402" t="str">
            <v>Q21</v>
          </cell>
          <cell r="C402" t="str">
            <v/>
          </cell>
          <cell r="D402" t="str">
            <v/>
          </cell>
          <cell r="E402">
            <v>0.97965825874694878</v>
          </cell>
          <cell r="F402" t="str">
            <v/>
          </cell>
          <cell r="G402" t="str">
            <v/>
          </cell>
          <cell r="H402" t="str">
            <v/>
          </cell>
          <cell r="J402" t="str">
            <v/>
          </cell>
          <cell r="K402" t="str">
            <v/>
          </cell>
          <cell r="L402" t="str">
            <v/>
          </cell>
          <cell r="M402">
            <v>5329</v>
          </cell>
          <cell r="N402" t="str">
            <v/>
          </cell>
          <cell r="Q402">
            <v>1</v>
          </cell>
          <cell r="R402">
            <v>1</v>
          </cell>
          <cell r="S402" t="str">
            <v/>
          </cell>
          <cell r="X402" t="str">
            <v/>
          </cell>
          <cell r="Y402" t="str">
            <v/>
          </cell>
          <cell r="Z402" t="str">
            <v/>
          </cell>
          <cell r="AB402">
            <v>1</v>
          </cell>
          <cell r="AD402" t="str">
            <v/>
          </cell>
          <cell r="AE402" t="str">
            <v/>
          </cell>
          <cell r="AF402" t="str">
            <v/>
          </cell>
          <cell r="AG402">
            <v>1.2220566318926976E-2</v>
          </cell>
          <cell r="AH402">
            <v>1.6666666666666667</v>
          </cell>
          <cell r="AI402" t="str">
            <v/>
          </cell>
          <cell r="AJ402" t="str">
            <v/>
          </cell>
          <cell r="AK402" t="str">
            <v/>
          </cell>
          <cell r="AL402" t="str">
            <v/>
          </cell>
          <cell r="AM402" t="str">
            <v/>
          </cell>
          <cell r="AN402" t="str">
            <v/>
          </cell>
          <cell r="AO402" t="str">
            <v/>
          </cell>
          <cell r="AQ402" t="str">
            <v/>
          </cell>
          <cell r="AR402" t="str">
            <v/>
          </cell>
          <cell r="AS402" t="str">
            <v/>
          </cell>
          <cell r="AU402" t="str">
            <v/>
          </cell>
          <cell r="AV402" t="str">
            <v/>
          </cell>
          <cell r="AW402" t="str">
            <v/>
          </cell>
          <cell r="AX402" t="str">
            <v/>
          </cell>
          <cell r="AY402" t="str">
            <v/>
          </cell>
          <cell r="AZ402" t="str">
            <v/>
          </cell>
          <cell r="BA402" t="str">
            <v/>
          </cell>
          <cell r="BB402" t="str">
            <v/>
          </cell>
          <cell r="BC402" t="str">
            <v/>
          </cell>
          <cell r="BD402" t="str">
            <v/>
          </cell>
          <cell r="BE402" t="str">
            <v/>
          </cell>
          <cell r="BF402" t="str">
            <v/>
          </cell>
          <cell r="BG402" t="str">
            <v/>
          </cell>
          <cell r="BH402" t="str">
            <v/>
          </cell>
          <cell r="BI402" t="str">
            <v/>
          </cell>
          <cell r="BJ402" t="str">
            <v/>
          </cell>
        </row>
        <row r="403">
          <cell r="A403" t="str">
            <v>RHA</v>
          </cell>
          <cell r="B403" t="str">
            <v>Q24</v>
          </cell>
          <cell r="C403" t="str">
            <v/>
          </cell>
          <cell r="D403" t="str">
            <v/>
          </cell>
          <cell r="E403" t="str">
            <v/>
          </cell>
          <cell r="F403" t="str">
            <v/>
          </cell>
          <cell r="G403" t="str">
            <v/>
          </cell>
          <cell r="H403" t="str">
            <v/>
          </cell>
          <cell r="J403" t="str">
            <v/>
          </cell>
          <cell r="K403" t="str">
            <v/>
          </cell>
          <cell r="L403" t="str">
            <v/>
          </cell>
          <cell r="M403" t="str">
            <v/>
          </cell>
          <cell r="N403" t="str">
            <v/>
          </cell>
          <cell r="Q403" t="str">
            <v/>
          </cell>
          <cell r="R403">
            <v>1</v>
          </cell>
          <cell r="S403" t="str">
            <v/>
          </cell>
          <cell r="X403" t="str">
            <v/>
          </cell>
          <cell r="Y403" t="str">
            <v/>
          </cell>
          <cell r="Z403" t="str">
            <v/>
          </cell>
          <cell r="AB403" t="str">
            <v/>
          </cell>
          <cell r="AD403" t="str">
            <v/>
          </cell>
          <cell r="AE403" t="str">
            <v/>
          </cell>
          <cell r="AF403" t="str">
            <v/>
          </cell>
          <cell r="AG403">
            <v>0</v>
          </cell>
          <cell r="AH403" t="str">
            <v/>
          </cell>
          <cell r="AI403" t="str">
            <v/>
          </cell>
          <cell r="AJ403" t="str">
            <v/>
          </cell>
          <cell r="AK403" t="str">
            <v/>
          </cell>
          <cell r="AL403" t="str">
            <v/>
          </cell>
          <cell r="AM403" t="str">
            <v/>
          </cell>
          <cell r="AN403" t="str">
            <v/>
          </cell>
          <cell r="AO403">
            <v>2044</v>
          </cell>
          <cell r="AQ403" t="str">
            <v/>
          </cell>
          <cell r="AR403" t="str">
            <v/>
          </cell>
          <cell r="AS403" t="str">
            <v/>
          </cell>
          <cell r="AU403" t="str">
            <v/>
          </cell>
          <cell r="AV403" t="str">
            <v/>
          </cell>
          <cell r="AW403" t="str">
            <v/>
          </cell>
          <cell r="AX403" t="str">
            <v/>
          </cell>
          <cell r="AY403" t="str">
            <v/>
          </cell>
          <cell r="AZ403" t="str">
            <v/>
          </cell>
          <cell r="BA403" t="str">
            <v/>
          </cell>
          <cell r="BB403" t="str">
            <v/>
          </cell>
          <cell r="BC403" t="str">
            <v/>
          </cell>
          <cell r="BD403" t="str">
            <v/>
          </cell>
          <cell r="BE403" t="str">
            <v/>
          </cell>
          <cell r="BF403" t="str">
            <v/>
          </cell>
          <cell r="BG403" t="str">
            <v/>
          </cell>
          <cell r="BH403" t="str">
            <v/>
          </cell>
          <cell r="BI403" t="str">
            <v/>
          </cell>
          <cell r="BJ403" t="str">
            <v/>
          </cell>
        </row>
        <row r="404">
          <cell r="A404" t="str">
            <v>RHM</v>
          </cell>
          <cell r="B404" t="str">
            <v>Q17</v>
          </cell>
          <cell r="C404" t="str">
            <v/>
          </cell>
          <cell r="D404" t="str">
            <v/>
          </cell>
          <cell r="E404">
            <v>0.94253578732106336</v>
          </cell>
          <cell r="F404" t="str">
            <v/>
          </cell>
          <cell r="G404" t="str">
            <v/>
          </cell>
          <cell r="H404" t="str">
            <v/>
          </cell>
          <cell r="J404" t="str">
            <v/>
          </cell>
          <cell r="K404" t="str">
            <v/>
          </cell>
          <cell r="L404" t="str">
            <v/>
          </cell>
          <cell r="M404">
            <v>8036</v>
          </cell>
          <cell r="N404" t="str">
            <v/>
          </cell>
          <cell r="Q404">
            <v>1</v>
          </cell>
          <cell r="R404">
            <v>0.99319330999611044</v>
          </cell>
          <cell r="S404" t="str">
            <v/>
          </cell>
          <cell r="X404" t="str">
            <v/>
          </cell>
          <cell r="Y404" t="str">
            <v/>
          </cell>
          <cell r="Z404" t="str">
            <v/>
          </cell>
          <cell r="AB404">
            <v>1</v>
          </cell>
          <cell r="AD404" t="str">
            <v/>
          </cell>
          <cell r="AE404" t="str">
            <v/>
          </cell>
          <cell r="AF404" t="str">
            <v/>
          </cell>
          <cell r="AG404">
            <v>1.7577378677875431E-2</v>
          </cell>
          <cell r="AH404">
            <v>7.666666666666667</v>
          </cell>
          <cell r="AI404" t="str">
            <v/>
          </cell>
          <cell r="AJ404" t="str">
            <v/>
          </cell>
          <cell r="AK404" t="str">
            <v/>
          </cell>
          <cell r="AL404" t="str">
            <v/>
          </cell>
          <cell r="AM404" t="str">
            <v/>
          </cell>
          <cell r="AN404" t="str">
            <v/>
          </cell>
          <cell r="AO404">
            <v>-12927</v>
          </cell>
          <cell r="AQ404" t="str">
            <v/>
          </cell>
          <cell r="AR404" t="str">
            <v/>
          </cell>
          <cell r="AS404" t="str">
            <v/>
          </cell>
          <cell r="AU404" t="str">
            <v/>
          </cell>
          <cell r="AV404" t="str">
            <v/>
          </cell>
          <cell r="AW404" t="str">
            <v/>
          </cell>
          <cell r="AX404" t="str">
            <v/>
          </cell>
          <cell r="AY404" t="str">
            <v/>
          </cell>
          <cell r="AZ404" t="str">
            <v/>
          </cell>
          <cell r="BA404" t="str">
            <v/>
          </cell>
          <cell r="BB404" t="str">
            <v/>
          </cell>
          <cell r="BC404" t="str">
            <v/>
          </cell>
          <cell r="BD404" t="str">
            <v/>
          </cell>
          <cell r="BE404" t="str">
            <v/>
          </cell>
          <cell r="BF404" t="str">
            <v/>
          </cell>
          <cell r="BG404" t="str">
            <v/>
          </cell>
          <cell r="BH404" t="str">
            <v/>
          </cell>
          <cell r="BI404" t="str">
            <v/>
          </cell>
          <cell r="BJ404" t="str">
            <v/>
          </cell>
        </row>
        <row r="405">
          <cell r="A405" t="str">
            <v>RHP</v>
          </cell>
          <cell r="B405" t="str">
            <v>Q22</v>
          </cell>
          <cell r="C405">
            <v>0.78181818181818186</v>
          </cell>
          <cell r="D405">
            <v>0.9498392282958199</v>
          </cell>
          <cell r="E405" t="str">
            <v/>
          </cell>
          <cell r="F405" t="str">
            <v/>
          </cell>
          <cell r="G405" t="str">
            <v/>
          </cell>
          <cell r="H405" t="str">
            <v/>
          </cell>
          <cell r="J405" t="str">
            <v/>
          </cell>
          <cell r="K405" t="str">
            <v/>
          </cell>
          <cell r="L405" t="str">
            <v/>
          </cell>
          <cell r="M405" t="str">
            <v/>
          </cell>
          <cell r="N405" t="str">
            <v/>
          </cell>
          <cell r="Q405" t="str">
            <v/>
          </cell>
          <cell r="R405" t="str">
            <v/>
          </cell>
          <cell r="S405" t="str">
            <v/>
          </cell>
          <cell r="X405" t="str">
            <v/>
          </cell>
          <cell r="Y405" t="str">
            <v/>
          </cell>
          <cell r="Z405" t="str">
            <v/>
          </cell>
          <cell r="AB405" t="str">
            <v/>
          </cell>
          <cell r="AD405" t="str">
            <v/>
          </cell>
          <cell r="AE405" t="str">
            <v/>
          </cell>
          <cell r="AF405" t="str">
            <v/>
          </cell>
          <cell r="AG405" t="str">
            <v/>
          </cell>
          <cell r="AH405" t="str">
            <v/>
          </cell>
          <cell r="AI405" t="str">
            <v/>
          </cell>
          <cell r="AJ405" t="str">
            <v/>
          </cell>
          <cell r="AK405" t="str">
            <v/>
          </cell>
          <cell r="AL405" t="str">
            <v/>
          </cell>
          <cell r="AM405" t="str">
            <v/>
          </cell>
          <cell r="AN405" t="str">
            <v/>
          </cell>
          <cell r="AO405">
            <v>250</v>
          </cell>
          <cell r="AQ405" t="str">
            <v/>
          </cell>
          <cell r="AR405" t="str">
            <v/>
          </cell>
          <cell r="AS405" t="str">
            <v/>
          </cell>
          <cell r="AU405" t="str">
            <v/>
          </cell>
          <cell r="AV405" t="str">
            <v/>
          </cell>
          <cell r="AW405" t="str">
            <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row>
        <row r="406">
          <cell r="A406" t="str">
            <v>RHQ</v>
          </cell>
          <cell r="B406" t="str">
            <v>Q23</v>
          </cell>
          <cell r="C406" t="str">
            <v/>
          </cell>
          <cell r="D406" t="str">
            <v/>
          </cell>
          <cell r="E406">
            <v>0.97816693199909033</v>
          </cell>
          <cell r="F406" t="str">
            <v/>
          </cell>
          <cell r="G406" t="str">
            <v/>
          </cell>
          <cell r="H406" t="str">
            <v/>
          </cell>
          <cell r="J406" t="str">
            <v/>
          </cell>
          <cell r="K406" t="str">
            <v/>
          </cell>
          <cell r="L406" t="str">
            <v/>
          </cell>
          <cell r="M406">
            <v>11416</v>
          </cell>
          <cell r="N406" t="str">
            <v/>
          </cell>
          <cell r="Q406">
            <v>0.99584051942781782</v>
          </cell>
          <cell r="R406">
            <v>0.99089667728720987</v>
          </cell>
          <cell r="S406" t="str">
            <v/>
          </cell>
          <cell r="X406" t="str">
            <v/>
          </cell>
          <cell r="Y406" t="str">
            <v/>
          </cell>
          <cell r="Z406" t="str">
            <v/>
          </cell>
          <cell r="AB406">
            <v>1</v>
          </cell>
          <cell r="AD406" t="str">
            <v/>
          </cell>
          <cell r="AE406" t="str">
            <v/>
          </cell>
          <cell r="AF406" t="str">
            <v/>
          </cell>
          <cell r="AG406">
            <v>2.1134751773049645E-2</v>
          </cell>
          <cell r="AH406">
            <v>6.666666666666667</v>
          </cell>
          <cell r="AI406" t="str">
            <v/>
          </cell>
          <cell r="AJ406" t="str">
            <v/>
          </cell>
          <cell r="AK406" t="str">
            <v/>
          </cell>
          <cell r="AL406" t="str">
            <v/>
          </cell>
          <cell r="AM406" t="str">
            <v/>
          </cell>
          <cell r="AN406" t="str">
            <v/>
          </cell>
          <cell r="AO406" t="str">
            <v/>
          </cell>
          <cell r="AQ406" t="str">
            <v/>
          </cell>
          <cell r="AR406" t="str">
            <v/>
          </cell>
          <cell r="AS406" t="str">
            <v/>
          </cell>
          <cell r="AU406" t="str">
            <v/>
          </cell>
          <cell r="AV406" t="str">
            <v/>
          </cell>
          <cell r="AW406" t="str">
            <v/>
          </cell>
          <cell r="AX406" t="str">
            <v/>
          </cell>
          <cell r="AY406" t="str">
            <v/>
          </cell>
          <cell r="AZ406" t="str">
            <v/>
          </cell>
          <cell r="BA406" t="str">
            <v/>
          </cell>
          <cell r="BB406" t="str">
            <v/>
          </cell>
          <cell r="BC406" t="str">
            <v/>
          </cell>
          <cell r="BD406" t="str">
            <v/>
          </cell>
          <cell r="BE406" t="str">
            <v/>
          </cell>
          <cell r="BF406" t="str">
            <v/>
          </cell>
          <cell r="BG406" t="str">
            <v/>
          </cell>
          <cell r="BH406" t="str">
            <v/>
          </cell>
          <cell r="BI406" t="str">
            <v/>
          </cell>
          <cell r="BJ406" t="str">
            <v/>
          </cell>
        </row>
        <row r="407">
          <cell r="A407" t="str">
            <v>RHR</v>
          </cell>
          <cell r="B407" t="str">
            <v>Q20</v>
          </cell>
          <cell r="J407" t="str">
            <v/>
          </cell>
          <cell r="K407" t="str">
            <v/>
          </cell>
          <cell r="L407" t="str">
            <v/>
          </cell>
          <cell r="Q407" t="str">
            <v/>
          </cell>
          <cell r="R407" t="str">
            <v/>
          </cell>
          <cell r="AH407" t="str">
            <v/>
          </cell>
          <cell r="AK407" t="str">
            <v/>
          </cell>
          <cell r="AO407">
            <v>125</v>
          </cell>
        </row>
        <row r="408">
          <cell r="A408" t="str">
            <v>RHU</v>
          </cell>
          <cell r="B408" t="str">
            <v>Q17</v>
          </cell>
          <cell r="C408" t="str">
            <v/>
          </cell>
          <cell r="D408" t="str">
            <v/>
          </cell>
          <cell r="E408">
            <v>0.96810475071344637</v>
          </cell>
          <cell r="F408" t="str">
            <v/>
          </cell>
          <cell r="G408" t="str">
            <v/>
          </cell>
          <cell r="H408" t="str">
            <v/>
          </cell>
          <cell r="J408" t="str">
            <v/>
          </cell>
          <cell r="K408" t="str">
            <v/>
          </cell>
          <cell r="L408" t="str">
            <v/>
          </cell>
          <cell r="M408">
            <v>7759</v>
          </cell>
          <cell r="N408" t="str">
            <v/>
          </cell>
          <cell r="Q408">
            <v>1</v>
          </cell>
          <cell r="R408">
            <v>1</v>
          </cell>
          <cell r="S408" t="str">
            <v/>
          </cell>
          <cell r="X408" t="str">
            <v/>
          </cell>
          <cell r="Y408" t="str">
            <v/>
          </cell>
          <cell r="Z408" t="str">
            <v/>
          </cell>
          <cell r="AB408">
            <v>0.87157894736842101</v>
          </cell>
          <cell r="AD408" t="str">
            <v/>
          </cell>
          <cell r="AE408" t="str">
            <v/>
          </cell>
          <cell r="AF408" t="str">
            <v/>
          </cell>
          <cell r="AG408">
            <v>1.8760799802517897E-2</v>
          </cell>
          <cell r="AH408">
            <v>12.333333333333334</v>
          </cell>
          <cell r="AI408" t="str">
            <v/>
          </cell>
          <cell r="AJ408" t="str">
            <v/>
          </cell>
          <cell r="AK408" t="str">
            <v/>
          </cell>
          <cell r="AL408" t="str">
            <v/>
          </cell>
          <cell r="AM408" t="str">
            <v/>
          </cell>
          <cell r="AN408" t="str">
            <v/>
          </cell>
          <cell r="AO408">
            <v>1096</v>
          </cell>
          <cell r="AQ408" t="str">
            <v/>
          </cell>
          <cell r="AR408" t="str">
            <v/>
          </cell>
          <cell r="AS408" t="str">
            <v/>
          </cell>
          <cell r="AU408" t="str">
            <v/>
          </cell>
          <cell r="AV408" t="str">
            <v/>
          </cell>
          <cell r="AW408" t="str">
            <v/>
          </cell>
          <cell r="AX408" t="str">
            <v/>
          </cell>
          <cell r="AY408" t="str">
            <v/>
          </cell>
          <cell r="AZ408" t="str">
            <v/>
          </cell>
          <cell r="BA408" t="str">
            <v/>
          </cell>
          <cell r="BB408" t="str">
            <v/>
          </cell>
          <cell r="BC408" t="str">
            <v/>
          </cell>
          <cell r="BD408" t="str">
            <v/>
          </cell>
          <cell r="BE408" t="str">
            <v/>
          </cell>
          <cell r="BF408" t="str">
            <v/>
          </cell>
          <cell r="BG408" t="str">
            <v/>
          </cell>
          <cell r="BH408" t="str">
            <v/>
          </cell>
          <cell r="BI408" t="str">
            <v/>
          </cell>
          <cell r="BJ408" t="str">
            <v/>
          </cell>
        </row>
        <row r="409">
          <cell r="A409" t="str">
            <v>RHW</v>
          </cell>
          <cell r="B409" t="str">
            <v>Q16</v>
          </cell>
          <cell r="C409" t="str">
            <v/>
          </cell>
          <cell r="D409" t="str">
            <v/>
          </cell>
          <cell r="E409">
            <v>0.99496086630213354</v>
          </cell>
          <cell r="F409" t="str">
            <v/>
          </cell>
          <cell r="G409" t="str">
            <v/>
          </cell>
          <cell r="H409" t="str">
            <v/>
          </cell>
          <cell r="J409" t="str">
            <v/>
          </cell>
          <cell r="K409" t="str">
            <v/>
          </cell>
          <cell r="L409" t="str">
            <v/>
          </cell>
          <cell r="M409">
            <v>6241</v>
          </cell>
          <cell r="N409" t="str">
            <v/>
          </cell>
          <cell r="Q409">
            <v>1</v>
          </cell>
          <cell r="R409">
            <v>1</v>
          </cell>
          <cell r="S409" t="str">
            <v/>
          </cell>
          <cell r="X409" t="str">
            <v/>
          </cell>
          <cell r="Y409" t="str">
            <v/>
          </cell>
          <cell r="Z409" t="str">
            <v/>
          </cell>
          <cell r="AB409">
            <v>0.94786729857819907</v>
          </cell>
          <cell r="AD409" t="str">
            <v/>
          </cell>
          <cell r="AE409" t="str">
            <v/>
          </cell>
          <cell r="AF409" t="str">
            <v/>
          </cell>
          <cell r="AG409">
            <v>2.0914569301666078E-2</v>
          </cell>
          <cell r="AH409">
            <v>2.6666666666666665</v>
          </cell>
          <cell r="AI409" t="str">
            <v/>
          </cell>
          <cell r="AJ409" t="str">
            <v/>
          </cell>
          <cell r="AK409" t="str">
            <v/>
          </cell>
          <cell r="AL409" t="str">
            <v/>
          </cell>
          <cell r="AM409" t="str">
            <v/>
          </cell>
          <cell r="AN409" t="str">
            <v/>
          </cell>
          <cell r="AO409">
            <v>26</v>
          </cell>
          <cell r="AQ409" t="str">
            <v/>
          </cell>
          <cell r="AR409" t="str">
            <v/>
          </cell>
          <cell r="AS409" t="str">
            <v/>
          </cell>
          <cell r="AU409" t="str">
            <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row>
        <row r="410">
          <cell r="A410" t="str">
            <v>RHX</v>
          </cell>
          <cell r="B410" t="str">
            <v>Q16</v>
          </cell>
          <cell r="C410" t="str">
            <v/>
          </cell>
          <cell r="D410" t="str">
            <v/>
          </cell>
          <cell r="E410" t="str">
            <v/>
          </cell>
          <cell r="F410" t="str">
            <v/>
          </cell>
          <cell r="G410" t="str">
            <v/>
          </cell>
          <cell r="H410" t="str">
            <v/>
          </cell>
          <cell r="J410" t="str">
            <v/>
          </cell>
          <cell r="K410" t="str">
            <v/>
          </cell>
          <cell r="L410" t="str">
            <v/>
          </cell>
          <cell r="M410">
            <v>0</v>
          </cell>
          <cell r="N410" t="str">
            <v/>
          </cell>
          <cell r="Q410" t="str">
            <v/>
          </cell>
          <cell r="R410">
            <v>1</v>
          </cell>
          <cell r="S410" t="str">
            <v/>
          </cell>
          <cell r="X410" t="str">
            <v/>
          </cell>
          <cell r="Y410" t="str">
            <v/>
          </cell>
          <cell r="Z410" t="str">
            <v/>
          </cell>
          <cell r="AB410" t="str">
            <v/>
          </cell>
          <cell r="AD410" t="str">
            <v/>
          </cell>
          <cell r="AE410" t="str">
            <v/>
          </cell>
          <cell r="AF410" t="str">
            <v/>
          </cell>
          <cell r="AG410" t="str">
            <v/>
          </cell>
          <cell r="AH410" t="str">
            <v/>
          </cell>
          <cell r="AI410" t="str">
            <v/>
          </cell>
          <cell r="AJ410" t="str">
            <v/>
          </cell>
          <cell r="AK410" t="str">
            <v/>
          </cell>
          <cell r="AL410" t="str">
            <v/>
          </cell>
          <cell r="AM410" t="str">
            <v/>
          </cell>
          <cell r="AN410" t="str">
            <v/>
          </cell>
          <cell r="AO410">
            <v>88</v>
          </cell>
          <cell r="AQ410" t="str">
            <v/>
          </cell>
          <cell r="AR410" t="str">
            <v/>
          </cell>
          <cell r="AS410" t="str">
            <v/>
          </cell>
          <cell r="AU410" t="str">
            <v/>
          </cell>
          <cell r="AV410" t="str">
            <v/>
          </cell>
          <cell r="AW410" t="str">
            <v/>
          </cell>
          <cell r="AX410" t="str">
            <v/>
          </cell>
          <cell r="AY410" t="str">
            <v/>
          </cell>
          <cell r="AZ410" t="str">
            <v/>
          </cell>
          <cell r="BA410" t="str">
            <v/>
          </cell>
          <cell r="BB410" t="str">
            <v/>
          </cell>
          <cell r="BC410" t="str">
            <v/>
          </cell>
          <cell r="BD410" t="str">
            <v/>
          </cell>
          <cell r="BE410" t="str">
            <v/>
          </cell>
          <cell r="BF410" t="str">
            <v/>
          </cell>
          <cell r="BG410" t="str">
            <v/>
          </cell>
          <cell r="BH410" t="str">
            <v/>
          </cell>
          <cell r="BI410" t="str">
            <v/>
          </cell>
          <cell r="BJ410" t="str">
            <v/>
          </cell>
        </row>
        <row r="411">
          <cell r="A411" t="str">
            <v>RHY</v>
          </cell>
          <cell r="B411" t="str">
            <v>Q16</v>
          </cell>
          <cell r="C411">
            <v>0.7043568464730291</v>
          </cell>
          <cell r="D411">
            <v>0.9125789218067023</v>
          </cell>
          <cell r="E411" t="str">
            <v/>
          </cell>
          <cell r="F411" t="str">
            <v/>
          </cell>
          <cell r="G411" t="str">
            <v/>
          </cell>
          <cell r="H411" t="str">
            <v/>
          </cell>
          <cell r="J411" t="str">
            <v/>
          </cell>
          <cell r="K411" t="str">
            <v/>
          </cell>
          <cell r="L411" t="str">
            <v/>
          </cell>
          <cell r="M411" t="str">
            <v/>
          </cell>
          <cell r="N411" t="str">
            <v/>
          </cell>
          <cell r="Q411" t="str">
            <v/>
          </cell>
          <cell r="R411" t="str">
            <v/>
          </cell>
          <cell r="S411" t="str">
            <v/>
          </cell>
          <cell r="X411" t="str">
            <v/>
          </cell>
          <cell r="Y411" t="str">
            <v/>
          </cell>
          <cell r="Z411" t="str">
            <v/>
          </cell>
          <cell r="AB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v>413</v>
          </cell>
          <cell r="AQ411" t="str">
            <v/>
          </cell>
          <cell r="AR411" t="str">
            <v/>
          </cell>
          <cell r="AS411" t="str">
            <v/>
          </cell>
          <cell r="AU411" t="str">
            <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row>
        <row r="412">
          <cell r="A412" t="str">
            <v>RHZ</v>
          </cell>
          <cell r="B412" t="str">
            <v>Q16</v>
          </cell>
          <cell r="C412" t="str">
            <v/>
          </cell>
          <cell r="D412" t="str">
            <v/>
          </cell>
          <cell r="E412" t="str">
            <v/>
          </cell>
          <cell r="J412" t="str">
            <v/>
          </cell>
          <cell r="K412" t="str">
            <v/>
          </cell>
          <cell r="L412" t="str">
            <v/>
          </cell>
          <cell r="M412" t="str">
            <v/>
          </cell>
          <cell r="Q412" t="str">
            <v/>
          </cell>
          <cell r="R412" t="str">
            <v/>
          </cell>
          <cell r="X412" t="str">
            <v/>
          </cell>
          <cell r="Y412" t="str">
            <v/>
          </cell>
          <cell r="Z412" t="str">
            <v/>
          </cell>
          <cell r="AB412" t="str">
            <v/>
          </cell>
          <cell r="AD412" t="str">
            <v/>
          </cell>
          <cell r="AE412" t="str">
            <v/>
          </cell>
          <cell r="AF412" t="str">
            <v/>
          </cell>
          <cell r="AG412">
            <v>0</v>
          </cell>
          <cell r="AH412" t="str">
            <v/>
          </cell>
          <cell r="AI412" t="str">
            <v/>
          </cell>
          <cell r="AJ412" t="str">
            <v/>
          </cell>
          <cell r="AK412" t="str">
            <v/>
          </cell>
          <cell r="AL412" t="str">
            <v/>
          </cell>
          <cell r="AM412" t="str">
            <v/>
          </cell>
          <cell r="AN412" t="str">
            <v/>
          </cell>
          <cell r="AO412" t="str">
            <v/>
          </cell>
          <cell r="AS412" t="str">
            <v/>
          </cell>
          <cell r="BB412" t="str">
            <v/>
          </cell>
          <cell r="BC412" t="str">
            <v/>
          </cell>
          <cell r="BD412" t="str">
            <v/>
          </cell>
          <cell r="BE412" t="str">
            <v/>
          </cell>
          <cell r="BF412" t="str">
            <v/>
          </cell>
          <cell r="BG412" t="str">
            <v/>
          </cell>
          <cell r="BH412" t="str">
            <v/>
          </cell>
          <cell r="BI412" t="str">
            <v/>
          </cell>
          <cell r="BJ412" t="str">
            <v/>
          </cell>
        </row>
        <row r="413">
          <cell r="A413" t="str">
            <v>RJ1</v>
          </cell>
          <cell r="B413" t="str">
            <v>Q07</v>
          </cell>
          <cell r="C413" t="str">
            <v/>
          </cell>
          <cell r="D413" t="str">
            <v/>
          </cell>
          <cell r="E413">
            <v>0.98139119686877707</v>
          </cell>
          <cell r="F413" t="str">
            <v/>
          </cell>
          <cell r="G413" t="str">
            <v/>
          </cell>
          <cell r="H413" t="str">
            <v/>
          </cell>
          <cell r="J413" t="str">
            <v/>
          </cell>
          <cell r="K413" t="str">
            <v/>
          </cell>
          <cell r="L413" t="str">
            <v/>
          </cell>
          <cell r="M413">
            <v>7198</v>
          </cell>
          <cell r="N413" t="str">
            <v/>
          </cell>
          <cell r="Q413">
            <v>0.99438877755511024</v>
          </cell>
          <cell r="R413">
            <v>0.99824005631819779</v>
          </cell>
          <cell r="S413" t="str">
            <v/>
          </cell>
          <cell r="X413" t="str">
            <v/>
          </cell>
          <cell r="Y413" t="str">
            <v/>
          </cell>
          <cell r="Z413" t="str">
            <v/>
          </cell>
          <cell r="AB413">
            <v>1</v>
          </cell>
          <cell r="AD413" t="str">
            <v/>
          </cell>
          <cell r="AE413" t="str">
            <v/>
          </cell>
          <cell r="AF413" t="str">
            <v/>
          </cell>
          <cell r="AG413">
            <v>1.8552875695732841E-3</v>
          </cell>
          <cell r="AH413">
            <v>4.333333333333333</v>
          </cell>
          <cell r="AI413" t="str">
            <v/>
          </cell>
          <cell r="AJ413" t="str">
            <v/>
          </cell>
          <cell r="AK413" t="str">
            <v/>
          </cell>
          <cell r="AL413" t="str">
            <v/>
          </cell>
          <cell r="AM413" t="str">
            <v/>
          </cell>
          <cell r="AN413" t="str">
            <v/>
          </cell>
          <cell r="AO413" t="str">
            <v/>
          </cell>
          <cell r="AQ413" t="str">
            <v/>
          </cell>
          <cell r="AR413" t="str">
            <v/>
          </cell>
          <cell r="AS413" t="str">
            <v/>
          </cell>
          <cell r="AU413" t="str">
            <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row>
        <row r="414">
          <cell r="A414" t="str">
            <v>RJ2</v>
          </cell>
          <cell r="B414" t="str">
            <v>Q07</v>
          </cell>
          <cell r="C414" t="str">
            <v/>
          </cell>
          <cell r="D414" t="str">
            <v/>
          </cell>
          <cell r="E414">
            <v>0.97649309826431596</v>
          </cell>
          <cell r="F414" t="str">
            <v/>
          </cell>
          <cell r="G414" t="str">
            <v/>
          </cell>
          <cell r="H414" t="str">
            <v/>
          </cell>
          <cell r="J414" t="str">
            <v/>
          </cell>
          <cell r="K414" t="str">
            <v/>
          </cell>
          <cell r="L414" t="str">
            <v/>
          </cell>
          <cell r="M414">
            <v>2877</v>
          </cell>
          <cell r="N414" t="str">
            <v/>
          </cell>
          <cell r="Q414">
            <v>0.9969543147208122</v>
          </cell>
          <cell r="R414">
            <v>0.99319562575941678</v>
          </cell>
          <cell r="S414" t="str">
            <v/>
          </cell>
          <cell r="X414" t="str">
            <v/>
          </cell>
          <cell r="Y414" t="str">
            <v/>
          </cell>
          <cell r="Z414" t="str">
            <v/>
          </cell>
          <cell r="AB414">
            <v>1</v>
          </cell>
          <cell r="AD414" t="str">
            <v/>
          </cell>
          <cell r="AE414" t="str">
            <v/>
          </cell>
          <cell r="AF414" t="str">
            <v/>
          </cell>
          <cell r="AG414">
            <v>1.5139116202945991E-2</v>
          </cell>
          <cell r="AH414">
            <v>4</v>
          </cell>
          <cell r="AI414" t="str">
            <v/>
          </cell>
          <cell r="AJ414" t="str">
            <v/>
          </cell>
          <cell r="AK414" t="str">
            <v/>
          </cell>
          <cell r="AL414" t="str">
            <v/>
          </cell>
          <cell r="AM414" t="str">
            <v/>
          </cell>
          <cell r="AN414" t="str">
            <v/>
          </cell>
          <cell r="AO414">
            <v>-8805</v>
          </cell>
          <cell r="AQ414" t="str">
            <v/>
          </cell>
          <cell r="AR414" t="str">
            <v/>
          </cell>
          <cell r="AS414" t="str">
            <v/>
          </cell>
          <cell r="AU414" t="str">
            <v/>
          </cell>
          <cell r="AV414" t="str">
            <v/>
          </cell>
          <cell r="AW414" t="str">
            <v/>
          </cell>
          <cell r="AX414" t="str">
            <v/>
          </cell>
          <cell r="AY414" t="str">
            <v/>
          </cell>
          <cell r="AZ414" t="str">
            <v/>
          </cell>
          <cell r="BA414" t="str">
            <v/>
          </cell>
          <cell r="BB414" t="str">
            <v/>
          </cell>
          <cell r="BC414" t="str">
            <v/>
          </cell>
          <cell r="BD414" t="str">
            <v/>
          </cell>
          <cell r="BE414" t="str">
            <v/>
          </cell>
          <cell r="BF414" t="str">
            <v/>
          </cell>
          <cell r="BG414" t="str">
            <v/>
          </cell>
          <cell r="BH414" t="str">
            <v/>
          </cell>
          <cell r="BI414" t="str">
            <v/>
          </cell>
          <cell r="BJ414" t="str">
            <v/>
          </cell>
        </row>
        <row r="415">
          <cell r="A415" t="str">
            <v>RJ5</v>
          </cell>
          <cell r="B415" t="str">
            <v>Q04</v>
          </cell>
          <cell r="C415" t="str">
            <v/>
          </cell>
          <cell r="D415" t="str">
            <v/>
          </cell>
          <cell r="E415">
            <v>0.96870772837947516</v>
          </cell>
          <cell r="F415" t="str">
            <v/>
          </cell>
          <cell r="G415" t="str">
            <v/>
          </cell>
          <cell r="H415" t="str">
            <v/>
          </cell>
          <cell r="J415" t="str">
            <v/>
          </cell>
          <cell r="K415" t="str">
            <v/>
          </cell>
          <cell r="L415" t="str">
            <v/>
          </cell>
          <cell r="M415">
            <v>3088</v>
          </cell>
          <cell r="N415" t="str">
            <v/>
          </cell>
          <cell r="Q415">
            <v>1</v>
          </cell>
          <cell r="R415">
            <v>1</v>
          </cell>
          <cell r="S415" t="str">
            <v/>
          </cell>
          <cell r="X415" t="str">
            <v/>
          </cell>
          <cell r="Y415" t="str">
            <v/>
          </cell>
          <cell r="Z415" t="str">
            <v/>
          </cell>
          <cell r="AB415">
            <v>1</v>
          </cell>
          <cell r="AD415" t="str">
            <v/>
          </cell>
          <cell r="AE415" t="str">
            <v/>
          </cell>
          <cell r="AF415" t="str">
            <v/>
          </cell>
          <cell r="AG415">
            <v>1.8518518518518517E-2</v>
          </cell>
          <cell r="AH415">
            <v>5.666666666666667</v>
          </cell>
          <cell r="AI415" t="str">
            <v/>
          </cell>
          <cell r="AJ415" t="str">
            <v/>
          </cell>
          <cell r="AK415" t="str">
            <v/>
          </cell>
          <cell r="AL415" t="str">
            <v/>
          </cell>
          <cell r="AM415" t="str">
            <v/>
          </cell>
          <cell r="AN415" t="str">
            <v/>
          </cell>
          <cell r="AO415">
            <v>3094</v>
          </cell>
          <cell r="AQ415" t="str">
            <v/>
          </cell>
          <cell r="AR415" t="str">
            <v/>
          </cell>
          <cell r="AS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row>
        <row r="416">
          <cell r="A416" t="str">
            <v>RJ6</v>
          </cell>
          <cell r="B416" t="str">
            <v>Q08</v>
          </cell>
          <cell r="C416" t="str">
            <v/>
          </cell>
          <cell r="D416" t="str">
            <v/>
          </cell>
          <cell r="E416">
            <v>0.97536074053906885</v>
          </cell>
          <cell r="F416" t="str">
            <v/>
          </cell>
          <cell r="G416" t="str">
            <v/>
          </cell>
          <cell r="H416" t="str">
            <v/>
          </cell>
          <cell r="J416" t="str">
            <v/>
          </cell>
          <cell r="K416" t="str">
            <v/>
          </cell>
          <cell r="L416" t="str">
            <v/>
          </cell>
          <cell r="M416">
            <v>3770</v>
          </cell>
          <cell r="N416" t="str">
            <v/>
          </cell>
          <cell r="Q416">
            <v>1</v>
          </cell>
          <cell r="R416">
            <v>1</v>
          </cell>
          <cell r="S416" t="str">
            <v/>
          </cell>
          <cell r="X416" t="str">
            <v/>
          </cell>
          <cell r="Y416" t="str">
            <v/>
          </cell>
          <cell r="Z416" t="str">
            <v/>
          </cell>
          <cell r="AB416">
            <v>1</v>
          </cell>
          <cell r="AD416" t="str">
            <v/>
          </cell>
          <cell r="AE416" t="str">
            <v/>
          </cell>
          <cell r="AF416" t="str">
            <v/>
          </cell>
          <cell r="AG416">
            <v>2.4447421299397188E-2</v>
          </cell>
          <cell r="AH416">
            <v>2.3333333333333335</v>
          </cell>
          <cell r="AI416" t="str">
            <v/>
          </cell>
          <cell r="AJ416" t="str">
            <v/>
          </cell>
          <cell r="AK416" t="str">
            <v/>
          </cell>
          <cell r="AL416" t="str">
            <v/>
          </cell>
          <cell r="AM416" t="str">
            <v/>
          </cell>
          <cell r="AN416" t="str">
            <v/>
          </cell>
          <cell r="AO416">
            <v>-5847</v>
          </cell>
          <cell r="AQ416" t="str">
            <v/>
          </cell>
          <cell r="AR416" t="str">
            <v/>
          </cell>
          <cell r="AS416" t="str">
            <v/>
          </cell>
          <cell r="AU416" t="str">
            <v/>
          </cell>
          <cell r="AV416" t="str">
            <v/>
          </cell>
          <cell r="AW416" t="str">
            <v/>
          </cell>
          <cell r="AX416" t="str">
            <v/>
          </cell>
          <cell r="AY416" t="str">
            <v/>
          </cell>
          <cell r="AZ416" t="str">
            <v/>
          </cell>
          <cell r="BA416" t="str">
            <v/>
          </cell>
          <cell r="BB416" t="str">
            <v/>
          </cell>
          <cell r="BC416" t="str">
            <v/>
          </cell>
          <cell r="BD416" t="str">
            <v/>
          </cell>
          <cell r="BE416" t="str">
            <v/>
          </cell>
          <cell r="BF416" t="str">
            <v/>
          </cell>
          <cell r="BG416" t="str">
            <v/>
          </cell>
          <cell r="BH416" t="str">
            <v/>
          </cell>
          <cell r="BI416" t="str">
            <v/>
          </cell>
          <cell r="BJ416" t="str">
            <v/>
          </cell>
        </row>
        <row r="417">
          <cell r="A417" t="str">
            <v>RJ7</v>
          </cell>
          <cell r="B417" t="str">
            <v>Q08</v>
          </cell>
          <cell r="C417" t="str">
            <v/>
          </cell>
          <cell r="D417" t="str">
            <v/>
          </cell>
          <cell r="E417">
            <v>0.96779989937468558</v>
          </cell>
          <cell r="F417" t="str">
            <v/>
          </cell>
          <cell r="G417" t="str">
            <v/>
          </cell>
          <cell r="H417" t="str">
            <v/>
          </cell>
          <cell r="J417" t="str">
            <v/>
          </cell>
          <cell r="K417" t="str">
            <v/>
          </cell>
          <cell r="L417" t="str">
            <v/>
          </cell>
          <cell r="M417">
            <v>4525</v>
          </cell>
          <cell r="N417" t="str">
            <v/>
          </cell>
          <cell r="Q417">
            <v>1</v>
          </cell>
          <cell r="R417">
            <v>1</v>
          </cell>
          <cell r="S417" t="str">
            <v/>
          </cell>
          <cell r="X417" t="str">
            <v/>
          </cell>
          <cell r="Y417" t="str">
            <v/>
          </cell>
          <cell r="Z417" t="str">
            <v/>
          </cell>
          <cell r="AB417">
            <v>0.9334763948497854</v>
          </cell>
          <cell r="AD417" t="str">
            <v/>
          </cell>
          <cell r="AE417" t="str">
            <v/>
          </cell>
          <cell r="AF417" t="str">
            <v/>
          </cell>
          <cell r="AG417">
            <v>1.7301905717151456E-2</v>
          </cell>
          <cell r="AH417">
            <v>3</v>
          </cell>
          <cell r="AI417" t="str">
            <v/>
          </cell>
          <cell r="AJ417" t="str">
            <v/>
          </cell>
          <cell r="AK417" t="str">
            <v/>
          </cell>
          <cell r="AL417" t="str">
            <v/>
          </cell>
          <cell r="AM417" t="str">
            <v/>
          </cell>
          <cell r="AN417" t="str">
            <v/>
          </cell>
          <cell r="AO417">
            <v>-33569</v>
          </cell>
          <cell r="AQ417" t="str">
            <v/>
          </cell>
          <cell r="AR417" t="str">
            <v/>
          </cell>
          <cell r="AS417" t="str">
            <v/>
          </cell>
          <cell r="AU417" t="str">
            <v/>
          </cell>
          <cell r="AV417" t="str">
            <v/>
          </cell>
          <cell r="AW417" t="str">
            <v/>
          </cell>
          <cell r="AX417" t="str">
            <v/>
          </cell>
          <cell r="AY417" t="str">
            <v/>
          </cell>
          <cell r="AZ417" t="str">
            <v/>
          </cell>
          <cell r="BA417" t="str">
            <v/>
          </cell>
          <cell r="BB417" t="str">
            <v/>
          </cell>
          <cell r="BC417" t="str">
            <v/>
          </cell>
          <cell r="BD417" t="str">
            <v/>
          </cell>
          <cell r="BE417" t="str">
            <v/>
          </cell>
          <cell r="BF417" t="str">
            <v/>
          </cell>
          <cell r="BG417" t="str">
            <v/>
          </cell>
          <cell r="BH417" t="str">
            <v/>
          </cell>
          <cell r="BI417" t="str">
            <v/>
          </cell>
          <cell r="BJ417" t="str">
            <v/>
          </cell>
        </row>
        <row r="418">
          <cell r="A418" t="str">
            <v>RJ8</v>
          </cell>
          <cell r="B418" t="str">
            <v>Q21</v>
          </cell>
          <cell r="C418" t="str">
            <v/>
          </cell>
          <cell r="D418" t="str">
            <v/>
          </cell>
          <cell r="E418" t="str">
            <v/>
          </cell>
          <cell r="F418" t="str">
            <v/>
          </cell>
          <cell r="G418" t="str">
            <v/>
          </cell>
          <cell r="H418" t="str">
            <v/>
          </cell>
          <cell r="J418" t="str">
            <v/>
          </cell>
          <cell r="K418" t="str">
            <v/>
          </cell>
          <cell r="L418" t="str">
            <v/>
          </cell>
          <cell r="M418" t="str">
            <v/>
          </cell>
          <cell r="N418" t="str">
            <v/>
          </cell>
          <cell r="Q418" t="str">
            <v/>
          </cell>
          <cell r="R418" t="str">
            <v/>
          </cell>
          <cell r="S418" t="str">
            <v/>
          </cell>
          <cell r="X418" t="str">
            <v/>
          </cell>
          <cell r="Y418" t="str">
            <v/>
          </cell>
          <cell r="Z418" t="str">
            <v/>
          </cell>
          <cell r="AB418" t="str">
            <v/>
          </cell>
          <cell r="AD418" t="str">
            <v/>
          </cell>
          <cell r="AE418" t="str">
            <v/>
          </cell>
          <cell r="AF418" t="str">
            <v/>
          </cell>
          <cell r="AG418">
            <v>0</v>
          </cell>
          <cell r="AH418" t="str">
            <v/>
          </cell>
          <cell r="AI418" t="str">
            <v/>
          </cell>
          <cell r="AJ418" t="str">
            <v/>
          </cell>
          <cell r="AK418" t="str">
            <v/>
          </cell>
          <cell r="AL418" t="str">
            <v/>
          </cell>
          <cell r="AM418" t="str">
            <v/>
          </cell>
          <cell r="AN418" t="str">
            <v/>
          </cell>
          <cell r="AO418">
            <v>21</v>
          </cell>
          <cell r="AQ418" t="str">
            <v/>
          </cell>
          <cell r="AR418" t="str">
            <v/>
          </cell>
          <cell r="AS418" t="str">
            <v/>
          </cell>
          <cell r="AU418" t="str">
            <v/>
          </cell>
          <cell r="AV418" t="str">
            <v/>
          </cell>
          <cell r="AW418" t="str">
            <v/>
          </cell>
          <cell r="AX418" t="str">
            <v/>
          </cell>
          <cell r="AY418" t="str">
            <v/>
          </cell>
          <cell r="AZ418" t="str">
            <v/>
          </cell>
          <cell r="BA418" t="str">
            <v/>
          </cell>
          <cell r="BB418" t="str">
            <v/>
          </cell>
          <cell r="BC418" t="str">
            <v/>
          </cell>
          <cell r="BD418" t="str">
            <v/>
          </cell>
          <cell r="BE418" t="str">
            <v/>
          </cell>
          <cell r="BF418" t="str">
            <v/>
          </cell>
          <cell r="BG418" t="str">
            <v/>
          </cell>
          <cell r="BH418" t="str">
            <v/>
          </cell>
          <cell r="BI418" t="str">
            <v/>
          </cell>
          <cell r="BJ418" t="str">
            <v/>
          </cell>
        </row>
        <row r="419">
          <cell r="A419" t="str">
            <v>RJ9</v>
          </cell>
          <cell r="B419" t="str">
            <v>Q21</v>
          </cell>
          <cell r="C419">
            <v>0.75037147102526003</v>
          </cell>
          <cell r="D419">
            <v>0.88347737671581084</v>
          </cell>
          <cell r="E419" t="str">
            <v/>
          </cell>
          <cell r="F419" t="str">
            <v/>
          </cell>
          <cell r="G419" t="str">
            <v/>
          </cell>
          <cell r="H419" t="str">
            <v/>
          </cell>
          <cell r="J419" t="str">
            <v/>
          </cell>
          <cell r="K419" t="str">
            <v/>
          </cell>
          <cell r="L419" t="str">
            <v/>
          </cell>
          <cell r="M419" t="str">
            <v/>
          </cell>
          <cell r="N419" t="str">
            <v/>
          </cell>
          <cell r="Q419" t="str">
            <v/>
          </cell>
          <cell r="R419" t="str">
            <v/>
          </cell>
          <cell r="S419" t="str">
            <v/>
          </cell>
          <cell r="X419" t="str">
            <v/>
          </cell>
          <cell r="Y419" t="str">
            <v/>
          </cell>
          <cell r="Z419" t="str">
            <v/>
          </cell>
          <cell r="AB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v>32</v>
          </cell>
          <cell r="AQ419" t="str">
            <v/>
          </cell>
          <cell r="AR419" t="str">
            <v/>
          </cell>
          <cell r="AS419" t="str">
            <v/>
          </cell>
          <cell r="AU419" t="str">
            <v/>
          </cell>
          <cell r="AV419" t="str">
            <v/>
          </cell>
          <cell r="AW419" t="str">
            <v/>
          </cell>
          <cell r="AX419" t="str">
            <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row>
        <row r="420">
          <cell r="A420" t="str">
            <v>RJC</v>
          </cell>
          <cell r="B420" t="str">
            <v>Q28</v>
          </cell>
          <cell r="C420" t="str">
            <v/>
          </cell>
          <cell r="D420" t="str">
            <v/>
          </cell>
          <cell r="E420">
            <v>0.98682501391723887</v>
          </cell>
          <cell r="F420" t="str">
            <v/>
          </cell>
          <cell r="G420" t="str">
            <v/>
          </cell>
          <cell r="H420" t="str">
            <v/>
          </cell>
          <cell r="J420" t="str">
            <v/>
          </cell>
          <cell r="K420" t="str">
            <v/>
          </cell>
          <cell r="L420" t="str">
            <v/>
          </cell>
          <cell r="M420">
            <v>3762</v>
          </cell>
          <cell r="N420" t="str">
            <v/>
          </cell>
          <cell r="Q420">
            <v>0.98528209321340965</v>
          </cell>
          <cell r="R420">
            <v>1</v>
          </cell>
          <cell r="S420" t="str">
            <v/>
          </cell>
          <cell r="X420" t="str">
            <v/>
          </cell>
          <cell r="Y420" t="str">
            <v/>
          </cell>
          <cell r="Z420" t="str">
            <v/>
          </cell>
          <cell r="AB420">
            <v>1</v>
          </cell>
          <cell r="AD420" t="str">
            <v/>
          </cell>
          <cell r="AE420" t="str">
            <v/>
          </cell>
          <cell r="AF420" t="str">
            <v/>
          </cell>
          <cell r="AG420">
            <v>2.8960817717206135E-2</v>
          </cell>
          <cell r="AH420">
            <v>1</v>
          </cell>
          <cell r="AI420" t="str">
            <v/>
          </cell>
          <cell r="AJ420" t="str">
            <v/>
          </cell>
          <cell r="AK420" t="str">
            <v/>
          </cell>
          <cell r="AL420" t="str">
            <v/>
          </cell>
          <cell r="AM420" t="str">
            <v/>
          </cell>
          <cell r="AN420" t="str">
            <v/>
          </cell>
          <cell r="AO420">
            <v>-13827</v>
          </cell>
          <cell r="AQ420" t="str">
            <v/>
          </cell>
          <cell r="AR420" t="str">
            <v/>
          </cell>
          <cell r="AS420" t="str">
            <v/>
          </cell>
          <cell r="AU420" t="str">
            <v/>
          </cell>
          <cell r="AV420" t="str">
            <v/>
          </cell>
          <cell r="AW420" t="str">
            <v/>
          </cell>
          <cell r="AX420" t="str">
            <v/>
          </cell>
          <cell r="AY420" t="str">
            <v/>
          </cell>
          <cell r="AZ420" t="str">
            <v/>
          </cell>
          <cell r="BA420" t="str">
            <v/>
          </cell>
          <cell r="BB420" t="str">
            <v/>
          </cell>
          <cell r="BC420" t="str">
            <v/>
          </cell>
          <cell r="BD420" t="str">
            <v/>
          </cell>
          <cell r="BE420" t="str">
            <v/>
          </cell>
          <cell r="BF420" t="str">
            <v/>
          </cell>
          <cell r="BG420" t="str">
            <v/>
          </cell>
          <cell r="BH420" t="str">
            <v/>
          </cell>
          <cell r="BI420" t="str">
            <v/>
          </cell>
          <cell r="BJ420" t="str">
            <v/>
          </cell>
        </row>
        <row r="421">
          <cell r="A421" t="str">
            <v>RJD</v>
          </cell>
          <cell r="B421" t="str">
            <v>Q26</v>
          </cell>
          <cell r="C421" t="str">
            <v/>
          </cell>
          <cell r="D421" t="str">
            <v/>
          </cell>
          <cell r="E421">
            <v>0.96352583586626139</v>
          </cell>
          <cell r="F421" t="str">
            <v/>
          </cell>
          <cell r="G421" t="str">
            <v/>
          </cell>
          <cell r="H421" t="str">
            <v/>
          </cell>
          <cell r="J421" t="str">
            <v/>
          </cell>
          <cell r="K421" t="str">
            <v/>
          </cell>
          <cell r="L421" t="str">
            <v/>
          </cell>
          <cell r="M421">
            <v>3605</v>
          </cell>
          <cell r="N421" t="str">
            <v/>
          </cell>
          <cell r="Q421">
            <v>1</v>
          </cell>
          <cell r="R421">
            <v>1</v>
          </cell>
          <cell r="S421" t="str">
            <v/>
          </cell>
          <cell r="X421" t="str">
            <v/>
          </cell>
          <cell r="Y421" t="str">
            <v/>
          </cell>
          <cell r="Z421" t="str">
            <v/>
          </cell>
          <cell r="AB421">
            <v>0.88235294117647056</v>
          </cell>
          <cell r="AD421" t="str">
            <v/>
          </cell>
          <cell r="AE421" t="str">
            <v/>
          </cell>
          <cell r="AF421" t="str">
            <v/>
          </cell>
          <cell r="AG421">
            <v>1.9512195121951219E-2</v>
          </cell>
          <cell r="AH421">
            <v>0.66666666666666663</v>
          </cell>
          <cell r="AI421" t="str">
            <v/>
          </cell>
          <cell r="AJ421" t="str">
            <v/>
          </cell>
          <cell r="AK421" t="str">
            <v/>
          </cell>
          <cell r="AL421" t="str">
            <v/>
          </cell>
          <cell r="AM421" t="str">
            <v/>
          </cell>
          <cell r="AN421" t="str">
            <v/>
          </cell>
          <cell r="AO421">
            <v>478</v>
          </cell>
          <cell r="AQ421" t="str">
            <v/>
          </cell>
          <cell r="AR421" t="str">
            <v/>
          </cell>
          <cell r="AS421" t="str">
            <v/>
          </cell>
          <cell r="AU421" t="str">
            <v/>
          </cell>
          <cell r="AV421" t="str">
            <v/>
          </cell>
          <cell r="AW421" t="str">
            <v/>
          </cell>
          <cell r="AX421" t="str">
            <v/>
          </cell>
          <cell r="AY421" t="str">
            <v/>
          </cell>
          <cell r="AZ421" t="str">
            <v/>
          </cell>
          <cell r="BA421" t="str">
            <v/>
          </cell>
          <cell r="BB421" t="str">
            <v/>
          </cell>
          <cell r="BC421" t="str">
            <v/>
          </cell>
          <cell r="BD421" t="str">
            <v/>
          </cell>
          <cell r="BE421" t="str">
            <v/>
          </cell>
          <cell r="BF421" t="str">
            <v/>
          </cell>
          <cell r="BG421" t="str">
            <v/>
          </cell>
          <cell r="BH421" t="str">
            <v/>
          </cell>
          <cell r="BI421" t="str">
            <v/>
          </cell>
          <cell r="BJ421" t="str">
            <v/>
          </cell>
        </row>
        <row r="422">
          <cell r="A422" t="str">
            <v>RJE</v>
          </cell>
          <cell r="B422" t="str">
            <v>Q26</v>
          </cell>
          <cell r="C422" t="str">
            <v/>
          </cell>
          <cell r="D422" t="str">
            <v/>
          </cell>
          <cell r="E422">
            <v>0.9853522436642641</v>
          </cell>
          <cell r="F422" t="str">
            <v/>
          </cell>
          <cell r="G422" t="str">
            <v/>
          </cell>
          <cell r="H422" t="str">
            <v/>
          </cell>
          <cell r="J422" t="str">
            <v/>
          </cell>
          <cell r="K422" t="str">
            <v/>
          </cell>
          <cell r="L422" t="str">
            <v/>
          </cell>
          <cell r="M422">
            <v>5632</v>
          </cell>
          <cell r="N422" t="str">
            <v/>
          </cell>
          <cell r="Q422">
            <v>1</v>
          </cell>
          <cell r="R422">
            <v>1</v>
          </cell>
          <cell r="S422" t="str">
            <v/>
          </cell>
          <cell r="X422" t="str">
            <v/>
          </cell>
          <cell r="Y422" t="str">
            <v/>
          </cell>
          <cell r="Z422" t="str">
            <v/>
          </cell>
          <cell r="AB422">
            <v>0.72627737226277367</v>
          </cell>
          <cell r="AD422" t="str">
            <v/>
          </cell>
          <cell r="AE422" t="str">
            <v/>
          </cell>
          <cell r="AF422" t="str">
            <v/>
          </cell>
          <cell r="AG422">
            <v>7.1476285905143627E-2</v>
          </cell>
          <cell r="AH422">
            <v>10.333333333333334</v>
          </cell>
          <cell r="AI422" t="str">
            <v/>
          </cell>
          <cell r="AJ422" t="str">
            <v/>
          </cell>
          <cell r="AK422" t="str">
            <v/>
          </cell>
          <cell r="AL422" t="str">
            <v/>
          </cell>
          <cell r="AM422" t="str">
            <v/>
          </cell>
          <cell r="AN422" t="str">
            <v/>
          </cell>
          <cell r="AO422">
            <v>-14985</v>
          </cell>
          <cell r="AQ422" t="str">
            <v/>
          </cell>
          <cell r="AR422" t="str">
            <v/>
          </cell>
          <cell r="AS422" t="str">
            <v/>
          </cell>
          <cell r="AU422" t="str">
            <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row>
        <row r="423">
          <cell r="A423" t="str">
            <v>RJF</v>
          </cell>
          <cell r="B423" t="str">
            <v>Q26</v>
          </cell>
          <cell r="C423" t="str">
            <v/>
          </cell>
          <cell r="D423" t="str">
            <v/>
          </cell>
          <cell r="E423">
            <v>0.98405164230112019</v>
          </cell>
          <cell r="F423" t="str">
            <v/>
          </cell>
          <cell r="G423" t="str">
            <v/>
          </cell>
          <cell r="H423" t="str">
            <v/>
          </cell>
          <cell r="J423" t="str">
            <v/>
          </cell>
          <cell r="K423" t="str">
            <v/>
          </cell>
          <cell r="L423" t="str">
            <v/>
          </cell>
          <cell r="M423">
            <v>3421</v>
          </cell>
          <cell r="N423" t="str">
            <v/>
          </cell>
          <cell r="Q423">
            <v>1</v>
          </cell>
          <cell r="R423">
            <v>1</v>
          </cell>
          <cell r="S423" t="str">
            <v/>
          </cell>
          <cell r="X423" t="str">
            <v/>
          </cell>
          <cell r="Y423" t="str">
            <v/>
          </cell>
          <cell r="Z423" t="str">
            <v/>
          </cell>
          <cell r="AB423">
            <v>1</v>
          </cell>
          <cell r="AD423" t="str">
            <v/>
          </cell>
          <cell r="AE423" t="str">
            <v/>
          </cell>
          <cell r="AF423" t="str">
            <v/>
          </cell>
          <cell r="AG423">
            <v>2.7334851936218679E-2</v>
          </cell>
          <cell r="AH423">
            <v>0.66666666666666663</v>
          </cell>
          <cell r="AI423" t="str">
            <v/>
          </cell>
          <cell r="AJ423" t="str">
            <v/>
          </cell>
          <cell r="AK423" t="str">
            <v/>
          </cell>
          <cell r="AL423" t="str">
            <v/>
          </cell>
          <cell r="AM423" t="str">
            <v/>
          </cell>
          <cell r="AN423" t="str">
            <v/>
          </cell>
          <cell r="AO423">
            <v>100</v>
          </cell>
          <cell r="AQ423" t="str">
            <v/>
          </cell>
          <cell r="AR423" t="str">
            <v/>
          </cell>
          <cell r="AS423" t="str">
            <v/>
          </cell>
          <cell r="AU423" t="str">
            <v/>
          </cell>
          <cell r="AV423" t="str">
            <v/>
          </cell>
          <cell r="AW423" t="str">
            <v/>
          </cell>
          <cell r="AX423" t="str">
            <v/>
          </cell>
          <cell r="AY423" t="str">
            <v/>
          </cell>
          <cell r="AZ423" t="str">
            <v/>
          </cell>
          <cell r="BA423" t="str">
            <v/>
          </cell>
          <cell r="BB423" t="str">
            <v/>
          </cell>
          <cell r="BC423" t="str">
            <v/>
          </cell>
          <cell r="BD423" t="str">
            <v/>
          </cell>
          <cell r="BE423" t="str">
            <v/>
          </cell>
          <cell r="BF423" t="str">
            <v/>
          </cell>
          <cell r="BG423" t="str">
            <v/>
          </cell>
          <cell r="BH423" t="str">
            <v/>
          </cell>
          <cell r="BI423" t="str">
            <v/>
          </cell>
          <cell r="BJ423" t="str">
            <v/>
          </cell>
        </row>
        <row r="424">
          <cell r="A424" t="str">
            <v>RJH</v>
          </cell>
          <cell r="B424" t="str">
            <v>Q27</v>
          </cell>
          <cell r="C424" t="str">
            <v/>
          </cell>
          <cell r="D424" t="str">
            <v/>
          </cell>
          <cell r="E424">
            <v>0.9568616877864653</v>
          </cell>
          <cell r="F424" t="str">
            <v/>
          </cell>
          <cell r="G424" t="str">
            <v/>
          </cell>
          <cell r="H424" t="str">
            <v/>
          </cell>
          <cell r="J424" t="str">
            <v/>
          </cell>
          <cell r="K424" t="str">
            <v/>
          </cell>
          <cell r="L424" t="str">
            <v/>
          </cell>
          <cell r="M424">
            <v>3279</v>
          </cell>
          <cell r="N424" t="str">
            <v/>
          </cell>
          <cell r="Q424">
            <v>1</v>
          </cell>
          <cell r="R424">
            <v>1</v>
          </cell>
          <cell r="S424" t="str">
            <v/>
          </cell>
          <cell r="X424" t="str">
            <v/>
          </cell>
          <cell r="Y424" t="str">
            <v/>
          </cell>
          <cell r="Z424" t="str">
            <v/>
          </cell>
          <cell r="AB424">
            <v>0.98496240601503759</v>
          </cell>
          <cell r="AD424" t="str">
            <v/>
          </cell>
          <cell r="AE424" t="str">
            <v/>
          </cell>
          <cell r="AF424" t="str">
            <v/>
          </cell>
          <cell r="AG424">
            <v>3.8867924528301886E-2</v>
          </cell>
          <cell r="AH424">
            <v>3.3333333333333335</v>
          </cell>
          <cell r="AI424" t="str">
            <v/>
          </cell>
          <cell r="AJ424" t="str">
            <v/>
          </cell>
          <cell r="AK424" t="str">
            <v/>
          </cell>
          <cell r="AL424" t="str">
            <v/>
          </cell>
          <cell r="AM424" t="str">
            <v/>
          </cell>
          <cell r="AN424" t="str">
            <v/>
          </cell>
          <cell r="AO424">
            <v>-5972</v>
          </cell>
          <cell r="AQ424" t="str">
            <v/>
          </cell>
          <cell r="AR424" t="str">
            <v/>
          </cell>
          <cell r="AS424" t="str">
            <v/>
          </cell>
          <cell r="AU424" t="str">
            <v/>
          </cell>
          <cell r="AV424" t="str">
            <v/>
          </cell>
          <cell r="AW424" t="str">
            <v/>
          </cell>
          <cell r="AX424" t="str">
            <v/>
          </cell>
          <cell r="AY424" t="str">
            <v/>
          </cell>
          <cell r="AZ424" t="str">
            <v/>
          </cell>
          <cell r="BA424" t="str">
            <v/>
          </cell>
          <cell r="BB424" t="str">
            <v/>
          </cell>
          <cell r="BC424" t="str">
            <v/>
          </cell>
          <cell r="BD424" t="str">
            <v/>
          </cell>
          <cell r="BE424" t="str">
            <v/>
          </cell>
          <cell r="BF424" t="str">
            <v/>
          </cell>
          <cell r="BG424" t="str">
            <v/>
          </cell>
          <cell r="BH424" t="str">
            <v/>
          </cell>
          <cell r="BI424" t="str">
            <v/>
          </cell>
          <cell r="BJ424" t="str">
            <v/>
          </cell>
        </row>
        <row r="425">
          <cell r="A425" t="str">
            <v>RJL</v>
          </cell>
          <cell r="B425" t="str">
            <v>Q11</v>
          </cell>
          <cell r="C425" t="str">
            <v/>
          </cell>
          <cell r="D425" t="str">
            <v/>
          </cell>
          <cell r="E425">
            <v>0.98068137318887871</v>
          </cell>
          <cell r="F425" t="str">
            <v/>
          </cell>
          <cell r="G425" t="str">
            <v/>
          </cell>
          <cell r="H425" t="str">
            <v/>
          </cell>
          <cell r="J425" t="str">
            <v/>
          </cell>
          <cell r="K425" t="str">
            <v/>
          </cell>
          <cell r="L425" t="str">
            <v/>
          </cell>
          <cell r="M425">
            <v>6453</v>
          </cell>
          <cell r="N425" t="str">
            <v/>
          </cell>
          <cell r="Q425">
            <v>1</v>
          </cell>
          <cell r="R425">
            <v>1</v>
          </cell>
          <cell r="S425" t="str">
            <v/>
          </cell>
          <cell r="X425" t="str">
            <v/>
          </cell>
          <cell r="Y425" t="str">
            <v/>
          </cell>
          <cell r="Z425" t="str">
            <v/>
          </cell>
          <cell r="AB425">
            <v>1</v>
          </cell>
          <cell r="AD425" t="str">
            <v/>
          </cell>
          <cell r="AE425" t="str">
            <v/>
          </cell>
          <cell r="AF425" t="str">
            <v/>
          </cell>
          <cell r="AG425">
            <v>1.3471502590673576E-2</v>
          </cell>
          <cell r="AH425">
            <v>2.3333333333333335</v>
          </cell>
          <cell r="AI425" t="str">
            <v/>
          </cell>
          <cell r="AJ425" t="str">
            <v/>
          </cell>
          <cell r="AK425" t="str">
            <v/>
          </cell>
          <cell r="AL425" t="str">
            <v/>
          </cell>
          <cell r="AM425" t="str">
            <v/>
          </cell>
          <cell r="AN425" t="str">
            <v/>
          </cell>
          <cell r="AO425">
            <v>0</v>
          </cell>
          <cell r="AQ425" t="str">
            <v/>
          </cell>
          <cell r="AR425" t="str">
            <v/>
          </cell>
          <cell r="AS425" t="str">
            <v/>
          </cell>
          <cell r="AU425" t="str">
            <v/>
          </cell>
          <cell r="AV425" t="str">
            <v/>
          </cell>
          <cell r="AW425" t="str">
            <v/>
          </cell>
          <cell r="AX425" t="str">
            <v/>
          </cell>
          <cell r="AY425" t="str">
            <v/>
          </cell>
          <cell r="AZ425" t="str">
            <v/>
          </cell>
          <cell r="BA425" t="str">
            <v/>
          </cell>
          <cell r="BB425" t="str">
            <v/>
          </cell>
          <cell r="BC425" t="str">
            <v/>
          </cell>
          <cell r="BD425" t="str">
            <v/>
          </cell>
          <cell r="BE425" t="str">
            <v/>
          </cell>
          <cell r="BF425" t="str">
            <v/>
          </cell>
          <cell r="BG425" t="str">
            <v/>
          </cell>
          <cell r="BH425" t="str">
            <v/>
          </cell>
          <cell r="BI425" t="str">
            <v/>
          </cell>
          <cell r="BJ425" t="str">
            <v/>
          </cell>
        </row>
        <row r="426">
          <cell r="A426" t="str">
            <v>RJN</v>
          </cell>
          <cell r="B426" t="str">
            <v>Q15</v>
          </cell>
          <cell r="C426" t="str">
            <v/>
          </cell>
          <cell r="D426" t="str">
            <v/>
          </cell>
          <cell r="E426">
            <v>0.99095022624434392</v>
          </cell>
          <cell r="F426" t="str">
            <v/>
          </cell>
          <cell r="G426" t="str">
            <v/>
          </cell>
          <cell r="H426" t="str">
            <v/>
          </cell>
          <cell r="J426" t="str">
            <v/>
          </cell>
          <cell r="K426" t="str">
            <v/>
          </cell>
          <cell r="L426" t="str">
            <v/>
          </cell>
          <cell r="M426">
            <v>2345</v>
          </cell>
          <cell r="N426" t="str">
            <v/>
          </cell>
          <cell r="Q426">
            <v>1</v>
          </cell>
          <cell r="R426">
            <v>1</v>
          </cell>
          <cell r="S426" t="str">
            <v/>
          </cell>
          <cell r="X426" t="str">
            <v/>
          </cell>
          <cell r="Y426" t="str">
            <v/>
          </cell>
          <cell r="Z426" t="str">
            <v/>
          </cell>
          <cell r="AB426">
            <v>0.98245614035087714</v>
          </cell>
          <cell r="AD426" t="str">
            <v/>
          </cell>
          <cell r="AE426" t="str">
            <v/>
          </cell>
          <cell r="AF426" t="str">
            <v/>
          </cell>
          <cell r="AG426">
            <v>1.2037037037037037E-2</v>
          </cell>
          <cell r="AH426">
            <v>2.6666666666666665</v>
          </cell>
          <cell r="AI426" t="str">
            <v/>
          </cell>
          <cell r="AJ426" t="str">
            <v/>
          </cell>
          <cell r="AK426" t="str">
            <v/>
          </cell>
          <cell r="AL426" t="str">
            <v/>
          </cell>
          <cell r="AM426" t="str">
            <v/>
          </cell>
          <cell r="AN426" t="str">
            <v/>
          </cell>
          <cell r="AO426">
            <v>12</v>
          </cell>
          <cell r="AQ426" t="str">
            <v/>
          </cell>
          <cell r="AR426" t="str">
            <v/>
          </cell>
          <cell r="AS426" t="str">
            <v/>
          </cell>
          <cell r="AU426" t="str">
            <v/>
          </cell>
          <cell r="AV426" t="str">
            <v/>
          </cell>
          <cell r="AW426" t="str">
            <v/>
          </cell>
          <cell r="AX426" t="str">
            <v/>
          </cell>
          <cell r="AY426" t="str">
            <v/>
          </cell>
          <cell r="AZ426" t="str">
            <v/>
          </cell>
          <cell r="BA426" t="str">
            <v/>
          </cell>
          <cell r="BB426" t="str">
            <v/>
          </cell>
          <cell r="BC426" t="str">
            <v/>
          </cell>
          <cell r="BD426" t="str">
            <v/>
          </cell>
          <cell r="BE426" t="str">
            <v/>
          </cell>
          <cell r="BF426" t="str">
            <v/>
          </cell>
          <cell r="BG426" t="str">
            <v/>
          </cell>
          <cell r="BH426" t="str">
            <v/>
          </cell>
          <cell r="BI426" t="str">
            <v/>
          </cell>
          <cell r="BJ426" t="str">
            <v/>
          </cell>
        </row>
        <row r="427">
          <cell r="A427" t="str">
            <v>RJR</v>
          </cell>
          <cell r="B427" t="str">
            <v>Q15</v>
          </cell>
          <cell r="C427" t="str">
            <v/>
          </cell>
          <cell r="D427" t="str">
            <v/>
          </cell>
          <cell r="E427">
            <v>0.98022229486760382</v>
          </cell>
          <cell r="F427" t="str">
            <v/>
          </cell>
          <cell r="G427" t="str">
            <v/>
          </cell>
          <cell r="H427" t="str">
            <v/>
          </cell>
          <cell r="J427" t="str">
            <v/>
          </cell>
          <cell r="K427" t="str">
            <v/>
          </cell>
          <cell r="L427" t="str">
            <v/>
          </cell>
          <cell r="M427">
            <v>3102</v>
          </cell>
          <cell r="N427" t="str">
            <v/>
          </cell>
          <cell r="Q427">
            <v>1</v>
          </cell>
          <cell r="R427">
            <v>1</v>
          </cell>
          <cell r="S427" t="str">
            <v/>
          </cell>
          <cell r="X427" t="str">
            <v/>
          </cell>
          <cell r="Y427" t="str">
            <v/>
          </cell>
          <cell r="Z427" t="str">
            <v/>
          </cell>
          <cell r="AB427">
            <v>1</v>
          </cell>
          <cell r="AD427" t="str">
            <v/>
          </cell>
          <cell r="AE427" t="str">
            <v/>
          </cell>
          <cell r="AF427" t="str">
            <v/>
          </cell>
          <cell r="AG427">
            <v>5.7513914656771803E-2</v>
          </cell>
          <cell r="AH427">
            <v>2.3333333333333335</v>
          </cell>
          <cell r="AI427" t="str">
            <v/>
          </cell>
          <cell r="AJ427" t="str">
            <v/>
          </cell>
          <cell r="AK427" t="str">
            <v/>
          </cell>
          <cell r="AL427" t="str">
            <v/>
          </cell>
          <cell r="AM427" t="str">
            <v/>
          </cell>
          <cell r="AN427" t="str">
            <v/>
          </cell>
          <cell r="AO427" t="str">
            <v/>
          </cell>
          <cell r="AQ427" t="str">
            <v/>
          </cell>
          <cell r="AR427" t="str">
            <v/>
          </cell>
          <cell r="AS427" t="str">
            <v/>
          </cell>
          <cell r="AU427" t="str">
            <v/>
          </cell>
          <cell r="AV427" t="str">
            <v/>
          </cell>
          <cell r="AW427" t="str">
            <v/>
          </cell>
          <cell r="AX427" t="str">
            <v/>
          </cell>
          <cell r="AY427" t="str">
            <v/>
          </cell>
          <cell r="AZ427" t="str">
            <v/>
          </cell>
          <cell r="BA427" t="str">
            <v/>
          </cell>
          <cell r="BB427" t="str">
            <v/>
          </cell>
          <cell r="BC427" t="str">
            <v/>
          </cell>
          <cell r="BD427" t="str">
            <v/>
          </cell>
          <cell r="BE427" t="str">
            <v/>
          </cell>
          <cell r="BF427" t="str">
            <v/>
          </cell>
          <cell r="BG427" t="str">
            <v/>
          </cell>
          <cell r="BH427" t="str">
            <v/>
          </cell>
          <cell r="BI427" t="str">
            <v/>
          </cell>
          <cell r="BJ427" t="str">
            <v/>
          </cell>
        </row>
        <row r="428">
          <cell r="A428" t="str">
            <v>RJX</v>
          </cell>
          <cell r="B428" t="str">
            <v>Q13</v>
          </cell>
          <cell r="C428" t="str">
            <v/>
          </cell>
          <cell r="D428" t="str">
            <v/>
          </cell>
          <cell r="E428" t="str">
            <v/>
          </cell>
          <cell r="F428" t="str">
            <v/>
          </cell>
          <cell r="G428" t="str">
            <v/>
          </cell>
          <cell r="H428" t="str">
            <v/>
          </cell>
          <cell r="J428" t="str">
            <v/>
          </cell>
          <cell r="K428" t="str">
            <v/>
          </cell>
          <cell r="L428" t="str">
            <v/>
          </cell>
          <cell r="M428" t="str">
            <v/>
          </cell>
          <cell r="N428" t="str">
            <v/>
          </cell>
          <cell r="Q428" t="str">
            <v/>
          </cell>
          <cell r="R428" t="str">
            <v/>
          </cell>
          <cell r="S428" t="str">
            <v/>
          </cell>
          <cell r="X428" t="str">
            <v/>
          </cell>
          <cell r="Y428" t="str">
            <v/>
          </cell>
          <cell r="Z428" t="str">
            <v/>
          </cell>
          <cell r="AB428" t="str">
            <v/>
          </cell>
          <cell r="AD428" t="str">
            <v/>
          </cell>
          <cell r="AE428" t="str">
            <v/>
          </cell>
          <cell r="AF428" t="str">
            <v/>
          </cell>
          <cell r="AG428">
            <v>0</v>
          </cell>
          <cell r="AH428" t="str">
            <v/>
          </cell>
          <cell r="AI428" t="str">
            <v/>
          </cell>
          <cell r="AJ428" t="str">
            <v/>
          </cell>
          <cell r="AK428" t="str">
            <v/>
          </cell>
          <cell r="AL428" t="str">
            <v/>
          </cell>
          <cell r="AM428" t="str">
            <v/>
          </cell>
          <cell r="AN428" t="str">
            <v/>
          </cell>
          <cell r="AO428">
            <v>83</v>
          </cell>
          <cell r="AQ428" t="str">
            <v/>
          </cell>
          <cell r="AR428" t="str">
            <v/>
          </cell>
          <cell r="AS428" t="str">
            <v/>
          </cell>
          <cell r="AU428" t="str">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row>
        <row r="429">
          <cell r="A429" t="str">
            <v>RJZ</v>
          </cell>
          <cell r="B429" t="str">
            <v>Q07</v>
          </cell>
          <cell r="C429" t="str">
            <v/>
          </cell>
          <cell r="D429" t="str">
            <v/>
          </cell>
          <cell r="E429">
            <v>0.98670711035774827</v>
          </cell>
          <cell r="F429" t="str">
            <v/>
          </cell>
          <cell r="G429" t="str">
            <v/>
          </cell>
          <cell r="H429" t="str">
            <v/>
          </cell>
          <cell r="J429" t="str">
            <v/>
          </cell>
          <cell r="K429" t="str">
            <v/>
          </cell>
          <cell r="L429" t="str">
            <v/>
          </cell>
          <cell r="M429">
            <v>5328</v>
          </cell>
          <cell r="N429" t="str">
            <v/>
          </cell>
          <cell r="Q429">
            <v>1</v>
          </cell>
          <cell r="R429">
            <v>1</v>
          </cell>
          <cell r="S429" t="str">
            <v/>
          </cell>
          <cell r="X429" t="str">
            <v/>
          </cell>
          <cell r="Y429" t="str">
            <v/>
          </cell>
          <cell r="Z429" t="str">
            <v/>
          </cell>
          <cell r="AB429">
            <v>0.86524822695035464</v>
          </cell>
          <cell r="AD429" t="str">
            <v/>
          </cell>
          <cell r="AE429" t="str">
            <v/>
          </cell>
          <cell r="AF429" t="str">
            <v/>
          </cell>
          <cell r="AG429">
            <v>9.2615769712140177E-3</v>
          </cell>
          <cell r="AH429">
            <v>10.333333333333334</v>
          </cell>
          <cell r="AI429" t="str">
            <v/>
          </cell>
          <cell r="AJ429" t="str">
            <v/>
          </cell>
          <cell r="AK429" t="str">
            <v/>
          </cell>
          <cell r="AL429" t="str">
            <v/>
          </cell>
          <cell r="AM429" t="str">
            <v/>
          </cell>
          <cell r="AN429" t="str">
            <v/>
          </cell>
          <cell r="AO429">
            <v>122</v>
          </cell>
          <cell r="AQ429" t="str">
            <v/>
          </cell>
          <cell r="AR429" t="str">
            <v/>
          </cell>
          <cell r="AS429" t="str">
            <v/>
          </cell>
          <cell r="AU429" t="str">
            <v/>
          </cell>
          <cell r="AV429" t="str">
            <v/>
          </cell>
          <cell r="AW429" t="str">
            <v/>
          </cell>
          <cell r="AX429" t="str">
            <v/>
          </cell>
          <cell r="AY429" t="str">
            <v/>
          </cell>
          <cell r="AZ429" t="str">
            <v/>
          </cell>
          <cell r="BA429" t="str">
            <v/>
          </cell>
          <cell r="BB429" t="str">
            <v/>
          </cell>
          <cell r="BC429" t="str">
            <v/>
          </cell>
          <cell r="BD429" t="str">
            <v/>
          </cell>
          <cell r="BE429" t="str">
            <v/>
          </cell>
          <cell r="BF429" t="str">
            <v/>
          </cell>
          <cell r="BG429" t="str">
            <v/>
          </cell>
          <cell r="BH429" t="str">
            <v/>
          </cell>
          <cell r="BI429" t="str">
            <v/>
          </cell>
          <cell r="BJ429" t="str">
            <v/>
          </cell>
        </row>
        <row r="430">
          <cell r="A430" t="str">
            <v>RK5</v>
          </cell>
          <cell r="B430" t="str">
            <v>Q24</v>
          </cell>
          <cell r="C430" t="str">
            <v/>
          </cell>
          <cell r="D430" t="str">
            <v/>
          </cell>
          <cell r="E430">
            <v>0.98049792531120328</v>
          </cell>
          <cell r="F430" t="str">
            <v/>
          </cell>
          <cell r="G430" t="str">
            <v/>
          </cell>
          <cell r="H430" t="str">
            <v/>
          </cell>
          <cell r="J430" t="str">
            <v/>
          </cell>
          <cell r="K430" t="str">
            <v/>
          </cell>
          <cell r="L430" t="str">
            <v/>
          </cell>
          <cell r="M430">
            <v>5553</v>
          </cell>
          <cell r="N430" t="str">
            <v/>
          </cell>
          <cell r="Q430">
            <v>1</v>
          </cell>
          <cell r="R430">
            <v>1</v>
          </cell>
          <cell r="S430" t="str">
            <v/>
          </cell>
          <cell r="X430" t="str">
            <v/>
          </cell>
          <cell r="Y430" t="str">
            <v/>
          </cell>
          <cell r="Z430" t="str">
            <v/>
          </cell>
          <cell r="AB430">
            <v>0.97499999999999998</v>
          </cell>
          <cell r="AD430" t="str">
            <v/>
          </cell>
          <cell r="AE430" t="str">
            <v/>
          </cell>
          <cell r="AF430" t="str">
            <v/>
          </cell>
          <cell r="AG430">
            <v>2.208898706216472E-3</v>
          </cell>
          <cell r="AH430">
            <v>5.333333333333333</v>
          </cell>
          <cell r="AI430" t="str">
            <v/>
          </cell>
          <cell r="AJ430" t="str">
            <v/>
          </cell>
          <cell r="AK430" t="str">
            <v/>
          </cell>
          <cell r="AL430" t="str">
            <v/>
          </cell>
          <cell r="AM430" t="str">
            <v/>
          </cell>
          <cell r="AN430" t="str">
            <v/>
          </cell>
          <cell r="AO430">
            <v>1</v>
          </cell>
          <cell r="AQ430" t="str">
            <v/>
          </cell>
          <cell r="AR430" t="str">
            <v/>
          </cell>
          <cell r="AS430" t="str">
            <v/>
          </cell>
          <cell r="AU430" t="str">
            <v/>
          </cell>
          <cell r="AV430" t="str">
            <v/>
          </cell>
          <cell r="AW430" t="str">
            <v/>
          </cell>
          <cell r="AX430" t="str">
            <v/>
          </cell>
          <cell r="AY430" t="str">
            <v/>
          </cell>
          <cell r="AZ430" t="str">
            <v/>
          </cell>
          <cell r="BA430" t="str">
            <v/>
          </cell>
          <cell r="BB430" t="str">
            <v/>
          </cell>
          <cell r="BC430" t="str">
            <v/>
          </cell>
          <cell r="BD430" t="str">
            <v/>
          </cell>
          <cell r="BE430" t="str">
            <v/>
          </cell>
          <cell r="BF430" t="str">
            <v/>
          </cell>
          <cell r="BG430" t="str">
            <v/>
          </cell>
          <cell r="BH430" t="str">
            <v/>
          </cell>
          <cell r="BI430" t="str">
            <v/>
          </cell>
          <cell r="BJ430" t="str">
            <v/>
          </cell>
        </row>
        <row r="431">
          <cell r="A431" t="str">
            <v>RK9</v>
          </cell>
          <cell r="B431" t="str">
            <v>Q21</v>
          </cell>
          <cell r="C431" t="str">
            <v/>
          </cell>
          <cell r="D431" t="str">
            <v/>
          </cell>
          <cell r="E431">
            <v>0.94992394992394991</v>
          </cell>
          <cell r="F431" t="str">
            <v/>
          </cell>
          <cell r="G431" t="str">
            <v/>
          </cell>
          <cell r="H431" t="str">
            <v/>
          </cell>
          <cell r="J431" t="str">
            <v/>
          </cell>
          <cell r="K431" t="str">
            <v/>
          </cell>
          <cell r="L431" t="str">
            <v/>
          </cell>
          <cell r="M431">
            <v>9053</v>
          </cell>
          <cell r="N431" t="str">
            <v/>
          </cell>
          <cell r="Q431">
            <v>1</v>
          </cell>
          <cell r="R431">
            <v>1</v>
          </cell>
          <cell r="S431" t="str">
            <v/>
          </cell>
          <cell r="X431" t="str">
            <v/>
          </cell>
          <cell r="Y431" t="str">
            <v/>
          </cell>
          <cell r="Z431" t="str">
            <v/>
          </cell>
          <cell r="AB431">
            <v>1</v>
          </cell>
          <cell r="AD431" t="str">
            <v/>
          </cell>
          <cell r="AE431" t="str">
            <v/>
          </cell>
          <cell r="AF431" t="str">
            <v/>
          </cell>
          <cell r="AG431">
            <v>2.7334851936218679E-2</v>
          </cell>
          <cell r="AH431">
            <v>8.3333333333333339</v>
          </cell>
          <cell r="AI431" t="str">
            <v/>
          </cell>
          <cell r="AJ431" t="str">
            <v/>
          </cell>
          <cell r="AK431" t="str">
            <v/>
          </cell>
          <cell r="AL431" t="str">
            <v/>
          </cell>
          <cell r="AM431" t="str">
            <v/>
          </cell>
          <cell r="AN431" t="str">
            <v/>
          </cell>
          <cell r="AO431">
            <v>-1932</v>
          </cell>
          <cell r="AQ431" t="str">
            <v/>
          </cell>
          <cell r="AR431" t="str">
            <v/>
          </cell>
          <cell r="AS431" t="str">
            <v/>
          </cell>
          <cell r="AU431" t="str">
            <v/>
          </cell>
          <cell r="AV431" t="str">
            <v/>
          </cell>
          <cell r="AW431" t="str">
            <v/>
          </cell>
          <cell r="AX431" t="str">
            <v/>
          </cell>
          <cell r="AY431" t="str">
            <v/>
          </cell>
          <cell r="AZ431" t="str">
            <v/>
          </cell>
          <cell r="BA431" t="str">
            <v/>
          </cell>
          <cell r="BB431" t="str">
            <v/>
          </cell>
          <cell r="BC431" t="str">
            <v/>
          </cell>
          <cell r="BD431" t="str">
            <v/>
          </cell>
          <cell r="BE431" t="str">
            <v/>
          </cell>
          <cell r="BF431" t="str">
            <v/>
          </cell>
          <cell r="BG431" t="str">
            <v/>
          </cell>
          <cell r="BH431" t="str">
            <v/>
          </cell>
          <cell r="BI431" t="str">
            <v/>
          </cell>
          <cell r="BJ431" t="str">
            <v/>
          </cell>
        </row>
        <row r="432">
          <cell r="A432" t="str">
            <v>RKA</v>
          </cell>
          <cell r="B432" t="str">
            <v>Q27</v>
          </cell>
          <cell r="C432">
            <v>0.68090859924283398</v>
          </cell>
          <cell r="D432">
            <v>0.8293532338308458</v>
          </cell>
          <cell r="E432" t="str">
            <v/>
          </cell>
          <cell r="F432" t="str">
            <v/>
          </cell>
          <cell r="G432" t="str">
            <v/>
          </cell>
          <cell r="H432" t="str">
            <v/>
          </cell>
          <cell r="J432" t="str">
            <v/>
          </cell>
          <cell r="K432" t="str">
            <v/>
          </cell>
          <cell r="L432" t="str">
            <v/>
          </cell>
          <cell r="M432" t="str">
            <v/>
          </cell>
          <cell r="N432" t="str">
            <v/>
          </cell>
          <cell r="Q432" t="str">
            <v/>
          </cell>
          <cell r="R432" t="str">
            <v/>
          </cell>
          <cell r="S432" t="str">
            <v/>
          </cell>
          <cell r="X432" t="str">
            <v/>
          </cell>
          <cell r="Y432" t="str">
            <v/>
          </cell>
          <cell r="Z432" t="str">
            <v/>
          </cell>
          <cell r="AB432" t="str">
            <v/>
          </cell>
          <cell r="AD432" t="str">
            <v/>
          </cell>
          <cell r="AE432" t="str">
            <v/>
          </cell>
          <cell r="AF432" t="str">
            <v/>
          </cell>
          <cell r="AG432" t="str">
            <v/>
          </cell>
          <cell r="AH432" t="str">
            <v/>
          </cell>
          <cell r="AI432" t="str">
            <v/>
          </cell>
          <cell r="AJ432" t="str">
            <v/>
          </cell>
          <cell r="AK432" t="str">
            <v/>
          </cell>
          <cell r="AL432" t="str">
            <v/>
          </cell>
          <cell r="AM432" t="str">
            <v/>
          </cell>
          <cell r="AN432" t="str">
            <v/>
          </cell>
          <cell r="AO432">
            <v>-2860</v>
          </cell>
          <cell r="AQ432" t="str">
            <v/>
          </cell>
          <cell r="AR432" t="str">
            <v/>
          </cell>
          <cell r="AS432" t="str">
            <v/>
          </cell>
          <cell r="AU432" t="str">
            <v/>
          </cell>
          <cell r="AV432" t="str">
            <v/>
          </cell>
          <cell r="AW432" t="str">
            <v/>
          </cell>
          <cell r="AX432" t="str">
            <v/>
          </cell>
          <cell r="AY432" t="str">
            <v/>
          </cell>
          <cell r="AZ432" t="str">
            <v/>
          </cell>
          <cell r="BA432" t="str">
            <v/>
          </cell>
          <cell r="BB432" t="str">
            <v/>
          </cell>
          <cell r="BC432" t="str">
            <v/>
          </cell>
          <cell r="BD432" t="str">
            <v/>
          </cell>
          <cell r="BE432" t="str">
            <v/>
          </cell>
          <cell r="BF432" t="str">
            <v/>
          </cell>
          <cell r="BG432" t="str">
            <v/>
          </cell>
          <cell r="BH432" t="str">
            <v/>
          </cell>
          <cell r="BI432" t="str">
            <v/>
          </cell>
          <cell r="BJ432" t="str">
            <v/>
          </cell>
        </row>
        <row r="433">
          <cell r="A433" t="str">
            <v>RKB</v>
          </cell>
          <cell r="B433" t="str">
            <v>Q28</v>
          </cell>
          <cell r="C433" t="str">
            <v/>
          </cell>
          <cell r="D433" t="str">
            <v/>
          </cell>
          <cell r="E433">
            <v>0.9754607084884942</v>
          </cell>
          <cell r="F433" t="str">
            <v/>
          </cell>
          <cell r="G433" t="str">
            <v/>
          </cell>
          <cell r="H433" t="str">
            <v/>
          </cell>
          <cell r="J433" t="str">
            <v/>
          </cell>
          <cell r="K433" t="str">
            <v/>
          </cell>
          <cell r="L433" t="str">
            <v/>
          </cell>
          <cell r="M433">
            <v>6539</v>
          </cell>
          <cell r="N433" t="str">
            <v/>
          </cell>
          <cell r="Q433">
            <v>1</v>
          </cell>
          <cell r="R433">
            <v>1</v>
          </cell>
          <cell r="S433" t="str">
            <v/>
          </cell>
          <cell r="X433" t="str">
            <v/>
          </cell>
          <cell r="Y433" t="str">
            <v/>
          </cell>
          <cell r="Z433" t="str">
            <v/>
          </cell>
          <cell r="AB433">
            <v>1</v>
          </cell>
          <cell r="AD433" t="str">
            <v/>
          </cell>
          <cell r="AE433" t="str">
            <v/>
          </cell>
          <cell r="AF433" t="str">
            <v/>
          </cell>
          <cell r="AG433">
            <v>4.6453457209219224E-3</v>
          </cell>
          <cell r="AH433">
            <v>6</v>
          </cell>
          <cell r="AI433" t="str">
            <v/>
          </cell>
          <cell r="AJ433" t="str">
            <v/>
          </cell>
          <cell r="AK433" t="str">
            <v/>
          </cell>
          <cell r="AL433" t="str">
            <v/>
          </cell>
          <cell r="AM433" t="str">
            <v/>
          </cell>
          <cell r="AN433" t="str">
            <v/>
          </cell>
          <cell r="AO433">
            <v>20</v>
          </cell>
          <cell r="AQ433" t="str">
            <v/>
          </cell>
          <cell r="AR433" t="str">
            <v/>
          </cell>
          <cell r="AS433" t="str">
            <v/>
          </cell>
          <cell r="AU433" t="str">
            <v/>
          </cell>
          <cell r="AV433" t="str">
            <v/>
          </cell>
          <cell r="AW433" t="str">
            <v/>
          </cell>
          <cell r="AX433" t="str">
            <v/>
          </cell>
          <cell r="AY433" t="str">
            <v/>
          </cell>
          <cell r="AZ433" t="str">
            <v/>
          </cell>
          <cell r="BA433" t="str">
            <v/>
          </cell>
          <cell r="BB433" t="str">
            <v/>
          </cell>
          <cell r="BC433" t="str">
            <v/>
          </cell>
          <cell r="BD433" t="str">
            <v/>
          </cell>
          <cell r="BE433" t="str">
            <v/>
          </cell>
          <cell r="BF433" t="str">
            <v/>
          </cell>
          <cell r="BG433" t="str">
            <v/>
          </cell>
          <cell r="BH433" t="str">
            <v/>
          </cell>
          <cell r="BI433" t="str">
            <v/>
          </cell>
          <cell r="BJ433" t="str">
            <v/>
          </cell>
        </row>
        <row r="434">
          <cell r="A434" t="str">
            <v>RKD</v>
          </cell>
          <cell r="B434" t="str">
            <v>Q17</v>
          </cell>
          <cell r="C434">
            <v>0.81967703349282295</v>
          </cell>
          <cell r="D434">
            <v>0.9098604796990124</v>
          </cell>
          <cell r="E434" t="str">
            <v/>
          </cell>
          <cell r="F434" t="str">
            <v/>
          </cell>
          <cell r="G434" t="str">
            <v/>
          </cell>
          <cell r="H434" t="str">
            <v/>
          </cell>
          <cell r="J434" t="str">
            <v/>
          </cell>
          <cell r="K434" t="str">
            <v/>
          </cell>
          <cell r="L434" t="str">
            <v/>
          </cell>
          <cell r="M434" t="str">
            <v/>
          </cell>
          <cell r="N434" t="str">
            <v/>
          </cell>
          <cell r="Q434" t="str">
            <v/>
          </cell>
          <cell r="R434" t="str">
            <v/>
          </cell>
          <cell r="S434" t="str">
            <v/>
          </cell>
          <cell r="X434" t="str">
            <v/>
          </cell>
          <cell r="Y434" t="str">
            <v/>
          </cell>
          <cell r="Z434" t="str">
            <v/>
          </cell>
          <cell r="AB434" t="str">
            <v/>
          </cell>
          <cell r="AD434" t="str">
            <v/>
          </cell>
          <cell r="AE434" t="str">
            <v/>
          </cell>
          <cell r="AF434" t="str">
            <v/>
          </cell>
          <cell r="AG434" t="str">
            <v/>
          </cell>
          <cell r="AH434" t="str">
            <v/>
          </cell>
          <cell r="AI434" t="str">
            <v/>
          </cell>
          <cell r="AJ434" t="str">
            <v/>
          </cell>
          <cell r="AK434" t="str">
            <v/>
          </cell>
          <cell r="AL434" t="str">
            <v/>
          </cell>
          <cell r="AM434" t="str">
            <v/>
          </cell>
          <cell r="AN434" t="str">
            <v/>
          </cell>
          <cell r="AO434">
            <v>127</v>
          </cell>
          <cell r="AQ434" t="str">
            <v/>
          </cell>
          <cell r="AR434" t="str">
            <v/>
          </cell>
          <cell r="AS434" t="str">
            <v/>
          </cell>
          <cell r="AU434" t="str">
            <v/>
          </cell>
          <cell r="AV434" t="str">
            <v/>
          </cell>
          <cell r="AW434" t="str">
            <v/>
          </cell>
          <cell r="AX434" t="str">
            <v/>
          </cell>
          <cell r="AY434" t="str">
            <v/>
          </cell>
          <cell r="AZ434" t="str">
            <v/>
          </cell>
          <cell r="BA434" t="str">
            <v/>
          </cell>
          <cell r="BB434" t="str">
            <v/>
          </cell>
          <cell r="BC434" t="str">
            <v/>
          </cell>
          <cell r="BD434" t="str">
            <v/>
          </cell>
          <cell r="BE434" t="str">
            <v/>
          </cell>
          <cell r="BF434" t="str">
            <v/>
          </cell>
          <cell r="BG434" t="str">
            <v/>
          </cell>
          <cell r="BH434" t="str">
            <v/>
          </cell>
          <cell r="BI434" t="str">
            <v/>
          </cell>
          <cell r="BJ434" t="str">
            <v/>
          </cell>
        </row>
        <row r="435">
          <cell r="A435" t="str">
            <v>RKE</v>
          </cell>
          <cell r="B435" t="str">
            <v>Q05</v>
          </cell>
          <cell r="C435" t="str">
            <v/>
          </cell>
          <cell r="D435" t="str">
            <v/>
          </cell>
          <cell r="E435">
            <v>0.97439824945295406</v>
          </cell>
          <cell r="F435" t="str">
            <v/>
          </cell>
          <cell r="G435" t="str">
            <v/>
          </cell>
          <cell r="H435" t="str">
            <v/>
          </cell>
          <cell r="J435" t="str">
            <v/>
          </cell>
          <cell r="K435" t="str">
            <v/>
          </cell>
          <cell r="L435" t="str">
            <v/>
          </cell>
          <cell r="M435">
            <v>2571</v>
          </cell>
          <cell r="N435" t="str">
            <v/>
          </cell>
          <cell r="Q435">
            <v>1</v>
          </cell>
          <cell r="R435">
            <v>1</v>
          </cell>
          <cell r="S435" t="str">
            <v/>
          </cell>
          <cell r="X435" t="str">
            <v/>
          </cell>
          <cell r="Y435" t="str">
            <v/>
          </cell>
          <cell r="Z435" t="str">
            <v/>
          </cell>
          <cell r="AB435">
            <v>0.97468354430379744</v>
          </cell>
          <cell r="AD435" t="str">
            <v/>
          </cell>
          <cell r="AE435" t="str">
            <v/>
          </cell>
          <cell r="AF435" t="str">
            <v/>
          </cell>
          <cell r="AG435">
            <v>3.5812672176308541E-2</v>
          </cell>
          <cell r="AH435">
            <v>3.6666666666666665</v>
          </cell>
          <cell r="AI435" t="str">
            <v/>
          </cell>
          <cell r="AJ435" t="str">
            <v/>
          </cell>
          <cell r="AK435" t="str">
            <v/>
          </cell>
          <cell r="AL435" t="str">
            <v/>
          </cell>
          <cell r="AM435" t="str">
            <v/>
          </cell>
          <cell r="AN435" t="str">
            <v/>
          </cell>
          <cell r="AO435">
            <v>20</v>
          </cell>
          <cell r="AQ435" t="str">
            <v/>
          </cell>
          <cell r="AR435" t="str">
            <v/>
          </cell>
          <cell r="AS435" t="str">
            <v/>
          </cell>
          <cell r="AU435" t="str">
            <v/>
          </cell>
          <cell r="AV435" t="str">
            <v/>
          </cell>
          <cell r="AW435" t="str">
            <v/>
          </cell>
          <cell r="AX435" t="str">
            <v/>
          </cell>
          <cell r="AY435" t="str">
            <v/>
          </cell>
          <cell r="AZ435" t="str">
            <v/>
          </cell>
          <cell r="BA435" t="str">
            <v/>
          </cell>
          <cell r="BB435" t="str">
            <v/>
          </cell>
          <cell r="BC435" t="str">
            <v/>
          </cell>
          <cell r="BD435" t="str">
            <v/>
          </cell>
          <cell r="BE435" t="str">
            <v/>
          </cell>
          <cell r="BF435" t="str">
            <v/>
          </cell>
          <cell r="BG435" t="str">
            <v/>
          </cell>
          <cell r="BH435" t="str">
            <v/>
          </cell>
          <cell r="BI435" t="str">
            <v/>
          </cell>
          <cell r="BJ435" t="str">
            <v/>
          </cell>
        </row>
        <row r="436">
          <cell r="A436" t="str">
            <v>RKL</v>
          </cell>
          <cell r="B436" t="str">
            <v>Q04</v>
          </cell>
          <cell r="C436" t="str">
            <v/>
          </cell>
          <cell r="D436" t="str">
            <v/>
          </cell>
          <cell r="E436" t="str">
            <v/>
          </cell>
          <cell r="F436" t="str">
            <v/>
          </cell>
          <cell r="G436" t="str">
            <v/>
          </cell>
          <cell r="H436" t="str">
            <v/>
          </cell>
          <cell r="J436" t="str">
            <v/>
          </cell>
          <cell r="K436" t="str">
            <v/>
          </cell>
          <cell r="L436" t="str">
            <v/>
          </cell>
          <cell r="M436">
            <v>10</v>
          </cell>
          <cell r="N436" t="str">
            <v/>
          </cell>
          <cell r="Q436" t="str">
            <v/>
          </cell>
          <cell r="R436">
            <v>1</v>
          </cell>
          <cell r="S436" t="str">
            <v/>
          </cell>
          <cell r="X436" t="str">
            <v/>
          </cell>
          <cell r="Y436" t="str">
            <v/>
          </cell>
          <cell r="Z436" t="str">
            <v/>
          </cell>
          <cell r="AB436" t="str">
            <v/>
          </cell>
          <cell r="AD436" t="str">
            <v/>
          </cell>
          <cell r="AE436" t="str">
            <v/>
          </cell>
          <cell r="AF436" t="str">
            <v/>
          </cell>
          <cell r="AG436">
            <v>0</v>
          </cell>
          <cell r="AH436" t="str">
            <v/>
          </cell>
          <cell r="AI436" t="str">
            <v/>
          </cell>
          <cell r="AJ436" t="str">
            <v/>
          </cell>
          <cell r="AK436" t="str">
            <v/>
          </cell>
          <cell r="AL436" t="str">
            <v/>
          </cell>
          <cell r="AM436" t="str">
            <v/>
          </cell>
          <cell r="AN436" t="str">
            <v/>
          </cell>
          <cell r="AO436">
            <v>782</v>
          </cell>
          <cell r="AQ436" t="str">
            <v/>
          </cell>
          <cell r="AR436" t="str">
            <v/>
          </cell>
          <cell r="AS436" t="str">
            <v/>
          </cell>
          <cell r="AU436" t="str">
            <v/>
          </cell>
          <cell r="AV436" t="str">
            <v/>
          </cell>
          <cell r="AW436" t="str">
            <v/>
          </cell>
          <cell r="AX436" t="str">
            <v/>
          </cell>
          <cell r="AY436" t="str">
            <v/>
          </cell>
          <cell r="AZ436" t="str">
            <v/>
          </cell>
          <cell r="BA436" t="str">
            <v/>
          </cell>
          <cell r="BB436" t="str">
            <v/>
          </cell>
          <cell r="BC436" t="str">
            <v/>
          </cell>
          <cell r="BD436" t="str">
            <v/>
          </cell>
          <cell r="BE436" t="str">
            <v/>
          </cell>
          <cell r="BF436" t="str">
            <v/>
          </cell>
          <cell r="BG436" t="str">
            <v/>
          </cell>
          <cell r="BH436" t="str">
            <v/>
          </cell>
          <cell r="BI436" t="str">
            <v/>
          </cell>
          <cell r="BJ436" t="str">
            <v/>
          </cell>
        </row>
        <row r="437">
          <cell r="A437" t="str">
            <v>RL1</v>
          </cell>
          <cell r="B437" t="str">
            <v>Q26</v>
          </cell>
          <cell r="C437" t="str">
            <v/>
          </cell>
          <cell r="D437" t="str">
            <v/>
          </cell>
          <cell r="E437">
            <v>1</v>
          </cell>
          <cell r="F437" t="str">
            <v/>
          </cell>
          <cell r="G437" t="str">
            <v/>
          </cell>
          <cell r="H437" t="str">
            <v/>
          </cell>
          <cell r="J437" t="str">
            <v/>
          </cell>
          <cell r="K437" t="str">
            <v/>
          </cell>
          <cell r="L437" t="str">
            <v/>
          </cell>
          <cell r="M437">
            <v>3725</v>
          </cell>
          <cell r="N437" t="str">
            <v/>
          </cell>
          <cell r="Q437">
            <v>1</v>
          </cell>
          <cell r="R437">
            <v>1</v>
          </cell>
          <cell r="S437" t="str">
            <v/>
          </cell>
          <cell r="X437" t="str">
            <v/>
          </cell>
          <cell r="Y437" t="str">
            <v/>
          </cell>
          <cell r="Z437" t="str">
            <v/>
          </cell>
          <cell r="AB437" t="str">
            <v/>
          </cell>
          <cell r="AD437" t="str">
            <v/>
          </cell>
          <cell r="AE437" t="str">
            <v/>
          </cell>
          <cell r="AF437" t="str">
            <v/>
          </cell>
          <cell r="AG437">
            <v>4.7500000000000001E-2</v>
          </cell>
          <cell r="AH437">
            <v>0</v>
          </cell>
          <cell r="AI437" t="str">
            <v/>
          </cell>
          <cell r="AJ437" t="str">
            <v/>
          </cell>
          <cell r="AK437" t="str">
            <v/>
          </cell>
          <cell r="AL437" t="str">
            <v/>
          </cell>
          <cell r="AM437" t="str">
            <v/>
          </cell>
          <cell r="AN437" t="str">
            <v/>
          </cell>
          <cell r="AO437">
            <v>253</v>
          </cell>
          <cell r="AQ437" t="str">
            <v/>
          </cell>
          <cell r="AR437" t="str">
            <v/>
          </cell>
          <cell r="AS437" t="str">
            <v/>
          </cell>
          <cell r="AU437" t="str">
            <v/>
          </cell>
          <cell r="AV437" t="str">
            <v/>
          </cell>
          <cell r="AW437" t="str">
            <v/>
          </cell>
          <cell r="AX437" t="str">
            <v/>
          </cell>
          <cell r="AY437" t="str">
            <v/>
          </cell>
          <cell r="AZ437" t="str">
            <v/>
          </cell>
          <cell r="BA437" t="str">
            <v/>
          </cell>
          <cell r="BB437" t="str">
            <v/>
          </cell>
          <cell r="BC437" t="str">
            <v/>
          </cell>
          <cell r="BD437" t="str">
            <v/>
          </cell>
          <cell r="BE437" t="str">
            <v/>
          </cell>
          <cell r="BF437" t="str">
            <v/>
          </cell>
          <cell r="BG437" t="str">
            <v/>
          </cell>
          <cell r="BH437" t="str">
            <v/>
          </cell>
          <cell r="BI437" t="str">
            <v/>
          </cell>
          <cell r="BJ437" t="str">
            <v/>
          </cell>
        </row>
        <row r="438">
          <cell r="A438" t="str">
            <v>RL4</v>
          </cell>
          <cell r="B438" t="str">
            <v>Q27</v>
          </cell>
          <cell r="C438" t="str">
            <v/>
          </cell>
          <cell r="D438" t="str">
            <v/>
          </cell>
          <cell r="E438">
            <v>0.96825909188723913</v>
          </cell>
          <cell r="F438" t="str">
            <v/>
          </cell>
          <cell r="G438" t="str">
            <v/>
          </cell>
          <cell r="H438" t="str">
            <v/>
          </cell>
          <cell r="J438" t="str">
            <v/>
          </cell>
          <cell r="K438" t="str">
            <v/>
          </cell>
          <cell r="L438" t="str">
            <v/>
          </cell>
          <cell r="M438">
            <v>4723</v>
          </cell>
          <cell r="N438" t="str">
            <v/>
          </cell>
          <cell r="Q438">
            <v>1</v>
          </cell>
          <cell r="R438">
            <v>1</v>
          </cell>
          <cell r="S438" t="str">
            <v/>
          </cell>
          <cell r="X438" t="str">
            <v/>
          </cell>
          <cell r="Y438" t="str">
            <v/>
          </cell>
          <cell r="Z438" t="str">
            <v/>
          </cell>
          <cell r="AB438" t="str">
            <v/>
          </cell>
          <cell r="AD438" t="str">
            <v/>
          </cell>
          <cell r="AE438" t="str">
            <v/>
          </cell>
          <cell r="AF438" t="str">
            <v/>
          </cell>
          <cell r="AG438">
            <v>2.8327097808658476E-2</v>
          </cell>
          <cell r="AH438">
            <v>7.666666666666667</v>
          </cell>
          <cell r="AI438" t="str">
            <v/>
          </cell>
          <cell r="AJ438" t="str">
            <v/>
          </cell>
          <cell r="AK438" t="str">
            <v/>
          </cell>
          <cell r="AL438" t="str">
            <v/>
          </cell>
          <cell r="AM438" t="str">
            <v/>
          </cell>
          <cell r="AN438" t="str">
            <v/>
          </cell>
          <cell r="AO438">
            <v>-9423</v>
          </cell>
          <cell r="AQ438" t="str">
            <v/>
          </cell>
          <cell r="AR438" t="str">
            <v/>
          </cell>
          <cell r="AS438" t="str">
            <v/>
          </cell>
          <cell r="AU438" t="str">
            <v/>
          </cell>
          <cell r="AV438" t="str">
            <v/>
          </cell>
          <cell r="AW438" t="str">
            <v/>
          </cell>
          <cell r="AX438" t="str">
            <v/>
          </cell>
          <cell r="AY438" t="str">
            <v/>
          </cell>
          <cell r="AZ438" t="str">
            <v/>
          </cell>
          <cell r="BA438" t="str">
            <v/>
          </cell>
          <cell r="BB438" t="str">
            <v/>
          </cell>
          <cell r="BC438" t="str">
            <v/>
          </cell>
          <cell r="BD438" t="str">
            <v/>
          </cell>
          <cell r="BE438" t="str">
            <v/>
          </cell>
          <cell r="BF438" t="str">
            <v/>
          </cell>
          <cell r="BG438" t="str">
            <v/>
          </cell>
          <cell r="BH438" t="str">
            <v/>
          </cell>
          <cell r="BI438" t="str">
            <v/>
          </cell>
          <cell r="BJ438" t="str">
            <v/>
          </cell>
        </row>
        <row r="439">
          <cell r="A439" t="str">
            <v>RL5</v>
          </cell>
          <cell r="B439" t="str">
            <v>Q28</v>
          </cell>
          <cell r="C439">
            <v>0.76671122994652408</v>
          </cell>
          <cell r="D439">
            <v>0.94650363011081395</v>
          </cell>
          <cell r="E439" t="str">
            <v/>
          </cell>
          <cell r="F439" t="str">
            <v/>
          </cell>
          <cell r="G439" t="str">
            <v/>
          </cell>
          <cell r="H439" t="str">
            <v/>
          </cell>
          <cell r="J439" t="str">
            <v/>
          </cell>
          <cell r="K439" t="str">
            <v/>
          </cell>
          <cell r="L439" t="str">
            <v/>
          </cell>
          <cell r="M439" t="str">
            <v/>
          </cell>
          <cell r="N439" t="str">
            <v/>
          </cell>
          <cell r="Q439" t="str">
            <v/>
          </cell>
          <cell r="R439" t="str">
            <v/>
          </cell>
          <cell r="S439" t="str">
            <v/>
          </cell>
          <cell r="X439" t="str">
            <v/>
          </cell>
          <cell r="Y439" t="str">
            <v/>
          </cell>
          <cell r="Z439" t="str">
            <v/>
          </cell>
          <cell r="AB439" t="str">
            <v/>
          </cell>
          <cell r="AD439" t="str">
            <v/>
          </cell>
          <cell r="AE439" t="str">
            <v/>
          </cell>
          <cell r="AF439" t="str">
            <v/>
          </cell>
          <cell r="AG439" t="str">
            <v/>
          </cell>
          <cell r="AH439" t="str">
            <v/>
          </cell>
          <cell r="AI439" t="str">
            <v/>
          </cell>
          <cell r="AJ439" t="str">
            <v/>
          </cell>
          <cell r="AK439" t="str">
            <v/>
          </cell>
          <cell r="AL439" t="str">
            <v/>
          </cell>
          <cell r="AM439" t="str">
            <v/>
          </cell>
          <cell r="AN439" t="str">
            <v/>
          </cell>
          <cell r="AO439">
            <v>0</v>
          </cell>
          <cell r="AQ439" t="str">
            <v/>
          </cell>
          <cell r="AR439" t="str">
            <v/>
          </cell>
          <cell r="AS439" t="str">
            <v/>
          </cell>
          <cell r="AU439" t="str">
            <v/>
          </cell>
          <cell r="AV439" t="str">
            <v/>
          </cell>
          <cell r="AW439" t="str">
            <v/>
          </cell>
          <cell r="AX439" t="str">
            <v/>
          </cell>
          <cell r="AY439" t="str">
            <v/>
          </cell>
          <cell r="AZ439" t="str">
            <v/>
          </cell>
          <cell r="BA439" t="str">
            <v/>
          </cell>
          <cell r="BB439" t="str">
            <v/>
          </cell>
          <cell r="BC439" t="str">
            <v/>
          </cell>
          <cell r="BD439" t="str">
            <v/>
          </cell>
          <cell r="BE439" t="str">
            <v/>
          </cell>
          <cell r="BF439" t="str">
            <v/>
          </cell>
          <cell r="BG439" t="str">
            <v/>
          </cell>
          <cell r="BH439" t="str">
            <v/>
          </cell>
          <cell r="BI439" t="str">
            <v/>
          </cell>
          <cell r="BJ439" t="str">
            <v/>
          </cell>
        </row>
        <row r="440">
          <cell r="A440" t="str">
            <v>RL6</v>
          </cell>
          <cell r="B440" t="str">
            <v>Q28</v>
          </cell>
          <cell r="C440">
            <v>0.80827447023208876</v>
          </cell>
          <cell r="D440">
            <v>0.95429666119321288</v>
          </cell>
          <cell r="E440" t="str">
            <v/>
          </cell>
          <cell r="F440" t="str">
            <v/>
          </cell>
          <cell r="G440" t="str">
            <v/>
          </cell>
          <cell r="H440" t="str">
            <v/>
          </cell>
          <cell r="J440" t="str">
            <v/>
          </cell>
          <cell r="K440" t="str">
            <v/>
          </cell>
          <cell r="L440" t="str">
            <v/>
          </cell>
          <cell r="M440" t="str">
            <v/>
          </cell>
          <cell r="N440" t="str">
            <v/>
          </cell>
          <cell r="Q440" t="str">
            <v/>
          </cell>
          <cell r="R440" t="str">
            <v/>
          </cell>
          <cell r="S440" t="str">
            <v/>
          </cell>
          <cell r="X440" t="str">
            <v/>
          </cell>
          <cell r="Y440" t="str">
            <v/>
          </cell>
          <cell r="Z440" t="str">
            <v/>
          </cell>
          <cell r="AB440" t="str">
            <v/>
          </cell>
          <cell r="AD440" t="str">
            <v/>
          </cell>
          <cell r="AE440" t="str">
            <v/>
          </cell>
          <cell r="AF440" t="str">
            <v/>
          </cell>
          <cell r="AG440" t="str">
            <v/>
          </cell>
          <cell r="AH440" t="str">
            <v/>
          </cell>
          <cell r="AI440" t="str">
            <v/>
          </cell>
          <cell r="AJ440" t="str">
            <v/>
          </cell>
          <cell r="AK440" t="str">
            <v/>
          </cell>
          <cell r="AL440" t="str">
            <v/>
          </cell>
          <cell r="AM440" t="str">
            <v/>
          </cell>
          <cell r="AN440" t="str">
            <v/>
          </cell>
          <cell r="AO440">
            <v>0</v>
          </cell>
          <cell r="AQ440" t="str">
            <v/>
          </cell>
          <cell r="AR440" t="str">
            <v/>
          </cell>
          <cell r="AS440" t="str">
            <v/>
          </cell>
          <cell r="AU440" t="str">
            <v/>
          </cell>
          <cell r="AV440" t="str">
            <v/>
          </cell>
          <cell r="AW440" t="str">
            <v/>
          </cell>
          <cell r="AX440" t="str">
            <v/>
          </cell>
          <cell r="AY440" t="str">
            <v/>
          </cell>
          <cell r="AZ440" t="str">
            <v/>
          </cell>
          <cell r="BA440" t="str">
            <v/>
          </cell>
          <cell r="BB440" t="str">
            <v/>
          </cell>
          <cell r="BC440" t="str">
            <v/>
          </cell>
          <cell r="BD440" t="str">
            <v/>
          </cell>
          <cell r="BE440" t="str">
            <v/>
          </cell>
          <cell r="BF440" t="str">
            <v/>
          </cell>
          <cell r="BG440" t="str">
            <v/>
          </cell>
          <cell r="BH440" t="str">
            <v/>
          </cell>
          <cell r="BI440" t="str">
            <v/>
          </cell>
          <cell r="BJ440" t="str">
            <v/>
          </cell>
        </row>
        <row r="441">
          <cell r="A441" t="str">
            <v>RLN</v>
          </cell>
          <cell r="B441" t="str">
            <v>Q09</v>
          </cell>
          <cell r="C441" t="str">
            <v/>
          </cell>
          <cell r="D441" t="str">
            <v/>
          </cell>
          <cell r="E441">
            <v>0.99317996742671011</v>
          </cell>
          <cell r="F441" t="str">
            <v/>
          </cell>
          <cell r="G441" t="str">
            <v/>
          </cell>
          <cell r="H441" t="str">
            <v/>
          </cell>
          <cell r="J441" t="str">
            <v/>
          </cell>
          <cell r="K441" t="str">
            <v/>
          </cell>
          <cell r="L441" t="str">
            <v/>
          </cell>
          <cell r="M441">
            <v>6684</v>
          </cell>
          <cell r="N441" t="str">
            <v/>
          </cell>
          <cell r="Q441">
            <v>1</v>
          </cell>
          <cell r="R441">
            <v>1</v>
          </cell>
          <cell r="S441" t="str">
            <v/>
          </cell>
          <cell r="X441" t="str">
            <v/>
          </cell>
          <cell r="Y441" t="str">
            <v/>
          </cell>
          <cell r="Z441" t="str">
            <v/>
          </cell>
          <cell r="AB441">
            <v>1</v>
          </cell>
          <cell r="AD441" t="str">
            <v/>
          </cell>
          <cell r="AE441" t="str">
            <v/>
          </cell>
          <cell r="AF441" t="str">
            <v/>
          </cell>
          <cell r="AG441">
            <v>3.6325895173845357E-3</v>
          </cell>
          <cell r="AH441">
            <v>3.6666666666666665</v>
          </cell>
          <cell r="AI441" t="str">
            <v/>
          </cell>
          <cell r="AJ441" t="str">
            <v/>
          </cell>
          <cell r="AK441" t="str">
            <v/>
          </cell>
          <cell r="AL441" t="str">
            <v/>
          </cell>
          <cell r="AM441" t="str">
            <v/>
          </cell>
          <cell r="AN441" t="str">
            <v/>
          </cell>
          <cell r="AO441" t="str">
            <v/>
          </cell>
          <cell r="AQ441" t="str">
            <v/>
          </cell>
          <cell r="AR441" t="str">
            <v/>
          </cell>
          <cell r="AS441" t="str">
            <v/>
          </cell>
          <cell r="AU441" t="str">
            <v/>
          </cell>
          <cell r="AV441" t="str">
            <v/>
          </cell>
          <cell r="AW441" t="str">
            <v/>
          </cell>
          <cell r="AX441" t="str">
            <v/>
          </cell>
          <cell r="AY441" t="str">
            <v/>
          </cell>
          <cell r="AZ441" t="str">
            <v/>
          </cell>
          <cell r="BA441" t="str">
            <v/>
          </cell>
          <cell r="BB441" t="str">
            <v/>
          </cell>
          <cell r="BC441" t="str">
            <v/>
          </cell>
          <cell r="BD441" t="str">
            <v/>
          </cell>
          <cell r="BE441" t="str">
            <v/>
          </cell>
          <cell r="BF441" t="str">
            <v/>
          </cell>
          <cell r="BG441" t="str">
            <v/>
          </cell>
          <cell r="BH441" t="str">
            <v/>
          </cell>
          <cell r="BI441" t="str">
            <v/>
          </cell>
          <cell r="BJ441" t="str">
            <v/>
          </cell>
        </row>
        <row r="442">
          <cell r="A442" t="str">
            <v>RLQ</v>
          </cell>
          <cell r="B442" t="str">
            <v>Q28</v>
          </cell>
          <cell r="C442" t="str">
            <v/>
          </cell>
          <cell r="D442" t="str">
            <v/>
          </cell>
          <cell r="E442">
            <v>0.99504827927704875</v>
          </cell>
          <cell r="F442" t="str">
            <v/>
          </cell>
          <cell r="G442" t="str">
            <v/>
          </cell>
          <cell r="H442" t="str">
            <v/>
          </cell>
          <cell r="J442" t="str">
            <v/>
          </cell>
          <cell r="K442" t="str">
            <v/>
          </cell>
          <cell r="L442" t="str">
            <v/>
          </cell>
          <cell r="M442">
            <v>2364</v>
          </cell>
          <cell r="N442" t="str">
            <v/>
          </cell>
          <cell r="Q442">
            <v>1</v>
          </cell>
          <cell r="R442">
            <v>1</v>
          </cell>
          <cell r="S442" t="str">
            <v/>
          </cell>
          <cell r="X442" t="str">
            <v/>
          </cell>
          <cell r="Y442" t="str">
            <v/>
          </cell>
          <cell r="Z442" t="str">
            <v/>
          </cell>
          <cell r="AB442">
            <v>0.98717948717948723</v>
          </cell>
          <cell r="AD442" t="str">
            <v/>
          </cell>
          <cell r="AE442" t="str">
            <v/>
          </cell>
          <cell r="AF442" t="str">
            <v/>
          </cell>
          <cell r="AG442">
            <v>3.1818181818181815E-2</v>
          </cell>
          <cell r="AH442">
            <v>1</v>
          </cell>
          <cell r="AI442" t="str">
            <v/>
          </cell>
          <cell r="AJ442" t="str">
            <v/>
          </cell>
          <cell r="AK442" t="str">
            <v/>
          </cell>
          <cell r="AL442" t="str">
            <v/>
          </cell>
          <cell r="AM442" t="str">
            <v/>
          </cell>
          <cell r="AN442" t="str">
            <v/>
          </cell>
          <cell r="AO442">
            <v>0</v>
          </cell>
          <cell r="AQ442" t="str">
            <v/>
          </cell>
          <cell r="AR442" t="str">
            <v/>
          </cell>
          <cell r="AS442" t="str">
            <v/>
          </cell>
          <cell r="AU442" t="str">
            <v/>
          </cell>
          <cell r="AV442" t="str">
            <v/>
          </cell>
          <cell r="AW442" t="str">
            <v/>
          </cell>
          <cell r="AX442" t="str">
            <v/>
          </cell>
          <cell r="AY442" t="str">
            <v/>
          </cell>
          <cell r="AZ442" t="str">
            <v/>
          </cell>
          <cell r="BA442" t="str">
            <v/>
          </cell>
          <cell r="BB442" t="str">
            <v/>
          </cell>
          <cell r="BC442" t="str">
            <v/>
          </cell>
          <cell r="BD442" t="str">
            <v/>
          </cell>
          <cell r="BE442" t="str">
            <v/>
          </cell>
          <cell r="BF442" t="str">
            <v/>
          </cell>
          <cell r="BG442" t="str">
            <v/>
          </cell>
          <cell r="BH442" t="str">
            <v/>
          </cell>
          <cell r="BI442" t="str">
            <v/>
          </cell>
          <cell r="BJ442" t="str">
            <v/>
          </cell>
        </row>
        <row r="443">
          <cell r="A443" t="str">
            <v>RLT</v>
          </cell>
          <cell r="B443" t="str">
            <v>Q28</v>
          </cell>
          <cell r="C443" t="str">
            <v/>
          </cell>
          <cell r="D443" t="str">
            <v/>
          </cell>
          <cell r="E443">
            <v>0.97843665768194066</v>
          </cell>
          <cell r="F443" t="str">
            <v/>
          </cell>
          <cell r="G443" t="str">
            <v/>
          </cell>
          <cell r="H443" t="str">
            <v/>
          </cell>
          <cell r="J443" t="str">
            <v/>
          </cell>
          <cell r="K443" t="str">
            <v/>
          </cell>
          <cell r="L443" t="str">
            <v/>
          </cell>
          <cell r="M443">
            <v>3090</v>
          </cell>
          <cell r="N443" t="str">
            <v/>
          </cell>
          <cell r="Q443">
            <v>1</v>
          </cell>
          <cell r="R443">
            <v>0.99623545516769341</v>
          </cell>
          <cell r="S443" t="str">
            <v/>
          </cell>
          <cell r="X443" t="str">
            <v/>
          </cell>
          <cell r="Y443" t="str">
            <v/>
          </cell>
          <cell r="Z443" t="str">
            <v/>
          </cell>
          <cell r="AB443">
            <v>1</v>
          </cell>
          <cell r="AD443" t="str">
            <v/>
          </cell>
          <cell r="AE443" t="str">
            <v/>
          </cell>
          <cell r="AF443" t="str">
            <v/>
          </cell>
          <cell r="AG443">
            <v>7.9455164585698068E-3</v>
          </cell>
          <cell r="AH443">
            <v>1</v>
          </cell>
          <cell r="AI443" t="str">
            <v/>
          </cell>
          <cell r="AJ443" t="str">
            <v/>
          </cell>
          <cell r="AK443" t="str">
            <v/>
          </cell>
          <cell r="AL443" t="str">
            <v/>
          </cell>
          <cell r="AM443" t="str">
            <v/>
          </cell>
          <cell r="AN443" t="str">
            <v/>
          </cell>
          <cell r="AO443">
            <v>-7294</v>
          </cell>
          <cell r="AQ443" t="str">
            <v/>
          </cell>
          <cell r="AR443" t="str">
            <v/>
          </cell>
          <cell r="AS443" t="str">
            <v/>
          </cell>
          <cell r="AU443" t="str">
            <v/>
          </cell>
          <cell r="AV443" t="str">
            <v/>
          </cell>
          <cell r="AW443" t="str">
            <v/>
          </cell>
          <cell r="AX443" t="str">
            <v/>
          </cell>
          <cell r="AY443" t="str">
            <v/>
          </cell>
          <cell r="AZ443" t="str">
            <v/>
          </cell>
          <cell r="BA443" t="str">
            <v/>
          </cell>
          <cell r="BB443" t="str">
            <v/>
          </cell>
          <cell r="BC443" t="str">
            <v/>
          </cell>
          <cell r="BD443" t="str">
            <v/>
          </cell>
          <cell r="BE443" t="str">
            <v/>
          </cell>
          <cell r="BF443" t="str">
            <v/>
          </cell>
          <cell r="BG443" t="str">
            <v/>
          </cell>
          <cell r="BH443" t="str">
            <v/>
          </cell>
          <cell r="BI443" t="str">
            <v/>
          </cell>
          <cell r="BJ443" t="str">
            <v/>
          </cell>
        </row>
        <row r="444">
          <cell r="A444" t="str">
            <v>RLU</v>
          </cell>
          <cell r="B444" t="str">
            <v>Q27</v>
          </cell>
          <cell r="C444" t="str">
            <v/>
          </cell>
          <cell r="D444" t="str">
            <v/>
          </cell>
          <cell r="E444" t="str">
            <v/>
          </cell>
          <cell r="F444" t="str">
            <v/>
          </cell>
          <cell r="G444" t="str">
            <v/>
          </cell>
          <cell r="H444" t="str">
            <v/>
          </cell>
          <cell r="J444" t="str">
            <v/>
          </cell>
          <cell r="K444" t="str">
            <v/>
          </cell>
          <cell r="L444" t="str">
            <v/>
          </cell>
          <cell r="M444">
            <v>473</v>
          </cell>
          <cell r="N444" t="str">
            <v/>
          </cell>
          <cell r="Q444">
            <v>1</v>
          </cell>
          <cell r="R444">
            <v>1</v>
          </cell>
          <cell r="S444" t="str">
            <v/>
          </cell>
          <cell r="X444" t="str">
            <v/>
          </cell>
          <cell r="Y444" t="str">
            <v/>
          </cell>
          <cell r="Z444" t="str">
            <v/>
          </cell>
          <cell r="AB444" t="str">
            <v/>
          </cell>
          <cell r="AD444" t="str">
            <v/>
          </cell>
          <cell r="AE444" t="str">
            <v/>
          </cell>
          <cell r="AF444" t="str">
            <v/>
          </cell>
          <cell r="AG444">
            <v>0</v>
          </cell>
          <cell r="AH444">
            <v>0</v>
          </cell>
          <cell r="AI444" t="str">
            <v/>
          </cell>
          <cell r="AJ444" t="str">
            <v/>
          </cell>
          <cell r="AK444" t="str">
            <v/>
          </cell>
          <cell r="AL444" t="str">
            <v/>
          </cell>
          <cell r="AM444" t="str">
            <v/>
          </cell>
          <cell r="AN444" t="str">
            <v/>
          </cell>
          <cell r="AO444">
            <v>50</v>
          </cell>
          <cell r="AQ444" t="str">
            <v/>
          </cell>
          <cell r="AR444" t="str">
            <v/>
          </cell>
          <cell r="AS444" t="str">
            <v/>
          </cell>
          <cell r="AU444" t="str">
            <v/>
          </cell>
          <cell r="AV444" t="str">
            <v/>
          </cell>
          <cell r="AW444" t="str">
            <v/>
          </cell>
          <cell r="AX444" t="str">
            <v/>
          </cell>
          <cell r="AY444" t="str">
            <v/>
          </cell>
          <cell r="AZ444" t="str">
            <v/>
          </cell>
          <cell r="BA444" t="str">
            <v/>
          </cell>
          <cell r="BB444" t="str">
            <v/>
          </cell>
          <cell r="BC444" t="str">
            <v/>
          </cell>
          <cell r="BD444" t="str">
            <v/>
          </cell>
          <cell r="BE444" t="str">
            <v/>
          </cell>
          <cell r="BF444" t="str">
            <v/>
          </cell>
          <cell r="BG444" t="str">
            <v/>
          </cell>
          <cell r="BH444" t="str">
            <v/>
          </cell>
          <cell r="BI444" t="str">
            <v/>
          </cell>
          <cell r="BJ444" t="str">
            <v/>
          </cell>
        </row>
        <row r="445">
          <cell r="A445" t="str">
            <v>RLY</v>
          </cell>
          <cell r="B445" t="str">
            <v>Q26</v>
          </cell>
          <cell r="C445" t="str">
            <v/>
          </cell>
          <cell r="D445" t="str">
            <v/>
          </cell>
          <cell r="E445" t="str">
            <v/>
          </cell>
          <cell r="F445" t="str">
            <v/>
          </cell>
          <cell r="G445" t="str">
            <v/>
          </cell>
          <cell r="H445" t="str">
            <v/>
          </cell>
          <cell r="J445" t="str">
            <v/>
          </cell>
          <cell r="K445" t="str">
            <v/>
          </cell>
          <cell r="L445" t="str">
            <v/>
          </cell>
          <cell r="M445" t="str">
            <v/>
          </cell>
          <cell r="N445" t="str">
            <v/>
          </cell>
          <cell r="Q445" t="str">
            <v/>
          </cell>
          <cell r="R445">
            <v>1</v>
          </cell>
          <cell r="S445" t="str">
            <v/>
          </cell>
          <cell r="X445" t="str">
            <v/>
          </cell>
          <cell r="Y445" t="str">
            <v/>
          </cell>
          <cell r="Z445" t="str">
            <v/>
          </cell>
          <cell r="AB445" t="str">
            <v/>
          </cell>
          <cell r="AD445" t="str">
            <v/>
          </cell>
          <cell r="AE445" t="str">
            <v/>
          </cell>
          <cell r="AF445" t="str">
            <v/>
          </cell>
          <cell r="AG445">
            <v>0.1575</v>
          </cell>
          <cell r="AH445" t="str">
            <v/>
          </cell>
          <cell r="AI445" t="str">
            <v/>
          </cell>
          <cell r="AJ445" t="str">
            <v/>
          </cell>
          <cell r="AK445" t="str">
            <v/>
          </cell>
          <cell r="AL445" t="str">
            <v/>
          </cell>
          <cell r="AM445" t="str">
            <v/>
          </cell>
          <cell r="AN445" t="str">
            <v/>
          </cell>
          <cell r="AO445">
            <v>557</v>
          </cell>
          <cell r="AQ445" t="str">
            <v/>
          </cell>
          <cell r="AR445" t="str">
            <v/>
          </cell>
          <cell r="AS445" t="str">
            <v/>
          </cell>
          <cell r="AU445" t="str">
            <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row>
        <row r="446">
          <cell r="A446" t="str">
            <v>RM1</v>
          </cell>
          <cell r="B446" t="str">
            <v>Q01</v>
          </cell>
          <cell r="C446" t="str">
            <v/>
          </cell>
          <cell r="D446" t="str">
            <v/>
          </cell>
          <cell r="E446">
            <v>0.97041022192333559</v>
          </cell>
          <cell r="F446" t="str">
            <v/>
          </cell>
          <cell r="G446" t="str">
            <v/>
          </cell>
          <cell r="H446" t="str">
            <v/>
          </cell>
          <cell r="J446" t="str">
            <v/>
          </cell>
          <cell r="K446" t="str">
            <v/>
          </cell>
          <cell r="L446" t="str">
            <v/>
          </cell>
          <cell r="M446">
            <v>10146</v>
          </cell>
          <cell r="N446" t="str">
            <v/>
          </cell>
          <cell r="Q446">
            <v>0.99984627209838584</v>
          </cell>
          <cell r="R446">
            <v>0.9541468303683287</v>
          </cell>
          <cell r="S446" t="str">
            <v/>
          </cell>
          <cell r="X446" t="str">
            <v/>
          </cell>
          <cell r="Y446" t="str">
            <v/>
          </cell>
          <cell r="Z446" t="str">
            <v/>
          </cell>
          <cell r="AB446">
            <v>1</v>
          </cell>
          <cell r="AD446" t="str">
            <v/>
          </cell>
          <cell r="AE446" t="str">
            <v/>
          </cell>
          <cell r="AF446" t="str">
            <v/>
          </cell>
          <cell r="AG446">
            <v>1.7645693057812863E-2</v>
          </cell>
          <cell r="AH446">
            <v>5</v>
          </cell>
          <cell r="AI446" t="str">
            <v/>
          </cell>
          <cell r="AJ446" t="str">
            <v/>
          </cell>
          <cell r="AK446" t="str">
            <v/>
          </cell>
          <cell r="AL446" t="str">
            <v/>
          </cell>
          <cell r="AM446" t="str">
            <v/>
          </cell>
          <cell r="AN446" t="str">
            <v/>
          </cell>
          <cell r="AO446">
            <v>145</v>
          </cell>
          <cell r="AQ446" t="str">
            <v/>
          </cell>
          <cell r="AR446" t="str">
            <v/>
          </cell>
          <cell r="AS446" t="str">
            <v/>
          </cell>
          <cell r="AU446" t="str">
            <v/>
          </cell>
          <cell r="AV446" t="str">
            <v/>
          </cell>
          <cell r="AW446" t="str">
            <v/>
          </cell>
          <cell r="AX446" t="str">
            <v/>
          </cell>
          <cell r="AY446" t="str">
            <v/>
          </cell>
          <cell r="AZ446" t="str">
            <v/>
          </cell>
          <cell r="BA446" t="str">
            <v/>
          </cell>
          <cell r="BB446" t="str">
            <v/>
          </cell>
          <cell r="BC446" t="str">
            <v/>
          </cell>
          <cell r="BD446" t="str">
            <v/>
          </cell>
          <cell r="BE446" t="str">
            <v/>
          </cell>
          <cell r="BF446" t="str">
            <v/>
          </cell>
          <cell r="BG446" t="str">
            <v/>
          </cell>
          <cell r="BH446" t="str">
            <v/>
          </cell>
          <cell r="BI446" t="str">
            <v/>
          </cell>
          <cell r="BJ446" t="str">
            <v/>
          </cell>
        </row>
        <row r="447">
          <cell r="A447" t="str">
            <v>RM2</v>
          </cell>
          <cell r="B447" t="str">
            <v>Q14</v>
          </cell>
          <cell r="C447" t="str">
            <v/>
          </cell>
          <cell r="D447" t="str">
            <v/>
          </cell>
          <cell r="E447">
            <v>0.96456480732956074</v>
          </cell>
          <cell r="F447" t="str">
            <v/>
          </cell>
          <cell r="G447" t="str">
            <v/>
          </cell>
          <cell r="H447" t="str">
            <v/>
          </cell>
          <cell r="J447" t="str">
            <v/>
          </cell>
          <cell r="K447" t="str">
            <v/>
          </cell>
          <cell r="L447" t="str">
            <v/>
          </cell>
          <cell r="M447">
            <v>5305</v>
          </cell>
          <cell r="N447" t="str">
            <v/>
          </cell>
          <cell r="Q447">
            <v>1</v>
          </cell>
          <cell r="R447">
            <v>0.96908278941944348</v>
          </cell>
          <cell r="S447" t="str">
            <v/>
          </cell>
          <cell r="X447" t="str">
            <v/>
          </cell>
          <cell r="Y447" t="str">
            <v/>
          </cell>
          <cell r="Z447" t="str">
            <v/>
          </cell>
          <cell r="AB447">
            <v>1</v>
          </cell>
          <cell r="AD447" t="str">
            <v/>
          </cell>
          <cell r="AE447" t="str">
            <v/>
          </cell>
          <cell r="AF447" t="str">
            <v/>
          </cell>
          <cell r="AG447">
            <v>1.1020881670533642E-2</v>
          </cell>
          <cell r="AH447">
            <v>2.6666666666666665</v>
          </cell>
          <cell r="AI447" t="str">
            <v/>
          </cell>
          <cell r="AJ447" t="str">
            <v/>
          </cell>
          <cell r="AK447" t="str">
            <v/>
          </cell>
          <cell r="AL447" t="str">
            <v/>
          </cell>
          <cell r="AM447" t="str">
            <v/>
          </cell>
          <cell r="AN447" t="str">
            <v/>
          </cell>
          <cell r="AO447">
            <v>7460</v>
          </cell>
          <cell r="AQ447" t="str">
            <v/>
          </cell>
          <cell r="AR447" t="str">
            <v/>
          </cell>
          <cell r="AS447" t="str">
            <v/>
          </cell>
          <cell r="AU447" t="str">
            <v/>
          </cell>
          <cell r="AV447" t="str">
            <v/>
          </cell>
          <cell r="AW447" t="str">
            <v/>
          </cell>
          <cell r="AX447" t="str">
            <v/>
          </cell>
          <cell r="AY447" t="str">
            <v/>
          </cell>
          <cell r="AZ447" t="str">
            <v/>
          </cell>
          <cell r="BA447" t="str">
            <v/>
          </cell>
          <cell r="BB447" t="str">
            <v/>
          </cell>
          <cell r="BC447" t="str">
            <v/>
          </cell>
          <cell r="BD447" t="str">
            <v/>
          </cell>
          <cell r="BE447" t="str">
            <v/>
          </cell>
          <cell r="BF447" t="str">
            <v/>
          </cell>
          <cell r="BG447" t="str">
            <v/>
          </cell>
          <cell r="BH447" t="str">
            <v/>
          </cell>
          <cell r="BI447" t="str">
            <v/>
          </cell>
          <cell r="BJ447" t="str">
            <v/>
          </cell>
        </row>
        <row r="448">
          <cell r="A448" t="str">
            <v>RM3</v>
          </cell>
          <cell r="B448" t="str">
            <v>Q14</v>
          </cell>
          <cell r="C448" t="str">
            <v/>
          </cell>
          <cell r="D448" t="str">
            <v/>
          </cell>
          <cell r="E448">
            <v>0.97613668455238634</v>
          </cell>
          <cell r="F448" t="str">
            <v/>
          </cell>
          <cell r="G448" t="str">
            <v/>
          </cell>
          <cell r="H448" t="str">
            <v/>
          </cell>
          <cell r="J448" t="str">
            <v/>
          </cell>
          <cell r="K448" t="str">
            <v/>
          </cell>
          <cell r="L448" t="str">
            <v/>
          </cell>
          <cell r="M448">
            <v>3928</v>
          </cell>
          <cell r="N448" t="str">
            <v/>
          </cell>
          <cell r="Q448">
            <v>1</v>
          </cell>
          <cell r="R448">
            <v>1</v>
          </cell>
          <cell r="S448" t="str">
            <v/>
          </cell>
          <cell r="X448" t="str">
            <v/>
          </cell>
          <cell r="Y448" t="str">
            <v/>
          </cell>
          <cell r="Z448" t="str">
            <v/>
          </cell>
          <cell r="AB448">
            <v>1</v>
          </cell>
          <cell r="AD448" t="str">
            <v/>
          </cell>
          <cell r="AE448" t="str">
            <v/>
          </cell>
          <cell r="AF448" t="str">
            <v/>
          </cell>
          <cell r="AG448">
            <v>1.6257668711656442E-2</v>
          </cell>
          <cell r="AH448">
            <v>4</v>
          </cell>
          <cell r="AI448" t="str">
            <v/>
          </cell>
          <cell r="AJ448" t="str">
            <v/>
          </cell>
          <cell r="AK448" t="str">
            <v/>
          </cell>
          <cell r="AL448" t="str">
            <v/>
          </cell>
          <cell r="AM448" t="str">
            <v/>
          </cell>
          <cell r="AN448" t="str">
            <v/>
          </cell>
          <cell r="AO448">
            <v>449</v>
          </cell>
          <cell r="AQ448" t="str">
            <v/>
          </cell>
          <cell r="AR448" t="str">
            <v/>
          </cell>
          <cell r="AS448" t="str">
            <v/>
          </cell>
          <cell r="AU448" t="str">
            <v/>
          </cell>
          <cell r="AV448" t="str">
            <v/>
          </cell>
          <cell r="AW448" t="str">
            <v/>
          </cell>
          <cell r="AX448" t="str">
            <v/>
          </cell>
          <cell r="AY448" t="str">
            <v/>
          </cell>
          <cell r="AZ448" t="str">
            <v/>
          </cell>
          <cell r="BA448" t="str">
            <v/>
          </cell>
          <cell r="BB448" t="str">
            <v/>
          </cell>
          <cell r="BC448" t="str">
            <v/>
          </cell>
          <cell r="BD448" t="str">
            <v/>
          </cell>
          <cell r="BE448" t="str">
            <v/>
          </cell>
          <cell r="BF448" t="str">
            <v/>
          </cell>
          <cell r="BG448" t="str">
            <v/>
          </cell>
          <cell r="BH448" t="str">
            <v/>
          </cell>
          <cell r="BI448" t="str">
            <v/>
          </cell>
          <cell r="BJ448" t="str">
            <v/>
          </cell>
        </row>
        <row r="449">
          <cell r="A449" t="str">
            <v>RM4</v>
          </cell>
          <cell r="B449" t="str">
            <v>Q14</v>
          </cell>
          <cell r="C449" t="str">
            <v/>
          </cell>
          <cell r="D449" t="str">
            <v/>
          </cell>
          <cell r="E449">
            <v>0.9706362153344209</v>
          </cell>
          <cell r="F449" t="str">
            <v/>
          </cell>
          <cell r="G449" t="str">
            <v/>
          </cell>
          <cell r="H449" t="str">
            <v/>
          </cell>
          <cell r="J449" t="str">
            <v/>
          </cell>
          <cell r="K449" t="str">
            <v/>
          </cell>
          <cell r="L449" t="str">
            <v/>
          </cell>
          <cell r="M449">
            <v>2131</v>
          </cell>
          <cell r="N449" t="str">
            <v/>
          </cell>
          <cell r="Q449">
            <v>1</v>
          </cell>
          <cell r="R449">
            <v>1</v>
          </cell>
          <cell r="S449" t="str">
            <v/>
          </cell>
          <cell r="X449" t="str">
            <v/>
          </cell>
          <cell r="Y449" t="str">
            <v/>
          </cell>
          <cell r="Z449" t="str">
            <v/>
          </cell>
          <cell r="AB449">
            <v>0.98305084745762716</v>
          </cell>
          <cell r="AD449" t="str">
            <v/>
          </cell>
          <cell r="AE449" t="str">
            <v/>
          </cell>
          <cell r="AF449" t="str">
            <v/>
          </cell>
          <cell r="AG449">
            <v>6.0716454159077113E-4</v>
          </cell>
          <cell r="AH449">
            <v>1.6666666666666667</v>
          </cell>
          <cell r="AI449" t="str">
            <v/>
          </cell>
          <cell r="AJ449" t="str">
            <v/>
          </cell>
          <cell r="AK449" t="str">
            <v/>
          </cell>
          <cell r="AL449" t="str">
            <v/>
          </cell>
          <cell r="AM449" t="str">
            <v/>
          </cell>
          <cell r="AN449" t="str">
            <v/>
          </cell>
          <cell r="AO449">
            <v>2270</v>
          </cell>
          <cell r="AQ449" t="str">
            <v/>
          </cell>
          <cell r="AR449" t="str">
            <v/>
          </cell>
          <cell r="AS449" t="str">
            <v/>
          </cell>
          <cell r="AU449" t="str">
            <v/>
          </cell>
          <cell r="AV449" t="str">
            <v/>
          </cell>
          <cell r="AW449" t="str">
            <v/>
          </cell>
          <cell r="AX449" t="str">
            <v/>
          </cell>
          <cell r="AY449" t="str">
            <v/>
          </cell>
          <cell r="AZ449" t="str">
            <v/>
          </cell>
          <cell r="BA449" t="str">
            <v/>
          </cell>
          <cell r="BB449" t="str">
            <v/>
          </cell>
          <cell r="BC449" t="str">
            <v/>
          </cell>
          <cell r="BD449" t="str">
            <v/>
          </cell>
          <cell r="BE449" t="str">
            <v/>
          </cell>
          <cell r="BF449" t="str">
            <v/>
          </cell>
          <cell r="BG449" t="str">
            <v/>
          </cell>
          <cell r="BH449" t="str">
            <v/>
          </cell>
          <cell r="BI449" t="str">
            <v/>
          </cell>
          <cell r="BJ449" t="str">
            <v/>
          </cell>
        </row>
        <row r="450">
          <cell r="A450" t="str">
            <v>RM6</v>
          </cell>
          <cell r="B450" t="str">
            <v>Q09</v>
          </cell>
          <cell r="C450" t="str">
            <v/>
          </cell>
          <cell r="D450" t="str">
            <v/>
          </cell>
          <cell r="E450" t="str">
            <v/>
          </cell>
          <cell r="J450" t="str">
            <v/>
          </cell>
          <cell r="K450" t="str">
            <v/>
          </cell>
          <cell r="L450" t="str">
            <v/>
          </cell>
          <cell r="M450">
            <v>25</v>
          </cell>
          <cell r="Q450">
            <v>1</v>
          </cell>
          <cell r="R450">
            <v>1</v>
          </cell>
          <cell r="X450" t="str">
            <v/>
          </cell>
          <cell r="Y450" t="str">
            <v/>
          </cell>
          <cell r="Z450" t="str">
            <v/>
          </cell>
          <cell r="AB450" t="str">
            <v/>
          </cell>
          <cell r="AD450" t="str">
            <v/>
          </cell>
          <cell r="AE450" t="str">
            <v/>
          </cell>
          <cell r="AF450" t="str">
            <v/>
          </cell>
          <cell r="AG450">
            <v>0</v>
          </cell>
          <cell r="AH450" t="str">
            <v/>
          </cell>
          <cell r="AI450" t="str">
            <v/>
          </cell>
          <cell r="AJ450" t="str">
            <v/>
          </cell>
          <cell r="AK450" t="str">
            <v/>
          </cell>
          <cell r="AL450" t="str">
            <v/>
          </cell>
          <cell r="AM450" t="str">
            <v/>
          </cell>
          <cell r="AN450" t="str">
            <v/>
          </cell>
          <cell r="AO450">
            <v>32</v>
          </cell>
          <cell r="AS450" t="str">
            <v/>
          </cell>
          <cell r="BB450" t="str">
            <v/>
          </cell>
          <cell r="BC450" t="str">
            <v/>
          </cell>
          <cell r="BD450" t="str">
            <v/>
          </cell>
          <cell r="BE450" t="str">
            <v/>
          </cell>
          <cell r="BF450" t="str">
            <v/>
          </cell>
          <cell r="BG450" t="str">
            <v/>
          </cell>
          <cell r="BH450" t="str">
            <v/>
          </cell>
          <cell r="BI450" t="str">
            <v/>
          </cell>
          <cell r="BJ450" t="str">
            <v/>
          </cell>
        </row>
        <row r="451">
          <cell r="A451" t="str">
            <v>RMA</v>
          </cell>
          <cell r="B451" t="str">
            <v>Q14</v>
          </cell>
          <cell r="C451">
            <v>0.72405063291139238</v>
          </cell>
          <cell r="D451">
            <v>0.85812393956532274</v>
          </cell>
          <cell r="E451" t="str">
            <v/>
          </cell>
          <cell r="F451" t="str">
            <v/>
          </cell>
          <cell r="G451" t="str">
            <v/>
          </cell>
          <cell r="H451" t="str">
            <v/>
          </cell>
          <cell r="J451" t="str">
            <v/>
          </cell>
          <cell r="K451" t="str">
            <v/>
          </cell>
          <cell r="L451" t="str">
            <v/>
          </cell>
          <cell r="M451" t="str">
            <v/>
          </cell>
          <cell r="N451" t="str">
            <v/>
          </cell>
          <cell r="Q451" t="str">
            <v/>
          </cell>
          <cell r="R451" t="str">
            <v/>
          </cell>
          <cell r="S451" t="str">
            <v/>
          </cell>
          <cell r="X451" t="str">
            <v/>
          </cell>
          <cell r="Y451" t="str">
            <v/>
          </cell>
          <cell r="Z451" t="str">
            <v/>
          </cell>
          <cell r="AB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v>780</v>
          </cell>
          <cell r="AQ451" t="str">
            <v/>
          </cell>
          <cell r="AR451" t="str">
            <v/>
          </cell>
          <cell r="AS451" t="str">
            <v/>
          </cell>
          <cell r="AU451" t="str">
            <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row>
        <row r="452">
          <cell r="A452" t="str">
            <v>RMC</v>
          </cell>
          <cell r="B452" t="str">
            <v>Q14</v>
          </cell>
          <cell r="C452" t="str">
            <v/>
          </cell>
          <cell r="D452" t="str">
            <v/>
          </cell>
          <cell r="E452">
            <v>0.92936028339237342</v>
          </cell>
          <cell r="F452" t="str">
            <v/>
          </cell>
          <cell r="G452" t="str">
            <v/>
          </cell>
          <cell r="H452" t="str">
            <v/>
          </cell>
          <cell r="J452" t="str">
            <v/>
          </cell>
          <cell r="K452" t="str">
            <v/>
          </cell>
          <cell r="L452" t="str">
            <v/>
          </cell>
          <cell r="M452">
            <v>3730</v>
          </cell>
          <cell r="N452" t="str">
            <v/>
          </cell>
          <cell r="Q452">
            <v>1</v>
          </cell>
          <cell r="R452">
            <v>1</v>
          </cell>
          <cell r="S452" t="str">
            <v/>
          </cell>
          <cell r="X452" t="str">
            <v/>
          </cell>
          <cell r="Y452" t="str">
            <v/>
          </cell>
          <cell r="Z452" t="str">
            <v/>
          </cell>
          <cell r="AB452">
            <v>0.98611111111111116</v>
          </cell>
          <cell r="AD452" t="str">
            <v/>
          </cell>
          <cell r="AE452" t="str">
            <v/>
          </cell>
          <cell r="AF452" t="str">
            <v/>
          </cell>
          <cell r="AG452">
            <v>1.1139992573338284E-3</v>
          </cell>
          <cell r="AH452">
            <v>4.666666666666667</v>
          </cell>
          <cell r="AI452" t="str">
            <v/>
          </cell>
          <cell r="AJ452" t="str">
            <v/>
          </cell>
          <cell r="AK452" t="str">
            <v/>
          </cell>
          <cell r="AL452" t="str">
            <v/>
          </cell>
          <cell r="AM452" t="str">
            <v/>
          </cell>
          <cell r="AN452" t="str">
            <v/>
          </cell>
          <cell r="AO452">
            <v>3278</v>
          </cell>
          <cell r="AQ452" t="str">
            <v/>
          </cell>
          <cell r="AR452" t="str">
            <v/>
          </cell>
          <cell r="AS452" t="str">
            <v/>
          </cell>
          <cell r="AU452" t="str">
            <v/>
          </cell>
          <cell r="AV452" t="str">
            <v/>
          </cell>
          <cell r="AW452" t="str">
            <v/>
          </cell>
          <cell r="AX452" t="str">
            <v/>
          </cell>
          <cell r="AY452" t="str">
            <v/>
          </cell>
          <cell r="AZ452" t="str">
            <v/>
          </cell>
          <cell r="BA452" t="str">
            <v/>
          </cell>
          <cell r="BB452" t="str">
            <v/>
          </cell>
          <cell r="BC452" t="str">
            <v/>
          </cell>
          <cell r="BD452" t="str">
            <v/>
          </cell>
          <cell r="BE452" t="str">
            <v/>
          </cell>
          <cell r="BF452" t="str">
            <v/>
          </cell>
          <cell r="BG452" t="str">
            <v/>
          </cell>
          <cell r="BH452" t="str">
            <v/>
          </cell>
          <cell r="BI452" t="str">
            <v/>
          </cell>
          <cell r="BJ452" t="str">
            <v/>
          </cell>
        </row>
        <row r="453">
          <cell r="A453" t="str">
            <v>RMD</v>
          </cell>
          <cell r="B453" t="str">
            <v>Q13</v>
          </cell>
          <cell r="C453">
            <v>0.73726169844020795</v>
          </cell>
          <cell r="D453">
            <v>0.93826386712629273</v>
          </cell>
          <cell r="E453" t="str">
            <v/>
          </cell>
          <cell r="F453" t="str">
            <v/>
          </cell>
          <cell r="G453" t="str">
            <v/>
          </cell>
          <cell r="H453" t="str">
            <v/>
          </cell>
          <cell r="J453" t="str">
            <v/>
          </cell>
          <cell r="K453" t="str">
            <v/>
          </cell>
          <cell r="L453" t="str">
            <v/>
          </cell>
          <cell r="M453" t="str">
            <v/>
          </cell>
          <cell r="N453" t="str">
            <v/>
          </cell>
          <cell r="Q453" t="str">
            <v/>
          </cell>
          <cell r="R453" t="str">
            <v/>
          </cell>
          <cell r="S453" t="str">
            <v/>
          </cell>
          <cell r="X453" t="str">
            <v/>
          </cell>
          <cell r="Y453" t="str">
            <v/>
          </cell>
          <cell r="Z453" t="str">
            <v/>
          </cell>
          <cell r="AB453" t="str">
            <v/>
          </cell>
          <cell r="AD453" t="str">
            <v/>
          </cell>
          <cell r="AE453" t="str">
            <v/>
          </cell>
          <cell r="AF453" t="str">
            <v/>
          </cell>
          <cell r="AG453" t="str">
            <v/>
          </cell>
          <cell r="AH453" t="str">
            <v/>
          </cell>
          <cell r="AI453" t="str">
            <v/>
          </cell>
          <cell r="AJ453" t="str">
            <v/>
          </cell>
          <cell r="AK453" t="str">
            <v/>
          </cell>
          <cell r="AL453" t="str">
            <v/>
          </cell>
          <cell r="AM453" t="str">
            <v/>
          </cell>
          <cell r="AN453" t="str">
            <v/>
          </cell>
          <cell r="AO453">
            <v>99</v>
          </cell>
          <cell r="AQ453" t="str">
            <v/>
          </cell>
          <cell r="AR453" t="str">
            <v/>
          </cell>
          <cell r="AS453" t="str">
            <v/>
          </cell>
          <cell r="AU453" t="str">
            <v/>
          </cell>
          <cell r="AV453" t="str">
            <v/>
          </cell>
          <cell r="AW453" t="str">
            <v/>
          </cell>
          <cell r="AX453" t="str">
            <v/>
          </cell>
          <cell r="AY453" t="str">
            <v/>
          </cell>
          <cell r="AZ453" t="str">
            <v/>
          </cell>
          <cell r="BA453" t="str">
            <v/>
          </cell>
          <cell r="BB453" t="str">
            <v/>
          </cell>
          <cell r="BC453" t="str">
            <v/>
          </cell>
          <cell r="BD453" t="str">
            <v/>
          </cell>
          <cell r="BE453" t="str">
            <v/>
          </cell>
          <cell r="BF453" t="str">
            <v/>
          </cell>
          <cell r="BG453" t="str">
            <v/>
          </cell>
          <cell r="BH453" t="str">
            <v/>
          </cell>
          <cell r="BI453" t="str">
            <v/>
          </cell>
          <cell r="BJ453" t="str">
            <v/>
          </cell>
        </row>
        <row r="454">
          <cell r="A454" t="str">
            <v>RMP</v>
          </cell>
          <cell r="B454" t="str">
            <v>Q14</v>
          </cell>
          <cell r="C454" t="str">
            <v/>
          </cell>
          <cell r="D454" t="str">
            <v/>
          </cell>
          <cell r="E454">
            <v>0.98995171603810517</v>
          </cell>
          <cell r="F454" t="str">
            <v/>
          </cell>
          <cell r="G454" t="str">
            <v/>
          </cell>
          <cell r="H454" t="str">
            <v/>
          </cell>
          <cell r="J454" t="str">
            <v/>
          </cell>
          <cell r="K454" t="str">
            <v/>
          </cell>
          <cell r="L454" t="str">
            <v/>
          </cell>
          <cell r="M454">
            <v>2631</v>
          </cell>
          <cell r="N454" t="str">
            <v/>
          </cell>
          <cell r="Q454">
            <v>1</v>
          </cell>
          <cell r="R454">
            <v>1</v>
          </cell>
          <cell r="S454" t="str">
            <v/>
          </cell>
          <cell r="X454" t="str">
            <v/>
          </cell>
          <cell r="Y454" t="str">
            <v/>
          </cell>
          <cell r="Z454" t="str">
            <v/>
          </cell>
          <cell r="AB454">
            <v>1</v>
          </cell>
          <cell r="AD454" t="str">
            <v/>
          </cell>
          <cell r="AE454" t="str">
            <v/>
          </cell>
          <cell r="AF454" t="str">
            <v/>
          </cell>
          <cell r="AG454">
            <v>3.7052456286427976E-2</v>
          </cell>
          <cell r="AH454">
            <v>4.333333333333333</v>
          </cell>
          <cell r="AI454" t="str">
            <v/>
          </cell>
          <cell r="AJ454" t="str">
            <v/>
          </cell>
          <cell r="AK454" t="str">
            <v/>
          </cell>
          <cell r="AL454" t="str">
            <v/>
          </cell>
          <cell r="AM454" t="str">
            <v/>
          </cell>
          <cell r="AN454" t="str">
            <v/>
          </cell>
          <cell r="AO454">
            <v>55</v>
          </cell>
          <cell r="AQ454" t="str">
            <v/>
          </cell>
          <cell r="AR454" t="str">
            <v/>
          </cell>
          <cell r="AS454" t="str">
            <v/>
          </cell>
          <cell r="AU454" t="str">
            <v/>
          </cell>
          <cell r="AV454" t="str">
            <v/>
          </cell>
          <cell r="AW454" t="str">
            <v/>
          </cell>
          <cell r="AX454" t="str">
            <v/>
          </cell>
          <cell r="AY454" t="str">
            <v/>
          </cell>
          <cell r="AZ454" t="str">
            <v/>
          </cell>
          <cell r="BA454" t="str">
            <v/>
          </cell>
          <cell r="BB454" t="str">
            <v/>
          </cell>
          <cell r="BC454" t="str">
            <v/>
          </cell>
          <cell r="BD454" t="str">
            <v/>
          </cell>
          <cell r="BE454" t="str">
            <v/>
          </cell>
          <cell r="BF454" t="str">
            <v/>
          </cell>
          <cell r="BG454" t="str">
            <v/>
          </cell>
          <cell r="BH454" t="str">
            <v/>
          </cell>
          <cell r="BI454" t="str">
            <v/>
          </cell>
          <cell r="BJ454" t="str">
            <v/>
          </cell>
        </row>
        <row r="455">
          <cell r="A455" t="str">
            <v>RMY</v>
          </cell>
          <cell r="B455" t="str">
            <v>Q01</v>
          </cell>
          <cell r="C455" t="str">
            <v/>
          </cell>
          <cell r="D455" t="str">
            <v/>
          </cell>
          <cell r="E455" t="str">
            <v/>
          </cell>
          <cell r="F455" t="str">
            <v/>
          </cell>
          <cell r="G455" t="str">
            <v/>
          </cell>
          <cell r="H455" t="str">
            <v/>
          </cell>
          <cell r="J455" t="str">
            <v/>
          </cell>
          <cell r="K455" t="str">
            <v/>
          </cell>
          <cell r="L455" t="str">
            <v/>
          </cell>
          <cell r="M455" t="str">
            <v/>
          </cell>
          <cell r="N455" t="str">
            <v/>
          </cell>
          <cell r="Q455" t="str">
            <v/>
          </cell>
          <cell r="R455" t="str">
            <v/>
          </cell>
          <cell r="S455" t="str">
            <v/>
          </cell>
          <cell r="X455" t="str">
            <v/>
          </cell>
          <cell r="Y455" t="str">
            <v/>
          </cell>
          <cell r="Z455" t="str">
            <v/>
          </cell>
          <cell r="AB455" t="str">
            <v/>
          </cell>
          <cell r="AD455" t="str">
            <v/>
          </cell>
          <cell r="AE455" t="str">
            <v/>
          </cell>
          <cell r="AF455" t="str">
            <v/>
          </cell>
          <cell r="AG455">
            <v>0</v>
          </cell>
          <cell r="AH455" t="str">
            <v/>
          </cell>
          <cell r="AI455" t="str">
            <v/>
          </cell>
          <cell r="AJ455" t="str">
            <v/>
          </cell>
          <cell r="AK455" t="str">
            <v/>
          </cell>
          <cell r="AL455" t="str">
            <v/>
          </cell>
          <cell r="AM455" t="str">
            <v/>
          </cell>
          <cell r="AN455" t="str">
            <v/>
          </cell>
          <cell r="AO455">
            <v>1119</v>
          </cell>
          <cell r="AQ455" t="str">
            <v/>
          </cell>
          <cell r="AR455" t="str">
            <v/>
          </cell>
          <cell r="AS455" t="str">
            <v/>
          </cell>
          <cell r="AU455" t="str">
            <v/>
          </cell>
          <cell r="AV455" t="str">
            <v/>
          </cell>
          <cell r="AW455" t="str">
            <v/>
          </cell>
          <cell r="AX455" t="str">
            <v/>
          </cell>
          <cell r="AY455" t="str">
            <v/>
          </cell>
          <cell r="AZ455" t="str">
            <v/>
          </cell>
          <cell r="BA455" t="str">
            <v/>
          </cell>
          <cell r="BB455" t="str">
            <v/>
          </cell>
          <cell r="BC455" t="str">
            <v/>
          </cell>
          <cell r="BD455" t="str">
            <v/>
          </cell>
          <cell r="BE455" t="str">
            <v/>
          </cell>
          <cell r="BF455" t="str">
            <v/>
          </cell>
          <cell r="BG455" t="str">
            <v/>
          </cell>
          <cell r="BH455" t="str">
            <v/>
          </cell>
          <cell r="BI455" t="str">
            <v/>
          </cell>
          <cell r="BJ455" t="str">
            <v/>
          </cell>
        </row>
        <row r="456">
          <cell r="A456" t="str">
            <v>RMZ</v>
          </cell>
          <cell r="B456" t="str">
            <v>Q01</v>
          </cell>
          <cell r="C456">
            <v>0.76883451384417256</v>
          </cell>
          <cell r="D456">
            <v>0.95953360768175588</v>
          </cell>
          <cell r="E456" t="str">
            <v/>
          </cell>
          <cell r="F456" t="str">
            <v/>
          </cell>
          <cell r="G456" t="str">
            <v/>
          </cell>
          <cell r="H456" t="str">
            <v/>
          </cell>
          <cell r="J456" t="str">
            <v/>
          </cell>
          <cell r="K456" t="str">
            <v/>
          </cell>
          <cell r="L456" t="str">
            <v/>
          </cell>
          <cell r="M456" t="str">
            <v/>
          </cell>
          <cell r="N456" t="str">
            <v/>
          </cell>
          <cell r="Q456" t="str">
            <v/>
          </cell>
          <cell r="R456" t="str">
            <v/>
          </cell>
          <cell r="S456" t="str">
            <v/>
          </cell>
          <cell r="X456" t="str">
            <v/>
          </cell>
          <cell r="Y456" t="str">
            <v/>
          </cell>
          <cell r="Z456" t="str">
            <v/>
          </cell>
          <cell r="AB456" t="str">
            <v/>
          </cell>
          <cell r="AD456" t="str">
            <v/>
          </cell>
          <cell r="AE456" t="str">
            <v/>
          </cell>
          <cell r="AF456" t="str">
            <v/>
          </cell>
          <cell r="AG456" t="str">
            <v/>
          </cell>
          <cell r="AH456" t="str">
            <v/>
          </cell>
          <cell r="AI456" t="str">
            <v/>
          </cell>
          <cell r="AJ456" t="str">
            <v/>
          </cell>
          <cell r="AK456" t="str">
            <v/>
          </cell>
          <cell r="AL456" t="str">
            <v/>
          </cell>
          <cell r="AM456" t="str">
            <v/>
          </cell>
          <cell r="AN456" t="str">
            <v/>
          </cell>
          <cell r="AO456">
            <v>550</v>
          </cell>
          <cell r="AQ456" t="str">
            <v/>
          </cell>
          <cell r="AR456" t="str">
            <v/>
          </cell>
          <cell r="AS456" t="str">
            <v/>
          </cell>
          <cell r="AU456" t="str">
            <v/>
          </cell>
          <cell r="AV456" t="str">
            <v/>
          </cell>
          <cell r="AW456" t="str">
            <v/>
          </cell>
          <cell r="AX456" t="str">
            <v/>
          </cell>
          <cell r="AY456" t="str">
            <v/>
          </cell>
          <cell r="AZ456" t="str">
            <v/>
          </cell>
          <cell r="BA456" t="str">
            <v/>
          </cell>
          <cell r="BB456" t="str">
            <v/>
          </cell>
          <cell r="BC456" t="str">
            <v/>
          </cell>
          <cell r="BD456" t="str">
            <v/>
          </cell>
          <cell r="BE456" t="str">
            <v/>
          </cell>
          <cell r="BF456" t="str">
            <v/>
          </cell>
          <cell r="BG456" t="str">
            <v/>
          </cell>
          <cell r="BH456" t="str">
            <v/>
          </cell>
          <cell r="BI456" t="str">
            <v/>
          </cell>
          <cell r="BJ456" t="str">
            <v/>
          </cell>
        </row>
        <row r="457">
          <cell r="A457" t="str">
            <v>RN1</v>
          </cell>
          <cell r="B457" t="str">
            <v>Q17</v>
          </cell>
          <cell r="C457" t="str">
            <v/>
          </cell>
          <cell r="D457" t="str">
            <v/>
          </cell>
          <cell r="E457">
            <v>0.98807462973648774</v>
          </cell>
          <cell r="F457" t="str">
            <v/>
          </cell>
          <cell r="G457" t="str">
            <v/>
          </cell>
          <cell r="H457" t="str">
            <v/>
          </cell>
          <cell r="J457" t="str">
            <v/>
          </cell>
          <cell r="K457" t="str">
            <v/>
          </cell>
          <cell r="L457" t="str">
            <v/>
          </cell>
          <cell r="M457">
            <v>3141</v>
          </cell>
          <cell r="N457" t="str">
            <v/>
          </cell>
          <cell r="Q457">
            <v>1</v>
          </cell>
          <cell r="R457">
            <v>1</v>
          </cell>
          <cell r="S457" t="str">
            <v/>
          </cell>
          <cell r="X457" t="str">
            <v/>
          </cell>
          <cell r="Y457" t="str">
            <v/>
          </cell>
          <cell r="Z457" t="str">
            <v/>
          </cell>
          <cell r="AB457">
            <v>0.98639455782312924</v>
          </cell>
          <cell r="AD457" t="str">
            <v/>
          </cell>
          <cell r="AE457" t="str">
            <v/>
          </cell>
          <cell r="AF457" t="str">
            <v/>
          </cell>
          <cell r="AG457">
            <v>4.2819499341238479E-2</v>
          </cell>
          <cell r="AH457">
            <v>0.66666666666666663</v>
          </cell>
          <cell r="AI457" t="str">
            <v/>
          </cell>
          <cell r="AJ457" t="str">
            <v/>
          </cell>
          <cell r="AK457" t="str">
            <v/>
          </cell>
          <cell r="AL457" t="str">
            <v/>
          </cell>
          <cell r="AM457" t="str">
            <v/>
          </cell>
          <cell r="AN457" t="str">
            <v/>
          </cell>
          <cell r="AO457">
            <v>-3045</v>
          </cell>
          <cell r="AQ457" t="str">
            <v/>
          </cell>
          <cell r="AR457" t="str">
            <v/>
          </cell>
          <cell r="AS457" t="str">
            <v/>
          </cell>
          <cell r="AU457" t="str">
            <v/>
          </cell>
          <cell r="AV457" t="str">
            <v/>
          </cell>
          <cell r="AW457" t="str">
            <v/>
          </cell>
          <cell r="AX457" t="str">
            <v/>
          </cell>
          <cell r="AY457" t="str">
            <v/>
          </cell>
          <cell r="AZ457" t="str">
            <v/>
          </cell>
          <cell r="BA457" t="str">
            <v/>
          </cell>
          <cell r="BB457" t="str">
            <v/>
          </cell>
          <cell r="BC457" t="str">
            <v/>
          </cell>
          <cell r="BD457" t="str">
            <v/>
          </cell>
          <cell r="BE457" t="str">
            <v/>
          </cell>
          <cell r="BF457" t="str">
            <v/>
          </cell>
          <cell r="BG457" t="str">
            <v/>
          </cell>
          <cell r="BH457" t="str">
            <v/>
          </cell>
          <cell r="BI457" t="str">
            <v/>
          </cell>
          <cell r="BJ457" t="str">
            <v/>
          </cell>
        </row>
        <row r="458">
          <cell r="A458" t="str">
            <v>RN3</v>
          </cell>
          <cell r="B458" t="str">
            <v>Q20</v>
          </cell>
          <cell r="C458" t="str">
            <v/>
          </cell>
          <cell r="D458" t="str">
            <v/>
          </cell>
          <cell r="E458">
            <v>0.91213389121338917</v>
          </cell>
          <cell r="F458" t="str">
            <v/>
          </cell>
          <cell r="G458" t="str">
            <v/>
          </cell>
          <cell r="H458" t="str">
            <v/>
          </cell>
          <cell r="J458" t="str">
            <v/>
          </cell>
          <cell r="K458" t="str">
            <v/>
          </cell>
          <cell r="L458" t="str">
            <v/>
          </cell>
          <cell r="M458">
            <v>5532</v>
          </cell>
          <cell r="N458" t="str">
            <v/>
          </cell>
          <cell r="Q458">
            <v>1</v>
          </cell>
          <cell r="R458">
            <v>1</v>
          </cell>
          <cell r="S458" t="str">
            <v/>
          </cell>
          <cell r="X458" t="str">
            <v/>
          </cell>
          <cell r="Y458" t="str">
            <v/>
          </cell>
          <cell r="Z458" t="str">
            <v/>
          </cell>
          <cell r="AB458">
            <v>0.82352941176470584</v>
          </cell>
          <cell r="AD458" t="str">
            <v/>
          </cell>
          <cell r="AE458" t="str">
            <v/>
          </cell>
          <cell r="AF458" t="str">
            <v/>
          </cell>
          <cell r="AG458">
            <v>4.578025477707006E-2</v>
          </cell>
          <cell r="AH458">
            <v>0</v>
          </cell>
          <cell r="AI458" t="str">
            <v/>
          </cell>
          <cell r="AJ458" t="str">
            <v/>
          </cell>
          <cell r="AK458" t="str">
            <v/>
          </cell>
          <cell r="AL458" t="str">
            <v/>
          </cell>
          <cell r="AM458" t="str">
            <v/>
          </cell>
          <cell r="AN458" t="str">
            <v/>
          </cell>
          <cell r="AO458">
            <v>-835</v>
          </cell>
          <cell r="AQ458" t="str">
            <v/>
          </cell>
          <cell r="AR458" t="str">
            <v/>
          </cell>
          <cell r="AS458" t="str">
            <v/>
          </cell>
          <cell r="AU458" t="str">
            <v/>
          </cell>
          <cell r="AV458" t="str">
            <v/>
          </cell>
          <cell r="AW458" t="str">
            <v/>
          </cell>
          <cell r="AX458" t="str">
            <v/>
          </cell>
          <cell r="AY458" t="str">
            <v/>
          </cell>
          <cell r="AZ458" t="str">
            <v/>
          </cell>
          <cell r="BA458" t="str">
            <v/>
          </cell>
          <cell r="BB458" t="str">
            <v/>
          </cell>
          <cell r="BC458" t="str">
            <v/>
          </cell>
          <cell r="BD458" t="str">
            <v/>
          </cell>
          <cell r="BE458" t="str">
            <v/>
          </cell>
          <cell r="BF458" t="str">
            <v/>
          </cell>
          <cell r="BG458" t="str">
            <v/>
          </cell>
          <cell r="BH458" t="str">
            <v/>
          </cell>
          <cell r="BI458" t="str">
            <v/>
          </cell>
          <cell r="BJ458" t="str">
            <v/>
          </cell>
        </row>
        <row r="459">
          <cell r="A459" t="str">
            <v>RN5</v>
          </cell>
          <cell r="B459" t="str">
            <v>Q17</v>
          </cell>
          <cell r="C459" t="str">
            <v/>
          </cell>
          <cell r="D459" t="str">
            <v/>
          </cell>
          <cell r="E459">
            <v>0.99214394323365429</v>
          </cell>
          <cell r="F459" t="str">
            <v/>
          </cell>
          <cell r="G459" t="str">
            <v/>
          </cell>
          <cell r="H459" t="str">
            <v/>
          </cell>
          <cell r="J459" t="str">
            <v/>
          </cell>
          <cell r="K459" t="str">
            <v/>
          </cell>
          <cell r="L459" t="str">
            <v/>
          </cell>
          <cell r="M459">
            <v>3223</v>
          </cell>
          <cell r="N459" t="str">
            <v/>
          </cell>
          <cell r="Q459">
            <v>1</v>
          </cell>
          <cell r="R459">
            <v>1</v>
          </cell>
          <cell r="S459" t="str">
            <v/>
          </cell>
          <cell r="X459" t="str">
            <v/>
          </cell>
          <cell r="Y459" t="str">
            <v/>
          </cell>
          <cell r="Z459" t="str">
            <v/>
          </cell>
          <cell r="AB459">
            <v>1</v>
          </cell>
          <cell r="AD459" t="str">
            <v/>
          </cell>
          <cell r="AE459" t="str">
            <v/>
          </cell>
          <cell r="AF459" t="str">
            <v/>
          </cell>
          <cell r="AG459">
            <v>5.3793103448275863E-2</v>
          </cell>
          <cell r="AH459">
            <v>1</v>
          </cell>
          <cell r="AI459" t="str">
            <v/>
          </cell>
          <cell r="AJ459" t="str">
            <v/>
          </cell>
          <cell r="AK459" t="str">
            <v/>
          </cell>
          <cell r="AL459" t="str">
            <v/>
          </cell>
          <cell r="AM459" t="str">
            <v/>
          </cell>
          <cell r="AN459" t="str">
            <v/>
          </cell>
          <cell r="AO459">
            <v>26</v>
          </cell>
          <cell r="AQ459" t="str">
            <v/>
          </cell>
          <cell r="AR459" t="str">
            <v/>
          </cell>
          <cell r="AS459" t="str">
            <v/>
          </cell>
          <cell r="AU459" t="str">
            <v/>
          </cell>
          <cell r="AV459" t="str">
            <v/>
          </cell>
          <cell r="AW459" t="str">
            <v/>
          </cell>
          <cell r="AX459" t="str">
            <v/>
          </cell>
          <cell r="AY459" t="str">
            <v/>
          </cell>
          <cell r="AZ459" t="str">
            <v/>
          </cell>
          <cell r="BA459" t="str">
            <v/>
          </cell>
          <cell r="BB459" t="str">
            <v/>
          </cell>
          <cell r="BC459" t="str">
            <v/>
          </cell>
          <cell r="BD459" t="str">
            <v/>
          </cell>
          <cell r="BE459" t="str">
            <v/>
          </cell>
          <cell r="BF459" t="str">
            <v/>
          </cell>
          <cell r="BG459" t="str">
            <v/>
          </cell>
          <cell r="BH459" t="str">
            <v/>
          </cell>
          <cell r="BI459" t="str">
            <v/>
          </cell>
          <cell r="BJ459" t="str">
            <v/>
          </cell>
        </row>
        <row r="460">
          <cell r="A460" t="str">
            <v>RN7</v>
          </cell>
          <cell r="B460" t="str">
            <v>Q18</v>
          </cell>
          <cell r="C460" t="str">
            <v/>
          </cell>
          <cell r="D460" t="str">
            <v/>
          </cell>
          <cell r="E460">
            <v>0.98138646939506025</v>
          </cell>
          <cell r="F460" t="str">
            <v/>
          </cell>
          <cell r="G460" t="str">
            <v/>
          </cell>
          <cell r="H460" t="str">
            <v/>
          </cell>
          <cell r="J460" t="str">
            <v/>
          </cell>
          <cell r="K460" t="str">
            <v/>
          </cell>
          <cell r="L460" t="str">
            <v/>
          </cell>
          <cell r="M460">
            <v>2430</v>
          </cell>
          <cell r="N460" t="str">
            <v/>
          </cell>
          <cell r="Q460">
            <v>1</v>
          </cell>
          <cell r="R460">
            <v>1</v>
          </cell>
          <cell r="S460" t="str">
            <v/>
          </cell>
          <cell r="X460" t="str">
            <v/>
          </cell>
          <cell r="Y460" t="str">
            <v/>
          </cell>
          <cell r="Z460" t="str">
            <v/>
          </cell>
          <cell r="AB460">
            <v>1</v>
          </cell>
          <cell r="AD460" t="str">
            <v/>
          </cell>
          <cell r="AE460" t="str">
            <v/>
          </cell>
          <cell r="AF460" t="str">
            <v/>
          </cell>
          <cell r="AG460">
            <v>1.3881177123820098E-2</v>
          </cell>
          <cell r="AH460">
            <v>2.6666666666666665</v>
          </cell>
          <cell r="AI460" t="str">
            <v/>
          </cell>
          <cell r="AJ460" t="str">
            <v/>
          </cell>
          <cell r="AK460" t="str">
            <v/>
          </cell>
          <cell r="AL460" t="str">
            <v/>
          </cell>
          <cell r="AM460" t="str">
            <v/>
          </cell>
          <cell r="AN460" t="str">
            <v/>
          </cell>
          <cell r="AO460">
            <v>-3470</v>
          </cell>
          <cell r="AQ460" t="str">
            <v/>
          </cell>
          <cell r="AR460" t="str">
            <v/>
          </cell>
          <cell r="AS460" t="str">
            <v/>
          </cell>
          <cell r="AU460" t="str">
            <v/>
          </cell>
          <cell r="AV460" t="str">
            <v/>
          </cell>
          <cell r="AW460" t="str">
            <v/>
          </cell>
          <cell r="AX460" t="str">
            <v/>
          </cell>
          <cell r="AY460" t="str">
            <v/>
          </cell>
          <cell r="AZ460" t="str">
            <v/>
          </cell>
          <cell r="BA460" t="str">
            <v/>
          </cell>
          <cell r="BB460" t="str">
            <v/>
          </cell>
          <cell r="BC460" t="str">
            <v/>
          </cell>
          <cell r="BD460" t="str">
            <v/>
          </cell>
          <cell r="BE460" t="str">
            <v/>
          </cell>
          <cell r="BF460" t="str">
            <v/>
          </cell>
          <cell r="BG460" t="str">
            <v/>
          </cell>
          <cell r="BH460" t="str">
            <v/>
          </cell>
          <cell r="BI460" t="str">
            <v/>
          </cell>
          <cell r="BJ460" t="str">
            <v/>
          </cell>
        </row>
        <row r="461">
          <cell r="A461" t="str">
            <v>RNA</v>
          </cell>
          <cell r="B461" t="str">
            <v>Q27</v>
          </cell>
          <cell r="C461" t="str">
            <v/>
          </cell>
          <cell r="D461" t="str">
            <v/>
          </cell>
          <cell r="E461">
            <v>0.96491032638966245</v>
          </cell>
          <cell r="F461" t="str">
            <v/>
          </cell>
          <cell r="G461" t="str">
            <v/>
          </cell>
          <cell r="H461" t="str">
            <v/>
          </cell>
          <cell r="J461" t="str">
            <v/>
          </cell>
          <cell r="K461" t="str">
            <v/>
          </cell>
          <cell r="L461" t="str">
            <v/>
          </cell>
          <cell r="M461">
            <v>4308</v>
          </cell>
          <cell r="N461" t="str">
            <v/>
          </cell>
          <cell r="Q461">
            <v>1</v>
          </cell>
          <cell r="R461">
            <v>1</v>
          </cell>
          <cell r="S461" t="str">
            <v/>
          </cell>
          <cell r="X461" t="str">
            <v/>
          </cell>
          <cell r="Y461" t="str">
            <v/>
          </cell>
          <cell r="Z461" t="str">
            <v/>
          </cell>
          <cell r="AB461">
            <v>0.99530516431924887</v>
          </cell>
          <cell r="AD461" t="str">
            <v/>
          </cell>
          <cell r="AE461" t="str">
            <v/>
          </cell>
          <cell r="AF461" t="str">
            <v/>
          </cell>
          <cell r="AG461">
            <v>2.2682721926631191E-2</v>
          </cell>
          <cell r="AH461">
            <v>4.666666666666667</v>
          </cell>
          <cell r="AI461" t="str">
            <v/>
          </cell>
          <cell r="AJ461" t="str">
            <v/>
          </cell>
          <cell r="AK461" t="str">
            <v/>
          </cell>
          <cell r="AL461" t="str">
            <v/>
          </cell>
          <cell r="AM461" t="str">
            <v/>
          </cell>
          <cell r="AN461" t="str">
            <v/>
          </cell>
          <cell r="AO461">
            <v>1753</v>
          </cell>
          <cell r="AQ461" t="str">
            <v/>
          </cell>
          <cell r="AR461" t="str">
            <v/>
          </cell>
          <cell r="AS461" t="str">
            <v/>
          </cell>
          <cell r="AU461" t="str">
            <v/>
          </cell>
          <cell r="AV461" t="str">
            <v/>
          </cell>
          <cell r="AW461" t="str">
            <v/>
          </cell>
          <cell r="AX461" t="str">
            <v/>
          </cell>
          <cell r="AY461" t="str">
            <v/>
          </cell>
          <cell r="AZ461" t="str">
            <v/>
          </cell>
          <cell r="BA461" t="str">
            <v/>
          </cell>
          <cell r="BB461" t="str">
            <v/>
          </cell>
          <cell r="BC461" t="str">
            <v/>
          </cell>
          <cell r="BD461" t="str">
            <v/>
          </cell>
          <cell r="BE461" t="str">
            <v/>
          </cell>
          <cell r="BF461" t="str">
            <v/>
          </cell>
          <cell r="BG461" t="str">
            <v/>
          </cell>
          <cell r="BH461" t="str">
            <v/>
          </cell>
          <cell r="BI461" t="str">
            <v/>
          </cell>
          <cell r="BJ461" t="str">
            <v/>
          </cell>
        </row>
        <row r="462">
          <cell r="A462" t="str">
            <v>RNH</v>
          </cell>
          <cell r="B462" t="str">
            <v>Q06</v>
          </cell>
          <cell r="C462" t="str">
            <v/>
          </cell>
          <cell r="D462" t="str">
            <v/>
          </cell>
          <cell r="E462">
            <v>0.96481566467798685</v>
          </cell>
          <cell r="F462" t="str">
            <v/>
          </cell>
          <cell r="G462" t="str">
            <v/>
          </cell>
          <cell r="H462" t="str">
            <v/>
          </cell>
          <cell r="J462" t="str">
            <v/>
          </cell>
          <cell r="K462" t="str">
            <v/>
          </cell>
          <cell r="L462" t="str">
            <v/>
          </cell>
          <cell r="M462">
            <v>1300</v>
          </cell>
          <cell r="N462" t="str">
            <v/>
          </cell>
          <cell r="Q462">
            <v>0.997907949790795</v>
          </cell>
          <cell r="R462">
            <v>0.99946149703823373</v>
          </cell>
          <cell r="S462" t="str">
            <v/>
          </cell>
          <cell r="X462" t="str">
            <v/>
          </cell>
          <cell r="Y462" t="str">
            <v/>
          </cell>
          <cell r="Z462" t="str">
            <v/>
          </cell>
          <cell r="AB462">
            <v>1</v>
          </cell>
          <cell r="AD462" t="str">
            <v/>
          </cell>
          <cell r="AE462" t="str">
            <v/>
          </cell>
          <cell r="AF462" t="str">
            <v/>
          </cell>
          <cell r="AG462">
            <v>2.8702640642939152E-3</v>
          </cell>
          <cell r="AH462">
            <v>1.3333333333333333</v>
          </cell>
          <cell r="AI462" t="str">
            <v/>
          </cell>
          <cell r="AJ462" t="str">
            <v/>
          </cell>
          <cell r="AK462" t="str">
            <v/>
          </cell>
          <cell r="AL462" t="str">
            <v/>
          </cell>
          <cell r="AM462" t="str">
            <v/>
          </cell>
          <cell r="AN462" t="str">
            <v/>
          </cell>
          <cell r="AO462">
            <v>13</v>
          </cell>
          <cell r="AQ462" t="str">
            <v/>
          </cell>
          <cell r="AR462" t="str">
            <v/>
          </cell>
          <cell r="AS462" t="str">
            <v/>
          </cell>
          <cell r="AU462" t="str">
            <v/>
          </cell>
          <cell r="AV462" t="str">
            <v/>
          </cell>
          <cell r="AW462" t="str">
            <v/>
          </cell>
          <cell r="AX462" t="str">
            <v/>
          </cell>
          <cell r="AY462" t="str">
            <v/>
          </cell>
          <cell r="AZ462" t="str">
            <v/>
          </cell>
          <cell r="BA462" t="str">
            <v/>
          </cell>
          <cell r="BB462" t="str">
            <v/>
          </cell>
          <cell r="BC462" t="str">
            <v/>
          </cell>
          <cell r="BD462" t="str">
            <v/>
          </cell>
          <cell r="BE462" t="str">
            <v/>
          </cell>
          <cell r="BF462" t="str">
            <v/>
          </cell>
          <cell r="BG462" t="str">
            <v/>
          </cell>
          <cell r="BH462" t="str">
            <v/>
          </cell>
          <cell r="BI462" t="str">
            <v/>
          </cell>
          <cell r="BJ462" t="str">
            <v/>
          </cell>
        </row>
        <row r="463">
          <cell r="A463" t="str">
            <v>RNJ</v>
          </cell>
          <cell r="B463" t="str">
            <v>Q06</v>
          </cell>
          <cell r="C463" t="str">
            <v/>
          </cell>
          <cell r="D463" t="str">
            <v/>
          </cell>
          <cell r="E463">
            <v>0.98075812969020593</v>
          </cell>
          <cell r="F463" t="str">
            <v/>
          </cell>
          <cell r="G463" t="str">
            <v/>
          </cell>
          <cell r="H463" t="str">
            <v/>
          </cell>
          <cell r="J463" t="str">
            <v/>
          </cell>
          <cell r="K463" t="str">
            <v/>
          </cell>
          <cell r="L463" t="str">
            <v/>
          </cell>
          <cell r="M463">
            <v>7312</v>
          </cell>
          <cell r="N463" t="str">
            <v/>
          </cell>
          <cell r="Q463">
            <v>1</v>
          </cell>
          <cell r="R463">
            <v>1</v>
          </cell>
          <cell r="S463" t="str">
            <v/>
          </cell>
          <cell r="X463" t="str">
            <v/>
          </cell>
          <cell r="Y463" t="str">
            <v/>
          </cell>
          <cell r="Z463" t="str">
            <v/>
          </cell>
          <cell r="AB463">
            <v>1</v>
          </cell>
          <cell r="AD463" t="str">
            <v/>
          </cell>
          <cell r="AE463" t="str">
            <v/>
          </cell>
          <cell r="AF463" t="str">
            <v/>
          </cell>
          <cell r="AG463">
            <v>1.3120229007633589E-2</v>
          </cell>
          <cell r="AH463">
            <v>7</v>
          </cell>
          <cell r="AI463" t="str">
            <v/>
          </cell>
          <cell r="AJ463" t="str">
            <v/>
          </cell>
          <cell r="AK463" t="str">
            <v/>
          </cell>
          <cell r="AL463" t="str">
            <v/>
          </cell>
          <cell r="AM463" t="str">
            <v/>
          </cell>
          <cell r="AN463" t="str">
            <v/>
          </cell>
          <cell r="AO463">
            <v>3414</v>
          </cell>
          <cell r="AQ463" t="str">
            <v/>
          </cell>
          <cell r="AR463" t="str">
            <v/>
          </cell>
          <cell r="AS463" t="str">
            <v/>
          </cell>
          <cell r="AU463" t="str">
            <v/>
          </cell>
          <cell r="AV463" t="str">
            <v/>
          </cell>
          <cell r="AW463" t="str">
            <v/>
          </cell>
          <cell r="AX463" t="str">
            <v/>
          </cell>
          <cell r="AY463" t="str">
            <v/>
          </cell>
          <cell r="AZ463" t="str">
            <v/>
          </cell>
          <cell r="BA463" t="str">
            <v/>
          </cell>
          <cell r="BB463" t="str">
            <v/>
          </cell>
          <cell r="BC463" t="str">
            <v/>
          </cell>
          <cell r="BD463" t="str">
            <v/>
          </cell>
          <cell r="BE463" t="str">
            <v/>
          </cell>
          <cell r="BF463" t="str">
            <v/>
          </cell>
          <cell r="BG463" t="str">
            <v/>
          </cell>
          <cell r="BH463" t="str">
            <v/>
          </cell>
          <cell r="BI463" t="str">
            <v/>
          </cell>
          <cell r="BJ463" t="str">
            <v/>
          </cell>
        </row>
        <row r="464">
          <cell r="A464" t="str">
            <v>RNK</v>
          </cell>
          <cell r="B464" t="str">
            <v>Q05</v>
          </cell>
          <cell r="C464" t="str">
            <v/>
          </cell>
          <cell r="D464" t="str">
            <v/>
          </cell>
          <cell r="E464" t="str">
            <v/>
          </cell>
          <cell r="F464" t="str">
            <v/>
          </cell>
          <cell r="G464" t="str">
            <v/>
          </cell>
          <cell r="H464" t="str">
            <v/>
          </cell>
          <cell r="J464" t="str">
            <v/>
          </cell>
          <cell r="K464" t="str">
            <v/>
          </cell>
          <cell r="L464" t="str">
            <v/>
          </cell>
          <cell r="M464" t="str">
            <v/>
          </cell>
          <cell r="N464" t="str">
            <v/>
          </cell>
          <cell r="Q464" t="str">
            <v/>
          </cell>
          <cell r="R464">
            <v>1</v>
          </cell>
          <cell r="S464" t="str">
            <v/>
          </cell>
          <cell r="X464" t="str">
            <v/>
          </cell>
          <cell r="Y464" t="str">
            <v/>
          </cell>
          <cell r="Z464" t="str">
            <v/>
          </cell>
          <cell r="AB464" t="str">
            <v/>
          </cell>
          <cell r="AD464" t="str">
            <v/>
          </cell>
          <cell r="AE464" t="str">
            <v/>
          </cell>
          <cell r="AF464" t="str">
            <v/>
          </cell>
          <cell r="AG464" t="str">
            <v/>
          </cell>
          <cell r="AH464" t="str">
            <v/>
          </cell>
          <cell r="AI464" t="str">
            <v/>
          </cell>
          <cell r="AJ464" t="str">
            <v/>
          </cell>
          <cell r="AK464" t="str">
            <v/>
          </cell>
          <cell r="AL464" t="str">
            <v/>
          </cell>
          <cell r="AM464" t="str">
            <v/>
          </cell>
          <cell r="AN464" t="str">
            <v/>
          </cell>
          <cell r="AO464">
            <v>373</v>
          </cell>
          <cell r="AQ464" t="str">
            <v/>
          </cell>
          <cell r="AR464" t="str">
            <v/>
          </cell>
          <cell r="AS464" t="str">
            <v/>
          </cell>
          <cell r="AU464" t="str">
            <v/>
          </cell>
          <cell r="AV464" t="str">
            <v/>
          </cell>
          <cell r="AW464" t="str">
            <v/>
          </cell>
          <cell r="AX464" t="str">
            <v/>
          </cell>
          <cell r="AY464" t="str">
            <v/>
          </cell>
          <cell r="AZ464" t="str">
            <v/>
          </cell>
          <cell r="BA464" t="str">
            <v/>
          </cell>
          <cell r="BB464" t="str">
            <v/>
          </cell>
          <cell r="BC464" t="str">
            <v/>
          </cell>
          <cell r="BD464" t="str">
            <v/>
          </cell>
          <cell r="BE464" t="str">
            <v/>
          </cell>
          <cell r="BF464" t="str">
            <v/>
          </cell>
          <cell r="BG464" t="str">
            <v/>
          </cell>
          <cell r="BH464" t="str">
            <v/>
          </cell>
          <cell r="BI464" t="str">
            <v/>
          </cell>
          <cell r="BJ464" t="str">
            <v/>
          </cell>
        </row>
        <row r="465">
          <cell r="A465" t="str">
            <v>RNL</v>
          </cell>
          <cell r="B465" t="str">
            <v>Q13</v>
          </cell>
          <cell r="C465" t="str">
            <v/>
          </cell>
          <cell r="D465" t="str">
            <v/>
          </cell>
          <cell r="E465">
            <v>0.96507494977592334</v>
          </cell>
          <cell r="F465" t="str">
            <v/>
          </cell>
          <cell r="G465" t="str">
            <v/>
          </cell>
          <cell r="H465" t="str">
            <v/>
          </cell>
          <cell r="J465" t="str">
            <v/>
          </cell>
          <cell r="K465" t="str">
            <v/>
          </cell>
          <cell r="L465" t="str">
            <v/>
          </cell>
          <cell r="M465">
            <v>4780</v>
          </cell>
          <cell r="N465" t="str">
            <v/>
          </cell>
          <cell r="Q465">
            <v>1</v>
          </cell>
          <cell r="R465">
            <v>0.99017637865594998</v>
          </cell>
          <cell r="S465" t="str">
            <v/>
          </cell>
          <cell r="X465" t="str">
            <v/>
          </cell>
          <cell r="Y465" t="str">
            <v/>
          </cell>
          <cell r="Z465" t="str">
            <v/>
          </cell>
          <cell r="AB465">
            <v>0.93577981651376152</v>
          </cell>
          <cell r="AD465" t="str">
            <v/>
          </cell>
          <cell r="AE465" t="str">
            <v/>
          </cell>
          <cell r="AF465" t="str">
            <v/>
          </cell>
          <cell r="AG465">
            <v>2.6498840675720438E-3</v>
          </cell>
          <cell r="AH465">
            <v>2</v>
          </cell>
          <cell r="AI465" t="str">
            <v/>
          </cell>
          <cell r="AJ465" t="str">
            <v/>
          </cell>
          <cell r="AK465" t="str">
            <v/>
          </cell>
          <cell r="AL465" t="str">
            <v/>
          </cell>
          <cell r="AM465" t="str">
            <v/>
          </cell>
          <cell r="AN465" t="str">
            <v/>
          </cell>
          <cell r="AO465">
            <v>56</v>
          </cell>
          <cell r="AQ465" t="str">
            <v/>
          </cell>
          <cell r="AR465" t="str">
            <v/>
          </cell>
          <cell r="AS465" t="str">
            <v/>
          </cell>
          <cell r="AU465" t="str">
            <v/>
          </cell>
          <cell r="AV465" t="str">
            <v/>
          </cell>
          <cell r="AW465" t="str">
            <v/>
          </cell>
          <cell r="AX465" t="str">
            <v/>
          </cell>
          <cell r="AY465" t="str">
            <v/>
          </cell>
          <cell r="AZ465" t="str">
            <v/>
          </cell>
          <cell r="BA465" t="str">
            <v/>
          </cell>
          <cell r="BB465" t="str">
            <v/>
          </cell>
          <cell r="BC465" t="str">
            <v/>
          </cell>
          <cell r="BD465" t="str">
            <v/>
          </cell>
          <cell r="BE465" t="str">
            <v/>
          </cell>
          <cell r="BF465" t="str">
            <v/>
          </cell>
          <cell r="BG465" t="str">
            <v/>
          </cell>
          <cell r="BH465" t="str">
            <v/>
          </cell>
          <cell r="BI465" t="str">
            <v/>
          </cell>
          <cell r="BJ465" t="str">
            <v/>
          </cell>
        </row>
        <row r="466">
          <cell r="A466" t="str">
            <v>RNN</v>
          </cell>
          <cell r="B466" t="str">
            <v>Q13</v>
          </cell>
          <cell r="C466" t="str">
            <v/>
          </cell>
          <cell r="D466" t="str">
            <v/>
          </cell>
          <cell r="E466" t="str">
            <v/>
          </cell>
          <cell r="F466" t="str">
            <v/>
          </cell>
          <cell r="G466" t="str">
            <v/>
          </cell>
          <cell r="H466" t="str">
            <v/>
          </cell>
          <cell r="J466" t="str">
            <v/>
          </cell>
          <cell r="K466" t="str">
            <v/>
          </cell>
          <cell r="L466" t="str">
            <v/>
          </cell>
          <cell r="M466" t="str">
            <v/>
          </cell>
          <cell r="N466" t="str">
            <v/>
          </cell>
          <cell r="Q466" t="str">
            <v/>
          </cell>
          <cell r="R466">
            <v>1</v>
          </cell>
          <cell r="S466" t="str">
            <v/>
          </cell>
          <cell r="X466" t="str">
            <v/>
          </cell>
          <cell r="Y466" t="str">
            <v/>
          </cell>
          <cell r="Z466" t="str">
            <v/>
          </cell>
          <cell r="AB466" t="str">
            <v/>
          </cell>
          <cell r="AD466" t="str">
            <v/>
          </cell>
          <cell r="AE466" t="str">
            <v/>
          </cell>
          <cell r="AF466" t="str">
            <v/>
          </cell>
          <cell r="AG466">
            <v>0</v>
          </cell>
          <cell r="AH466" t="str">
            <v/>
          </cell>
          <cell r="AI466" t="str">
            <v/>
          </cell>
          <cell r="AJ466" t="str">
            <v/>
          </cell>
          <cell r="AK466" t="str">
            <v/>
          </cell>
          <cell r="AL466" t="str">
            <v/>
          </cell>
          <cell r="AM466" t="str">
            <v/>
          </cell>
          <cell r="AN466" t="str">
            <v/>
          </cell>
          <cell r="AO466">
            <v>69</v>
          </cell>
          <cell r="AQ466" t="str">
            <v/>
          </cell>
          <cell r="AR466" t="str">
            <v/>
          </cell>
          <cell r="AS466" t="str">
            <v/>
          </cell>
          <cell r="AU466" t="str">
            <v/>
          </cell>
          <cell r="AV466" t="str">
            <v/>
          </cell>
          <cell r="AW466" t="str">
            <v/>
          </cell>
          <cell r="AX466" t="str">
            <v/>
          </cell>
          <cell r="AY466" t="str">
            <v/>
          </cell>
          <cell r="AZ466" t="str">
            <v/>
          </cell>
          <cell r="BA466" t="str">
            <v/>
          </cell>
          <cell r="BB466" t="str">
            <v/>
          </cell>
          <cell r="BC466" t="str">
            <v/>
          </cell>
          <cell r="BD466" t="str">
            <v/>
          </cell>
          <cell r="BE466" t="str">
            <v/>
          </cell>
          <cell r="BF466" t="str">
            <v/>
          </cell>
          <cell r="BG466" t="str">
            <v/>
          </cell>
          <cell r="BH466" t="str">
            <v/>
          </cell>
          <cell r="BI466" t="str">
            <v/>
          </cell>
          <cell r="BJ466" t="str">
            <v/>
          </cell>
        </row>
        <row r="467">
          <cell r="A467" t="str">
            <v>RNP</v>
          </cell>
          <cell r="B467" t="str">
            <v>Q09</v>
          </cell>
          <cell r="C467" t="str">
            <v/>
          </cell>
          <cell r="D467" t="str">
            <v/>
          </cell>
          <cell r="E467" t="str">
            <v/>
          </cell>
          <cell r="J467" t="str">
            <v/>
          </cell>
          <cell r="K467" t="str">
            <v/>
          </cell>
          <cell r="L467" t="str">
            <v/>
          </cell>
          <cell r="M467">
            <v>4</v>
          </cell>
          <cell r="Q467">
            <v>1</v>
          </cell>
          <cell r="R467">
            <v>1</v>
          </cell>
          <cell r="X467" t="str">
            <v/>
          </cell>
          <cell r="Y467" t="str">
            <v/>
          </cell>
          <cell r="Z467" t="str">
            <v/>
          </cell>
          <cell r="AB467" t="str">
            <v/>
          </cell>
          <cell r="AD467" t="str">
            <v/>
          </cell>
          <cell r="AE467" t="str">
            <v/>
          </cell>
          <cell r="AF467" t="str">
            <v/>
          </cell>
          <cell r="AG467">
            <v>0</v>
          </cell>
          <cell r="AH467" t="str">
            <v/>
          </cell>
          <cell r="AI467" t="str">
            <v/>
          </cell>
          <cell r="AJ467" t="str">
            <v/>
          </cell>
          <cell r="AK467" t="str">
            <v/>
          </cell>
          <cell r="AL467" t="str">
            <v/>
          </cell>
          <cell r="AM467" t="str">
            <v/>
          </cell>
          <cell r="AN467" t="str">
            <v/>
          </cell>
          <cell r="AO467">
            <v>527</v>
          </cell>
          <cell r="AS467" t="str">
            <v/>
          </cell>
          <cell r="BB467" t="str">
            <v/>
          </cell>
          <cell r="BC467" t="str">
            <v/>
          </cell>
          <cell r="BD467" t="str">
            <v/>
          </cell>
          <cell r="BE467" t="str">
            <v/>
          </cell>
          <cell r="BF467" t="str">
            <v/>
          </cell>
          <cell r="BG467" t="str">
            <v/>
          </cell>
          <cell r="BH467" t="str">
            <v/>
          </cell>
          <cell r="BI467" t="str">
            <v/>
          </cell>
          <cell r="BJ467" t="str">
            <v/>
          </cell>
        </row>
        <row r="468">
          <cell r="A468" t="str">
            <v>RNQ</v>
          </cell>
          <cell r="B468" t="str">
            <v>Q25</v>
          </cell>
          <cell r="C468" t="str">
            <v/>
          </cell>
          <cell r="D468" t="str">
            <v/>
          </cell>
          <cell r="E468">
            <v>0.99028594883020937</v>
          </cell>
          <cell r="F468" t="str">
            <v/>
          </cell>
          <cell r="G468" t="str">
            <v/>
          </cell>
          <cell r="H468" t="str">
            <v/>
          </cell>
          <cell r="J468" t="str">
            <v/>
          </cell>
          <cell r="K468" t="str">
            <v/>
          </cell>
          <cell r="L468" t="str">
            <v/>
          </cell>
          <cell r="M468">
            <v>4967</v>
          </cell>
          <cell r="N468" t="str">
            <v/>
          </cell>
          <cell r="Q468">
            <v>1</v>
          </cell>
          <cell r="R468">
            <v>0.90054995417048578</v>
          </cell>
          <cell r="S468" t="str">
            <v/>
          </cell>
          <cell r="X468" t="str">
            <v/>
          </cell>
          <cell r="Y468" t="str">
            <v/>
          </cell>
          <cell r="Z468" t="str">
            <v/>
          </cell>
          <cell r="AB468">
            <v>0.96137339055793991</v>
          </cell>
          <cell r="AD468" t="str">
            <v/>
          </cell>
          <cell r="AE468" t="str">
            <v/>
          </cell>
          <cell r="AF468" t="str">
            <v/>
          </cell>
          <cell r="AG468">
            <v>1.4550264550264549E-2</v>
          </cell>
          <cell r="AH468">
            <v>1.6666666666666667</v>
          </cell>
          <cell r="AI468" t="str">
            <v/>
          </cell>
          <cell r="AJ468" t="str">
            <v/>
          </cell>
          <cell r="AK468" t="str">
            <v/>
          </cell>
          <cell r="AL468" t="str">
            <v/>
          </cell>
          <cell r="AM468" t="str">
            <v/>
          </cell>
          <cell r="AN468" t="str">
            <v/>
          </cell>
          <cell r="AO468">
            <v>40</v>
          </cell>
          <cell r="AQ468" t="str">
            <v/>
          </cell>
          <cell r="AR468" t="str">
            <v/>
          </cell>
          <cell r="AS468" t="str">
            <v/>
          </cell>
          <cell r="AU468" t="str">
            <v/>
          </cell>
          <cell r="AV468" t="str">
            <v/>
          </cell>
          <cell r="AW468" t="str">
            <v/>
          </cell>
          <cell r="AX468" t="str">
            <v/>
          </cell>
          <cell r="AY468" t="str">
            <v/>
          </cell>
          <cell r="AZ468" t="str">
            <v/>
          </cell>
          <cell r="BA468" t="str">
            <v/>
          </cell>
          <cell r="BB468" t="str">
            <v/>
          </cell>
          <cell r="BC468" t="str">
            <v/>
          </cell>
          <cell r="BD468" t="str">
            <v/>
          </cell>
          <cell r="BE468" t="str">
            <v/>
          </cell>
          <cell r="BF468" t="str">
            <v/>
          </cell>
          <cell r="BG468" t="str">
            <v/>
          </cell>
          <cell r="BH468" t="str">
            <v/>
          </cell>
          <cell r="BI468" t="str">
            <v/>
          </cell>
          <cell r="BJ468" t="str">
            <v/>
          </cell>
        </row>
        <row r="469">
          <cell r="A469" t="str">
            <v>RNS</v>
          </cell>
          <cell r="B469" t="str">
            <v>Q25</v>
          </cell>
          <cell r="C469" t="str">
            <v/>
          </cell>
          <cell r="D469" t="str">
            <v/>
          </cell>
          <cell r="E469">
            <v>0.98067373506911826</v>
          </cell>
          <cell r="F469" t="str">
            <v/>
          </cell>
          <cell r="G469" t="str">
            <v/>
          </cell>
          <cell r="H469" t="str">
            <v/>
          </cell>
          <cell r="J469" t="str">
            <v/>
          </cell>
          <cell r="K469" t="str">
            <v/>
          </cell>
          <cell r="L469" t="str">
            <v/>
          </cell>
          <cell r="M469">
            <v>5451</v>
          </cell>
          <cell r="N469" t="str">
            <v/>
          </cell>
          <cell r="Q469">
            <v>1</v>
          </cell>
          <cell r="R469">
            <v>1</v>
          </cell>
          <cell r="S469" t="str">
            <v/>
          </cell>
          <cell r="X469" t="str">
            <v/>
          </cell>
          <cell r="Y469" t="str">
            <v/>
          </cell>
          <cell r="Z469" t="str">
            <v/>
          </cell>
          <cell r="AB469">
            <v>1</v>
          </cell>
          <cell r="AD469" t="str">
            <v/>
          </cell>
          <cell r="AE469" t="str">
            <v/>
          </cell>
          <cell r="AF469" t="str">
            <v/>
          </cell>
          <cell r="AG469">
            <v>1.2406015037593985E-2</v>
          </cell>
          <cell r="AH469">
            <v>2.6666666666666665</v>
          </cell>
          <cell r="AI469" t="str">
            <v/>
          </cell>
          <cell r="AJ469" t="str">
            <v/>
          </cell>
          <cell r="AK469" t="str">
            <v/>
          </cell>
          <cell r="AL469" t="str">
            <v/>
          </cell>
          <cell r="AM469" t="str">
            <v/>
          </cell>
          <cell r="AN469" t="str">
            <v/>
          </cell>
          <cell r="AO469">
            <v>-2907</v>
          </cell>
          <cell r="AQ469" t="str">
            <v/>
          </cell>
          <cell r="AR469" t="str">
            <v/>
          </cell>
          <cell r="AS469" t="str">
            <v/>
          </cell>
          <cell r="AU469" t="str">
            <v/>
          </cell>
          <cell r="AV469" t="str">
            <v/>
          </cell>
          <cell r="AW469" t="str">
            <v/>
          </cell>
          <cell r="AX469" t="str">
            <v/>
          </cell>
          <cell r="AY469" t="str">
            <v/>
          </cell>
          <cell r="AZ469" t="str">
            <v/>
          </cell>
          <cell r="BA469" t="str">
            <v/>
          </cell>
          <cell r="BB469" t="str">
            <v/>
          </cell>
          <cell r="BC469" t="str">
            <v/>
          </cell>
          <cell r="BD469" t="str">
            <v/>
          </cell>
          <cell r="BE469" t="str">
            <v/>
          </cell>
          <cell r="BF469" t="str">
            <v/>
          </cell>
          <cell r="BG469" t="str">
            <v/>
          </cell>
          <cell r="BH469" t="str">
            <v/>
          </cell>
          <cell r="BI469" t="str">
            <v/>
          </cell>
          <cell r="BJ469" t="str">
            <v/>
          </cell>
        </row>
        <row r="470">
          <cell r="A470" t="str">
            <v>RNU</v>
          </cell>
          <cell r="B470" t="str">
            <v>Q16</v>
          </cell>
          <cell r="C470" t="str">
            <v/>
          </cell>
          <cell r="D470" t="str">
            <v/>
          </cell>
          <cell r="E470" t="str">
            <v/>
          </cell>
          <cell r="F470" t="str">
            <v/>
          </cell>
          <cell r="G470" t="str">
            <v/>
          </cell>
          <cell r="H470" t="str">
            <v/>
          </cell>
          <cell r="J470" t="str">
            <v/>
          </cell>
          <cell r="K470" t="str">
            <v/>
          </cell>
          <cell r="L470" t="str">
            <v/>
          </cell>
          <cell r="M470" t="str">
            <v/>
          </cell>
          <cell r="N470" t="str">
            <v/>
          </cell>
          <cell r="Q470" t="str">
            <v/>
          </cell>
          <cell r="R470">
            <v>1</v>
          </cell>
          <cell r="S470" t="str">
            <v/>
          </cell>
          <cell r="X470" t="str">
            <v/>
          </cell>
          <cell r="Y470" t="str">
            <v/>
          </cell>
          <cell r="Z470" t="str">
            <v/>
          </cell>
          <cell r="AB470" t="str">
            <v/>
          </cell>
          <cell r="AD470" t="str">
            <v/>
          </cell>
          <cell r="AE470" t="str">
            <v/>
          </cell>
          <cell r="AF470" t="str">
            <v/>
          </cell>
          <cell r="AG470">
            <v>0</v>
          </cell>
          <cell r="AH470" t="str">
            <v/>
          </cell>
          <cell r="AI470" t="str">
            <v/>
          </cell>
          <cell r="AJ470" t="str">
            <v/>
          </cell>
          <cell r="AK470" t="str">
            <v/>
          </cell>
          <cell r="AL470" t="str">
            <v/>
          </cell>
          <cell r="AM470" t="str">
            <v/>
          </cell>
          <cell r="AN470" t="str">
            <v/>
          </cell>
          <cell r="AO470">
            <v>3</v>
          </cell>
          <cell r="AQ470" t="str">
            <v/>
          </cell>
          <cell r="AR470" t="str">
            <v/>
          </cell>
          <cell r="AS470" t="str">
            <v/>
          </cell>
          <cell r="AU470" t="str">
            <v/>
          </cell>
          <cell r="AV470" t="str">
            <v/>
          </cell>
          <cell r="AW470" t="str">
            <v/>
          </cell>
          <cell r="AX470" t="str">
            <v/>
          </cell>
          <cell r="AY470" t="str">
            <v/>
          </cell>
          <cell r="AZ470" t="str">
            <v/>
          </cell>
          <cell r="BA470" t="str">
            <v/>
          </cell>
          <cell r="BB470" t="str">
            <v/>
          </cell>
          <cell r="BC470" t="str">
            <v/>
          </cell>
          <cell r="BD470" t="str">
            <v/>
          </cell>
          <cell r="BE470" t="str">
            <v/>
          </cell>
          <cell r="BF470" t="str">
            <v/>
          </cell>
          <cell r="BG470" t="str">
            <v/>
          </cell>
          <cell r="BH470" t="str">
            <v/>
          </cell>
          <cell r="BI470" t="str">
            <v/>
          </cell>
          <cell r="BJ470" t="str">
            <v/>
          </cell>
        </row>
        <row r="471">
          <cell r="A471" t="str">
            <v>RNV</v>
          </cell>
          <cell r="B471" t="str">
            <v>Q16</v>
          </cell>
          <cell r="C471" t="str">
            <v/>
          </cell>
          <cell r="D471" t="str">
            <v/>
          </cell>
          <cell r="E471" t="str">
            <v/>
          </cell>
          <cell r="J471" t="str">
            <v/>
          </cell>
          <cell r="K471" t="str">
            <v/>
          </cell>
          <cell r="L471" t="str">
            <v/>
          </cell>
          <cell r="M471" t="str">
            <v/>
          </cell>
          <cell r="Q471" t="str">
            <v/>
          </cell>
          <cell r="R471" t="str">
            <v/>
          </cell>
          <cell r="X471" t="str">
            <v/>
          </cell>
          <cell r="Y471" t="str">
            <v/>
          </cell>
          <cell r="Z471" t="str">
            <v/>
          </cell>
          <cell r="AB471" t="str">
            <v/>
          </cell>
          <cell r="AD471" t="str">
            <v/>
          </cell>
          <cell r="AE471" t="str">
            <v/>
          </cell>
          <cell r="AF471" t="str">
            <v/>
          </cell>
          <cell r="AG471">
            <v>0</v>
          </cell>
          <cell r="AH471" t="str">
            <v/>
          </cell>
          <cell r="AI471" t="str">
            <v/>
          </cell>
          <cell r="AJ471" t="str">
            <v/>
          </cell>
          <cell r="AK471" t="str">
            <v/>
          </cell>
          <cell r="AL471" t="str">
            <v/>
          </cell>
          <cell r="AM471" t="str">
            <v/>
          </cell>
          <cell r="AN471" t="str">
            <v/>
          </cell>
          <cell r="AO471" t="str">
            <v/>
          </cell>
          <cell r="AS471" t="str">
            <v/>
          </cell>
          <cell r="BB471" t="str">
            <v/>
          </cell>
          <cell r="BC471" t="str">
            <v/>
          </cell>
          <cell r="BD471" t="str">
            <v/>
          </cell>
          <cell r="BE471" t="str">
            <v/>
          </cell>
          <cell r="BF471" t="str">
            <v/>
          </cell>
          <cell r="BG471" t="str">
            <v/>
          </cell>
          <cell r="BH471" t="str">
            <v/>
          </cell>
          <cell r="BI471" t="str">
            <v/>
          </cell>
          <cell r="BJ471" t="str">
            <v/>
          </cell>
        </row>
        <row r="472">
          <cell r="A472" t="str">
            <v>RNY</v>
          </cell>
          <cell r="B472" t="str">
            <v>Q16</v>
          </cell>
          <cell r="C472">
            <v>0.83245614035087723</v>
          </cell>
          <cell r="D472">
            <v>0.8777246145667198</v>
          </cell>
          <cell r="E472" t="str">
            <v/>
          </cell>
          <cell r="F472" t="str">
            <v/>
          </cell>
          <cell r="G472" t="str">
            <v/>
          </cell>
          <cell r="H472" t="str">
            <v/>
          </cell>
          <cell r="J472" t="str">
            <v/>
          </cell>
          <cell r="K472" t="str">
            <v/>
          </cell>
          <cell r="L472" t="str">
            <v/>
          </cell>
          <cell r="M472" t="str">
            <v/>
          </cell>
          <cell r="N472" t="str">
            <v/>
          </cell>
          <cell r="Q472" t="str">
            <v/>
          </cell>
          <cell r="R472" t="str">
            <v/>
          </cell>
          <cell r="S472" t="str">
            <v/>
          </cell>
          <cell r="X472" t="str">
            <v/>
          </cell>
          <cell r="Y472" t="str">
            <v/>
          </cell>
          <cell r="Z472" t="str">
            <v/>
          </cell>
          <cell r="AB472" t="str">
            <v/>
          </cell>
          <cell r="AD472" t="str">
            <v/>
          </cell>
          <cell r="AE472" t="str">
            <v/>
          </cell>
          <cell r="AF472" t="str">
            <v/>
          </cell>
          <cell r="AG472" t="str">
            <v/>
          </cell>
          <cell r="AH472" t="str">
            <v/>
          </cell>
          <cell r="AI472" t="str">
            <v/>
          </cell>
          <cell r="AJ472" t="str">
            <v/>
          </cell>
          <cell r="AK472" t="str">
            <v/>
          </cell>
          <cell r="AL472" t="str">
            <v/>
          </cell>
          <cell r="AM472" t="str">
            <v/>
          </cell>
          <cell r="AN472" t="str">
            <v/>
          </cell>
          <cell r="AO472">
            <v>281</v>
          </cell>
          <cell r="AQ472" t="str">
            <v/>
          </cell>
          <cell r="AR472" t="str">
            <v/>
          </cell>
          <cell r="AS472" t="str">
            <v/>
          </cell>
          <cell r="AU472" t="str">
            <v/>
          </cell>
          <cell r="AV472" t="str">
            <v/>
          </cell>
          <cell r="AW472" t="str">
            <v/>
          </cell>
          <cell r="AX472" t="str">
            <v/>
          </cell>
          <cell r="AY472" t="str">
            <v/>
          </cell>
          <cell r="AZ472" t="str">
            <v/>
          </cell>
          <cell r="BA472" t="str">
            <v/>
          </cell>
          <cell r="BB472" t="str">
            <v/>
          </cell>
          <cell r="BC472" t="str">
            <v/>
          </cell>
          <cell r="BD472" t="str">
            <v/>
          </cell>
          <cell r="BE472" t="str">
            <v/>
          </cell>
          <cell r="BF472" t="str">
            <v/>
          </cell>
          <cell r="BG472" t="str">
            <v/>
          </cell>
          <cell r="BH472" t="str">
            <v/>
          </cell>
          <cell r="BI472" t="str">
            <v/>
          </cell>
          <cell r="BJ472" t="str">
            <v/>
          </cell>
        </row>
        <row r="473">
          <cell r="A473" t="str">
            <v>RNZ</v>
          </cell>
          <cell r="B473" t="str">
            <v>Q20</v>
          </cell>
          <cell r="C473" t="str">
            <v/>
          </cell>
          <cell r="D473" t="str">
            <v/>
          </cell>
          <cell r="E473">
            <v>0.97905181918412354</v>
          </cell>
          <cell r="F473" t="str">
            <v/>
          </cell>
          <cell r="G473" t="str">
            <v/>
          </cell>
          <cell r="H473" t="str">
            <v/>
          </cell>
          <cell r="J473" t="str">
            <v/>
          </cell>
          <cell r="K473" t="str">
            <v/>
          </cell>
          <cell r="L473" t="str">
            <v/>
          </cell>
          <cell r="M473">
            <v>4265</v>
          </cell>
          <cell r="N473" t="str">
            <v/>
          </cell>
          <cell r="Q473">
            <v>1</v>
          </cell>
          <cell r="R473">
            <v>1</v>
          </cell>
          <cell r="S473" t="str">
            <v/>
          </cell>
          <cell r="X473" t="str">
            <v/>
          </cell>
          <cell r="Y473" t="str">
            <v/>
          </cell>
          <cell r="Z473" t="str">
            <v/>
          </cell>
          <cell r="AB473">
            <v>0.95541401273885351</v>
          </cell>
          <cell r="AD473" t="str">
            <v/>
          </cell>
          <cell r="AE473" t="str">
            <v/>
          </cell>
          <cell r="AF473" t="str">
            <v/>
          </cell>
          <cell r="AG473">
            <v>5.9221658206429779E-2</v>
          </cell>
          <cell r="AH473">
            <v>2</v>
          </cell>
          <cell r="AI473" t="str">
            <v/>
          </cell>
          <cell r="AJ473" t="str">
            <v/>
          </cell>
          <cell r="AK473" t="str">
            <v/>
          </cell>
          <cell r="AL473" t="str">
            <v/>
          </cell>
          <cell r="AM473" t="str">
            <v/>
          </cell>
          <cell r="AN473" t="str">
            <v/>
          </cell>
          <cell r="AO473">
            <v>0</v>
          </cell>
          <cell r="AQ473" t="str">
            <v/>
          </cell>
          <cell r="AR473" t="str">
            <v/>
          </cell>
          <cell r="AS473" t="str">
            <v/>
          </cell>
          <cell r="AU473" t="str">
            <v/>
          </cell>
          <cell r="AV473" t="str">
            <v/>
          </cell>
          <cell r="AW473" t="str">
            <v/>
          </cell>
          <cell r="AX473" t="str">
            <v/>
          </cell>
          <cell r="AY473" t="str">
            <v/>
          </cell>
          <cell r="AZ473" t="str">
            <v/>
          </cell>
          <cell r="BA473" t="str">
            <v/>
          </cell>
          <cell r="BB473" t="str">
            <v/>
          </cell>
          <cell r="BC473" t="str">
            <v/>
          </cell>
          <cell r="BD473" t="str">
            <v/>
          </cell>
          <cell r="BE473" t="str">
            <v/>
          </cell>
          <cell r="BF473" t="str">
            <v/>
          </cell>
          <cell r="BG473" t="str">
            <v/>
          </cell>
          <cell r="BH473" t="str">
            <v/>
          </cell>
          <cell r="BI473" t="str">
            <v/>
          </cell>
          <cell r="BJ473" t="str">
            <v/>
          </cell>
        </row>
        <row r="474">
          <cell r="A474" t="str">
            <v>RP1</v>
          </cell>
          <cell r="B474" t="str">
            <v>Q25</v>
          </cell>
          <cell r="C474" t="str">
            <v/>
          </cell>
          <cell r="D474" t="str">
            <v/>
          </cell>
          <cell r="E474" t="str">
            <v/>
          </cell>
          <cell r="F474" t="str">
            <v/>
          </cell>
          <cell r="G474" t="str">
            <v/>
          </cell>
          <cell r="H474" t="str">
            <v/>
          </cell>
          <cell r="J474" t="str">
            <v/>
          </cell>
          <cell r="K474" t="str">
            <v/>
          </cell>
          <cell r="L474" t="str">
            <v/>
          </cell>
          <cell r="M474" t="str">
            <v/>
          </cell>
          <cell r="N474" t="str">
            <v/>
          </cell>
          <cell r="Q474" t="str">
            <v/>
          </cell>
          <cell r="R474" t="str">
            <v/>
          </cell>
          <cell r="S474" t="str">
            <v/>
          </cell>
          <cell r="X474" t="str">
            <v/>
          </cell>
          <cell r="Y474" t="str">
            <v/>
          </cell>
          <cell r="Z474" t="str">
            <v/>
          </cell>
          <cell r="AB474" t="str">
            <v/>
          </cell>
          <cell r="AD474" t="str">
            <v/>
          </cell>
          <cell r="AE474" t="str">
            <v/>
          </cell>
          <cell r="AF474" t="str">
            <v/>
          </cell>
          <cell r="AG474">
            <v>0</v>
          </cell>
          <cell r="AH474" t="str">
            <v/>
          </cell>
          <cell r="AI474" t="str">
            <v/>
          </cell>
          <cell r="AJ474" t="str">
            <v/>
          </cell>
          <cell r="AK474" t="str">
            <v/>
          </cell>
          <cell r="AL474" t="str">
            <v/>
          </cell>
          <cell r="AM474" t="str">
            <v/>
          </cell>
          <cell r="AN474" t="str">
            <v/>
          </cell>
          <cell r="AO474">
            <v>28</v>
          </cell>
          <cell r="AQ474" t="str">
            <v/>
          </cell>
          <cell r="AR474" t="str">
            <v/>
          </cell>
          <cell r="AS474" t="str">
            <v/>
          </cell>
          <cell r="AU474" t="str">
            <v/>
          </cell>
          <cell r="AV474" t="str">
            <v/>
          </cell>
          <cell r="AW474" t="str">
            <v/>
          </cell>
          <cell r="AX474" t="str">
            <v/>
          </cell>
          <cell r="AY474" t="str">
            <v/>
          </cell>
          <cell r="AZ474" t="str">
            <v/>
          </cell>
          <cell r="BA474" t="str">
            <v/>
          </cell>
          <cell r="BB474" t="str">
            <v/>
          </cell>
          <cell r="BC474" t="str">
            <v/>
          </cell>
          <cell r="BD474" t="str">
            <v/>
          </cell>
          <cell r="BE474" t="str">
            <v/>
          </cell>
          <cell r="BF474" t="str">
            <v/>
          </cell>
          <cell r="BG474" t="str">
            <v/>
          </cell>
          <cell r="BH474" t="str">
            <v/>
          </cell>
          <cell r="BI474" t="str">
            <v/>
          </cell>
          <cell r="BJ474" t="str">
            <v/>
          </cell>
        </row>
        <row r="475">
          <cell r="A475" t="str">
            <v>RP4</v>
          </cell>
          <cell r="B475" t="str">
            <v>Q05</v>
          </cell>
          <cell r="C475" t="str">
            <v/>
          </cell>
          <cell r="D475" t="str">
            <v/>
          </cell>
          <cell r="E475" t="str">
            <v/>
          </cell>
          <cell r="F475" t="str">
            <v/>
          </cell>
          <cell r="G475" t="str">
            <v/>
          </cell>
          <cell r="H475" t="str">
            <v/>
          </cell>
          <cell r="J475" t="str">
            <v/>
          </cell>
          <cell r="K475" t="str">
            <v/>
          </cell>
          <cell r="L475" t="str">
            <v/>
          </cell>
          <cell r="M475">
            <v>2002</v>
          </cell>
          <cell r="N475" t="str">
            <v/>
          </cell>
          <cell r="Q475">
            <v>1</v>
          </cell>
          <cell r="R475">
            <v>1</v>
          </cell>
          <cell r="S475" t="str">
            <v/>
          </cell>
          <cell r="X475" t="str">
            <v/>
          </cell>
          <cell r="Y475" t="str">
            <v/>
          </cell>
          <cell r="Z475" t="str">
            <v/>
          </cell>
          <cell r="AB475" t="str">
            <v/>
          </cell>
          <cell r="AD475" t="str">
            <v/>
          </cell>
          <cell r="AE475" t="str">
            <v/>
          </cell>
          <cell r="AF475" t="str">
            <v/>
          </cell>
          <cell r="AG475">
            <v>0</v>
          </cell>
          <cell r="AH475">
            <v>0.66666666666666663</v>
          </cell>
          <cell r="AI475" t="str">
            <v/>
          </cell>
          <cell r="AJ475" t="str">
            <v/>
          </cell>
          <cell r="AK475" t="str">
            <v/>
          </cell>
          <cell r="AL475" t="str">
            <v/>
          </cell>
          <cell r="AM475" t="str">
            <v/>
          </cell>
          <cell r="AN475" t="str">
            <v/>
          </cell>
          <cell r="AO475">
            <v>1983</v>
          </cell>
          <cell r="AQ475" t="str">
            <v/>
          </cell>
          <cell r="AR475" t="str">
            <v/>
          </cell>
          <cell r="AS475" t="str">
            <v/>
          </cell>
          <cell r="AU475" t="str">
            <v/>
          </cell>
          <cell r="AV475" t="str">
            <v/>
          </cell>
          <cell r="AW475" t="str">
            <v/>
          </cell>
          <cell r="AX475" t="str">
            <v/>
          </cell>
          <cell r="AY475" t="str">
            <v/>
          </cell>
          <cell r="AZ475" t="str">
            <v/>
          </cell>
          <cell r="BA475" t="str">
            <v/>
          </cell>
          <cell r="BB475" t="str">
            <v/>
          </cell>
          <cell r="BC475" t="str">
            <v/>
          </cell>
          <cell r="BD475" t="str">
            <v/>
          </cell>
          <cell r="BE475" t="str">
            <v/>
          </cell>
          <cell r="BF475" t="str">
            <v/>
          </cell>
          <cell r="BG475" t="str">
            <v/>
          </cell>
          <cell r="BH475" t="str">
            <v/>
          </cell>
          <cell r="BI475" t="str">
            <v/>
          </cell>
          <cell r="BJ475" t="str">
            <v/>
          </cell>
        </row>
        <row r="476">
          <cell r="A476" t="str">
            <v>RP5</v>
          </cell>
          <cell r="B476" t="str">
            <v>Q23</v>
          </cell>
          <cell r="C476" t="str">
            <v/>
          </cell>
          <cell r="D476" t="str">
            <v/>
          </cell>
          <cell r="E476">
            <v>0.9824734982332155</v>
          </cell>
          <cell r="F476" t="str">
            <v/>
          </cell>
          <cell r="G476" t="str">
            <v/>
          </cell>
          <cell r="H476" t="str">
            <v/>
          </cell>
          <cell r="J476" t="str">
            <v/>
          </cell>
          <cell r="K476" t="str">
            <v/>
          </cell>
          <cell r="L476" t="str">
            <v/>
          </cell>
          <cell r="M476">
            <v>4830</v>
          </cell>
          <cell r="N476" t="str">
            <v/>
          </cell>
          <cell r="Q476">
            <v>0.95176848874598075</v>
          </cell>
          <cell r="R476">
            <v>1</v>
          </cell>
          <cell r="S476" t="str">
            <v/>
          </cell>
          <cell r="X476" t="str">
            <v/>
          </cell>
          <cell r="Y476" t="str">
            <v/>
          </cell>
          <cell r="Z476" t="str">
            <v/>
          </cell>
          <cell r="AB476">
            <v>0.97021276595744677</v>
          </cell>
          <cell r="AD476" t="str">
            <v/>
          </cell>
          <cell r="AE476" t="str">
            <v/>
          </cell>
          <cell r="AF476" t="str">
            <v/>
          </cell>
          <cell r="AG476">
            <v>1.9153225806451613E-2</v>
          </cell>
          <cell r="AH476">
            <v>2.3333333333333335</v>
          </cell>
          <cell r="AI476" t="str">
            <v/>
          </cell>
          <cell r="AJ476" t="str">
            <v/>
          </cell>
          <cell r="AK476" t="str">
            <v/>
          </cell>
          <cell r="AL476" t="str">
            <v/>
          </cell>
          <cell r="AM476" t="str">
            <v/>
          </cell>
          <cell r="AN476" t="str">
            <v/>
          </cell>
          <cell r="AO476" t="str">
            <v/>
          </cell>
          <cell r="AQ476" t="str">
            <v/>
          </cell>
          <cell r="AR476" t="str">
            <v/>
          </cell>
          <cell r="AS476" t="str">
            <v/>
          </cell>
          <cell r="AU476" t="str">
            <v/>
          </cell>
          <cell r="AV476" t="str">
            <v/>
          </cell>
          <cell r="AW476" t="str">
            <v/>
          </cell>
          <cell r="AX476" t="str">
            <v/>
          </cell>
          <cell r="AY476" t="str">
            <v/>
          </cell>
          <cell r="AZ476" t="str">
            <v/>
          </cell>
          <cell r="BA476" t="str">
            <v/>
          </cell>
          <cell r="BB476" t="str">
            <v/>
          </cell>
          <cell r="BC476" t="str">
            <v/>
          </cell>
          <cell r="BD476" t="str">
            <v/>
          </cell>
          <cell r="BE476" t="str">
            <v/>
          </cell>
          <cell r="BF476" t="str">
            <v/>
          </cell>
          <cell r="BG476" t="str">
            <v/>
          </cell>
          <cell r="BH476" t="str">
            <v/>
          </cell>
          <cell r="BI476" t="str">
            <v/>
          </cell>
          <cell r="BJ476" t="str">
            <v/>
          </cell>
        </row>
        <row r="477">
          <cell r="A477" t="str">
            <v>RP6</v>
          </cell>
          <cell r="B477" t="str">
            <v>Q05</v>
          </cell>
          <cell r="C477" t="str">
            <v/>
          </cell>
          <cell r="D477" t="str">
            <v/>
          </cell>
          <cell r="E477">
            <v>0.99855312112443162</v>
          </cell>
          <cell r="F477" t="str">
            <v/>
          </cell>
          <cell r="G477" t="str">
            <v/>
          </cell>
          <cell r="H477" t="str">
            <v/>
          </cell>
          <cell r="J477" t="str">
            <v/>
          </cell>
          <cell r="K477" t="str">
            <v/>
          </cell>
          <cell r="L477" t="str">
            <v/>
          </cell>
          <cell r="M477">
            <v>3266</v>
          </cell>
          <cell r="N477" t="str">
            <v/>
          </cell>
          <cell r="Q477">
            <v>1</v>
          </cell>
          <cell r="R477">
            <v>1</v>
          </cell>
          <cell r="S477" t="str">
            <v/>
          </cell>
          <cell r="X477" t="str">
            <v/>
          </cell>
          <cell r="Y477" t="str">
            <v/>
          </cell>
          <cell r="Z477" t="str">
            <v/>
          </cell>
          <cell r="AB477" t="str">
            <v/>
          </cell>
          <cell r="AD477" t="str">
            <v/>
          </cell>
          <cell r="AE477" t="str">
            <v/>
          </cell>
          <cell r="AF477" t="str">
            <v/>
          </cell>
          <cell r="AG477">
            <v>0</v>
          </cell>
          <cell r="AH477">
            <v>0</v>
          </cell>
          <cell r="AI477" t="str">
            <v/>
          </cell>
          <cell r="AJ477" t="str">
            <v/>
          </cell>
          <cell r="AK477" t="str">
            <v/>
          </cell>
          <cell r="AL477" t="str">
            <v/>
          </cell>
          <cell r="AM477" t="str">
            <v/>
          </cell>
          <cell r="AN477" t="str">
            <v/>
          </cell>
          <cell r="AO477" t="str">
            <v/>
          </cell>
          <cell r="AQ477" t="str">
            <v/>
          </cell>
          <cell r="AR477" t="str">
            <v/>
          </cell>
          <cell r="AS477" t="str">
            <v/>
          </cell>
          <cell r="AU477" t="str">
            <v/>
          </cell>
          <cell r="AV477" t="str">
            <v/>
          </cell>
          <cell r="AW477" t="str">
            <v/>
          </cell>
          <cell r="AX477" t="str">
            <v/>
          </cell>
          <cell r="AY477" t="str">
            <v/>
          </cell>
          <cell r="AZ477" t="str">
            <v/>
          </cell>
          <cell r="BA477" t="str">
            <v/>
          </cell>
          <cell r="BB477" t="str">
            <v/>
          </cell>
          <cell r="BC477" t="str">
            <v/>
          </cell>
          <cell r="BD477" t="str">
            <v/>
          </cell>
          <cell r="BE477" t="str">
            <v/>
          </cell>
          <cell r="BF477" t="str">
            <v/>
          </cell>
          <cell r="BG477" t="str">
            <v/>
          </cell>
          <cell r="BH477" t="str">
            <v/>
          </cell>
          <cell r="BI477" t="str">
            <v/>
          </cell>
          <cell r="BJ477" t="str">
            <v/>
          </cell>
        </row>
        <row r="478">
          <cell r="A478" t="str">
            <v>RP7</v>
          </cell>
          <cell r="B478" t="str">
            <v>Q24</v>
          </cell>
          <cell r="C478" t="str">
            <v/>
          </cell>
          <cell r="D478" t="str">
            <v/>
          </cell>
          <cell r="E478" t="str">
            <v/>
          </cell>
          <cell r="F478" t="str">
            <v/>
          </cell>
          <cell r="G478" t="str">
            <v/>
          </cell>
          <cell r="H478" t="str">
            <v/>
          </cell>
          <cell r="J478" t="str">
            <v/>
          </cell>
          <cell r="K478" t="str">
            <v/>
          </cell>
          <cell r="L478" t="str">
            <v/>
          </cell>
          <cell r="M478" t="str">
            <v/>
          </cell>
          <cell r="N478" t="str">
            <v/>
          </cell>
          <cell r="Q478" t="str">
            <v/>
          </cell>
          <cell r="R478">
            <v>1</v>
          </cell>
          <cell r="S478" t="str">
            <v/>
          </cell>
          <cell r="X478" t="str">
            <v/>
          </cell>
          <cell r="Y478" t="str">
            <v/>
          </cell>
          <cell r="Z478" t="str">
            <v/>
          </cell>
          <cell r="AB478" t="str">
            <v/>
          </cell>
          <cell r="AD478" t="str">
            <v/>
          </cell>
          <cell r="AE478" t="str">
            <v/>
          </cell>
          <cell r="AF478" t="str">
            <v/>
          </cell>
          <cell r="AG478">
            <v>0</v>
          </cell>
          <cell r="AH478" t="str">
            <v/>
          </cell>
          <cell r="AI478" t="str">
            <v/>
          </cell>
          <cell r="AJ478" t="str">
            <v/>
          </cell>
          <cell r="AK478" t="str">
            <v/>
          </cell>
          <cell r="AL478" t="str">
            <v/>
          </cell>
          <cell r="AM478" t="str">
            <v/>
          </cell>
          <cell r="AN478" t="str">
            <v/>
          </cell>
          <cell r="AO478">
            <v>3</v>
          </cell>
          <cell r="AQ478" t="str">
            <v/>
          </cell>
          <cell r="AR478" t="str">
            <v/>
          </cell>
          <cell r="AS478" t="str">
            <v/>
          </cell>
          <cell r="AU478" t="str">
            <v/>
          </cell>
          <cell r="AV478" t="str">
            <v/>
          </cell>
          <cell r="AW478" t="str">
            <v/>
          </cell>
          <cell r="AX478" t="str">
            <v/>
          </cell>
          <cell r="AY478" t="str">
            <v/>
          </cell>
          <cell r="AZ478" t="str">
            <v/>
          </cell>
          <cell r="BA478" t="str">
            <v/>
          </cell>
          <cell r="BB478" t="str">
            <v/>
          </cell>
          <cell r="BC478" t="str">
            <v/>
          </cell>
          <cell r="BD478" t="str">
            <v/>
          </cell>
          <cell r="BE478" t="str">
            <v/>
          </cell>
          <cell r="BF478" t="str">
            <v/>
          </cell>
          <cell r="BG478" t="str">
            <v/>
          </cell>
          <cell r="BH478" t="str">
            <v/>
          </cell>
          <cell r="BI478" t="str">
            <v/>
          </cell>
          <cell r="BJ478" t="str">
            <v/>
          </cell>
        </row>
        <row r="479">
          <cell r="A479" t="str">
            <v>RPA</v>
          </cell>
          <cell r="B479" t="str">
            <v>Q18</v>
          </cell>
          <cell r="C479" t="str">
            <v/>
          </cell>
          <cell r="D479" t="str">
            <v/>
          </cell>
          <cell r="E479">
            <v>0.98544002061589997</v>
          </cell>
          <cell r="F479" t="str">
            <v/>
          </cell>
          <cell r="G479" t="str">
            <v/>
          </cell>
          <cell r="H479" t="str">
            <v/>
          </cell>
          <cell r="J479" t="str">
            <v/>
          </cell>
          <cell r="K479" t="str">
            <v/>
          </cell>
          <cell r="L479" t="str">
            <v/>
          </cell>
          <cell r="M479">
            <v>4868</v>
          </cell>
          <cell r="N479" t="str">
            <v/>
          </cell>
          <cell r="Q479">
            <v>1</v>
          </cell>
          <cell r="R479">
            <v>1</v>
          </cell>
          <cell r="S479" t="str">
            <v/>
          </cell>
          <cell r="X479" t="str">
            <v/>
          </cell>
          <cell r="Y479" t="str">
            <v/>
          </cell>
          <cell r="Z479" t="str">
            <v/>
          </cell>
          <cell r="AB479">
            <v>1</v>
          </cell>
          <cell r="AD479" t="str">
            <v/>
          </cell>
          <cell r="AE479" t="str">
            <v/>
          </cell>
          <cell r="AF479" t="str">
            <v/>
          </cell>
          <cell r="AG479">
            <v>3.5974130962004851E-2</v>
          </cell>
          <cell r="AH479">
            <v>3</v>
          </cell>
          <cell r="AI479" t="str">
            <v/>
          </cell>
          <cell r="AJ479" t="str">
            <v/>
          </cell>
          <cell r="AK479" t="str">
            <v/>
          </cell>
          <cell r="AL479" t="str">
            <v/>
          </cell>
          <cell r="AM479" t="str">
            <v/>
          </cell>
          <cell r="AN479" t="str">
            <v/>
          </cell>
          <cell r="AO479">
            <v>210</v>
          </cell>
          <cell r="AQ479" t="str">
            <v/>
          </cell>
          <cell r="AR479" t="str">
            <v/>
          </cell>
          <cell r="AS479" t="str">
            <v/>
          </cell>
          <cell r="AU479" t="str">
            <v/>
          </cell>
          <cell r="AV479" t="str">
            <v/>
          </cell>
          <cell r="AW479" t="str">
            <v/>
          </cell>
          <cell r="AX479" t="str">
            <v/>
          </cell>
          <cell r="AY479" t="str">
            <v/>
          </cell>
          <cell r="AZ479" t="str">
            <v/>
          </cell>
          <cell r="BA479" t="str">
            <v/>
          </cell>
          <cell r="BB479" t="str">
            <v/>
          </cell>
          <cell r="BC479" t="str">
            <v/>
          </cell>
          <cell r="BD479" t="str">
            <v/>
          </cell>
          <cell r="BE479" t="str">
            <v/>
          </cell>
          <cell r="BF479" t="str">
            <v/>
          </cell>
          <cell r="BG479" t="str">
            <v/>
          </cell>
          <cell r="BH479" t="str">
            <v/>
          </cell>
          <cell r="BI479" t="str">
            <v/>
          </cell>
          <cell r="BJ479" t="str">
            <v/>
          </cell>
        </row>
        <row r="480">
          <cell r="A480" t="str">
            <v>RPC</v>
          </cell>
          <cell r="B480" t="str">
            <v>Q19</v>
          </cell>
          <cell r="C480" t="str">
            <v/>
          </cell>
          <cell r="D480" t="str">
            <v/>
          </cell>
          <cell r="E480">
            <v>0.99810246679316883</v>
          </cell>
          <cell r="F480" t="str">
            <v/>
          </cell>
          <cell r="G480" t="str">
            <v/>
          </cell>
          <cell r="H480" t="str">
            <v/>
          </cell>
          <cell r="J480" t="str">
            <v/>
          </cell>
          <cell r="K480" t="str">
            <v/>
          </cell>
          <cell r="L480" t="str">
            <v/>
          </cell>
          <cell r="M480">
            <v>2247</v>
          </cell>
          <cell r="N480" t="str">
            <v/>
          </cell>
          <cell r="Q480">
            <v>1</v>
          </cell>
          <cell r="R480">
            <v>1</v>
          </cell>
          <cell r="S480" t="str">
            <v/>
          </cell>
          <cell r="X480" t="str">
            <v/>
          </cell>
          <cell r="Y480" t="str">
            <v/>
          </cell>
          <cell r="Z480" t="str">
            <v/>
          </cell>
          <cell r="AB480" t="str">
            <v/>
          </cell>
          <cell r="AD480" t="str">
            <v/>
          </cell>
          <cell r="AE480" t="str">
            <v/>
          </cell>
          <cell r="AF480" t="str">
            <v/>
          </cell>
          <cell r="AG480">
            <v>0</v>
          </cell>
          <cell r="AH480">
            <v>0.66666666666666663</v>
          </cell>
          <cell r="AI480" t="str">
            <v/>
          </cell>
          <cell r="AJ480" t="str">
            <v/>
          </cell>
          <cell r="AK480" t="str">
            <v/>
          </cell>
          <cell r="AL480" t="str">
            <v/>
          </cell>
          <cell r="AM480" t="str">
            <v/>
          </cell>
          <cell r="AN480" t="str">
            <v/>
          </cell>
          <cell r="AO480" t="str">
            <v/>
          </cell>
          <cell r="AQ480" t="str">
            <v/>
          </cell>
          <cell r="AR480" t="str">
            <v/>
          </cell>
          <cell r="AS480" t="str">
            <v/>
          </cell>
          <cell r="AU480" t="str">
            <v/>
          </cell>
          <cell r="AV480" t="str">
            <v/>
          </cell>
          <cell r="AW480" t="str">
            <v/>
          </cell>
          <cell r="AX480" t="str">
            <v/>
          </cell>
          <cell r="AY480" t="str">
            <v/>
          </cell>
          <cell r="AZ480" t="str">
            <v/>
          </cell>
          <cell r="BA480" t="str">
            <v/>
          </cell>
          <cell r="BB480" t="str">
            <v/>
          </cell>
          <cell r="BC480" t="str">
            <v/>
          </cell>
          <cell r="BD480" t="str">
            <v/>
          </cell>
          <cell r="BE480" t="str">
            <v/>
          </cell>
          <cell r="BF480" t="str">
            <v/>
          </cell>
          <cell r="BG480" t="str">
            <v/>
          </cell>
          <cell r="BH480" t="str">
            <v/>
          </cell>
          <cell r="BI480" t="str">
            <v/>
          </cell>
          <cell r="BJ480" t="str">
            <v/>
          </cell>
        </row>
        <row r="481">
          <cell r="A481" t="str">
            <v>RPG</v>
          </cell>
          <cell r="B481" t="str">
            <v>Q07</v>
          </cell>
          <cell r="C481" t="str">
            <v/>
          </cell>
          <cell r="D481" t="str">
            <v/>
          </cell>
          <cell r="E481" t="str">
            <v/>
          </cell>
          <cell r="F481" t="str">
            <v/>
          </cell>
          <cell r="G481" t="str">
            <v/>
          </cell>
          <cell r="H481" t="str">
            <v/>
          </cell>
          <cell r="J481" t="str">
            <v/>
          </cell>
          <cell r="K481" t="str">
            <v/>
          </cell>
          <cell r="L481" t="str">
            <v/>
          </cell>
          <cell r="M481" t="str">
            <v/>
          </cell>
          <cell r="N481" t="str">
            <v/>
          </cell>
          <cell r="Q481" t="str">
            <v/>
          </cell>
          <cell r="R481">
            <v>1</v>
          </cell>
          <cell r="S481" t="str">
            <v/>
          </cell>
          <cell r="X481" t="str">
            <v/>
          </cell>
          <cell r="Y481" t="str">
            <v/>
          </cell>
          <cell r="Z481" t="str">
            <v/>
          </cell>
          <cell r="AB481" t="str">
            <v/>
          </cell>
          <cell r="AD481" t="str">
            <v/>
          </cell>
          <cell r="AE481" t="str">
            <v/>
          </cell>
          <cell r="AF481" t="str">
            <v/>
          </cell>
          <cell r="AG481">
            <v>0</v>
          </cell>
          <cell r="AH481" t="str">
            <v/>
          </cell>
          <cell r="AI481" t="str">
            <v/>
          </cell>
          <cell r="AJ481" t="str">
            <v/>
          </cell>
          <cell r="AK481" t="str">
            <v/>
          </cell>
          <cell r="AL481" t="str">
            <v/>
          </cell>
          <cell r="AM481" t="str">
            <v/>
          </cell>
          <cell r="AN481" t="str">
            <v/>
          </cell>
          <cell r="AO481">
            <v>1500</v>
          </cell>
          <cell r="AQ481" t="str">
            <v/>
          </cell>
          <cell r="AR481" t="str">
            <v/>
          </cell>
          <cell r="AS481" t="str">
            <v/>
          </cell>
          <cell r="AU481" t="str">
            <v/>
          </cell>
          <cell r="AV481" t="str">
            <v/>
          </cell>
          <cell r="AW481" t="str">
            <v/>
          </cell>
          <cell r="AX481" t="str">
            <v/>
          </cell>
          <cell r="AY481" t="str">
            <v/>
          </cell>
          <cell r="AZ481" t="str">
            <v/>
          </cell>
          <cell r="BA481" t="str">
            <v/>
          </cell>
          <cell r="BB481" t="str">
            <v/>
          </cell>
          <cell r="BC481" t="str">
            <v/>
          </cell>
          <cell r="BD481" t="str">
            <v/>
          </cell>
          <cell r="BE481" t="str">
            <v/>
          </cell>
          <cell r="BF481" t="str">
            <v/>
          </cell>
          <cell r="BG481" t="str">
            <v/>
          </cell>
          <cell r="BH481" t="str">
            <v/>
          </cell>
          <cell r="BI481" t="str">
            <v/>
          </cell>
          <cell r="BJ481" t="str">
            <v/>
          </cell>
        </row>
        <row r="482">
          <cell r="A482" t="str">
            <v>RPH</v>
          </cell>
          <cell r="B482" t="str">
            <v>Q18</v>
          </cell>
          <cell r="C482">
            <v>0.75924214417744917</v>
          </cell>
          <cell r="D482">
            <v>0.93410966981132071</v>
          </cell>
          <cell r="E482" t="str">
            <v/>
          </cell>
          <cell r="F482" t="str">
            <v/>
          </cell>
          <cell r="G482" t="str">
            <v/>
          </cell>
          <cell r="H482" t="str">
            <v/>
          </cell>
          <cell r="J482" t="str">
            <v/>
          </cell>
          <cell r="K482" t="str">
            <v/>
          </cell>
          <cell r="L482" t="str">
            <v/>
          </cell>
          <cell r="M482" t="str">
            <v/>
          </cell>
          <cell r="N482" t="str">
            <v/>
          </cell>
          <cell r="Q482" t="str">
            <v/>
          </cell>
          <cell r="R482" t="str">
            <v/>
          </cell>
          <cell r="S482" t="str">
            <v/>
          </cell>
          <cell r="X482" t="str">
            <v/>
          </cell>
          <cell r="Y482" t="str">
            <v/>
          </cell>
          <cell r="Z482" t="str">
            <v/>
          </cell>
          <cell r="AB482" t="str">
            <v/>
          </cell>
          <cell r="AD482" t="str">
            <v/>
          </cell>
          <cell r="AE482" t="str">
            <v/>
          </cell>
          <cell r="AF482" t="str">
            <v/>
          </cell>
          <cell r="AG482" t="str">
            <v/>
          </cell>
          <cell r="AH482" t="str">
            <v/>
          </cell>
          <cell r="AI482" t="str">
            <v/>
          </cell>
          <cell r="AJ482" t="str">
            <v/>
          </cell>
          <cell r="AK482" t="str">
            <v/>
          </cell>
          <cell r="AL482" t="str">
            <v/>
          </cell>
          <cell r="AM482" t="str">
            <v/>
          </cell>
          <cell r="AN482" t="str">
            <v/>
          </cell>
          <cell r="AO482">
            <v>444</v>
          </cell>
          <cell r="AQ482" t="str">
            <v/>
          </cell>
          <cell r="AR482" t="str">
            <v/>
          </cell>
          <cell r="AS482" t="str">
            <v/>
          </cell>
          <cell r="AU482" t="str">
            <v/>
          </cell>
          <cell r="AV482" t="str">
            <v/>
          </cell>
          <cell r="AW482" t="str">
            <v/>
          </cell>
          <cell r="AX482" t="str">
            <v/>
          </cell>
          <cell r="AY482" t="str">
            <v/>
          </cell>
          <cell r="AZ482" t="str">
            <v/>
          </cell>
          <cell r="BA482" t="str">
            <v/>
          </cell>
          <cell r="BB482" t="str">
            <v/>
          </cell>
          <cell r="BC482" t="str">
            <v/>
          </cell>
          <cell r="BD482" t="str">
            <v/>
          </cell>
          <cell r="BE482" t="str">
            <v/>
          </cell>
          <cell r="BF482" t="str">
            <v/>
          </cell>
          <cell r="BG482" t="str">
            <v/>
          </cell>
          <cell r="BH482" t="str">
            <v/>
          </cell>
          <cell r="BI482" t="str">
            <v/>
          </cell>
          <cell r="BJ482" t="str">
            <v/>
          </cell>
        </row>
        <row r="483">
          <cell r="A483" t="str">
            <v>RPL</v>
          </cell>
          <cell r="B483" t="str">
            <v>Q19</v>
          </cell>
          <cell r="C483" t="str">
            <v/>
          </cell>
          <cell r="D483" t="str">
            <v/>
          </cell>
          <cell r="E483">
            <v>0.97796286656255427</v>
          </cell>
          <cell r="F483" t="str">
            <v/>
          </cell>
          <cell r="G483" t="str">
            <v/>
          </cell>
          <cell r="H483" t="str">
            <v/>
          </cell>
          <cell r="J483" t="str">
            <v/>
          </cell>
          <cell r="K483" t="str">
            <v/>
          </cell>
          <cell r="L483" t="str">
            <v/>
          </cell>
          <cell r="M483">
            <v>3746</v>
          </cell>
          <cell r="N483" t="str">
            <v/>
          </cell>
          <cell r="Q483">
            <v>1</v>
          </cell>
          <cell r="R483">
            <v>1</v>
          </cell>
          <cell r="S483" t="str">
            <v/>
          </cell>
          <cell r="X483" t="str">
            <v/>
          </cell>
          <cell r="Y483" t="str">
            <v/>
          </cell>
          <cell r="Z483" t="str">
            <v/>
          </cell>
          <cell r="AB483">
            <v>1</v>
          </cell>
          <cell r="AD483" t="str">
            <v/>
          </cell>
          <cell r="AE483" t="str">
            <v/>
          </cell>
          <cell r="AF483" t="str">
            <v/>
          </cell>
          <cell r="AG483">
            <v>2.5125628140703519E-2</v>
          </cell>
          <cell r="AH483">
            <v>4</v>
          </cell>
          <cell r="AI483" t="str">
            <v/>
          </cell>
          <cell r="AJ483" t="str">
            <v/>
          </cell>
          <cell r="AK483" t="str">
            <v/>
          </cell>
          <cell r="AL483" t="str">
            <v/>
          </cell>
          <cell r="AM483" t="str">
            <v/>
          </cell>
          <cell r="AN483" t="str">
            <v/>
          </cell>
          <cell r="AO483">
            <v>-10623</v>
          </cell>
          <cell r="AQ483" t="str">
            <v/>
          </cell>
          <cell r="AR483" t="str">
            <v/>
          </cell>
          <cell r="AS483" t="str">
            <v/>
          </cell>
          <cell r="AU483" t="str">
            <v/>
          </cell>
          <cell r="AV483" t="str">
            <v/>
          </cell>
          <cell r="AW483" t="str">
            <v/>
          </cell>
          <cell r="AX483" t="str">
            <v/>
          </cell>
          <cell r="AY483" t="str">
            <v/>
          </cell>
          <cell r="AZ483" t="str">
            <v/>
          </cell>
          <cell r="BA483" t="str">
            <v/>
          </cell>
          <cell r="BB483" t="str">
            <v/>
          </cell>
          <cell r="BC483" t="str">
            <v/>
          </cell>
          <cell r="BD483" t="str">
            <v/>
          </cell>
          <cell r="BE483" t="str">
            <v/>
          </cell>
          <cell r="BF483" t="str">
            <v/>
          </cell>
          <cell r="BG483" t="str">
            <v/>
          </cell>
          <cell r="BH483" t="str">
            <v/>
          </cell>
          <cell r="BI483" t="str">
            <v/>
          </cell>
          <cell r="BJ483" t="str">
            <v/>
          </cell>
        </row>
        <row r="484">
          <cell r="A484" t="str">
            <v>RPN</v>
          </cell>
          <cell r="B484" t="str">
            <v>Q08</v>
          </cell>
          <cell r="C484" t="str">
            <v/>
          </cell>
          <cell r="D484" t="str">
            <v/>
          </cell>
          <cell r="E484" t="str">
            <v/>
          </cell>
          <cell r="J484" t="str">
            <v/>
          </cell>
          <cell r="K484" t="str">
            <v/>
          </cell>
          <cell r="L484" t="str">
            <v/>
          </cell>
          <cell r="M484" t="str">
            <v/>
          </cell>
          <cell r="Q484" t="str">
            <v/>
          </cell>
          <cell r="R484" t="str">
            <v/>
          </cell>
          <cell r="X484" t="str">
            <v/>
          </cell>
          <cell r="Y484" t="str">
            <v/>
          </cell>
          <cell r="Z484" t="str">
            <v/>
          </cell>
          <cell r="AB484" t="str">
            <v/>
          </cell>
          <cell r="AD484" t="str">
            <v/>
          </cell>
          <cell r="AE484" t="str">
            <v/>
          </cell>
          <cell r="AF484" t="str">
            <v/>
          </cell>
          <cell r="AG484">
            <v>0</v>
          </cell>
          <cell r="AH484" t="str">
            <v/>
          </cell>
          <cell r="AI484" t="str">
            <v/>
          </cell>
          <cell r="AJ484" t="str">
            <v/>
          </cell>
          <cell r="AK484" t="str">
            <v/>
          </cell>
          <cell r="AL484" t="str">
            <v/>
          </cell>
          <cell r="AM484" t="str">
            <v/>
          </cell>
          <cell r="AN484" t="str">
            <v/>
          </cell>
          <cell r="AO484" t="str">
            <v/>
          </cell>
          <cell r="AS484" t="str">
            <v/>
          </cell>
          <cell r="BB484" t="str">
            <v/>
          </cell>
          <cell r="BC484" t="str">
            <v/>
          </cell>
          <cell r="BD484" t="str">
            <v/>
          </cell>
          <cell r="BE484" t="str">
            <v/>
          </cell>
          <cell r="BF484" t="str">
            <v/>
          </cell>
          <cell r="BG484" t="str">
            <v/>
          </cell>
          <cell r="BH484" t="str">
            <v/>
          </cell>
          <cell r="BI484" t="str">
            <v/>
          </cell>
          <cell r="BJ484" t="str">
            <v/>
          </cell>
        </row>
        <row r="485">
          <cell r="A485" t="str">
            <v>RPQ</v>
          </cell>
          <cell r="B485" t="str">
            <v>Q19</v>
          </cell>
          <cell r="C485">
            <v>0.77117680500284247</v>
          </cell>
          <cell r="D485">
            <v>0.94104991394148019</v>
          </cell>
          <cell r="E485" t="str">
            <v/>
          </cell>
          <cell r="F485" t="str">
            <v/>
          </cell>
          <cell r="G485" t="str">
            <v/>
          </cell>
          <cell r="H485" t="str">
            <v/>
          </cell>
          <cell r="J485" t="str">
            <v/>
          </cell>
          <cell r="K485" t="str">
            <v/>
          </cell>
          <cell r="L485" t="str">
            <v/>
          </cell>
          <cell r="M485" t="str">
            <v/>
          </cell>
          <cell r="N485" t="str">
            <v/>
          </cell>
          <cell r="Q485" t="str">
            <v/>
          </cell>
          <cell r="R485" t="str">
            <v/>
          </cell>
          <cell r="S485" t="str">
            <v/>
          </cell>
          <cell r="X485" t="str">
            <v/>
          </cell>
          <cell r="Y485" t="str">
            <v/>
          </cell>
          <cell r="Z485" t="str">
            <v/>
          </cell>
          <cell r="AB485" t="str">
            <v/>
          </cell>
          <cell r="AD485" t="str">
            <v/>
          </cell>
          <cell r="AE485" t="str">
            <v/>
          </cell>
          <cell r="AF485" t="str">
            <v/>
          </cell>
          <cell r="AG485" t="str">
            <v/>
          </cell>
          <cell r="AH485" t="str">
            <v/>
          </cell>
          <cell r="AI485" t="str">
            <v/>
          </cell>
          <cell r="AJ485" t="str">
            <v/>
          </cell>
          <cell r="AK485" t="str">
            <v/>
          </cell>
          <cell r="AL485" t="str">
            <v/>
          </cell>
          <cell r="AM485" t="str">
            <v/>
          </cell>
          <cell r="AN485" t="str">
            <v/>
          </cell>
          <cell r="AO485">
            <v>257</v>
          </cell>
          <cell r="AQ485" t="str">
            <v/>
          </cell>
          <cell r="AR485" t="str">
            <v/>
          </cell>
          <cell r="AS485" t="str">
            <v/>
          </cell>
          <cell r="AU485" t="str">
            <v/>
          </cell>
          <cell r="AV485" t="str">
            <v/>
          </cell>
          <cell r="AW485" t="str">
            <v/>
          </cell>
          <cell r="AX485" t="str">
            <v/>
          </cell>
          <cell r="AY485" t="str">
            <v/>
          </cell>
          <cell r="AZ485" t="str">
            <v/>
          </cell>
          <cell r="BA485" t="str">
            <v/>
          </cell>
          <cell r="BB485" t="str">
            <v/>
          </cell>
          <cell r="BC485" t="str">
            <v/>
          </cell>
          <cell r="BD485" t="str">
            <v/>
          </cell>
          <cell r="BE485" t="str">
            <v/>
          </cell>
          <cell r="BF485" t="str">
            <v/>
          </cell>
          <cell r="BG485" t="str">
            <v/>
          </cell>
          <cell r="BH485" t="str">
            <v/>
          </cell>
          <cell r="BI485" t="str">
            <v/>
          </cell>
          <cell r="BJ485" t="str">
            <v/>
          </cell>
        </row>
        <row r="486">
          <cell r="A486" t="str">
            <v>RPR</v>
          </cell>
          <cell r="B486" t="str">
            <v>Q19</v>
          </cell>
          <cell r="C486" t="str">
            <v/>
          </cell>
          <cell r="D486" t="str">
            <v/>
          </cell>
          <cell r="E486">
            <v>0.98417789181098991</v>
          </cell>
          <cell r="F486" t="str">
            <v/>
          </cell>
          <cell r="G486" t="str">
            <v/>
          </cell>
          <cell r="H486" t="str">
            <v/>
          </cell>
          <cell r="J486" t="str">
            <v/>
          </cell>
          <cell r="K486" t="str">
            <v/>
          </cell>
          <cell r="L486" t="str">
            <v/>
          </cell>
          <cell r="M486">
            <v>2681</v>
          </cell>
          <cell r="N486" t="str">
            <v/>
          </cell>
          <cell r="Q486">
            <v>1</v>
          </cell>
          <cell r="R486">
            <v>1</v>
          </cell>
          <cell r="S486" t="str">
            <v/>
          </cell>
          <cell r="X486" t="str">
            <v/>
          </cell>
          <cell r="Y486" t="str">
            <v/>
          </cell>
          <cell r="Z486" t="str">
            <v/>
          </cell>
          <cell r="AB486">
            <v>1</v>
          </cell>
          <cell r="AD486" t="str">
            <v/>
          </cell>
          <cell r="AE486" t="str">
            <v/>
          </cell>
          <cell r="AF486" t="str">
            <v/>
          </cell>
          <cell r="AG486">
            <v>4.933008526187576E-2</v>
          </cell>
          <cell r="AH486">
            <v>2.3333333333333335</v>
          </cell>
          <cell r="AI486" t="str">
            <v/>
          </cell>
          <cell r="AJ486" t="str">
            <v/>
          </cell>
          <cell r="AK486" t="str">
            <v/>
          </cell>
          <cell r="AL486" t="str">
            <v/>
          </cell>
          <cell r="AM486" t="str">
            <v/>
          </cell>
          <cell r="AN486" t="str">
            <v/>
          </cell>
          <cell r="AO486">
            <v>-13394</v>
          </cell>
          <cell r="AQ486" t="str">
            <v/>
          </cell>
          <cell r="AR486" t="str">
            <v/>
          </cell>
          <cell r="AS486" t="str">
            <v/>
          </cell>
          <cell r="AU486" t="str">
            <v/>
          </cell>
          <cell r="AV486" t="str">
            <v/>
          </cell>
          <cell r="AW486" t="str">
            <v/>
          </cell>
          <cell r="AX486" t="str">
            <v/>
          </cell>
          <cell r="AY486" t="str">
            <v/>
          </cell>
          <cell r="AZ486" t="str">
            <v/>
          </cell>
          <cell r="BA486" t="str">
            <v/>
          </cell>
          <cell r="BB486" t="str">
            <v/>
          </cell>
          <cell r="BC486" t="str">
            <v/>
          </cell>
          <cell r="BD486" t="str">
            <v/>
          </cell>
          <cell r="BE486" t="str">
            <v/>
          </cell>
          <cell r="BF486" t="str">
            <v/>
          </cell>
          <cell r="BG486" t="str">
            <v/>
          </cell>
          <cell r="BH486" t="str">
            <v/>
          </cell>
          <cell r="BI486" t="str">
            <v/>
          </cell>
          <cell r="BJ486" t="str">
            <v/>
          </cell>
        </row>
        <row r="487">
          <cell r="A487" t="str">
            <v>RPY</v>
          </cell>
          <cell r="B487" t="str">
            <v>Q08</v>
          </cell>
          <cell r="C487" t="str">
            <v/>
          </cell>
          <cell r="D487" t="str">
            <v/>
          </cell>
          <cell r="E487" t="str">
            <v/>
          </cell>
          <cell r="F487" t="str">
            <v/>
          </cell>
          <cell r="G487" t="str">
            <v/>
          </cell>
          <cell r="H487" t="str">
            <v/>
          </cell>
          <cell r="J487" t="str">
            <v/>
          </cell>
          <cell r="K487" t="str">
            <v/>
          </cell>
          <cell r="L487" t="str">
            <v/>
          </cell>
          <cell r="M487">
            <v>210</v>
          </cell>
          <cell r="N487" t="str">
            <v/>
          </cell>
          <cell r="Q487">
            <v>1</v>
          </cell>
          <cell r="R487">
            <v>0.99809885931558939</v>
          </cell>
          <cell r="S487" t="str">
            <v/>
          </cell>
          <cell r="X487" t="str">
            <v/>
          </cell>
          <cell r="Y487" t="str">
            <v/>
          </cell>
          <cell r="Z487" t="str">
            <v/>
          </cell>
          <cell r="AB487" t="str">
            <v/>
          </cell>
          <cell r="AD487" t="str">
            <v/>
          </cell>
          <cell r="AE487" t="str">
            <v/>
          </cell>
          <cell r="AF487" t="str">
            <v/>
          </cell>
          <cell r="AG487">
            <v>0</v>
          </cell>
          <cell r="AH487">
            <v>0</v>
          </cell>
          <cell r="AI487" t="str">
            <v/>
          </cell>
          <cell r="AJ487" t="str">
            <v/>
          </cell>
          <cell r="AK487" t="str">
            <v/>
          </cell>
          <cell r="AL487" t="str">
            <v/>
          </cell>
          <cell r="AM487" t="str">
            <v/>
          </cell>
          <cell r="AN487" t="str">
            <v/>
          </cell>
          <cell r="AO487" t="str">
            <v/>
          </cell>
          <cell r="AQ487" t="str">
            <v/>
          </cell>
          <cell r="AR487" t="str">
            <v/>
          </cell>
          <cell r="AS487" t="str">
            <v/>
          </cell>
          <cell r="AU487" t="str">
            <v/>
          </cell>
          <cell r="AV487" t="str">
            <v/>
          </cell>
          <cell r="AW487" t="str">
            <v/>
          </cell>
          <cell r="AX487" t="str">
            <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row>
        <row r="488">
          <cell r="A488" t="str">
            <v>RQ2</v>
          </cell>
          <cell r="B488" t="str">
            <v>Q19</v>
          </cell>
          <cell r="C488">
            <v>0.75240040858018387</v>
          </cell>
          <cell r="D488">
            <v>0.93177257525083612</v>
          </cell>
          <cell r="E488" t="str">
            <v/>
          </cell>
          <cell r="F488" t="str">
            <v/>
          </cell>
          <cell r="G488" t="str">
            <v/>
          </cell>
          <cell r="H488" t="str">
            <v/>
          </cell>
          <cell r="J488" t="str">
            <v/>
          </cell>
          <cell r="K488" t="str">
            <v/>
          </cell>
          <cell r="L488" t="str">
            <v/>
          </cell>
          <cell r="M488" t="str">
            <v/>
          </cell>
          <cell r="N488" t="str">
            <v/>
          </cell>
          <cell r="Q488" t="str">
            <v/>
          </cell>
          <cell r="R488" t="str">
            <v/>
          </cell>
          <cell r="S488" t="str">
            <v/>
          </cell>
          <cell r="X488" t="str">
            <v/>
          </cell>
          <cell r="Y488" t="str">
            <v/>
          </cell>
          <cell r="Z488" t="str">
            <v/>
          </cell>
          <cell r="AB488" t="str">
            <v/>
          </cell>
          <cell r="AD488" t="str">
            <v/>
          </cell>
          <cell r="AE488" t="str">
            <v/>
          </cell>
          <cell r="AF488" t="str">
            <v/>
          </cell>
          <cell r="AG488" t="str">
            <v/>
          </cell>
          <cell r="AH488" t="str">
            <v/>
          </cell>
          <cell r="AI488" t="str">
            <v/>
          </cell>
          <cell r="AJ488" t="str">
            <v/>
          </cell>
          <cell r="AK488" t="str">
            <v/>
          </cell>
          <cell r="AL488" t="str">
            <v/>
          </cell>
          <cell r="AM488" t="str">
            <v/>
          </cell>
          <cell r="AN488" t="str">
            <v/>
          </cell>
          <cell r="AO488">
            <v>129</v>
          </cell>
          <cell r="AQ488" t="str">
            <v/>
          </cell>
          <cell r="AR488" t="str">
            <v/>
          </cell>
          <cell r="AS488" t="str">
            <v/>
          </cell>
          <cell r="AU488" t="str">
            <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row>
        <row r="489">
          <cell r="A489" t="str">
            <v>RQ3</v>
          </cell>
          <cell r="B489" t="str">
            <v>Q27</v>
          </cell>
          <cell r="C489" t="str">
            <v/>
          </cell>
          <cell r="D489" t="str">
            <v/>
          </cell>
          <cell r="E489">
            <v>0.96836982968369834</v>
          </cell>
          <cell r="F489" t="str">
            <v/>
          </cell>
          <cell r="G489" t="str">
            <v/>
          </cell>
          <cell r="H489" t="str">
            <v/>
          </cell>
          <cell r="J489" t="str">
            <v/>
          </cell>
          <cell r="K489" t="str">
            <v/>
          </cell>
          <cell r="L489" t="str">
            <v/>
          </cell>
          <cell r="M489">
            <v>1664</v>
          </cell>
          <cell r="N489" t="str">
            <v/>
          </cell>
          <cell r="Q489">
            <v>1</v>
          </cell>
          <cell r="R489">
            <v>1</v>
          </cell>
          <cell r="S489" t="str">
            <v/>
          </cell>
          <cell r="X489" t="str">
            <v/>
          </cell>
          <cell r="Y489" t="str">
            <v/>
          </cell>
          <cell r="Z489" t="str">
            <v/>
          </cell>
          <cell r="AB489" t="str">
            <v/>
          </cell>
          <cell r="AD489" t="str">
            <v/>
          </cell>
          <cell r="AE489" t="str">
            <v/>
          </cell>
          <cell r="AF489" t="str">
            <v/>
          </cell>
          <cell r="AG489">
            <v>0</v>
          </cell>
          <cell r="AH489">
            <v>1.3333333333333333</v>
          </cell>
          <cell r="AI489" t="str">
            <v/>
          </cell>
          <cell r="AJ489" t="str">
            <v/>
          </cell>
          <cell r="AK489" t="str">
            <v/>
          </cell>
          <cell r="AL489" t="str">
            <v/>
          </cell>
          <cell r="AM489" t="str">
            <v/>
          </cell>
          <cell r="AN489" t="str">
            <v/>
          </cell>
          <cell r="AO489">
            <v>1618</v>
          </cell>
          <cell r="AQ489" t="str">
            <v/>
          </cell>
          <cell r="AR489" t="str">
            <v/>
          </cell>
          <cell r="AS489" t="str">
            <v/>
          </cell>
          <cell r="AU489" t="str">
            <v/>
          </cell>
          <cell r="AV489" t="str">
            <v/>
          </cell>
          <cell r="AW489" t="str">
            <v/>
          </cell>
          <cell r="AX489" t="str">
            <v/>
          </cell>
          <cell r="AY489" t="str">
            <v/>
          </cell>
          <cell r="AZ489" t="str">
            <v/>
          </cell>
          <cell r="BA489" t="str">
            <v/>
          </cell>
          <cell r="BB489" t="str">
            <v/>
          </cell>
          <cell r="BC489" t="str">
            <v/>
          </cell>
          <cell r="BD489" t="str">
            <v/>
          </cell>
          <cell r="BE489" t="str">
            <v/>
          </cell>
          <cell r="BF489" t="str">
            <v/>
          </cell>
          <cell r="BG489" t="str">
            <v/>
          </cell>
          <cell r="BH489" t="str">
            <v/>
          </cell>
          <cell r="BI489" t="str">
            <v/>
          </cell>
          <cell r="BJ489" t="str">
            <v/>
          </cell>
        </row>
        <row r="490">
          <cell r="A490" t="str">
            <v>RQ6</v>
          </cell>
          <cell r="B490" t="str">
            <v>Q15</v>
          </cell>
          <cell r="C490" t="str">
            <v/>
          </cell>
          <cell r="D490" t="str">
            <v/>
          </cell>
          <cell r="E490">
            <v>0.87354409317803661</v>
          </cell>
          <cell r="F490" t="str">
            <v/>
          </cell>
          <cell r="G490" t="str">
            <v/>
          </cell>
          <cell r="H490" t="str">
            <v/>
          </cell>
          <cell r="J490" t="str">
            <v/>
          </cell>
          <cell r="K490" t="str">
            <v/>
          </cell>
          <cell r="L490" t="str">
            <v/>
          </cell>
          <cell r="M490">
            <v>5176</v>
          </cell>
          <cell r="N490" t="str">
            <v/>
          </cell>
          <cell r="Q490">
            <v>0.98679245283018868</v>
          </cell>
          <cell r="R490">
            <v>0.99782312925170069</v>
          </cell>
          <cell r="S490" t="str">
            <v/>
          </cell>
          <cell r="X490" t="str">
            <v/>
          </cell>
          <cell r="Y490" t="str">
            <v/>
          </cell>
          <cell r="Z490" t="str">
            <v/>
          </cell>
          <cell r="AB490">
            <v>0.98557692307692313</v>
          </cell>
          <cell r="AD490" t="str">
            <v/>
          </cell>
          <cell r="AE490" t="str">
            <v/>
          </cell>
          <cell r="AF490" t="str">
            <v/>
          </cell>
          <cell r="AG490">
            <v>1.7359786341091185E-2</v>
          </cell>
          <cell r="AH490">
            <v>4.333333333333333</v>
          </cell>
          <cell r="AI490" t="str">
            <v/>
          </cell>
          <cell r="AJ490" t="str">
            <v/>
          </cell>
          <cell r="AK490" t="str">
            <v/>
          </cell>
          <cell r="AL490" t="str">
            <v/>
          </cell>
          <cell r="AM490" t="str">
            <v/>
          </cell>
          <cell r="AN490" t="str">
            <v/>
          </cell>
          <cell r="AO490">
            <v>18</v>
          </cell>
          <cell r="AQ490" t="str">
            <v/>
          </cell>
          <cell r="AR490" t="str">
            <v/>
          </cell>
          <cell r="AS490" t="str">
            <v/>
          </cell>
          <cell r="AU490" t="str">
            <v/>
          </cell>
          <cell r="AV490" t="str">
            <v/>
          </cell>
          <cell r="AW490" t="str">
            <v/>
          </cell>
          <cell r="AX490" t="str">
            <v/>
          </cell>
          <cell r="AY490" t="str">
            <v/>
          </cell>
          <cell r="AZ490" t="str">
            <v/>
          </cell>
          <cell r="BA490" t="str">
            <v/>
          </cell>
          <cell r="BB490" t="str">
            <v/>
          </cell>
          <cell r="BC490" t="str">
            <v/>
          </cell>
          <cell r="BD490" t="str">
            <v/>
          </cell>
          <cell r="BE490" t="str">
            <v/>
          </cell>
          <cell r="BF490" t="str">
            <v/>
          </cell>
          <cell r="BG490" t="str">
            <v/>
          </cell>
          <cell r="BH490" t="str">
            <v/>
          </cell>
          <cell r="BI490" t="str">
            <v/>
          </cell>
          <cell r="BJ490" t="str">
            <v/>
          </cell>
        </row>
        <row r="491">
          <cell r="A491" t="str">
            <v>RQ8</v>
          </cell>
          <cell r="B491" t="str">
            <v>Q03</v>
          </cell>
          <cell r="C491" t="str">
            <v/>
          </cell>
          <cell r="D491" t="str">
            <v/>
          </cell>
          <cell r="E491">
            <v>0.98093036694596936</v>
          </cell>
          <cell r="F491" t="str">
            <v/>
          </cell>
          <cell r="G491" t="str">
            <v/>
          </cell>
          <cell r="H491" t="str">
            <v/>
          </cell>
          <cell r="J491" t="str">
            <v/>
          </cell>
          <cell r="K491" t="str">
            <v/>
          </cell>
          <cell r="L491" t="str">
            <v/>
          </cell>
          <cell r="M491">
            <v>6874</v>
          </cell>
          <cell r="N491" t="str">
            <v/>
          </cell>
          <cell r="Q491">
            <v>1</v>
          </cell>
          <cell r="R491">
            <v>1</v>
          </cell>
          <cell r="S491" t="str">
            <v/>
          </cell>
          <cell r="X491" t="str">
            <v/>
          </cell>
          <cell r="Y491" t="str">
            <v/>
          </cell>
          <cell r="Z491" t="str">
            <v/>
          </cell>
          <cell r="AB491">
            <v>1</v>
          </cell>
          <cell r="AD491" t="str">
            <v/>
          </cell>
          <cell r="AE491" t="str">
            <v/>
          </cell>
          <cell r="AF491" t="str">
            <v/>
          </cell>
          <cell r="AG491">
            <v>1.9170579029733958E-2</v>
          </cell>
          <cell r="AH491">
            <v>3.6666666666666665</v>
          </cell>
          <cell r="AI491" t="str">
            <v/>
          </cell>
          <cell r="AJ491" t="str">
            <v/>
          </cell>
          <cell r="AK491" t="str">
            <v/>
          </cell>
          <cell r="AL491" t="str">
            <v/>
          </cell>
          <cell r="AM491" t="str">
            <v/>
          </cell>
          <cell r="AN491" t="str">
            <v/>
          </cell>
          <cell r="AO491">
            <v>1003</v>
          </cell>
          <cell r="AQ491" t="str">
            <v/>
          </cell>
          <cell r="AR491" t="str">
            <v/>
          </cell>
          <cell r="AS491" t="str">
            <v/>
          </cell>
          <cell r="AU491" t="str">
            <v/>
          </cell>
          <cell r="AV491" t="str">
            <v/>
          </cell>
          <cell r="AW491" t="str">
            <v/>
          </cell>
          <cell r="AX491" t="str">
            <v/>
          </cell>
          <cell r="AY491" t="str">
            <v/>
          </cell>
          <cell r="AZ491" t="str">
            <v/>
          </cell>
          <cell r="BA491" t="str">
            <v/>
          </cell>
          <cell r="BB491" t="str">
            <v/>
          </cell>
          <cell r="BC491" t="str">
            <v/>
          </cell>
          <cell r="BD491" t="str">
            <v/>
          </cell>
          <cell r="BE491" t="str">
            <v/>
          </cell>
          <cell r="BF491" t="str">
            <v/>
          </cell>
          <cell r="BG491" t="str">
            <v/>
          </cell>
          <cell r="BH491" t="str">
            <v/>
          </cell>
          <cell r="BI491" t="str">
            <v/>
          </cell>
          <cell r="BJ491" t="str">
            <v/>
          </cell>
        </row>
        <row r="492">
          <cell r="A492" t="str">
            <v>RQM</v>
          </cell>
          <cell r="B492" t="str">
            <v>Q04</v>
          </cell>
          <cell r="C492" t="str">
            <v/>
          </cell>
          <cell r="D492" t="str">
            <v/>
          </cell>
          <cell r="E492">
            <v>0.98665444172779138</v>
          </cell>
          <cell r="F492" t="str">
            <v/>
          </cell>
          <cell r="G492" t="str">
            <v/>
          </cell>
          <cell r="H492" t="str">
            <v/>
          </cell>
          <cell r="J492" t="str">
            <v/>
          </cell>
          <cell r="K492" t="str">
            <v/>
          </cell>
          <cell r="L492" t="str">
            <v/>
          </cell>
          <cell r="M492">
            <v>3338</v>
          </cell>
          <cell r="N492" t="str">
            <v/>
          </cell>
          <cell r="Q492">
            <v>1</v>
          </cell>
          <cell r="R492">
            <v>1</v>
          </cell>
          <cell r="S492" t="str">
            <v/>
          </cell>
          <cell r="X492" t="str">
            <v/>
          </cell>
          <cell r="Y492" t="str">
            <v/>
          </cell>
          <cell r="Z492" t="str">
            <v/>
          </cell>
          <cell r="AB492">
            <v>0.91489361702127658</v>
          </cell>
          <cell r="AD492" t="str">
            <v/>
          </cell>
          <cell r="AE492" t="str">
            <v/>
          </cell>
          <cell r="AF492" t="str">
            <v/>
          </cell>
          <cell r="AG492">
            <v>2.0833333333333329E-2</v>
          </cell>
          <cell r="AH492">
            <v>2</v>
          </cell>
          <cell r="AI492" t="str">
            <v/>
          </cell>
          <cell r="AJ492" t="str">
            <v/>
          </cell>
          <cell r="AK492" t="str">
            <v/>
          </cell>
          <cell r="AL492" t="str">
            <v/>
          </cell>
          <cell r="AM492" t="str">
            <v/>
          </cell>
          <cell r="AN492" t="str">
            <v/>
          </cell>
          <cell r="AO492">
            <v>2204</v>
          </cell>
          <cell r="AQ492" t="str">
            <v/>
          </cell>
          <cell r="AR492" t="str">
            <v/>
          </cell>
          <cell r="AS492" t="str">
            <v/>
          </cell>
          <cell r="AU492" t="str">
            <v/>
          </cell>
          <cell r="AV492" t="str">
            <v/>
          </cell>
          <cell r="AW492" t="str">
            <v/>
          </cell>
          <cell r="AX492" t="str">
            <v/>
          </cell>
          <cell r="AY492" t="str">
            <v/>
          </cell>
          <cell r="AZ492" t="str">
            <v/>
          </cell>
          <cell r="BA492" t="str">
            <v/>
          </cell>
          <cell r="BB492" t="str">
            <v/>
          </cell>
          <cell r="BC492" t="str">
            <v/>
          </cell>
          <cell r="BD492" t="str">
            <v/>
          </cell>
          <cell r="BE492" t="str">
            <v/>
          </cell>
          <cell r="BF492" t="str">
            <v/>
          </cell>
          <cell r="BG492" t="str">
            <v/>
          </cell>
          <cell r="BH492" t="str">
            <v/>
          </cell>
          <cell r="BI492" t="str">
            <v/>
          </cell>
          <cell r="BJ492" t="str">
            <v/>
          </cell>
        </row>
        <row r="493">
          <cell r="A493" t="str">
            <v>RQN</v>
          </cell>
          <cell r="B493" t="str">
            <v>Q04</v>
          </cell>
          <cell r="C493" t="str">
            <v/>
          </cell>
          <cell r="D493" t="str">
            <v/>
          </cell>
          <cell r="E493">
            <v>0.98609691269679001</v>
          </cell>
          <cell r="F493" t="str">
            <v/>
          </cell>
          <cell r="G493" t="str">
            <v/>
          </cell>
          <cell r="H493" t="str">
            <v/>
          </cell>
          <cell r="J493" t="str">
            <v/>
          </cell>
          <cell r="K493" t="str">
            <v/>
          </cell>
          <cell r="L493" t="str">
            <v/>
          </cell>
          <cell r="M493">
            <v>6762</v>
          </cell>
          <cell r="N493" t="str">
            <v/>
          </cell>
          <cell r="Q493">
            <v>1</v>
          </cell>
          <cell r="R493">
            <v>1</v>
          </cell>
          <cell r="S493" t="str">
            <v/>
          </cell>
          <cell r="X493" t="str">
            <v/>
          </cell>
          <cell r="Y493" t="str">
            <v/>
          </cell>
          <cell r="Z493" t="str">
            <v/>
          </cell>
          <cell r="AB493">
            <v>0.97530864197530864</v>
          </cell>
          <cell r="AD493" t="str">
            <v/>
          </cell>
          <cell r="AE493" t="str">
            <v/>
          </cell>
          <cell r="AF493" t="str">
            <v/>
          </cell>
          <cell r="AG493">
            <v>2.2444564629529474E-2</v>
          </cell>
          <cell r="AH493">
            <v>7</v>
          </cell>
          <cell r="AI493" t="str">
            <v/>
          </cell>
          <cell r="AJ493" t="str">
            <v/>
          </cell>
          <cell r="AK493" t="str">
            <v/>
          </cell>
          <cell r="AL493" t="str">
            <v/>
          </cell>
          <cell r="AM493" t="str">
            <v/>
          </cell>
          <cell r="AN493" t="str">
            <v/>
          </cell>
          <cell r="AO493">
            <v>-18484</v>
          </cell>
          <cell r="AQ493" t="str">
            <v/>
          </cell>
          <cell r="AR493" t="str">
            <v/>
          </cell>
          <cell r="AS493" t="str">
            <v/>
          </cell>
          <cell r="AU493" t="str">
            <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row>
        <row r="494">
          <cell r="A494" t="str">
            <v>RQQ</v>
          </cell>
          <cell r="B494" t="str">
            <v>Q01</v>
          </cell>
          <cell r="C494" t="str">
            <v/>
          </cell>
          <cell r="D494" t="str">
            <v/>
          </cell>
          <cell r="E494">
            <v>0.98980169971671383</v>
          </cell>
          <cell r="F494" t="str">
            <v/>
          </cell>
          <cell r="G494" t="str">
            <v/>
          </cell>
          <cell r="H494" t="str">
            <v/>
          </cell>
          <cell r="J494" t="str">
            <v/>
          </cell>
          <cell r="K494" t="str">
            <v/>
          </cell>
          <cell r="L494" t="str">
            <v/>
          </cell>
          <cell r="M494">
            <v>2540</v>
          </cell>
          <cell r="N494" t="str">
            <v/>
          </cell>
          <cell r="Q494">
            <v>1</v>
          </cell>
          <cell r="R494">
            <v>1</v>
          </cell>
          <cell r="S494" t="str">
            <v/>
          </cell>
          <cell r="X494" t="str">
            <v/>
          </cell>
          <cell r="Y494" t="str">
            <v/>
          </cell>
          <cell r="Z494" t="str">
            <v/>
          </cell>
          <cell r="AB494">
            <v>0.30232558139534882</v>
          </cell>
          <cell r="AD494" t="str">
            <v/>
          </cell>
          <cell r="AE494" t="str">
            <v/>
          </cell>
          <cell r="AF494" t="str">
            <v/>
          </cell>
          <cell r="AG494">
            <v>3.0837004405286344E-2</v>
          </cell>
          <cell r="AH494">
            <v>1.6666666666666667</v>
          </cell>
          <cell r="AI494" t="str">
            <v/>
          </cell>
          <cell r="AJ494" t="str">
            <v/>
          </cell>
          <cell r="AK494" t="str">
            <v/>
          </cell>
          <cell r="AL494" t="str">
            <v/>
          </cell>
          <cell r="AM494" t="str">
            <v/>
          </cell>
          <cell r="AN494" t="str">
            <v/>
          </cell>
          <cell r="AO494">
            <v>-6535</v>
          </cell>
          <cell r="AQ494" t="str">
            <v/>
          </cell>
          <cell r="AR494" t="str">
            <v/>
          </cell>
          <cell r="AS494" t="str">
            <v/>
          </cell>
          <cell r="AU494" t="str">
            <v/>
          </cell>
          <cell r="AV494" t="str">
            <v/>
          </cell>
          <cell r="AW494" t="str">
            <v/>
          </cell>
          <cell r="AX494" t="str">
            <v/>
          </cell>
          <cell r="AY494" t="str">
            <v/>
          </cell>
          <cell r="AZ494" t="str">
            <v/>
          </cell>
          <cell r="BA494" t="str">
            <v/>
          </cell>
          <cell r="BB494" t="str">
            <v/>
          </cell>
          <cell r="BC494" t="str">
            <v/>
          </cell>
          <cell r="BD494" t="str">
            <v/>
          </cell>
          <cell r="BE494" t="str">
            <v/>
          </cell>
          <cell r="BF494" t="str">
            <v/>
          </cell>
          <cell r="BG494" t="str">
            <v/>
          </cell>
          <cell r="BH494" t="str">
            <v/>
          </cell>
          <cell r="BI494" t="str">
            <v/>
          </cell>
          <cell r="BJ494" t="str">
            <v/>
          </cell>
        </row>
        <row r="495">
          <cell r="A495" t="str">
            <v>RQW</v>
          </cell>
          <cell r="B495" t="str">
            <v>Q03</v>
          </cell>
          <cell r="C495" t="str">
            <v/>
          </cell>
          <cell r="D495" t="str">
            <v/>
          </cell>
          <cell r="E495">
            <v>0.97167317134583908</v>
          </cell>
          <cell r="F495" t="str">
            <v/>
          </cell>
          <cell r="G495" t="str">
            <v/>
          </cell>
          <cell r="H495" t="str">
            <v/>
          </cell>
          <cell r="J495" t="str">
            <v/>
          </cell>
          <cell r="K495" t="str">
            <v/>
          </cell>
          <cell r="L495" t="str">
            <v/>
          </cell>
          <cell r="M495">
            <v>3789</v>
          </cell>
          <cell r="N495" t="str">
            <v/>
          </cell>
          <cell r="Q495">
            <v>1</v>
          </cell>
          <cell r="R495">
            <v>1</v>
          </cell>
          <cell r="S495" t="str">
            <v/>
          </cell>
          <cell r="X495" t="str">
            <v/>
          </cell>
          <cell r="Y495" t="str">
            <v/>
          </cell>
          <cell r="Z495" t="str">
            <v/>
          </cell>
          <cell r="AB495">
            <v>0.97761194029850751</v>
          </cell>
          <cell r="AD495" t="str">
            <v/>
          </cell>
          <cell r="AE495" t="str">
            <v/>
          </cell>
          <cell r="AF495" t="str">
            <v/>
          </cell>
          <cell r="AG495">
            <v>3.3069399161620869E-2</v>
          </cell>
          <cell r="AH495">
            <v>1.3333333333333333</v>
          </cell>
          <cell r="AI495" t="str">
            <v/>
          </cell>
          <cell r="AJ495" t="str">
            <v/>
          </cell>
          <cell r="AK495" t="str">
            <v/>
          </cell>
          <cell r="AL495" t="str">
            <v/>
          </cell>
          <cell r="AM495" t="str">
            <v/>
          </cell>
          <cell r="AN495" t="str">
            <v/>
          </cell>
          <cell r="AO495">
            <v>-5857</v>
          </cell>
          <cell r="AQ495" t="str">
            <v/>
          </cell>
          <cell r="AR495" t="str">
            <v/>
          </cell>
          <cell r="AS495" t="str">
            <v/>
          </cell>
          <cell r="AU495" t="str">
            <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row>
        <row r="496">
          <cell r="A496" t="str">
            <v>RQX</v>
          </cell>
          <cell r="B496" t="str">
            <v>Q06</v>
          </cell>
          <cell r="C496" t="str">
            <v/>
          </cell>
          <cell r="D496" t="str">
            <v/>
          </cell>
          <cell r="E496">
            <v>0.98595097374285434</v>
          </cell>
          <cell r="F496" t="str">
            <v/>
          </cell>
          <cell r="G496" t="str">
            <v/>
          </cell>
          <cell r="H496" t="str">
            <v/>
          </cell>
          <cell r="J496" t="str">
            <v/>
          </cell>
          <cell r="K496" t="str">
            <v/>
          </cell>
          <cell r="L496" t="str">
            <v/>
          </cell>
          <cell r="M496">
            <v>639</v>
          </cell>
          <cell r="N496" t="str">
            <v/>
          </cell>
          <cell r="Q496">
            <v>1</v>
          </cell>
          <cell r="R496">
            <v>1</v>
          </cell>
          <cell r="S496" t="str">
            <v/>
          </cell>
          <cell r="X496" t="str">
            <v/>
          </cell>
          <cell r="Y496" t="str">
            <v/>
          </cell>
          <cell r="Z496" t="str">
            <v/>
          </cell>
          <cell r="AB496">
            <v>0.98522167487684731</v>
          </cell>
          <cell r="AD496" t="str">
            <v/>
          </cell>
          <cell r="AE496" t="str">
            <v/>
          </cell>
          <cell r="AF496" t="str">
            <v/>
          </cell>
          <cell r="AG496">
            <v>1.91415313225058E-2</v>
          </cell>
          <cell r="AH496">
            <v>2.3333333333333335</v>
          </cell>
          <cell r="AI496" t="str">
            <v/>
          </cell>
          <cell r="AJ496" t="str">
            <v/>
          </cell>
          <cell r="AK496" t="str">
            <v/>
          </cell>
          <cell r="AL496" t="str">
            <v/>
          </cell>
          <cell r="AM496" t="str">
            <v/>
          </cell>
          <cell r="AN496" t="str">
            <v/>
          </cell>
          <cell r="AO496" t="str">
            <v/>
          </cell>
          <cell r="AQ496" t="str">
            <v/>
          </cell>
          <cell r="AR496" t="str">
            <v/>
          </cell>
          <cell r="AS496" t="str">
            <v/>
          </cell>
          <cell r="AU496" t="str">
            <v/>
          </cell>
          <cell r="AV496" t="str">
            <v/>
          </cell>
          <cell r="AW496" t="str">
            <v/>
          </cell>
          <cell r="AX496" t="str">
            <v/>
          </cell>
          <cell r="AY496" t="str">
            <v/>
          </cell>
          <cell r="AZ496" t="str">
            <v/>
          </cell>
          <cell r="BA496" t="str">
            <v/>
          </cell>
          <cell r="BB496" t="str">
            <v/>
          </cell>
          <cell r="BC496" t="str">
            <v/>
          </cell>
          <cell r="BD496" t="str">
            <v/>
          </cell>
          <cell r="BE496" t="str">
            <v/>
          </cell>
          <cell r="BF496" t="str">
            <v/>
          </cell>
          <cell r="BG496" t="str">
            <v/>
          </cell>
          <cell r="BH496" t="str">
            <v/>
          </cell>
          <cell r="BI496" t="str">
            <v/>
          </cell>
          <cell r="BJ496" t="str">
            <v/>
          </cell>
        </row>
        <row r="497">
          <cell r="A497" t="str">
            <v>RQY</v>
          </cell>
          <cell r="B497" t="str">
            <v>Q08</v>
          </cell>
          <cell r="C497" t="str">
            <v/>
          </cell>
          <cell r="D497" t="str">
            <v/>
          </cell>
          <cell r="E497" t="str">
            <v/>
          </cell>
          <cell r="F497" t="str">
            <v/>
          </cell>
          <cell r="G497" t="str">
            <v/>
          </cell>
          <cell r="H497" t="str">
            <v/>
          </cell>
          <cell r="J497" t="str">
            <v/>
          </cell>
          <cell r="K497" t="str">
            <v/>
          </cell>
          <cell r="L497" t="str">
            <v/>
          </cell>
          <cell r="M497">
            <v>25</v>
          </cell>
          <cell r="N497" t="str">
            <v/>
          </cell>
          <cell r="Q497" t="str">
            <v/>
          </cell>
          <cell r="R497">
            <v>1</v>
          </cell>
          <cell r="S497" t="str">
            <v/>
          </cell>
          <cell r="X497" t="str">
            <v/>
          </cell>
          <cell r="Y497" t="str">
            <v/>
          </cell>
          <cell r="Z497" t="str">
            <v/>
          </cell>
          <cell r="AB497" t="str">
            <v/>
          </cell>
          <cell r="AD497" t="str">
            <v/>
          </cell>
          <cell r="AE497" t="str">
            <v/>
          </cell>
          <cell r="AF497" t="str">
            <v/>
          </cell>
          <cell r="AG497">
            <v>0</v>
          </cell>
          <cell r="AH497" t="str">
            <v/>
          </cell>
          <cell r="AI497" t="str">
            <v/>
          </cell>
          <cell r="AJ497" t="str">
            <v/>
          </cell>
          <cell r="AK497" t="str">
            <v/>
          </cell>
          <cell r="AL497" t="str">
            <v/>
          </cell>
          <cell r="AM497" t="str">
            <v/>
          </cell>
          <cell r="AN497" t="str">
            <v/>
          </cell>
          <cell r="AO497">
            <v>1534</v>
          </cell>
          <cell r="AQ497" t="str">
            <v/>
          </cell>
          <cell r="AR497" t="str">
            <v/>
          </cell>
          <cell r="AS497" t="str">
            <v/>
          </cell>
          <cell r="AU497" t="str">
            <v/>
          </cell>
          <cell r="AV497" t="str">
            <v/>
          </cell>
          <cell r="AW497" t="str">
            <v/>
          </cell>
          <cell r="AX497" t="str">
            <v/>
          </cell>
          <cell r="AY497" t="str">
            <v/>
          </cell>
          <cell r="AZ497" t="str">
            <v/>
          </cell>
          <cell r="BA497" t="str">
            <v/>
          </cell>
          <cell r="BB497" t="str">
            <v/>
          </cell>
          <cell r="BC497" t="str">
            <v/>
          </cell>
          <cell r="BD497" t="str">
            <v/>
          </cell>
          <cell r="BE497" t="str">
            <v/>
          </cell>
          <cell r="BF497" t="str">
            <v/>
          </cell>
          <cell r="BG497" t="str">
            <v/>
          </cell>
          <cell r="BH497" t="str">
            <v/>
          </cell>
          <cell r="BI497" t="str">
            <v/>
          </cell>
          <cell r="BJ497" t="str">
            <v/>
          </cell>
        </row>
        <row r="498">
          <cell r="A498" t="str">
            <v>RR1</v>
          </cell>
          <cell r="B498" t="str">
            <v>Q27</v>
          </cell>
          <cell r="C498" t="str">
            <v/>
          </cell>
          <cell r="D498" t="str">
            <v/>
          </cell>
          <cell r="E498">
            <v>0.97833547833547829</v>
          </cell>
          <cell r="F498" t="str">
            <v/>
          </cell>
          <cell r="G498" t="str">
            <v/>
          </cell>
          <cell r="H498" t="str">
            <v/>
          </cell>
          <cell r="J498" t="str">
            <v/>
          </cell>
          <cell r="K498" t="str">
            <v/>
          </cell>
          <cell r="L498" t="str">
            <v/>
          </cell>
          <cell r="M498">
            <v>4091</v>
          </cell>
          <cell r="N498" t="str">
            <v/>
          </cell>
          <cell r="Q498">
            <v>0.99906044472283118</v>
          </cell>
          <cell r="R498">
            <v>1</v>
          </cell>
          <cell r="S498" t="str">
            <v/>
          </cell>
          <cell r="X498" t="str">
            <v/>
          </cell>
          <cell r="Y498" t="str">
            <v/>
          </cell>
          <cell r="Z498" t="str">
            <v/>
          </cell>
          <cell r="AB498">
            <v>1</v>
          </cell>
          <cell r="AD498" t="str">
            <v/>
          </cell>
          <cell r="AE498" t="str">
            <v/>
          </cell>
          <cell r="AF498" t="str">
            <v/>
          </cell>
          <cell r="AG498">
            <v>2.7656477438136828E-2</v>
          </cell>
          <cell r="AH498">
            <v>7</v>
          </cell>
          <cell r="AI498" t="str">
            <v/>
          </cell>
          <cell r="AJ498" t="str">
            <v/>
          </cell>
          <cell r="AK498" t="str">
            <v/>
          </cell>
          <cell r="AL498" t="str">
            <v/>
          </cell>
          <cell r="AM498" t="str">
            <v/>
          </cell>
          <cell r="AN498" t="str">
            <v/>
          </cell>
          <cell r="AO498" t="str">
            <v/>
          </cell>
          <cell r="AQ498" t="str">
            <v/>
          </cell>
          <cell r="AR498" t="str">
            <v/>
          </cell>
          <cell r="AS498" t="str">
            <v/>
          </cell>
          <cell r="AU498" t="str">
            <v/>
          </cell>
          <cell r="AV498" t="str">
            <v/>
          </cell>
          <cell r="AW498" t="str">
            <v/>
          </cell>
          <cell r="AX498" t="str">
            <v/>
          </cell>
          <cell r="AY498" t="str">
            <v/>
          </cell>
          <cell r="AZ498" t="str">
            <v/>
          </cell>
          <cell r="BA498" t="str">
            <v/>
          </cell>
          <cell r="BB498" t="str">
            <v/>
          </cell>
          <cell r="BC498" t="str">
            <v/>
          </cell>
          <cell r="BD498" t="str">
            <v/>
          </cell>
          <cell r="BE498" t="str">
            <v/>
          </cell>
          <cell r="BF498" t="str">
            <v/>
          </cell>
          <cell r="BG498" t="str">
            <v/>
          </cell>
          <cell r="BH498" t="str">
            <v/>
          </cell>
          <cell r="BI498" t="str">
            <v/>
          </cell>
          <cell r="BJ498" t="str">
            <v/>
          </cell>
        </row>
        <row r="499">
          <cell r="A499" t="str">
            <v>RR2</v>
          </cell>
          <cell r="B499" t="str">
            <v>Q17</v>
          </cell>
          <cell r="C499" t="str">
            <v/>
          </cell>
          <cell r="D499" t="str">
            <v/>
          </cell>
          <cell r="E499">
            <v>0.97860615883306323</v>
          </cell>
          <cell r="F499" t="str">
            <v/>
          </cell>
          <cell r="G499" t="str">
            <v/>
          </cell>
          <cell r="H499" t="str">
            <v/>
          </cell>
          <cell r="J499" t="str">
            <v/>
          </cell>
          <cell r="K499" t="str">
            <v/>
          </cell>
          <cell r="L499" t="str">
            <v/>
          </cell>
          <cell r="M499">
            <v>2131</v>
          </cell>
          <cell r="N499" t="str">
            <v/>
          </cell>
          <cell r="Q499">
            <v>1</v>
          </cell>
          <cell r="R499">
            <v>1</v>
          </cell>
          <cell r="S499" t="str">
            <v/>
          </cell>
          <cell r="X499" t="str">
            <v/>
          </cell>
          <cell r="Y499" t="str">
            <v/>
          </cell>
          <cell r="Z499" t="str">
            <v/>
          </cell>
          <cell r="AB499">
            <v>1</v>
          </cell>
          <cell r="AD499" t="str">
            <v/>
          </cell>
          <cell r="AE499" t="str">
            <v/>
          </cell>
          <cell r="AF499" t="str">
            <v/>
          </cell>
          <cell r="AG499">
            <v>9.3970242756460463E-3</v>
          </cell>
          <cell r="AH499">
            <v>1.3333333333333333</v>
          </cell>
          <cell r="AI499" t="str">
            <v/>
          </cell>
          <cell r="AJ499" t="str">
            <v/>
          </cell>
          <cell r="AK499" t="str">
            <v/>
          </cell>
          <cell r="AL499" t="str">
            <v/>
          </cell>
          <cell r="AM499" t="str">
            <v/>
          </cell>
          <cell r="AN499" t="str">
            <v/>
          </cell>
          <cell r="AO499">
            <v>9</v>
          </cell>
          <cell r="AQ499" t="str">
            <v/>
          </cell>
          <cell r="AR499" t="str">
            <v/>
          </cell>
          <cell r="AS499" t="str">
            <v/>
          </cell>
          <cell r="AU499" t="str">
            <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row>
        <row r="500">
          <cell r="A500" t="str">
            <v>RR21</v>
          </cell>
          <cell r="B500" t="str">
            <v>Q17</v>
          </cell>
          <cell r="C500">
            <v>0.74200913242009137</v>
          </cell>
          <cell r="D500">
            <v>0.99383983572895274</v>
          </cell>
          <cell r="J500" t="str">
            <v/>
          </cell>
          <cell r="K500" t="str">
            <v/>
          </cell>
          <cell r="L500" t="str">
            <v/>
          </cell>
          <cell r="Q500" t="str">
            <v/>
          </cell>
          <cell r="R500" t="str">
            <v/>
          </cell>
          <cell r="AB500" t="str">
            <v/>
          </cell>
          <cell r="AD500" t="str">
            <v/>
          </cell>
          <cell r="AE500" t="str">
            <v/>
          </cell>
          <cell r="AF500" t="str">
            <v/>
          </cell>
          <cell r="AH500" t="str">
            <v/>
          </cell>
          <cell r="AI500" t="str">
            <v/>
          </cell>
          <cell r="AJ500" t="str">
            <v/>
          </cell>
          <cell r="AK500" t="str">
            <v/>
          </cell>
          <cell r="AL500" t="str">
            <v/>
          </cell>
          <cell r="AM500" t="str">
            <v/>
          </cell>
          <cell r="AN500" t="str">
            <v/>
          </cell>
          <cell r="AO500" t="str">
            <v/>
          </cell>
          <cell r="AS500" t="str">
            <v/>
          </cell>
          <cell r="BB500" t="str">
            <v/>
          </cell>
          <cell r="BC500" t="str">
            <v/>
          </cell>
          <cell r="BD500" t="str">
            <v/>
          </cell>
          <cell r="BE500" t="str">
            <v/>
          </cell>
          <cell r="BF500" t="str">
            <v/>
          </cell>
          <cell r="BG500" t="str">
            <v/>
          </cell>
          <cell r="BH500" t="str">
            <v/>
          </cell>
          <cell r="BI500" t="str">
            <v/>
          </cell>
          <cell r="BJ500" t="str">
            <v/>
          </cell>
        </row>
        <row r="501">
          <cell r="A501" t="str">
            <v>RR7</v>
          </cell>
          <cell r="B501" t="str">
            <v>Q09</v>
          </cell>
          <cell r="C501" t="str">
            <v/>
          </cell>
          <cell r="D501" t="str">
            <v/>
          </cell>
          <cell r="E501">
            <v>0.9763696831787152</v>
          </cell>
          <cell r="F501" t="str">
            <v/>
          </cell>
          <cell r="G501" t="str">
            <v/>
          </cell>
          <cell r="H501" t="str">
            <v/>
          </cell>
          <cell r="J501" t="str">
            <v/>
          </cell>
          <cell r="K501" t="str">
            <v/>
          </cell>
          <cell r="L501" t="str">
            <v/>
          </cell>
          <cell r="M501">
            <v>824</v>
          </cell>
          <cell r="N501" t="str">
            <v/>
          </cell>
          <cell r="Q501">
            <v>1</v>
          </cell>
          <cell r="R501">
            <v>0.91376201923076927</v>
          </cell>
          <cell r="S501" t="str">
            <v/>
          </cell>
          <cell r="X501" t="str">
            <v/>
          </cell>
          <cell r="Y501" t="str">
            <v/>
          </cell>
          <cell r="Z501" t="str">
            <v/>
          </cell>
          <cell r="AB501">
            <v>1</v>
          </cell>
          <cell r="AD501" t="str">
            <v/>
          </cell>
          <cell r="AE501" t="str">
            <v/>
          </cell>
          <cell r="AF501" t="str">
            <v/>
          </cell>
          <cell r="AG501">
            <v>1.0256410256410255E-2</v>
          </cell>
          <cell r="AH501">
            <v>2.3333333333333335</v>
          </cell>
          <cell r="AI501" t="str">
            <v/>
          </cell>
          <cell r="AJ501" t="str">
            <v/>
          </cell>
          <cell r="AK501" t="str">
            <v/>
          </cell>
          <cell r="AL501" t="str">
            <v/>
          </cell>
          <cell r="AM501" t="str">
            <v/>
          </cell>
          <cell r="AN501" t="str">
            <v/>
          </cell>
          <cell r="AO501" t="str">
            <v/>
          </cell>
          <cell r="AQ501" t="str">
            <v/>
          </cell>
          <cell r="AR501" t="str">
            <v/>
          </cell>
          <cell r="AS501" t="str">
            <v/>
          </cell>
          <cell r="AU501" t="str">
            <v/>
          </cell>
          <cell r="AV501" t="str">
            <v/>
          </cell>
          <cell r="AW501" t="str">
            <v/>
          </cell>
          <cell r="AX501" t="str">
            <v/>
          </cell>
          <cell r="AY501" t="str">
            <v/>
          </cell>
          <cell r="AZ501" t="str">
            <v/>
          </cell>
          <cell r="BA501" t="str">
            <v/>
          </cell>
          <cell r="BB501" t="str">
            <v/>
          </cell>
          <cell r="BC501" t="str">
            <v/>
          </cell>
          <cell r="BD501" t="str">
            <v/>
          </cell>
          <cell r="BE501" t="str">
            <v/>
          </cell>
          <cell r="BF501" t="str">
            <v/>
          </cell>
          <cell r="BG501" t="str">
            <v/>
          </cell>
          <cell r="BH501" t="str">
            <v/>
          </cell>
          <cell r="BI501" t="str">
            <v/>
          </cell>
          <cell r="BJ501" t="str">
            <v/>
          </cell>
        </row>
        <row r="502">
          <cell r="A502" t="str">
            <v>RR8</v>
          </cell>
          <cell r="B502" t="str">
            <v>Q12</v>
          </cell>
          <cell r="C502" t="str">
            <v/>
          </cell>
          <cell r="D502" t="str">
            <v/>
          </cell>
          <cell r="E502">
            <v>0.94065089579186145</v>
          </cell>
          <cell r="F502" t="str">
            <v/>
          </cell>
          <cell r="G502" t="str">
            <v/>
          </cell>
          <cell r="H502" t="str">
            <v/>
          </cell>
          <cell r="J502" t="str">
            <v/>
          </cell>
          <cell r="K502" t="str">
            <v/>
          </cell>
          <cell r="L502" t="str">
            <v/>
          </cell>
          <cell r="M502">
            <v>10241</v>
          </cell>
          <cell r="N502" t="str">
            <v/>
          </cell>
          <cell r="Q502">
            <v>0.98998748435544426</v>
          </cell>
          <cell r="R502">
            <v>0.98622381581430463</v>
          </cell>
          <cell r="S502" t="str">
            <v/>
          </cell>
          <cell r="X502" t="str">
            <v/>
          </cell>
          <cell r="Y502" t="str">
            <v/>
          </cell>
          <cell r="Z502" t="str">
            <v/>
          </cell>
          <cell r="AB502">
            <v>1</v>
          </cell>
          <cell r="AD502" t="str">
            <v/>
          </cell>
          <cell r="AE502" t="str">
            <v/>
          </cell>
          <cell r="AF502" t="str">
            <v/>
          </cell>
          <cell r="AG502">
            <v>1.2482240714430689E-2</v>
          </cell>
          <cell r="AH502">
            <v>14</v>
          </cell>
          <cell r="AI502" t="str">
            <v/>
          </cell>
          <cell r="AJ502" t="str">
            <v/>
          </cell>
          <cell r="AK502" t="str">
            <v/>
          </cell>
          <cell r="AL502" t="str">
            <v/>
          </cell>
          <cell r="AM502" t="str">
            <v/>
          </cell>
          <cell r="AN502" t="str">
            <v/>
          </cell>
          <cell r="AO502">
            <v>309</v>
          </cell>
          <cell r="AQ502" t="str">
            <v/>
          </cell>
          <cell r="AR502" t="str">
            <v/>
          </cell>
          <cell r="AS502" t="str">
            <v/>
          </cell>
          <cell r="AU502" t="str">
            <v/>
          </cell>
          <cell r="AV502" t="str">
            <v/>
          </cell>
          <cell r="AW502" t="str">
            <v/>
          </cell>
          <cell r="AX502" t="str">
            <v/>
          </cell>
          <cell r="AY502" t="str">
            <v/>
          </cell>
          <cell r="AZ502" t="str">
            <v/>
          </cell>
          <cell r="BA502" t="str">
            <v/>
          </cell>
          <cell r="BB502" t="str">
            <v/>
          </cell>
          <cell r="BC502" t="str">
            <v/>
          </cell>
          <cell r="BD502" t="str">
            <v/>
          </cell>
          <cell r="BE502" t="str">
            <v/>
          </cell>
          <cell r="BF502" t="str">
            <v/>
          </cell>
          <cell r="BG502" t="str">
            <v/>
          </cell>
          <cell r="BH502" t="str">
            <v/>
          </cell>
          <cell r="BI502" t="str">
            <v/>
          </cell>
          <cell r="BJ502" t="str">
            <v/>
          </cell>
        </row>
        <row r="503">
          <cell r="A503" t="str">
            <v>RRD</v>
          </cell>
          <cell r="B503" t="str">
            <v>Q03</v>
          </cell>
          <cell r="C503" t="str">
            <v/>
          </cell>
          <cell r="D503" t="str">
            <v/>
          </cell>
          <cell r="E503" t="str">
            <v/>
          </cell>
          <cell r="F503" t="str">
            <v/>
          </cell>
          <cell r="G503" t="str">
            <v/>
          </cell>
          <cell r="H503" t="str">
            <v/>
          </cell>
          <cell r="J503" t="str">
            <v/>
          </cell>
          <cell r="K503" t="str">
            <v/>
          </cell>
          <cell r="L503" t="str">
            <v/>
          </cell>
          <cell r="M503" t="str">
            <v/>
          </cell>
          <cell r="N503" t="str">
            <v/>
          </cell>
          <cell r="Q503" t="str">
            <v/>
          </cell>
          <cell r="R503">
            <v>1</v>
          </cell>
          <cell r="S503" t="str">
            <v/>
          </cell>
          <cell r="X503" t="str">
            <v/>
          </cell>
          <cell r="Y503" t="str">
            <v/>
          </cell>
          <cell r="Z503" t="str">
            <v/>
          </cell>
          <cell r="AB503" t="str">
            <v/>
          </cell>
          <cell r="AD503" t="str">
            <v/>
          </cell>
          <cell r="AE503" t="str">
            <v/>
          </cell>
          <cell r="AF503" t="str">
            <v/>
          </cell>
          <cell r="AG503">
            <v>0</v>
          </cell>
          <cell r="AH503" t="str">
            <v/>
          </cell>
          <cell r="AI503" t="str">
            <v/>
          </cell>
          <cell r="AJ503" t="str">
            <v/>
          </cell>
          <cell r="AK503" t="str">
            <v/>
          </cell>
          <cell r="AL503" t="str">
            <v/>
          </cell>
          <cell r="AM503" t="str">
            <v/>
          </cell>
          <cell r="AN503" t="str">
            <v/>
          </cell>
          <cell r="AO503">
            <v>2474</v>
          </cell>
          <cell r="AQ503" t="str">
            <v/>
          </cell>
          <cell r="AR503" t="str">
            <v/>
          </cell>
          <cell r="AS503" t="str">
            <v/>
          </cell>
          <cell r="AU503" t="str">
            <v/>
          </cell>
          <cell r="AV503" t="str">
            <v/>
          </cell>
          <cell r="AW503" t="str">
            <v/>
          </cell>
          <cell r="AX503" t="str">
            <v/>
          </cell>
          <cell r="AY503" t="str">
            <v/>
          </cell>
          <cell r="AZ503" t="str">
            <v/>
          </cell>
          <cell r="BA503" t="str">
            <v/>
          </cell>
          <cell r="BB503" t="str">
            <v/>
          </cell>
          <cell r="BC503" t="str">
            <v/>
          </cell>
          <cell r="BD503" t="str">
            <v/>
          </cell>
          <cell r="BE503" t="str">
            <v/>
          </cell>
          <cell r="BF503" t="str">
            <v/>
          </cell>
          <cell r="BG503" t="str">
            <v/>
          </cell>
          <cell r="BH503" t="str">
            <v/>
          </cell>
          <cell r="BI503" t="str">
            <v/>
          </cell>
          <cell r="BJ503" t="str">
            <v/>
          </cell>
        </row>
        <row r="504">
          <cell r="A504" t="str">
            <v>RRE</v>
          </cell>
          <cell r="B504" t="str">
            <v>Q26</v>
          </cell>
          <cell r="C504" t="str">
            <v/>
          </cell>
          <cell r="D504" t="str">
            <v/>
          </cell>
          <cell r="E504" t="str">
            <v/>
          </cell>
          <cell r="F504" t="str">
            <v/>
          </cell>
          <cell r="G504" t="str">
            <v/>
          </cell>
          <cell r="H504" t="str">
            <v/>
          </cell>
          <cell r="J504" t="str">
            <v/>
          </cell>
          <cell r="K504" t="str">
            <v/>
          </cell>
          <cell r="L504" t="str">
            <v/>
          </cell>
          <cell r="M504" t="str">
            <v/>
          </cell>
          <cell r="N504" t="str">
            <v/>
          </cell>
          <cell r="Q504" t="str">
            <v/>
          </cell>
          <cell r="R504">
            <v>0.97297297297297303</v>
          </cell>
          <cell r="S504" t="str">
            <v/>
          </cell>
          <cell r="X504" t="str">
            <v/>
          </cell>
          <cell r="Y504" t="str">
            <v/>
          </cell>
          <cell r="Z504" t="str">
            <v/>
          </cell>
          <cell r="AB504" t="str">
            <v/>
          </cell>
          <cell r="AD504" t="str">
            <v/>
          </cell>
          <cell r="AE504" t="str">
            <v/>
          </cell>
          <cell r="AF504" t="str">
            <v/>
          </cell>
          <cell r="AG504">
            <v>0</v>
          </cell>
          <cell r="AH504" t="str">
            <v/>
          </cell>
          <cell r="AI504" t="str">
            <v/>
          </cell>
          <cell r="AJ504" t="str">
            <v/>
          </cell>
          <cell r="AK504" t="str">
            <v/>
          </cell>
          <cell r="AL504" t="str">
            <v/>
          </cell>
          <cell r="AM504" t="str">
            <v/>
          </cell>
          <cell r="AN504" t="str">
            <v/>
          </cell>
          <cell r="AO504">
            <v>0.52102000000013504</v>
          </cell>
          <cell r="AQ504" t="str">
            <v/>
          </cell>
          <cell r="AR504" t="str">
            <v/>
          </cell>
          <cell r="AS504" t="str">
            <v/>
          </cell>
          <cell r="AU504" t="str">
            <v/>
          </cell>
          <cell r="AV504" t="str">
            <v/>
          </cell>
          <cell r="AW504" t="str">
            <v/>
          </cell>
          <cell r="AX504" t="str">
            <v/>
          </cell>
          <cell r="AY504" t="str">
            <v/>
          </cell>
          <cell r="AZ504" t="str">
            <v/>
          </cell>
          <cell r="BA504" t="str">
            <v/>
          </cell>
          <cell r="BB504" t="str">
            <v/>
          </cell>
          <cell r="BC504" t="str">
            <v/>
          </cell>
          <cell r="BD504" t="str">
            <v/>
          </cell>
          <cell r="BE504" t="str">
            <v/>
          </cell>
          <cell r="BF504" t="str">
            <v/>
          </cell>
          <cell r="BG504" t="str">
            <v/>
          </cell>
          <cell r="BH504" t="str">
            <v/>
          </cell>
          <cell r="BI504" t="str">
            <v/>
          </cell>
          <cell r="BJ504" t="str">
            <v/>
          </cell>
        </row>
        <row r="505">
          <cell r="A505" t="str">
            <v>RRF</v>
          </cell>
          <cell r="B505" t="str">
            <v>Q14</v>
          </cell>
          <cell r="C505" t="str">
            <v/>
          </cell>
          <cell r="D505" t="str">
            <v/>
          </cell>
          <cell r="E505">
            <v>0.97958421511266025</v>
          </cell>
          <cell r="F505" t="str">
            <v/>
          </cell>
          <cell r="G505" t="str">
            <v/>
          </cell>
          <cell r="H505" t="str">
            <v/>
          </cell>
          <cell r="J505" t="str">
            <v/>
          </cell>
          <cell r="K505" t="str">
            <v/>
          </cell>
          <cell r="L505" t="str">
            <v/>
          </cell>
          <cell r="M505">
            <v>6778</v>
          </cell>
          <cell r="N505" t="str">
            <v/>
          </cell>
          <cell r="Q505">
            <v>1</v>
          </cell>
          <cell r="R505">
            <v>1</v>
          </cell>
          <cell r="S505" t="str">
            <v/>
          </cell>
          <cell r="X505" t="str">
            <v/>
          </cell>
          <cell r="Y505" t="str">
            <v/>
          </cell>
          <cell r="Z505" t="str">
            <v/>
          </cell>
          <cell r="AB505">
            <v>0.99646643109540634</v>
          </cell>
          <cell r="AD505" t="str">
            <v/>
          </cell>
          <cell r="AE505" t="str">
            <v/>
          </cell>
          <cell r="AF505" t="str">
            <v/>
          </cell>
          <cell r="AG505">
            <v>2.2582228767795778E-2</v>
          </cell>
          <cell r="AH505">
            <v>0.66666666666666663</v>
          </cell>
          <cell r="AI505" t="str">
            <v/>
          </cell>
          <cell r="AJ505" t="str">
            <v/>
          </cell>
          <cell r="AK505" t="str">
            <v/>
          </cell>
          <cell r="AL505" t="str">
            <v/>
          </cell>
          <cell r="AM505" t="str">
            <v/>
          </cell>
          <cell r="AN505" t="str">
            <v/>
          </cell>
          <cell r="AO505">
            <v>1697</v>
          </cell>
          <cell r="AQ505" t="str">
            <v/>
          </cell>
          <cell r="AR505" t="str">
            <v/>
          </cell>
          <cell r="AS505" t="str">
            <v/>
          </cell>
          <cell r="AU505" t="str">
            <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row>
        <row r="506">
          <cell r="A506" t="str">
            <v>RRJ</v>
          </cell>
          <cell r="B506" t="str">
            <v>Q27</v>
          </cell>
          <cell r="C506" t="str">
            <v/>
          </cell>
          <cell r="D506" t="str">
            <v/>
          </cell>
          <cell r="E506" t="str">
            <v/>
          </cell>
          <cell r="F506" t="str">
            <v/>
          </cell>
          <cell r="G506" t="str">
            <v/>
          </cell>
          <cell r="H506" t="str">
            <v/>
          </cell>
          <cell r="J506" t="str">
            <v/>
          </cell>
          <cell r="K506" t="str">
            <v/>
          </cell>
          <cell r="L506" t="str">
            <v/>
          </cell>
          <cell r="M506">
            <v>2310</v>
          </cell>
          <cell r="N506" t="str">
            <v/>
          </cell>
          <cell r="Q506">
            <v>1</v>
          </cell>
          <cell r="R506">
            <v>1</v>
          </cell>
          <cell r="S506" t="str">
            <v/>
          </cell>
          <cell r="X506" t="str">
            <v/>
          </cell>
          <cell r="Y506" t="str">
            <v/>
          </cell>
          <cell r="Z506" t="str">
            <v/>
          </cell>
          <cell r="AB506" t="str">
            <v/>
          </cell>
          <cell r="AD506" t="str">
            <v/>
          </cell>
          <cell r="AE506" t="str">
            <v/>
          </cell>
          <cell r="AF506" t="str">
            <v/>
          </cell>
          <cell r="AG506">
            <v>0</v>
          </cell>
          <cell r="AH506">
            <v>0</v>
          </cell>
          <cell r="AI506" t="str">
            <v/>
          </cell>
          <cell r="AJ506" t="str">
            <v/>
          </cell>
          <cell r="AK506" t="str">
            <v/>
          </cell>
          <cell r="AL506" t="str">
            <v/>
          </cell>
          <cell r="AM506" t="str">
            <v/>
          </cell>
          <cell r="AN506" t="str">
            <v/>
          </cell>
          <cell r="AO506">
            <v>514</v>
          </cell>
          <cell r="AQ506" t="str">
            <v/>
          </cell>
          <cell r="AR506" t="str">
            <v/>
          </cell>
          <cell r="AS506" t="str">
            <v/>
          </cell>
          <cell r="AU506" t="str">
            <v/>
          </cell>
          <cell r="AV506" t="str">
            <v/>
          </cell>
          <cell r="AW506" t="str">
            <v/>
          </cell>
          <cell r="AX506" t="str">
            <v/>
          </cell>
          <cell r="AY506" t="str">
            <v/>
          </cell>
          <cell r="AZ506" t="str">
            <v/>
          </cell>
          <cell r="BA506" t="str">
            <v/>
          </cell>
          <cell r="BB506" t="str">
            <v/>
          </cell>
          <cell r="BC506" t="str">
            <v/>
          </cell>
          <cell r="BD506" t="str">
            <v/>
          </cell>
          <cell r="BE506" t="str">
            <v/>
          </cell>
          <cell r="BF506" t="str">
            <v/>
          </cell>
          <cell r="BG506" t="str">
            <v/>
          </cell>
          <cell r="BH506" t="str">
            <v/>
          </cell>
          <cell r="BI506" t="str">
            <v/>
          </cell>
          <cell r="BJ506" t="str">
            <v/>
          </cell>
        </row>
        <row r="507">
          <cell r="A507" t="str">
            <v>RRK</v>
          </cell>
          <cell r="B507" t="str">
            <v>Q27</v>
          </cell>
          <cell r="C507" t="str">
            <v/>
          </cell>
          <cell r="D507" t="str">
            <v/>
          </cell>
          <cell r="E507">
            <v>0.98840772818121247</v>
          </cell>
          <cell r="F507" t="str">
            <v/>
          </cell>
          <cell r="G507" t="str">
            <v/>
          </cell>
          <cell r="H507" t="str">
            <v/>
          </cell>
          <cell r="J507" t="str">
            <v/>
          </cell>
          <cell r="K507" t="str">
            <v/>
          </cell>
          <cell r="L507" t="str">
            <v/>
          </cell>
          <cell r="M507">
            <v>3431</v>
          </cell>
          <cell r="N507" t="str">
            <v/>
          </cell>
          <cell r="Q507">
            <v>1</v>
          </cell>
          <cell r="R507">
            <v>1</v>
          </cell>
          <cell r="S507" t="str">
            <v/>
          </cell>
          <cell r="X507" t="str">
            <v/>
          </cell>
          <cell r="Y507" t="str">
            <v/>
          </cell>
          <cell r="Z507" t="str">
            <v/>
          </cell>
          <cell r="AB507">
            <v>0.99305555555555558</v>
          </cell>
          <cell r="AD507" t="str">
            <v/>
          </cell>
          <cell r="AE507" t="str">
            <v/>
          </cell>
          <cell r="AF507" t="str">
            <v/>
          </cell>
          <cell r="AG507">
            <v>2.1122510561255279E-2</v>
          </cell>
          <cell r="AH507">
            <v>11</v>
          </cell>
          <cell r="AI507" t="str">
            <v/>
          </cell>
          <cell r="AJ507" t="str">
            <v/>
          </cell>
          <cell r="AK507" t="str">
            <v/>
          </cell>
          <cell r="AL507" t="str">
            <v/>
          </cell>
          <cell r="AM507" t="str">
            <v/>
          </cell>
          <cell r="AN507" t="str">
            <v/>
          </cell>
          <cell r="AO507" t="str">
            <v/>
          </cell>
          <cell r="AQ507" t="str">
            <v/>
          </cell>
          <cell r="AR507" t="str">
            <v/>
          </cell>
          <cell r="AS507" t="str">
            <v/>
          </cell>
          <cell r="AU507" t="str">
            <v/>
          </cell>
          <cell r="AV507" t="str">
            <v/>
          </cell>
          <cell r="AW507" t="str">
            <v/>
          </cell>
          <cell r="AX507" t="str">
            <v/>
          </cell>
          <cell r="AY507" t="str">
            <v/>
          </cell>
          <cell r="AZ507" t="str">
            <v/>
          </cell>
          <cell r="BA507" t="str">
            <v/>
          </cell>
          <cell r="BB507" t="str">
            <v/>
          </cell>
          <cell r="BC507" t="str">
            <v/>
          </cell>
          <cell r="BD507" t="str">
            <v/>
          </cell>
          <cell r="BE507" t="str">
            <v/>
          </cell>
          <cell r="BF507" t="str">
            <v/>
          </cell>
          <cell r="BG507" t="str">
            <v/>
          </cell>
          <cell r="BH507" t="str">
            <v/>
          </cell>
          <cell r="BI507" t="str">
            <v/>
          </cell>
          <cell r="BJ507" t="str">
            <v/>
          </cell>
        </row>
        <row r="508">
          <cell r="A508" t="str">
            <v>RRP</v>
          </cell>
          <cell r="B508" t="str">
            <v>Q05</v>
          </cell>
          <cell r="C508" t="str">
            <v/>
          </cell>
          <cell r="D508" t="str">
            <v/>
          </cell>
          <cell r="E508" t="str">
            <v/>
          </cell>
          <cell r="F508" t="str">
            <v/>
          </cell>
          <cell r="G508" t="str">
            <v/>
          </cell>
          <cell r="H508" t="str">
            <v/>
          </cell>
          <cell r="J508" t="str">
            <v/>
          </cell>
          <cell r="K508" t="str">
            <v/>
          </cell>
          <cell r="L508" t="str">
            <v/>
          </cell>
          <cell r="M508" t="str">
            <v/>
          </cell>
          <cell r="N508" t="str">
            <v/>
          </cell>
          <cell r="Q508" t="str">
            <v/>
          </cell>
          <cell r="R508" t="str">
            <v/>
          </cell>
          <cell r="S508" t="str">
            <v/>
          </cell>
          <cell r="X508" t="str">
            <v/>
          </cell>
          <cell r="Y508" t="str">
            <v/>
          </cell>
          <cell r="Z508" t="str">
            <v/>
          </cell>
          <cell r="AB508" t="str">
            <v/>
          </cell>
          <cell r="AD508" t="str">
            <v/>
          </cell>
          <cell r="AE508" t="str">
            <v/>
          </cell>
          <cell r="AF508" t="str">
            <v/>
          </cell>
          <cell r="AG508">
            <v>0</v>
          </cell>
          <cell r="AH508" t="str">
            <v/>
          </cell>
          <cell r="AI508" t="str">
            <v/>
          </cell>
          <cell r="AJ508" t="str">
            <v/>
          </cell>
          <cell r="AK508" t="str">
            <v/>
          </cell>
          <cell r="AL508" t="str">
            <v/>
          </cell>
          <cell r="AM508" t="str">
            <v/>
          </cell>
          <cell r="AN508" t="str">
            <v/>
          </cell>
          <cell r="AO508">
            <v>53</v>
          </cell>
          <cell r="AQ508" t="str">
            <v/>
          </cell>
          <cell r="AR508" t="str">
            <v/>
          </cell>
          <cell r="AS508" t="str">
            <v/>
          </cell>
          <cell r="AU508" t="str">
            <v/>
          </cell>
          <cell r="AV508" t="str">
            <v/>
          </cell>
          <cell r="AW508" t="str">
            <v/>
          </cell>
          <cell r="AX508" t="str">
            <v/>
          </cell>
          <cell r="AY508" t="str">
            <v/>
          </cell>
          <cell r="AZ508" t="str">
            <v/>
          </cell>
          <cell r="BA508" t="str">
            <v/>
          </cell>
          <cell r="BB508" t="str">
            <v/>
          </cell>
          <cell r="BC508" t="str">
            <v/>
          </cell>
          <cell r="BD508" t="str">
            <v/>
          </cell>
          <cell r="BE508" t="str">
            <v/>
          </cell>
          <cell r="BF508" t="str">
            <v/>
          </cell>
          <cell r="BG508" t="str">
            <v/>
          </cell>
          <cell r="BH508" t="str">
            <v/>
          </cell>
          <cell r="BI508" t="str">
            <v/>
          </cell>
          <cell r="BJ508" t="str">
            <v/>
          </cell>
        </row>
        <row r="509">
          <cell r="A509" t="str">
            <v>RRR</v>
          </cell>
          <cell r="B509" t="str">
            <v>Q08</v>
          </cell>
          <cell r="C509" t="str">
            <v/>
          </cell>
          <cell r="D509" t="str">
            <v/>
          </cell>
          <cell r="E509" t="str">
            <v/>
          </cell>
          <cell r="J509" t="str">
            <v/>
          </cell>
          <cell r="K509" t="str">
            <v/>
          </cell>
          <cell r="L509" t="str">
            <v/>
          </cell>
          <cell r="M509" t="str">
            <v/>
          </cell>
          <cell r="Q509" t="str">
            <v/>
          </cell>
          <cell r="R509" t="str">
            <v/>
          </cell>
          <cell r="X509" t="str">
            <v/>
          </cell>
          <cell r="Y509" t="str">
            <v/>
          </cell>
          <cell r="Z509" t="str">
            <v/>
          </cell>
          <cell r="AB509" t="str">
            <v/>
          </cell>
          <cell r="AD509" t="str">
            <v/>
          </cell>
          <cell r="AE509" t="str">
            <v/>
          </cell>
          <cell r="AF509" t="str">
            <v/>
          </cell>
          <cell r="AG509">
            <v>0</v>
          </cell>
          <cell r="AH509" t="str">
            <v/>
          </cell>
          <cell r="AI509" t="str">
            <v/>
          </cell>
          <cell r="AJ509" t="str">
            <v/>
          </cell>
          <cell r="AK509" t="str">
            <v/>
          </cell>
          <cell r="AL509" t="str">
            <v/>
          </cell>
          <cell r="AM509" t="str">
            <v/>
          </cell>
          <cell r="AN509" t="str">
            <v/>
          </cell>
          <cell r="AO509" t="str">
            <v/>
          </cell>
          <cell r="AS509" t="str">
            <v/>
          </cell>
          <cell r="BB509" t="str">
            <v/>
          </cell>
          <cell r="BC509" t="str">
            <v/>
          </cell>
          <cell r="BD509" t="str">
            <v/>
          </cell>
          <cell r="BE509" t="str">
            <v/>
          </cell>
          <cell r="BF509" t="str">
            <v/>
          </cell>
          <cell r="BG509" t="str">
            <v/>
          </cell>
          <cell r="BH509" t="str">
            <v/>
          </cell>
          <cell r="BI509" t="str">
            <v/>
          </cell>
          <cell r="BJ509" t="str">
            <v/>
          </cell>
        </row>
        <row r="510">
          <cell r="A510" t="str">
            <v>RRU</v>
          </cell>
          <cell r="B510" t="str">
            <v>Q08</v>
          </cell>
          <cell r="C510">
            <v>0.7789833104636692</v>
          </cell>
          <cell r="D510">
            <v>0.6982610100139981</v>
          </cell>
          <cell r="E510" t="str">
            <v/>
          </cell>
          <cell r="F510" t="str">
            <v/>
          </cell>
          <cell r="G510" t="str">
            <v/>
          </cell>
          <cell r="H510" t="str">
            <v/>
          </cell>
          <cell r="J510" t="str">
            <v/>
          </cell>
          <cell r="K510" t="str">
            <v/>
          </cell>
          <cell r="L510" t="str">
            <v/>
          </cell>
          <cell r="M510" t="str">
            <v/>
          </cell>
          <cell r="N510" t="str">
            <v/>
          </cell>
          <cell r="Q510" t="str">
            <v/>
          </cell>
          <cell r="R510" t="str">
            <v/>
          </cell>
          <cell r="S510" t="str">
            <v/>
          </cell>
          <cell r="X510" t="str">
            <v/>
          </cell>
          <cell r="Y510" t="str">
            <v/>
          </cell>
          <cell r="Z510" t="str">
            <v/>
          </cell>
          <cell r="AB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v>1273</v>
          </cell>
          <cell r="AQ510" t="str">
            <v/>
          </cell>
          <cell r="AR510" t="str">
            <v/>
          </cell>
          <cell r="AS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row>
        <row r="511">
          <cell r="A511" t="str">
            <v>RRV</v>
          </cell>
          <cell r="B511" t="str">
            <v>Q05</v>
          </cell>
          <cell r="C511" t="str">
            <v/>
          </cell>
          <cell r="D511" t="str">
            <v/>
          </cell>
          <cell r="E511">
            <v>0.98484141791044777</v>
          </cell>
          <cell r="F511" t="str">
            <v/>
          </cell>
          <cell r="G511" t="str">
            <v/>
          </cell>
          <cell r="H511" t="str">
            <v/>
          </cell>
          <cell r="J511" t="str">
            <v/>
          </cell>
          <cell r="K511" t="str">
            <v/>
          </cell>
          <cell r="L511" t="str">
            <v/>
          </cell>
          <cell r="M511">
            <v>5487</v>
          </cell>
          <cell r="N511" t="str">
            <v/>
          </cell>
          <cell r="Q511">
            <v>1</v>
          </cell>
          <cell r="R511">
            <v>1</v>
          </cell>
          <cell r="S511" t="str">
            <v/>
          </cell>
          <cell r="X511" t="str">
            <v/>
          </cell>
          <cell r="Y511" t="str">
            <v/>
          </cell>
          <cell r="Z511" t="str">
            <v/>
          </cell>
          <cell r="AB511">
            <v>0.96261682242990654</v>
          </cell>
          <cell r="AD511" t="str">
            <v/>
          </cell>
          <cell r="AE511" t="str">
            <v/>
          </cell>
          <cell r="AF511" t="str">
            <v/>
          </cell>
          <cell r="AG511">
            <v>6.2344139650872821E-3</v>
          </cell>
          <cell r="AH511">
            <v>4.333333333333333</v>
          </cell>
          <cell r="AI511" t="str">
            <v/>
          </cell>
          <cell r="AJ511" t="str">
            <v/>
          </cell>
          <cell r="AK511" t="str">
            <v/>
          </cell>
          <cell r="AL511" t="str">
            <v/>
          </cell>
          <cell r="AM511" t="str">
            <v/>
          </cell>
          <cell r="AN511" t="str">
            <v/>
          </cell>
          <cell r="AO511" t="str">
            <v/>
          </cell>
          <cell r="AQ511" t="str">
            <v/>
          </cell>
          <cell r="AR511" t="str">
            <v/>
          </cell>
          <cell r="AS511" t="str">
            <v/>
          </cell>
          <cell r="AU511" t="str">
            <v/>
          </cell>
          <cell r="AV511" t="str">
            <v/>
          </cell>
          <cell r="AW511" t="str">
            <v/>
          </cell>
          <cell r="AX511" t="str">
            <v/>
          </cell>
          <cell r="AY511" t="str">
            <v/>
          </cell>
          <cell r="AZ511" t="str">
            <v/>
          </cell>
          <cell r="BA511" t="str">
            <v/>
          </cell>
          <cell r="BB511" t="str">
            <v/>
          </cell>
          <cell r="BC511" t="str">
            <v/>
          </cell>
          <cell r="BD511" t="str">
            <v/>
          </cell>
          <cell r="BE511" t="str">
            <v/>
          </cell>
          <cell r="BF511" t="str">
            <v/>
          </cell>
          <cell r="BG511" t="str">
            <v/>
          </cell>
          <cell r="BH511" t="str">
            <v/>
          </cell>
          <cell r="BI511" t="str">
            <v/>
          </cell>
          <cell r="BJ511" t="str">
            <v/>
          </cell>
        </row>
        <row r="512">
          <cell r="A512" t="str">
            <v>RT1</v>
          </cell>
          <cell r="B512" t="str">
            <v>Q01</v>
          </cell>
          <cell r="C512" t="str">
            <v/>
          </cell>
          <cell r="D512" t="str">
            <v/>
          </cell>
          <cell r="E512" t="str">
            <v/>
          </cell>
          <cell r="F512" t="str">
            <v/>
          </cell>
          <cell r="G512" t="str">
            <v/>
          </cell>
          <cell r="H512" t="str">
            <v/>
          </cell>
          <cell r="J512" t="str">
            <v/>
          </cell>
          <cell r="K512" t="str">
            <v/>
          </cell>
          <cell r="L512" t="str">
            <v/>
          </cell>
          <cell r="M512" t="str">
            <v/>
          </cell>
          <cell r="N512" t="str">
            <v/>
          </cell>
          <cell r="Q512" t="str">
            <v/>
          </cell>
          <cell r="R512">
            <v>1</v>
          </cell>
          <cell r="S512" t="str">
            <v/>
          </cell>
          <cell r="X512" t="str">
            <v/>
          </cell>
          <cell r="Y512" t="str">
            <v/>
          </cell>
          <cell r="Z512" t="str">
            <v/>
          </cell>
          <cell r="AB512" t="str">
            <v/>
          </cell>
          <cell r="AD512" t="str">
            <v/>
          </cell>
          <cell r="AE512" t="str">
            <v/>
          </cell>
          <cell r="AF512" t="str">
            <v/>
          </cell>
          <cell r="AG512">
            <v>0</v>
          </cell>
          <cell r="AH512" t="str">
            <v/>
          </cell>
          <cell r="AI512" t="str">
            <v/>
          </cell>
          <cell r="AJ512" t="str">
            <v/>
          </cell>
          <cell r="AK512" t="str">
            <v/>
          </cell>
          <cell r="AL512" t="str">
            <v/>
          </cell>
          <cell r="AM512" t="str">
            <v/>
          </cell>
          <cell r="AN512" t="str">
            <v/>
          </cell>
          <cell r="AO512">
            <v>92</v>
          </cell>
          <cell r="AQ512" t="str">
            <v/>
          </cell>
          <cell r="AR512" t="str">
            <v/>
          </cell>
          <cell r="AS512" t="str">
            <v/>
          </cell>
          <cell r="AU512" t="str">
            <v/>
          </cell>
          <cell r="AV512" t="str">
            <v/>
          </cell>
          <cell r="AW512" t="str">
            <v/>
          </cell>
          <cell r="AX512" t="str">
            <v/>
          </cell>
          <cell r="AY512" t="str">
            <v/>
          </cell>
          <cell r="AZ512" t="str">
            <v/>
          </cell>
          <cell r="BA512" t="str">
            <v/>
          </cell>
          <cell r="BB512" t="str">
            <v/>
          </cell>
          <cell r="BC512" t="str">
            <v/>
          </cell>
          <cell r="BD512" t="str">
            <v/>
          </cell>
          <cell r="BE512" t="str">
            <v/>
          </cell>
          <cell r="BF512" t="str">
            <v/>
          </cell>
          <cell r="BG512" t="str">
            <v/>
          </cell>
          <cell r="BH512" t="str">
            <v/>
          </cell>
          <cell r="BI512" t="str">
            <v/>
          </cell>
          <cell r="BJ512" t="str">
            <v/>
          </cell>
        </row>
        <row r="513">
          <cell r="A513" t="str">
            <v>RT2</v>
          </cell>
          <cell r="B513" t="str">
            <v>Q14</v>
          </cell>
          <cell r="C513" t="str">
            <v/>
          </cell>
          <cell r="D513" t="str">
            <v/>
          </cell>
          <cell r="E513" t="str">
            <v/>
          </cell>
          <cell r="F513" t="str">
            <v/>
          </cell>
          <cell r="G513" t="str">
            <v/>
          </cell>
          <cell r="H513" t="str">
            <v/>
          </cell>
          <cell r="J513" t="str">
            <v/>
          </cell>
          <cell r="K513" t="str">
            <v/>
          </cell>
          <cell r="L513" t="str">
            <v/>
          </cell>
          <cell r="M513" t="str">
            <v/>
          </cell>
          <cell r="N513" t="str">
            <v/>
          </cell>
          <cell r="Q513" t="str">
            <v/>
          </cell>
          <cell r="R513">
            <v>0.89935064935064934</v>
          </cell>
          <cell r="S513" t="str">
            <v/>
          </cell>
          <cell r="X513" t="str">
            <v/>
          </cell>
          <cell r="Y513" t="str">
            <v/>
          </cell>
          <cell r="Z513" t="str">
            <v/>
          </cell>
          <cell r="AB513" t="str">
            <v/>
          </cell>
          <cell r="AD513" t="str">
            <v/>
          </cell>
          <cell r="AE513" t="str">
            <v/>
          </cell>
          <cell r="AF513" t="str">
            <v/>
          </cell>
          <cell r="AG513">
            <v>0</v>
          </cell>
          <cell r="AH513" t="str">
            <v/>
          </cell>
          <cell r="AI513" t="str">
            <v/>
          </cell>
          <cell r="AJ513" t="str">
            <v/>
          </cell>
          <cell r="AK513" t="str">
            <v/>
          </cell>
          <cell r="AL513" t="str">
            <v/>
          </cell>
          <cell r="AM513" t="str">
            <v/>
          </cell>
          <cell r="AN513" t="str">
            <v/>
          </cell>
          <cell r="AO513">
            <v>82</v>
          </cell>
          <cell r="AQ513" t="str">
            <v/>
          </cell>
          <cell r="AR513" t="str">
            <v/>
          </cell>
          <cell r="AS513" t="str">
            <v/>
          </cell>
          <cell r="AU513" t="str">
            <v/>
          </cell>
          <cell r="AV513" t="str">
            <v/>
          </cell>
          <cell r="AW513" t="str">
            <v/>
          </cell>
          <cell r="AX513" t="str">
            <v/>
          </cell>
          <cell r="AY513" t="str">
            <v/>
          </cell>
          <cell r="AZ513" t="str">
            <v/>
          </cell>
          <cell r="BA513" t="str">
            <v/>
          </cell>
          <cell r="BB513" t="str">
            <v/>
          </cell>
          <cell r="BC513" t="str">
            <v/>
          </cell>
          <cell r="BD513" t="str">
            <v/>
          </cell>
          <cell r="BE513" t="str">
            <v/>
          </cell>
          <cell r="BF513" t="str">
            <v/>
          </cell>
          <cell r="BG513" t="str">
            <v/>
          </cell>
          <cell r="BH513" t="str">
            <v/>
          </cell>
          <cell r="BI513" t="str">
            <v/>
          </cell>
          <cell r="BJ513" t="str">
            <v/>
          </cell>
        </row>
        <row r="514">
          <cell r="A514" t="str">
            <v>RT3</v>
          </cell>
          <cell r="B514" t="str">
            <v>Q04</v>
          </cell>
          <cell r="C514" t="str">
            <v/>
          </cell>
          <cell r="D514" t="str">
            <v/>
          </cell>
          <cell r="E514" t="str">
            <v/>
          </cell>
          <cell r="F514" t="str">
            <v/>
          </cell>
          <cell r="G514" t="str">
            <v/>
          </cell>
          <cell r="H514" t="str">
            <v/>
          </cell>
          <cell r="J514" t="str">
            <v/>
          </cell>
          <cell r="K514" t="str">
            <v/>
          </cell>
          <cell r="L514" t="str">
            <v/>
          </cell>
          <cell r="M514">
            <v>1646</v>
          </cell>
          <cell r="N514" t="str">
            <v/>
          </cell>
          <cell r="Q514">
            <v>1</v>
          </cell>
          <cell r="R514">
            <v>1</v>
          </cell>
          <cell r="S514" t="str">
            <v/>
          </cell>
          <cell r="X514" t="str">
            <v/>
          </cell>
          <cell r="Y514" t="str">
            <v/>
          </cell>
          <cell r="Z514" t="str">
            <v/>
          </cell>
          <cell r="AB514">
            <v>1</v>
          </cell>
          <cell r="AD514" t="str">
            <v/>
          </cell>
          <cell r="AE514" t="str">
            <v/>
          </cell>
          <cell r="AF514" t="str">
            <v/>
          </cell>
          <cell r="AG514">
            <v>0</v>
          </cell>
          <cell r="AH514">
            <v>0</v>
          </cell>
          <cell r="AI514" t="str">
            <v/>
          </cell>
          <cell r="AJ514" t="str">
            <v/>
          </cell>
          <cell r="AK514" t="str">
            <v/>
          </cell>
          <cell r="AL514" t="str">
            <v/>
          </cell>
          <cell r="AM514" t="str">
            <v/>
          </cell>
          <cell r="AN514" t="str">
            <v/>
          </cell>
          <cell r="AO514">
            <v>3240</v>
          </cell>
          <cell r="AQ514" t="str">
            <v/>
          </cell>
          <cell r="AR514" t="str">
            <v/>
          </cell>
          <cell r="AS514" t="str">
            <v/>
          </cell>
          <cell r="AU514" t="str">
            <v/>
          </cell>
          <cell r="AV514" t="str">
            <v/>
          </cell>
          <cell r="AW514" t="str">
            <v/>
          </cell>
          <cell r="AX514" t="str">
            <v/>
          </cell>
          <cell r="AY514" t="str">
            <v/>
          </cell>
          <cell r="AZ514" t="str">
            <v/>
          </cell>
          <cell r="BA514" t="str">
            <v/>
          </cell>
          <cell r="BB514" t="str">
            <v/>
          </cell>
          <cell r="BC514" t="str">
            <v/>
          </cell>
          <cell r="BD514" t="str">
            <v/>
          </cell>
          <cell r="BE514" t="str">
            <v/>
          </cell>
          <cell r="BF514" t="str">
            <v/>
          </cell>
          <cell r="BG514" t="str">
            <v/>
          </cell>
          <cell r="BH514" t="str">
            <v/>
          </cell>
          <cell r="BI514" t="str">
            <v/>
          </cell>
          <cell r="BJ514" t="str">
            <v/>
          </cell>
        </row>
        <row r="515">
          <cell r="A515" t="str">
            <v>RT5</v>
          </cell>
          <cell r="B515" t="str">
            <v>Q25</v>
          </cell>
          <cell r="C515" t="str">
            <v/>
          </cell>
          <cell r="D515" t="str">
            <v/>
          </cell>
          <cell r="E515" t="str">
            <v/>
          </cell>
          <cell r="F515" t="str">
            <v/>
          </cell>
          <cell r="G515" t="str">
            <v/>
          </cell>
          <cell r="H515" t="str">
            <v/>
          </cell>
          <cell r="J515" t="str">
            <v/>
          </cell>
          <cell r="K515" t="str">
            <v/>
          </cell>
          <cell r="L515" t="str">
            <v/>
          </cell>
          <cell r="M515">
            <v>0</v>
          </cell>
          <cell r="N515" t="str">
            <v/>
          </cell>
          <cell r="Q515" t="str">
            <v/>
          </cell>
          <cell r="R515">
            <v>1</v>
          </cell>
          <cell r="S515" t="str">
            <v/>
          </cell>
          <cell r="X515" t="str">
            <v/>
          </cell>
          <cell r="Y515" t="str">
            <v/>
          </cell>
          <cell r="Z515" t="str">
            <v/>
          </cell>
          <cell r="AB515" t="str">
            <v/>
          </cell>
          <cell r="AD515" t="str">
            <v/>
          </cell>
          <cell r="AE515" t="str">
            <v/>
          </cell>
          <cell r="AF515" t="str">
            <v/>
          </cell>
          <cell r="AG515">
            <v>0</v>
          </cell>
          <cell r="AH515" t="str">
            <v/>
          </cell>
          <cell r="AI515" t="str">
            <v/>
          </cell>
          <cell r="AJ515" t="str">
            <v/>
          </cell>
          <cell r="AK515" t="str">
            <v/>
          </cell>
          <cell r="AL515" t="str">
            <v/>
          </cell>
          <cell r="AM515" t="str">
            <v/>
          </cell>
          <cell r="AN515" t="str">
            <v/>
          </cell>
          <cell r="AO515">
            <v>18</v>
          </cell>
          <cell r="AQ515" t="str">
            <v/>
          </cell>
          <cell r="AR515" t="str">
            <v/>
          </cell>
          <cell r="AS515" t="str">
            <v/>
          </cell>
          <cell r="AU515" t="str">
            <v/>
          </cell>
          <cell r="AV515" t="str">
            <v/>
          </cell>
          <cell r="AW515" t="str">
            <v/>
          </cell>
          <cell r="AX515" t="str">
            <v/>
          </cell>
          <cell r="AY515" t="str">
            <v/>
          </cell>
          <cell r="AZ515" t="str">
            <v/>
          </cell>
          <cell r="BA515" t="str">
            <v/>
          </cell>
          <cell r="BB515" t="str">
            <v/>
          </cell>
          <cell r="BC515" t="str">
            <v/>
          </cell>
          <cell r="BD515" t="str">
            <v/>
          </cell>
          <cell r="BE515" t="str">
            <v/>
          </cell>
          <cell r="BF515" t="str">
            <v/>
          </cell>
          <cell r="BG515" t="str">
            <v/>
          </cell>
          <cell r="BH515" t="str">
            <v/>
          </cell>
          <cell r="BI515" t="str">
            <v/>
          </cell>
          <cell r="BJ515" t="str">
            <v/>
          </cell>
        </row>
        <row r="516">
          <cell r="A516" t="str">
            <v>RT6</v>
          </cell>
          <cell r="B516" t="str">
            <v>Q01</v>
          </cell>
          <cell r="C516" t="str">
            <v/>
          </cell>
          <cell r="D516" t="str">
            <v/>
          </cell>
          <cell r="E516" t="str">
            <v/>
          </cell>
          <cell r="F516" t="str">
            <v/>
          </cell>
          <cell r="G516" t="str">
            <v/>
          </cell>
          <cell r="H516" t="str">
            <v/>
          </cell>
          <cell r="J516" t="str">
            <v/>
          </cell>
          <cell r="K516" t="str">
            <v/>
          </cell>
          <cell r="L516" t="str">
            <v/>
          </cell>
          <cell r="M516" t="str">
            <v/>
          </cell>
          <cell r="N516" t="str">
            <v/>
          </cell>
          <cell r="Q516" t="str">
            <v/>
          </cell>
          <cell r="R516" t="str">
            <v/>
          </cell>
          <cell r="S516" t="str">
            <v/>
          </cell>
          <cell r="X516" t="str">
            <v/>
          </cell>
          <cell r="Y516" t="str">
            <v/>
          </cell>
          <cell r="Z516" t="str">
            <v/>
          </cell>
          <cell r="AB516" t="str">
            <v/>
          </cell>
          <cell r="AD516" t="str">
            <v/>
          </cell>
          <cell r="AE516" t="str">
            <v/>
          </cell>
          <cell r="AF516" t="str">
            <v/>
          </cell>
          <cell r="AG516">
            <v>0</v>
          </cell>
          <cell r="AH516" t="str">
            <v/>
          </cell>
          <cell r="AI516" t="str">
            <v/>
          </cell>
          <cell r="AJ516" t="str">
            <v/>
          </cell>
          <cell r="AK516" t="str">
            <v/>
          </cell>
          <cell r="AL516" t="str">
            <v/>
          </cell>
          <cell r="AM516" t="str">
            <v/>
          </cell>
          <cell r="AN516" t="str">
            <v/>
          </cell>
          <cell r="AO516">
            <v>177</v>
          </cell>
          <cell r="AQ516" t="str">
            <v/>
          </cell>
          <cell r="AR516" t="str">
            <v/>
          </cell>
          <cell r="AS516" t="str">
            <v/>
          </cell>
          <cell r="AU516" t="str">
            <v/>
          </cell>
          <cell r="AV516" t="str">
            <v/>
          </cell>
          <cell r="AW516" t="str">
            <v/>
          </cell>
          <cell r="AX516" t="str">
            <v/>
          </cell>
          <cell r="AY516" t="str">
            <v/>
          </cell>
          <cell r="AZ516" t="str">
            <v/>
          </cell>
          <cell r="BA516" t="str">
            <v/>
          </cell>
          <cell r="BB516" t="str">
            <v/>
          </cell>
          <cell r="BC516" t="str">
            <v/>
          </cell>
          <cell r="BD516" t="str">
            <v/>
          </cell>
          <cell r="BE516" t="str">
            <v/>
          </cell>
          <cell r="BF516" t="str">
            <v/>
          </cell>
          <cell r="BG516" t="str">
            <v/>
          </cell>
          <cell r="BH516" t="str">
            <v/>
          </cell>
          <cell r="BI516" t="str">
            <v/>
          </cell>
          <cell r="BJ516" t="str">
            <v/>
          </cell>
        </row>
        <row r="517">
          <cell r="A517" t="str">
            <v>RTC</v>
          </cell>
          <cell r="B517" t="str">
            <v>Q10</v>
          </cell>
          <cell r="C517" t="str">
            <v/>
          </cell>
          <cell r="D517" t="str">
            <v/>
          </cell>
          <cell r="E517" t="str">
            <v/>
          </cell>
          <cell r="J517" t="str">
            <v/>
          </cell>
          <cell r="K517" t="str">
            <v/>
          </cell>
          <cell r="L517" t="str">
            <v/>
          </cell>
          <cell r="M517">
            <v>0</v>
          </cell>
          <cell r="Q517" t="str">
            <v/>
          </cell>
          <cell r="R517">
            <v>1</v>
          </cell>
          <cell r="X517" t="str">
            <v/>
          </cell>
          <cell r="Y517" t="str">
            <v/>
          </cell>
          <cell r="Z517" t="str">
            <v/>
          </cell>
          <cell r="AB517" t="str">
            <v/>
          </cell>
          <cell r="AD517" t="str">
            <v/>
          </cell>
          <cell r="AE517" t="str">
            <v/>
          </cell>
          <cell r="AF517" t="str">
            <v/>
          </cell>
          <cell r="AG517">
            <v>0</v>
          </cell>
          <cell r="AH517" t="str">
            <v/>
          </cell>
          <cell r="AI517" t="str">
            <v/>
          </cell>
          <cell r="AJ517" t="str">
            <v/>
          </cell>
          <cell r="AK517" t="str">
            <v/>
          </cell>
          <cell r="AL517" t="str">
            <v/>
          </cell>
          <cell r="AM517" t="str">
            <v/>
          </cell>
          <cell r="AN517" t="str">
            <v/>
          </cell>
          <cell r="AO517">
            <v>259</v>
          </cell>
          <cell r="AS517" t="str">
            <v/>
          </cell>
          <cell r="BB517" t="str">
            <v/>
          </cell>
          <cell r="BC517" t="str">
            <v/>
          </cell>
          <cell r="BD517" t="str">
            <v/>
          </cell>
          <cell r="BE517" t="str">
            <v/>
          </cell>
          <cell r="BF517" t="str">
            <v/>
          </cell>
          <cell r="BG517" t="str">
            <v/>
          </cell>
          <cell r="BH517" t="str">
            <v/>
          </cell>
          <cell r="BI517" t="str">
            <v/>
          </cell>
          <cell r="BJ517" t="str">
            <v/>
          </cell>
        </row>
        <row r="518">
          <cell r="A518" t="str">
            <v>RTD</v>
          </cell>
          <cell r="B518" t="str">
            <v>Q09</v>
          </cell>
          <cell r="C518" t="str">
            <v/>
          </cell>
          <cell r="D518" t="str">
            <v/>
          </cell>
          <cell r="E518">
            <v>0.99243521648157085</v>
          </cell>
          <cell r="F518" t="str">
            <v/>
          </cell>
          <cell r="G518" t="str">
            <v/>
          </cell>
          <cell r="H518" t="str">
            <v/>
          </cell>
          <cell r="J518" t="str">
            <v/>
          </cell>
          <cell r="K518" t="str">
            <v/>
          </cell>
          <cell r="L518" t="str">
            <v/>
          </cell>
          <cell r="M518">
            <v>10169</v>
          </cell>
          <cell r="N518" t="str">
            <v/>
          </cell>
          <cell r="Q518">
            <v>1</v>
          </cell>
          <cell r="R518">
            <v>1</v>
          </cell>
          <cell r="S518" t="str">
            <v/>
          </cell>
          <cell r="X518" t="str">
            <v/>
          </cell>
          <cell r="Y518" t="str">
            <v/>
          </cell>
          <cell r="Z518" t="str">
            <v/>
          </cell>
          <cell r="AB518">
            <v>1</v>
          </cell>
          <cell r="AD518" t="str">
            <v/>
          </cell>
          <cell r="AE518" t="str">
            <v/>
          </cell>
          <cell r="AF518" t="str">
            <v/>
          </cell>
          <cell r="AG518">
            <v>5.9523809523809521E-3</v>
          </cell>
          <cell r="AH518">
            <v>7.666666666666667</v>
          </cell>
          <cell r="AI518" t="str">
            <v/>
          </cell>
          <cell r="AJ518" t="str">
            <v/>
          </cell>
          <cell r="AK518" t="str">
            <v/>
          </cell>
          <cell r="AL518" t="str">
            <v/>
          </cell>
          <cell r="AM518" t="str">
            <v/>
          </cell>
          <cell r="AN518" t="str">
            <v/>
          </cell>
          <cell r="AO518">
            <v>234</v>
          </cell>
          <cell r="AQ518" t="str">
            <v/>
          </cell>
          <cell r="AR518" t="str">
            <v/>
          </cell>
          <cell r="AS518" t="str">
            <v/>
          </cell>
          <cell r="AU518" t="str">
            <v/>
          </cell>
          <cell r="AV518" t="str">
            <v/>
          </cell>
          <cell r="AW518" t="str">
            <v/>
          </cell>
          <cell r="AX518" t="str">
            <v/>
          </cell>
          <cell r="AY518" t="str">
            <v/>
          </cell>
          <cell r="AZ518" t="str">
            <v/>
          </cell>
          <cell r="BA518" t="str">
            <v/>
          </cell>
          <cell r="BB518" t="str">
            <v/>
          </cell>
          <cell r="BC518" t="str">
            <v/>
          </cell>
          <cell r="BD518" t="str">
            <v/>
          </cell>
          <cell r="BE518" t="str">
            <v/>
          </cell>
          <cell r="BF518" t="str">
            <v/>
          </cell>
          <cell r="BG518" t="str">
            <v/>
          </cell>
          <cell r="BH518" t="str">
            <v/>
          </cell>
          <cell r="BI518" t="str">
            <v/>
          </cell>
          <cell r="BJ518" t="str">
            <v/>
          </cell>
        </row>
        <row r="519">
          <cell r="A519" t="str">
            <v>RTE</v>
          </cell>
          <cell r="B519" t="str">
            <v>Q20</v>
          </cell>
          <cell r="C519" t="str">
            <v/>
          </cell>
          <cell r="D519" t="str">
            <v/>
          </cell>
          <cell r="E519">
            <v>0.98708819156428518</v>
          </cell>
          <cell r="F519" t="str">
            <v/>
          </cell>
          <cell r="G519" t="str">
            <v/>
          </cell>
          <cell r="H519" t="str">
            <v/>
          </cell>
          <cell r="J519" t="str">
            <v/>
          </cell>
          <cell r="K519" t="str">
            <v/>
          </cell>
          <cell r="L519" t="str">
            <v/>
          </cell>
          <cell r="M519">
            <v>7391</v>
          </cell>
          <cell r="N519" t="str">
            <v/>
          </cell>
          <cell r="Q519">
            <v>1</v>
          </cell>
          <cell r="R519">
            <v>1</v>
          </cell>
          <cell r="S519" t="str">
            <v/>
          </cell>
          <cell r="X519" t="str">
            <v/>
          </cell>
          <cell r="Y519" t="str">
            <v/>
          </cell>
          <cell r="Z519" t="str">
            <v/>
          </cell>
          <cell r="AB519">
            <v>1</v>
          </cell>
          <cell r="AD519" t="str">
            <v/>
          </cell>
          <cell r="AE519" t="str">
            <v/>
          </cell>
          <cell r="AF519" t="str">
            <v/>
          </cell>
          <cell r="AG519">
            <v>1.7226069969809979E-2</v>
          </cell>
          <cell r="AH519">
            <v>6</v>
          </cell>
          <cell r="AI519" t="str">
            <v/>
          </cell>
          <cell r="AJ519" t="str">
            <v/>
          </cell>
          <cell r="AK519" t="str">
            <v/>
          </cell>
          <cell r="AL519" t="str">
            <v/>
          </cell>
          <cell r="AM519" t="str">
            <v/>
          </cell>
          <cell r="AN519" t="str">
            <v/>
          </cell>
          <cell r="AO519" t="str">
            <v/>
          </cell>
          <cell r="AQ519" t="str">
            <v/>
          </cell>
          <cell r="AR519" t="str">
            <v/>
          </cell>
          <cell r="AS519" t="str">
            <v/>
          </cell>
          <cell r="AU519" t="str">
            <v/>
          </cell>
          <cell r="AV519" t="str">
            <v/>
          </cell>
          <cell r="AW519" t="str">
            <v/>
          </cell>
          <cell r="AX519" t="str">
            <v/>
          </cell>
          <cell r="AY519" t="str">
            <v/>
          </cell>
          <cell r="AZ519" t="str">
            <v/>
          </cell>
          <cell r="BA519" t="str">
            <v/>
          </cell>
          <cell r="BB519" t="str">
            <v/>
          </cell>
          <cell r="BC519" t="str">
            <v/>
          </cell>
          <cell r="BD519" t="str">
            <v/>
          </cell>
          <cell r="BE519" t="str">
            <v/>
          </cell>
          <cell r="BF519" t="str">
            <v/>
          </cell>
          <cell r="BG519" t="str">
            <v/>
          </cell>
          <cell r="BH519" t="str">
            <v/>
          </cell>
          <cell r="BI519" t="str">
            <v/>
          </cell>
          <cell r="BJ519" t="str">
            <v/>
          </cell>
        </row>
        <row r="520">
          <cell r="A520" t="str">
            <v>RTF</v>
          </cell>
          <cell r="B520" t="str">
            <v>Q09</v>
          </cell>
          <cell r="C520" t="str">
            <v/>
          </cell>
          <cell r="D520" t="str">
            <v/>
          </cell>
          <cell r="E520">
            <v>0.9831112202911011</v>
          </cell>
          <cell r="F520" t="str">
            <v/>
          </cell>
          <cell r="G520" t="str">
            <v/>
          </cell>
          <cell r="H520" t="str">
            <v/>
          </cell>
          <cell r="J520" t="str">
            <v/>
          </cell>
          <cell r="K520" t="str">
            <v/>
          </cell>
          <cell r="L520" t="str">
            <v/>
          </cell>
          <cell r="M520">
            <v>3452</v>
          </cell>
          <cell r="N520" t="str">
            <v/>
          </cell>
          <cell r="Q520">
            <v>1</v>
          </cell>
          <cell r="R520">
            <v>1</v>
          </cell>
          <cell r="S520" t="str">
            <v/>
          </cell>
          <cell r="X520" t="str">
            <v/>
          </cell>
          <cell r="Y520" t="str">
            <v/>
          </cell>
          <cell r="Z520" t="str">
            <v/>
          </cell>
          <cell r="AB520">
            <v>0.83703703703703702</v>
          </cell>
          <cell r="AD520" t="str">
            <v/>
          </cell>
          <cell r="AE520" t="str">
            <v/>
          </cell>
          <cell r="AF520" t="str">
            <v/>
          </cell>
          <cell r="AG520">
            <v>1.0641357492090881E-2</v>
          </cell>
          <cell r="AH520">
            <v>7</v>
          </cell>
          <cell r="AI520" t="str">
            <v/>
          </cell>
          <cell r="AJ520" t="str">
            <v/>
          </cell>
          <cell r="AK520" t="str">
            <v/>
          </cell>
          <cell r="AL520" t="str">
            <v/>
          </cell>
          <cell r="AM520" t="str">
            <v/>
          </cell>
          <cell r="AN520" t="str">
            <v/>
          </cell>
          <cell r="AO520">
            <v>40</v>
          </cell>
          <cell r="AQ520" t="str">
            <v/>
          </cell>
          <cell r="AR520" t="str">
            <v/>
          </cell>
          <cell r="AS520" t="str">
            <v/>
          </cell>
          <cell r="AU520" t="str">
            <v/>
          </cell>
          <cell r="AV520" t="str">
            <v/>
          </cell>
          <cell r="AW520" t="str">
            <v/>
          </cell>
          <cell r="AX520" t="str">
            <v/>
          </cell>
          <cell r="AY520" t="str">
            <v/>
          </cell>
          <cell r="AZ520" t="str">
            <v/>
          </cell>
          <cell r="BA520" t="str">
            <v/>
          </cell>
          <cell r="BB520" t="str">
            <v/>
          </cell>
          <cell r="BC520" t="str">
            <v/>
          </cell>
          <cell r="BD520" t="str">
            <v/>
          </cell>
          <cell r="BE520" t="str">
            <v/>
          </cell>
          <cell r="BF520" t="str">
            <v/>
          </cell>
          <cell r="BG520" t="str">
            <v/>
          </cell>
          <cell r="BH520" t="str">
            <v/>
          </cell>
          <cell r="BI520" t="str">
            <v/>
          </cell>
          <cell r="BJ520" t="str">
            <v/>
          </cell>
        </row>
        <row r="521">
          <cell r="A521" t="str">
            <v>RTG</v>
          </cell>
          <cell r="B521" t="str">
            <v>Q24</v>
          </cell>
          <cell r="C521" t="str">
            <v/>
          </cell>
          <cell r="D521" t="str">
            <v/>
          </cell>
          <cell r="E521">
            <v>0.95114750976097517</v>
          </cell>
          <cell r="F521" t="str">
            <v/>
          </cell>
          <cell r="G521" t="str">
            <v/>
          </cell>
          <cell r="H521" t="str">
            <v/>
          </cell>
          <cell r="J521" t="str">
            <v/>
          </cell>
          <cell r="K521" t="str">
            <v/>
          </cell>
          <cell r="L521" t="str">
            <v/>
          </cell>
          <cell r="M521">
            <v>7347</v>
          </cell>
          <cell r="N521" t="str">
            <v/>
          </cell>
          <cell r="Q521">
            <v>0.99612864800476475</v>
          </cell>
          <cell r="R521">
            <v>0.99228719674659938</v>
          </cell>
          <cell r="S521" t="str">
            <v/>
          </cell>
          <cell r="X521" t="str">
            <v/>
          </cell>
          <cell r="Y521" t="str">
            <v/>
          </cell>
          <cell r="Z521" t="str">
            <v/>
          </cell>
          <cell r="AB521">
            <v>1</v>
          </cell>
          <cell r="AD521" t="str">
            <v/>
          </cell>
          <cell r="AE521" t="str">
            <v/>
          </cell>
          <cell r="AF521" t="str">
            <v/>
          </cell>
          <cell r="AG521">
            <v>1.3375796178343951E-2</v>
          </cell>
          <cell r="AH521">
            <v>6</v>
          </cell>
          <cell r="AI521" t="str">
            <v/>
          </cell>
          <cell r="AJ521" t="str">
            <v/>
          </cell>
          <cell r="AK521" t="str">
            <v/>
          </cell>
          <cell r="AL521" t="str">
            <v/>
          </cell>
          <cell r="AM521" t="str">
            <v/>
          </cell>
          <cell r="AN521" t="str">
            <v/>
          </cell>
          <cell r="AO521" t="str">
            <v/>
          </cell>
          <cell r="AQ521" t="str">
            <v/>
          </cell>
          <cell r="AR521" t="str">
            <v/>
          </cell>
          <cell r="AS521" t="str">
            <v/>
          </cell>
          <cell r="AU521" t="str">
            <v/>
          </cell>
          <cell r="AV521" t="str">
            <v/>
          </cell>
          <cell r="AW521" t="str">
            <v/>
          </cell>
          <cell r="AX521" t="str">
            <v/>
          </cell>
          <cell r="AY521" t="str">
            <v/>
          </cell>
          <cell r="AZ521" t="str">
            <v/>
          </cell>
          <cell r="BA521" t="str">
            <v/>
          </cell>
          <cell r="BB521" t="str">
            <v/>
          </cell>
          <cell r="BC521" t="str">
            <v/>
          </cell>
          <cell r="BD521" t="str">
            <v/>
          </cell>
          <cell r="BE521" t="str">
            <v/>
          </cell>
          <cell r="BF521" t="str">
            <v/>
          </cell>
          <cell r="BG521" t="str">
            <v/>
          </cell>
          <cell r="BH521" t="str">
            <v/>
          </cell>
          <cell r="BI521" t="str">
            <v/>
          </cell>
          <cell r="BJ521" t="str">
            <v/>
          </cell>
        </row>
        <row r="522">
          <cell r="A522" t="str">
            <v>RTH</v>
          </cell>
          <cell r="B522" t="str">
            <v>Q16</v>
          </cell>
          <cell r="C522" t="str">
            <v/>
          </cell>
          <cell r="D522" t="str">
            <v/>
          </cell>
          <cell r="E522">
            <v>0.99127323501178111</v>
          </cell>
          <cell r="F522" t="str">
            <v/>
          </cell>
          <cell r="G522" t="str">
            <v/>
          </cell>
          <cell r="H522" t="str">
            <v/>
          </cell>
          <cell r="J522" t="str">
            <v/>
          </cell>
          <cell r="K522" t="str">
            <v/>
          </cell>
          <cell r="L522" t="str">
            <v/>
          </cell>
          <cell r="M522">
            <v>6442</v>
          </cell>
          <cell r="N522" t="str">
            <v/>
          </cell>
          <cell r="Q522">
            <v>1</v>
          </cell>
          <cell r="R522">
            <v>1</v>
          </cell>
          <cell r="S522" t="str">
            <v/>
          </cell>
          <cell r="X522" t="str">
            <v/>
          </cell>
          <cell r="Y522" t="str">
            <v/>
          </cell>
          <cell r="Z522" t="str">
            <v/>
          </cell>
          <cell r="AB522">
            <v>1</v>
          </cell>
          <cell r="AD522" t="str">
            <v/>
          </cell>
          <cell r="AE522" t="str">
            <v/>
          </cell>
          <cell r="AF522" t="str">
            <v/>
          </cell>
          <cell r="AG522">
            <v>5.9850796880298408E-2</v>
          </cell>
          <cell r="AH522">
            <v>10.333333333333334</v>
          </cell>
          <cell r="AI522" t="str">
            <v/>
          </cell>
          <cell r="AJ522" t="str">
            <v/>
          </cell>
          <cell r="AK522" t="str">
            <v/>
          </cell>
          <cell r="AL522" t="str">
            <v/>
          </cell>
          <cell r="AM522" t="str">
            <v/>
          </cell>
          <cell r="AN522" t="str">
            <v/>
          </cell>
          <cell r="AO522">
            <v>-19409</v>
          </cell>
          <cell r="AQ522" t="str">
            <v/>
          </cell>
          <cell r="AR522" t="str">
            <v/>
          </cell>
          <cell r="AS522" t="str">
            <v/>
          </cell>
          <cell r="AU522" t="str">
            <v/>
          </cell>
          <cell r="AV522" t="str">
            <v/>
          </cell>
          <cell r="AW522" t="str">
            <v/>
          </cell>
          <cell r="AX522" t="str">
            <v/>
          </cell>
          <cell r="AY522" t="str">
            <v/>
          </cell>
          <cell r="AZ522" t="str">
            <v/>
          </cell>
          <cell r="BA522" t="str">
            <v/>
          </cell>
          <cell r="BB522" t="str">
            <v/>
          </cell>
          <cell r="BC522" t="str">
            <v/>
          </cell>
          <cell r="BD522" t="str">
            <v/>
          </cell>
          <cell r="BE522" t="str">
            <v/>
          </cell>
          <cell r="BF522" t="str">
            <v/>
          </cell>
          <cell r="BG522" t="str">
            <v/>
          </cell>
          <cell r="BH522" t="str">
            <v/>
          </cell>
          <cell r="BI522" t="str">
            <v/>
          </cell>
          <cell r="BJ522" t="str">
            <v/>
          </cell>
        </row>
        <row r="523">
          <cell r="A523" t="str">
            <v>RTK</v>
          </cell>
          <cell r="B523" t="str">
            <v>Q19</v>
          </cell>
          <cell r="C523" t="str">
            <v/>
          </cell>
          <cell r="D523" t="str">
            <v/>
          </cell>
          <cell r="E523">
            <v>0.94059242098295548</v>
          </cell>
          <cell r="F523" t="str">
            <v/>
          </cell>
          <cell r="G523" t="str">
            <v/>
          </cell>
          <cell r="H523" t="str">
            <v/>
          </cell>
          <cell r="J523" t="str">
            <v/>
          </cell>
          <cell r="K523" t="str">
            <v/>
          </cell>
          <cell r="L523" t="str">
            <v/>
          </cell>
          <cell r="M523">
            <v>4311</v>
          </cell>
          <cell r="N523" t="str">
            <v/>
          </cell>
          <cell r="Q523">
            <v>1</v>
          </cell>
          <cell r="R523">
            <v>1</v>
          </cell>
          <cell r="S523" t="str">
            <v/>
          </cell>
          <cell r="X523" t="str">
            <v/>
          </cell>
          <cell r="Y523" t="str">
            <v/>
          </cell>
          <cell r="Z523" t="str">
            <v/>
          </cell>
          <cell r="AB523">
            <v>0.8904109589041096</v>
          </cell>
          <cell r="AD523" t="str">
            <v/>
          </cell>
          <cell r="AE523" t="str">
            <v/>
          </cell>
          <cell r="AF523" t="str">
            <v/>
          </cell>
          <cell r="AG523">
            <v>1.5390686661404893E-2</v>
          </cell>
          <cell r="AH523">
            <v>4.333333333333333</v>
          </cell>
          <cell r="AI523" t="str">
            <v/>
          </cell>
          <cell r="AJ523" t="str">
            <v/>
          </cell>
          <cell r="AK523" t="str">
            <v/>
          </cell>
          <cell r="AL523" t="str">
            <v/>
          </cell>
          <cell r="AM523" t="str">
            <v/>
          </cell>
          <cell r="AN523" t="str">
            <v/>
          </cell>
          <cell r="AO523">
            <v>-7560</v>
          </cell>
          <cell r="AQ523" t="str">
            <v/>
          </cell>
          <cell r="AR523" t="str">
            <v/>
          </cell>
          <cell r="AS523" t="str">
            <v/>
          </cell>
          <cell r="AU523" t="str">
            <v/>
          </cell>
          <cell r="AV523" t="str">
            <v/>
          </cell>
          <cell r="AW523" t="str">
            <v/>
          </cell>
          <cell r="AX523" t="str">
            <v/>
          </cell>
          <cell r="AY523" t="str">
            <v/>
          </cell>
          <cell r="AZ523" t="str">
            <v/>
          </cell>
          <cell r="BA523" t="str">
            <v/>
          </cell>
          <cell r="BB523" t="str">
            <v/>
          </cell>
          <cell r="BC523" t="str">
            <v/>
          </cell>
          <cell r="BD523" t="str">
            <v/>
          </cell>
          <cell r="BE523" t="str">
            <v/>
          </cell>
          <cell r="BF523" t="str">
            <v/>
          </cell>
          <cell r="BG523" t="str">
            <v/>
          </cell>
          <cell r="BH523" t="str">
            <v/>
          </cell>
          <cell r="BI523" t="str">
            <v/>
          </cell>
          <cell r="BJ523" t="str">
            <v/>
          </cell>
        </row>
        <row r="524">
          <cell r="A524" t="str">
            <v>RTM</v>
          </cell>
          <cell r="B524" t="str">
            <v>Q18</v>
          </cell>
          <cell r="C524" t="str">
            <v/>
          </cell>
          <cell r="D524" t="str">
            <v/>
          </cell>
          <cell r="E524" t="str">
            <v/>
          </cell>
          <cell r="J524" t="str">
            <v/>
          </cell>
          <cell r="K524" t="str">
            <v/>
          </cell>
          <cell r="L524" t="str">
            <v/>
          </cell>
          <cell r="M524" t="str">
            <v/>
          </cell>
          <cell r="Q524" t="str">
            <v/>
          </cell>
          <cell r="R524" t="str">
            <v/>
          </cell>
          <cell r="X524" t="str">
            <v/>
          </cell>
          <cell r="Y524" t="str">
            <v/>
          </cell>
          <cell r="Z524" t="str">
            <v/>
          </cell>
          <cell r="AB524" t="str">
            <v/>
          </cell>
          <cell r="AD524" t="str">
            <v/>
          </cell>
          <cell r="AE524" t="str">
            <v/>
          </cell>
          <cell r="AF524" t="str">
            <v/>
          </cell>
          <cell r="AG524">
            <v>0</v>
          </cell>
          <cell r="AH524" t="str">
            <v/>
          </cell>
          <cell r="AI524" t="str">
            <v/>
          </cell>
          <cell r="AJ524" t="str">
            <v/>
          </cell>
          <cell r="AK524" t="str">
            <v/>
          </cell>
          <cell r="AL524" t="str">
            <v/>
          </cell>
          <cell r="AM524" t="str">
            <v/>
          </cell>
          <cell r="AN524" t="str">
            <v/>
          </cell>
          <cell r="AO524">
            <v>399.5</v>
          </cell>
          <cell r="AS524" t="str">
            <v/>
          </cell>
          <cell r="BB524" t="str">
            <v/>
          </cell>
          <cell r="BC524" t="str">
            <v/>
          </cell>
          <cell r="BD524" t="str">
            <v/>
          </cell>
          <cell r="BE524" t="str">
            <v/>
          </cell>
          <cell r="BF524" t="str">
            <v/>
          </cell>
          <cell r="BG524" t="str">
            <v/>
          </cell>
          <cell r="BH524" t="str">
            <v/>
          </cell>
          <cell r="BI524" t="str">
            <v/>
          </cell>
          <cell r="BJ524" t="str">
            <v/>
          </cell>
        </row>
        <row r="525">
          <cell r="A525" t="str">
            <v>RTP</v>
          </cell>
          <cell r="B525" t="str">
            <v>Q19</v>
          </cell>
          <cell r="C525" t="str">
            <v/>
          </cell>
          <cell r="D525" t="str">
            <v/>
          </cell>
          <cell r="E525">
            <v>0.91401324085750313</v>
          </cell>
          <cell r="F525" t="str">
            <v/>
          </cell>
          <cell r="G525" t="str">
            <v/>
          </cell>
          <cell r="H525" t="str">
            <v/>
          </cell>
          <cell r="J525" t="str">
            <v/>
          </cell>
          <cell r="K525" t="str">
            <v/>
          </cell>
          <cell r="L525" t="str">
            <v/>
          </cell>
          <cell r="M525">
            <v>4758</v>
          </cell>
          <cell r="N525" t="str">
            <v/>
          </cell>
          <cell r="Q525">
            <v>1</v>
          </cell>
          <cell r="R525">
            <v>1</v>
          </cell>
          <cell r="S525" t="str">
            <v/>
          </cell>
          <cell r="X525" t="str">
            <v/>
          </cell>
          <cell r="Y525" t="str">
            <v/>
          </cell>
          <cell r="Z525" t="str">
            <v/>
          </cell>
          <cell r="AB525">
            <v>0.87765957446808507</v>
          </cell>
          <cell r="AD525" t="str">
            <v/>
          </cell>
          <cell r="AE525" t="str">
            <v/>
          </cell>
          <cell r="AF525" t="str">
            <v/>
          </cell>
          <cell r="AG525">
            <v>2.3445825932504442E-2</v>
          </cell>
          <cell r="AH525">
            <v>2</v>
          </cell>
          <cell r="AI525" t="str">
            <v/>
          </cell>
          <cell r="AJ525" t="str">
            <v/>
          </cell>
          <cell r="AK525" t="str">
            <v/>
          </cell>
          <cell r="AL525" t="str">
            <v/>
          </cell>
          <cell r="AM525" t="str">
            <v/>
          </cell>
          <cell r="AN525" t="str">
            <v/>
          </cell>
          <cell r="AO525">
            <v>-40834</v>
          </cell>
          <cell r="AQ525" t="str">
            <v/>
          </cell>
          <cell r="AR525" t="str">
            <v/>
          </cell>
          <cell r="AS525" t="str">
            <v/>
          </cell>
          <cell r="AU525" t="str">
            <v/>
          </cell>
          <cell r="AV525" t="str">
            <v/>
          </cell>
          <cell r="AW525" t="str">
            <v/>
          </cell>
          <cell r="AX525" t="str">
            <v/>
          </cell>
          <cell r="AY525" t="str">
            <v/>
          </cell>
          <cell r="AZ525" t="str">
            <v/>
          </cell>
          <cell r="BA525" t="str">
            <v/>
          </cell>
          <cell r="BB525" t="str">
            <v/>
          </cell>
          <cell r="BC525" t="str">
            <v/>
          </cell>
          <cell r="BD525" t="str">
            <v/>
          </cell>
          <cell r="BE525" t="str">
            <v/>
          </cell>
          <cell r="BF525" t="str">
            <v/>
          </cell>
          <cell r="BG525" t="str">
            <v/>
          </cell>
          <cell r="BH525" t="str">
            <v/>
          </cell>
          <cell r="BI525" t="str">
            <v/>
          </cell>
          <cell r="BJ525" t="str">
            <v/>
          </cell>
        </row>
        <row r="526">
          <cell r="A526" t="str">
            <v>RTQ</v>
          </cell>
          <cell r="B526" t="str">
            <v>Q20</v>
          </cell>
          <cell r="C526" t="str">
            <v/>
          </cell>
          <cell r="D526" t="str">
            <v/>
          </cell>
          <cell r="E526" t="str">
            <v/>
          </cell>
          <cell r="F526" t="str">
            <v/>
          </cell>
          <cell r="G526" t="str">
            <v/>
          </cell>
          <cell r="H526" t="str">
            <v/>
          </cell>
          <cell r="J526" t="str">
            <v/>
          </cell>
          <cell r="K526" t="str">
            <v/>
          </cell>
          <cell r="L526" t="str">
            <v/>
          </cell>
          <cell r="M526" t="str">
            <v/>
          </cell>
          <cell r="N526" t="str">
            <v/>
          </cell>
          <cell r="Q526" t="str">
            <v/>
          </cell>
          <cell r="R526">
            <v>0.54838709677419351</v>
          </cell>
          <cell r="S526" t="str">
            <v/>
          </cell>
          <cell r="X526" t="str">
            <v/>
          </cell>
          <cell r="Y526" t="str">
            <v/>
          </cell>
          <cell r="Z526" t="str">
            <v/>
          </cell>
          <cell r="AB526" t="str">
            <v/>
          </cell>
          <cell r="AD526" t="str">
            <v/>
          </cell>
          <cell r="AE526" t="str">
            <v/>
          </cell>
          <cell r="AF526" t="str">
            <v/>
          </cell>
          <cell r="AG526">
            <v>0</v>
          </cell>
          <cell r="AH526" t="str">
            <v/>
          </cell>
          <cell r="AI526" t="str">
            <v/>
          </cell>
          <cell r="AJ526" t="str">
            <v/>
          </cell>
          <cell r="AK526" t="str">
            <v/>
          </cell>
          <cell r="AL526" t="str">
            <v/>
          </cell>
          <cell r="AM526" t="str">
            <v/>
          </cell>
          <cell r="AN526" t="str">
            <v/>
          </cell>
          <cell r="AO526">
            <v>-1319</v>
          </cell>
          <cell r="AQ526" t="str">
            <v/>
          </cell>
          <cell r="AR526" t="str">
            <v/>
          </cell>
          <cell r="AS526" t="str">
            <v/>
          </cell>
          <cell r="AU526" t="str">
            <v/>
          </cell>
          <cell r="AV526" t="str">
            <v/>
          </cell>
          <cell r="AW526" t="str">
            <v/>
          </cell>
          <cell r="AX526" t="str">
            <v/>
          </cell>
          <cell r="AY526" t="str">
            <v/>
          </cell>
          <cell r="AZ526" t="str">
            <v/>
          </cell>
          <cell r="BA526" t="str">
            <v/>
          </cell>
          <cell r="BB526" t="str">
            <v/>
          </cell>
          <cell r="BC526" t="str">
            <v/>
          </cell>
          <cell r="BD526" t="str">
            <v/>
          </cell>
          <cell r="BE526" t="str">
            <v/>
          </cell>
          <cell r="BF526" t="str">
            <v/>
          </cell>
          <cell r="BG526" t="str">
            <v/>
          </cell>
          <cell r="BH526" t="str">
            <v/>
          </cell>
          <cell r="BI526" t="str">
            <v/>
          </cell>
          <cell r="BJ526" t="str">
            <v/>
          </cell>
        </row>
        <row r="527">
          <cell r="A527" t="str">
            <v>RTR</v>
          </cell>
          <cell r="B527" t="str">
            <v>Q10</v>
          </cell>
          <cell r="C527" t="str">
            <v/>
          </cell>
          <cell r="D527" t="str">
            <v/>
          </cell>
          <cell r="E527">
            <v>0.99632422243166818</v>
          </cell>
          <cell r="F527" t="str">
            <v/>
          </cell>
          <cell r="G527" t="str">
            <v/>
          </cell>
          <cell r="H527" t="str">
            <v/>
          </cell>
          <cell r="J527" t="str">
            <v/>
          </cell>
          <cell r="K527" t="str">
            <v/>
          </cell>
          <cell r="L527" t="str">
            <v/>
          </cell>
          <cell r="M527">
            <v>6225</v>
          </cell>
          <cell r="N527" t="str">
            <v/>
          </cell>
          <cell r="Q527">
            <v>1</v>
          </cell>
          <cell r="R527">
            <v>1</v>
          </cell>
          <cell r="S527" t="str">
            <v/>
          </cell>
          <cell r="X527" t="str">
            <v/>
          </cell>
          <cell r="Y527" t="str">
            <v/>
          </cell>
          <cell r="Z527" t="str">
            <v/>
          </cell>
          <cell r="AB527">
            <v>1</v>
          </cell>
          <cell r="AD527" t="str">
            <v/>
          </cell>
          <cell r="AE527" t="str">
            <v/>
          </cell>
          <cell r="AF527" t="str">
            <v/>
          </cell>
          <cell r="AG527">
            <v>6.8760027504010997E-3</v>
          </cell>
          <cell r="AH527">
            <v>4.333333333333333</v>
          </cell>
          <cell r="AI527" t="str">
            <v/>
          </cell>
          <cell r="AJ527" t="str">
            <v/>
          </cell>
          <cell r="AK527" t="str">
            <v/>
          </cell>
          <cell r="AL527" t="str">
            <v/>
          </cell>
          <cell r="AM527" t="str">
            <v/>
          </cell>
          <cell r="AN527" t="str">
            <v/>
          </cell>
          <cell r="AO527">
            <v>-21395</v>
          </cell>
          <cell r="AQ527" t="str">
            <v/>
          </cell>
          <cell r="AR527" t="str">
            <v/>
          </cell>
          <cell r="AS527" t="str">
            <v/>
          </cell>
          <cell r="AU527" t="str">
            <v/>
          </cell>
          <cell r="AV527" t="str">
            <v/>
          </cell>
          <cell r="AW527" t="str">
            <v/>
          </cell>
          <cell r="AX527" t="str">
            <v/>
          </cell>
          <cell r="AY527" t="str">
            <v/>
          </cell>
          <cell r="AZ527" t="str">
            <v/>
          </cell>
          <cell r="BA527" t="str">
            <v/>
          </cell>
          <cell r="BB527" t="str">
            <v/>
          </cell>
          <cell r="BC527" t="str">
            <v/>
          </cell>
          <cell r="BD527" t="str">
            <v/>
          </cell>
          <cell r="BE527" t="str">
            <v/>
          </cell>
          <cell r="BF527" t="str">
            <v/>
          </cell>
          <cell r="BG527" t="str">
            <v/>
          </cell>
          <cell r="BH527" t="str">
            <v/>
          </cell>
          <cell r="BI527" t="str">
            <v/>
          </cell>
          <cell r="BJ527" t="str">
            <v/>
          </cell>
        </row>
        <row r="528">
          <cell r="A528" t="str">
            <v>RTR1</v>
          </cell>
          <cell r="B528" t="str">
            <v>Q10</v>
          </cell>
          <cell r="C528" t="str">
            <v/>
          </cell>
          <cell r="D528" t="str">
            <v/>
          </cell>
          <cell r="E528" t="str">
            <v/>
          </cell>
          <cell r="J528" t="str">
            <v/>
          </cell>
          <cell r="K528" t="str">
            <v/>
          </cell>
          <cell r="L528" t="str">
            <v/>
          </cell>
          <cell r="M528" t="str">
            <v/>
          </cell>
          <cell r="Q528" t="str">
            <v/>
          </cell>
          <cell r="R528" t="str">
            <v/>
          </cell>
          <cell r="X528" t="str">
            <v/>
          </cell>
          <cell r="Y528" t="str">
            <v/>
          </cell>
          <cell r="Z528" t="str">
            <v/>
          </cell>
          <cell r="AB528" t="str">
            <v/>
          </cell>
          <cell r="AD528" t="str">
            <v/>
          </cell>
          <cell r="AE528" t="str">
            <v/>
          </cell>
          <cell r="AF528" t="str">
            <v/>
          </cell>
          <cell r="AG528">
            <v>2.0151133501259445E-2</v>
          </cell>
          <cell r="AH528" t="str">
            <v/>
          </cell>
          <cell r="AI528" t="str">
            <v/>
          </cell>
          <cell r="AJ528" t="str">
            <v/>
          </cell>
          <cell r="AK528" t="str">
            <v/>
          </cell>
          <cell r="AL528" t="str">
            <v/>
          </cell>
          <cell r="AM528" t="str">
            <v/>
          </cell>
          <cell r="AN528" t="str">
            <v/>
          </cell>
          <cell r="AO528" t="str">
            <v/>
          </cell>
          <cell r="AS528" t="str">
            <v/>
          </cell>
          <cell r="BB528" t="str">
            <v/>
          </cell>
          <cell r="BC528" t="str">
            <v/>
          </cell>
          <cell r="BD528" t="str">
            <v/>
          </cell>
          <cell r="BE528" t="str">
            <v/>
          </cell>
          <cell r="BF528" t="str">
            <v/>
          </cell>
          <cell r="BG528" t="str">
            <v/>
          </cell>
          <cell r="BH528" t="str">
            <v/>
          </cell>
          <cell r="BI528" t="str">
            <v/>
          </cell>
          <cell r="BJ528" t="str">
            <v/>
          </cell>
        </row>
        <row r="529">
          <cell r="A529" t="str">
            <v>RTV</v>
          </cell>
          <cell r="B529" t="str">
            <v>Q15</v>
          </cell>
          <cell r="C529" t="str">
            <v/>
          </cell>
          <cell r="D529" t="str">
            <v/>
          </cell>
          <cell r="E529" t="str">
            <v/>
          </cell>
          <cell r="F529" t="str">
            <v/>
          </cell>
          <cell r="G529" t="str">
            <v/>
          </cell>
          <cell r="H529" t="str">
            <v/>
          </cell>
          <cell r="J529" t="str">
            <v/>
          </cell>
          <cell r="K529" t="str">
            <v/>
          </cell>
          <cell r="L529" t="str">
            <v/>
          </cell>
          <cell r="M529" t="str">
            <v/>
          </cell>
          <cell r="N529" t="str">
            <v/>
          </cell>
          <cell r="Q529" t="str">
            <v/>
          </cell>
          <cell r="R529">
            <v>1</v>
          </cell>
          <cell r="S529" t="str">
            <v/>
          </cell>
          <cell r="X529" t="str">
            <v/>
          </cell>
          <cell r="Y529" t="str">
            <v/>
          </cell>
          <cell r="Z529" t="str">
            <v/>
          </cell>
          <cell r="AB529" t="str">
            <v/>
          </cell>
          <cell r="AD529" t="str">
            <v/>
          </cell>
          <cell r="AE529" t="str">
            <v/>
          </cell>
          <cell r="AF529" t="str">
            <v/>
          </cell>
          <cell r="AG529">
            <v>0</v>
          </cell>
          <cell r="AH529" t="str">
            <v/>
          </cell>
          <cell r="AI529" t="str">
            <v/>
          </cell>
          <cell r="AJ529" t="str">
            <v/>
          </cell>
          <cell r="AK529" t="str">
            <v/>
          </cell>
          <cell r="AL529" t="str">
            <v/>
          </cell>
          <cell r="AM529" t="str">
            <v/>
          </cell>
          <cell r="AN529" t="str">
            <v/>
          </cell>
          <cell r="AO529">
            <v>342</v>
          </cell>
          <cell r="AQ529" t="str">
            <v/>
          </cell>
          <cell r="AR529" t="str">
            <v/>
          </cell>
          <cell r="AS529" t="str">
            <v/>
          </cell>
          <cell r="AU529" t="str">
            <v/>
          </cell>
          <cell r="AV529" t="str">
            <v/>
          </cell>
          <cell r="AW529" t="str">
            <v/>
          </cell>
          <cell r="AX529" t="str">
            <v/>
          </cell>
          <cell r="AY529" t="str">
            <v/>
          </cell>
          <cell r="AZ529" t="str">
            <v/>
          </cell>
          <cell r="BA529" t="str">
            <v/>
          </cell>
          <cell r="BB529" t="str">
            <v/>
          </cell>
          <cell r="BC529" t="str">
            <v/>
          </cell>
          <cell r="BD529" t="str">
            <v/>
          </cell>
          <cell r="BE529" t="str">
            <v/>
          </cell>
          <cell r="BF529" t="str">
            <v/>
          </cell>
          <cell r="BG529" t="str">
            <v/>
          </cell>
          <cell r="BH529" t="str">
            <v/>
          </cell>
          <cell r="BI529" t="str">
            <v/>
          </cell>
          <cell r="BJ529" t="str">
            <v/>
          </cell>
        </row>
        <row r="530">
          <cell r="A530" t="str">
            <v>RTX</v>
          </cell>
          <cell r="B530" t="str">
            <v>Q13</v>
          </cell>
          <cell r="C530" t="str">
            <v/>
          </cell>
          <cell r="D530" t="str">
            <v/>
          </cell>
          <cell r="E530">
            <v>0.97438370846730971</v>
          </cell>
          <cell r="F530" t="str">
            <v/>
          </cell>
          <cell r="G530" t="str">
            <v/>
          </cell>
          <cell r="H530" t="str">
            <v/>
          </cell>
          <cell r="J530" t="str">
            <v/>
          </cell>
          <cell r="K530" t="str">
            <v/>
          </cell>
          <cell r="L530" t="str">
            <v/>
          </cell>
          <cell r="M530">
            <v>4147</v>
          </cell>
          <cell r="N530" t="str">
            <v/>
          </cell>
          <cell r="Q530">
            <v>1</v>
          </cell>
          <cell r="R530">
            <v>1</v>
          </cell>
          <cell r="S530" t="str">
            <v/>
          </cell>
          <cell r="X530" t="str">
            <v/>
          </cell>
          <cell r="Y530" t="str">
            <v/>
          </cell>
          <cell r="Z530" t="str">
            <v/>
          </cell>
          <cell r="AB530">
            <v>0.963963963963964</v>
          </cell>
          <cell r="AD530" t="str">
            <v/>
          </cell>
          <cell r="AE530" t="str">
            <v/>
          </cell>
          <cell r="AF530" t="str">
            <v/>
          </cell>
          <cell r="AG530">
            <v>3.0944625407166124E-2</v>
          </cell>
          <cell r="AH530">
            <v>3</v>
          </cell>
          <cell r="AI530" t="str">
            <v/>
          </cell>
          <cell r="AJ530" t="str">
            <v/>
          </cell>
          <cell r="AK530" t="str">
            <v/>
          </cell>
          <cell r="AL530" t="str">
            <v/>
          </cell>
          <cell r="AM530" t="str">
            <v/>
          </cell>
          <cell r="AN530" t="str">
            <v/>
          </cell>
          <cell r="AO530">
            <v>-6357</v>
          </cell>
          <cell r="AQ530" t="str">
            <v/>
          </cell>
          <cell r="AR530" t="str">
            <v/>
          </cell>
          <cell r="AS530" t="str">
            <v/>
          </cell>
          <cell r="AU530" t="str">
            <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row>
        <row r="531">
          <cell r="A531" t="str">
            <v>RV1</v>
          </cell>
          <cell r="B531" t="str">
            <v>Q11</v>
          </cell>
          <cell r="C531">
            <v>0.78081353726000657</v>
          </cell>
          <cell r="D531">
            <v>0.93260028860028865</v>
          </cell>
          <cell r="E531" t="str">
            <v/>
          </cell>
          <cell r="F531" t="str">
            <v/>
          </cell>
          <cell r="G531" t="str">
            <v/>
          </cell>
          <cell r="H531" t="str">
            <v/>
          </cell>
          <cell r="J531" t="str">
            <v/>
          </cell>
          <cell r="K531" t="str">
            <v/>
          </cell>
          <cell r="L531" t="str">
            <v/>
          </cell>
          <cell r="M531" t="str">
            <v/>
          </cell>
          <cell r="N531" t="str">
            <v/>
          </cell>
          <cell r="Q531" t="str">
            <v/>
          </cell>
          <cell r="R531" t="str">
            <v/>
          </cell>
          <cell r="S531" t="str">
            <v/>
          </cell>
          <cell r="X531" t="str">
            <v/>
          </cell>
          <cell r="Y531" t="str">
            <v/>
          </cell>
          <cell r="Z531" t="str">
            <v/>
          </cell>
          <cell r="AB531" t="str">
            <v/>
          </cell>
          <cell r="AD531" t="str">
            <v/>
          </cell>
          <cell r="AE531" t="str">
            <v/>
          </cell>
          <cell r="AF531" t="str">
            <v/>
          </cell>
          <cell r="AG531" t="str">
            <v/>
          </cell>
          <cell r="AH531" t="str">
            <v/>
          </cell>
          <cell r="AI531" t="str">
            <v/>
          </cell>
          <cell r="AJ531" t="str">
            <v/>
          </cell>
          <cell r="AK531" t="str">
            <v/>
          </cell>
          <cell r="AL531" t="str">
            <v/>
          </cell>
          <cell r="AM531" t="str">
            <v/>
          </cell>
          <cell r="AN531" t="str">
            <v/>
          </cell>
          <cell r="AO531">
            <v>0</v>
          </cell>
          <cell r="AQ531" t="str">
            <v/>
          </cell>
          <cell r="AR531" t="str">
            <v/>
          </cell>
          <cell r="AS531" t="str">
            <v/>
          </cell>
          <cell r="AU531" t="str">
            <v/>
          </cell>
          <cell r="AV531" t="str">
            <v/>
          </cell>
          <cell r="AW531" t="str">
            <v/>
          </cell>
          <cell r="AX531" t="str">
            <v/>
          </cell>
          <cell r="AY531" t="str">
            <v/>
          </cell>
          <cell r="AZ531" t="str">
            <v/>
          </cell>
          <cell r="BA531" t="str">
            <v/>
          </cell>
          <cell r="BB531" t="str">
            <v/>
          </cell>
          <cell r="BC531" t="str">
            <v/>
          </cell>
          <cell r="BD531" t="str">
            <v/>
          </cell>
          <cell r="BE531" t="str">
            <v/>
          </cell>
          <cell r="BF531" t="str">
            <v/>
          </cell>
          <cell r="BG531" t="str">
            <v/>
          </cell>
          <cell r="BH531" t="str">
            <v/>
          </cell>
          <cell r="BI531" t="str">
            <v/>
          </cell>
          <cell r="BJ531" t="str">
            <v/>
          </cell>
        </row>
        <row r="532">
          <cell r="A532" t="str">
            <v>RV3</v>
          </cell>
          <cell r="B532" t="str">
            <v>Q04</v>
          </cell>
          <cell r="C532" t="str">
            <v/>
          </cell>
          <cell r="D532" t="str">
            <v/>
          </cell>
          <cell r="E532" t="str">
            <v/>
          </cell>
          <cell r="F532" t="str">
            <v/>
          </cell>
          <cell r="G532" t="str">
            <v/>
          </cell>
          <cell r="H532" t="str">
            <v/>
          </cell>
          <cell r="J532" t="str">
            <v/>
          </cell>
          <cell r="K532" t="str">
            <v/>
          </cell>
          <cell r="L532" t="str">
            <v/>
          </cell>
          <cell r="M532" t="str">
            <v/>
          </cell>
          <cell r="N532" t="str">
            <v/>
          </cell>
          <cell r="Q532" t="str">
            <v/>
          </cell>
          <cell r="R532">
            <v>0.80139372822299648</v>
          </cell>
          <cell r="S532" t="str">
            <v/>
          </cell>
          <cell r="X532" t="str">
            <v/>
          </cell>
          <cell r="Y532" t="str">
            <v/>
          </cell>
          <cell r="Z532" t="str">
            <v/>
          </cell>
          <cell r="AB532" t="str">
            <v/>
          </cell>
          <cell r="AD532" t="str">
            <v/>
          </cell>
          <cell r="AE532" t="str">
            <v/>
          </cell>
          <cell r="AF532" t="str">
            <v/>
          </cell>
          <cell r="AG532">
            <v>0</v>
          </cell>
          <cell r="AH532" t="str">
            <v/>
          </cell>
          <cell r="AI532" t="str">
            <v/>
          </cell>
          <cell r="AJ532" t="str">
            <v/>
          </cell>
          <cell r="AK532" t="str">
            <v/>
          </cell>
          <cell r="AL532" t="str">
            <v/>
          </cell>
          <cell r="AM532" t="str">
            <v/>
          </cell>
          <cell r="AN532" t="str">
            <v/>
          </cell>
          <cell r="AO532">
            <v>1258</v>
          </cell>
          <cell r="AQ532" t="str">
            <v/>
          </cell>
          <cell r="AR532" t="str">
            <v/>
          </cell>
          <cell r="AS532" t="str">
            <v/>
          </cell>
          <cell r="AU532" t="str">
            <v/>
          </cell>
          <cell r="AV532" t="str">
            <v/>
          </cell>
          <cell r="AW532" t="str">
            <v/>
          </cell>
          <cell r="AX532" t="str">
            <v/>
          </cell>
          <cell r="AY532" t="str">
            <v/>
          </cell>
          <cell r="AZ532" t="str">
            <v/>
          </cell>
          <cell r="BA532" t="str">
            <v/>
          </cell>
          <cell r="BB532" t="str">
            <v/>
          </cell>
          <cell r="BC532" t="str">
            <v/>
          </cell>
          <cell r="BD532" t="str">
            <v/>
          </cell>
          <cell r="BE532" t="str">
            <v/>
          </cell>
          <cell r="BF532" t="str">
            <v/>
          </cell>
          <cell r="BG532" t="str">
            <v/>
          </cell>
          <cell r="BH532" t="str">
            <v/>
          </cell>
          <cell r="BI532" t="str">
            <v/>
          </cell>
          <cell r="BJ532" t="str">
            <v/>
          </cell>
        </row>
        <row r="533">
          <cell r="A533" t="str">
            <v>RV5</v>
          </cell>
          <cell r="B533" t="str">
            <v>Q07</v>
          </cell>
          <cell r="C533" t="str">
            <v/>
          </cell>
          <cell r="D533" t="str">
            <v/>
          </cell>
          <cell r="E533" t="str">
            <v/>
          </cell>
          <cell r="F533" t="str">
            <v/>
          </cell>
          <cell r="G533" t="str">
            <v/>
          </cell>
          <cell r="H533" t="str">
            <v/>
          </cell>
          <cell r="J533" t="str">
            <v/>
          </cell>
          <cell r="K533" t="str">
            <v/>
          </cell>
          <cell r="L533" t="str">
            <v/>
          </cell>
          <cell r="M533" t="str">
            <v/>
          </cell>
          <cell r="N533" t="str">
            <v/>
          </cell>
          <cell r="Q533" t="str">
            <v/>
          </cell>
          <cell r="R533" t="str">
            <v/>
          </cell>
          <cell r="S533" t="str">
            <v/>
          </cell>
          <cell r="X533" t="str">
            <v/>
          </cell>
          <cell r="Y533" t="str">
            <v/>
          </cell>
          <cell r="Z533" t="str">
            <v/>
          </cell>
          <cell r="AB533" t="str">
            <v/>
          </cell>
          <cell r="AD533" t="str">
            <v/>
          </cell>
          <cell r="AE533" t="str">
            <v/>
          </cell>
          <cell r="AF533" t="str">
            <v/>
          </cell>
          <cell r="AG533">
            <v>0</v>
          </cell>
          <cell r="AH533" t="str">
            <v/>
          </cell>
          <cell r="AI533" t="str">
            <v/>
          </cell>
          <cell r="AJ533" t="str">
            <v/>
          </cell>
          <cell r="AK533" t="str">
            <v/>
          </cell>
          <cell r="AL533" t="str">
            <v/>
          </cell>
          <cell r="AM533" t="str">
            <v/>
          </cell>
          <cell r="AN533" t="str">
            <v/>
          </cell>
          <cell r="AO533">
            <v>719</v>
          </cell>
          <cell r="AQ533" t="str">
            <v/>
          </cell>
          <cell r="AR533" t="str">
            <v/>
          </cell>
          <cell r="AS533" t="str">
            <v/>
          </cell>
          <cell r="AU533" t="str">
            <v/>
          </cell>
          <cell r="AV533" t="str">
            <v/>
          </cell>
          <cell r="AW533" t="str">
            <v/>
          </cell>
          <cell r="AX533" t="str">
            <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row>
        <row r="534">
          <cell r="A534" t="str">
            <v>RV6</v>
          </cell>
          <cell r="B534" t="str">
            <v>Q24</v>
          </cell>
          <cell r="C534">
            <v>0.76577363618714811</v>
          </cell>
          <cell r="D534">
            <v>0.85554926845040824</v>
          </cell>
          <cell r="E534" t="str">
            <v/>
          </cell>
          <cell r="F534" t="str">
            <v/>
          </cell>
          <cell r="G534" t="str">
            <v/>
          </cell>
          <cell r="H534" t="str">
            <v/>
          </cell>
          <cell r="J534" t="str">
            <v/>
          </cell>
          <cell r="K534" t="str">
            <v/>
          </cell>
          <cell r="L534" t="str">
            <v/>
          </cell>
          <cell r="M534" t="str">
            <v/>
          </cell>
          <cell r="N534" t="str">
            <v/>
          </cell>
          <cell r="Q534" t="str">
            <v/>
          </cell>
          <cell r="R534" t="str">
            <v/>
          </cell>
          <cell r="S534" t="str">
            <v/>
          </cell>
          <cell r="X534" t="str">
            <v/>
          </cell>
          <cell r="Y534" t="str">
            <v/>
          </cell>
          <cell r="Z534" t="str">
            <v/>
          </cell>
          <cell r="AB534" t="str">
            <v/>
          </cell>
          <cell r="AD534" t="str">
            <v/>
          </cell>
          <cell r="AE534" t="str">
            <v/>
          </cell>
          <cell r="AF534" t="str">
            <v/>
          </cell>
          <cell r="AG534" t="str">
            <v/>
          </cell>
          <cell r="AH534" t="str">
            <v/>
          </cell>
          <cell r="AI534" t="str">
            <v/>
          </cell>
          <cell r="AJ534" t="str">
            <v/>
          </cell>
          <cell r="AK534" t="str">
            <v/>
          </cell>
          <cell r="AL534" t="str">
            <v/>
          </cell>
          <cell r="AM534" t="str">
            <v/>
          </cell>
          <cell r="AN534" t="str">
            <v/>
          </cell>
          <cell r="AO534">
            <v>311</v>
          </cell>
          <cell r="AQ534" t="str">
            <v/>
          </cell>
          <cell r="AR534" t="str">
            <v/>
          </cell>
          <cell r="AS534" t="str">
            <v/>
          </cell>
          <cell r="AU534" t="str">
            <v/>
          </cell>
          <cell r="AV534" t="str">
            <v/>
          </cell>
          <cell r="AW534" t="str">
            <v/>
          </cell>
          <cell r="AX534" t="str">
            <v/>
          </cell>
          <cell r="AY534" t="str">
            <v/>
          </cell>
          <cell r="AZ534" t="str">
            <v/>
          </cell>
          <cell r="BA534" t="str">
            <v/>
          </cell>
          <cell r="BB534" t="str">
            <v/>
          </cell>
          <cell r="BC534" t="str">
            <v/>
          </cell>
          <cell r="BD534" t="str">
            <v/>
          </cell>
          <cell r="BE534" t="str">
            <v/>
          </cell>
          <cell r="BF534" t="str">
            <v/>
          </cell>
          <cell r="BG534" t="str">
            <v/>
          </cell>
          <cell r="BH534" t="str">
            <v/>
          </cell>
          <cell r="BI534" t="str">
            <v/>
          </cell>
          <cell r="BJ534" t="str">
            <v/>
          </cell>
        </row>
        <row r="535">
          <cell r="A535" t="str">
            <v>RV7</v>
          </cell>
          <cell r="B535" t="str">
            <v>Q02</v>
          </cell>
          <cell r="C535" t="str">
            <v/>
          </cell>
          <cell r="D535" t="str">
            <v/>
          </cell>
          <cell r="E535" t="str">
            <v/>
          </cell>
          <cell r="F535" t="str">
            <v/>
          </cell>
          <cell r="G535" t="str">
            <v/>
          </cell>
          <cell r="H535" t="str">
            <v/>
          </cell>
          <cell r="J535" t="str">
            <v/>
          </cell>
          <cell r="K535" t="str">
            <v/>
          </cell>
          <cell r="L535" t="str">
            <v/>
          </cell>
          <cell r="M535" t="str">
            <v/>
          </cell>
          <cell r="N535" t="str">
            <v/>
          </cell>
          <cell r="Q535" t="str">
            <v/>
          </cell>
          <cell r="R535" t="str">
            <v/>
          </cell>
          <cell r="S535" t="str">
            <v/>
          </cell>
          <cell r="X535" t="str">
            <v/>
          </cell>
          <cell r="Y535" t="str">
            <v/>
          </cell>
          <cell r="Z535" t="str">
            <v/>
          </cell>
          <cell r="AB535" t="str">
            <v/>
          </cell>
          <cell r="AD535" t="str">
            <v/>
          </cell>
          <cell r="AE535" t="str">
            <v/>
          </cell>
          <cell r="AF535" t="str">
            <v/>
          </cell>
          <cell r="AG535">
            <v>0</v>
          </cell>
          <cell r="AH535" t="str">
            <v/>
          </cell>
          <cell r="AI535" t="str">
            <v/>
          </cell>
          <cell r="AJ535" t="str">
            <v/>
          </cell>
          <cell r="AK535" t="str">
            <v/>
          </cell>
          <cell r="AL535" t="str">
            <v/>
          </cell>
          <cell r="AM535" t="str">
            <v/>
          </cell>
          <cell r="AN535" t="str">
            <v/>
          </cell>
          <cell r="AO535">
            <v>1250</v>
          </cell>
          <cell r="AQ535" t="str">
            <v/>
          </cell>
          <cell r="AR535" t="str">
            <v/>
          </cell>
          <cell r="AS535" t="str">
            <v/>
          </cell>
          <cell r="AU535" t="str">
            <v/>
          </cell>
          <cell r="AV535" t="str">
            <v/>
          </cell>
          <cell r="AW535" t="str">
            <v/>
          </cell>
          <cell r="AX535" t="str">
            <v/>
          </cell>
          <cell r="AY535" t="str">
            <v/>
          </cell>
          <cell r="AZ535" t="str">
            <v/>
          </cell>
          <cell r="BA535" t="str">
            <v/>
          </cell>
          <cell r="BB535" t="str">
            <v/>
          </cell>
          <cell r="BC535" t="str">
            <v/>
          </cell>
          <cell r="BD535" t="str">
            <v/>
          </cell>
          <cell r="BE535" t="str">
            <v/>
          </cell>
          <cell r="BF535" t="str">
            <v/>
          </cell>
          <cell r="BG535" t="str">
            <v/>
          </cell>
          <cell r="BH535" t="str">
            <v/>
          </cell>
          <cell r="BI535" t="str">
            <v/>
          </cell>
          <cell r="BJ535" t="str">
            <v/>
          </cell>
        </row>
        <row r="536">
          <cell r="A536" t="str">
            <v>RV8</v>
          </cell>
          <cell r="B536" t="str">
            <v>Q04</v>
          </cell>
          <cell r="C536" t="str">
            <v/>
          </cell>
          <cell r="D536" t="str">
            <v/>
          </cell>
          <cell r="E536">
            <v>0.95961766868389797</v>
          </cell>
          <cell r="F536" t="str">
            <v/>
          </cell>
          <cell r="G536" t="str">
            <v/>
          </cell>
          <cell r="H536" t="str">
            <v/>
          </cell>
          <cell r="J536" t="str">
            <v/>
          </cell>
          <cell r="K536" t="str">
            <v/>
          </cell>
          <cell r="L536" t="str">
            <v/>
          </cell>
          <cell r="M536">
            <v>5759</v>
          </cell>
          <cell r="N536" t="str">
            <v/>
          </cell>
          <cell r="Q536">
            <v>1</v>
          </cell>
          <cell r="R536">
            <v>1</v>
          </cell>
          <cell r="S536" t="str">
            <v/>
          </cell>
          <cell r="X536" t="str">
            <v/>
          </cell>
          <cell r="Y536" t="str">
            <v/>
          </cell>
          <cell r="Z536" t="str">
            <v/>
          </cell>
          <cell r="AB536">
            <v>1</v>
          </cell>
          <cell r="AD536" t="str">
            <v/>
          </cell>
          <cell r="AE536" t="str">
            <v/>
          </cell>
          <cell r="AF536" t="str">
            <v/>
          </cell>
          <cell r="AG536">
            <v>3.9884393063583816E-2</v>
          </cell>
          <cell r="AH536">
            <v>4.333333333333333</v>
          </cell>
          <cell r="AI536" t="str">
            <v/>
          </cell>
          <cell r="AJ536" t="str">
            <v/>
          </cell>
          <cell r="AK536" t="str">
            <v/>
          </cell>
          <cell r="AL536" t="str">
            <v/>
          </cell>
          <cell r="AM536" t="str">
            <v/>
          </cell>
          <cell r="AN536" t="str">
            <v/>
          </cell>
          <cell r="AO536">
            <v>-24064</v>
          </cell>
          <cell r="AQ536" t="str">
            <v/>
          </cell>
          <cell r="AR536" t="str">
            <v/>
          </cell>
          <cell r="AS536" t="str">
            <v/>
          </cell>
          <cell r="AU536" t="str">
            <v/>
          </cell>
          <cell r="AV536" t="str">
            <v/>
          </cell>
          <cell r="AW536" t="str">
            <v/>
          </cell>
          <cell r="AX536" t="str">
            <v/>
          </cell>
          <cell r="AY536" t="str">
            <v/>
          </cell>
          <cell r="AZ536" t="str">
            <v/>
          </cell>
          <cell r="BA536" t="str">
            <v/>
          </cell>
          <cell r="BB536" t="str">
            <v/>
          </cell>
          <cell r="BC536" t="str">
            <v/>
          </cell>
          <cell r="BD536" t="str">
            <v/>
          </cell>
          <cell r="BE536" t="str">
            <v/>
          </cell>
          <cell r="BF536" t="str">
            <v/>
          </cell>
          <cell r="BG536" t="str">
            <v/>
          </cell>
          <cell r="BH536" t="str">
            <v/>
          </cell>
          <cell r="BI536" t="str">
            <v/>
          </cell>
          <cell r="BJ536" t="str">
            <v/>
          </cell>
        </row>
        <row r="537">
          <cell r="A537" t="str">
            <v>RV9</v>
          </cell>
          <cell r="B537" t="str">
            <v>Q11</v>
          </cell>
          <cell r="C537" t="str">
            <v/>
          </cell>
          <cell r="D537" t="str">
            <v/>
          </cell>
          <cell r="E537" t="str">
            <v/>
          </cell>
          <cell r="F537" t="str">
            <v/>
          </cell>
          <cell r="G537" t="str">
            <v/>
          </cell>
          <cell r="H537" t="str">
            <v/>
          </cell>
          <cell r="J537" t="str">
            <v/>
          </cell>
          <cell r="K537" t="str">
            <v/>
          </cell>
          <cell r="L537" t="str">
            <v/>
          </cell>
          <cell r="M537" t="str">
            <v/>
          </cell>
          <cell r="N537" t="str">
            <v/>
          </cell>
          <cell r="Q537">
            <v>0</v>
          </cell>
          <cell r="R537">
            <v>1</v>
          </cell>
          <cell r="S537" t="str">
            <v/>
          </cell>
          <cell r="X537" t="str">
            <v/>
          </cell>
          <cell r="Y537" t="str">
            <v/>
          </cell>
          <cell r="Z537" t="str">
            <v/>
          </cell>
          <cell r="AB537" t="str">
            <v/>
          </cell>
          <cell r="AD537" t="str">
            <v/>
          </cell>
          <cell r="AE537" t="str">
            <v/>
          </cell>
          <cell r="AF537" t="str">
            <v/>
          </cell>
          <cell r="AG537">
            <v>0</v>
          </cell>
          <cell r="AH537" t="str">
            <v/>
          </cell>
          <cell r="AI537" t="str">
            <v/>
          </cell>
          <cell r="AJ537" t="str">
            <v/>
          </cell>
          <cell r="AK537" t="str">
            <v/>
          </cell>
          <cell r="AL537" t="str">
            <v/>
          </cell>
          <cell r="AM537" t="str">
            <v/>
          </cell>
          <cell r="AN537" t="str">
            <v/>
          </cell>
          <cell r="AO537">
            <v>3</v>
          </cell>
          <cell r="AQ537" t="str">
            <v/>
          </cell>
          <cell r="AR537" t="str">
            <v/>
          </cell>
          <cell r="AS537" t="str">
            <v/>
          </cell>
          <cell r="AU537" t="str">
            <v/>
          </cell>
          <cell r="AV537" t="str">
            <v/>
          </cell>
          <cell r="AW537" t="str">
            <v/>
          </cell>
          <cell r="AX537" t="str">
            <v/>
          </cell>
          <cell r="AY537" t="str">
            <v/>
          </cell>
          <cell r="AZ537" t="str">
            <v/>
          </cell>
          <cell r="BA537" t="str">
            <v/>
          </cell>
          <cell r="BB537" t="str">
            <v/>
          </cell>
          <cell r="BC537" t="str">
            <v/>
          </cell>
          <cell r="BD537" t="str">
            <v/>
          </cell>
          <cell r="BE537" t="str">
            <v/>
          </cell>
          <cell r="BF537" t="str">
            <v/>
          </cell>
          <cell r="BG537" t="str">
            <v/>
          </cell>
          <cell r="BH537" t="str">
            <v/>
          </cell>
          <cell r="BI537" t="str">
            <v/>
          </cell>
          <cell r="BJ537" t="str">
            <v/>
          </cell>
        </row>
        <row r="538">
          <cell r="A538" t="str">
            <v>RVJ</v>
          </cell>
          <cell r="B538" t="str">
            <v>Q20</v>
          </cell>
          <cell r="C538" t="str">
            <v/>
          </cell>
          <cell r="D538" t="str">
            <v/>
          </cell>
          <cell r="E538">
            <v>0.96478143774601199</v>
          </cell>
          <cell r="F538" t="str">
            <v/>
          </cell>
          <cell r="G538" t="str">
            <v/>
          </cell>
          <cell r="H538" t="str">
            <v/>
          </cell>
          <cell r="J538" t="str">
            <v/>
          </cell>
          <cell r="K538" t="str">
            <v/>
          </cell>
          <cell r="L538" t="str">
            <v/>
          </cell>
          <cell r="M538">
            <v>9807</v>
          </cell>
          <cell r="N538" t="str">
            <v/>
          </cell>
          <cell r="Q538">
            <v>1</v>
          </cell>
          <cell r="R538">
            <v>1</v>
          </cell>
          <cell r="S538" t="str">
            <v/>
          </cell>
          <cell r="X538" t="str">
            <v/>
          </cell>
          <cell r="Y538" t="str">
            <v/>
          </cell>
          <cell r="Z538" t="str">
            <v/>
          </cell>
          <cell r="AB538">
            <v>0.95108695652173914</v>
          </cell>
          <cell r="AD538" t="str">
            <v/>
          </cell>
          <cell r="AE538" t="str">
            <v/>
          </cell>
          <cell r="AF538" t="str">
            <v/>
          </cell>
          <cell r="AG538">
            <v>1.8893617021276597E-2</v>
          </cell>
          <cell r="AH538">
            <v>9.3333333333333339</v>
          </cell>
          <cell r="AI538" t="str">
            <v/>
          </cell>
          <cell r="AJ538" t="str">
            <v/>
          </cell>
          <cell r="AK538" t="str">
            <v/>
          </cell>
          <cell r="AL538" t="str">
            <v/>
          </cell>
          <cell r="AM538" t="str">
            <v/>
          </cell>
          <cell r="AN538" t="str">
            <v/>
          </cell>
          <cell r="AO538">
            <v>1480</v>
          </cell>
          <cell r="AQ538" t="str">
            <v/>
          </cell>
          <cell r="AR538" t="str">
            <v/>
          </cell>
          <cell r="AS538" t="str">
            <v/>
          </cell>
          <cell r="AU538" t="str">
            <v/>
          </cell>
          <cell r="AV538" t="str">
            <v/>
          </cell>
          <cell r="AW538" t="str">
            <v/>
          </cell>
          <cell r="AX538" t="str">
            <v/>
          </cell>
          <cell r="AY538" t="str">
            <v/>
          </cell>
          <cell r="AZ538" t="str">
            <v/>
          </cell>
          <cell r="BA538" t="str">
            <v/>
          </cell>
          <cell r="BB538" t="str">
            <v/>
          </cell>
          <cell r="BC538" t="str">
            <v/>
          </cell>
          <cell r="BD538" t="str">
            <v/>
          </cell>
          <cell r="BE538" t="str">
            <v/>
          </cell>
          <cell r="BF538" t="str">
            <v/>
          </cell>
          <cell r="BG538" t="str">
            <v/>
          </cell>
          <cell r="BH538" t="str">
            <v/>
          </cell>
          <cell r="BI538" t="str">
            <v/>
          </cell>
          <cell r="BJ538" t="str">
            <v/>
          </cell>
        </row>
        <row r="539">
          <cell r="A539" t="str">
            <v>RVK</v>
          </cell>
          <cell r="B539" t="str">
            <v>Q09</v>
          </cell>
          <cell r="C539">
            <v>0.79778526721232546</v>
          </cell>
          <cell r="D539">
            <v>0.96495720242885363</v>
          </cell>
          <cell r="E539" t="str">
            <v/>
          </cell>
          <cell r="F539" t="str">
            <v/>
          </cell>
          <cell r="G539" t="str">
            <v/>
          </cell>
          <cell r="H539" t="str">
            <v/>
          </cell>
          <cell r="J539" t="str">
            <v/>
          </cell>
          <cell r="K539" t="str">
            <v/>
          </cell>
          <cell r="L539" t="str">
            <v/>
          </cell>
          <cell r="M539" t="str">
            <v/>
          </cell>
          <cell r="N539" t="str">
            <v/>
          </cell>
          <cell r="Q539" t="str">
            <v/>
          </cell>
          <cell r="R539" t="str">
            <v/>
          </cell>
          <cell r="S539" t="str">
            <v/>
          </cell>
          <cell r="X539" t="str">
            <v/>
          </cell>
          <cell r="Y539" t="str">
            <v/>
          </cell>
          <cell r="Z539" t="str">
            <v/>
          </cell>
          <cell r="AB539" t="str">
            <v/>
          </cell>
          <cell r="AD539" t="str">
            <v/>
          </cell>
          <cell r="AE539" t="str">
            <v/>
          </cell>
          <cell r="AF539" t="str">
            <v/>
          </cell>
          <cell r="AG539" t="str">
            <v/>
          </cell>
          <cell r="AH539" t="str">
            <v/>
          </cell>
          <cell r="AI539" t="str">
            <v/>
          </cell>
          <cell r="AJ539" t="str">
            <v/>
          </cell>
          <cell r="AK539" t="str">
            <v/>
          </cell>
          <cell r="AL539" t="str">
            <v/>
          </cell>
          <cell r="AM539" t="str">
            <v/>
          </cell>
          <cell r="AN539" t="str">
            <v/>
          </cell>
          <cell r="AO539">
            <v>554</v>
          </cell>
          <cell r="AQ539" t="str">
            <v/>
          </cell>
          <cell r="AR539" t="str">
            <v/>
          </cell>
          <cell r="AS539" t="str">
            <v/>
          </cell>
          <cell r="AU539" t="str">
            <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row>
        <row r="540">
          <cell r="A540" t="str">
            <v>RVL</v>
          </cell>
          <cell r="B540" t="str">
            <v>Q05</v>
          </cell>
          <cell r="C540" t="str">
            <v/>
          </cell>
          <cell r="D540" t="str">
            <v/>
          </cell>
          <cell r="E540">
            <v>0.87286936603112575</v>
          </cell>
          <cell r="F540" t="str">
            <v/>
          </cell>
          <cell r="G540" t="str">
            <v/>
          </cell>
          <cell r="H540" t="str">
            <v/>
          </cell>
          <cell r="J540" t="str">
            <v/>
          </cell>
          <cell r="K540" t="str">
            <v/>
          </cell>
          <cell r="L540" t="str">
            <v/>
          </cell>
          <cell r="M540">
            <v>6377</v>
          </cell>
          <cell r="N540" t="str">
            <v/>
          </cell>
          <cell r="Q540">
            <v>0.98991288399816602</v>
          </cell>
          <cell r="R540">
            <v>0.8791377983063895</v>
          </cell>
          <cell r="S540" t="str">
            <v/>
          </cell>
          <cell r="X540" t="str">
            <v/>
          </cell>
          <cell r="Y540" t="str">
            <v/>
          </cell>
          <cell r="Z540" t="str">
            <v/>
          </cell>
          <cell r="AB540">
            <v>1</v>
          </cell>
          <cell r="AD540" t="str">
            <v/>
          </cell>
          <cell r="AE540" t="str">
            <v/>
          </cell>
          <cell r="AF540" t="str">
            <v/>
          </cell>
          <cell r="AG540">
            <v>3.6282306163021867E-2</v>
          </cell>
          <cell r="AH540">
            <v>6.666666666666667</v>
          </cell>
          <cell r="AI540" t="str">
            <v/>
          </cell>
          <cell r="AJ540" t="str">
            <v/>
          </cell>
          <cell r="AK540" t="str">
            <v/>
          </cell>
          <cell r="AL540" t="str">
            <v/>
          </cell>
          <cell r="AM540" t="str">
            <v/>
          </cell>
          <cell r="AN540" t="str">
            <v/>
          </cell>
          <cell r="AO540">
            <v>-8994</v>
          </cell>
          <cell r="AQ540" t="str">
            <v/>
          </cell>
          <cell r="AR540" t="str">
            <v/>
          </cell>
          <cell r="AS540" t="str">
            <v/>
          </cell>
          <cell r="AU540" t="str">
            <v/>
          </cell>
          <cell r="AV540" t="str">
            <v/>
          </cell>
          <cell r="AW540" t="str">
            <v/>
          </cell>
          <cell r="AX540" t="str">
            <v/>
          </cell>
          <cell r="AY540" t="str">
            <v/>
          </cell>
          <cell r="AZ540" t="str">
            <v/>
          </cell>
          <cell r="BA540" t="str">
            <v/>
          </cell>
          <cell r="BB540" t="str">
            <v/>
          </cell>
          <cell r="BC540" t="str">
            <v/>
          </cell>
          <cell r="BD540" t="str">
            <v/>
          </cell>
          <cell r="BE540" t="str">
            <v/>
          </cell>
          <cell r="BF540" t="str">
            <v/>
          </cell>
          <cell r="BG540" t="str">
            <v/>
          </cell>
          <cell r="BH540" t="str">
            <v/>
          </cell>
          <cell r="BI540" t="str">
            <v/>
          </cell>
          <cell r="BJ540" t="str">
            <v/>
          </cell>
        </row>
        <row r="541">
          <cell r="A541" t="str">
            <v>RVN</v>
          </cell>
          <cell r="B541" t="str">
            <v>Q20</v>
          </cell>
          <cell r="C541" t="str">
            <v/>
          </cell>
          <cell r="D541" t="str">
            <v/>
          </cell>
          <cell r="E541" t="str">
            <v/>
          </cell>
          <cell r="F541" t="str">
            <v/>
          </cell>
          <cell r="G541" t="str">
            <v/>
          </cell>
          <cell r="H541" t="str">
            <v/>
          </cell>
          <cell r="J541" t="str">
            <v/>
          </cell>
          <cell r="K541" t="str">
            <v/>
          </cell>
          <cell r="L541" t="str">
            <v/>
          </cell>
          <cell r="M541" t="str">
            <v/>
          </cell>
          <cell r="N541" t="str">
            <v/>
          </cell>
          <cell r="Q541" t="str">
            <v/>
          </cell>
          <cell r="R541" t="str">
            <v/>
          </cell>
          <cell r="S541" t="str">
            <v/>
          </cell>
          <cell r="X541" t="str">
            <v/>
          </cell>
          <cell r="Y541" t="str">
            <v/>
          </cell>
          <cell r="Z541" t="str">
            <v/>
          </cell>
          <cell r="AB541" t="str">
            <v/>
          </cell>
          <cell r="AD541" t="str">
            <v/>
          </cell>
          <cell r="AE541" t="str">
            <v/>
          </cell>
          <cell r="AF541" t="str">
            <v/>
          </cell>
          <cell r="AG541" t="str">
            <v/>
          </cell>
          <cell r="AH541" t="str">
            <v/>
          </cell>
          <cell r="AI541" t="str">
            <v/>
          </cell>
          <cell r="AJ541" t="str">
            <v/>
          </cell>
          <cell r="AK541" t="str">
            <v/>
          </cell>
          <cell r="AL541" t="str">
            <v/>
          </cell>
          <cell r="AM541" t="str">
            <v/>
          </cell>
          <cell r="AN541" t="str">
            <v/>
          </cell>
          <cell r="AO541">
            <v>-2789</v>
          </cell>
          <cell r="AQ541" t="str">
            <v/>
          </cell>
          <cell r="AR541" t="str">
            <v/>
          </cell>
          <cell r="AS541" t="str">
            <v/>
          </cell>
          <cell r="AU541" t="str">
            <v/>
          </cell>
          <cell r="AV541" t="str">
            <v/>
          </cell>
          <cell r="AW541" t="str">
            <v/>
          </cell>
          <cell r="AX541" t="str">
            <v/>
          </cell>
          <cell r="AY541" t="str">
            <v/>
          </cell>
          <cell r="AZ541" t="str">
            <v/>
          </cell>
          <cell r="BA541" t="str">
            <v/>
          </cell>
          <cell r="BB541" t="str">
            <v/>
          </cell>
          <cell r="BC541" t="str">
            <v/>
          </cell>
          <cell r="BD541" t="str">
            <v/>
          </cell>
          <cell r="BE541" t="str">
            <v/>
          </cell>
          <cell r="BF541" t="str">
            <v/>
          </cell>
          <cell r="BG541" t="str">
            <v/>
          </cell>
          <cell r="BH541" t="str">
            <v/>
          </cell>
          <cell r="BI541" t="str">
            <v/>
          </cell>
          <cell r="BJ541" t="str">
            <v/>
          </cell>
        </row>
        <row r="542">
          <cell r="A542" t="str">
            <v>RVR</v>
          </cell>
          <cell r="B542" t="str">
            <v>Q08</v>
          </cell>
          <cell r="C542" t="str">
            <v/>
          </cell>
          <cell r="D542" t="str">
            <v/>
          </cell>
          <cell r="E542">
            <v>0.96304634733328154</v>
          </cell>
          <cell r="F542" t="str">
            <v/>
          </cell>
          <cell r="G542" t="str">
            <v/>
          </cell>
          <cell r="H542" t="str">
            <v/>
          </cell>
          <cell r="J542" t="str">
            <v/>
          </cell>
          <cell r="K542" t="str">
            <v/>
          </cell>
          <cell r="L542" t="str">
            <v/>
          </cell>
          <cell r="M542">
            <v>5544</v>
          </cell>
          <cell r="N542" t="str">
            <v/>
          </cell>
          <cell r="Q542">
            <v>1</v>
          </cell>
          <cell r="R542">
            <v>1</v>
          </cell>
          <cell r="S542" t="str">
            <v/>
          </cell>
          <cell r="X542" t="str">
            <v/>
          </cell>
          <cell r="Y542" t="str">
            <v/>
          </cell>
          <cell r="Z542" t="str">
            <v/>
          </cell>
          <cell r="AB542">
            <v>1</v>
          </cell>
          <cell r="AD542" t="str">
            <v/>
          </cell>
          <cell r="AE542" t="str">
            <v/>
          </cell>
          <cell r="AF542" t="str">
            <v/>
          </cell>
          <cell r="AG542">
            <v>3.8479809976247031E-2</v>
          </cell>
          <cell r="AH542">
            <v>6.333333333333333</v>
          </cell>
          <cell r="AI542" t="str">
            <v/>
          </cell>
          <cell r="AJ542" t="str">
            <v/>
          </cell>
          <cell r="AK542" t="str">
            <v/>
          </cell>
          <cell r="AL542" t="str">
            <v/>
          </cell>
          <cell r="AM542" t="str">
            <v/>
          </cell>
          <cell r="AN542" t="str">
            <v/>
          </cell>
          <cell r="AO542">
            <v>229</v>
          </cell>
          <cell r="AQ542" t="str">
            <v/>
          </cell>
          <cell r="AR542" t="str">
            <v/>
          </cell>
          <cell r="AS542" t="str">
            <v/>
          </cell>
          <cell r="AU542" t="str">
            <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row>
        <row r="543">
          <cell r="A543" t="str">
            <v>RVR1</v>
          </cell>
          <cell r="B543" t="str">
            <v>Q08</v>
          </cell>
          <cell r="C543" t="str">
            <v/>
          </cell>
          <cell r="D543" t="str">
            <v/>
          </cell>
          <cell r="E543" t="str">
            <v/>
          </cell>
          <cell r="J543" t="str">
            <v/>
          </cell>
          <cell r="K543" t="str">
            <v/>
          </cell>
          <cell r="L543" t="str">
            <v/>
          </cell>
          <cell r="M543" t="str">
            <v/>
          </cell>
          <cell r="Q543" t="str">
            <v/>
          </cell>
          <cell r="R543" t="str">
            <v/>
          </cell>
          <cell r="X543" t="str">
            <v/>
          </cell>
          <cell r="Y543" t="str">
            <v/>
          </cell>
          <cell r="Z543" t="str">
            <v/>
          </cell>
          <cell r="AB543" t="str">
            <v/>
          </cell>
          <cell r="AD543" t="str">
            <v/>
          </cell>
          <cell r="AE543" t="str">
            <v/>
          </cell>
          <cell r="AF543" t="str">
            <v/>
          </cell>
          <cell r="AG543">
            <v>4.6770601336302897E-2</v>
          </cell>
          <cell r="AH543" t="str">
            <v/>
          </cell>
          <cell r="AI543" t="str">
            <v/>
          </cell>
          <cell r="AJ543" t="str">
            <v/>
          </cell>
          <cell r="AK543" t="str">
            <v/>
          </cell>
          <cell r="AL543" t="str">
            <v/>
          </cell>
          <cell r="AM543" t="str">
            <v/>
          </cell>
          <cell r="AN543" t="str">
            <v/>
          </cell>
          <cell r="AO543" t="str">
            <v/>
          </cell>
          <cell r="AS543" t="str">
            <v/>
          </cell>
          <cell r="BB543" t="str">
            <v/>
          </cell>
          <cell r="BC543" t="str">
            <v/>
          </cell>
          <cell r="BD543" t="str">
            <v/>
          </cell>
          <cell r="BE543" t="str">
            <v/>
          </cell>
          <cell r="BF543" t="str">
            <v/>
          </cell>
          <cell r="BG543" t="str">
            <v/>
          </cell>
          <cell r="BH543" t="str">
            <v/>
          </cell>
          <cell r="BI543" t="str">
            <v/>
          </cell>
          <cell r="BJ543" t="str">
            <v/>
          </cell>
        </row>
        <row r="544">
          <cell r="A544" t="str">
            <v>RVV</v>
          </cell>
          <cell r="B544" t="str">
            <v>Q18</v>
          </cell>
          <cell r="C544" t="str">
            <v/>
          </cell>
          <cell r="D544" t="str">
            <v/>
          </cell>
          <cell r="E544">
            <v>0.98805114111602343</v>
          </cell>
          <cell r="F544" t="str">
            <v/>
          </cell>
          <cell r="G544" t="str">
            <v/>
          </cell>
          <cell r="H544" t="str">
            <v/>
          </cell>
          <cell r="J544" t="str">
            <v/>
          </cell>
          <cell r="K544" t="str">
            <v/>
          </cell>
          <cell r="L544" t="str">
            <v/>
          </cell>
          <cell r="M544">
            <v>9140</v>
          </cell>
          <cell r="N544" t="str">
            <v/>
          </cell>
          <cell r="Q544">
            <v>0.99156582324899156</v>
          </cell>
          <cell r="R544">
            <v>1</v>
          </cell>
          <cell r="S544" t="str">
            <v/>
          </cell>
          <cell r="X544" t="str">
            <v/>
          </cell>
          <cell r="Y544" t="str">
            <v/>
          </cell>
          <cell r="Z544" t="str">
            <v/>
          </cell>
          <cell r="AB544">
            <v>0.89261744966442957</v>
          </cell>
          <cell r="AD544" t="str">
            <v/>
          </cell>
          <cell r="AE544" t="str">
            <v/>
          </cell>
          <cell r="AF544" t="str">
            <v/>
          </cell>
          <cell r="AG544">
            <v>4.0695016003657977E-2</v>
          </cell>
          <cell r="AH544">
            <v>5.333333333333333</v>
          </cell>
          <cell r="AI544" t="str">
            <v/>
          </cell>
          <cell r="AJ544" t="str">
            <v/>
          </cell>
          <cell r="AK544" t="str">
            <v/>
          </cell>
          <cell r="AL544" t="str">
            <v/>
          </cell>
          <cell r="AM544" t="str">
            <v/>
          </cell>
          <cell r="AN544" t="str">
            <v/>
          </cell>
          <cell r="AO544">
            <v>-2606</v>
          </cell>
          <cell r="AQ544" t="str">
            <v/>
          </cell>
          <cell r="AR544" t="str">
            <v/>
          </cell>
          <cell r="AS544" t="str">
            <v/>
          </cell>
          <cell r="AU544" t="str">
            <v/>
          </cell>
          <cell r="AV544" t="str">
            <v/>
          </cell>
          <cell r="AW544" t="str">
            <v/>
          </cell>
          <cell r="AX544" t="str">
            <v/>
          </cell>
          <cell r="AY544" t="str">
            <v/>
          </cell>
          <cell r="AZ544" t="str">
            <v/>
          </cell>
          <cell r="BA544" t="str">
            <v/>
          </cell>
          <cell r="BB544" t="str">
            <v/>
          </cell>
          <cell r="BC544" t="str">
            <v/>
          </cell>
          <cell r="BD544" t="str">
            <v/>
          </cell>
          <cell r="BE544" t="str">
            <v/>
          </cell>
          <cell r="BF544" t="str">
            <v/>
          </cell>
          <cell r="BG544" t="str">
            <v/>
          </cell>
          <cell r="BH544" t="str">
            <v/>
          </cell>
          <cell r="BI544" t="str">
            <v/>
          </cell>
          <cell r="BJ544" t="str">
            <v/>
          </cell>
        </row>
        <row r="545">
          <cell r="A545" t="str">
            <v>RVW</v>
          </cell>
          <cell r="B545" t="str">
            <v>Q10</v>
          </cell>
          <cell r="C545" t="str">
            <v/>
          </cell>
          <cell r="D545" t="str">
            <v/>
          </cell>
          <cell r="E545">
            <v>0.98357664233576647</v>
          </cell>
          <cell r="F545" t="str">
            <v/>
          </cell>
          <cell r="G545" t="str">
            <v/>
          </cell>
          <cell r="H545" t="str">
            <v/>
          </cell>
          <cell r="J545" t="str">
            <v/>
          </cell>
          <cell r="K545" t="str">
            <v/>
          </cell>
          <cell r="L545" t="str">
            <v/>
          </cell>
          <cell r="M545">
            <v>2993</v>
          </cell>
          <cell r="N545" t="str">
            <v/>
          </cell>
          <cell r="Q545">
            <v>1</v>
          </cell>
          <cell r="R545">
            <v>1</v>
          </cell>
          <cell r="S545" t="str">
            <v/>
          </cell>
          <cell r="X545" t="str">
            <v/>
          </cell>
          <cell r="Y545" t="str">
            <v/>
          </cell>
          <cell r="Z545" t="str">
            <v/>
          </cell>
          <cell r="AB545">
            <v>0.95167286245353155</v>
          </cell>
          <cell r="AD545" t="str">
            <v/>
          </cell>
          <cell r="AE545" t="str">
            <v/>
          </cell>
          <cell r="AF545" t="str">
            <v/>
          </cell>
          <cell r="AG545">
            <v>8.7560386473429959E-3</v>
          </cell>
          <cell r="AH545">
            <v>3.3333333333333335</v>
          </cell>
          <cell r="AI545" t="str">
            <v/>
          </cell>
          <cell r="AJ545" t="str">
            <v/>
          </cell>
          <cell r="AK545" t="str">
            <v/>
          </cell>
          <cell r="AL545" t="str">
            <v/>
          </cell>
          <cell r="AM545" t="str">
            <v/>
          </cell>
          <cell r="AN545" t="str">
            <v/>
          </cell>
          <cell r="AO545">
            <v>-12812</v>
          </cell>
          <cell r="AQ545" t="str">
            <v/>
          </cell>
          <cell r="AR545" t="str">
            <v/>
          </cell>
          <cell r="AS545" t="str">
            <v/>
          </cell>
          <cell r="AU545" t="str">
            <v/>
          </cell>
          <cell r="AV545" t="str">
            <v/>
          </cell>
          <cell r="AW545" t="str">
            <v/>
          </cell>
          <cell r="AX545" t="str">
            <v/>
          </cell>
          <cell r="AY545" t="str">
            <v/>
          </cell>
          <cell r="AZ545" t="str">
            <v/>
          </cell>
          <cell r="BA545" t="str">
            <v/>
          </cell>
          <cell r="BB545" t="str">
            <v/>
          </cell>
          <cell r="BC545" t="str">
            <v/>
          </cell>
          <cell r="BD545" t="str">
            <v/>
          </cell>
          <cell r="BE545" t="str">
            <v/>
          </cell>
          <cell r="BF545" t="str">
            <v/>
          </cell>
          <cell r="BG545" t="str">
            <v/>
          </cell>
          <cell r="BH545" t="str">
            <v/>
          </cell>
          <cell r="BI545" t="str">
            <v/>
          </cell>
          <cell r="BJ545" t="str">
            <v/>
          </cell>
        </row>
        <row r="546">
          <cell r="A546" t="str">
            <v>RVX</v>
          </cell>
          <cell r="B546" t="str">
            <v>Q10</v>
          </cell>
          <cell r="C546" t="str">
            <v/>
          </cell>
          <cell r="D546" t="str">
            <v/>
          </cell>
          <cell r="E546" t="str">
            <v/>
          </cell>
          <cell r="J546" t="str">
            <v/>
          </cell>
          <cell r="K546" t="str">
            <v/>
          </cell>
          <cell r="L546" t="str">
            <v/>
          </cell>
          <cell r="M546">
            <v>0</v>
          </cell>
          <cell r="Q546" t="str">
            <v/>
          </cell>
          <cell r="R546">
            <v>1</v>
          </cell>
          <cell r="X546" t="str">
            <v/>
          </cell>
          <cell r="Y546" t="str">
            <v/>
          </cell>
          <cell r="Z546" t="str">
            <v/>
          </cell>
          <cell r="AB546" t="str">
            <v/>
          </cell>
          <cell r="AD546" t="str">
            <v/>
          </cell>
          <cell r="AE546" t="str">
            <v/>
          </cell>
          <cell r="AF546" t="str">
            <v/>
          </cell>
          <cell r="AG546">
            <v>0</v>
          </cell>
          <cell r="AH546" t="str">
            <v/>
          </cell>
          <cell r="AI546" t="str">
            <v/>
          </cell>
          <cell r="AJ546" t="str">
            <v/>
          </cell>
          <cell r="AK546" t="str">
            <v/>
          </cell>
          <cell r="AL546" t="str">
            <v/>
          </cell>
          <cell r="AM546" t="str">
            <v/>
          </cell>
          <cell r="AN546" t="str">
            <v/>
          </cell>
          <cell r="AO546">
            <v>315</v>
          </cell>
          <cell r="AS546" t="str">
            <v/>
          </cell>
          <cell r="BB546" t="str">
            <v/>
          </cell>
          <cell r="BC546" t="str">
            <v/>
          </cell>
          <cell r="BD546" t="str">
            <v/>
          </cell>
          <cell r="BE546" t="str">
            <v/>
          </cell>
          <cell r="BF546" t="str">
            <v/>
          </cell>
          <cell r="BG546" t="str">
            <v/>
          </cell>
          <cell r="BH546" t="str">
            <v/>
          </cell>
          <cell r="BI546" t="str">
            <v/>
          </cell>
          <cell r="BJ546" t="str">
            <v/>
          </cell>
        </row>
        <row r="547">
          <cell r="A547" t="str">
            <v>RVY</v>
          </cell>
          <cell r="B547" t="str">
            <v>Q15</v>
          </cell>
          <cell r="C547" t="str">
            <v/>
          </cell>
          <cell r="D547" t="str">
            <v/>
          </cell>
          <cell r="E547">
            <v>0.98616132651789057</v>
          </cell>
          <cell r="F547" t="str">
            <v/>
          </cell>
          <cell r="G547" t="str">
            <v/>
          </cell>
          <cell r="H547" t="str">
            <v/>
          </cell>
          <cell r="J547" t="str">
            <v/>
          </cell>
          <cell r="K547" t="str">
            <v/>
          </cell>
          <cell r="L547" t="str">
            <v/>
          </cell>
          <cell r="M547">
            <v>3048</v>
          </cell>
          <cell r="N547" t="str">
            <v/>
          </cell>
          <cell r="Q547">
            <v>1</v>
          </cell>
          <cell r="R547">
            <v>1</v>
          </cell>
          <cell r="S547" t="str">
            <v/>
          </cell>
          <cell r="X547" t="str">
            <v/>
          </cell>
          <cell r="Y547" t="str">
            <v/>
          </cell>
          <cell r="Z547" t="str">
            <v/>
          </cell>
          <cell r="AB547">
            <v>1</v>
          </cell>
          <cell r="AD547" t="str">
            <v/>
          </cell>
          <cell r="AE547" t="str">
            <v/>
          </cell>
          <cell r="AF547" t="str">
            <v/>
          </cell>
          <cell r="AG547">
            <v>1.2302284710017574E-2</v>
          </cell>
          <cell r="AH547">
            <v>1</v>
          </cell>
          <cell r="AI547" t="str">
            <v/>
          </cell>
          <cell r="AJ547" t="str">
            <v/>
          </cell>
          <cell r="AK547" t="str">
            <v/>
          </cell>
          <cell r="AL547" t="str">
            <v/>
          </cell>
          <cell r="AM547" t="str">
            <v/>
          </cell>
          <cell r="AN547" t="str">
            <v/>
          </cell>
          <cell r="AO547">
            <v>0</v>
          </cell>
          <cell r="AQ547" t="str">
            <v/>
          </cell>
          <cell r="AR547" t="str">
            <v/>
          </cell>
          <cell r="AS547" t="str">
            <v/>
          </cell>
          <cell r="AU547" t="str">
            <v/>
          </cell>
          <cell r="AV547" t="str">
            <v/>
          </cell>
          <cell r="AW547" t="str">
            <v/>
          </cell>
          <cell r="AX547" t="str">
            <v/>
          </cell>
          <cell r="AY547" t="str">
            <v/>
          </cell>
          <cell r="AZ547" t="str">
            <v/>
          </cell>
          <cell r="BA547" t="str">
            <v/>
          </cell>
          <cell r="BB547" t="str">
            <v/>
          </cell>
          <cell r="BC547" t="str">
            <v/>
          </cell>
          <cell r="BD547" t="str">
            <v/>
          </cell>
          <cell r="BE547" t="str">
            <v/>
          </cell>
          <cell r="BF547" t="str">
            <v/>
          </cell>
          <cell r="BG547" t="str">
            <v/>
          </cell>
          <cell r="BH547" t="str">
            <v/>
          </cell>
          <cell r="BI547" t="str">
            <v/>
          </cell>
          <cell r="BJ547" t="str">
            <v/>
          </cell>
        </row>
        <row r="548">
          <cell r="A548" t="str">
            <v>RW1</v>
          </cell>
          <cell r="B548" t="str">
            <v>Q17</v>
          </cell>
          <cell r="C548" t="str">
            <v/>
          </cell>
          <cell r="D548" t="str">
            <v/>
          </cell>
          <cell r="E548" t="str">
            <v/>
          </cell>
          <cell r="F548" t="str">
            <v/>
          </cell>
          <cell r="G548" t="str">
            <v/>
          </cell>
          <cell r="H548" t="str">
            <v/>
          </cell>
          <cell r="J548" t="str">
            <v/>
          </cell>
          <cell r="K548" t="str">
            <v/>
          </cell>
          <cell r="L548" t="str">
            <v/>
          </cell>
          <cell r="M548" t="str">
            <v/>
          </cell>
          <cell r="N548" t="str">
            <v/>
          </cell>
          <cell r="Q548" t="str">
            <v/>
          </cell>
          <cell r="R548">
            <v>0.99682539682539684</v>
          </cell>
          <cell r="S548" t="str">
            <v/>
          </cell>
          <cell r="X548" t="str">
            <v/>
          </cell>
          <cell r="Y548" t="str">
            <v/>
          </cell>
          <cell r="Z548" t="str">
            <v/>
          </cell>
          <cell r="AB548" t="str">
            <v/>
          </cell>
          <cell r="AD548" t="str">
            <v/>
          </cell>
          <cell r="AE548" t="str">
            <v/>
          </cell>
          <cell r="AF548" t="str">
            <v/>
          </cell>
          <cell r="AG548">
            <v>0</v>
          </cell>
          <cell r="AH548" t="str">
            <v/>
          </cell>
          <cell r="AI548" t="str">
            <v/>
          </cell>
          <cell r="AJ548" t="str">
            <v/>
          </cell>
          <cell r="AK548" t="str">
            <v/>
          </cell>
          <cell r="AL548" t="str">
            <v/>
          </cell>
          <cell r="AM548" t="str">
            <v/>
          </cell>
          <cell r="AN548" t="str">
            <v/>
          </cell>
          <cell r="AO548">
            <v>9</v>
          </cell>
          <cell r="AQ548" t="str">
            <v/>
          </cell>
          <cell r="AR548" t="str">
            <v/>
          </cell>
          <cell r="AS548" t="str">
            <v/>
          </cell>
          <cell r="AU548" t="str">
            <v/>
          </cell>
          <cell r="AV548" t="str">
            <v/>
          </cell>
          <cell r="AW548" t="str">
            <v/>
          </cell>
          <cell r="AX548" t="str">
            <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row>
        <row r="549">
          <cell r="A549" t="str">
            <v>RW3</v>
          </cell>
          <cell r="B549" t="str">
            <v>Q14</v>
          </cell>
          <cell r="C549" t="str">
            <v/>
          </cell>
          <cell r="D549" t="str">
            <v/>
          </cell>
          <cell r="E549">
            <v>0.94928850063183345</v>
          </cell>
          <cell r="F549" t="str">
            <v/>
          </cell>
          <cell r="G549" t="str">
            <v/>
          </cell>
          <cell r="H549" t="str">
            <v/>
          </cell>
          <cell r="J549" t="str">
            <v/>
          </cell>
          <cell r="K549" t="str">
            <v/>
          </cell>
          <cell r="L549" t="str">
            <v/>
          </cell>
          <cell r="M549">
            <v>5572</v>
          </cell>
          <cell r="N549" t="str">
            <v/>
          </cell>
          <cell r="Q549">
            <v>1</v>
          </cell>
          <cell r="R549">
            <v>1</v>
          </cell>
          <cell r="S549" t="str">
            <v/>
          </cell>
          <cell r="X549" t="str">
            <v/>
          </cell>
          <cell r="Y549" t="str">
            <v/>
          </cell>
          <cell r="Z549" t="str">
            <v/>
          </cell>
          <cell r="AB549">
            <v>0.875</v>
          </cell>
          <cell r="AD549" t="str">
            <v/>
          </cell>
          <cell r="AE549" t="str">
            <v/>
          </cell>
          <cell r="AF549" t="str">
            <v/>
          </cell>
          <cell r="AG549">
            <v>1.6406049730838246E-2</v>
          </cell>
          <cell r="AH549">
            <v>4</v>
          </cell>
          <cell r="AI549" t="str">
            <v/>
          </cell>
          <cell r="AJ549" t="str">
            <v/>
          </cell>
          <cell r="AK549" t="str">
            <v/>
          </cell>
          <cell r="AL549" t="str">
            <v/>
          </cell>
          <cell r="AM549" t="str">
            <v/>
          </cell>
          <cell r="AN549" t="str">
            <v/>
          </cell>
          <cell r="AO549">
            <v>6472</v>
          </cell>
          <cell r="AQ549" t="str">
            <v/>
          </cell>
          <cell r="AR549" t="str">
            <v/>
          </cell>
          <cell r="AS549" t="str">
            <v/>
          </cell>
          <cell r="AU549" t="str">
            <v/>
          </cell>
          <cell r="AV549" t="str">
            <v/>
          </cell>
          <cell r="AW549" t="str">
            <v/>
          </cell>
          <cell r="AX549" t="str">
            <v/>
          </cell>
          <cell r="AY549" t="str">
            <v/>
          </cell>
          <cell r="AZ549" t="str">
            <v/>
          </cell>
          <cell r="BA549" t="str">
            <v/>
          </cell>
          <cell r="BB549" t="str">
            <v/>
          </cell>
          <cell r="BC549" t="str">
            <v/>
          </cell>
          <cell r="BD549" t="str">
            <v/>
          </cell>
          <cell r="BE549" t="str">
            <v/>
          </cell>
          <cell r="BF549" t="str">
            <v/>
          </cell>
          <cell r="BG549" t="str">
            <v/>
          </cell>
          <cell r="BH549" t="str">
            <v/>
          </cell>
          <cell r="BI549" t="str">
            <v/>
          </cell>
          <cell r="BJ549" t="str">
            <v/>
          </cell>
        </row>
        <row r="550">
          <cell r="A550" t="str">
            <v>RW4</v>
          </cell>
          <cell r="B550" t="str">
            <v>Q15</v>
          </cell>
          <cell r="C550" t="str">
            <v/>
          </cell>
          <cell r="D550" t="str">
            <v/>
          </cell>
          <cell r="E550" t="str">
            <v/>
          </cell>
          <cell r="F550" t="str">
            <v/>
          </cell>
          <cell r="G550" t="str">
            <v/>
          </cell>
          <cell r="H550" t="str">
            <v/>
          </cell>
          <cell r="J550" t="str">
            <v/>
          </cell>
          <cell r="K550" t="str">
            <v/>
          </cell>
          <cell r="L550" t="str">
            <v/>
          </cell>
          <cell r="M550" t="str">
            <v/>
          </cell>
          <cell r="N550" t="str">
            <v/>
          </cell>
          <cell r="Q550" t="str">
            <v/>
          </cell>
          <cell r="R550">
            <v>1</v>
          </cell>
          <cell r="S550" t="str">
            <v/>
          </cell>
          <cell r="X550" t="str">
            <v/>
          </cell>
          <cell r="Y550" t="str">
            <v/>
          </cell>
          <cell r="Z550" t="str">
            <v/>
          </cell>
          <cell r="AB550" t="str">
            <v/>
          </cell>
          <cell r="AD550" t="str">
            <v/>
          </cell>
          <cell r="AE550" t="str">
            <v/>
          </cell>
          <cell r="AF550" t="str">
            <v/>
          </cell>
          <cell r="AG550">
            <v>0</v>
          </cell>
          <cell r="AH550" t="str">
            <v/>
          </cell>
          <cell r="AI550" t="str">
            <v/>
          </cell>
          <cell r="AJ550" t="str">
            <v/>
          </cell>
          <cell r="AK550" t="str">
            <v/>
          </cell>
          <cell r="AL550" t="str">
            <v/>
          </cell>
          <cell r="AM550" t="str">
            <v/>
          </cell>
          <cell r="AN550" t="str">
            <v/>
          </cell>
          <cell r="AO550">
            <v>12</v>
          </cell>
          <cell r="AQ550" t="str">
            <v/>
          </cell>
          <cell r="AR550" t="str">
            <v/>
          </cell>
          <cell r="AS550" t="str">
            <v/>
          </cell>
          <cell r="AU550" t="str">
            <v/>
          </cell>
          <cell r="AV550" t="str">
            <v/>
          </cell>
          <cell r="AW550" t="str">
            <v/>
          </cell>
          <cell r="AX550" t="str">
            <v/>
          </cell>
          <cell r="AY550" t="str">
            <v/>
          </cell>
          <cell r="AZ550" t="str">
            <v/>
          </cell>
          <cell r="BA550" t="str">
            <v/>
          </cell>
          <cell r="BB550" t="str">
            <v/>
          </cell>
          <cell r="BC550" t="str">
            <v/>
          </cell>
          <cell r="BD550" t="str">
            <v/>
          </cell>
          <cell r="BE550" t="str">
            <v/>
          </cell>
          <cell r="BF550" t="str">
            <v/>
          </cell>
          <cell r="BG550" t="str">
            <v/>
          </cell>
          <cell r="BH550" t="str">
            <v/>
          </cell>
          <cell r="BI550" t="str">
            <v/>
          </cell>
          <cell r="BJ550" t="str">
            <v/>
          </cell>
        </row>
        <row r="551">
          <cell r="A551" t="str">
            <v>RW5</v>
          </cell>
          <cell r="B551" t="str">
            <v>Q13</v>
          </cell>
          <cell r="C551" t="str">
            <v/>
          </cell>
          <cell r="D551" t="str">
            <v/>
          </cell>
          <cell r="E551" t="str">
            <v/>
          </cell>
          <cell r="F551" t="str">
            <v/>
          </cell>
          <cell r="G551" t="str">
            <v/>
          </cell>
          <cell r="H551" t="str">
            <v/>
          </cell>
          <cell r="J551" t="str">
            <v/>
          </cell>
          <cell r="K551" t="str">
            <v/>
          </cell>
          <cell r="L551" t="str">
            <v/>
          </cell>
          <cell r="M551" t="str">
            <v/>
          </cell>
          <cell r="N551" t="str">
            <v/>
          </cell>
          <cell r="Q551" t="str">
            <v/>
          </cell>
          <cell r="R551">
            <v>1</v>
          </cell>
          <cell r="S551" t="str">
            <v/>
          </cell>
          <cell r="X551" t="str">
            <v/>
          </cell>
          <cell r="Y551" t="str">
            <v/>
          </cell>
          <cell r="Z551" t="str">
            <v/>
          </cell>
          <cell r="AB551" t="str">
            <v/>
          </cell>
          <cell r="AD551" t="str">
            <v/>
          </cell>
          <cell r="AE551" t="str">
            <v/>
          </cell>
          <cell r="AF551" t="str">
            <v/>
          </cell>
          <cell r="AG551">
            <v>0</v>
          </cell>
          <cell r="AH551" t="str">
            <v/>
          </cell>
          <cell r="AI551" t="str">
            <v/>
          </cell>
          <cell r="AJ551" t="str">
            <v/>
          </cell>
          <cell r="AK551" t="str">
            <v/>
          </cell>
          <cell r="AL551" t="str">
            <v/>
          </cell>
          <cell r="AM551" t="str">
            <v/>
          </cell>
          <cell r="AN551" t="str">
            <v/>
          </cell>
          <cell r="AO551">
            <v>20</v>
          </cell>
          <cell r="AQ551" t="str">
            <v/>
          </cell>
          <cell r="AR551" t="str">
            <v/>
          </cell>
          <cell r="AS551" t="str">
            <v/>
          </cell>
          <cell r="AU551" t="str">
            <v/>
          </cell>
          <cell r="AV551" t="str">
            <v/>
          </cell>
          <cell r="AW551" t="str">
            <v/>
          </cell>
          <cell r="AX551" t="str">
            <v/>
          </cell>
          <cell r="AY551" t="str">
            <v/>
          </cell>
          <cell r="AZ551" t="str">
            <v/>
          </cell>
          <cell r="BA551" t="str">
            <v/>
          </cell>
          <cell r="BB551" t="str">
            <v/>
          </cell>
          <cell r="BC551" t="str">
            <v/>
          </cell>
          <cell r="BD551" t="str">
            <v/>
          </cell>
          <cell r="BE551" t="str">
            <v/>
          </cell>
          <cell r="BF551" t="str">
            <v/>
          </cell>
          <cell r="BG551" t="str">
            <v/>
          </cell>
          <cell r="BH551" t="str">
            <v/>
          </cell>
          <cell r="BI551" t="str">
            <v/>
          </cell>
          <cell r="BJ551" t="str">
            <v/>
          </cell>
        </row>
        <row r="552">
          <cell r="A552" t="str">
            <v>RW6</v>
          </cell>
          <cell r="B552" t="str">
            <v>Q14</v>
          </cell>
          <cell r="C552" t="str">
            <v/>
          </cell>
          <cell r="D552" t="str">
            <v/>
          </cell>
          <cell r="E552">
            <v>0.96001669449081806</v>
          </cell>
          <cell r="F552" t="str">
            <v/>
          </cell>
          <cell r="G552" t="str">
            <v/>
          </cell>
          <cell r="H552" t="str">
            <v/>
          </cell>
          <cell r="J552" t="str">
            <v/>
          </cell>
          <cell r="K552" t="str">
            <v/>
          </cell>
          <cell r="L552" t="str">
            <v/>
          </cell>
          <cell r="M552">
            <v>13812</v>
          </cell>
          <cell r="N552" t="str">
            <v/>
          </cell>
          <cell r="Q552">
            <v>1</v>
          </cell>
          <cell r="R552">
            <v>1</v>
          </cell>
          <cell r="S552" t="str">
            <v/>
          </cell>
          <cell r="X552" t="str">
            <v/>
          </cell>
          <cell r="Y552" t="str">
            <v/>
          </cell>
          <cell r="Z552" t="str">
            <v/>
          </cell>
          <cell r="AB552">
            <v>0.99550561797752812</v>
          </cell>
          <cell r="AD552" t="str">
            <v/>
          </cell>
          <cell r="AE552" t="str">
            <v/>
          </cell>
          <cell r="AF552" t="str">
            <v/>
          </cell>
          <cell r="AG552">
            <v>9.5276983802912753E-3</v>
          </cell>
          <cell r="AH552">
            <v>8</v>
          </cell>
          <cell r="AI552" t="str">
            <v/>
          </cell>
          <cell r="AJ552" t="str">
            <v/>
          </cell>
          <cell r="AK552" t="str">
            <v/>
          </cell>
          <cell r="AL552" t="str">
            <v/>
          </cell>
          <cell r="AM552" t="str">
            <v/>
          </cell>
          <cell r="AN552" t="str">
            <v/>
          </cell>
          <cell r="AO552">
            <v>56</v>
          </cell>
          <cell r="AQ552" t="str">
            <v/>
          </cell>
          <cell r="AR552" t="str">
            <v/>
          </cell>
          <cell r="AS552" t="str">
            <v/>
          </cell>
          <cell r="AU552" t="str">
            <v/>
          </cell>
          <cell r="AV552" t="str">
            <v/>
          </cell>
          <cell r="AW552" t="str">
            <v/>
          </cell>
          <cell r="AX552" t="str">
            <v/>
          </cell>
          <cell r="AY552" t="str">
            <v/>
          </cell>
          <cell r="AZ552" t="str">
            <v/>
          </cell>
          <cell r="BA552" t="str">
            <v/>
          </cell>
          <cell r="BB552" t="str">
            <v/>
          </cell>
          <cell r="BC552" t="str">
            <v/>
          </cell>
          <cell r="BD552" t="str">
            <v/>
          </cell>
          <cell r="BE552" t="str">
            <v/>
          </cell>
          <cell r="BF552" t="str">
            <v/>
          </cell>
          <cell r="BG552" t="str">
            <v/>
          </cell>
          <cell r="BH552" t="str">
            <v/>
          </cell>
          <cell r="BI552" t="str">
            <v/>
          </cell>
          <cell r="BJ552" t="str">
            <v/>
          </cell>
        </row>
        <row r="553">
          <cell r="A553" t="str">
            <v>RW8</v>
          </cell>
          <cell r="B553" t="str">
            <v>Q19</v>
          </cell>
          <cell r="J553" t="str">
            <v/>
          </cell>
          <cell r="K553" t="str">
            <v/>
          </cell>
          <cell r="L553" t="str">
            <v/>
          </cell>
          <cell r="Q553" t="str">
            <v/>
          </cell>
          <cell r="R553" t="str">
            <v/>
          </cell>
          <cell r="AH553" t="str">
            <v/>
          </cell>
          <cell r="AK553" t="str">
            <v/>
          </cell>
          <cell r="AO553">
            <v>2089</v>
          </cell>
        </row>
        <row r="554">
          <cell r="A554" t="str">
            <v>RW9</v>
          </cell>
          <cell r="B554" t="str">
            <v>Q09</v>
          </cell>
          <cell r="C554" t="str">
            <v/>
          </cell>
          <cell r="D554" t="str">
            <v/>
          </cell>
          <cell r="E554" t="str">
            <v/>
          </cell>
          <cell r="J554" t="str">
            <v/>
          </cell>
          <cell r="K554" t="str">
            <v/>
          </cell>
          <cell r="L554" t="str">
            <v/>
          </cell>
          <cell r="M554" t="str">
            <v/>
          </cell>
          <cell r="Q554" t="str">
            <v/>
          </cell>
          <cell r="R554">
            <v>1</v>
          </cell>
          <cell r="X554" t="str">
            <v/>
          </cell>
          <cell r="Y554" t="str">
            <v/>
          </cell>
          <cell r="Z554" t="str">
            <v/>
          </cell>
          <cell r="AB554" t="str">
            <v/>
          </cell>
          <cell r="AD554" t="str">
            <v/>
          </cell>
          <cell r="AE554" t="str">
            <v/>
          </cell>
          <cell r="AF554" t="str">
            <v/>
          </cell>
          <cell r="AG554">
            <v>0</v>
          </cell>
          <cell r="AH554" t="str">
            <v/>
          </cell>
          <cell r="AI554" t="str">
            <v/>
          </cell>
          <cell r="AJ554" t="str">
            <v/>
          </cell>
          <cell r="AK554" t="str">
            <v/>
          </cell>
          <cell r="AL554" t="str">
            <v/>
          </cell>
          <cell r="AM554" t="str">
            <v/>
          </cell>
          <cell r="AN554" t="str">
            <v/>
          </cell>
          <cell r="AO554">
            <v>29</v>
          </cell>
          <cell r="AS554" t="str">
            <v/>
          </cell>
          <cell r="BB554" t="str">
            <v/>
          </cell>
          <cell r="BC554" t="str">
            <v/>
          </cell>
          <cell r="BD554" t="str">
            <v/>
          </cell>
          <cell r="BE554" t="str">
            <v/>
          </cell>
          <cell r="BF554" t="str">
            <v/>
          </cell>
          <cell r="BG554" t="str">
            <v/>
          </cell>
          <cell r="BH554" t="str">
            <v/>
          </cell>
          <cell r="BI554" t="str">
            <v/>
          </cell>
          <cell r="BJ554" t="str">
            <v/>
          </cell>
        </row>
        <row r="555">
          <cell r="A555" t="str">
            <v>RWA</v>
          </cell>
          <cell r="B555" t="str">
            <v>Q11</v>
          </cell>
          <cell r="C555" t="str">
            <v/>
          </cell>
          <cell r="D555" t="str">
            <v/>
          </cell>
          <cell r="E555">
            <v>0.96109321960135785</v>
          </cell>
          <cell r="F555" t="str">
            <v/>
          </cell>
          <cell r="G555" t="str">
            <v/>
          </cell>
          <cell r="H555" t="str">
            <v/>
          </cell>
          <cell r="J555" t="str">
            <v/>
          </cell>
          <cell r="K555" t="str">
            <v/>
          </cell>
          <cell r="L555" t="str">
            <v/>
          </cell>
          <cell r="M555">
            <v>8211</v>
          </cell>
          <cell r="N555" t="str">
            <v/>
          </cell>
          <cell r="Q555">
            <v>1</v>
          </cell>
          <cell r="R555">
            <v>1</v>
          </cell>
          <cell r="S555" t="str">
            <v/>
          </cell>
          <cell r="X555" t="str">
            <v/>
          </cell>
          <cell r="Y555" t="str">
            <v/>
          </cell>
          <cell r="Z555" t="str">
            <v/>
          </cell>
          <cell r="AB555">
            <v>1</v>
          </cell>
          <cell r="AD555" t="str">
            <v/>
          </cell>
          <cell r="AE555" t="str">
            <v/>
          </cell>
          <cell r="AF555" t="str">
            <v/>
          </cell>
          <cell r="AG555">
            <v>1.3228399196249163E-2</v>
          </cell>
          <cell r="AH555">
            <v>7</v>
          </cell>
          <cell r="AI555" t="str">
            <v/>
          </cell>
          <cell r="AJ555" t="str">
            <v/>
          </cell>
          <cell r="AK555" t="str">
            <v/>
          </cell>
          <cell r="AL555" t="str">
            <v/>
          </cell>
          <cell r="AM555" t="str">
            <v/>
          </cell>
          <cell r="AN555" t="str">
            <v/>
          </cell>
          <cell r="AO555">
            <v>-12268</v>
          </cell>
          <cell r="AQ555" t="str">
            <v/>
          </cell>
          <cell r="AR555" t="str">
            <v/>
          </cell>
          <cell r="AS555" t="str">
            <v/>
          </cell>
          <cell r="AU555" t="str">
            <v/>
          </cell>
          <cell r="AV555" t="str">
            <v/>
          </cell>
          <cell r="AW555" t="str">
            <v/>
          </cell>
          <cell r="AX555" t="str">
            <v/>
          </cell>
          <cell r="AY555" t="str">
            <v/>
          </cell>
          <cell r="AZ555" t="str">
            <v/>
          </cell>
          <cell r="BA555" t="str">
            <v/>
          </cell>
          <cell r="BB555" t="str">
            <v/>
          </cell>
          <cell r="BC555" t="str">
            <v/>
          </cell>
          <cell r="BD555" t="str">
            <v/>
          </cell>
          <cell r="BE555" t="str">
            <v/>
          </cell>
          <cell r="BF555" t="str">
            <v/>
          </cell>
          <cell r="BG555" t="str">
            <v/>
          </cell>
          <cell r="BH555" t="str">
            <v/>
          </cell>
          <cell r="BI555" t="str">
            <v/>
          </cell>
          <cell r="BJ555" t="str">
            <v/>
          </cell>
        </row>
        <row r="556">
          <cell r="A556" t="str">
            <v>RWD</v>
          </cell>
          <cell r="B556" t="str">
            <v>Q24</v>
          </cell>
          <cell r="C556" t="str">
            <v/>
          </cell>
          <cell r="D556" t="str">
            <v/>
          </cell>
          <cell r="E556">
            <v>0.9617518248175182</v>
          </cell>
          <cell r="F556" t="str">
            <v/>
          </cell>
          <cell r="G556" t="str">
            <v/>
          </cell>
          <cell r="H556" t="str">
            <v/>
          </cell>
          <cell r="J556" t="str">
            <v/>
          </cell>
          <cell r="K556" t="str">
            <v/>
          </cell>
          <cell r="L556" t="str">
            <v/>
          </cell>
          <cell r="M556">
            <v>8793</v>
          </cell>
          <cell r="N556" t="str">
            <v/>
          </cell>
          <cell r="Q556">
            <v>1</v>
          </cell>
          <cell r="R556">
            <v>0.99706787861017443</v>
          </cell>
          <cell r="S556" t="str">
            <v/>
          </cell>
          <cell r="X556" t="str">
            <v/>
          </cell>
          <cell r="Y556" t="str">
            <v/>
          </cell>
          <cell r="Z556" t="str">
            <v/>
          </cell>
          <cell r="AB556">
            <v>1</v>
          </cell>
          <cell r="AD556" t="str">
            <v/>
          </cell>
          <cell r="AE556" t="str">
            <v/>
          </cell>
          <cell r="AF556" t="str">
            <v/>
          </cell>
          <cell r="AG556">
            <v>2.5110782865583457E-2</v>
          </cell>
          <cell r="AH556">
            <v>7.333333333333333</v>
          </cell>
          <cell r="AI556" t="str">
            <v/>
          </cell>
          <cell r="AJ556" t="str">
            <v/>
          </cell>
          <cell r="AK556" t="str">
            <v/>
          </cell>
          <cell r="AL556" t="str">
            <v/>
          </cell>
          <cell r="AM556" t="str">
            <v/>
          </cell>
          <cell r="AN556" t="str">
            <v/>
          </cell>
          <cell r="AO556">
            <v>-15145</v>
          </cell>
          <cell r="AQ556" t="str">
            <v/>
          </cell>
          <cell r="AR556" t="str">
            <v/>
          </cell>
          <cell r="AS556" t="str">
            <v/>
          </cell>
          <cell r="AU556" t="str">
            <v/>
          </cell>
          <cell r="AV556" t="str">
            <v/>
          </cell>
          <cell r="AW556" t="str">
            <v/>
          </cell>
          <cell r="AX556" t="str">
            <v/>
          </cell>
          <cell r="AY556" t="str">
            <v/>
          </cell>
          <cell r="AZ556" t="str">
            <v/>
          </cell>
          <cell r="BA556" t="str">
            <v/>
          </cell>
          <cell r="BB556" t="str">
            <v/>
          </cell>
          <cell r="BC556" t="str">
            <v/>
          </cell>
          <cell r="BD556" t="str">
            <v/>
          </cell>
          <cell r="BE556" t="str">
            <v/>
          </cell>
          <cell r="BF556" t="str">
            <v/>
          </cell>
          <cell r="BG556" t="str">
            <v/>
          </cell>
          <cell r="BH556" t="str">
            <v/>
          </cell>
          <cell r="BI556" t="str">
            <v/>
          </cell>
          <cell r="BJ556" t="str">
            <v/>
          </cell>
        </row>
        <row r="557">
          <cell r="A557" t="str">
            <v>RWE</v>
          </cell>
          <cell r="B557" t="str">
            <v>Q25</v>
          </cell>
          <cell r="C557" t="str">
            <v/>
          </cell>
          <cell r="D557" t="str">
            <v/>
          </cell>
          <cell r="E557">
            <v>0.97954758057657965</v>
          </cell>
          <cell r="F557" t="str">
            <v/>
          </cell>
          <cell r="G557" t="str">
            <v/>
          </cell>
          <cell r="H557" t="str">
            <v/>
          </cell>
          <cell r="J557" t="str">
            <v/>
          </cell>
          <cell r="K557" t="str">
            <v/>
          </cell>
          <cell r="L557" t="str">
            <v/>
          </cell>
          <cell r="M557">
            <v>14176</v>
          </cell>
          <cell r="N557" t="str">
            <v/>
          </cell>
          <cell r="Q557">
            <v>1</v>
          </cell>
          <cell r="R557">
            <v>1</v>
          </cell>
          <cell r="S557" t="str">
            <v/>
          </cell>
          <cell r="X557" t="str">
            <v/>
          </cell>
          <cell r="Y557" t="str">
            <v/>
          </cell>
          <cell r="Z557" t="str">
            <v/>
          </cell>
          <cell r="AB557">
            <v>1</v>
          </cell>
          <cell r="AD557" t="str">
            <v/>
          </cell>
          <cell r="AE557" t="str">
            <v/>
          </cell>
          <cell r="AF557" t="str">
            <v/>
          </cell>
          <cell r="AG557">
            <v>4.2142619496506599E-2</v>
          </cell>
          <cell r="AH557">
            <v>9.3333333333333339</v>
          </cell>
          <cell r="AI557" t="str">
            <v/>
          </cell>
          <cell r="AJ557" t="str">
            <v/>
          </cell>
          <cell r="AK557" t="str">
            <v/>
          </cell>
          <cell r="AL557" t="str">
            <v/>
          </cell>
          <cell r="AM557" t="str">
            <v/>
          </cell>
          <cell r="AN557" t="str">
            <v/>
          </cell>
          <cell r="AO557">
            <v>60</v>
          </cell>
          <cell r="AQ557" t="str">
            <v/>
          </cell>
          <cell r="AR557" t="str">
            <v/>
          </cell>
          <cell r="AS557" t="str">
            <v/>
          </cell>
          <cell r="AU557" t="str">
            <v/>
          </cell>
          <cell r="AV557" t="str">
            <v/>
          </cell>
          <cell r="AW557" t="str">
            <v/>
          </cell>
          <cell r="AX557" t="str">
            <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row>
        <row r="558">
          <cell r="A558" t="str">
            <v>RWF</v>
          </cell>
          <cell r="B558" t="str">
            <v>Q18</v>
          </cell>
          <cell r="C558" t="str">
            <v/>
          </cell>
          <cell r="D558" t="str">
            <v/>
          </cell>
          <cell r="E558">
            <v>0.98089808980898086</v>
          </cell>
          <cell r="F558" t="str">
            <v/>
          </cell>
          <cell r="G558" t="str">
            <v/>
          </cell>
          <cell r="H558" t="str">
            <v/>
          </cell>
          <cell r="J558" t="str">
            <v/>
          </cell>
          <cell r="K558" t="str">
            <v/>
          </cell>
          <cell r="L558" t="str">
            <v/>
          </cell>
          <cell r="M558">
            <v>6040</v>
          </cell>
          <cell r="N558" t="str">
            <v/>
          </cell>
          <cell r="Q558">
            <v>1</v>
          </cell>
          <cell r="R558">
            <v>0.99221323749625634</v>
          </cell>
          <cell r="S558" t="str">
            <v/>
          </cell>
          <cell r="X558" t="str">
            <v/>
          </cell>
          <cell r="Y558" t="str">
            <v/>
          </cell>
          <cell r="Z558" t="str">
            <v/>
          </cell>
          <cell r="AB558">
            <v>0.9965397923875432</v>
          </cell>
          <cell r="AD558" t="str">
            <v/>
          </cell>
          <cell r="AE558" t="str">
            <v/>
          </cell>
          <cell r="AF558" t="str">
            <v/>
          </cell>
          <cell r="AG558">
            <v>3.1962025316455693E-2</v>
          </cell>
          <cell r="AH558">
            <v>4.333333333333333</v>
          </cell>
          <cell r="AI558" t="str">
            <v/>
          </cell>
          <cell r="AJ558" t="str">
            <v/>
          </cell>
          <cell r="AK558" t="str">
            <v/>
          </cell>
          <cell r="AL558" t="str">
            <v/>
          </cell>
          <cell r="AM558" t="str">
            <v/>
          </cell>
          <cell r="AN558" t="str">
            <v/>
          </cell>
          <cell r="AO558">
            <v>113.04038000002301</v>
          </cell>
          <cell r="AQ558" t="str">
            <v/>
          </cell>
          <cell r="AR558" t="str">
            <v/>
          </cell>
          <cell r="AS558" t="str">
            <v/>
          </cell>
          <cell r="AU558" t="str">
            <v/>
          </cell>
          <cell r="AV558" t="str">
            <v/>
          </cell>
          <cell r="AW558" t="str">
            <v/>
          </cell>
          <cell r="AX558" t="str">
            <v/>
          </cell>
          <cell r="AY558" t="str">
            <v/>
          </cell>
          <cell r="AZ558" t="str">
            <v/>
          </cell>
          <cell r="BA558" t="str">
            <v/>
          </cell>
          <cell r="BB558" t="str">
            <v/>
          </cell>
          <cell r="BC558" t="str">
            <v/>
          </cell>
          <cell r="BD558" t="str">
            <v/>
          </cell>
          <cell r="BE558" t="str">
            <v/>
          </cell>
          <cell r="BF558" t="str">
            <v/>
          </cell>
          <cell r="BG558" t="str">
            <v/>
          </cell>
          <cell r="BH558" t="str">
            <v/>
          </cell>
          <cell r="BI558" t="str">
            <v/>
          </cell>
          <cell r="BJ558" t="str">
            <v/>
          </cell>
        </row>
        <row r="559">
          <cell r="A559" t="str">
            <v>RWG</v>
          </cell>
          <cell r="B559" t="str">
            <v>Q02</v>
          </cell>
          <cell r="C559" t="str">
            <v/>
          </cell>
          <cell r="D559" t="str">
            <v/>
          </cell>
          <cell r="E559">
            <v>0.95683575494944351</v>
          </cell>
          <cell r="F559" t="str">
            <v/>
          </cell>
          <cell r="G559" t="str">
            <v/>
          </cell>
          <cell r="H559" t="str">
            <v/>
          </cell>
          <cell r="J559" t="str">
            <v/>
          </cell>
          <cell r="K559" t="str">
            <v/>
          </cell>
          <cell r="L559" t="str">
            <v/>
          </cell>
          <cell r="M559">
            <v>8372</v>
          </cell>
          <cell r="N559" t="str">
            <v/>
          </cell>
          <cell r="Q559">
            <v>0.9990026595744681</v>
          </cell>
          <cell r="R559">
            <v>0.99984500929944198</v>
          </cell>
          <cell r="S559" t="str">
            <v/>
          </cell>
          <cell r="X559" t="str">
            <v/>
          </cell>
          <cell r="Y559" t="str">
            <v/>
          </cell>
          <cell r="Z559" t="str">
            <v/>
          </cell>
          <cell r="AB559">
            <v>0.91284403669724767</v>
          </cell>
          <cell r="AD559" t="str">
            <v/>
          </cell>
          <cell r="AE559" t="str">
            <v/>
          </cell>
          <cell r="AF559" t="str">
            <v/>
          </cell>
          <cell r="AG559">
            <v>6.1553985872855703E-2</v>
          </cell>
          <cell r="AH559">
            <v>4.333333333333333</v>
          </cell>
          <cell r="AI559" t="str">
            <v/>
          </cell>
          <cell r="AJ559" t="str">
            <v/>
          </cell>
          <cell r="AK559" t="str">
            <v/>
          </cell>
          <cell r="AL559" t="str">
            <v/>
          </cell>
          <cell r="AM559" t="str">
            <v/>
          </cell>
          <cell r="AN559" t="str">
            <v/>
          </cell>
          <cell r="AO559">
            <v>-28284</v>
          </cell>
          <cell r="AQ559" t="str">
            <v/>
          </cell>
          <cell r="AR559" t="str">
            <v/>
          </cell>
          <cell r="AS559" t="str">
            <v/>
          </cell>
          <cell r="AU559" t="str">
            <v/>
          </cell>
          <cell r="AV559" t="str">
            <v/>
          </cell>
          <cell r="AW559" t="str">
            <v/>
          </cell>
          <cell r="AX559" t="str">
            <v/>
          </cell>
          <cell r="AY559" t="str">
            <v/>
          </cell>
          <cell r="AZ559" t="str">
            <v/>
          </cell>
          <cell r="BA559" t="str">
            <v/>
          </cell>
          <cell r="BB559" t="str">
            <v/>
          </cell>
          <cell r="BC559" t="str">
            <v/>
          </cell>
          <cell r="BD559" t="str">
            <v/>
          </cell>
          <cell r="BE559" t="str">
            <v/>
          </cell>
          <cell r="BF559" t="str">
            <v/>
          </cell>
          <cell r="BG559" t="str">
            <v/>
          </cell>
          <cell r="BH559" t="str">
            <v/>
          </cell>
          <cell r="BI559" t="str">
            <v/>
          </cell>
          <cell r="BJ559" t="str">
            <v/>
          </cell>
        </row>
        <row r="560">
          <cell r="A560" t="str">
            <v>RWH</v>
          </cell>
          <cell r="B560" t="str">
            <v>Q02</v>
          </cell>
          <cell r="C560" t="str">
            <v/>
          </cell>
          <cell r="D560" t="str">
            <v/>
          </cell>
          <cell r="E560">
            <v>0.94779700450777959</v>
          </cell>
          <cell r="F560" t="str">
            <v/>
          </cell>
          <cell r="G560" t="str">
            <v/>
          </cell>
          <cell r="H560" t="str">
            <v/>
          </cell>
          <cell r="J560" t="str">
            <v/>
          </cell>
          <cell r="K560" t="str">
            <v/>
          </cell>
          <cell r="L560" t="str">
            <v/>
          </cell>
          <cell r="M560">
            <v>7098</v>
          </cell>
          <cell r="N560" t="str">
            <v/>
          </cell>
          <cell r="Q560">
            <v>0.9717755169018707</v>
          </cell>
          <cell r="R560">
            <v>0.8713701032937049</v>
          </cell>
          <cell r="S560" t="str">
            <v/>
          </cell>
          <cell r="X560" t="str">
            <v/>
          </cell>
          <cell r="Y560" t="str">
            <v/>
          </cell>
          <cell r="Z560" t="str">
            <v/>
          </cell>
          <cell r="AB560">
            <v>0.40229885057471265</v>
          </cell>
          <cell r="AD560" t="str">
            <v/>
          </cell>
          <cell r="AE560" t="str">
            <v/>
          </cell>
          <cell r="AF560" t="str">
            <v/>
          </cell>
          <cell r="AG560">
            <v>3.9900935608145296E-2</v>
          </cell>
          <cell r="AH560">
            <v>5.666666666666667</v>
          </cell>
          <cell r="AI560" t="str">
            <v/>
          </cell>
          <cell r="AJ560" t="str">
            <v/>
          </cell>
          <cell r="AK560" t="str">
            <v/>
          </cell>
          <cell r="AL560" t="str">
            <v/>
          </cell>
          <cell r="AM560" t="str">
            <v/>
          </cell>
          <cell r="AN560" t="str">
            <v/>
          </cell>
          <cell r="AO560">
            <v>-22380</v>
          </cell>
          <cell r="AQ560" t="str">
            <v/>
          </cell>
          <cell r="AR560" t="str">
            <v/>
          </cell>
          <cell r="AS560" t="str">
            <v/>
          </cell>
          <cell r="AU560" t="str">
            <v/>
          </cell>
          <cell r="AV560" t="str">
            <v/>
          </cell>
          <cell r="AW560" t="str">
            <v/>
          </cell>
          <cell r="AX560" t="str">
            <v/>
          </cell>
          <cell r="AY560" t="str">
            <v/>
          </cell>
          <cell r="AZ560" t="str">
            <v/>
          </cell>
          <cell r="BA560" t="str">
            <v/>
          </cell>
          <cell r="BB560" t="str">
            <v/>
          </cell>
          <cell r="BC560" t="str">
            <v/>
          </cell>
          <cell r="BD560" t="str">
            <v/>
          </cell>
          <cell r="BE560" t="str">
            <v/>
          </cell>
          <cell r="BF560" t="str">
            <v/>
          </cell>
          <cell r="BG560" t="str">
            <v/>
          </cell>
          <cell r="BH560" t="str">
            <v/>
          </cell>
          <cell r="BI560" t="str">
            <v/>
          </cell>
          <cell r="BJ560" t="str">
            <v/>
          </cell>
        </row>
        <row r="561">
          <cell r="A561" t="str">
            <v>RWJ</v>
          </cell>
          <cell r="B561" t="str">
            <v>Q14</v>
          </cell>
          <cell r="C561" t="str">
            <v/>
          </cell>
          <cell r="D561" t="str">
            <v/>
          </cell>
          <cell r="E561">
            <v>0.97680275715800635</v>
          </cell>
          <cell r="F561" t="str">
            <v/>
          </cell>
          <cell r="G561" t="str">
            <v/>
          </cell>
          <cell r="H561" t="str">
            <v/>
          </cell>
          <cell r="J561" t="str">
            <v/>
          </cell>
          <cell r="K561" t="str">
            <v/>
          </cell>
          <cell r="L561" t="str">
            <v/>
          </cell>
          <cell r="M561">
            <v>5412</v>
          </cell>
          <cell r="N561" t="str">
            <v/>
          </cell>
          <cell r="Q561">
            <v>1</v>
          </cell>
          <cell r="R561">
            <v>0.94455517303859393</v>
          </cell>
          <cell r="S561" t="str">
            <v/>
          </cell>
          <cell r="X561" t="str">
            <v/>
          </cell>
          <cell r="Y561" t="str">
            <v/>
          </cell>
          <cell r="Z561" t="str">
            <v/>
          </cell>
          <cell r="AB561">
            <v>1</v>
          </cell>
          <cell r="AD561" t="str">
            <v/>
          </cell>
          <cell r="AE561" t="str">
            <v/>
          </cell>
          <cell r="AF561" t="str">
            <v/>
          </cell>
          <cell r="AG561">
            <v>2.09351011863224E-2</v>
          </cell>
          <cell r="AH561">
            <v>3</v>
          </cell>
          <cell r="AI561" t="str">
            <v/>
          </cell>
          <cell r="AJ561" t="str">
            <v/>
          </cell>
          <cell r="AK561" t="str">
            <v/>
          </cell>
          <cell r="AL561" t="str">
            <v/>
          </cell>
          <cell r="AM561" t="str">
            <v/>
          </cell>
          <cell r="AN561" t="str">
            <v/>
          </cell>
          <cell r="AO561" t="str">
            <v/>
          </cell>
          <cell r="AQ561" t="str">
            <v/>
          </cell>
          <cell r="AR561" t="str">
            <v/>
          </cell>
          <cell r="AS561" t="str">
            <v/>
          </cell>
          <cell r="AU561" t="str">
            <v/>
          </cell>
          <cell r="AV561" t="str">
            <v/>
          </cell>
          <cell r="AW561" t="str">
            <v/>
          </cell>
          <cell r="AX561" t="str">
            <v/>
          </cell>
          <cell r="AY561" t="str">
            <v/>
          </cell>
          <cell r="AZ561" t="str">
            <v/>
          </cell>
          <cell r="BA561" t="str">
            <v/>
          </cell>
          <cell r="BB561" t="str">
            <v/>
          </cell>
          <cell r="BC561" t="str">
            <v/>
          </cell>
          <cell r="BD561" t="str">
            <v/>
          </cell>
          <cell r="BE561" t="str">
            <v/>
          </cell>
          <cell r="BF561" t="str">
            <v/>
          </cell>
          <cell r="BG561" t="str">
            <v/>
          </cell>
          <cell r="BH561" t="str">
            <v/>
          </cell>
          <cell r="BI561" t="str">
            <v/>
          </cell>
          <cell r="BJ561" t="str">
            <v/>
          </cell>
        </row>
        <row r="562">
          <cell r="A562" t="str">
            <v>RWK</v>
          </cell>
          <cell r="B562" t="str">
            <v>Q06</v>
          </cell>
          <cell r="C562" t="str">
            <v/>
          </cell>
          <cell r="D562" t="str">
            <v/>
          </cell>
          <cell r="E562" t="str">
            <v/>
          </cell>
          <cell r="F562" t="str">
            <v/>
          </cell>
          <cell r="G562" t="str">
            <v/>
          </cell>
          <cell r="H562" t="str">
            <v/>
          </cell>
          <cell r="J562" t="str">
            <v/>
          </cell>
          <cell r="K562" t="str">
            <v/>
          </cell>
          <cell r="L562" t="str">
            <v/>
          </cell>
          <cell r="M562" t="str">
            <v/>
          </cell>
          <cell r="N562" t="str">
            <v/>
          </cell>
          <cell r="Q562" t="str">
            <v/>
          </cell>
          <cell r="R562">
            <v>0.99484536082474229</v>
          </cell>
          <cell r="S562" t="str">
            <v/>
          </cell>
          <cell r="X562" t="str">
            <v/>
          </cell>
          <cell r="Y562" t="str">
            <v/>
          </cell>
          <cell r="Z562" t="str">
            <v/>
          </cell>
          <cell r="AB562" t="str">
            <v/>
          </cell>
          <cell r="AD562" t="str">
            <v/>
          </cell>
          <cell r="AE562" t="str">
            <v/>
          </cell>
          <cell r="AF562" t="str">
            <v/>
          </cell>
          <cell r="AG562">
            <v>0</v>
          </cell>
          <cell r="AH562" t="str">
            <v/>
          </cell>
          <cell r="AI562" t="str">
            <v/>
          </cell>
          <cell r="AJ562" t="str">
            <v/>
          </cell>
          <cell r="AK562" t="str">
            <v/>
          </cell>
          <cell r="AL562" t="str">
            <v/>
          </cell>
          <cell r="AM562" t="str">
            <v/>
          </cell>
          <cell r="AN562" t="str">
            <v/>
          </cell>
          <cell r="AO562">
            <v>3553</v>
          </cell>
          <cell r="AQ562" t="str">
            <v/>
          </cell>
          <cell r="AR562" t="str">
            <v/>
          </cell>
          <cell r="AS562" t="str">
            <v/>
          </cell>
          <cell r="AU562" t="str">
            <v/>
          </cell>
          <cell r="AV562" t="str">
            <v/>
          </cell>
          <cell r="AW562" t="str">
            <v/>
          </cell>
          <cell r="AX562" t="str">
            <v/>
          </cell>
          <cell r="AY562" t="str">
            <v/>
          </cell>
          <cell r="AZ562" t="str">
            <v/>
          </cell>
          <cell r="BA562" t="str">
            <v/>
          </cell>
          <cell r="BB562" t="str">
            <v/>
          </cell>
          <cell r="BC562" t="str">
            <v/>
          </cell>
          <cell r="BD562" t="str">
            <v/>
          </cell>
          <cell r="BE562" t="str">
            <v/>
          </cell>
          <cell r="BF562" t="str">
            <v/>
          </cell>
          <cell r="BG562" t="str">
            <v/>
          </cell>
          <cell r="BH562" t="str">
            <v/>
          </cell>
          <cell r="BI562" t="str">
            <v/>
          </cell>
          <cell r="BJ562" t="str">
            <v/>
          </cell>
        </row>
        <row r="563">
          <cell r="A563" t="str">
            <v>RWN</v>
          </cell>
          <cell r="B563" t="str">
            <v>Q03</v>
          </cell>
          <cell r="C563" t="str">
            <v/>
          </cell>
          <cell r="D563" t="str">
            <v/>
          </cell>
          <cell r="E563" t="str">
            <v/>
          </cell>
          <cell r="F563" t="str">
            <v/>
          </cell>
          <cell r="G563" t="str">
            <v/>
          </cell>
          <cell r="H563" t="str">
            <v/>
          </cell>
          <cell r="J563" t="str">
            <v/>
          </cell>
          <cell r="K563" t="str">
            <v/>
          </cell>
          <cell r="L563" t="str">
            <v/>
          </cell>
          <cell r="M563" t="str">
            <v/>
          </cell>
          <cell r="N563" t="str">
            <v/>
          </cell>
          <cell r="Q563" t="str">
            <v/>
          </cell>
          <cell r="R563">
            <v>1</v>
          </cell>
          <cell r="S563" t="str">
            <v/>
          </cell>
          <cell r="X563" t="str">
            <v/>
          </cell>
          <cell r="Y563" t="str">
            <v/>
          </cell>
          <cell r="Z563" t="str">
            <v/>
          </cell>
          <cell r="AB563" t="str">
            <v/>
          </cell>
          <cell r="AD563" t="str">
            <v/>
          </cell>
          <cell r="AE563" t="str">
            <v/>
          </cell>
          <cell r="AF563" t="str">
            <v/>
          </cell>
          <cell r="AG563">
            <v>0</v>
          </cell>
          <cell r="AH563" t="str">
            <v/>
          </cell>
          <cell r="AI563" t="str">
            <v/>
          </cell>
          <cell r="AJ563" t="str">
            <v/>
          </cell>
          <cell r="AK563" t="str">
            <v/>
          </cell>
          <cell r="AL563" t="str">
            <v/>
          </cell>
          <cell r="AM563" t="str">
            <v/>
          </cell>
          <cell r="AN563" t="str">
            <v/>
          </cell>
          <cell r="AO563">
            <v>1377</v>
          </cell>
          <cell r="AQ563" t="str">
            <v/>
          </cell>
          <cell r="AR563" t="str">
            <v/>
          </cell>
          <cell r="AS563" t="str">
            <v/>
          </cell>
          <cell r="AU563" t="str">
            <v/>
          </cell>
          <cell r="AV563" t="str">
            <v/>
          </cell>
          <cell r="AW563" t="str">
            <v/>
          </cell>
          <cell r="AX563" t="str">
            <v/>
          </cell>
          <cell r="AY563" t="str">
            <v/>
          </cell>
          <cell r="AZ563" t="str">
            <v/>
          </cell>
          <cell r="BA563" t="str">
            <v/>
          </cell>
          <cell r="BB563" t="str">
            <v/>
          </cell>
          <cell r="BC563" t="str">
            <v/>
          </cell>
          <cell r="BD563" t="str">
            <v/>
          </cell>
          <cell r="BE563" t="str">
            <v/>
          </cell>
          <cell r="BF563" t="str">
            <v/>
          </cell>
          <cell r="BG563" t="str">
            <v/>
          </cell>
          <cell r="BH563" t="str">
            <v/>
          </cell>
          <cell r="BI563" t="str">
            <v/>
          </cell>
          <cell r="BJ563" t="str">
            <v/>
          </cell>
        </row>
        <row r="564">
          <cell r="A564" t="str">
            <v>RWP</v>
          </cell>
          <cell r="B564" t="str">
            <v>Q28</v>
          </cell>
          <cell r="C564" t="str">
            <v/>
          </cell>
          <cell r="D564" t="str">
            <v/>
          </cell>
          <cell r="E564">
            <v>0.95506164828033746</v>
          </cell>
          <cell r="F564" t="str">
            <v/>
          </cell>
          <cell r="G564" t="str">
            <v/>
          </cell>
          <cell r="H564" t="str">
            <v/>
          </cell>
          <cell r="J564" t="str">
            <v/>
          </cell>
          <cell r="K564" t="str">
            <v/>
          </cell>
          <cell r="L564" t="str">
            <v/>
          </cell>
          <cell r="M564">
            <v>8129</v>
          </cell>
          <cell r="N564" t="str">
            <v/>
          </cell>
          <cell r="Q564">
            <v>1</v>
          </cell>
          <cell r="R564">
            <v>0.99616336633663372</v>
          </cell>
          <cell r="S564" t="str">
            <v/>
          </cell>
          <cell r="X564" t="str">
            <v/>
          </cell>
          <cell r="Y564" t="str">
            <v/>
          </cell>
          <cell r="Z564" t="str">
            <v/>
          </cell>
          <cell r="AB564">
            <v>0.93165467625899279</v>
          </cell>
          <cell r="AD564" t="str">
            <v/>
          </cell>
          <cell r="AE564" t="str">
            <v/>
          </cell>
          <cell r="AF564" t="str">
            <v/>
          </cell>
          <cell r="AG564">
            <v>2.6840490797546013E-2</v>
          </cell>
          <cell r="AH564">
            <v>2.6666666666666665</v>
          </cell>
          <cell r="AI564" t="str">
            <v/>
          </cell>
          <cell r="AJ564" t="str">
            <v/>
          </cell>
          <cell r="AK564" t="str">
            <v/>
          </cell>
          <cell r="AL564" t="str">
            <v/>
          </cell>
          <cell r="AM564" t="str">
            <v/>
          </cell>
          <cell r="AN564" t="str">
            <v/>
          </cell>
          <cell r="AO564">
            <v>-4975</v>
          </cell>
          <cell r="AQ564" t="str">
            <v/>
          </cell>
          <cell r="AR564" t="str">
            <v/>
          </cell>
          <cell r="AS564" t="str">
            <v/>
          </cell>
          <cell r="AU564" t="str">
            <v/>
          </cell>
          <cell r="AV564" t="str">
            <v/>
          </cell>
          <cell r="AW564" t="str">
            <v/>
          </cell>
          <cell r="AX564" t="str">
            <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row>
        <row r="565">
          <cell r="A565" t="str">
            <v>RWQ</v>
          </cell>
          <cell r="B565" t="str">
            <v>Q28</v>
          </cell>
          <cell r="C565" t="str">
            <v/>
          </cell>
          <cell r="D565" t="str">
            <v/>
          </cell>
          <cell r="E565" t="str">
            <v/>
          </cell>
          <cell r="F565" t="str">
            <v/>
          </cell>
          <cell r="G565" t="str">
            <v/>
          </cell>
          <cell r="H565" t="str">
            <v/>
          </cell>
          <cell r="J565" t="str">
            <v/>
          </cell>
          <cell r="K565" t="str">
            <v/>
          </cell>
          <cell r="L565" t="str">
            <v/>
          </cell>
          <cell r="M565" t="str">
            <v/>
          </cell>
          <cell r="N565" t="str">
            <v/>
          </cell>
          <cell r="Q565" t="str">
            <v/>
          </cell>
          <cell r="R565">
            <v>0.85066666666666668</v>
          </cell>
          <cell r="S565" t="str">
            <v/>
          </cell>
          <cell r="X565" t="str">
            <v/>
          </cell>
          <cell r="Y565" t="str">
            <v/>
          </cell>
          <cell r="Z565" t="str">
            <v/>
          </cell>
          <cell r="AB565" t="str">
            <v/>
          </cell>
          <cell r="AD565" t="str">
            <v/>
          </cell>
          <cell r="AE565" t="str">
            <v/>
          </cell>
          <cell r="AF565" t="str">
            <v/>
          </cell>
          <cell r="AG565">
            <v>0</v>
          </cell>
          <cell r="AH565" t="str">
            <v/>
          </cell>
          <cell r="AI565" t="str">
            <v/>
          </cell>
          <cell r="AJ565" t="str">
            <v/>
          </cell>
          <cell r="AK565" t="str">
            <v/>
          </cell>
          <cell r="AL565" t="str">
            <v/>
          </cell>
          <cell r="AM565" t="str">
            <v/>
          </cell>
          <cell r="AN565" t="str">
            <v/>
          </cell>
          <cell r="AO565">
            <v>-1585</v>
          </cell>
          <cell r="AQ565" t="str">
            <v/>
          </cell>
          <cell r="AR565" t="str">
            <v/>
          </cell>
          <cell r="AS565" t="str">
            <v/>
          </cell>
          <cell r="AU565" t="str">
            <v/>
          </cell>
          <cell r="AV565" t="str">
            <v/>
          </cell>
          <cell r="AW565" t="str">
            <v/>
          </cell>
          <cell r="AX565" t="str">
            <v/>
          </cell>
          <cell r="AY565" t="str">
            <v/>
          </cell>
          <cell r="AZ565" t="str">
            <v/>
          </cell>
          <cell r="BA565" t="str">
            <v/>
          </cell>
          <cell r="BB565" t="str">
            <v/>
          </cell>
          <cell r="BC565" t="str">
            <v/>
          </cell>
          <cell r="BD565" t="str">
            <v/>
          </cell>
          <cell r="BE565" t="str">
            <v/>
          </cell>
          <cell r="BF565" t="str">
            <v/>
          </cell>
          <cell r="BG565" t="str">
            <v/>
          </cell>
          <cell r="BH565" t="str">
            <v/>
          </cell>
          <cell r="BI565" t="str">
            <v/>
          </cell>
          <cell r="BJ565" t="str">
            <v/>
          </cell>
        </row>
        <row r="566">
          <cell r="A566" t="str">
            <v>RWR</v>
          </cell>
          <cell r="B566" t="str">
            <v>Q02</v>
          </cell>
          <cell r="C566" t="str">
            <v/>
          </cell>
          <cell r="D566" t="str">
            <v/>
          </cell>
          <cell r="E566" t="str">
            <v/>
          </cell>
          <cell r="F566" t="str">
            <v/>
          </cell>
          <cell r="G566" t="str">
            <v/>
          </cell>
          <cell r="H566" t="str">
            <v/>
          </cell>
          <cell r="J566" t="str">
            <v/>
          </cell>
          <cell r="K566" t="str">
            <v/>
          </cell>
          <cell r="L566" t="str">
            <v/>
          </cell>
          <cell r="M566" t="str">
            <v/>
          </cell>
          <cell r="N566" t="str">
            <v/>
          </cell>
          <cell r="Q566" t="str">
            <v/>
          </cell>
          <cell r="R566">
            <v>1</v>
          </cell>
          <cell r="S566" t="str">
            <v/>
          </cell>
          <cell r="X566" t="str">
            <v/>
          </cell>
          <cell r="Y566" t="str">
            <v/>
          </cell>
          <cell r="Z566" t="str">
            <v/>
          </cell>
          <cell r="AB566" t="str">
            <v/>
          </cell>
          <cell r="AD566" t="str">
            <v/>
          </cell>
          <cell r="AE566" t="str">
            <v/>
          </cell>
          <cell r="AF566" t="str">
            <v/>
          </cell>
          <cell r="AG566">
            <v>0</v>
          </cell>
          <cell r="AH566" t="str">
            <v/>
          </cell>
          <cell r="AI566" t="str">
            <v/>
          </cell>
          <cell r="AJ566" t="str">
            <v/>
          </cell>
          <cell r="AK566" t="str">
            <v/>
          </cell>
          <cell r="AL566" t="str">
            <v/>
          </cell>
          <cell r="AM566" t="str">
            <v/>
          </cell>
          <cell r="AN566" t="str">
            <v/>
          </cell>
          <cell r="AO566">
            <v>55</v>
          </cell>
          <cell r="AQ566" t="str">
            <v/>
          </cell>
          <cell r="AR566" t="str">
            <v/>
          </cell>
          <cell r="AS566" t="str">
            <v/>
          </cell>
          <cell r="AU566" t="str">
            <v/>
          </cell>
          <cell r="AV566" t="str">
            <v/>
          </cell>
          <cell r="AW566" t="str">
            <v/>
          </cell>
          <cell r="AX566" t="str">
            <v/>
          </cell>
          <cell r="AY566" t="str">
            <v/>
          </cell>
          <cell r="AZ566" t="str">
            <v/>
          </cell>
          <cell r="BA566" t="str">
            <v/>
          </cell>
          <cell r="BB566" t="str">
            <v/>
          </cell>
          <cell r="BC566" t="str">
            <v/>
          </cell>
          <cell r="BD566" t="str">
            <v/>
          </cell>
          <cell r="BE566" t="str">
            <v/>
          </cell>
          <cell r="BF566" t="str">
            <v/>
          </cell>
          <cell r="BG566" t="str">
            <v/>
          </cell>
          <cell r="BH566" t="str">
            <v/>
          </cell>
          <cell r="BI566" t="str">
            <v/>
          </cell>
          <cell r="BJ566" t="str">
            <v/>
          </cell>
        </row>
        <row r="567">
          <cell r="A567" t="str">
            <v>RWT</v>
          </cell>
          <cell r="B567" t="str">
            <v>Q16</v>
          </cell>
          <cell r="C567" t="str">
            <v/>
          </cell>
          <cell r="D567" t="str">
            <v/>
          </cell>
          <cell r="E567" t="str">
            <v/>
          </cell>
          <cell r="J567" t="str">
            <v/>
          </cell>
          <cell r="K567" t="str">
            <v/>
          </cell>
          <cell r="L567" t="str">
            <v/>
          </cell>
          <cell r="M567" t="str">
            <v/>
          </cell>
          <cell r="Q567" t="str">
            <v/>
          </cell>
          <cell r="R567">
            <v>1</v>
          </cell>
          <cell r="X567" t="str">
            <v/>
          </cell>
          <cell r="Y567" t="str">
            <v/>
          </cell>
          <cell r="Z567" t="str">
            <v/>
          </cell>
          <cell r="AB567" t="str">
            <v/>
          </cell>
          <cell r="AD567" t="str">
            <v/>
          </cell>
          <cell r="AE567" t="str">
            <v/>
          </cell>
          <cell r="AF567" t="str">
            <v/>
          </cell>
          <cell r="AG567">
            <v>0</v>
          </cell>
          <cell r="AH567" t="str">
            <v/>
          </cell>
          <cell r="AI567" t="str">
            <v/>
          </cell>
          <cell r="AJ567" t="str">
            <v/>
          </cell>
          <cell r="AK567" t="str">
            <v/>
          </cell>
          <cell r="AL567" t="str">
            <v/>
          </cell>
          <cell r="AM567" t="str">
            <v/>
          </cell>
          <cell r="AN567" t="str">
            <v/>
          </cell>
          <cell r="AO567">
            <v>-461</v>
          </cell>
          <cell r="AS567" t="str">
            <v/>
          </cell>
          <cell r="BB567" t="str">
            <v/>
          </cell>
          <cell r="BC567" t="str">
            <v/>
          </cell>
          <cell r="BD567" t="str">
            <v/>
          </cell>
          <cell r="BE567" t="str">
            <v/>
          </cell>
          <cell r="BF567" t="str">
            <v/>
          </cell>
          <cell r="BG567" t="str">
            <v/>
          </cell>
          <cell r="BH567" t="str">
            <v/>
          </cell>
          <cell r="BI567" t="str">
            <v/>
          </cell>
          <cell r="BJ567" t="str">
            <v/>
          </cell>
        </row>
        <row r="568">
          <cell r="A568" t="str">
            <v>RWV</v>
          </cell>
          <cell r="B568" t="str">
            <v>Q21</v>
          </cell>
          <cell r="C568" t="str">
            <v/>
          </cell>
          <cell r="D568" t="str">
            <v/>
          </cell>
          <cell r="E568" t="str">
            <v/>
          </cell>
          <cell r="F568" t="str">
            <v/>
          </cell>
          <cell r="G568" t="str">
            <v/>
          </cell>
          <cell r="H568" t="str">
            <v/>
          </cell>
          <cell r="J568" t="str">
            <v/>
          </cell>
          <cell r="K568" t="str">
            <v/>
          </cell>
          <cell r="L568" t="str">
            <v/>
          </cell>
          <cell r="M568" t="str">
            <v/>
          </cell>
          <cell r="N568" t="str">
            <v/>
          </cell>
          <cell r="Q568" t="str">
            <v/>
          </cell>
          <cell r="R568" t="str">
            <v/>
          </cell>
          <cell r="S568" t="str">
            <v/>
          </cell>
          <cell r="X568" t="str">
            <v/>
          </cell>
          <cell r="Y568" t="str">
            <v/>
          </cell>
          <cell r="Z568" t="str">
            <v/>
          </cell>
          <cell r="AB568" t="str">
            <v/>
          </cell>
          <cell r="AD568" t="str">
            <v/>
          </cell>
          <cell r="AE568" t="str">
            <v/>
          </cell>
          <cell r="AF568" t="str">
            <v/>
          </cell>
          <cell r="AG568">
            <v>0</v>
          </cell>
          <cell r="AH568" t="str">
            <v/>
          </cell>
          <cell r="AI568" t="str">
            <v/>
          </cell>
          <cell r="AJ568" t="str">
            <v/>
          </cell>
          <cell r="AK568" t="str">
            <v/>
          </cell>
          <cell r="AL568" t="str">
            <v/>
          </cell>
          <cell r="AM568" t="str">
            <v/>
          </cell>
          <cell r="AN568" t="str">
            <v/>
          </cell>
          <cell r="AO568">
            <v>-1720</v>
          </cell>
          <cell r="AQ568" t="str">
            <v/>
          </cell>
          <cell r="AR568" t="str">
            <v/>
          </cell>
          <cell r="AS568" t="str">
            <v/>
          </cell>
          <cell r="AU568" t="str">
            <v/>
          </cell>
          <cell r="AV568" t="str">
            <v/>
          </cell>
          <cell r="AW568" t="str">
            <v/>
          </cell>
          <cell r="AX568" t="str">
            <v/>
          </cell>
          <cell r="AY568" t="str">
            <v/>
          </cell>
          <cell r="AZ568" t="str">
            <v/>
          </cell>
          <cell r="BA568" t="str">
            <v/>
          </cell>
          <cell r="BB568" t="str">
            <v/>
          </cell>
          <cell r="BC568" t="str">
            <v/>
          </cell>
          <cell r="BD568" t="str">
            <v/>
          </cell>
          <cell r="BE568" t="str">
            <v/>
          </cell>
          <cell r="BF568" t="str">
            <v/>
          </cell>
          <cell r="BG568" t="str">
            <v/>
          </cell>
          <cell r="BH568" t="str">
            <v/>
          </cell>
          <cell r="BI568" t="str">
            <v/>
          </cell>
          <cell r="BJ568" t="str">
            <v/>
          </cell>
        </row>
        <row r="569">
          <cell r="A569" t="str">
            <v>RWW</v>
          </cell>
          <cell r="B569" t="str">
            <v>Q15</v>
          </cell>
          <cell r="C569" t="str">
            <v/>
          </cell>
          <cell r="D569" t="str">
            <v/>
          </cell>
          <cell r="E569">
            <v>0.97480193661971826</v>
          </cell>
          <cell r="F569" t="str">
            <v/>
          </cell>
          <cell r="G569" t="str">
            <v/>
          </cell>
          <cell r="H569" t="str">
            <v/>
          </cell>
          <cell r="J569" t="str">
            <v/>
          </cell>
          <cell r="K569" t="str">
            <v/>
          </cell>
          <cell r="L569" t="str">
            <v/>
          </cell>
          <cell r="M569">
            <v>4507</v>
          </cell>
          <cell r="N569" t="str">
            <v/>
          </cell>
          <cell r="Q569">
            <v>0.99819711538461542</v>
          </cell>
          <cell r="R569">
            <v>1</v>
          </cell>
          <cell r="S569" t="str">
            <v/>
          </cell>
          <cell r="X569" t="str">
            <v/>
          </cell>
          <cell r="Y569" t="str">
            <v/>
          </cell>
          <cell r="Z569" t="str">
            <v/>
          </cell>
          <cell r="AB569">
            <v>0.98148148148148151</v>
          </cell>
          <cell r="AD569" t="str">
            <v/>
          </cell>
          <cell r="AE569" t="str">
            <v/>
          </cell>
          <cell r="AF569" t="str">
            <v/>
          </cell>
          <cell r="AG569">
            <v>1.0917674830333431E-2</v>
          </cell>
          <cell r="AH569">
            <v>3.3333333333333335</v>
          </cell>
          <cell r="AI569" t="str">
            <v/>
          </cell>
          <cell r="AJ569" t="str">
            <v/>
          </cell>
          <cell r="AK569" t="str">
            <v/>
          </cell>
          <cell r="AL569" t="str">
            <v/>
          </cell>
          <cell r="AM569" t="str">
            <v/>
          </cell>
          <cell r="AN569" t="str">
            <v/>
          </cell>
          <cell r="AO569">
            <v>83</v>
          </cell>
          <cell r="AQ569" t="str">
            <v/>
          </cell>
          <cell r="AR569" t="str">
            <v/>
          </cell>
          <cell r="AS569" t="str">
            <v/>
          </cell>
          <cell r="AU569" t="str">
            <v/>
          </cell>
          <cell r="AV569" t="str">
            <v/>
          </cell>
          <cell r="AW569" t="str">
            <v/>
          </cell>
          <cell r="AX569" t="str">
            <v/>
          </cell>
          <cell r="AY569" t="str">
            <v/>
          </cell>
          <cell r="AZ569" t="str">
            <v/>
          </cell>
          <cell r="BA569" t="str">
            <v/>
          </cell>
          <cell r="BB569" t="str">
            <v/>
          </cell>
          <cell r="BC569" t="str">
            <v/>
          </cell>
          <cell r="BD569" t="str">
            <v/>
          </cell>
          <cell r="BE569" t="str">
            <v/>
          </cell>
          <cell r="BF569" t="str">
            <v/>
          </cell>
          <cell r="BG569" t="str">
            <v/>
          </cell>
          <cell r="BH569" t="str">
            <v/>
          </cell>
          <cell r="BI569" t="str">
            <v/>
          </cell>
          <cell r="BJ569" t="str">
            <v/>
          </cell>
        </row>
        <row r="570">
          <cell r="A570" t="str">
            <v>RWX</v>
          </cell>
          <cell r="B570" t="str">
            <v>Q16</v>
          </cell>
          <cell r="C570" t="str">
            <v/>
          </cell>
          <cell r="D570" t="str">
            <v/>
          </cell>
          <cell r="E570" t="str">
            <v/>
          </cell>
          <cell r="F570" t="str">
            <v/>
          </cell>
          <cell r="G570" t="str">
            <v/>
          </cell>
          <cell r="H570" t="str">
            <v/>
          </cell>
          <cell r="J570" t="str">
            <v/>
          </cell>
          <cell r="K570" t="str">
            <v/>
          </cell>
          <cell r="L570" t="str">
            <v/>
          </cell>
          <cell r="M570" t="str">
            <v/>
          </cell>
          <cell r="N570" t="str">
            <v/>
          </cell>
          <cell r="Q570" t="str">
            <v/>
          </cell>
          <cell r="R570">
            <v>1</v>
          </cell>
          <cell r="S570" t="str">
            <v/>
          </cell>
          <cell r="X570" t="str">
            <v/>
          </cell>
          <cell r="Y570" t="str">
            <v/>
          </cell>
          <cell r="Z570" t="str">
            <v/>
          </cell>
          <cell r="AB570" t="str">
            <v/>
          </cell>
          <cell r="AD570" t="str">
            <v/>
          </cell>
          <cell r="AE570" t="str">
            <v/>
          </cell>
          <cell r="AF570" t="str">
            <v/>
          </cell>
          <cell r="AG570">
            <v>0</v>
          </cell>
          <cell r="AH570" t="str">
            <v/>
          </cell>
          <cell r="AI570" t="str">
            <v/>
          </cell>
          <cell r="AJ570" t="str">
            <v/>
          </cell>
          <cell r="AK570" t="str">
            <v/>
          </cell>
          <cell r="AL570" t="str">
            <v/>
          </cell>
          <cell r="AM570" t="str">
            <v/>
          </cell>
          <cell r="AN570" t="str">
            <v/>
          </cell>
          <cell r="AO570">
            <v>5102.2559999999903</v>
          </cell>
          <cell r="AQ570" t="str">
            <v/>
          </cell>
          <cell r="AR570" t="str">
            <v/>
          </cell>
          <cell r="AS570" t="str">
            <v/>
          </cell>
          <cell r="AU570" t="str">
            <v/>
          </cell>
          <cell r="AV570" t="str">
            <v/>
          </cell>
          <cell r="AW570" t="str">
            <v/>
          </cell>
          <cell r="AX570" t="str">
            <v/>
          </cell>
          <cell r="AY570" t="str">
            <v/>
          </cell>
          <cell r="AZ570" t="str">
            <v/>
          </cell>
          <cell r="BA570" t="str">
            <v/>
          </cell>
          <cell r="BB570" t="str">
            <v/>
          </cell>
          <cell r="BC570" t="str">
            <v/>
          </cell>
          <cell r="BD570" t="str">
            <v/>
          </cell>
          <cell r="BE570" t="str">
            <v/>
          </cell>
          <cell r="BF570" t="str">
            <v/>
          </cell>
          <cell r="BG570" t="str">
            <v/>
          </cell>
          <cell r="BH570" t="str">
            <v/>
          </cell>
          <cell r="BI570" t="str">
            <v/>
          </cell>
          <cell r="BJ570" t="str">
            <v/>
          </cell>
        </row>
        <row r="571">
          <cell r="A571" t="str">
            <v>RWY</v>
          </cell>
          <cell r="B571" t="str">
            <v>Q12</v>
          </cell>
          <cell r="C571" t="str">
            <v/>
          </cell>
          <cell r="D571" t="str">
            <v/>
          </cell>
          <cell r="E571">
            <v>0.9773191021817611</v>
          </cell>
          <cell r="F571" t="str">
            <v/>
          </cell>
          <cell r="G571" t="str">
            <v/>
          </cell>
          <cell r="H571" t="str">
            <v/>
          </cell>
          <cell r="J571" t="str">
            <v/>
          </cell>
          <cell r="K571" t="str">
            <v/>
          </cell>
          <cell r="L571" t="str">
            <v/>
          </cell>
          <cell r="M571">
            <v>6267</v>
          </cell>
          <cell r="N571" t="str">
            <v/>
          </cell>
          <cell r="Q571">
            <v>1</v>
          </cell>
          <cell r="R571">
            <v>1</v>
          </cell>
          <cell r="S571" t="str">
            <v/>
          </cell>
          <cell r="X571" t="str">
            <v/>
          </cell>
          <cell r="Y571" t="str">
            <v/>
          </cell>
          <cell r="Z571" t="str">
            <v/>
          </cell>
          <cell r="AB571">
            <v>1</v>
          </cell>
          <cell r="AD571" t="str">
            <v/>
          </cell>
          <cell r="AE571" t="str">
            <v/>
          </cell>
          <cell r="AF571" t="str">
            <v/>
          </cell>
          <cell r="AG571">
            <v>2.4623803009575923E-3</v>
          </cell>
          <cell r="AH571">
            <v>2.3333333333333335</v>
          </cell>
          <cell r="AI571" t="str">
            <v/>
          </cell>
          <cell r="AJ571" t="str">
            <v/>
          </cell>
          <cell r="AK571" t="str">
            <v/>
          </cell>
          <cell r="AL571" t="str">
            <v/>
          </cell>
          <cell r="AM571" t="str">
            <v/>
          </cell>
          <cell r="AN571" t="str">
            <v/>
          </cell>
          <cell r="AO571">
            <v>166</v>
          </cell>
          <cell r="AQ571" t="str">
            <v/>
          </cell>
          <cell r="AR571" t="str">
            <v/>
          </cell>
          <cell r="AS571" t="str">
            <v/>
          </cell>
          <cell r="AU571" t="str">
            <v/>
          </cell>
          <cell r="AV571" t="str">
            <v/>
          </cell>
          <cell r="AW571" t="str">
            <v/>
          </cell>
          <cell r="AX571" t="str">
            <v/>
          </cell>
          <cell r="AY571" t="str">
            <v/>
          </cell>
          <cell r="AZ571" t="str">
            <v/>
          </cell>
          <cell r="BA571" t="str">
            <v/>
          </cell>
          <cell r="BB571" t="str">
            <v/>
          </cell>
          <cell r="BC571" t="str">
            <v/>
          </cell>
          <cell r="BD571" t="str">
            <v/>
          </cell>
          <cell r="BE571" t="str">
            <v/>
          </cell>
          <cell r="BF571" t="str">
            <v/>
          </cell>
          <cell r="BG571" t="str">
            <v/>
          </cell>
          <cell r="BH571" t="str">
            <v/>
          </cell>
          <cell r="BI571" t="str">
            <v/>
          </cell>
          <cell r="BJ571" t="str">
            <v/>
          </cell>
        </row>
        <row r="572">
          <cell r="A572" t="str">
            <v>RX1</v>
          </cell>
          <cell r="B572" t="str">
            <v>Q24</v>
          </cell>
          <cell r="C572" t="str">
            <v/>
          </cell>
          <cell r="D572" t="str">
            <v/>
          </cell>
          <cell r="E572" t="str">
            <v/>
          </cell>
          <cell r="F572" t="str">
            <v/>
          </cell>
          <cell r="G572" t="str">
            <v/>
          </cell>
          <cell r="H572" t="str">
            <v/>
          </cell>
          <cell r="J572" t="str">
            <v/>
          </cell>
          <cell r="K572" t="str">
            <v/>
          </cell>
          <cell r="L572" t="str">
            <v/>
          </cell>
          <cell r="M572" t="str">
            <v/>
          </cell>
          <cell r="N572" t="str">
            <v/>
          </cell>
          <cell r="Q572" t="str">
            <v/>
          </cell>
          <cell r="R572" t="str">
            <v/>
          </cell>
          <cell r="S572" t="str">
            <v/>
          </cell>
          <cell r="X572" t="str">
            <v/>
          </cell>
          <cell r="Y572" t="str">
            <v/>
          </cell>
          <cell r="Z572" t="str">
            <v/>
          </cell>
          <cell r="AB572" t="str">
            <v/>
          </cell>
          <cell r="AD572" t="str">
            <v/>
          </cell>
          <cell r="AE572" t="str">
            <v/>
          </cell>
          <cell r="AF572" t="str">
            <v/>
          </cell>
          <cell r="AG572" t="str">
            <v/>
          </cell>
          <cell r="AH572">
            <v>5</v>
          </cell>
          <cell r="AI572" t="str">
            <v/>
          </cell>
          <cell r="AJ572" t="str">
            <v/>
          </cell>
          <cell r="AK572" t="str">
            <v/>
          </cell>
          <cell r="AL572" t="str">
            <v/>
          </cell>
          <cell r="AM572" t="str">
            <v/>
          </cell>
          <cell r="AN572" t="str">
            <v/>
          </cell>
          <cell r="AO572" t="str">
            <v/>
          </cell>
          <cell r="AQ572" t="str">
            <v/>
          </cell>
          <cell r="AR572" t="str">
            <v/>
          </cell>
          <cell r="AS572" t="str">
            <v/>
          </cell>
          <cell r="AU572" t="str">
            <v/>
          </cell>
          <cell r="AV572" t="str">
            <v/>
          </cell>
          <cell r="AW572" t="str">
            <v/>
          </cell>
          <cell r="AX572" t="str">
            <v/>
          </cell>
          <cell r="AY572" t="str">
            <v/>
          </cell>
          <cell r="AZ572" t="str">
            <v/>
          </cell>
          <cell r="BA572" t="str">
            <v/>
          </cell>
          <cell r="BB572" t="str">
            <v/>
          </cell>
          <cell r="BC572" t="str">
            <v/>
          </cell>
          <cell r="BD572" t="str">
            <v/>
          </cell>
          <cell r="BE572" t="str">
            <v/>
          </cell>
          <cell r="BF572" t="str">
            <v/>
          </cell>
          <cell r="BG572" t="str">
            <v/>
          </cell>
          <cell r="BH572" t="str">
            <v/>
          </cell>
          <cell r="BI572" t="str">
            <v/>
          </cell>
          <cell r="BJ572" t="str">
            <v/>
          </cell>
        </row>
        <row r="573">
          <cell r="A573" t="str">
            <v>RX2</v>
          </cell>
          <cell r="B573" t="str">
            <v>Q19</v>
          </cell>
          <cell r="C573" t="str">
            <v/>
          </cell>
          <cell r="D573" t="str">
            <v/>
          </cell>
          <cell r="E573" t="str">
            <v/>
          </cell>
          <cell r="F573" t="str">
            <v/>
          </cell>
          <cell r="G573" t="str">
            <v/>
          </cell>
          <cell r="H573" t="str">
            <v/>
          </cell>
          <cell r="J573" t="str">
            <v/>
          </cell>
          <cell r="K573" t="str">
            <v/>
          </cell>
          <cell r="L573" t="str">
            <v/>
          </cell>
          <cell r="M573" t="str">
            <v/>
          </cell>
          <cell r="N573" t="str">
            <v/>
          </cell>
          <cell r="Q573" t="str">
            <v/>
          </cell>
          <cell r="R573" t="str">
            <v/>
          </cell>
          <cell r="S573" t="str">
            <v/>
          </cell>
          <cell r="X573" t="str">
            <v/>
          </cell>
          <cell r="Y573" t="str">
            <v/>
          </cell>
          <cell r="Z573" t="str">
            <v/>
          </cell>
          <cell r="AB573" t="str">
            <v/>
          </cell>
          <cell r="AD573" t="str">
            <v/>
          </cell>
          <cell r="AE573" t="str">
            <v/>
          </cell>
          <cell r="AF573" t="str">
            <v/>
          </cell>
          <cell r="AG573" t="str">
            <v/>
          </cell>
          <cell r="AH573" t="str">
            <v/>
          </cell>
          <cell r="AI573" t="str">
            <v/>
          </cell>
          <cell r="AJ573" t="str">
            <v/>
          </cell>
          <cell r="AK573" t="str">
            <v/>
          </cell>
          <cell r="AL573" t="str">
            <v/>
          </cell>
          <cell r="AM573" t="str">
            <v/>
          </cell>
          <cell r="AN573" t="str">
            <v/>
          </cell>
          <cell r="AO573" t="str">
            <v/>
          </cell>
          <cell r="AQ573" t="str">
            <v/>
          </cell>
          <cell r="AR573" t="str">
            <v/>
          </cell>
          <cell r="AS573" t="str">
            <v/>
          </cell>
          <cell r="AU573" t="str">
            <v/>
          </cell>
          <cell r="AV573" t="str">
            <v/>
          </cell>
          <cell r="AW573" t="str">
            <v/>
          </cell>
          <cell r="AX573" t="str">
            <v/>
          </cell>
          <cell r="AY573" t="str">
            <v/>
          </cell>
          <cell r="AZ573" t="str">
            <v/>
          </cell>
          <cell r="BA573" t="str">
            <v/>
          </cell>
          <cell r="BB573" t="str">
            <v/>
          </cell>
          <cell r="BC573" t="str">
            <v/>
          </cell>
          <cell r="BD573" t="str">
            <v/>
          </cell>
          <cell r="BE573" t="str">
            <v/>
          </cell>
          <cell r="BF573" t="str">
            <v/>
          </cell>
          <cell r="BG573" t="str">
            <v/>
          </cell>
          <cell r="BH573" t="str">
            <v/>
          </cell>
          <cell r="BI573" t="str">
            <v/>
          </cell>
          <cell r="BJ573" t="str">
            <v/>
          </cell>
        </row>
        <row r="574">
          <cell r="A574" t="str">
            <v>RX3</v>
          </cell>
          <cell r="B574" t="str">
            <v>Q10</v>
          </cell>
          <cell r="C574" t="str">
            <v/>
          </cell>
          <cell r="D574" t="str">
            <v/>
          </cell>
          <cell r="E574" t="str">
            <v/>
          </cell>
          <cell r="F574" t="str">
            <v/>
          </cell>
          <cell r="G574" t="str">
            <v/>
          </cell>
          <cell r="H574" t="str">
            <v/>
          </cell>
          <cell r="J574" t="str">
            <v/>
          </cell>
          <cell r="K574" t="str">
            <v/>
          </cell>
          <cell r="L574" t="str">
            <v/>
          </cell>
          <cell r="M574" t="str">
            <v/>
          </cell>
          <cell r="N574" t="str">
            <v/>
          </cell>
          <cell r="Q574" t="str">
            <v/>
          </cell>
          <cell r="R574" t="str">
            <v/>
          </cell>
          <cell r="S574" t="str">
            <v/>
          </cell>
          <cell r="X574" t="str">
            <v/>
          </cell>
          <cell r="Y574" t="str">
            <v/>
          </cell>
          <cell r="Z574" t="str">
            <v/>
          </cell>
          <cell r="AB574" t="str">
            <v/>
          </cell>
          <cell r="AD574" t="str">
            <v/>
          </cell>
          <cell r="AE574" t="str">
            <v/>
          </cell>
          <cell r="AF574" t="str">
            <v/>
          </cell>
          <cell r="AG574" t="str">
            <v/>
          </cell>
          <cell r="AH574" t="str">
            <v/>
          </cell>
          <cell r="AI574" t="str">
            <v/>
          </cell>
          <cell r="AJ574" t="str">
            <v/>
          </cell>
          <cell r="AK574" t="str">
            <v/>
          </cell>
          <cell r="AL574" t="str">
            <v/>
          </cell>
          <cell r="AM574" t="str">
            <v/>
          </cell>
          <cell r="AN574" t="str">
            <v/>
          </cell>
          <cell r="AO574" t="str">
            <v/>
          </cell>
          <cell r="AQ574" t="str">
            <v/>
          </cell>
          <cell r="AR574" t="str">
            <v/>
          </cell>
          <cell r="AS574" t="str">
            <v/>
          </cell>
          <cell r="AU574" t="str">
            <v/>
          </cell>
          <cell r="AV574" t="str">
            <v/>
          </cell>
          <cell r="AW574" t="str">
            <v/>
          </cell>
          <cell r="AX574" t="str">
            <v/>
          </cell>
          <cell r="AY574" t="str">
            <v/>
          </cell>
          <cell r="AZ574" t="str">
            <v/>
          </cell>
          <cell r="BA574" t="str">
            <v/>
          </cell>
          <cell r="BB574" t="str">
            <v/>
          </cell>
          <cell r="BC574" t="str">
            <v/>
          </cell>
          <cell r="BD574" t="str">
            <v/>
          </cell>
          <cell r="BE574" t="str">
            <v/>
          </cell>
          <cell r="BF574" t="str">
            <v/>
          </cell>
          <cell r="BG574" t="str">
            <v/>
          </cell>
          <cell r="BH574" t="str">
            <v/>
          </cell>
          <cell r="BI574" t="str">
            <v/>
          </cell>
          <cell r="BJ574" t="str">
            <v/>
          </cell>
        </row>
        <row r="575">
          <cell r="A575" t="str">
            <v>RX4</v>
          </cell>
          <cell r="B575" t="str">
            <v>Q09</v>
          </cell>
          <cell r="C575" t="str">
            <v/>
          </cell>
          <cell r="D575" t="str">
            <v/>
          </cell>
          <cell r="E575" t="str">
            <v/>
          </cell>
          <cell r="F575" t="str">
            <v/>
          </cell>
          <cell r="G575" t="str">
            <v/>
          </cell>
          <cell r="H575" t="str">
            <v/>
          </cell>
          <cell r="J575" t="str">
            <v/>
          </cell>
          <cell r="K575" t="str">
            <v/>
          </cell>
          <cell r="L575" t="str">
            <v/>
          </cell>
          <cell r="M575" t="str">
            <v/>
          </cell>
          <cell r="N575" t="str">
            <v/>
          </cell>
          <cell r="Q575" t="str">
            <v/>
          </cell>
          <cell r="R575" t="str">
            <v/>
          </cell>
          <cell r="S575" t="str">
            <v/>
          </cell>
          <cell r="X575" t="str">
            <v/>
          </cell>
          <cell r="Y575" t="str">
            <v/>
          </cell>
          <cell r="Z575" t="str">
            <v/>
          </cell>
          <cell r="AB575" t="str">
            <v/>
          </cell>
          <cell r="AD575" t="str">
            <v/>
          </cell>
          <cell r="AE575" t="str">
            <v/>
          </cell>
          <cell r="AF575" t="str">
            <v/>
          </cell>
          <cell r="AG575" t="str">
            <v/>
          </cell>
          <cell r="AH575" t="str">
            <v/>
          </cell>
          <cell r="AI575" t="str">
            <v/>
          </cell>
          <cell r="AJ575" t="str">
            <v/>
          </cell>
          <cell r="AK575" t="str">
            <v/>
          </cell>
          <cell r="AL575" t="str">
            <v/>
          </cell>
          <cell r="AM575" t="str">
            <v/>
          </cell>
          <cell r="AN575" t="str">
            <v/>
          </cell>
          <cell r="AO575" t="str">
            <v/>
          </cell>
          <cell r="AQ575" t="str">
            <v/>
          </cell>
          <cell r="AR575" t="str">
            <v/>
          </cell>
          <cell r="AS575" t="str">
            <v/>
          </cell>
          <cell r="AU575" t="str">
            <v/>
          </cell>
          <cell r="AV575" t="str">
            <v/>
          </cell>
          <cell r="AW575" t="str">
            <v/>
          </cell>
          <cell r="AX575" t="str">
            <v/>
          </cell>
          <cell r="AY575" t="str">
            <v/>
          </cell>
          <cell r="AZ575" t="str">
            <v/>
          </cell>
          <cell r="BA575" t="str">
            <v/>
          </cell>
          <cell r="BB575" t="str">
            <v/>
          </cell>
          <cell r="BC575" t="str">
            <v/>
          </cell>
          <cell r="BD575" t="str">
            <v/>
          </cell>
          <cell r="BE575" t="str">
            <v/>
          </cell>
          <cell r="BF575" t="str">
            <v/>
          </cell>
          <cell r="BG575" t="str">
            <v/>
          </cell>
          <cell r="BH575" t="str">
            <v/>
          </cell>
          <cell r="BI575" t="str">
            <v/>
          </cell>
          <cell r="BJ575" t="str">
            <v/>
          </cell>
        </row>
        <row r="576">
          <cell r="A576" t="str">
            <v>RX5</v>
          </cell>
          <cell r="B576" t="str">
            <v>Q20</v>
          </cell>
          <cell r="C576" t="str">
            <v/>
          </cell>
          <cell r="D576" t="str">
            <v/>
          </cell>
          <cell r="E576" t="str">
            <v/>
          </cell>
          <cell r="F576" t="str">
            <v/>
          </cell>
          <cell r="G576" t="str">
            <v/>
          </cell>
          <cell r="H576" t="str">
            <v/>
          </cell>
          <cell r="J576" t="str">
            <v/>
          </cell>
          <cell r="K576" t="str">
            <v/>
          </cell>
          <cell r="L576" t="str">
            <v/>
          </cell>
          <cell r="M576" t="str">
            <v/>
          </cell>
          <cell r="N576" t="str">
            <v/>
          </cell>
          <cell r="Q576" t="str">
            <v/>
          </cell>
          <cell r="R576" t="str">
            <v/>
          </cell>
          <cell r="S576" t="str">
            <v/>
          </cell>
          <cell r="X576" t="str">
            <v/>
          </cell>
          <cell r="Y576" t="str">
            <v/>
          </cell>
          <cell r="Z576" t="str">
            <v/>
          </cell>
          <cell r="AB576" t="str">
            <v/>
          </cell>
          <cell r="AD576" t="str">
            <v/>
          </cell>
          <cell r="AE576" t="str">
            <v/>
          </cell>
          <cell r="AF576" t="str">
            <v/>
          </cell>
          <cell r="AG576" t="str">
            <v/>
          </cell>
          <cell r="AH576" t="str">
            <v/>
          </cell>
          <cell r="AI576" t="str">
            <v/>
          </cell>
          <cell r="AJ576" t="str">
            <v/>
          </cell>
          <cell r="AK576" t="str">
            <v/>
          </cell>
          <cell r="AL576" t="str">
            <v/>
          </cell>
          <cell r="AM576" t="str">
            <v/>
          </cell>
          <cell r="AN576" t="str">
            <v/>
          </cell>
          <cell r="AO576" t="str">
            <v/>
          </cell>
          <cell r="AQ576" t="str">
            <v/>
          </cell>
          <cell r="AR576" t="str">
            <v/>
          </cell>
          <cell r="AS576" t="str">
            <v/>
          </cell>
          <cell r="AU576" t="str">
            <v/>
          </cell>
          <cell r="AV576" t="str">
            <v/>
          </cell>
          <cell r="AW576" t="str">
            <v/>
          </cell>
          <cell r="AX576" t="str">
            <v/>
          </cell>
          <cell r="AY576" t="str">
            <v/>
          </cell>
          <cell r="AZ576" t="str">
            <v/>
          </cell>
          <cell r="BA576" t="str">
            <v/>
          </cell>
          <cell r="BB576" t="str">
            <v/>
          </cell>
          <cell r="BC576" t="str">
            <v/>
          </cell>
          <cell r="BD576" t="str">
            <v/>
          </cell>
          <cell r="BE576" t="str">
            <v/>
          </cell>
          <cell r="BF576" t="str">
            <v/>
          </cell>
          <cell r="BG576" t="str">
            <v/>
          </cell>
          <cell r="BH576" t="str">
            <v/>
          </cell>
          <cell r="BI576" t="str">
            <v/>
          </cell>
          <cell r="BJ576" t="str">
            <v/>
          </cell>
        </row>
        <row r="577">
          <cell r="A577" t="str">
            <v>RXA</v>
          </cell>
          <cell r="B577" t="str">
            <v>Q15</v>
          </cell>
          <cell r="C577" t="str">
            <v/>
          </cell>
          <cell r="D577" t="str">
            <v/>
          </cell>
          <cell r="E577" t="str">
            <v/>
          </cell>
          <cell r="F577" t="str">
            <v/>
          </cell>
          <cell r="G577" t="str">
            <v/>
          </cell>
          <cell r="H577" t="str">
            <v/>
          </cell>
          <cell r="J577" t="str">
            <v/>
          </cell>
          <cell r="K577" t="str">
            <v/>
          </cell>
          <cell r="L577" t="str">
            <v/>
          </cell>
          <cell r="M577" t="str">
            <v/>
          </cell>
          <cell r="N577" t="str">
            <v/>
          </cell>
          <cell r="Q577" t="str">
            <v/>
          </cell>
          <cell r="R577">
            <v>1</v>
          </cell>
          <cell r="S577" t="str">
            <v/>
          </cell>
          <cell r="X577" t="str">
            <v/>
          </cell>
          <cell r="Y577" t="str">
            <v/>
          </cell>
          <cell r="Z577" t="str">
            <v/>
          </cell>
          <cell r="AB577" t="str">
            <v/>
          </cell>
          <cell r="AD577" t="str">
            <v/>
          </cell>
          <cell r="AE577" t="str">
            <v/>
          </cell>
          <cell r="AF577" t="str">
            <v/>
          </cell>
          <cell r="AG577">
            <v>0</v>
          </cell>
          <cell r="AH577" t="str">
            <v/>
          </cell>
          <cell r="AI577" t="str">
            <v/>
          </cell>
          <cell r="AJ577" t="str">
            <v/>
          </cell>
          <cell r="AK577" t="str">
            <v/>
          </cell>
          <cell r="AL577" t="str">
            <v/>
          </cell>
          <cell r="AM577" t="str">
            <v/>
          </cell>
          <cell r="AN577" t="str">
            <v/>
          </cell>
          <cell r="AO577">
            <v>38</v>
          </cell>
          <cell r="AQ577" t="str">
            <v/>
          </cell>
          <cell r="AR577" t="str">
            <v/>
          </cell>
          <cell r="AS577" t="str">
            <v/>
          </cell>
          <cell r="AU577" t="str">
            <v/>
          </cell>
          <cell r="AV577" t="str">
            <v/>
          </cell>
          <cell r="AW577" t="str">
            <v/>
          </cell>
          <cell r="AX577" t="str">
            <v/>
          </cell>
          <cell r="AY577" t="str">
            <v/>
          </cell>
          <cell r="AZ577" t="str">
            <v/>
          </cell>
          <cell r="BA577" t="str">
            <v/>
          </cell>
          <cell r="BB577" t="str">
            <v/>
          </cell>
          <cell r="BC577" t="str">
            <v/>
          </cell>
          <cell r="BD577" t="str">
            <v/>
          </cell>
          <cell r="BE577" t="str">
            <v/>
          </cell>
          <cell r="BF577" t="str">
            <v/>
          </cell>
          <cell r="BG577" t="str">
            <v/>
          </cell>
          <cell r="BH577" t="str">
            <v/>
          </cell>
          <cell r="BI577" t="str">
            <v/>
          </cell>
          <cell r="BJ577" t="str">
            <v/>
          </cell>
        </row>
        <row r="578">
          <cell r="A578" t="str">
            <v>RXC</v>
          </cell>
          <cell r="B578" t="str">
            <v>Q19</v>
          </cell>
          <cell r="C578" t="str">
            <v/>
          </cell>
          <cell r="D578" t="str">
            <v/>
          </cell>
          <cell r="E578">
            <v>0.9839269768826272</v>
          </cell>
          <cell r="F578" t="str">
            <v/>
          </cell>
          <cell r="G578" t="str">
            <v/>
          </cell>
          <cell r="H578" t="str">
            <v/>
          </cell>
          <cell r="J578" t="str">
            <v/>
          </cell>
          <cell r="K578" t="str">
            <v/>
          </cell>
          <cell r="L578" t="str">
            <v/>
          </cell>
          <cell r="M578">
            <v>5113</v>
          </cell>
          <cell r="N578" t="str">
            <v/>
          </cell>
          <cell r="Q578">
            <v>1</v>
          </cell>
          <cell r="R578">
            <v>1</v>
          </cell>
          <cell r="S578" t="str">
            <v/>
          </cell>
          <cell r="X578" t="str">
            <v/>
          </cell>
          <cell r="Y578" t="str">
            <v/>
          </cell>
          <cell r="Z578" t="str">
            <v/>
          </cell>
          <cell r="AB578">
            <v>0.8968481375358166</v>
          </cell>
          <cell r="AD578" t="str">
            <v/>
          </cell>
          <cell r="AE578" t="str">
            <v/>
          </cell>
          <cell r="AF578" t="str">
            <v/>
          </cell>
          <cell r="AG578">
            <v>6.8688260969446358E-2</v>
          </cell>
          <cell r="AH578">
            <v>5.333333333333333</v>
          </cell>
          <cell r="AI578" t="str">
            <v/>
          </cell>
          <cell r="AJ578" t="str">
            <v/>
          </cell>
          <cell r="AK578" t="str">
            <v/>
          </cell>
          <cell r="AL578" t="str">
            <v/>
          </cell>
          <cell r="AM578" t="str">
            <v/>
          </cell>
          <cell r="AN578" t="str">
            <v/>
          </cell>
          <cell r="AO578">
            <v>-4864</v>
          </cell>
          <cell r="AQ578" t="str">
            <v/>
          </cell>
          <cell r="AR578" t="str">
            <v/>
          </cell>
          <cell r="AS578" t="str">
            <v/>
          </cell>
          <cell r="AU578" t="str">
            <v/>
          </cell>
          <cell r="AV578" t="str">
            <v/>
          </cell>
          <cell r="AW578" t="str">
            <v/>
          </cell>
          <cell r="AX578" t="str">
            <v/>
          </cell>
          <cell r="AY578" t="str">
            <v/>
          </cell>
          <cell r="AZ578" t="str">
            <v/>
          </cell>
          <cell r="BA578" t="str">
            <v/>
          </cell>
          <cell r="BB578" t="str">
            <v/>
          </cell>
          <cell r="BC578" t="str">
            <v/>
          </cell>
          <cell r="BD578" t="str">
            <v/>
          </cell>
          <cell r="BE578" t="str">
            <v/>
          </cell>
          <cell r="BF578" t="str">
            <v/>
          </cell>
          <cell r="BG578" t="str">
            <v/>
          </cell>
          <cell r="BH578" t="str">
            <v/>
          </cell>
          <cell r="BI578" t="str">
            <v/>
          </cell>
          <cell r="BJ578" t="str">
            <v/>
          </cell>
        </row>
        <row r="579">
          <cell r="A579" t="str">
            <v>RXD</v>
          </cell>
          <cell r="B579" t="str">
            <v>Q19</v>
          </cell>
          <cell r="J579" t="str">
            <v/>
          </cell>
          <cell r="K579" t="str">
            <v/>
          </cell>
          <cell r="L579" t="str">
            <v/>
          </cell>
          <cell r="Q579" t="str">
            <v/>
          </cell>
          <cell r="R579" t="str">
            <v/>
          </cell>
          <cell r="AH579" t="str">
            <v/>
          </cell>
          <cell r="AK579" t="str">
            <v/>
          </cell>
          <cell r="AO579">
            <v>1330</v>
          </cell>
        </row>
        <row r="580">
          <cell r="A580" t="str">
            <v>RXE</v>
          </cell>
          <cell r="B580" t="str">
            <v>Q23</v>
          </cell>
          <cell r="C580" t="str">
            <v/>
          </cell>
          <cell r="D580" t="str">
            <v/>
          </cell>
          <cell r="E580" t="str">
            <v/>
          </cell>
          <cell r="F580" t="str">
            <v/>
          </cell>
          <cell r="G580" t="str">
            <v/>
          </cell>
          <cell r="H580" t="str">
            <v/>
          </cell>
          <cell r="J580" t="str">
            <v/>
          </cell>
          <cell r="K580" t="str">
            <v/>
          </cell>
          <cell r="L580" t="str">
            <v/>
          </cell>
          <cell r="M580">
            <v>1</v>
          </cell>
          <cell r="N580" t="str">
            <v/>
          </cell>
          <cell r="Q580">
            <v>1</v>
          </cell>
          <cell r="R580">
            <v>1</v>
          </cell>
          <cell r="S580" t="str">
            <v/>
          </cell>
          <cell r="X580" t="str">
            <v/>
          </cell>
          <cell r="Y580" t="str">
            <v/>
          </cell>
          <cell r="Z580" t="str">
            <v/>
          </cell>
          <cell r="AB580" t="str">
            <v/>
          </cell>
          <cell r="AD580" t="str">
            <v/>
          </cell>
          <cell r="AE580" t="str">
            <v/>
          </cell>
          <cell r="AF580" t="str">
            <v/>
          </cell>
          <cell r="AG580">
            <v>0</v>
          </cell>
          <cell r="AH580" t="str">
            <v/>
          </cell>
          <cell r="AI580" t="str">
            <v/>
          </cell>
          <cell r="AJ580" t="str">
            <v/>
          </cell>
          <cell r="AK580" t="str">
            <v/>
          </cell>
          <cell r="AL580" t="str">
            <v/>
          </cell>
          <cell r="AM580" t="str">
            <v/>
          </cell>
          <cell r="AN580" t="str">
            <v/>
          </cell>
          <cell r="AO580">
            <v>349</v>
          </cell>
          <cell r="AQ580" t="str">
            <v/>
          </cell>
          <cell r="AR580" t="str">
            <v/>
          </cell>
          <cell r="AS580" t="str">
            <v/>
          </cell>
          <cell r="AU580" t="str">
            <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row>
        <row r="581">
          <cell r="A581" t="str">
            <v>RXF</v>
          </cell>
          <cell r="B581" t="str">
            <v>Q12</v>
          </cell>
          <cell r="C581" t="str">
            <v/>
          </cell>
          <cell r="D581" t="str">
            <v/>
          </cell>
          <cell r="E581">
            <v>0.99311264163519219</v>
          </cell>
          <cell r="F581" t="str">
            <v/>
          </cell>
          <cell r="G581" t="str">
            <v/>
          </cell>
          <cell r="H581" t="str">
            <v/>
          </cell>
          <cell r="J581" t="str">
            <v/>
          </cell>
          <cell r="K581" t="str">
            <v/>
          </cell>
          <cell r="L581" t="str">
            <v/>
          </cell>
          <cell r="M581">
            <v>9046</v>
          </cell>
          <cell r="N581" t="str">
            <v/>
          </cell>
          <cell r="Q581">
            <v>0.82666070230373523</v>
          </cell>
          <cell r="R581">
            <v>0.9552696078431373</v>
          </cell>
          <cell r="S581" t="str">
            <v/>
          </cell>
          <cell r="X581" t="str">
            <v/>
          </cell>
          <cell r="Y581" t="str">
            <v/>
          </cell>
          <cell r="Z581" t="str">
            <v/>
          </cell>
          <cell r="AB581">
            <v>0.94029850746268662</v>
          </cell>
          <cell r="AD581" t="str">
            <v/>
          </cell>
          <cell r="AE581" t="str">
            <v/>
          </cell>
          <cell r="AF581" t="str">
            <v/>
          </cell>
          <cell r="AG581">
            <v>1.9795103316548011E-2</v>
          </cell>
          <cell r="AH581">
            <v>5</v>
          </cell>
          <cell r="AI581" t="str">
            <v/>
          </cell>
          <cell r="AJ581" t="str">
            <v/>
          </cell>
          <cell r="AK581" t="str">
            <v/>
          </cell>
          <cell r="AL581" t="str">
            <v/>
          </cell>
          <cell r="AM581" t="str">
            <v/>
          </cell>
          <cell r="AN581" t="str">
            <v/>
          </cell>
          <cell r="AO581">
            <v>-14589</v>
          </cell>
          <cell r="AQ581" t="str">
            <v/>
          </cell>
          <cell r="AR581" t="str">
            <v/>
          </cell>
          <cell r="AS581" t="str">
            <v/>
          </cell>
          <cell r="AU581" t="str">
            <v/>
          </cell>
          <cell r="AV581" t="str">
            <v/>
          </cell>
          <cell r="AW581" t="str">
            <v/>
          </cell>
          <cell r="AX581" t="str">
            <v/>
          </cell>
          <cell r="AY581" t="str">
            <v/>
          </cell>
          <cell r="AZ581" t="str">
            <v/>
          </cell>
          <cell r="BA581" t="str">
            <v/>
          </cell>
          <cell r="BB581" t="str">
            <v/>
          </cell>
          <cell r="BC581" t="str">
            <v/>
          </cell>
          <cell r="BD581" t="str">
            <v/>
          </cell>
          <cell r="BE581" t="str">
            <v/>
          </cell>
          <cell r="BF581" t="str">
            <v/>
          </cell>
          <cell r="BG581" t="str">
            <v/>
          </cell>
          <cell r="BH581" t="str">
            <v/>
          </cell>
          <cell r="BI581" t="str">
            <v/>
          </cell>
          <cell r="BJ581" t="str">
            <v/>
          </cell>
        </row>
        <row r="582">
          <cell r="A582" t="str">
            <v>RXG</v>
          </cell>
          <cell r="B582" t="str">
            <v>Q12</v>
          </cell>
          <cell r="C582" t="str">
            <v/>
          </cell>
          <cell r="D582" t="str">
            <v/>
          </cell>
          <cell r="E582" t="str">
            <v/>
          </cell>
          <cell r="F582" t="str">
            <v/>
          </cell>
          <cell r="G582" t="str">
            <v/>
          </cell>
          <cell r="H582" t="str">
            <v/>
          </cell>
          <cell r="J582" t="str">
            <v/>
          </cell>
          <cell r="K582" t="str">
            <v/>
          </cell>
          <cell r="L582" t="str">
            <v/>
          </cell>
          <cell r="M582" t="str">
            <v/>
          </cell>
          <cell r="N582" t="str">
            <v/>
          </cell>
          <cell r="Q582" t="str">
            <v/>
          </cell>
          <cell r="R582" t="str">
            <v/>
          </cell>
          <cell r="S582" t="str">
            <v/>
          </cell>
          <cell r="X582" t="str">
            <v/>
          </cell>
          <cell r="Y582" t="str">
            <v/>
          </cell>
          <cell r="Z582" t="str">
            <v/>
          </cell>
          <cell r="AB582" t="str">
            <v/>
          </cell>
          <cell r="AD582" t="str">
            <v/>
          </cell>
          <cell r="AE582" t="str">
            <v/>
          </cell>
          <cell r="AF582" t="str">
            <v/>
          </cell>
          <cell r="AG582">
            <v>0</v>
          </cell>
          <cell r="AH582" t="str">
            <v/>
          </cell>
          <cell r="AI582" t="str">
            <v/>
          </cell>
          <cell r="AJ582" t="str">
            <v/>
          </cell>
          <cell r="AK582" t="str">
            <v/>
          </cell>
          <cell r="AL582" t="str">
            <v/>
          </cell>
          <cell r="AM582" t="str">
            <v/>
          </cell>
          <cell r="AN582" t="str">
            <v/>
          </cell>
          <cell r="AO582">
            <v>172</v>
          </cell>
          <cell r="AQ582" t="str">
            <v/>
          </cell>
          <cell r="AR582" t="str">
            <v/>
          </cell>
          <cell r="AS582" t="str">
            <v/>
          </cell>
          <cell r="AU582" t="str">
            <v/>
          </cell>
          <cell r="AV582" t="str">
            <v/>
          </cell>
          <cell r="AW582" t="str">
            <v/>
          </cell>
          <cell r="AX582" t="str">
            <v/>
          </cell>
          <cell r="AY582" t="str">
            <v/>
          </cell>
          <cell r="AZ582" t="str">
            <v/>
          </cell>
          <cell r="BA582" t="str">
            <v/>
          </cell>
          <cell r="BB582" t="str">
            <v/>
          </cell>
          <cell r="BC582" t="str">
            <v/>
          </cell>
          <cell r="BD582" t="str">
            <v/>
          </cell>
          <cell r="BE582" t="str">
            <v/>
          </cell>
          <cell r="BF582" t="str">
            <v/>
          </cell>
          <cell r="BG582" t="str">
            <v/>
          </cell>
          <cell r="BH582" t="str">
            <v/>
          </cell>
          <cell r="BI582" t="str">
            <v/>
          </cell>
          <cell r="BJ582" t="str">
            <v/>
          </cell>
        </row>
        <row r="583">
          <cell r="A583" t="str">
            <v>RXH</v>
          </cell>
          <cell r="B583" t="str">
            <v>Q19</v>
          </cell>
          <cell r="C583" t="str">
            <v/>
          </cell>
          <cell r="D583" t="str">
            <v/>
          </cell>
          <cell r="E583">
            <v>0.92274464196710415</v>
          </cell>
          <cell r="F583" t="str">
            <v/>
          </cell>
          <cell r="G583" t="str">
            <v/>
          </cell>
          <cell r="H583" t="str">
            <v/>
          </cell>
          <cell r="J583" t="str">
            <v/>
          </cell>
          <cell r="K583" t="str">
            <v/>
          </cell>
          <cell r="L583" t="str">
            <v/>
          </cell>
          <cell r="M583">
            <v>6517</v>
          </cell>
          <cell r="N583" t="str">
            <v/>
          </cell>
          <cell r="Q583">
            <v>1</v>
          </cell>
          <cell r="R583">
            <v>1</v>
          </cell>
          <cell r="S583" t="str">
            <v/>
          </cell>
          <cell r="X583" t="str">
            <v/>
          </cell>
          <cell r="Y583" t="str">
            <v/>
          </cell>
          <cell r="Z583" t="str">
            <v/>
          </cell>
          <cell r="AB583">
            <v>1</v>
          </cell>
          <cell r="AD583" t="str">
            <v/>
          </cell>
          <cell r="AE583" t="str">
            <v/>
          </cell>
          <cell r="AF583" t="str">
            <v/>
          </cell>
          <cell r="AG583">
            <v>2.0441347270615563E-2</v>
          </cell>
          <cell r="AH583">
            <v>14</v>
          </cell>
          <cell r="AI583" t="str">
            <v/>
          </cell>
          <cell r="AJ583" t="str">
            <v/>
          </cell>
          <cell r="AK583" t="str">
            <v/>
          </cell>
          <cell r="AL583" t="str">
            <v/>
          </cell>
          <cell r="AM583" t="str">
            <v/>
          </cell>
          <cell r="AN583" t="str">
            <v/>
          </cell>
          <cell r="AO583">
            <v>-11290</v>
          </cell>
          <cell r="AQ583" t="str">
            <v/>
          </cell>
          <cell r="AR583" t="str">
            <v/>
          </cell>
          <cell r="AS583" t="str">
            <v/>
          </cell>
          <cell r="AU583" t="str">
            <v/>
          </cell>
          <cell r="AV583" t="str">
            <v/>
          </cell>
          <cell r="AW583" t="str">
            <v/>
          </cell>
          <cell r="AX583" t="str">
            <v/>
          </cell>
          <cell r="AY583" t="str">
            <v/>
          </cell>
          <cell r="AZ583" t="str">
            <v/>
          </cell>
          <cell r="BA583" t="str">
            <v/>
          </cell>
          <cell r="BB583" t="str">
            <v/>
          </cell>
          <cell r="BC583" t="str">
            <v/>
          </cell>
          <cell r="BD583" t="str">
            <v/>
          </cell>
          <cell r="BE583" t="str">
            <v/>
          </cell>
          <cell r="BF583" t="str">
            <v/>
          </cell>
          <cell r="BG583" t="str">
            <v/>
          </cell>
          <cell r="BH583" t="str">
            <v/>
          </cell>
          <cell r="BI583" t="str">
            <v/>
          </cell>
          <cell r="BJ583" t="str">
            <v/>
          </cell>
        </row>
        <row r="584">
          <cell r="A584" t="str">
            <v>RXJ</v>
          </cell>
          <cell r="B584" t="str">
            <v>Q18</v>
          </cell>
          <cell r="J584" t="str">
            <v/>
          </cell>
          <cell r="K584" t="str">
            <v/>
          </cell>
          <cell r="L584" t="str">
            <v/>
          </cell>
          <cell r="Q584" t="str">
            <v/>
          </cell>
          <cell r="R584" t="str">
            <v/>
          </cell>
          <cell r="AH584" t="str">
            <v/>
          </cell>
          <cell r="AK584" t="str">
            <v/>
          </cell>
          <cell r="AO584">
            <v>-210</v>
          </cell>
        </row>
        <row r="585">
          <cell r="A585" t="str">
            <v>RXK</v>
          </cell>
          <cell r="B585" t="str">
            <v>Q27</v>
          </cell>
          <cell r="C585" t="str">
            <v/>
          </cell>
          <cell r="D585" t="str">
            <v/>
          </cell>
          <cell r="E585">
            <v>0.97571267816954244</v>
          </cell>
          <cell r="F585" t="str">
            <v/>
          </cell>
          <cell r="G585" t="str">
            <v/>
          </cell>
          <cell r="H585" t="str">
            <v/>
          </cell>
          <cell r="J585" t="str">
            <v/>
          </cell>
          <cell r="K585" t="str">
            <v/>
          </cell>
          <cell r="L585" t="str">
            <v/>
          </cell>
          <cell r="M585">
            <v>5670</v>
          </cell>
          <cell r="N585" t="str">
            <v/>
          </cell>
          <cell r="Q585">
            <v>1</v>
          </cell>
          <cell r="R585">
            <v>1</v>
          </cell>
          <cell r="S585" t="str">
            <v/>
          </cell>
          <cell r="X585" t="str">
            <v/>
          </cell>
          <cell r="Y585" t="str">
            <v/>
          </cell>
          <cell r="Z585" t="str">
            <v/>
          </cell>
          <cell r="AB585">
            <v>1</v>
          </cell>
          <cell r="AD585" t="str">
            <v/>
          </cell>
          <cell r="AE585" t="str">
            <v/>
          </cell>
          <cell r="AF585" t="str">
            <v/>
          </cell>
          <cell r="AG585">
            <v>4.3780032034169782E-2</v>
          </cell>
          <cell r="AH585">
            <v>10.333333333333334</v>
          </cell>
          <cell r="AI585" t="str">
            <v/>
          </cell>
          <cell r="AJ585" t="str">
            <v/>
          </cell>
          <cell r="AK585" t="str">
            <v/>
          </cell>
          <cell r="AL585" t="str">
            <v/>
          </cell>
          <cell r="AM585" t="str">
            <v/>
          </cell>
          <cell r="AN585" t="str">
            <v/>
          </cell>
          <cell r="AO585">
            <v>-5737</v>
          </cell>
          <cell r="AQ585" t="str">
            <v/>
          </cell>
          <cell r="AR585" t="str">
            <v/>
          </cell>
          <cell r="AS585" t="str">
            <v/>
          </cell>
          <cell r="AU585" t="str">
            <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row>
        <row r="586">
          <cell r="A586" t="str">
            <v>RXL</v>
          </cell>
          <cell r="B586" t="str">
            <v>Q13</v>
          </cell>
          <cell r="C586" t="str">
            <v/>
          </cell>
          <cell r="D586" t="str">
            <v/>
          </cell>
          <cell r="E586">
            <v>0.9916397945778096</v>
          </cell>
          <cell r="F586" t="str">
            <v/>
          </cell>
          <cell r="G586" t="str">
            <v/>
          </cell>
          <cell r="H586" t="str">
            <v/>
          </cell>
          <cell r="J586" t="str">
            <v/>
          </cell>
          <cell r="K586" t="str">
            <v/>
          </cell>
          <cell r="L586" t="str">
            <v/>
          </cell>
          <cell r="M586">
            <v>4964</v>
          </cell>
          <cell r="N586" t="str">
            <v/>
          </cell>
          <cell r="Q586">
            <v>0.98582261787009562</v>
          </cell>
          <cell r="R586">
            <v>1</v>
          </cell>
          <cell r="S586" t="str">
            <v/>
          </cell>
          <cell r="X586" t="str">
            <v/>
          </cell>
          <cell r="Y586" t="str">
            <v/>
          </cell>
          <cell r="Z586" t="str">
            <v/>
          </cell>
          <cell r="AB586">
            <v>1</v>
          </cell>
          <cell r="AD586" t="str">
            <v/>
          </cell>
          <cell r="AE586" t="str">
            <v/>
          </cell>
          <cell r="AF586" t="str">
            <v/>
          </cell>
          <cell r="AG586">
            <v>1.5695744038635679E-2</v>
          </cell>
          <cell r="AH586">
            <v>5</v>
          </cell>
          <cell r="AI586" t="str">
            <v/>
          </cell>
          <cell r="AJ586" t="str">
            <v/>
          </cell>
          <cell r="AK586" t="str">
            <v/>
          </cell>
          <cell r="AL586" t="str">
            <v/>
          </cell>
          <cell r="AM586" t="str">
            <v/>
          </cell>
          <cell r="AN586" t="str">
            <v/>
          </cell>
          <cell r="AO586">
            <v>23</v>
          </cell>
          <cell r="AQ586" t="str">
            <v/>
          </cell>
          <cell r="AR586" t="str">
            <v/>
          </cell>
          <cell r="AS586" t="str">
            <v/>
          </cell>
          <cell r="AU586" t="str">
            <v/>
          </cell>
          <cell r="AV586" t="str">
            <v/>
          </cell>
          <cell r="AW586" t="str">
            <v/>
          </cell>
          <cell r="AX586" t="str">
            <v/>
          </cell>
          <cell r="AY586" t="str">
            <v/>
          </cell>
          <cell r="AZ586" t="str">
            <v/>
          </cell>
          <cell r="BA586" t="str">
            <v/>
          </cell>
          <cell r="BB586" t="str">
            <v/>
          </cell>
          <cell r="BC586" t="str">
            <v/>
          </cell>
          <cell r="BD586" t="str">
            <v/>
          </cell>
          <cell r="BE586" t="str">
            <v/>
          </cell>
          <cell r="BF586" t="str">
            <v/>
          </cell>
          <cell r="BG586" t="str">
            <v/>
          </cell>
          <cell r="BH586" t="str">
            <v/>
          </cell>
          <cell r="BI586" t="str">
            <v/>
          </cell>
          <cell r="BJ586" t="str">
            <v/>
          </cell>
        </row>
        <row r="587">
          <cell r="A587" t="str">
            <v>RXM</v>
          </cell>
          <cell r="B587" t="str">
            <v>Q24</v>
          </cell>
          <cell r="C587" t="str">
            <v/>
          </cell>
          <cell r="D587" t="str">
            <v/>
          </cell>
          <cell r="E587" t="str">
            <v/>
          </cell>
          <cell r="F587" t="str">
            <v/>
          </cell>
          <cell r="G587" t="str">
            <v/>
          </cell>
          <cell r="H587" t="str">
            <v/>
          </cell>
          <cell r="J587" t="str">
            <v/>
          </cell>
          <cell r="K587" t="str">
            <v/>
          </cell>
          <cell r="L587" t="str">
            <v/>
          </cell>
          <cell r="M587" t="str">
            <v/>
          </cell>
          <cell r="N587" t="str">
            <v/>
          </cell>
          <cell r="Q587" t="str">
            <v/>
          </cell>
          <cell r="R587">
            <v>1</v>
          </cell>
          <cell r="S587" t="str">
            <v/>
          </cell>
          <cell r="X587" t="str">
            <v/>
          </cell>
          <cell r="Y587" t="str">
            <v/>
          </cell>
          <cell r="Z587" t="str">
            <v/>
          </cell>
          <cell r="AB587" t="str">
            <v/>
          </cell>
          <cell r="AD587" t="str">
            <v/>
          </cell>
          <cell r="AE587" t="str">
            <v/>
          </cell>
          <cell r="AF587" t="str">
            <v/>
          </cell>
          <cell r="AG587">
            <v>0</v>
          </cell>
          <cell r="AH587" t="str">
            <v/>
          </cell>
          <cell r="AI587" t="str">
            <v/>
          </cell>
          <cell r="AJ587" t="str">
            <v/>
          </cell>
          <cell r="AK587" t="str">
            <v/>
          </cell>
          <cell r="AL587" t="str">
            <v/>
          </cell>
          <cell r="AM587" t="str">
            <v/>
          </cell>
          <cell r="AN587" t="str">
            <v/>
          </cell>
          <cell r="AO587">
            <v>0</v>
          </cell>
          <cell r="AQ587" t="str">
            <v/>
          </cell>
          <cell r="AR587" t="str">
            <v/>
          </cell>
          <cell r="AS587" t="str">
            <v/>
          </cell>
          <cell r="AU587" t="str">
            <v/>
          </cell>
          <cell r="AV587" t="str">
            <v/>
          </cell>
          <cell r="AW587" t="str">
            <v/>
          </cell>
          <cell r="AX587" t="str">
            <v/>
          </cell>
          <cell r="AY587" t="str">
            <v/>
          </cell>
          <cell r="AZ587" t="str">
            <v/>
          </cell>
          <cell r="BA587" t="str">
            <v/>
          </cell>
          <cell r="BB587" t="str">
            <v/>
          </cell>
          <cell r="BC587" t="str">
            <v/>
          </cell>
          <cell r="BD587" t="str">
            <v/>
          </cell>
          <cell r="BE587" t="str">
            <v/>
          </cell>
          <cell r="BF587" t="str">
            <v/>
          </cell>
          <cell r="BG587" t="str">
            <v/>
          </cell>
          <cell r="BH587" t="str">
            <v/>
          </cell>
          <cell r="BI587" t="str">
            <v/>
          </cell>
          <cell r="BJ587" t="str">
            <v/>
          </cell>
        </row>
        <row r="588">
          <cell r="A588" t="str">
            <v>RXN</v>
          </cell>
          <cell r="B588" t="str">
            <v>Q13</v>
          </cell>
          <cell r="C588" t="str">
            <v/>
          </cell>
          <cell r="D588" t="str">
            <v/>
          </cell>
          <cell r="E588">
            <v>0.96471247199402543</v>
          </cell>
          <cell r="F588" t="str">
            <v/>
          </cell>
          <cell r="G588" t="str">
            <v/>
          </cell>
          <cell r="H588" t="str">
            <v/>
          </cell>
          <cell r="J588" t="str">
            <v/>
          </cell>
          <cell r="K588" t="str">
            <v/>
          </cell>
          <cell r="L588" t="str">
            <v/>
          </cell>
          <cell r="M588">
            <v>8098</v>
          </cell>
          <cell r="N588" t="str">
            <v/>
          </cell>
          <cell r="Q588">
            <v>0.95588734306073975</v>
          </cell>
          <cell r="R588">
            <v>1</v>
          </cell>
          <cell r="S588" t="str">
            <v/>
          </cell>
          <cell r="X588" t="str">
            <v/>
          </cell>
          <cell r="Y588" t="str">
            <v/>
          </cell>
          <cell r="Z588" t="str">
            <v/>
          </cell>
          <cell r="AB588">
            <v>1</v>
          </cell>
          <cell r="AD588" t="str">
            <v/>
          </cell>
          <cell r="AE588" t="str">
            <v/>
          </cell>
          <cell r="AF588" t="str">
            <v/>
          </cell>
          <cell r="AG588">
            <v>1.4876801487680148E-2</v>
          </cell>
          <cell r="AH588">
            <v>6</v>
          </cell>
          <cell r="AI588" t="str">
            <v/>
          </cell>
          <cell r="AJ588" t="str">
            <v/>
          </cell>
          <cell r="AK588" t="str">
            <v/>
          </cell>
          <cell r="AL588" t="str">
            <v/>
          </cell>
          <cell r="AM588" t="str">
            <v/>
          </cell>
          <cell r="AN588" t="str">
            <v/>
          </cell>
          <cell r="AO588" t="str">
            <v/>
          </cell>
          <cell r="AQ588" t="str">
            <v/>
          </cell>
          <cell r="AR588" t="str">
            <v/>
          </cell>
          <cell r="AS588" t="str">
            <v/>
          </cell>
          <cell r="AU588" t="str">
            <v/>
          </cell>
          <cell r="AV588" t="str">
            <v/>
          </cell>
          <cell r="AW588" t="str">
            <v/>
          </cell>
          <cell r="AX588" t="str">
            <v/>
          </cell>
          <cell r="AY588" t="str">
            <v/>
          </cell>
          <cell r="AZ588" t="str">
            <v/>
          </cell>
          <cell r="BA588" t="str">
            <v/>
          </cell>
          <cell r="BB588" t="str">
            <v/>
          </cell>
          <cell r="BC588" t="str">
            <v/>
          </cell>
          <cell r="BD588" t="str">
            <v/>
          </cell>
          <cell r="BE588" t="str">
            <v/>
          </cell>
          <cell r="BF588" t="str">
            <v/>
          </cell>
          <cell r="BG588" t="str">
            <v/>
          </cell>
          <cell r="BH588" t="str">
            <v/>
          </cell>
          <cell r="BI588" t="str">
            <v/>
          </cell>
          <cell r="BJ588" t="str">
            <v/>
          </cell>
        </row>
        <row r="589">
          <cell r="A589" t="str">
            <v>RXP</v>
          </cell>
          <cell r="B589" t="str">
            <v>Q10</v>
          </cell>
          <cell r="C589" t="str">
            <v/>
          </cell>
          <cell r="D589" t="str">
            <v/>
          </cell>
          <cell r="E589">
            <v>0.98339147580767483</v>
          </cell>
          <cell r="F589" t="str">
            <v/>
          </cell>
          <cell r="G589" t="str">
            <v/>
          </cell>
          <cell r="H589" t="str">
            <v/>
          </cell>
          <cell r="J589" t="str">
            <v/>
          </cell>
          <cell r="K589" t="str">
            <v/>
          </cell>
          <cell r="L589" t="str">
            <v/>
          </cell>
          <cell r="M589">
            <v>4809</v>
          </cell>
          <cell r="N589" t="str">
            <v/>
          </cell>
          <cell r="Q589">
            <v>1</v>
          </cell>
          <cell r="R589">
            <v>1</v>
          </cell>
          <cell r="S589" t="str">
            <v/>
          </cell>
          <cell r="X589" t="str">
            <v/>
          </cell>
          <cell r="Y589" t="str">
            <v/>
          </cell>
          <cell r="Z589" t="str">
            <v/>
          </cell>
          <cell r="AB589">
            <v>1</v>
          </cell>
          <cell r="AD589" t="str">
            <v/>
          </cell>
          <cell r="AE589" t="str">
            <v/>
          </cell>
          <cell r="AF589" t="str">
            <v/>
          </cell>
          <cell r="AG589">
            <v>2.8946782453796484E-3</v>
          </cell>
          <cell r="AH589">
            <v>4.333333333333333</v>
          </cell>
          <cell r="AI589" t="str">
            <v/>
          </cell>
          <cell r="AJ589" t="str">
            <v/>
          </cell>
          <cell r="AK589" t="str">
            <v/>
          </cell>
          <cell r="AL589" t="str">
            <v/>
          </cell>
          <cell r="AM589" t="str">
            <v/>
          </cell>
          <cell r="AN589" t="str">
            <v/>
          </cell>
          <cell r="AO589">
            <v>114</v>
          </cell>
          <cell r="AQ589" t="str">
            <v/>
          </cell>
          <cell r="AR589" t="str">
            <v/>
          </cell>
          <cell r="AS589" t="str">
            <v/>
          </cell>
          <cell r="AU589" t="str">
            <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row>
        <row r="590">
          <cell r="A590" t="str">
            <v>RXQ</v>
          </cell>
          <cell r="B590" t="str">
            <v>Q16</v>
          </cell>
          <cell r="C590" t="str">
            <v/>
          </cell>
          <cell r="D590" t="str">
            <v/>
          </cell>
          <cell r="E590">
            <v>0.95485796996562333</v>
          </cell>
          <cell r="F590" t="str">
            <v/>
          </cell>
          <cell r="G590" t="str">
            <v/>
          </cell>
          <cell r="H590" t="str">
            <v/>
          </cell>
          <cell r="J590" t="str">
            <v/>
          </cell>
          <cell r="K590" t="str">
            <v/>
          </cell>
          <cell r="L590" t="str">
            <v/>
          </cell>
          <cell r="M590">
            <v>5517</v>
          </cell>
          <cell r="N590" t="str">
            <v/>
          </cell>
          <cell r="Q590">
            <v>1</v>
          </cell>
          <cell r="R590">
            <v>1</v>
          </cell>
          <cell r="S590" t="str">
            <v/>
          </cell>
          <cell r="X590" t="str">
            <v/>
          </cell>
          <cell r="Y590" t="str">
            <v/>
          </cell>
          <cell r="Z590" t="str">
            <v/>
          </cell>
          <cell r="AB590">
            <v>0.84074074074074079</v>
          </cell>
          <cell r="AD590" t="str">
            <v/>
          </cell>
          <cell r="AE590" t="str">
            <v/>
          </cell>
          <cell r="AF590" t="str">
            <v/>
          </cell>
          <cell r="AG590">
            <v>2.0469596628537028E-2</v>
          </cell>
          <cell r="AH590">
            <v>2.6666666666666665</v>
          </cell>
          <cell r="AI590" t="str">
            <v/>
          </cell>
          <cell r="AJ590" t="str">
            <v/>
          </cell>
          <cell r="AK590" t="str">
            <v/>
          </cell>
          <cell r="AL590" t="str">
            <v/>
          </cell>
          <cell r="AM590" t="str">
            <v/>
          </cell>
          <cell r="AN590" t="str">
            <v/>
          </cell>
          <cell r="AO590">
            <v>28</v>
          </cell>
          <cell r="AQ590" t="str">
            <v/>
          </cell>
          <cell r="AR590" t="str">
            <v/>
          </cell>
          <cell r="AS590" t="str">
            <v/>
          </cell>
          <cell r="AU590" t="str">
            <v/>
          </cell>
          <cell r="AV590" t="str">
            <v/>
          </cell>
          <cell r="AW590" t="str">
            <v/>
          </cell>
          <cell r="AX590" t="str">
            <v/>
          </cell>
          <cell r="AY590" t="str">
            <v/>
          </cell>
          <cell r="AZ590" t="str">
            <v/>
          </cell>
          <cell r="BA590" t="str">
            <v/>
          </cell>
          <cell r="BB590" t="str">
            <v/>
          </cell>
          <cell r="BC590" t="str">
            <v/>
          </cell>
          <cell r="BD590" t="str">
            <v/>
          </cell>
          <cell r="BE590" t="str">
            <v/>
          </cell>
          <cell r="BF590" t="str">
            <v/>
          </cell>
          <cell r="BG590" t="str">
            <v/>
          </cell>
          <cell r="BH590" t="str">
            <v/>
          </cell>
          <cell r="BI590" t="str">
            <v/>
          </cell>
          <cell r="BJ590" t="str">
            <v/>
          </cell>
        </row>
        <row r="591">
          <cell r="A591" t="str">
            <v>RXR</v>
          </cell>
          <cell r="B591" t="str">
            <v>Q13</v>
          </cell>
          <cell r="C591" t="str">
            <v/>
          </cell>
          <cell r="D591" t="str">
            <v/>
          </cell>
          <cell r="E591">
            <v>0.95875198307773668</v>
          </cell>
          <cell r="F591" t="str">
            <v/>
          </cell>
          <cell r="G591" t="str">
            <v/>
          </cell>
          <cell r="H591" t="str">
            <v/>
          </cell>
          <cell r="J591" t="str">
            <v/>
          </cell>
          <cell r="K591" t="str">
            <v/>
          </cell>
          <cell r="L591" t="str">
            <v/>
          </cell>
          <cell r="M591">
            <v>5454</v>
          </cell>
          <cell r="N591" t="str">
            <v/>
          </cell>
          <cell r="Q591">
            <v>1</v>
          </cell>
          <cell r="R591">
            <v>1</v>
          </cell>
          <cell r="S591" t="str">
            <v/>
          </cell>
          <cell r="X591" t="str">
            <v/>
          </cell>
          <cell r="Y591" t="str">
            <v/>
          </cell>
          <cell r="Z591" t="str">
            <v/>
          </cell>
          <cell r="AB591">
            <v>1</v>
          </cell>
          <cell r="AD591" t="str">
            <v/>
          </cell>
          <cell r="AE591" t="str">
            <v/>
          </cell>
          <cell r="AF591" t="str">
            <v/>
          </cell>
          <cell r="AG591">
            <v>1.9377447948876522E-2</v>
          </cell>
          <cell r="AH591">
            <v>3.6666666666666665</v>
          </cell>
          <cell r="AI591" t="str">
            <v/>
          </cell>
          <cell r="AJ591" t="str">
            <v/>
          </cell>
          <cell r="AK591" t="str">
            <v/>
          </cell>
          <cell r="AL591" t="str">
            <v/>
          </cell>
          <cell r="AM591" t="str">
            <v/>
          </cell>
          <cell r="AN591" t="str">
            <v/>
          </cell>
          <cell r="AO591">
            <v>153</v>
          </cell>
          <cell r="AQ591" t="str">
            <v/>
          </cell>
          <cell r="AR591" t="str">
            <v/>
          </cell>
          <cell r="AS591" t="str">
            <v/>
          </cell>
          <cell r="AU591" t="str">
            <v/>
          </cell>
          <cell r="AV591" t="str">
            <v/>
          </cell>
          <cell r="AW591" t="str">
            <v/>
          </cell>
          <cell r="AX591" t="str">
            <v/>
          </cell>
          <cell r="AY591" t="str">
            <v/>
          </cell>
          <cell r="AZ591" t="str">
            <v/>
          </cell>
          <cell r="BA591" t="str">
            <v/>
          </cell>
          <cell r="BB591" t="str">
            <v/>
          </cell>
          <cell r="BC591" t="str">
            <v/>
          </cell>
          <cell r="BD591" t="str">
            <v/>
          </cell>
          <cell r="BE591" t="str">
            <v/>
          </cell>
          <cell r="BF591" t="str">
            <v/>
          </cell>
          <cell r="BG591" t="str">
            <v/>
          </cell>
          <cell r="BH591" t="str">
            <v/>
          </cell>
          <cell r="BI591" t="str">
            <v/>
          </cell>
          <cell r="BJ591" t="str">
            <v/>
          </cell>
        </row>
        <row r="592">
          <cell r="A592" t="str">
            <v>RXT</v>
          </cell>
          <cell r="B592" t="str">
            <v>Q27</v>
          </cell>
          <cell r="C592" t="str">
            <v/>
          </cell>
          <cell r="D592" t="str">
            <v/>
          </cell>
          <cell r="E592" t="str">
            <v/>
          </cell>
          <cell r="F592" t="str">
            <v/>
          </cell>
          <cell r="G592" t="str">
            <v/>
          </cell>
          <cell r="H592" t="str">
            <v/>
          </cell>
          <cell r="J592" t="str">
            <v/>
          </cell>
          <cell r="K592" t="str">
            <v/>
          </cell>
          <cell r="L592" t="str">
            <v/>
          </cell>
          <cell r="M592" t="str">
            <v/>
          </cell>
          <cell r="N592" t="str">
            <v/>
          </cell>
          <cell r="Q592" t="str">
            <v/>
          </cell>
          <cell r="R592">
            <v>1</v>
          </cell>
          <cell r="S592" t="str">
            <v/>
          </cell>
          <cell r="X592" t="str">
            <v/>
          </cell>
          <cell r="Y592" t="str">
            <v/>
          </cell>
          <cell r="Z592" t="str">
            <v/>
          </cell>
          <cell r="AB592" t="str">
            <v/>
          </cell>
          <cell r="AD592" t="str">
            <v/>
          </cell>
          <cell r="AE592" t="str">
            <v/>
          </cell>
          <cell r="AF592" t="str">
            <v/>
          </cell>
          <cell r="AG592">
            <v>0</v>
          </cell>
          <cell r="AH592" t="str">
            <v/>
          </cell>
          <cell r="AI592" t="str">
            <v/>
          </cell>
          <cell r="AJ592" t="str">
            <v/>
          </cell>
          <cell r="AK592" t="str">
            <v/>
          </cell>
          <cell r="AL592" t="str">
            <v/>
          </cell>
          <cell r="AM592" t="str">
            <v/>
          </cell>
          <cell r="AN592" t="str">
            <v/>
          </cell>
          <cell r="AO592">
            <v>0</v>
          </cell>
          <cell r="AQ592" t="str">
            <v/>
          </cell>
          <cell r="AR592" t="str">
            <v/>
          </cell>
          <cell r="AS592" t="str">
            <v/>
          </cell>
          <cell r="AU592" t="str">
            <v/>
          </cell>
          <cell r="AV592" t="str">
            <v/>
          </cell>
          <cell r="AW592" t="str">
            <v/>
          </cell>
          <cell r="AX592" t="str">
            <v/>
          </cell>
          <cell r="AY592" t="str">
            <v/>
          </cell>
          <cell r="AZ592" t="str">
            <v/>
          </cell>
          <cell r="BA592" t="str">
            <v/>
          </cell>
          <cell r="BB592" t="str">
            <v/>
          </cell>
          <cell r="BC592" t="str">
            <v/>
          </cell>
          <cell r="BD592" t="str">
            <v/>
          </cell>
          <cell r="BE592" t="str">
            <v/>
          </cell>
          <cell r="BF592" t="str">
            <v/>
          </cell>
          <cell r="BG592" t="str">
            <v/>
          </cell>
          <cell r="BH592" t="str">
            <v/>
          </cell>
          <cell r="BI592" t="str">
            <v/>
          </cell>
          <cell r="BJ592" t="str">
            <v/>
          </cell>
        </row>
        <row r="593">
          <cell r="A593" t="str">
            <v>RXV</v>
          </cell>
          <cell r="B593" t="str">
            <v>Q14</v>
          </cell>
          <cell r="C593" t="str">
            <v/>
          </cell>
          <cell r="D593" t="str">
            <v/>
          </cell>
          <cell r="E593" t="str">
            <v/>
          </cell>
          <cell r="F593" t="str">
            <v/>
          </cell>
          <cell r="G593" t="str">
            <v/>
          </cell>
          <cell r="H593" t="str">
            <v/>
          </cell>
          <cell r="J593" t="str">
            <v/>
          </cell>
          <cell r="K593" t="str">
            <v/>
          </cell>
          <cell r="L593" t="str">
            <v/>
          </cell>
          <cell r="M593">
            <v>50</v>
          </cell>
          <cell r="N593" t="str">
            <v/>
          </cell>
          <cell r="Q593" t="str">
            <v/>
          </cell>
          <cell r="R593">
            <v>1</v>
          </cell>
          <cell r="S593" t="str">
            <v/>
          </cell>
          <cell r="X593" t="str">
            <v/>
          </cell>
          <cell r="Y593" t="str">
            <v/>
          </cell>
          <cell r="Z593" t="str">
            <v/>
          </cell>
          <cell r="AB593" t="str">
            <v/>
          </cell>
          <cell r="AD593" t="str">
            <v/>
          </cell>
          <cell r="AE593" t="str">
            <v/>
          </cell>
          <cell r="AF593" t="str">
            <v/>
          </cell>
          <cell r="AG593">
            <v>0</v>
          </cell>
          <cell r="AH593" t="str">
            <v/>
          </cell>
          <cell r="AI593" t="str">
            <v/>
          </cell>
          <cell r="AJ593" t="str">
            <v/>
          </cell>
          <cell r="AK593" t="str">
            <v/>
          </cell>
          <cell r="AL593" t="str">
            <v/>
          </cell>
          <cell r="AM593" t="str">
            <v/>
          </cell>
          <cell r="AN593" t="str">
            <v/>
          </cell>
          <cell r="AO593">
            <v>271</v>
          </cell>
          <cell r="AQ593" t="str">
            <v/>
          </cell>
          <cell r="AR593" t="str">
            <v/>
          </cell>
          <cell r="AS593" t="str">
            <v/>
          </cell>
          <cell r="AU593" t="str">
            <v/>
          </cell>
          <cell r="AV593" t="str">
            <v/>
          </cell>
          <cell r="AW593" t="str">
            <v/>
          </cell>
          <cell r="AX593" t="str">
            <v/>
          </cell>
          <cell r="AY593" t="str">
            <v/>
          </cell>
          <cell r="AZ593" t="str">
            <v/>
          </cell>
          <cell r="BA593" t="str">
            <v/>
          </cell>
          <cell r="BB593" t="str">
            <v/>
          </cell>
          <cell r="BC593" t="str">
            <v/>
          </cell>
          <cell r="BD593" t="str">
            <v/>
          </cell>
          <cell r="BE593" t="str">
            <v/>
          </cell>
          <cell r="BF593" t="str">
            <v/>
          </cell>
          <cell r="BG593" t="str">
            <v/>
          </cell>
          <cell r="BH593" t="str">
            <v/>
          </cell>
          <cell r="BI593" t="str">
            <v/>
          </cell>
          <cell r="BJ593" t="str">
            <v/>
          </cell>
        </row>
        <row r="594">
          <cell r="A594" t="str">
            <v>RXW</v>
          </cell>
          <cell r="B594" t="str">
            <v>Q26</v>
          </cell>
          <cell r="C594" t="str">
            <v/>
          </cell>
          <cell r="D594" t="str">
            <v/>
          </cell>
          <cell r="E594">
            <v>0.98445330878592618</v>
          </cell>
          <cell r="F594" t="str">
            <v/>
          </cell>
          <cell r="G594" t="str">
            <v/>
          </cell>
          <cell r="H594" t="str">
            <v/>
          </cell>
          <cell r="J594" t="str">
            <v/>
          </cell>
          <cell r="K594" t="str">
            <v/>
          </cell>
          <cell r="L594" t="str">
            <v/>
          </cell>
          <cell r="M594">
            <v>4981</v>
          </cell>
          <cell r="N594" t="str">
            <v/>
          </cell>
          <cell r="Q594">
            <v>1</v>
          </cell>
          <cell r="R594">
            <v>1</v>
          </cell>
          <cell r="S594" t="str">
            <v/>
          </cell>
          <cell r="X594" t="str">
            <v/>
          </cell>
          <cell r="Y594" t="str">
            <v/>
          </cell>
          <cell r="Z594" t="str">
            <v/>
          </cell>
          <cell r="AB594">
            <v>1</v>
          </cell>
          <cell r="AD594" t="str">
            <v/>
          </cell>
          <cell r="AE594" t="str">
            <v/>
          </cell>
          <cell r="AF594" t="str">
            <v/>
          </cell>
          <cell r="AG594">
            <v>1.0540915395284327E-2</v>
          </cell>
          <cell r="AH594">
            <v>3</v>
          </cell>
          <cell r="AI594" t="str">
            <v/>
          </cell>
          <cell r="AJ594" t="str">
            <v/>
          </cell>
          <cell r="AK594" t="str">
            <v/>
          </cell>
          <cell r="AL594" t="str">
            <v/>
          </cell>
          <cell r="AM594" t="str">
            <v/>
          </cell>
          <cell r="AN594" t="str">
            <v/>
          </cell>
          <cell r="AO594">
            <v>-12142</v>
          </cell>
          <cell r="AQ594" t="str">
            <v/>
          </cell>
          <cell r="AR594" t="str">
            <v/>
          </cell>
          <cell r="AS594" t="str">
            <v/>
          </cell>
          <cell r="AU594" t="str">
            <v/>
          </cell>
          <cell r="AV594" t="str">
            <v/>
          </cell>
          <cell r="AW594" t="str">
            <v/>
          </cell>
          <cell r="AX594" t="str">
            <v/>
          </cell>
          <cell r="AY594" t="str">
            <v/>
          </cell>
          <cell r="AZ594" t="str">
            <v/>
          </cell>
          <cell r="BA594" t="str">
            <v/>
          </cell>
          <cell r="BB594" t="str">
            <v/>
          </cell>
          <cell r="BC594" t="str">
            <v/>
          </cell>
          <cell r="BD594" t="str">
            <v/>
          </cell>
          <cell r="BE594" t="str">
            <v/>
          </cell>
          <cell r="BF594" t="str">
            <v/>
          </cell>
          <cell r="BG594" t="str">
            <v/>
          </cell>
          <cell r="BH594" t="str">
            <v/>
          </cell>
          <cell r="BI594" t="str">
            <v/>
          </cell>
          <cell r="BJ594" t="str">
            <v/>
          </cell>
        </row>
        <row r="595">
          <cell r="A595" t="str">
            <v>RXX</v>
          </cell>
          <cell r="B595" t="str">
            <v>Q19</v>
          </cell>
          <cell r="C595" t="str">
            <v/>
          </cell>
          <cell r="D595" t="str">
            <v/>
          </cell>
          <cell r="E595" t="str">
            <v/>
          </cell>
          <cell r="F595" t="str">
            <v/>
          </cell>
          <cell r="G595" t="str">
            <v/>
          </cell>
          <cell r="H595" t="str">
            <v/>
          </cell>
          <cell r="J595" t="str">
            <v/>
          </cell>
          <cell r="K595" t="str">
            <v/>
          </cell>
          <cell r="L595" t="str">
            <v/>
          </cell>
          <cell r="M595" t="str">
            <v/>
          </cell>
          <cell r="N595" t="str">
            <v/>
          </cell>
          <cell r="Q595" t="str">
            <v/>
          </cell>
          <cell r="R595">
            <v>1</v>
          </cell>
          <cell r="S595" t="str">
            <v/>
          </cell>
          <cell r="X595" t="str">
            <v/>
          </cell>
          <cell r="Y595" t="str">
            <v/>
          </cell>
          <cell r="Z595" t="str">
            <v/>
          </cell>
          <cell r="AB595" t="str">
            <v/>
          </cell>
          <cell r="AD595" t="str">
            <v/>
          </cell>
          <cell r="AE595" t="str">
            <v/>
          </cell>
          <cell r="AF595" t="str">
            <v/>
          </cell>
          <cell r="AG595">
            <v>0</v>
          </cell>
          <cell r="AH595" t="str">
            <v/>
          </cell>
          <cell r="AI595" t="str">
            <v/>
          </cell>
          <cell r="AJ595" t="str">
            <v/>
          </cell>
          <cell r="AK595" t="str">
            <v/>
          </cell>
          <cell r="AL595" t="str">
            <v/>
          </cell>
          <cell r="AM595" t="str">
            <v/>
          </cell>
          <cell r="AN595" t="str">
            <v/>
          </cell>
          <cell r="AO595">
            <v>70</v>
          </cell>
          <cell r="AQ595" t="str">
            <v/>
          </cell>
          <cell r="AR595" t="str">
            <v/>
          </cell>
          <cell r="AS595" t="str">
            <v/>
          </cell>
          <cell r="AU595" t="str">
            <v/>
          </cell>
          <cell r="AV595" t="str">
            <v/>
          </cell>
          <cell r="AW595" t="str">
            <v/>
          </cell>
          <cell r="AX595" t="str">
            <v/>
          </cell>
          <cell r="AY595" t="str">
            <v/>
          </cell>
          <cell r="AZ595" t="str">
            <v/>
          </cell>
          <cell r="BA595" t="str">
            <v/>
          </cell>
          <cell r="BB595" t="str">
            <v/>
          </cell>
          <cell r="BC595" t="str">
            <v/>
          </cell>
          <cell r="BD595" t="str">
            <v/>
          </cell>
          <cell r="BE595" t="str">
            <v/>
          </cell>
          <cell r="BF595" t="str">
            <v/>
          </cell>
          <cell r="BG595" t="str">
            <v/>
          </cell>
          <cell r="BH595" t="str">
            <v/>
          </cell>
          <cell r="BI595" t="str">
            <v/>
          </cell>
          <cell r="BJ595" t="str">
            <v/>
          </cell>
        </row>
        <row r="596">
          <cell r="A596" t="str">
            <v>RXY</v>
          </cell>
          <cell r="B596" t="str">
            <v>Q18</v>
          </cell>
          <cell r="C596" t="str">
            <v/>
          </cell>
          <cell r="D596" t="str">
            <v/>
          </cell>
          <cell r="E596" t="str">
            <v/>
          </cell>
          <cell r="F596" t="str">
            <v/>
          </cell>
          <cell r="G596" t="str">
            <v/>
          </cell>
          <cell r="H596" t="str">
            <v/>
          </cell>
          <cell r="J596" t="str">
            <v/>
          </cell>
          <cell r="K596" t="str">
            <v/>
          </cell>
          <cell r="L596" t="str">
            <v/>
          </cell>
          <cell r="M596" t="str">
            <v/>
          </cell>
          <cell r="N596" t="str">
            <v/>
          </cell>
          <cell r="Q596" t="str">
            <v/>
          </cell>
          <cell r="R596" t="str">
            <v/>
          </cell>
          <cell r="S596" t="str">
            <v/>
          </cell>
          <cell r="X596" t="str">
            <v/>
          </cell>
          <cell r="Y596" t="str">
            <v/>
          </cell>
          <cell r="Z596" t="str">
            <v/>
          </cell>
          <cell r="AB596" t="str">
            <v/>
          </cell>
          <cell r="AD596" t="str">
            <v/>
          </cell>
          <cell r="AE596" t="str">
            <v/>
          </cell>
          <cell r="AF596" t="str">
            <v/>
          </cell>
          <cell r="AG596" t="str">
            <v/>
          </cell>
          <cell r="AH596" t="str">
            <v/>
          </cell>
          <cell r="AI596" t="str">
            <v/>
          </cell>
          <cell r="AJ596" t="str">
            <v/>
          </cell>
          <cell r="AK596" t="str">
            <v/>
          </cell>
          <cell r="AL596" t="str">
            <v/>
          </cell>
          <cell r="AM596" t="str">
            <v/>
          </cell>
          <cell r="AN596" t="str">
            <v/>
          </cell>
          <cell r="AO596" t="str">
            <v/>
          </cell>
          <cell r="AQ596" t="str">
            <v/>
          </cell>
          <cell r="AR596" t="str">
            <v/>
          </cell>
          <cell r="AS596" t="str">
            <v/>
          </cell>
          <cell r="AU596" t="str">
            <v/>
          </cell>
          <cell r="AV596" t="str">
            <v/>
          </cell>
          <cell r="AW596" t="str">
            <v/>
          </cell>
          <cell r="AX596" t="str">
            <v/>
          </cell>
          <cell r="AY596" t="str">
            <v/>
          </cell>
          <cell r="AZ596" t="str">
            <v/>
          </cell>
          <cell r="BA596" t="str">
            <v/>
          </cell>
          <cell r="BB596" t="str">
            <v/>
          </cell>
          <cell r="BC596" t="str">
            <v/>
          </cell>
          <cell r="BD596" t="str">
            <v/>
          </cell>
          <cell r="BE596" t="str">
            <v/>
          </cell>
          <cell r="BF596" t="str">
            <v/>
          </cell>
          <cell r="BG596" t="str">
            <v/>
          </cell>
          <cell r="BH596" t="str">
            <v/>
          </cell>
          <cell r="BI596" t="str">
            <v/>
          </cell>
          <cell r="BJ596" t="str">
            <v/>
          </cell>
        </row>
        <row r="597">
          <cell r="A597" t="str">
            <v>TAA</v>
          </cell>
          <cell r="B597" t="str">
            <v>Q14</v>
          </cell>
          <cell r="C597" t="str">
            <v/>
          </cell>
          <cell r="D597" t="str">
            <v/>
          </cell>
          <cell r="E597" t="str">
            <v/>
          </cell>
          <cell r="F597" t="str">
            <v/>
          </cell>
          <cell r="G597" t="str">
            <v/>
          </cell>
          <cell r="H597" t="str">
            <v/>
          </cell>
          <cell r="J597" t="str">
            <v/>
          </cell>
          <cell r="K597" t="str">
            <v/>
          </cell>
          <cell r="L597" t="str">
            <v/>
          </cell>
          <cell r="M597" t="str">
            <v/>
          </cell>
          <cell r="N597" t="str">
            <v/>
          </cell>
          <cell r="Q597" t="str">
            <v/>
          </cell>
          <cell r="R597" t="str">
            <v/>
          </cell>
          <cell r="S597" t="str">
            <v/>
          </cell>
          <cell r="X597" t="str">
            <v/>
          </cell>
          <cell r="Y597" t="str">
            <v/>
          </cell>
          <cell r="Z597" t="str">
            <v/>
          </cell>
          <cell r="AB597" t="str">
            <v/>
          </cell>
          <cell r="AD597" t="str">
            <v/>
          </cell>
          <cell r="AE597" t="str">
            <v/>
          </cell>
          <cell r="AF597" t="str">
            <v/>
          </cell>
          <cell r="AG597" t="str">
            <v/>
          </cell>
          <cell r="AH597" t="str">
            <v/>
          </cell>
          <cell r="AI597" t="str">
            <v/>
          </cell>
          <cell r="AJ597" t="str">
            <v/>
          </cell>
          <cell r="AK597" t="str">
            <v/>
          </cell>
          <cell r="AL597" t="str">
            <v/>
          </cell>
          <cell r="AM597" t="str">
            <v/>
          </cell>
          <cell r="AN597" t="str">
            <v/>
          </cell>
          <cell r="AO597" t="str">
            <v/>
          </cell>
          <cell r="AQ597" t="str">
            <v/>
          </cell>
          <cell r="AR597" t="str">
            <v/>
          </cell>
          <cell r="AS597" t="str">
            <v/>
          </cell>
          <cell r="AU597" t="str">
            <v/>
          </cell>
          <cell r="AV597" t="str">
            <v/>
          </cell>
          <cell r="AW597" t="str">
            <v/>
          </cell>
          <cell r="AX597" t="str">
            <v/>
          </cell>
          <cell r="AY597" t="str">
            <v/>
          </cell>
          <cell r="AZ597" t="str">
            <v/>
          </cell>
          <cell r="BA597" t="str">
            <v/>
          </cell>
          <cell r="BB597" t="str">
            <v/>
          </cell>
          <cell r="BC597" t="str">
            <v/>
          </cell>
          <cell r="BD597" t="str">
            <v/>
          </cell>
          <cell r="BE597" t="str">
            <v/>
          </cell>
          <cell r="BF597" t="str">
            <v/>
          </cell>
          <cell r="BG597" t="str">
            <v/>
          </cell>
          <cell r="BH597" t="str">
            <v/>
          </cell>
          <cell r="BI597" t="str">
            <v/>
          </cell>
          <cell r="BJ597" t="str">
            <v/>
          </cell>
        </row>
        <row r="598">
          <cell r="A598" t="str">
            <v>TAC</v>
          </cell>
          <cell r="B598" t="str">
            <v>Q09</v>
          </cell>
          <cell r="C598" t="str">
            <v/>
          </cell>
          <cell r="D598" t="str">
            <v/>
          </cell>
          <cell r="E598" t="str">
            <v/>
          </cell>
          <cell r="F598">
            <v>1</v>
          </cell>
          <cell r="G598">
            <v>1</v>
          </cell>
          <cell r="H598">
            <v>0</v>
          </cell>
          <cell r="J598">
            <v>0</v>
          </cell>
          <cell r="K598">
            <v>99</v>
          </cell>
          <cell r="L598">
            <v>542</v>
          </cell>
          <cell r="M598" t="str">
            <v/>
          </cell>
          <cell r="N598">
            <v>0</v>
          </cell>
          <cell r="Q598" t="str">
            <v/>
          </cell>
          <cell r="R598">
            <v>1</v>
          </cell>
          <cell r="S598">
            <v>50</v>
          </cell>
          <cell r="X598">
            <v>1</v>
          </cell>
          <cell r="Y598">
            <v>0.99319727891156462</v>
          </cell>
          <cell r="Z598">
            <v>0.97674418604651159</v>
          </cell>
          <cell r="AA598">
            <v>0</v>
          </cell>
          <cell r="AB598" t="str">
            <v/>
          </cell>
          <cell r="AD598">
            <v>100</v>
          </cell>
          <cell r="AE598">
            <v>1033</v>
          </cell>
          <cell r="AF598">
            <v>0.8220425407925408</v>
          </cell>
          <cell r="AG598">
            <v>0</v>
          </cell>
          <cell r="AH598" t="str">
            <v/>
          </cell>
          <cell r="AI598">
            <v>11</v>
          </cell>
          <cell r="AJ598">
            <v>45</v>
          </cell>
          <cell r="AK598">
            <v>941.74452382821698</v>
          </cell>
          <cell r="AL598" t="str">
            <v/>
          </cell>
          <cell r="AM598">
            <v>0.24643181563654915</v>
          </cell>
          <cell r="AN598">
            <v>0.41791044776119401</v>
          </cell>
          <cell r="AO598">
            <v>814</v>
          </cell>
          <cell r="AQ598">
            <v>62000</v>
          </cell>
          <cell r="AR598" t="str">
            <v/>
          </cell>
          <cell r="AS598">
            <v>32409</v>
          </cell>
          <cell r="AU598">
            <v>53580</v>
          </cell>
          <cell r="AV598" t="str">
            <v/>
          </cell>
          <cell r="AW598">
            <v>59537</v>
          </cell>
          <cell r="AX598" t="str">
            <v/>
          </cell>
          <cell r="AY598" t="str">
            <v/>
          </cell>
          <cell r="AZ598">
            <v>37310</v>
          </cell>
          <cell r="BA598" t="str">
            <v/>
          </cell>
          <cell r="BB598">
            <v>607.19880002600007</v>
          </cell>
          <cell r="BC598">
            <v>279</v>
          </cell>
          <cell r="BD598">
            <v>1018.3468000309999</v>
          </cell>
          <cell r="BE598" t="str">
            <v/>
          </cell>
          <cell r="BF598">
            <v>2248.4484000699999</v>
          </cell>
          <cell r="BG598" t="str">
            <v/>
          </cell>
          <cell r="BH598">
            <v>293</v>
          </cell>
          <cell r="BI598">
            <v>293</v>
          </cell>
          <cell r="BJ598">
            <v>36</v>
          </cell>
        </row>
        <row r="599">
          <cell r="A599" t="str">
            <v>TAD</v>
          </cell>
          <cell r="B599" t="str">
            <v>Q12</v>
          </cell>
          <cell r="C599" t="str">
            <v/>
          </cell>
          <cell r="D599" t="str">
            <v/>
          </cell>
          <cell r="E599" t="str">
            <v/>
          </cell>
          <cell r="F599" t="str">
            <v/>
          </cell>
          <cell r="G599" t="str">
            <v/>
          </cell>
          <cell r="H599" t="str">
            <v/>
          </cell>
          <cell r="J599" t="str">
            <v/>
          </cell>
          <cell r="K599" t="str">
            <v/>
          </cell>
          <cell r="L599" t="str">
            <v/>
          </cell>
          <cell r="M599" t="str">
            <v/>
          </cell>
          <cell r="N599" t="str">
            <v/>
          </cell>
          <cell r="Q599" t="str">
            <v/>
          </cell>
          <cell r="R599">
            <v>0.8</v>
          </cell>
          <cell r="S599" t="str">
            <v/>
          </cell>
          <cell r="X599" t="str">
            <v/>
          </cell>
          <cell r="Y599" t="str">
            <v/>
          </cell>
          <cell r="Z599" t="str">
            <v/>
          </cell>
          <cell r="AB599" t="str">
            <v/>
          </cell>
          <cell r="AD599" t="str">
            <v/>
          </cell>
          <cell r="AE599" t="str">
            <v/>
          </cell>
          <cell r="AF599" t="str">
            <v/>
          </cell>
          <cell r="AG599">
            <v>0</v>
          </cell>
          <cell r="AH599" t="str">
            <v/>
          </cell>
          <cell r="AI599" t="str">
            <v/>
          </cell>
          <cell r="AJ599" t="str">
            <v/>
          </cell>
          <cell r="AK599" t="str">
            <v/>
          </cell>
          <cell r="AL599" t="str">
            <v/>
          </cell>
          <cell r="AM599" t="str">
            <v/>
          </cell>
          <cell r="AN599" t="str">
            <v/>
          </cell>
          <cell r="AO599">
            <v>1992</v>
          </cell>
          <cell r="AQ599" t="str">
            <v/>
          </cell>
          <cell r="AR599" t="str">
            <v/>
          </cell>
          <cell r="AS599" t="str">
            <v/>
          </cell>
          <cell r="AU599" t="str">
            <v/>
          </cell>
          <cell r="AV599" t="str">
            <v/>
          </cell>
          <cell r="AW599" t="str">
            <v/>
          </cell>
          <cell r="AX599" t="str">
            <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row>
        <row r="600">
          <cell r="A600" t="str">
            <v>TAE</v>
          </cell>
          <cell r="B600" t="str">
            <v>Q14</v>
          </cell>
          <cell r="C600" t="str">
            <v/>
          </cell>
          <cell r="D600" t="str">
            <v/>
          </cell>
          <cell r="E600" t="str">
            <v/>
          </cell>
          <cell r="F600" t="str">
            <v/>
          </cell>
          <cell r="G600" t="str">
            <v/>
          </cell>
          <cell r="H600" t="str">
            <v/>
          </cell>
          <cell r="J600" t="str">
            <v/>
          </cell>
          <cell r="K600" t="str">
            <v/>
          </cell>
          <cell r="L600" t="str">
            <v/>
          </cell>
          <cell r="M600" t="str">
            <v/>
          </cell>
          <cell r="N600" t="str">
            <v/>
          </cell>
          <cell r="Q600" t="str">
            <v/>
          </cell>
          <cell r="R600">
            <v>1</v>
          </cell>
          <cell r="S600" t="str">
            <v/>
          </cell>
          <cell r="X600" t="str">
            <v/>
          </cell>
          <cell r="Y600" t="str">
            <v/>
          </cell>
          <cell r="Z600" t="str">
            <v/>
          </cell>
          <cell r="AB600" t="str">
            <v/>
          </cell>
          <cell r="AD600" t="str">
            <v/>
          </cell>
          <cell r="AE600" t="str">
            <v/>
          </cell>
          <cell r="AF600" t="str">
            <v/>
          </cell>
          <cell r="AG600">
            <v>0</v>
          </cell>
          <cell r="AH600" t="str">
            <v/>
          </cell>
          <cell r="AI600" t="str">
            <v/>
          </cell>
          <cell r="AJ600" t="str">
            <v/>
          </cell>
          <cell r="AK600" t="str">
            <v/>
          </cell>
          <cell r="AL600" t="str">
            <v/>
          </cell>
          <cell r="AM600" t="str">
            <v/>
          </cell>
          <cell r="AN600" t="str">
            <v/>
          </cell>
          <cell r="AO600">
            <v>66</v>
          </cell>
          <cell r="AQ600" t="str">
            <v/>
          </cell>
          <cell r="AR600" t="str">
            <v/>
          </cell>
          <cell r="AS600" t="str">
            <v/>
          </cell>
          <cell r="AU600" t="str">
            <v/>
          </cell>
          <cell r="AV600" t="str">
            <v/>
          </cell>
          <cell r="AW600" t="str">
            <v/>
          </cell>
          <cell r="AX600" t="str">
            <v/>
          </cell>
          <cell r="AY600" t="str">
            <v/>
          </cell>
          <cell r="AZ600" t="str">
            <v/>
          </cell>
          <cell r="BA600" t="str">
            <v/>
          </cell>
          <cell r="BB600" t="str">
            <v/>
          </cell>
          <cell r="BC600" t="str">
            <v/>
          </cell>
          <cell r="BD600" t="str">
            <v/>
          </cell>
          <cell r="BE600" t="str">
            <v/>
          </cell>
          <cell r="BF600" t="str">
            <v/>
          </cell>
          <cell r="BG600" t="str">
            <v/>
          </cell>
          <cell r="BH600" t="str">
            <v/>
          </cell>
          <cell r="BI600" t="str">
            <v/>
          </cell>
          <cell r="BJ600" t="str">
            <v/>
          </cell>
        </row>
        <row r="601">
          <cell r="A601" t="str">
            <v>TAF</v>
          </cell>
          <cell r="B601" t="str">
            <v>Q05</v>
          </cell>
          <cell r="C601" t="str">
            <v/>
          </cell>
          <cell r="D601" t="str">
            <v/>
          </cell>
          <cell r="E601" t="str">
            <v/>
          </cell>
          <cell r="F601" t="str">
            <v/>
          </cell>
          <cell r="G601" t="str">
            <v/>
          </cell>
          <cell r="H601" t="str">
            <v/>
          </cell>
          <cell r="J601" t="str">
            <v/>
          </cell>
          <cell r="K601" t="str">
            <v/>
          </cell>
          <cell r="L601" t="str">
            <v/>
          </cell>
          <cell r="M601" t="str">
            <v/>
          </cell>
          <cell r="N601" t="str">
            <v/>
          </cell>
          <cell r="Q601" t="str">
            <v/>
          </cell>
          <cell r="R601" t="str">
            <v/>
          </cell>
          <cell r="S601" t="str">
            <v/>
          </cell>
          <cell r="X601" t="str">
            <v/>
          </cell>
          <cell r="Y601" t="str">
            <v/>
          </cell>
          <cell r="Z601" t="str">
            <v/>
          </cell>
          <cell r="AB601" t="str">
            <v/>
          </cell>
          <cell r="AD601" t="str">
            <v/>
          </cell>
          <cell r="AE601" t="str">
            <v/>
          </cell>
          <cell r="AF601" t="str">
            <v/>
          </cell>
          <cell r="AG601">
            <v>0</v>
          </cell>
          <cell r="AH601" t="str">
            <v/>
          </cell>
          <cell r="AI601" t="str">
            <v/>
          </cell>
          <cell r="AJ601" t="str">
            <v/>
          </cell>
          <cell r="AK601" t="str">
            <v/>
          </cell>
          <cell r="AL601" t="str">
            <v/>
          </cell>
          <cell r="AM601" t="str">
            <v/>
          </cell>
          <cell r="AN601" t="str">
            <v/>
          </cell>
          <cell r="AO601">
            <v>2449</v>
          </cell>
          <cell r="AQ601" t="str">
            <v/>
          </cell>
          <cell r="AR601" t="str">
            <v/>
          </cell>
          <cell r="AS601" t="str">
            <v/>
          </cell>
          <cell r="AU601" t="str">
            <v/>
          </cell>
          <cell r="AV601" t="str">
            <v/>
          </cell>
          <cell r="AW601" t="str">
            <v/>
          </cell>
          <cell r="AX601" t="str">
            <v/>
          </cell>
          <cell r="AY601" t="str">
            <v/>
          </cell>
          <cell r="AZ601" t="str">
            <v/>
          </cell>
          <cell r="BA601" t="str">
            <v/>
          </cell>
          <cell r="BB601" t="str">
            <v/>
          </cell>
          <cell r="BC601" t="str">
            <v/>
          </cell>
          <cell r="BD601" t="str">
            <v/>
          </cell>
          <cell r="BE601" t="str">
            <v/>
          </cell>
          <cell r="BF601" t="str">
            <v/>
          </cell>
          <cell r="BG601" t="str">
            <v/>
          </cell>
          <cell r="BH601" t="str">
            <v/>
          </cell>
          <cell r="BI601" t="str">
            <v/>
          </cell>
          <cell r="BJ601" t="str">
            <v/>
          </cell>
        </row>
        <row r="602">
          <cell r="A602" t="str">
            <v>TAG</v>
          </cell>
          <cell r="B602" t="str">
            <v>Q03</v>
          </cell>
          <cell r="C602" t="str">
            <v/>
          </cell>
          <cell r="D602" t="str">
            <v/>
          </cell>
          <cell r="E602" t="str">
            <v/>
          </cell>
          <cell r="F602">
            <v>1</v>
          </cell>
          <cell r="G602">
            <v>1</v>
          </cell>
          <cell r="H602">
            <v>0</v>
          </cell>
          <cell r="J602">
            <v>0</v>
          </cell>
          <cell r="K602">
            <v>72.012</v>
          </cell>
          <cell r="L602">
            <v>155.754790649</v>
          </cell>
          <cell r="M602" t="str">
            <v/>
          </cell>
          <cell r="N602">
            <v>0</v>
          </cell>
          <cell r="Q602" t="str">
            <v/>
          </cell>
          <cell r="R602" t="str">
            <v/>
          </cell>
          <cell r="S602">
            <v>69</v>
          </cell>
          <cell r="X602">
            <v>1</v>
          </cell>
          <cell r="Y602">
            <v>1</v>
          </cell>
          <cell r="Z602">
            <v>1</v>
          </cell>
          <cell r="AA602">
            <v>0</v>
          </cell>
          <cell r="AB602" t="str">
            <v/>
          </cell>
          <cell r="AD602">
            <v>7</v>
          </cell>
          <cell r="AE602">
            <v>271</v>
          </cell>
          <cell r="AF602">
            <v>0.7993814432989691</v>
          </cell>
          <cell r="AG602">
            <v>0</v>
          </cell>
          <cell r="AH602" t="str">
            <v/>
          </cell>
          <cell r="AI602">
            <v>3</v>
          </cell>
          <cell r="AJ602">
            <v>35</v>
          </cell>
          <cell r="AK602">
            <v>781.99779668057283</v>
          </cell>
          <cell r="AL602" t="str">
            <v/>
          </cell>
          <cell r="AM602">
            <v>0.27932404666865795</v>
          </cell>
          <cell r="AN602">
            <v>0.5</v>
          </cell>
          <cell r="AO602">
            <v>-5156</v>
          </cell>
          <cell r="AQ602">
            <v>16925</v>
          </cell>
          <cell r="AR602" t="str">
            <v/>
          </cell>
          <cell r="AS602">
            <v>15158</v>
          </cell>
          <cell r="AU602">
            <v>18471</v>
          </cell>
          <cell r="AV602" t="str">
            <v/>
          </cell>
          <cell r="AW602">
            <v>10733</v>
          </cell>
          <cell r="AX602" t="str">
            <v/>
          </cell>
          <cell r="AY602" t="str">
            <v/>
          </cell>
          <cell r="AZ602">
            <v>11111</v>
          </cell>
          <cell r="BA602" t="str">
            <v/>
          </cell>
          <cell r="BB602">
            <v>262.33196800399998</v>
          </cell>
          <cell r="BC602" t="str">
            <v/>
          </cell>
          <cell r="BD602">
            <v>348.24694047399998</v>
          </cell>
          <cell r="BE602" t="str">
            <v/>
          </cell>
          <cell r="BF602">
            <v>599.76851403499995</v>
          </cell>
          <cell r="BG602" t="str">
            <v/>
          </cell>
          <cell r="BH602">
            <v>155</v>
          </cell>
          <cell r="BI602">
            <v>155</v>
          </cell>
          <cell r="BJ602">
            <v>0</v>
          </cell>
        </row>
        <row r="603">
          <cell r="A603" t="str">
            <v>TAH</v>
          </cell>
          <cell r="B603" t="str">
            <v>Q23</v>
          </cell>
          <cell r="C603" t="str">
            <v/>
          </cell>
          <cell r="D603" t="str">
            <v/>
          </cell>
          <cell r="E603" t="str">
            <v/>
          </cell>
          <cell r="F603" t="str">
            <v/>
          </cell>
          <cell r="G603" t="str">
            <v/>
          </cell>
          <cell r="H603" t="str">
            <v/>
          </cell>
          <cell r="J603" t="str">
            <v/>
          </cell>
          <cell r="K603" t="str">
            <v/>
          </cell>
          <cell r="L603" t="str">
            <v/>
          </cell>
          <cell r="M603">
            <v>0</v>
          </cell>
          <cell r="N603" t="str">
            <v/>
          </cell>
          <cell r="Q603" t="str">
            <v/>
          </cell>
          <cell r="R603" t="str">
            <v/>
          </cell>
          <cell r="S603" t="str">
            <v/>
          </cell>
          <cell r="X603" t="str">
            <v/>
          </cell>
          <cell r="Y603" t="str">
            <v/>
          </cell>
          <cell r="Z603" t="str">
            <v/>
          </cell>
          <cell r="AB603" t="str">
            <v/>
          </cell>
          <cell r="AD603" t="str">
            <v/>
          </cell>
          <cell r="AE603" t="str">
            <v/>
          </cell>
          <cell r="AF603" t="str">
            <v/>
          </cell>
          <cell r="AG603" t="str">
            <v/>
          </cell>
          <cell r="AH603" t="str">
            <v/>
          </cell>
          <cell r="AI603" t="str">
            <v/>
          </cell>
          <cell r="AJ603" t="str">
            <v/>
          </cell>
          <cell r="AK603" t="str">
            <v/>
          </cell>
          <cell r="AL603" t="str">
            <v/>
          </cell>
          <cell r="AM603" t="str">
            <v/>
          </cell>
          <cell r="AN603" t="str">
            <v/>
          </cell>
          <cell r="AO603">
            <v>570</v>
          </cell>
          <cell r="AQ603" t="str">
            <v/>
          </cell>
          <cell r="AR603" t="str">
            <v/>
          </cell>
          <cell r="AS603" t="str">
            <v/>
          </cell>
          <cell r="AU603" t="str">
            <v/>
          </cell>
          <cell r="AV603" t="str">
            <v/>
          </cell>
          <cell r="AW603" t="str">
            <v/>
          </cell>
          <cell r="AX603" t="str">
            <v/>
          </cell>
          <cell r="AY603" t="str">
            <v/>
          </cell>
          <cell r="AZ603" t="str">
            <v/>
          </cell>
          <cell r="BA603" t="str">
            <v/>
          </cell>
          <cell r="BB603" t="str">
            <v/>
          </cell>
          <cell r="BC603" t="str">
            <v/>
          </cell>
          <cell r="BD603" t="str">
            <v/>
          </cell>
          <cell r="BE603" t="str">
            <v/>
          </cell>
          <cell r="BF603" t="str">
            <v/>
          </cell>
          <cell r="BG603" t="str">
            <v/>
          </cell>
          <cell r="BH603" t="str">
            <v/>
          </cell>
          <cell r="BI603" t="str">
            <v/>
          </cell>
          <cell r="BJ603" t="str">
            <v/>
          </cell>
        </row>
        <row r="604">
          <cell r="A604" t="str">
            <v>TAJ</v>
          </cell>
          <cell r="B604" t="str">
            <v>Q27</v>
          </cell>
          <cell r="C604" t="str">
            <v/>
          </cell>
          <cell r="D604" t="str">
            <v/>
          </cell>
          <cell r="E604" t="str">
            <v/>
          </cell>
          <cell r="F604" t="str">
            <v/>
          </cell>
          <cell r="G604" t="str">
            <v/>
          </cell>
          <cell r="H604" t="str">
            <v/>
          </cell>
          <cell r="J604" t="str">
            <v/>
          </cell>
          <cell r="K604" t="str">
            <v/>
          </cell>
          <cell r="L604" t="str">
            <v/>
          </cell>
          <cell r="M604" t="str">
            <v/>
          </cell>
          <cell r="N604" t="str">
            <v/>
          </cell>
          <cell r="Q604" t="str">
            <v/>
          </cell>
          <cell r="R604">
            <v>1</v>
          </cell>
          <cell r="S604" t="str">
            <v/>
          </cell>
          <cell r="X604" t="str">
            <v/>
          </cell>
          <cell r="Y604" t="str">
            <v/>
          </cell>
          <cell r="Z604" t="str">
            <v/>
          </cell>
          <cell r="AB604" t="str">
            <v/>
          </cell>
          <cell r="AD604" t="str">
            <v/>
          </cell>
          <cell r="AE604" t="str">
            <v/>
          </cell>
          <cell r="AF604" t="str">
            <v/>
          </cell>
          <cell r="AG604" t="str">
            <v/>
          </cell>
          <cell r="AH604" t="str">
            <v/>
          </cell>
          <cell r="AI604" t="str">
            <v/>
          </cell>
          <cell r="AJ604" t="str">
            <v/>
          </cell>
          <cell r="AK604" t="str">
            <v/>
          </cell>
          <cell r="AL604" t="str">
            <v/>
          </cell>
          <cell r="AM604" t="str">
            <v/>
          </cell>
          <cell r="AN604" t="str">
            <v/>
          </cell>
          <cell r="AO604">
            <v>30</v>
          </cell>
          <cell r="AQ604" t="str">
            <v/>
          </cell>
          <cell r="AR604" t="str">
            <v/>
          </cell>
          <cell r="AS604" t="str">
            <v/>
          </cell>
          <cell r="AU604" t="str">
            <v/>
          </cell>
          <cell r="AV604" t="str">
            <v/>
          </cell>
          <cell r="AW604" t="str">
            <v/>
          </cell>
          <cell r="AX604" t="str">
            <v/>
          </cell>
          <cell r="AY604" t="str">
            <v/>
          </cell>
          <cell r="AZ604" t="str">
            <v/>
          </cell>
          <cell r="BA604" t="str">
            <v/>
          </cell>
          <cell r="BB604" t="str">
            <v/>
          </cell>
          <cell r="BC604" t="str">
            <v/>
          </cell>
          <cell r="BD604" t="str">
            <v/>
          </cell>
          <cell r="BE604" t="str">
            <v/>
          </cell>
          <cell r="BF604" t="str">
            <v/>
          </cell>
          <cell r="BG604" t="str">
            <v/>
          </cell>
          <cell r="BH604" t="str">
            <v/>
          </cell>
          <cell r="BI604" t="str">
            <v/>
          </cell>
          <cell r="BJ604" t="str">
            <v/>
          </cell>
        </row>
        <row r="605">
          <cell r="A605" t="str">
            <v>TAK</v>
          </cell>
          <cell r="B605" t="str">
            <v>Q07</v>
          </cell>
          <cell r="C605" t="str">
            <v/>
          </cell>
          <cell r="D605" t="str">
            <v/>
          </cell>
          <cell r="E605" t="str">
            <v/>
          </cell>
          <cell r="F605">
            <v>1</v>
          </cell>
          <cell r="G605">
            <v>1</v>
          </cell>
          <cell r="H605">
            <v>0</v>
          </cell>
          <cell r="J605">
            <v>0</v>
          </cell>
          <cell r="K605">
            <v>23.802600388999998</v>
          </cell>
          <cell r="L605">
            <v>409.44610196800005</v>
          </cell>
          <cell r="M605" t="str">
            <v/>
          </cell>
          <cell r="N605">
            <v>0</v>
          </cell>
          <cell r="Q605" t="str">
            <v/>
          </cell>
          <cell r="R605" t="str">
            <v/>
          </cell>
          <cell r="S605">
            <v>494</v>
          </cell>
          <cell r="X605">
            <v>1</v>
          </cell>
          <cell r="Y605">
            <v>0.98684210526315785</v>
          </cell>
          <cell r="Z605">
            <v>1</v>
          </cell>
          <cell r="AA605">
            <v>0</v>
          </cell>
          <cell r="AB605" t="str">
            <v/>
          </cell>
          <cell r="AD605">
            <v>0</v>
          </cell>
          <cell r="AE605">
            <v>135</v>
          </cell>
          <cell r="AF605">
            <v>0.86628056628056627</v>
          </cell>
          <cell r="AG605" t="str">
            <v/>
          </cell>
          <cell r="AH605" t="str">
            <v/>
          </cell>
          <cell r="AI605">
            <v>4</v>
          </cell>
          <cell r="AJ605">
            <v>247</v>
          </cell>
          <cell r="AK605">
            <v>798.88511653514411</v>
          </cell>
          <cell r="AL605">
            <v>0.170767004341534</v>
          </cell>
          <cell r="AM605">
            <v>0.36213412599714884</v>
          </cell>
          <cell r="AN605">
            <v>0.47619047619047616</v>
          </cell>
          <cell r="AO605">
            <v>-7730</v>
          </cell>
          <cell r="AQ605">
            <v>33587</v>
          </cell>
          <cell r="AR605" t="str">
            <v/>
          </cell>
          <cell r="AS605">
            <v>11960</v>
          </cell>
          <cell r="AU605">
            <v>29101</v>
          </cell>
          <cell r="AV605" t="str">
            <v/>
          </cell>
          <cell r="AW605">
            <v>25061</v>
          </cell>
          <cell r="AX605" t="str">
            <v/>
          </cell>
          <cell r="AY605" t="str">
            <v/>
          </cell>
          <cell r="AZ605">
            <v>15574</v>
          </cell>
          <cell r="BA605" t="str">
            <v/>
          </cell>
          <cell r="BB605">
            <v>170.24019194100001</v>
          </cell>
          <cell r="BC605">
            <v>7</v>
          </cell>
          <cell r="BD605">
            <v>465.88238332000003</v>
          </cell>
          <cell r="BE605">
            <v>0.81000003200000004</v>
          </cell>
          <cell r="BF605">
            <v>706.63226668799996</v>
          </cell>
          <cell r="BG605">
            <v>0.27000001099999998</v>
          </cell>
          <cell r="BH605">
            <v>0</v>
          </cell>
          <cell r="BI605">
            <v>0</v>
          </cell>
          <cell r="BJ605">
            <v>0</v>
          </cell>
        </row>
        <row r="606">
          <cell r="A606" t="str">
            <v>TAL</v>
          </cell>
          <cell r="B606" t="str">
            <v>Q21</v>
          </cell>
          <cell r="C606" t="str">
            <v/>
          </cell>
          <cell r="D606" t="str">
            <v/>
          </cell>
          <cell r="E606">
            <v>1</v>
          </cell>
          <cell r="F606">
            <v>1</v>
          </cell>
          <cell r="G606">
            <v>1</v>
          </cell>
          <cell r="H606">
            <v>0</v>
          </cell>
          <cell r="J606">
            <v>1</v>
          </cell>
          <cell r="K606">
            <v>6.755199955000001</v>
          </cell>
          <cell r="L606">
            <v>307.40169689800007</v>
          </cell>
          <cell r="M606" t="str">
            <v/>
          </cell>
          <cell r="N606">
            <v>0</v>
          </cell>
          <cell r="Q606" t="str">
            <v/>
          </cell>
          <cell r="R606" t="str">
            <v/>
          </cell>
          <cell r="S606">
            <v>308</v>
          </cell>
          <cell r="X606">
            <v>1</v>
          </cell>
          <cell r="Y606">
            <v>1</v>
          </cell>
          <cell r="Z606">
            <v>0.93333333333333335</v>
          </cell>
          <cell r="AA606">
            <v>0</v>
          </cell>
          <cell r="AB606" t="str">
            <v/>
          </cell>
          <cell r="AD606">
            <v>20</v>
          </cell>
          <cell r="AE606">
            <v>380</v>
          </cell>
          <cell r="AF606">
            <v>0.90917298663777535</v>
          </cell>
          <cell r="AG606" t="str">
            <v/>
          </cell>
          <cell r="AH606" t="str">
            <v/>
          </cell>
          <cell r="AI606">
            <v>5</v>
          </cell>
          <cell r="AJ606">
            <v>150</v>
          </cell>
          <cell r="AK606">
            <v>761.98316867910728</v>
          </cell>
          <cell r="AL606" t="str">
            <v/>
          </cell>
          <cell r="AM606">
            <v>0.2568485154155809</v>
          </cell>
          <cell r="AN606">
            <v>0.44</v>
          </cell>
          <cell r="AO606">
            <v>260</v>
          </cell>
          <cell r="AQ606">
            <v>26055</v>
          </cell>
          <cell r="AR606" t="str">
            <v/>
          </cell>
          <cell r="AS606">
            <v>13824</v>
          </cell>
          <cell r="AU606">
            <v>24617</v>
          </cell>
          <cell r="AV606" t="str">
            <v/>
          </cell>
          <cell r="AW606">
            <v>15139</v>
          </cell>
          <cell r="AX606" t="str">
            <v/>
          </cell>
          <cell r="AY606" t="str">
            <v/>
          </cell>
          <cell r="AZ606">
            <v>14800</v>
          </cell>
          <cell r="BA606" t="str">
            <v/>
          </cell>
          <cell r="BB606">
            <v>205.77319689399999</v>
          </cell>
          <cell r="BC606">
            <v>1.0939999819999999</v>
          </cell>
          <cell r="BD606">
            <v>713.52538879200006</v>
          </cell>
          <cell r="BE606">
            <v>31.725999470000001</v>
          </cell>
          <cell r="BF606">
            <v>926.88668528300002</v>
          </cell>
          <cell r="BG606" t="str">
            <v/>
          </cell>
          <cell r="BH606">
            <v>60</v>
          </cell>
          <cell r="BI606">
            <v>71</v>
          </cell>
          <cell r="BJ606">
            <v>3</v>
          </cell>
        </row>
        <row r="615">
          <cell r="A615" t="str">
            <v>EN</v>
          </cell>
          <cell r="C615">
            <v>0.75</v>
          </cell>
          <cell r="D615">
            <v>0.95</v>
          </cell>
          <cell r="E615">
            <v>0.98</v>
          </cell>
          <cell r="F615">
            <v>1</v>
          </cell>
          <cell r="G615">
            <v>1</v>
          </cell>
          <cell r="H615">
            <v>0</v>
          </cell>
          <cell r="J615">
            <v>7</v>
          </cell>
          <cell r="L615">
            <v>106913</v>
          </cell>
          <cell r="N615">
            <v>0</v>
          </cell>
          <cell r="Q615">
            <v>1</v>
          </cell>
          <cell r="R615">
            <v>1</v>
          </cell>
          <cell r="V615">
            <v>157726</v>
          </cell>
          <cell r="W615">
            <v>0.67599364834953324</v>
          </cell>
          <cell r="X615">
            <v>1</v>
          </cell>
          <cell r="Y615">
            <v>0.98</v>
          </cell>
          <cell r="Z615">
            <v>0.95</v>
          </cell>
          <cell r="AA615">
            <v>0</v>
          </cell>
          <cell r="AB615">
            <v>1</v>
          </cell>
          <cell r="AC615">
            <v>0.74326450964423885</v>
          </cell>
          <cell r="AD615">
            <v>18528.000337268128</v>
          </cell>
          <cell r="AE615">
            <v>104750.6</v>
          </cell>
          <cell r="AH615">
            <v>474.42</v>
          </cell>
          <cell r="AI615">
            <v>1271.3900000000001</v>
          </cell>
          <cell r="AJ615">
            <v>70347</v>
          </cell>
          <cell r="AK615">
            <v>867.46599672684215</v>
          </cell>
          <cell r="AM615">
            <v>0.30929140656449222</v>
          </cell>
          <cell r="AN615">
            <v>0.56838606228979593</v>
          </cell>
          <cell r="AO615">
            <v>-200000</v>
          </cell>
          <cell r="AQ615">
            <v>9748258</v>
          </cell>
          <cell r="AS615">
            <v>4845041</v>
          </cell>
          <cell r="AW615">
            <v>5742731</v>
          </cell>
          <cell r="AZ615">
            <v>4609631</v>
          </cell>
          <cell r="BH615">
            <v>118177</v>
          </cell>
          <cell r="BI615">
            <v>95558</v>
          </cell>
          <cell r="BJ615">
            <v>7325</v>
          </cell>
        </row>
        <row r="616">
          <cell r="A616" t="str">
            <v>Q30</v>
          </cell>
          <cell r="C616">
            <v>0.75</v>
          </cell>
          <cell r="D616">
            <v>0.95</v>
          </cell>
          <cell r="E616">
            <v>0.98</v>
          </cell>
          <cell r="F616">
            <v>1</v>
          </cell>
          <cell r="G616">
            <v>1</v>
          </cell>
          <cell r="H616">
            <v>0</v>
          </cell>
          <cell r="J616">
            <v>0</v>
          </cell>
          <cell r="L616">
            <v>706</v>
          </cell>
          <cell r="N616">
            <v>0</v>
          </cell>
          <cell r="Q616">
            <v>1</v>
          </cell>
          <cell r="R616">
            <v>1</v>
          </cell>
          <cell r="V616">
            <v>9665</v>
          </cell>
          <cell r="W616">
            <v>0.67160060210737582</v>
          </cell>
          <cell r="X616">
            <v>1</v>
          </cell>
          <cell r="Y616">
            <v>0.98</v>
          </cell>
          <cell r="Z616">
            <v>0.95</v>
          </cell>
          <cell r="AA616">
            <v>0</v>
          </cell>
          <cell r="AB616">
            <v>1</v>
          </cell>
          <cell r="AC616">
            <v>0.74250681198910085</v>
          </cell>
          <cell r="AD616">
            <v>1100</v>
          </cell>
          <cell r="AE616">
            <v>6999</v>
          </cell>
          <cell r="AI616">
            <v>95</v>
          </cell>
          <cell r="AJ616">
            <v>5531</v>
          </cell>
          <cell r="AK616">
            <v>761.91133200000002</v>
          </cell>
          <cell r="AM616">
            <v>0.33308575454423067</v>
          </cell>
          <cell r="AN616">
            <v>0.47259345341855508</v>
          </cell>
          <cell r="AQ616">
            <v>514140</v>
          </cell>
          <cell r="AS616">
            <v>239057</v>
          </cell>
          <cell r="AW616">
            <v>361215</v>
          </cell>
          <cell r="AZ616">
            <v>296653</v>
          </cell>
          <cell r="BH616">
            <v>5148</v>
          </cell>
          <cell r="BI616">
            <v>4123</v>
          </cell>
          <cell r="BJ616">
            <v>470</v>
          </cell>
        </row>
        <row r="617">
          <cell r="A617" t="str">
            <v>Q31</v>
          </cell>
          <cell r="C617">
            <v>0.75</v>
          </cell>
          <cell r="D617">
            <v>0.95</v>
          </cell>
          <cell r="E617">
            <v>0.98</v>
          </cell>
          <cell r="F617">
            <v>1</v>
          </cell>
          <cell r="G617">
            <v>1</v>
          </cell>
          <cell r="H617">
            <v>0</v>
          </cell>
          <cell r="J617">
            <v>0</v>
          </cell>
          <cell r="L617">
            <v>13300</v>
          </cell>
          <cell r="N617">
            <v>0</v>
          </cell>
          <cell r="Q617">
            <v>1</v>
          </cell>
          <cell r="R617">
            <v>1</v>
          </cell>
          <cell r="V617">
            <v>34021</v>
          </cell>
          <cell r="W617">
            <v>0.73723470384512924</v>
          </cell>
          <cell r="X617">
            <v>1</v>
          </cell>
          <cell r="Y617">
            <v>0.98</v>
          </cell>
          <cell r="Z617">
            <v>0.95</v>
          </cell>
          <cell r="AA617">
            <v>0</v>
          </cell>
          <cell r="AB617">
            <v>1</v>
          </cell>
          <cell r="AC617">
            <v>0.80544491525423723</v>
          </cell>
          <cell r="AD617">
            <v>2757</v>
          </cell>
          <cell r="AE617">
            <v>16159</v>
          </cell>
          <cell r="AI617">
            <v>224</v>
          </cell>
          <cell r="AJ617">
            <v>15857</v>
          </cell>
          <cell r="AK617">
            <v>886.41009840000004</v>
          </cell>
          <cell r="AM617">
            <v>0.32666622145672569</v>
          </cell>
          <cell r="AN617">
            <v>0.48457536454898514</v>
          </cell>
          <cell r="AQ617">
            <v>1448762</v>
          </cell>
          <cell r="AS617">
            <v>852520</v>
          </cell>
          <cell r="AW617">
            <v>786943</v>
          </cell>
          <cell r="AZ617">
            <v>712908</v>
          </cell>
          <cell r="BH617">
            <v>26131</v>
          </cell>
          <cell r="BI617">
            <v>15759</v>
          </cell>
          <cell r="BJ617">
            <v>1525</v>
          </cell>
        </row>
        <row r="618">
          <cell r="A618" t="str">
            <v>Q32</v>
          </cell>
          <cell r="C618">
            <v>0.75</v>
          </cell>
          <cell r="D618">
            <v>0.95</v>
          </cell>
          <cell r="E618">
            <v>0.98</v>
          </cell>
          <cell r="F618">
            <v>1</v>
          </cell>
          <cell r="G618">
            <v>1</v>
          </cell>
          <cell r="H618">
            <v>0</v>
          </cell>
          <cell r="J618">
            <v>1</v>
          </cell>
          <cell r="L618">
            <v>628</v>
          </cell>
          <cell r="N618">
            <v>0</v>
          </cell>
          <cell r="Q618">
            <v>1</v>
          </cell>
          <cell r="R618">
            <v>1</v>
          </cell>
          <cell r="V618">
            <v>19473</v>
          </cell>
          <cell r="W618">
            <v>0.65246456185567014</v>
          </cell>
          <cell r="X618">
            <v>1</v>
          </cell>
          <cell r="Y618">
            <v>0.98</v>
          </cell>
          <cell r="Z618">
            <v>0.95</v>
          </cell>
          <cell r="AA618">
            <v>0</v>
          </cell>
          <cell r="AB618">
            <v>1</v>
          </cell>
          <cell r="AC618">
            <v>0.71527149321266958</v>
          </cell>
          <cell r="AD618">
            <v>1857</v>
          </cell>
          <cell r="AE618">
            <v>11713</v>
          </cell>
          <cell r="AI618">
            <v>140.99</v>
          </cell>
          <cell r="AJ618">
            <v>7360</v>
          </cell>
          <cell r="AK618">
            <v>950.44023830000003</v>
          </cell>
          <cell r="AM618">
            <v>0.30571769292817447</v>
          </cell>
          <cell r="AN618">
            <v>0.47450753404673862</v>
          </cell>
          <cell r="AQ618">
            <v>988322</v>
          </cell>
          <cell r="AS618">
            <v>475485</v>
          </cell>
          <cell r="AW618">
            <v>651616</v>
          </cell>
          <cell r="AZ618">
            <v>516712</v>
          </cell>
          <cell r="BH618">
            <v>14284</v>
          </cell>
          <cell r="BI618">
            <v>12744</v>
          </cell>
          <cell r="BJ618">
            <v>1324</v>
          </cell>
        </row>
        <row r="619">
          <cell r="A619" t="str">
            <v>Q33</v>
          </cell>
          <cell r="E619">
            <v>0.98</v>
          </cell>
          <cell r="F619">
            <v>1</v>
          </cell>
          <cell r="G619">
            <v>1</v>
          </cell>
          <cell r="H619">
            <v>0</v>
          </cell>
          <cell r="J619">
            <v>0</v>
          </cell>
          <cell r="L619">
            <v>5246</v>
          </cell>
          <cell r="N619">
            <v>0</v>
          </cell>
          <cell r="Q619">
            <v>1</v>
          </cell>
          <cell r="R619">
            <v>1</v>
          </cell>
          <cell r="V619">
            <v>11147</v>
          </cell>
          <cell r="W619">
            <v>0.66773638968481375</v>
          </cell>
          <cell r="X619">
            <v>1</v>
          </cell>
          <cell r="Y619">
            <v>0.98</v>
          </cell>
          <cell r="Z619">
            <v>0.95</v>
          </cell>
          <cell r="AA619">
            <v>0</v>
          </cell>
          <cell r="AB619">
            <v>1</v>
          </cell>
          <cell r="AC619">
            <v>0.65269461077844315</v>
          </cell>
          <cell r="AD619">
            <v>1631</v>
          </cell>
          <cell r="AE619">
            <v>8183</v>
          </cell>
          <cell r="AI619">
            <v>87.5</v>
          </cell>
          <cell r="AJ619">
            <v>4190</v>
          </cell>
          <cell r="AK619">
            <v>849.94765189999998</v>
          </cell>
          <cell r="AM619">
            <v>0.30269015966465107</v>
          </cell>
          <cell r="AN619">
            <v>0.55750384319754032</v>
          </cell>
          <cell r="AQ619">
            <v>784485</v>
          </cell>
          <cell r="AS619">
            <v>389888</v>
          </cell>
          <cell r="AW619">
            <v>525361</v>
          </cell>
          <cell r="AZ619">
            <v>383785</v>
          </cell>
          <cell r="BH619">
            <v>13421</v>
          </cell>
          <cell r="BI619">
            <v>12339</v>
          </cell>
          <cell r="BJ619">
            <v>1082</v>
          </cell>
        </row>
        <row r="620">
          <cell r="A620" t="str">
            <v>Q34</v>
          </cell>
          <cell r="E620">
            <v>0.98</v>
          </cell>
          <cell r="F620">
            <v>1</v>
          </cell>
          <cell r="G620">
            <v>1</v>
          </cell>
          <cell r="H620">
            <v>0</v>
          </cell>
          <cell r="J620">
            <v>0</v>
          </cell>
          <cell r="L620">
            <v>1912</v>
          </cell>
          <cell r="N620">
            <v>0</v>
          </cell>
          <cell r="Q620">
            <v>1</v>
          </cell>
          <cell r="R620">
            <v>1</v>
          </cell>
          <cell r="V620">
            <v>16239</v>
          </cell>
          <cell r="W620">
            <v>0.61963795940756994</v>
          </cell>
          <cell r="X620">
            <v>1</v>
          </cell>
          <cell r="Y620">
            <v>0.98</v>
          </cell>
          <cell r="Z620">
            <v>0.95</v>
          </cell>
          <cell r="AA620">
            <v>0</v>
          </cell>
          <cell r="AB620">
            <v>1</v>
          </cell>
          <cell r="AC620">
            <v>0.78751857355126298</v>
          </cell>
          <cell r="AD620">
            <v>2009</v>
          </cell>
          <cell r="AE620">
            <v>11116</v>
          </cell>
          <cell r="AI620">
            <v>109</v>
          </cell>
          <cell r="AJ620">
            <v>5300</v>
          </cell>
          <cell r="AK620">
            <v>855.46406750000006</v>
          </cell>
          <cell r="AM620">
            <v>0.36363908688528007</v>
          </cell>
          <cell r="AN620">
            <v>0.54405607577555481</v>
          </cell>
          <cell r="AQ620">
            <v>1103078</v>
          </cell>
          <cell r="AS620">
            <v>509973</v>
          </cell>
          <cell r="AW620">
            <v>600826</v>
          </cell>
          <cell r="AZ620">
            <v>483372</v>
          </cell>
          <cell r="BH620">
            <v>3598</v>
          </cell>
          <cell r="BI620">
            <v>2881</v>
          </cell>
          <cell r="BJ620">
            <v>669</v>
          </cell>
        </row>
        <row r="621">
          <cell r="A621" t="str">
            <v>Q35</v>
          </cell>
          <cell r="E621">
            <v>0.98</v>
          </cell>
          <cell r="F621">
            <v>1</v>
          </cell>
          <cell r="G621">
            <v>1</v>
          </cell>
          <cell r="H621">
            <v>0</v>
          </cell>
          <cell r="J621">
            <v>0</v>
          </cell>
          <cell r="L621">
            <v>7272</v>
          </cell>
          <cell r="N621">
            <v>0</v>
          </cell>
          <cell r="Q621">
            <v>1</v>
          </cell>
          <cell r="R621">
            <v>1</v>
          </cell>
          <cell r="V621">
            <v>10730</v>
          </cell>
          <cell r="W621">
            <v>0.72299903567984569</v>
          </cell>
          <cell r="X621">
            <v>1</v>
          </cell>
          <cell r="Y621">
            <v>0.98</v>
          </cell>
          <cell r="Z621">
            <v>0.95</v>
          </cell>
          <cell r="AA621">
            <v>0</v>
          </cell>
          <cell r="AB621">
            <v>1</v>
          </cell>
          <cell r="AC621">
            <v>0.59439948056714997</v>
          </cell>
          <cell r="AD621">
            <v>1612.0003372681281</v>
          </cell>
          <cell r="AE621">
            <v>8828</v>
          </cell>
          <cell r="AI621">
            <v>95</v>
          </cell>
          <cell r="AJ621">
            <v>4174</v>
          </cell>
          <cell r="AK621">
            <v>751.06251099999997</v>
          </cell>
          <cell r="AM621">
            <v>0.22540311634075724</v>
          </cell>
          <cell r="AN621">
            <v>0.57697441601779753</v>
          </cell>
          <cell r="AQ621">
            <v>1034128</v>
          </cell>
          <cell r="AS621">
            <v>507721</v>
          </cell>
          <cell r="AW621">
            <v>617983</v>
          </cell>
          <cell r="AZ621">
            <v>447177</v>
          </cell>
          <cell r="BH621">
            <v>7075</v>
          </cell>
          <cell r="BI621">
            <v>5540</v>
          </cell>
          <cell r="BJ621">
            <v>350</v>
          </cell>
        </row>
        <row r="622">
          <cell r="A622" t="str">
            <v>Q36</v>
          </cell>
          <cell r="E622">
            <v>0.98</v>
          </cell>
          <cell r="F622">
            <v>1</v>
          </cell>
          <cell r="G622">
            <v>1</v>
          </cell>
          <cell r="H622">
            <v>0</v>
          </cell>
          <cell r="J622">
            <v>0</v>
          </cell>
          <cell r="L622">
            <v>6207</v>
          </cell>
          <cell r="N622">
            <v>0</v>
          </cell>
          <cell r="Q622">
            <v>1</v>
          </cell>
          <cell r="R622">
            <v>1</v>
          </cell>
          <cell r="V622">
            <v>26611</v>
          </cell>
          <cell r="W622">
            <v>0.62354759315437014</v>
          </cell>
          <cell r="X622">
            <v>1</v>
          </cell>
          <cell r="Y622">
            <v>0.98</v>
          </cell>
          <cell r="Z622">
            <v>0.95</v>
          </cell>
          <cell r="AA622">
            <v>0</v>
          </cell>
          <cell r="AB622">
            <v>1</v>
          </cell>
          <cell r="AC622">
            <v>0.89345834792755852</v>
          </cell>
          <cell r="AD622">
            <v>3337</v>
          </cell>
          <cell r="AE622">
            <v>18938.599999999999</v>
          </cell>
          <cell r="AI622">
            <v>185.6</v>
          </cell>
          <cell r="AJ622">
            <v>8746</v>
          </cell>
          <cell r="AK622">
            <v>986.62230090000003</v>
          </cell>
          <cell r="AM622">
            <v>0.34345893024533258</v>
          </cell>
          <cell r="AN622">
            <v>0.71300676818277675</v>
          </cell>
          <cell r="AQ622">
            <v>1491526</v>
          </cell>
          <cell r="AS622">
            <v>740143</v>
          </cell>
          <cell r="AW622">
            <v>725001</v>
          </cell>
          <cell r="AZ622">
            <v>593427</v>
          </cell>
          <cell r="BH622">
            <v>4770</v>
          </cell>
          <cell r="BI622">
            <v>3149</v>
          </cell>
          <cell r="BJ622">
            <v>68</v>
          </cell>
        </row>
        <row r="623">
          <cell r="A623" t="str">
            <v>Q37</v>
          </cell>
          <cell r="C623">
            <v>0.75</v>
          </cell>
          <cell r="D623">
            <v>0.95</v>
          </cell>
          <cell r="E623">
            <v>0.98</v>
          </cell>
          <cell r="F623">
            <v>1</v>
          </cell>
          <cell r="G623">
            <v>1</v>
          </cell>
          <cell r="H623">
            <v>0</v>
          </cell>
          <cell r="J623">
            <v>0</v>
          </cell>
          <cell r="L623">
            <v>4178</v>
          </cell>
          <cell r="N623">
            <v>0</v>
          </cell>
          <cell r="Q623">
            <v>1</v>
          </cell>
          <cell r="R623">
            <v>1</v>
          </cell>
          <cell r="V623">
            <v>7239</v>
          </cell>
          <cell r="W623">
            <v>0.74453225510016541</v>
          </cell>
          <cell r="X623">
            <v>1</v>
          </cell>
          <cell r="Y623">
            <v>0.98</v>
          </cell>
          <cell r="Z623">
            <v>0.95</v>
          </cell>
          <cell r="AA623">
            <v>0</v>
          </cell>
          <cell r="AB623">
            <v>1</v>
          </cell>
          <cell r="AC623">
            <v>0.71533596248084308</v>
          </cell>
          <cell r="AD623">
            <v>1400</v>
          </cell>
          <cell r="AE623">
            <v>8065</v>
          </cell>
          <cell r="AI623">
            <v>133.80000000000001</v>
          </cell>
          <cell r="AJ623">
            <v>8470</v>
          </cell>
          <cell r="AK623">
            <v>884.25873369999999</v>
          </cell>
          <cell r="AM623">
            <v>0.25091174727440629</v>
          </cell>
          <cell r="AN623">
            <v>0.60324093636440457</v>
          </cell>
          <cell r="AQ623">
            <v>779212</v>
          </cell>
          <cell r="AS623">
            <v>376355</v>
          </cell>
          <cell r="AW623">
            <v>420346</v>
          </cell>
          <cell r="AZ623">
            <v>364276</v>
          </cell>
          <cell r="BH623">
            <v>17476</v>
          </cell>
          <cell r="BI623">
            <v>17137</v>
          </cell>
          <cell r="BJ623">
            <v>358</v>
          </cell>
        </row>
        <row r="624">
          <cell r="A624" t="str">
            <v>Q38</v>
          </cell>
          <cell r="C624">
            <v>0.75</v>
          </cell>
          <cell r="D624">
            <v>0.95</v>
          </cell>
          <cell r="E624">
            <v>0.98</v>
          </cell>
          <cell r="F624">
            <v>1</v>
          </cell>
          <cell r="G624">
            <v>1</v>
          </cell>
          <cell r="H624">
            <v>0</v>
          </cell>
          <cell r="J624">
            <v>0</v>
          </cell>
          <cell r="L624">
            <v>558</v>
          </cell>
          <cell r="N624">
            <v>0</v>
          </cell>
          <cell r="Q624">
            <v>1</v>
          </cell>
          <cell r="R624">
            <v>1</v>
          </cell>
          <cell r="V624">
            <v>6642</v>
          </cell>
          <cell r="W624">
            <v>0.69135399673735731</v>
          </cell>
          <cell r="X624">
            <v>1</v>
          </cell>
          <cell r="Y624">
            <v>0.98</v>
          </cell>
          <cell r="Z624">
            <v>0.95</v>
          </cell>
          <cell r="AA624">
            <v>0</v>
          </cell>
          <cell r="AB624">
            <v>1</v>
          </cell>
          <cell r="AC624">
            <v>0.740117994100295</v>
          </cell>
          <cell r="AD624">
            <v>1246</v>
          </cell>
          <cell r="AE624">
            <v>6268</v>
          </cell>
          <cell r="AI624">
            <v>71</v>
          </cell>
          <cell r="AJ624">
            <v>3869</v>
          </cell>
          <cell r="AK624">
            <v>825.05780030000005</v>
          </cell>
          <cell r="AM624">
            <v>0.35117768585168185</v>
          </cell>
          <cell r="AN624">
            <v>0.50598153730218542</v>
          </cell>
          <cell r="AQ624">
            <v>655375</v>
          </cell>
          <cell r="AS624">
            <v>317713</v>
          </cell>
          <cell r="AW624">
            <v>405543</v>
          </cell>
          <cell r="AZ624">
            <v>334152</v>
          </cell>
          <cell r="BH624">
            <v>9070</v>
          </cell>
          <cell r="BI624">
            <v>6198</v>
          </cell>
          <cell r="BJ624">
            <v>285</v>
          </cell>
        </row>
        <row r="625">
          <cell r="A625" t="str">
            <v>Q39</v>
          </cell>
          <cell r="E625">
            <v>0.98</v>
          </cell>
          <cell r="F625">
            <v>1</v>
          </cell>
          <cell r="G625">
            <v>1</v>
          </cell>
          <cell r="H625">
            <v>0</v>
          </cell>
          <cell r="J625">
            <v>6</v>
          </cell>
          <cell r="L625">
            <v>509</v>
          </cell>
          <cell r="N625">
            <v>0</v>
          </cell>
          <cell r="Q625">
            <v>1</v>
          </cell>
          <cell r="R625">
            <v>1</v>
          </cell>
          <cell r="V625">
            <v>15959</v>
          </cell>
          <cell r="W625">
            <v>0.74360000000000004</v>
          </cell>
          <cell r="X625">
            <v>1</v>
          </cell>
          <cell r="Y625">
            <v>0.98</v>
          </cell>
          <cell r="Z625">
            <v>0.95</v>
          </cell>
          <cell r="AA625">
            <v>0</v>
          </cell>
          <cell r="AB625">
            <v>1</v>
          </cell>
          <cell r="AC625">
            <v>0.67678300455235207</v>
          </cell>
          <cell r="AD625">
            <v>1579</v>
          </cell>
          <cell r="AE625">
            <v>8481</v>
          </cell>
          <cell r="AI625">
            <v>129.5</v>
          </cell>
          <cell r="AJ625">
            <v>6850</v>
          </cell>
          <cell r="AK625">
            <v>811.07807830000002</v>
          </cell>
          <cell r="AM625">
            <v>0.27668039183000576</v>
          </cell>
          <cell r="AN625">
            <v>0.52937748858890943</v>
          </cell>
          <cell r="AQ625">
            <v>949230</v>
          </cell>
          <cell r="AS625">
            <v>436186</v>
          </cell>
          <cell r="AW625">
            <v>647897</v>
          </cell>
          <cell r="AZ625">
            <v>477169</v>
          </cell>
          <cell r="BH625">
            <v>17204</v>
          </cell>
          <cell r="BI625">
            <v>15688</v>
          </cell>
          <cell r="BJ625">
            <v>1194</v>
          </cell>
        </row>
        <row r="626">
          <cell r="A626" t="str">
            <v>5A1</v>
          </cell>
          <cell r="B626" t="str">
            <v>Q17</v>
          </cell>
          <cell r="C626" t="str">
            <v/>
          </cell>
          <cell r="D626" t="str">
            <v/>
          </cell>
          <cell r="AH626" t="str">
            <v/>
          </cell>
        </row>
        <row r="627">
          <cell r="A627" t="str">
            <v>5A2</v>
          </cell>
          <cell r="B627" t="str">
            <v>Q01</v>
          </cell>
          <cell r="C627" t="str">
            <v/>
          </cell>
          <cell r="D627" t="str">
            <v/>
          </cell>
          <cell r="AH627" t="str">
            <v/>
          </cell>
        </row>
        <row r="628">
          <cell r="A628" t="str">
            <v>5A3</v>
          </cell>
          <cell r="B628" t="str">
            <v>Q20</v>
          </cell>
          <cell r="C628" t="str">
            <v/>
          </cell>
          <cell r="D628" t="str">
            <v/>
          </cell>
          <cell r="AH628" t="str">
            <v/>
          </cell>
        </row>
        <row r="629">
          <cell r="A629" t="str">
            <v>5A4</v>
          </cell>
          <cell r="B629" t="str">
            <v>Q06</v>
          </cell>
          <cell r="C629" t="str">
            <v/>
          </cell>
          <cell r="D629" t="str">
            <v/>
          </cell>
          <cell r="AH629" t="str">
            <v/>
          </cell>
        </row>
        <row r="630">
          <cell r="A630" t="str">
            <v>5A5</v>
          </cell>
          <cell r="B630" t="str">
            <v>Q08</v>
          </cell>
          <cell r="C630" t="str">
            <v/>
          </cell>
          <cell r="D630" t="str">
            <v/>
          </cell>
          <cell r="AH630" t="str">
            <v/>
          </cell>
        </row>
        <row r="631">
          <cell r="A631" t="str">
            <v>5A7</v>
          </cell>
          <cell r="B631" t="str">
            <v>Q07</v>
          </cell>
          <cell r="C631" t="str">
            <v/>
          </cell>
          <cell r="D631" t="str">
            <v/>
          </cell>
          <cell r="AH631" t="str">
            <v/>
          </cell>
        </row>
        <row r="632">
          <cell r="A632" t="str">
            <v>5A8</v>
          </cell>
          <cell r="B632" t="str">
            <v>Q07</v>
          </cell>
          <cell r="C632" t="str">
            <v/>
          </cell>
          <cell r="D632" t="str">
            <v/>
          </cell>
          <cell r="AH632" t="str">
            <v/>
          </cell>
        </row>
        <row r="633">
          <cell r="A633" t="str">
            <v>5A9</v>
          </cell>
          <cell r="B633" t="str">
            <v>Q05</v>
          </cell>
          <cell r="C633" t="str">
            <v/>
          </cell>
          <cell r="D633" t="str">
            <v/>
          </cell>
          <cell r="AH633" t="str">
            <v/>
          </cell>
        </row>
        <row r="634">
          <cell r="A634" t="str">
            <v>5AA</v>
          </cell>
          <cell r="B634" t="str">
            <v>Q14</v>
          </cell>
          <cell r="C634" t="str">
            <v/>
          </cell>
          <cell r="D634" t="str">
            <v/>
          </cell>
          <cell r="AH634" t="str">
            <v/>
          </cell>
        </row>
        <row r="635">
          <cell r="A635" t="str">
            <v>5AC</v>
          </cell>
          <cell r="B635" t="str">
            <v>Q25</v>
          </cell>
          <cell r="C635" t="str">
            <v/>
          </cell>
          <cell r="D635" t="str">
            <v/>
          </cell>
          <cell r="AH635" t="str">
            <v/>
          </cell>
        </row>
        <row r="636">
          <cell r="A636" t="str">
            <v>5AF</v>
          </cell>
          <cell r="B636" t="str">
            <v>Q01</v>
          </cell>
          <cell r="C636" t="str">
            <v/>
          </cell>
          <cell r="D636" t="str">
            <v/>
          </cell>
          <cell r="AH636" t="str">
            <v/>
          </cell>
        </row>
        <row r="637">
          <cell r="A637" t="str">
            <v>5AG</v>
          </cell>
          <cell r="B637" t="str">
            <v>Q01</v>
          </cell>
          <cell r="C637" t="str">
            <v/>
          </cell>
          <cell r="D637" t="str">
            <v/>
          </cell>
          <cell r="AH637" t="str">
            <v/>
          </cell>
        </row>
        <row r="638">
          <cell r="A638" t="str">
            <v>5AH</v>
          </cell>
          <cell r="B638" t="str">
            <v>Q03</v>
          </cell>
          <cell r="C638" t="str">
            <v/>
          </cell>
          <cell r="D638" t="str">
            <v/>
          </cell>
          <cell r="AH638" t="str">
            <v/>
          </cell>
        </row>
        <row r="639">
          <cell r="A639" t="str">
            <v>5AJ</v>
          </cell>
          <cell r="B639" t="str">
            <v>Q03</v>
          </cell>
          <cell r="C639" t="str">
            <v/>
          </cell>
          <cell r="D639" t="str">
            <v/>
          </cell>
          <cell r="AH639" t="str">
            <v/>
          </cell>
        </row>
        <row r="640">
          <cell r="A640" t="str">
            <v>5AK</v>
          </cell>
          <cell r="B640" t="str">
            <v>Q03</v>
          </cell>
          <cell r="C640" t="str">
            <v/>
          </cell>
          <cell r="D640" t="str">
            <v/>
          </cell>
          <cell r="AH640" t="str">
            <v/>
          </cell>
        </row>
        <row r="641">
          <cell r="A641" t="str">
            <v>5AL</v>
          </cell>
          <cell r="B641" t="str">
            <v>Q24</v>
          </cell>
          <cell r="C641" t="str">
            <v/>
          </cell>
          <cell r="D641" t="str">
            <v/>
          </cell>
          <cell r="AH641" t="str">
            <v/>
          </cell>
        </row>
        <row r="642">
          <cell r="A642" t="str">
            <v>5AM</v>
          </cell>
          <cell r="B642" t="str">
            <v>Q24</v>
          </cell>
          <cell r="C642" t="str">
            <v/>
          </cell>
          <cell r="D642" t="str">
            <v/>
          </cell>
          <cell r="AH642" t="str">
            <v/>
          </cell>
        </row>
        <row r="643">
          <cell r="A643" t="str">
            <v>5AN</v>
          </cell>
          <cell r="B643" t="str">
            <v>Q11</v>
          </cell>
          <cell r="C643" t="str">
            <v/>
          </cell>
          <cell r="D643" t="str">
            <v/>
          </cell>
          <cell r="AH643" t="str">
            <v/>
          </cell>
        </row>
        <row r="644">
          <cell r="A644" t="str">
            <v>5AP</v>
          </cell>
          <cell r="B644" t="str">
            <v>Q24</v>
          </cell>
          <cell r="C644" t="str">
            <v/>
          </cell>
          <cell r="D644" t="str">
            <v/>
          </cell>
          <cell r="AH644" t="str">
            <v/>
          </cell>
        </row>
        <row r="645">
          <cell r="A645" t="str">
            <v>5AT</v>
          </cell>
          <cell r="B645" t="str">
            <v>Q04</v>
          </cell>
          <cell r="C645" t="str">
            <v/>
          </cell>
          <cell r="D645" t="str">
            <v/>
          </cell>
          <cell r="AH645" t="str">
            <v/>
          </cell>
        </row>
        <row r="646">
          <cell r="A646" t="str">
            <v>5AW</v>
          </cell>
          <cell r="B646" t="str">
            <v>Q12</v>
          </cell>
          <cell r="C646" t="str">
            <v/>
          </cell>
          <cell r="D646" t="str">
            <v/>
          </cell>
          <cell r="AH646" t="str">
            <v/>
          </cell>
        </row>
        <row r="647">
          <cell r="A647" t="str">
            <v>5C1</v>
          </cell>
          <cell r="B647" t="str">
            <v>Q05</v>
          </cell>
          <cell r="C647" t="str">
            <v/>
          </cell>
          <cell r="D647" t="str">
            <v/>
          </cell>
          <cell r="AH647" t="str">
            <v/>
          </cell>
        </row>
        <row r="648">
          <cell r="A648" t="str">
            <v>5C2</v>
          </cell>
          <cell r="B648" t="str">
            <v>Q06</v>
          </cell>
          <cell r="C648" t="str">
            <v/>
          </cell>
          <cell r="D648" t="str">
            <v/>
          </cell>
          <cell r="AH648" t="str">
            <v/>
          </cell>
        </row>
        <row r="649">
          <cell r="A649" t="str">
            <v>5C3</v>
          </cell>
          <cell r="B649" t="str">
            <v>Q06</v>
          </cell>
          <cell r="C649" t="str">
            <v/>
          </cell>
          <cell r="D649" t="str">
            <v/>
          </cell>
          <cell r="AH649" t="str">
            <v/>
          </cell>
        </row>
        <row r="650">
          <cell r="A650" t="str">
            <v>5C4</v>
          </cell>
          <cell r="B650" t="str">
            <v>Q06</v>
          </cell>
          <cell r="C650" t="str">
            <v/>
          </cell>
          <cell r="D650" t="str">
            <v/>
          </cell>
          <cell r="AH650" t="str">
            <v/>
          </cell>
        </row>
        <row r="651">
          <cell r="A651" t="str">
            <v>5C5</v>
          </cell>
          <cell r="B651" t="str">
            <v>Q06</v>
          </cell>
          <cell r="C651" t="str">
            <v/>
          </cell>
          <cell r="D651" t="str">
            <v/>
          </cell>
          <cell r="AH651" t="str">
            <v/>
          </cell>
        </row>
        <row r="652">
          <cell r="A652" t="str">
            <v>5C9</v>
          </cell>
          <cell r="B652" t="str">
            <v>Q05</v>
          </cell>
          <cell r="C652" t="str">
            <v/>
          </cell>
          <cell r="D652" t="str">
            <v/>
          </cell>
          <cell r="AH652" t="str">
            <v/>
          </cell>
        </row>
        <row r="653">
          <cell r="A653" t="str">
            <v>5CC</v>
          </cell>
          <cell r="B653" t="str">
            <v>Q13</v>
          </cell>
          <cell r="C653" t="str">
            <v/>
          </cell>
          <cell r="D653" t="str">
            <v/>
          </cell>
          <cell r="AH653" t="str">
            <v/>
          </cell>
        </row>
        <row r="654">
          <cell r="A654" t="str">
            <v>5CD</v>
          </cell>
          <cell r="B654" t="str">
            <v>Q22</v>
          </cell>
          <cell r="C654" t="str">
            <v/>
          </cell>
          <cell r="D654" t="str">
            <v/>
          </cell>
          <cell r="AH654" t="str">
            <v/>
          </cell>
        </row>
        <row r="655">
          <cell r="A655" t="str">
            <v>5CE</v>
          </cell>
          <cell r="B655" t="str">
            <v>Q22</v>
          </cell>
          <cell r="C655" t="str">
            <v/>
          </cell>
          <cell r="D655" t="str">
            <v/>
          </cell>
          <cell r="AH655" t="str">
            <v/>
          </cell>
        </row>
        <row r="656">
          <cell r="A656" t="str">
            <v>5CF</v>
          </cell>
          <cell r="B656" t="str">
            <v>Q12</v>
          </cell>
          <cell r="C656" t="str">
            <v/>
          </cell>
          <cell r="D656" t="str">
            <v/>
          </cell>
          <cell r="AH656" t="str">
            <v/>
          </cell>
        </row>
        <row r="657">
          <cell r="A657" t="str">
            <v>5CG</v>
          </cell>
          <cell r="B657" t="str">
            <v>Q12</v>
          </cell>
          <cell r="C657" t="str">
            <v/>
          </cell>
          <cell r="D657" t="str">
            <v/>
          </cell>
          <cell r="AH657" t="str">
            <v/>
          </cell>
        </row>
        <row r="658">
          <cell r="A658" t="str">
            <v>5CH</v>
          </cell>
          <cell r="B658" t="str">
            <v>Q12</v>
          </cell>
          <cell r="C658" t="str">
            <v/>
          </cell>
          <cell r="D658" t="str">
            <v/>
          </cell>
          <cell r="AH658" t="str">
            <v/>
          </cell>
        </row>
        <row r="659">
          <cell r="A659" t="str">
            <v>5CK</v>
          </cell>
          <cell r="B659" t="str">
            <v>Q23</v>
          </cell>
          <cell r="C659" t="str">
            <v/>
          </cell>
          <cell r="D659" t="str">
            <v/>
          </cell>
          <cell r="AH659" t="str">
            <v/>
          </cell>
        </row>
        <row r="660">
          <cell r="A660" t="str">
            <v>5CL</v>
          </cell>
          <cell r="B660" t="str">
            <v>Q14</v>
          </cell>
          <cell r="C660" t="str">
            <v/>
          </cell>
          <cell r="D660" t="str">
            <v/>
          </cell>
          <cell r="AH660" t="str">
            <v/>
          </cell>
        </row>
        <row r="661">
          <cell r="A661" t="str">
            <v>5CM</v>
          </cell>
          <cell r="B661" t="str">
            <v>Q18</v>
          </cell>
          <cell r="C661" t="str">
            <v/>
          </cell>
          <cell r="D661" t="str">
            <v/>
          </cell>
          <cell r="AH661" t="str">
            <v/>
          </cell>
        </row>
        <row r="662">
          <cell r="A662" t="str">
            <v>5CN</v>
          </cell>
          <cell r="B662" t="str">
            <v>Q28</v>
          </cell>
          <cell r="C662" t="str">
            <v/>
          </cell>
          <cell r="D662" t="str">
            <v/>
          </cell>
          <cell r="AH662" t="str">
            <v/>
          </cell>
        </row>
        <row r="663">
          <cell r="A663" t="str">
            <v>5CP</v>
          </cell>
          <cell r="B663" t="str">
            <v>Q02</v>
          </cell>
          <cell r="C663" t="str">
            <v/>
          </cell>
          <cell r="D663" t="str">
            <v/>
          </cell>
          <cell r="AH663" t="str">
            <v/>
          </cell>
        </row>
        <row r="664">
          <cell r="A664" t="str">
            <v>5CQ</v>
          </cell>
          <cell r="B664" t="str">
            <v>Q16</v>
          </cell>
          <cell r="C664" t="str">
            <v/>
          </cell>
          <cell r="D664" t="str">
            <v/>
          </cell>
          <cell r="AH664" t="str">
            <v/>
          </cell>
        </row>
        <row r="665">
          <cell r="A665" t="str">
            <v>5CR</v>
          </cell>
          <cell r="B665" t="str">
            <v>Q14</v>
          </cell>
          <cell r="C665" t="str">
            <v/>
          </cell>
          <cell r="D665" t="str">
            <v/>
          </cell>
          <cell r="AH665" t="str">
            <v/>
          </cell>
        </row>
        <row r="666">
          <cell r="A666" t="str">
            <v>5CV</v>
          </cell>
          <cell r="B666" t="str">
            <v>Q21</v>
          </cell>
          <cell r="C666" t="str">
            <v/>
          </cell>
          <cell r="D666" t="str">
            <v/>
          </cell>
          <cell r="AH666" t="str">
            <v/>
          </cell>
        </row>
        <row r="667">
          <cell r="A667" t="str">
            <v>5CX</v>
          </cell>
          <cell r="B667" t="str">
            <v>Q14</v>
          </cell>
          <cell r="C667" t="str">
            <v/>
          </cell>
          <cell r="D667" t="str">
            <v/>
          </cell>
          <cell r="AH667" t="str">
            <v/>
          </cell>
        </row>
        <row r="668">
          <cell r="A668" t="str">
            <v>5CY</v>
          </cell>
          <cell r="B668" t="str">
            <v>Q01</v>
          </cell>
          <cell r="C668" t="str">
            <v/>
          </cell>
          <cell r="D668" t="str">
            <v/>
          </cell>
          <cell r="AH668" t="str">
            <v/>
          </cell>
        </row>
        <row r="669">
          <cell r="A669" t="str">
            <v>5D1</v>
          </cell>
          <cell r="B669" t="str">
            <v>Q27</v>
          </cell>
          <cell r="C669" t="str">
            <v/>
          </cell>
          <cell r="D669" t="str">
            <v/>
          </cell>
          <cell r="AH669" t="str">
            <v/>
          </cell>
        </row>
        <row r="670">
          <cell r="A670" t="str">
            <v>5D2</v>
          </cell>
          <cell r="B670" t="str">
            <v>Q24</v>
          </cell>
          <cell r="C670" t="str">
            <v/>
          </cell>
          <cell r="D670" t="str">
            <v/>
          </cell>
          <cell r="AH670" t="str">
            <v/>
          </cell>
        </row>
        <row r="671">
          <cell r="A671" t="str">
            <v>5D3</v>
          </cell>
          <cell r="B671" t="str">
            <v>Q24</v>
          </cell>
          <cell r="C671" t="str">
            <v/>
          </cell>
          <cell r="D671" t="str">
            <v/>
          </cell>
          <cell r="AH671" t="str">
            <v/>
          </cell>
        </row>
        <row r="672">
          <cell r="A672" t="str">
            <v>5D4</v>
          </cell>
          <cell r="B672" t="str">
            <v>Q13</v>
          </cell>
          <cell r="C672" t="str">
            <v/>
          </cell>
          <cell r="D672" t="str">
            <v/>
          </cell>
          <cell r="AH672" t="str">
            <v/>
          </cell>
        </row>
        <row r="673">
          <cell r="A673" t="str">
            <v>5D5</v>
          </cell>
          <cell r="B673" t="str">
            <v>Q13</v>
          </cell>
          <cell r="C673" t="str">
            <v/>
          </cell>
          <cell r="D673" t="str">
            <v/>
          </cell>
          <cell r="AH673" t="str">
            <v/>
          </cell>
        </row>
        <row r="674">
          <cell r="A674" t="str">
            <v>5D6</v>
          </cell>
          <cell r="B674" t="str">
            <v>Q13</v>
          </cell>
          <cell r="C674" t="str">
            <v/>
          </cell>
          <cell r="D674" t="str">
            <v/>
          </cell>
          <cell r="AH674" t="str">
            <v/>
          </cell>
        </row>
        <row r="675">
          <cell r="A675" t="str">
            <v>5D7</v>
          </cell>
          <cell r="B675" t="str">
            <v>Q09</v>
          </cell>
          <cell r="C675" t="str">
            <v/>
          </cell>
          <cell r="D675" t="str">
            <v/>
          </cell>
          <cell r="AH675" t="str">
            <v/>
          </cell>
        </row>
        <row r="676">
          <cell r="A676" t="str">
            <v>5D8</v>
          </cell>
          <cell r="B676" t="str">
            <v>Q09</v>
          </cell>
          <cell r="C676" t="str">
            <v/>
          </cell>
          <cell r="D676" t="str">
            <v/>
          </cell>
          <cell r="AH676" t="str">
            <v/>
          </cell>
        </row>
        <row r="677">
          <cell r="A677" t="str">
            <v>5D9</v>
          </cell>
          <cell r="B677" t="str">
            <v>Q10</v>
          </cell>
          <cell r="C677" t="str">
            <v/>
          </cell>
          <cell r="D677" t="str">
            <v/>
          </cell>
          <cell r="AH677" t="str">
            <v/>
          </cell>
        </row>
        <row r="678">
          <cell r="A678" t="str">
            <v>5DC</v>
          </cell>
          <cell r="B678" t="str">
            <v>Q03</v>
          </cell>
          <cell r="C678" t="str">
            <v/>
          </cell>
          <cell r="D678" t="str">
            <v/>
          </cell>
          <cell r="AH678" t="str">
            <v/>
          </cell>
        </row>
        <row r="679">
          <cell r="A679" t="str">
            <v>5DD</v>
          </cell>
          <cell r="B679" t="str">
            <v>Q13</v>
          </cell>
          <cell r="C679" t="str">
            <v/>
          </cell>
          <cell r="D679" t="str">
            <v/>
          </cell>
          <cell r="AH679" t="str">
            <v/>
          </cell>
        </row>
        <row r="680">
          <cell r="A680" t="str">
            <v>5DF</v>
          </cell>
          <cell r="B680" t="str">
            <v>Q17</v>
          </cell>
          <cell r="C680" t="str">
            <v/>
          </cell>
          <cell r="D680" t="str">
            <v/>
          </cell>
          <cell r="AH680" t="str">
            <v/>
          </cell>
        </row>
        <row r="681">
          <cell r="A681" t="str">
            <v>5DG</v>
          </cell>
          <cell r="B681" t="str">
            <v>Q17</v>
          </cell>
          <cell r="C681" t="str">
            <v/>
          </cell>
          <cell r="D681" t="str">
            <v/>
          </cell>
          <cell r="AH681" t="str">
            <v/>
          </cell>
        </row>
        <row r="682">
          <cell r="A682" t="str">
            <v>5DH</v>
          </cell>
          <cell r="B682" t="str">
            <v>Q20</v>
          </cell>
          <cell r="C682" t="str">
            <v/>
          </cell>
          <cell r="D682" t="str">
            <v/>
          </cell>
          <cell r="AH682" t="str">
            <v/>
          </cell>
        </row>
        <row r="683">
          <cell r="A683" t="str">
            <v>5DJ</v>
          </cell>
          <cell r="B683" t="str">
            <v>Q20</v>
          </cell>
          <cell r="C683" t="str">
            <v/>
          </cell>
          <cell r="D683" t="str">
            <v/>
          </cell>
          <cell r="AH683" t="str">
            <v/>
          </cell>
        </row>
        <row r="684">
          <cell r="A684" t="str">
            <v>5DK</v>
          </cell>
          <cell r="B684" t="str">
            <v>Q16</v>
          </cell>
          <cell r="C684" t="str">
            <v/>
          </cell>
          <cell r="D684" t="str">
            <v/>
          </cell>
          <cell r="AH684" t="str">
            <v/>
          </cell>
        </row>
        <row r="685">
          <cell r="A685" t="str">
            <v>5DL</v>
          </cell>
          <cell r="B685" t="str">
            <v>Q16</v>
          </cell>
          <cell r="C685" t="str">
            <v/>
          </cell>
          <cell r="D685" t="str">
            <v/>
          </cell>
          <cell r="AH685" t="str">
            <v/>
          </cell>
        </row>
        <row r="686">
          <cell r="A686" t="str">
            <v>5DM</v>
          </cell>
          <cell r="B686" t="str">
            <v>Q16</v>
          </cell>
          <cell r="C686" t="str">
            <v/>
          </cell>
          <cell r="D686" t="str">
            <v/>
          </cell>
          <cell r="AH686" t="str">
            <v/>
          </cell>
        </row>
        <row r="687">
          <cell r="A687" t="str">
            <v>5DN</v>
          </cell>
          <cell r="B687" t="str">
            <v>Q16</v>
          </cell>
          <cell r="C687" t="str">
            <v/>
          </cell>
          <cell r="D687" t="str">
            <v/>
          </cell>
          <cell r="AH687" t="str">
            <v/>
          </cell>
        </row>
        <row r="688">
          <cell r="A688" t="str">
            <v>5DP</v>
          </cell>
          <cell r="B688" t="str">
            <v>Q16</v>
          </cell>
          <cell r="C688" t="str">
            <v/>
          </cell>
          <cell r="D688" t="str">
            <v/>
          </cell>
          <cell r="AH688" t="str">
            <v/>
          </cell>
        </row>
        <row r="689">
          <cell r="A689" t="str">
            <v>5DQ</v>
          </cell>
          <cell r="B689" t="str">
            <v>Q26</v>
          </cell>
          <cell r="C689" t="str">
            <v/>
          </cell>
          <cell r="D689" t="str">
            <v/>
          </cell>
          <cell r="AH689" t="str">
            <v/>
          </cell>
        </row>
        <row r="690">
          <cell r="A690" t="str">
            <v>5DR</v>
          </cell>
          <cell r="B690" t="str">
            <v>Q28</v>
          </cell>
          <cell r="C690" t="str">
            <v/>
          </cell>
          <cell r="D690" t="str">
            <v/>
          </cell>
          <cell r="AH690" t="str">
            <v/>
          </cell>
        </row>
        <row r="691">
          <cell r="A691" t="str">
            <v>5DT</v>
          </cell>
          <cell r="B691" t="str">
            <v>Q16</v>
          </cell>
          <cell r="C691" t="str">
            <v/>
          </cell>
          <cell r="D691" t="str">
            <v/>
          </cell>
          <cell r="AH691" t="str">
            <v/>
          </cell>
        </row>
        <row r="692">
          <cell r="A692" t="str">
            <v>5DV</v>
          </cell>
          <cell r="B692" t="str">
            <v>Q16</v>
          </cell>
          <cell r="C692" t="str">
            <v/>
          </cell>
          <cell r="D692" t="str">
            <v/>
          </cell>
          <cell r="AH692" t="str">
            <v/>
          </cell>
        </row>
        <row r="693">
          <cell r="A693" t="str">
            <v>5DW</v>
          </cell>
          <cell r="B693" t="str">
            <v>Q16</v>
          </cell>
          <cell r="C693" t="str">
            <v/>
          </cell>
          <cell r="D693" t="str">
            <v/>
          </cell>
          <cell r="AH693" t="str">
            <v/>
          </cell>
        </row>
        <row r="694">
          <cell r="A694" t="str">
            <v>5DX</v>
          </cell>
          <cell r="B694" t="str">
            <v>Q16</v>
          </cell>
          <cell r="C694" t="str">
            <v/>
          </cell>
          <cell r="D694" t="str">
            <v/>
          </cell>
          <cell r="AH694" t="str">
            <v/>
          </cell>
        </row>
        <row r="695">
          <cell r="A695" t="str">
            <v>5DY</v>
          </cell>
          <cell r="B695" t="str">
            <v>Q16</v>
          </cell>
          <cell r="C695" t="str">
            <v/>
          </cell>
          <cell r="D695" t="str">
            <v/>
          </cell>
          <cell r="AH695" t="str">
            <v/>
          </cell>
        </row>
        <row r="696">
          <cell r="A696" t="str">
            <v>5E1</v>
          </cell>
          <cell r="B696" t="str">
            <v>Q10</v>
          </cell>
          <cell r="C696" t="str">
            <v/>
          </cell>
          <cell r="D696" t="str">
            <v/>
          </cell>
          <cell r="AH696" t="str">
            <v/>
          </cell>
        </row>
        <row r="697">
          <cell r="A697" t="str">
            <v>5E2</v>
          </cell>
          <cell r="B697" t="str">
            <v>Q11</v>
          </cell>
          <cell r="C697" t="str">
            <v/>
          </cell>
          <cell r="D697" t="str">
            <v/>
          </cell>
          <cell r="AH697" t="str">
            <v/>
          </cell>
        </row>
        <row r="698">
          <cell r="A698" t="str">
            <v>5E3</v>
          </cell>
          <cell r="B698" t="str">
            <v>Q11</v>
          </cell>
          <cell r="C698" t="str">
            <v/>
          </cell>
          <cell r="D698" t="str">
            <v/>
          </cell>
          <cell r="AH698" t="str">
            <v/>
          </cell>
        </row>
        <row r="699">
          <cell r="A699" t="str">
            <v>5E4</v>
          </cell>
          <cell r="B699" t="str">
            <v>Q11</v>
          </cell>
          <cell r="C699" t="str">
            <v/>
          </cell>
          <cell r="D699" t="str">
            <v/>
          </cell>
          <cell r="AH699" t="str">
            <v/>
          </cell>
        </row>
        <row r="700">
          <cell r="A700" t="str">
            <v>5E5</v>
          </cell>
          <cell r="B700" t="str">
            <v>Q11</v>
          </cell>
          <cell r="C700" t="str">
            <v/>
          </cell>
          <cell r="D700" t="str">
            <v/>
          </cell>
          <cell r="AH700" t="str">
            <v/>
          </cell>
        </row>
        <row r="701">
          <cell r="A701" t="str">
            <v>5E6</v>
          </cell>
          <cell r="B701" t="str">
            <v>Q11</v>
          </cell>
          <cell r="C701" t="str">
            <v/>
          </cell>
          <cell r="D701" t="str">
            <v/>
          </cell>
          <cell r="AH701" t="str">
            <v/>
          </cell>
        </row>
        <row r="702">
          <cell r="A702" t="str">
            <v>5E7</v>
          </cell>
          <cell r="B702" t="str">
            <v>Q12</v>
          </cell>
          <cell r="C702" t="str">
            <v/>
          </cell>
          <cell r="D702" t="str">
            <v/>
          </cell>
          <cell r="AH702" t="str">
            <v/>
          </cell>
        </row>
        <row r="703">
          <cell r="A703" t="str">
            <v>5E8</v>
          </cell>
          <cell r="B703" t="str">
            <v>Q12</v>
          </cell>
          <cell r="C703" t="str">
            <v/>
          </cell>
          <cell r="D703" t="str">
            <v/>
          </cell>
          <cell r="AH703" t="str">
            <v/>
          </cell>
        </row>
        <row r="704">
          <cell r="A704" t="str">
            <v>5E9</v>
          </cell>
          <cell r="B704" t="str">
            <v>Q17</v>
          </cell>
          <cell r="C704" t="str">
            <v/>
          </cell>
          <cell r="D704" t="str">
            <v/>
          </cell>
          <cell r="AH704" t="str">
            <v/>
          </cell>
        </row>
        <row r="705">
          <cell r="A705" t="str">
            <v>5EA</v>
          </cell>
          <cell r="B705" t="str">
            <v>Q24</v>
          </cell>
          <cell r="C705" t="str">
            <v/>
          </cell>
          <cell r="D705" t="str">
            <v/>
          </cell>
          <cell r="AH705" t="str">
            <v/>
          </cell>
        </row>
        <row r="706">
          <cell r="A706" t="str">
            <v>5EC</v>
          </cell>
          <cell r="B706" t="str">
            <v>Q24</v>
          </cell>
          <cell r="C706" t="str">
            <v/>
          </cell>
          <cell r="D706" t="str">
            <v/>
          </cell>
          <cell r="AH706" t="str">
            <v/>
          </cell>
        </row>
        <row r="707">
          <cell r="A707" t="str">
            <v>5ED</v>
          </cell>
          <cell r="B707" t="str">
            <v>Q24</v>
          </cell>
          <cell r="C707" t="str">
            <v/>
          </cell>
          <cell r="D707" t="str">
            <v/>
          </cell>
          <cell r="AH707" t="str">
            <v/>
          </cell>
        </row>
        <row r="708">
          <cell r="A708" t="str">
            <v>5EE</v>
          </cell>
          <cell r="B708" t="str">
            <v>Q23</v>
          </cell>
          <cell r="C708" t="str">
            <v/>
          </cell>
          <cell r="D708" t="str">
            <v/>
          </cell>
          <cell r="AH708" t="str">
            <v/>
          </cell>
        </row>
        <row r="709">
          <cell r="A709" t="str">
            <v>5EF</v>
          </cell>
          <cell r="B709" t="str">
            <v>Q11</v>
          </cell>
          <cell r="C709" t="str">
            <v/>
          </cell>
          <cell r="D709" t="str">
            <v/>
          </cell>
          <cell r="AH709" t="str">
            <v/>
          </cell>
        </row>
        <row r="710">
          <cell r="A710" t="str">
            <v>5EG</v>
          </cell>
          <cell r="B710" t="str">
            <v>Q24</v>
          </cell>
          <cell r="C710" t="str">
            <v/>
          </cell>
          <cell r="D710" t="str">
            <v/>
          </cell>
          <cell r="AH710" t="str">
            <v/>
          </cell>
        </row>
        <row r="711">
          <cell r="A711" t="str">
            <v>5EH</v>
          </cell>
          <cell r="B711" t="str">
            <v>Q25</v>
          </cell>
          <cell r="C711" t="str">
            <v/>
          </cell>
          <cell r="D711" t="str">
            <v/>
          </cell>
          <cell r="AH711" t="str">
            <v/>
          </cell>
        </row>
        <row r="712">
          <cell r="A712" t="str">
            <v>5EJ</v>
          </cell>
          <cell r="B712" t="str">
            <v>Q25</v>
          </cell>
          <cell r="C712" t="str">
            <v/>
          </cell>
          <cell r="D712" t="str">
            <v/>
          </cell>
          <cell r="AH712" t="str">
            <v/>
          </cell>
        </row>
        <row r="713">
          <cell r="A713" t="str">
            <v>5EK</v>
          </cell>
          <cell r="B713" t="str">
            <v>Q23</v>
          </cell>
          <cell r="C713" t="str">
            <v/>
          </cell>
          <cell r="D713" t="str">
            <v/>
          </cell>
          <cell r="AH713" t="str">
            <v/>
          </cell>
        </row>
        <row r="714">
          <cell r="A714" t="str">
            <v>5EL</v>
          </cell>
          <cell r="B714" t="str">
            <v>Q23</v>
          </cell>
          <cell r="C714" t="str">
            <v/>
          </cell>
          <cell r="D714" t="str">
            <v/>
          </cell>
          <cell r="AH714" t="str">
            <v/>
          </cell>
        </row>
        <row r="715">
          <cell r="A715" t="str">
            <v>5EM</v>
          </cell>
          <cell r="B715" t="str">
            <v>Q24</v>
          </cell>
          <cell r="C715" t="str">
            <v/>
          </cell>
          <cell r="D715" t="str">
            <v/>
          </cell>
          <cell r="AH715" t="str">
            <v/>
          </cell>
        </row>
        <row r="716">
          <cell r="A716" t="str">
            <v>5EN</v>
          </cell>
          <cell r="B716" t="str">
            <v>Q23</v>
          </cell>
          <cell r="C716" t="str">
            <v/>
          </cell>
          <cell r="D716" t="str">
            <v/>
          </cell>
          <cell r="AH716" t="str">
            <v/>
          </cell>
        </row>
        <row r="717">
          <cell r="A717" t="str">
            <v>5EP</v>
          </cell>
          <cell r="B717" t="str">
            <v>Q23</v>
          </cell>
          <cell r="C717" t="str">
            <v/>
          </cell>
          <cell r="D717" t="str">
            <v/>
          </cell>
          <cell r="AH717" t="str">
            <v/>
          </cell>
        </row>
        <row r="718">
          <cell r="A718" t="str">
            <v>5EQ</v>
          </cell>
          <cell r="B718" t="str">
            <v>Q23</v>
          </cell>
          <cell r="C718" t="str">
            <v/>
          </cell>
          <cell r="D718" t="str">
            <v/>
          </cell>
          <cell r="AH718" t="str">
            <v/>
          </cell>
        </row>
        <row r="719">
          <cell r="A719" t="str">
            <v>5ER</v>
          </cell>
          <cell r="B719" t="str">
            <v>Q24</v>
          </cell>
          <cell r="C719" t="str">
            <v/>
          </cell>
          <cell r="D719" t="str">
            <v/>
          </cell>
          <cell r="AH719" t="str">
            <v/>
          </cell>
        </row>
        <row r="720">
          <cell r="A720" t="str">
            <v>5ET</v>
          </cell>
          <cell r="B720" t="str">
            <v>Q24</v>
          </cell>
          <cell r="C720" t="str">
            <v/>
          </cell>
          <cell r="D720" t="str">
            <v/>
          </cell>
          <cell r="AH720" t="str">
            <v/>
          </cell>
        </row>
        <row r="721">
          <cell r="A721" t="str">
            <v>5EV</v>
          </cell>
          <cell r="B721" t="str">
            <v>Q24</v>
          </cell>
          <cell r="C721" t="str">
            <v/>
          </cell>
          <cell r="D721" t="str">
            <v/>
          </cell>
          <cell r="AH721" t="str">
            <v/>
          </cell>
        </row>
        <row r="722">
          <cell r="A722" t="str">
            <v>5EX</v>
          </cell>
          <cell r="B722" t="str">
            <v>Q24</v>
          </cell>
          <cell r="C722" t="str">
            <v/>
          </cell>
          <cell r="D722" t="str">
            <v/>
          </cell>
          <cell r="AH722" t="str">
            <v/>
          </cell>
        </row>
        <row r="723">
          <cell r="A723" t="str">
            <v>5EY</v>
          </cell>
          <cell r="B723" t="str">
            <v>Q25</v>
          </cell>
          <cell r="C723" t="str">
            <v/>
          </cell>
          <cell r="D723" t="str">
            <v/>
          </cell>
          <cell r="AH723" t="str">
            <v/>
          </cell>
        </row>
        <row r="724">
          <cell r="A724" t="str">
            <v>5F1</v>
          </cell>
          <cell r="B724" t="str">
            <v>Q21</v>
          </cell>
          <cell r="C724" t="str">
            <v/>
          </cell>
          <cell r="D724" t="str">
            <v/>
          </cell>
          <cell r="AH724" t="str">
            <v/>
          </cell>
        </row>
        <row r="725">
          <cell r="A725" t="str">
            <v>5F2</v>
          </cell>
          <cell r="B725" t="str">
            <v>Q13</v>
          </cell>
          <cell r="C725" t="str">
            <v/>
          </cell>
          <cell r="D725" t="str">
            <v/>
          </cell>
          <cell r="AH725" t="str">
            <v/>
          </cell>
        </row>
        <row r="726">
          <cell r="A726" t="str">
            <v>5F3</v>
          </cell>
          <cell r="B726" t="str">
            <v>Q13</v>
          </cell>
          <cell r="C726" t="str">
            <v/>
          </cell>
          <cell r="D726" t="str">
            <v/>
          </cell>
          <cell r="AH726" t="str">
            <v/>
          </cell>
        </row>
        <row r="727">
          <cell r="A727" t="str">
            <v>5F4</v>
          </cell>
          <cell r="B727" t="str">
            <v>Q14</v>
          </cell>
          <cell r="C727" t="str">
            <v/>
          </cell>
          <cell r="D727" t="str">
            <v/>
          </cell>
          <cell r="AH727" t="str">
            <v/>
          </cell>
        </row>
        <row r="728">
          <cell r="A728" t="str">
            <v>5F5</v>
          </cell>
          <cell r="B728" t="str">
            <v>Q14</v>
          </cell>
          <cell r="C728" t="str">
            <v/>
          </cell>
          <cell r="D728" t="str">
            <v/>
          </cell>
          <cell r="AH728" t="str">
            <v/>
          </cell>
        </row>
        <row r="729">
          <cell r="A729" t="str">
            <v>5F6</v>
          </cell>
          <cell r="B729" t="str">
            <v>Q14</v>
          </cell>
          <cell r="C729" t="str">
            <v/>
          </cell>
          <cell r="D729" t="str">
            <v/>
          </cell>
          <cell r="AH729" t="str">
            <v/>
          </cell>
        </row>
        <row r="730">
          <cell r="A730" t="str">
            <v>5F7</v>
          </cell>
          <cell r="B730" t="str">
            <v>Q14</v>
          </cell>
          <cell r="C730" t="str">
            <v/>
          </cell>
          <cell r="D730" t="str">
            <v/>
          </cell>
          <cell r="AH730" t="str">
            <v/>
          </cell>
        </row>
        <row r="731">
          <cell r="A731" t="str">
            <v>5F8</v>
          </cell>
          <cell r="B731" t="str">
            <v>Q15</v>
          </cell>
          <cell r="C731" t="str">
            <v/>
          </cell>
          <cell r="D731" t="str">
            <v/>
          </cell>
          <cell r="AH731" t="str">
            <v/>
          </cell>
        </row>
        <row r="732">
          <cell r="A732" t="str">
            <v>5F9</v>
          </cell>
          <cell r="B732" t="str">
            <v>Q15</v>
          </cell>
          <cell r="C732" t="str">
            <v/>
          </cell>
          <cell r="D732" t="str">
            <v/>
          </cell>
          <cell r="AH732" t="str">
            <v/>
          </cell>
        </row>
        <row r="733">
          <cell r="A733" t="str">
            <v>5FA</v>
          </cell>
          <cell r="B733" t="str">
            <v>Q24</v>
          </cell>
          <cell r="C733" t="str">
            <v/>
          </cell>
          <cell r="D733" t="str">
            <v/>
          </cell>
          <cell r="AH733" t="str">
            <v/>
          </cell>
        </row>
        <row r="734">
          <cell r="A734" t="str">
            <v>5FC</v>
          </cell>
          <cell r="B734" t="str">
            <v>Q24</v>
          </cell>
          <cell r="C734" t="str">
            <v/>
          </cell>
          <cell r="D734" t="str">
            <v/>
          </cell>
          <cell r="AH734" t="str">
            <v/>
          </cell>
        </row>
        <row r="735">
          <cell r="A735" t="str">
            <v>5FD</v>
          </cell>
          <cell r="B735" t="str">
            <v>Q17</v>
          </cell>
          <cell r="C735" t="str">
            <v/>
          </cell>
          <cell r="D735" t="str">
            <v/>
          </cell>
          <cell r="AH735" t="str">
            <v/>
          </cell>
        </row>
        <row r="736">
          <cell r="A736" t="str">
            <v>5FE</v>
          </cell>
          <cell r="B736" t="str">
            <v>Q17</v>
          </cell>
          <cell r="C736" t="str">
            <v/>
          </cell>
          <cell r="D736" t="str">
            <v/>
          </cell>
          <cell r="AH736" t="str">
            <v/>
          </cell>
        </row>
        <row r="737">
          <cell r="A737" t="str">
            <v>5FF</v>
          </cell>
          <cell r="B737" t="str">
            <v>Q18</v>
          </cell>
          <cell r="C737" t="str">
            <v/>
          </cell>
          <cell r="D737" t="str">
            <v/>
          </cell>
          <cell r="AH737" t="str">
            <v/>
          </cell>
        </row>
        <row r="738">
          <cell r="A738" t="str">
            <v>5FH</v>
          </cell>
          <cell r="B738" t="str">
            <v>Q19</v>
          </cell>
          <cell r="C738" t="str">
            <v/>
          </cell>
          <cell r="D738" t="str">
            <v/>
          </cell>
          <cell r="AH738" t="str">
            <v/>
          </cell>
        </row>
        <row r="739">
          <cell r="A739" t="str">
            <v>5FJ</v>
          </cell>
          <cell r="B739" t="str">
            <v>Q19</v>
          </cell>
          <cell r="C739" t="str">
            <v/>
          </cell>
          <cell r="D739" t="str">
            <v/>
          </cell>
          <cell r="AH739" t="str">
            <v/>
          </cell>
        </row>
        <row r="740">
          <cell r="A740" t="str">
            <v>5FK</v>
          </cell>
          <cell r="B740" t="str">
            <v>Q19</v>
          </cell>
          <cell r="C740" t="str">
            <v/>
          </cell>
          <cell r="D740" t="str">
            <v/>
          </cell>
          <cell r="AH740" t="str">
            <v/>
          </cell>
        </row>
        <row r="741">
          <cell r="A741" t="str">
            <v>5FL</v>
          </cell>
          <cell r="B741" t="str">
            <v>Q20</v>
          </cell>
          <cell r="C741" t="str">
            <v/>
          </cell>
          <cell r="D741" t="str">
            <v/>
          </cell>
          <cell r="AH741" t="str">
            <v/>
          </cell>
        </row>
        <row r="742">
          <cell r="A742" t="str">
            <v>5FM</v>
          </cell>
          <cell r="B742" t="str">
            <v>Q21</v>
          </cell>
          <cell r="C742" t="str">
            <v/>
          </cell>
          <cell r="D742" t="str">
            <v/>
          </cell>
          <cell r="AH742" t="str">
            <v/>
          </cell>
        </row>
        <row r="743">
          <cell r="A743" t="str">
            <v>5FN</v>
          </cell>
          <cell r="B743" t="str">
            <v>Q22</v>
          </cell>
          <cell r="C743" t="str">
            <v/>
          </cell>
          <cell r="D743" t="str">
            <v/>
          </cell>
          <cell r="AH743" t="str">
            <v/>
          </cell>
        </row>
        <row r="744">
          <cell r="A744" t="str">
            <v>5FP</v>
          </cell>
          <cell r="B744" t="str">
            <v>Q22</v>
          </cell>
          <cell r="C744" t="str">
            <v/>
          </cell>
          <cell r="D744" t="str">
            <v/>
          </cell>
          <cell r="AH744" t="str">
            <v/>
          </cell>
        </row>
        <row r="745">
          <cell r="A745" t="str">
            <v>5FQ</v>
          </cell>
          <cell r="B745" t="str">
            <v>Q21</v>
          </cell>
          <cell r="C745" t="str">
            <v/>
          </cell>
          <cell r="D745" t="str">
            <v/>
          </cell>
          <cell r="AH745" t="str">
            <v/>
          </cell>
        </row>
        <row r="746">
          <cell r="A746" t="str">
            <v>5FR</v>
          </cell>
          <cell r="B746" t="str">
            <v>Q21</v>
          </cell>
          <cell r="C746" t="str">
            <v/>
          </cell>
          <cell r="D746" t="str">
            <v/>
          </cell>
          <cell r="AH746" t="str">
            <v/>
          </cell>
        </row>
        <row r="747">
          <cell r="A747" t="str">
            <v>5FT</v>
          </cell>
          <cell r="B747" t="str">
            <v>Q21</v>
          </cell>
          <cell r="C747" t="str">
            <v/>
          </cell>
          <cell r="D747" t="str">
            <v/>
          </cell>
          <cell r="AH747" t="str">
            <v/>
          </cell>
        </row>
        <row r="748">
          <cell r="A748" t="str">
            <v>5FV</v>
          </cell>
          <cell r="B748" t="str">
            <v>Q21</v>
          </cell>
          <cell r="C748" t="str">
            <v/>
          </cell>
          <cell r="D748" t="str">
            <v/>
          </cell>
          <cell r="AH748" t="str">
            <v/>
          </cell>
        </row>
        <row r="749">
          <cell r="A749" t="str">
            <v>5FW</v>
          </cell>
          <cell r="B749" t="str">
            <v>Q22</v>
          </cell>
          <cell r="C749" t="str">
            <v/>
          </cell>
          <cell r="D749" t="str">
            <v/>
          </cell>
          <cell r="AH749" t="str">
            <v/>
          </cell>
        </row>
        <row r="750">
          <cell r="A750" t="str">
            <v>5FX</v>
          </cell>
          <cell r="B750" t="str">
            <v>Q22</v>
          </cell>
          <cell r="C750" t="str">
            <v/>
          </cell>
          <cell r="D750" t="str">
            <v/>
          </cell>
          <cell r="AH750" t="str">
            <v/>
          </cell>
        </row>
        <row r="751">
          <cell r="A751" t="str">
            <v>5FY</v>
          </cell>
          <cell r="B751" t="str">
            <v>Q21</v>
          </cell>
          <cell r="C751" t="str">
            <v/>
          </cell>
          <cell r="D751" t="str">
            <v/>
          </cell>
          <cell r="AH751" t="str">
            <v/>
          </cell>
        </row>
        <row r="752">
          <cell r="A752" t="str">
            <v>5G1</v>
          </cell>
          <cell r="B752" t="str">
            <v>Q01</v>
          </cell>
          <cell r="C752" t="str">
            <v/>
          </cell>
          <cell r="D752" t="str">
            <v/>
          </cell>
          <cell r="AH752" t="str">
            <v/>
          </cell>
        </row>
        <row r="753">
          <cell r="A753" t="str">
            <v>5G2</v>
          </cell>
          <cell r="B753" t="str">
            <v>Q16</v>
          </cell>
          <cell r="C753" t="str">
            <v/>
          </cell>
          <cell r="D753" t="str">
            <v/>
          </cell>
          <cell r="AH753" t="str">
            <v/>
          </cell>
        </row>
        <row r="754">
          <cell r="A754" t="str">
            <v>5G3</v>
          </cell>
          <cell r="B754" t="str">
            <v>Q16</v>
          </cell>
          <cell r="C754" t="str">
            <v/>
          </cell>
          <cell r="D754" t="str">
            <v/>
          </cell>
          <cell r="AH754" t="str">
            <v/>
          </cell>
        </row>
        <row r="755">
          <cell r="A755" t="str">
            <v>5G4</v>
          </cell>
          <cell r="B755" t="str">
            <v>Q16</v>
          </cell>
          <cell r="C755" t="str">
            <v/>
          </cell>
          <cell r="D755" t="str">
            <v/>
          </cell>
          <cell r="AH755" t="str">
            <v/>
          </cell>
        </row>
        <row r="756">
          <cell r="A756" t="str">
            <v>5G5</v>
          </cell>
          <cell r="B756" t="str">
            <v>Q16</v>
          </cell>
          <cell r="C756" t="str">
            <v/>
          </cell>
          <cell r="D756" t="str">
            <v/>
          </cell>
          <cell r="AH756" t="str">
            <v/>
          </cell>
        </row>
        <row r="757">
          <cell r="A757" t="str">
            <v>5G6</v>
          </cell>
          <cell r="B757" t="str">
            <v>Q17</v>
          </cell>
          <cell r="C757" t="str">
            <v/>
          </cell>
          <cell r="D757" t="str">
            <v/>
          </cell>
          <cell r="AH757" t="str">
            <v/>
          </cell>
        </row>
        <row r="758">
          <cell r="A758" t="str">
            <v>5G7</v>
          </cell>
          <cell r="B758" t="str">
            <v>Q13</v>
          </cell>
          <cell r="C758" t="str">
            <v/>
          </cell>
          <cell r="D758" t="str">
            <v/>
          </cell>
          <cell r="AH758" t="str">
            <v/>
          </cell>
        </row>
        <row r="759">
          <cell r="A759" t="str">
            <v>5G8</v>
          </cell>
          <cell r="B759" t="str">
            <v>Q13</v>
          </cell>
          <cell r="C759" t="str">
            <v/>
          </cell>
          <cell r="D759" t="str">
            <v/>
          </cell>
          <cell r="AH759" t="str">
            <v/>
          </cell>
        </row>
        <row r="760">
          <cell r="A760" t="str">
            <v>5G9</v>
          </cell>
          <cell r="B760" t="str">
            <v>Q15</v>
          </cell>
          <cell r="C760" t="str">
            <v/>
          </cell>
          <cell r="D760" t="str">
            <v/>
          </cell>
          <cell r="AH760" t="str">
            <v/>
          </cell>
        </row>
        <row r="761">
          <cell r="A761" t="str">
            <v>5GC</v>
          </cell>
          <cell r="B761" t="str">
            <v>Q02</v>
          </cell>
          <cell r="C761" t="str">
            <v/>
          </cell>
          <cell r="D761" t="str">
            <v/>
          </cell>
          <cell r="AH761" t="str">
            <v/>
          </cell>
        </row>
        <row r="762">
          <cell r="A762" t="str">
            <v>5GD</v>
          </cell>
          <cell r="B762" t="str">
            <v>Q02</v>
          </cell>
          <cell r="C762" t="str">
            <v/>
          </cell>
          <cell r="D762" t="str">
            <v/>
          </cell>
          <cell r="AH762" t="str">
            <v/>
          </cell>
        </row>
        <row r="763">
          <cell r="A763" t="str">
            <v>5GE</v>
          </cell>
          <cell r="B763" t="str">
            <v>Q02</v>
          </cell>
          <cell r="C763" t="str">
            <v/>
          </cell>
          <cell r="D763" t="str">
            <v/>
          </cell>
          <cell r="AH763" t="str">
            <v/>
          </cell>
        </row>
        <row r="764">
          <cell r="A764" t="str">
            <v>5GF</v>
          </cell>
          <cell r="B764" t="str">
            <v>Q01</v>
          </cell>
          <cell r="C764" t="str">
            <v/>
          </cell>
          <cell r="D764" t="str">
            <v/>
          </cell>
          <cell r="AH764" t="str">
            <v/>
          </cell>
        </row>
        <row r="765">
          <cell r="A765" t="str">
            <v>5GG</v>
          </cell>
          <cell r="B765" t="str">
            <v>Q02</v>
          </cell>
          <cell r="C765" t="str">
            <v/>
          </cell>
          <cell r="D765" t="str">
            <v/>
          </cell>
          <cell r="AH765" t="str">
            <v/>
          </cell>
        </row>
        <row r="766">
          <cell r="A766" t="str">
            <v>5GH</v>
          </cell>
          <cell r="B766" t="str">
            <v>Q02</v>
          </cell>
          <cell r="C766" t="str">
            <v/>
          </cell>
          <cell r="D766" t="str">
            <v/>
          </cell>
          <cell r="AH766" t="str">
            <v/>
          </cell>
        </row>
        <row r="767">
          <cell r="A767" t="str">
            <v>5GJ</v>
          </cell>
          <cell r="B767" t="str">
            <v>Q02</v>
          </cell>
          <cell r="C767" t="str">
            <v/>
          </cell>
          <cell r="D767" t="str">
            <v/>
          </cell>
          <cell r="AH767" t="str">
            <v/>
          </cell>
        </row>
        <row r="768">
          <cell r="A768" t="str">
            <v>5GK</v>
          </cell>
          <cell r="B768" t="str">
            <v>Q02</v>
          </cell>
          <cell r="C768" t="str">
            <v/>
          </cell>
          <cell r="D768" t="str">
            <v/>
          </cell>
          <cell r="AH768" t="str">
            <v/>
          </cell>
        </row>
        <row r="769">
          <cell r="A769" t="str">
            <v>5GL</v>
          </cell>
          <cell r="B769" t="str">
            <v>Q03</v>
          </cell>
          <cell r="C769" t="str">
            <v/>
          </cell>
          <cell r="D769" t="str">
            <v/>
          </cell>
          <cell r="AH769" t="str">
            <v/>
          </cell>
        </row>
        <row r="770">
          <cell r="A770" t="str">
            <v>5GM</v>
          </cell>
          <cell r="B770" t="str">
            <v>Q03</v>
          </cell>
          <cell r="C770" t="str">
            <v/>
          </cell>
          <cell r="D770" t="str">
            <v/>
          </cell>
          <cell r="AH770" t="str">
            <v/>
          </cell>
        </row>
        <row r="771">
          <cell r="A771" t="str">
            <v>5GN</v>
          </cell>
          <cell r="B771" t="str">
            <v>Q03</v>
          </cell>
          <cell r="C771" t="str">
            <v/>
          </cell>
          <cell r="D771" t="str">
            <v/>
          </cell>
          <cell r="AH771" t="str">
            <v/>
          </cell>
        </row>
        <row r="772">
          <cell r="A772" t="str">
            <v>5GP</v>
          </cell>
          <cell r="B772" t="str">
            <v>Q03</v>
          </cell>
          <cell r="C772" t="str">
            <v/>
          </cell>
          <cell r="D772" t="str">
            <v/>
          </cell>
          <cell r="AH772" t="str">
            <v/>
          </cell>
        </row>
        <row r="773">
          <cell r="A773" t="str">
            <v>5GQ</v>
          </cell>
          <cell r="B773" t="str">
            <v>Q03</v>
          </cell>
          <cell r="C773" t="str">
            <v/>
          </cell>
          <cell r="D773" t="str">
            <v/>
          </cell>
          <cell r="AH773" t="str">
            <v/>
          </cell>
        </row>
        <row r="774">
          <cell r="A774" t="str">
            <v>5GR</v>
          </cell>
          <cell r="B774" t="str">
            <v>Q03</v>
          </cell>
          <cell r="C774" t="str">
            <v/>
          </cell>
          <cell r="D774" t="str">
            <v/>
          </cell>
          <cell r="AH774" t="str">
            <v/>
          </cell>
        </row>
        <row r="775">
          <cell r="A775" t="str">
            <v>5GT</v>
          </cell>
          <cell r="B775" t="str">
            <v>Q01</v>
          </cell>
          <cell r="C775" t="str">
            <v/>
          </cell>
          <cell r="D775" t="str">
            <v/>
          </cell>
          <cell r="AH775" t="str">
            <v/>
          </cell>
        </row>
        <row r="776">
          <cell r="A776" t="str">
            <v>5GV</v>
          </cell>
          <cell r="B776" t="str">
            <v>Q02</v>
          </cell>
          <cell r="C776" t="str">
            <v/>
          </cell>
          <cell r="D776" t="str">
            <v/>
          </cell>
          <cell r="AH776" t="str">
            <v/>
          </cell>
        </row>
        <row r="777">
          <cell r="A777" t="str">
            <v>5GW</v>
          </cell>
          <cell r="B777" t="str">
            <v>Q02</v>
          </cell>
          <cell r="C777" t="str">
            <v/>
          </cell>
          <cell r="D777" t="str">
            <v/>
          </cell>
          <cell r="AH777" t="str">
            <v/>
          </cell>
        </row>
        <row r="778">
          <cell r="A778" t="str">
            <v>5GX</v>
          </cell>
          <cell r="B778" t="str">
            <v>Q02</v>
          </cell>
          <cell r="C778" t="str">
            <v/>
          </cell>
          <cell r="D778" t="str">
            <v/>
          </cell>
          <cell r="AH778" t="str">
            <v/>
          </cell>
        </row>
        <row r="779">
          <cell r="A779" t="str">
            <v>5H1</v>
          </cell>
          <cell r="B779" t="str">
            <v>Q04</v>
          </cell>
          <cell r="C779" t="str">
            <v/>
          </cell>
          <cell r="D779" t="str">
            <v/>
          </cell>
          <cell r="AH779" t="str">
            <v/>
          </cell>
        </row>
        <row r="780">
          <cell r="A780" t="str">
            <v>5H2</v>
          </cell>
          <cell r="B780" t="str">
            <v>Q15</v>
          </cell>
          <cell r="C780" t="str">
            <v/>
          </cell>
          <cell r="D780" t="str">
            <v/>
          </cell>
          <cell r="AH780" t="str">
            <v/>
          </cell>
        </row>
        <row r="781">
          <cell r="A781" t="str">
            <v>5H3</v>
          </cell>
          <cell r="B781" t="str">
            <v>Q15</v>
          </cell>
          <cell r="C781" t="str">
            <v/>
          </cell>
          <cell r="D781" t="str">
            <v/>
          </cell>
          <cell r="AH781" t="str">
            <v/>
          </cell>
        </row>
        <row r="782">
          <cell r="A782" t="str">
            <v>5H4</v>
          </cell>
          <cell r="B782" t="str">
            <v>Q15</v>
          </cell>
          <cell r="C782" t="str">
            <v/>
          </cell>
          <cell r="D782" t="str">
            <v/>
          </cell>
          <cell r="AH782" t="str">
            <v/>
          </cell>
        </row>
        <row r="783">
          <cell r="A783" t="str">
            <v>5H5</v>
          </cell>
          <cell r="B783" t="str">
            <v>Q15</v>
          </cell>
          <cell r="C783" t="str">
            <v/>
          </cell>
          <cell r="D783" t="str">
            <v/>
          </cell>
          <cell r="AH783" t="str">
            <v/>
          </cell>
        </row>
        <row r="784">
          <cell r="A784" t="str">
            <v>5H6</v>
          </cell>
          <cell r="B784" t="str">
            <v>Q15</v>
          </cell>
          <cell r="C784" t="str">
            <v/>
          </cell>
          <cell r="D784" t="str">
            <v/>
          </cell>
          <cell r="AH784" t="str">
            <v/>
          </cell>
        </row>
        <row r="785">
          <cell r="A785" t="str">
            <v>5H7</v>
          </cell>
          <cell r="B785" t="str">
            <v>Q24</v>
          </cell>
          <cell r="C785" t="str">
            <v/>
          </cell>
          <cell r="D785" t="str">
            <v/>
          </cell>
          <cell r="AH785" t="str">
            <v/>
          </cell>
        </row>
        <row r="786">
          <cell r="A786" t="str">
            <v>5H8</v>
          </cell>
          <cell r="B786" t="str">
            <v>Q23</v>
          </cell>
          <cell r="C786" t="str">
            <v/>
          </cell>
          <cell r="D786" t="str">
            <v/>
          </cell>
          <cell r="AH786" t="str">
            <v/>
          </cell>
        </row>
        <row r="787">
          <cell r="A787" t="str">
            <v>5H9</v>
          </cell>
          <cell r="B787" t="str">
            <v>Q24</v>
          </cell>
          <cell r="C787" t="str">
            <v/>
          </cell>
          <cell r="D787" t="str">
            <v/>
          </cell>
          <cell r="AH787" t="str">
            <v/>
          </cell>
        </row>
        <row r="788">
          <cell r="A788" t="str">
            <v>5HA</v>
          </cell>
          <cell r="B788" t="str">
            <v>Q15</v>
          </cell>
          <cell r="C788" t="str">
            <v/>
          </cell>
          <cell r="D788" t="str">
            <v/>
          </cell>
          <cell r="AH788" t="str">
            <v/>
          </cell>
        </row>
        <row r="789">
          <cell r="A789" t="str">
            <v>5HC</v>
          </cell>
          <cell r="B789" t="str">
            <v>Q15</v>
          </cell>
          <cell r="C789" t="str">
            <v/>
          </cell>
          <cell r="D789" t="str">
            <v/>
          </cell>
          <cell r="AH789" t="str">
            <v/>
          </cell>
        </row>
        <row r="790">
          <cell r="A790" t="str">
            <v>5HD</v>
          </cell>
          <cell r="B790" t="str">
            <v>Q13</v>
          </cell>
          <cell r="C790" t="str">
            <v/>
          </cell>
          <cell r="D790" t="str">
            <v/>
          </cell>
          <cell r="AH790" t="str">
            <v/>
          </cell>
        </row>
        <row r="791">
          <cell r="A791" t="str">
            <v>5HE</v>
          </cell>
          <cell r="B791" t="str">
            <v>Q13</v>
          </cell>
          <cell r="C791" t="str">
            <v/>
          </cell>
          <cell r="D791" t="str">
            <v/>
          </cell>
          <cell r="AH791" t="str">
            <v/>
          </cell>
        </row>
        <row r="792">
          <cell r="A792" t="str">
            <v>5HF</v>
          </cell>
          <cell r="B792" t="str">
            <v>Q13</v>
          </cell>
          <cell r="C792" t="str">
            <v/>
          </cell>
          <cell r="D792" t="str">
            <v/>
          </cell>
          <cell r="AH792" t="str">
            <v/>
          </cell>
        </row>
        <row r="793">
          <cell r="A793" t="str">
            <v>5HG</v>
          </cell>
          <cell r="B793" t="str">
            <v>Q14</v>
          </cell>
          <cell r="C793" t="str">
            <v/>
          </cell>
          <cell r="D793" t="str">
            <v/>
          </cell>
          <cell r="AH793" t="str">
            <v/>
          </cell>
        </row>
        <row r="794">
          <cell r="A794" t="str">
            <v>5HH</v>
          </cell>
          <cell r="B794" t="str">
            <v>Q12</v>
          </cell>
          <cell r="C794" t="str">
            <v/>
          </cell>
          <cell r="D794" t="str">
            <v/>
          </cell>
          <cell r="AH794" t="str">
            <v/>
          </cell>
        </row>
        <row r="795">
          <cell r="A795" t="str">
            <v>5HJ</v>
          </cell>
          <cell r="B795" t="str">
            <v>Q12</v>
          </cell>
          <cell r="C795" t="str">
            <v/>
          </cell>
          <cell r="D795" t="str">
            <v/>
          </cell>
          <cell r="AH795" t="str">
            <v/>
          </cell>
        </row>
        <row r="796">
          <cell r="A796" t="str">
            <v>5HK</v>
          </cell>
          <cell r="B796" t="str">
            <v>Q12</v>
          </cell>
          <cell r="C796" t="str">
            <v/>
          </cell>
          <cell r="D796" t="str">
            <v/>
          </cell>
          <cell r="AH796" t="str">
            <v/>
          </cell>
        </row>
        <row r="797">
          <cell r="A797" t="str">
            <v>5HL</v>
          </cell>
          <cell r="B797" t="str">
            <v>Q12</v>
          </cell>
          <cell r="C797" t="str">
            <v/>
          </cell>
          <cell r="D797" t="str">
            <v/>
          </cell>
          <cell r="AH797" t="str">
            <v/>
          </cell>
        </row>
        <row r="798">
          <cell r="A798" t="str">
            <v>5HM</v>
          </cell>
          <cell r="B798" t="str">
            <v>Q12</v>
          </cell>
          <cell r="C798" t="str">
            <v/>
          </cell>
          <cell r="D798" t="str">
            <v/>
          </cell>
          <cell r="AH798" t="str">
            <v/>
          </cell>
        </row>
        <row r="799">
          <cell r="A799" t="str">
            <v>5HN</v>
          </cell>
          <cell r="B799" t="str">
            <v>Q24</v>
          </cell>
          <cell r="C799" t="str">
            <v/>
          </cell>
          <cell r="D799" t="str">
            <v/>
          </cell>
          <cell r="AH799" t="str">
            <v/>
          </cell>
        </row>
        <row r="800">
          <cell r="A800" t="str">
            <v>5HP</v>
          </cell>
          <cell r="B800" t="str">
            <v>Q13</v>
          </cell>
          <cell r="C800" t="str">
            <v/>
          </cell>
          <cell r="D800" t="str">
            <v/>
          </cell>
          <cell r="AH800" t="str">
            <v/>
          </cell>
        </row>
        <row r="801">
          <cell r="A801" t="str">
            <v>5HQ</v>
          </cell>
          <cell r="B801" t="str">
            <v>Q14</v>
          </cell>
          <cell r="C801" t="str">
            <v/>
          </cell>
          <cell r="D801" t="str">
            <v/>
          </cell>
          <cell r="AH801" t="str">
            <v/>
          </cell>
        </row>
        <row r="802">
          <cell r="A802" t="str">
            <v>5HR</v>
          </cell>
          <cell r="B802" t="str">
            <v>Q26</v>
          </cell>
          <cell r="C802" t="str">
            <v/>
          </cell>
          <cell r="D802" t="str">
            <v/>
          </cell>
          <cell r="AH802" t="str">
            <v/>
          </cell>
        </row>
        <row r="803">
          <cell r="A803" t="str">
            <v>5HT</v>
          </cell>
          <cell r="B803" t="str">
            <v>Q27</v>
          </cell>
          <cell r="C803" t="str">
            <v/>
          </cell>
          <cell r="D803" t="str">
            <v/>
          </cell>
          <cell r="AH803" t="str">
            <v/>
          </cell>
        </row>
        <row r="804">
          <cell r="A804" t="str">
            <v>5HV</v>
          </cell>
          <cell r="B804" t="str">
            <v>Q27</v>
          </cell>
          <cell r="C804" t="str">
            <v/>
          </cell>
          <cell r="D804" t="str">
            <v/>
          </cell>
          <cell r="AH804" t="str">
            <v/>
          </cell>
        </row>
        <row r="805">
          <cell r="A805" t="str">
            <v>5HW</v>
          </cell>
          <cell r="B805" t="str">
            <v>Q26</v>
          </cell>
          <cell r="C805" t="str">
            <v/>
          </cell>
          <cell r="D805" t="str">
            <v/>
          </cell>
          <cell r="AH805" t="str">
            <v/>
          </cell>
        </row>
        <row r="806">
          <cell r="A806" t="str">
            <v>5HX</v>
          </cell>
          <cell r="B806" t="str">
            <v>Q04</v>
          </cell>
          <cell r="C806" t="str">
            <v/>
          </cell>
          <cell r="D806" t="str">
            <v/>
          </cell>
          <cell r="AH806" t="str">
            <v/>
          </cell>
        </row>
        <row r="807">
          <cell r="A807" t="str">
            <v>5HY</v>
          </cell>
          <cell r="B807" t="str">
            <v>Q04</v>
          </cell>
          <cell r="C807" t="str">
            <v/>
          </cell>
          <cell r="D807" t="str">
            <v/>
          </cell>
          <cell r="AH807" t="str">
            <v/>
          </cell>
        </row>
        <row r="808">
          <cell r="A808" t="str">
            <v>5J1</v>
          </cell>
          <cell r="B808" t="str">
            <v>Q15</v>
          </cell>
          <cell r="C808" t="str">
            <v/>
          </cell>
          <cell r="D808" t="str">
            <v/>
          </cell>
          <cell r="AH808" t="str">
            <v/>
          </cell>
        </row>
        <row r="809">
          <cell r="A809" t="str">
            <v>5J2</v>
          </cell>
          <cell r="B809" t="str">
            <v>Q15</v>
          </cell>
          <cell r="C809" t="str">
            <v/>
          </cell>
          <cell r="D809" t="str">
            <v/>
          </cell>
          <cell r="AH809" t="str">
            <v/>
          </cell>
        </row>
        <row r="810">
          <cell r="A810" t="str">
            <v>5J3</v>
          </cell>
          <cell r="B810" t="str">
            <v>Q15</v>
          </cell>
          <cell r="C810" t="str">
            <v/>
          </cell>
          <cell r="D810" t="str">
            <v/>
          </cell>
          <cell r="AH810" t="str">
            <v/>
          </cell>
        </row>
        <row r="811">
          <cell r="A811" t="str">
            <v>5J4</v>
          </cell>
          <cell r="B811" t="str">
            <v>Q15</v>
          </cell>
          <cell r="C811" t="str">
            <v/>
          </cell>
          <cell r="D811" t="str">
            <v/>
          </cell>
          <cell r="AH811" t="str">
            <v/>
          </cell>
        </row>
        <row r="812">
          <cell r="A812" t="str">
            <v>5J5</v>
          </cell>
          <cell r="B812" t="str">
            <v>Q14</v>
          </cell>
          <cell r="C812" t="str">
            <v/>
          </cell>
          <cell r="D812" t="str">
            <v/>
          </cell>
          <cell r="AH812" t="str">
            <v/>
          </cell>
        </row>
        <row r="813">
          <cell r="A813" t="str">
            <v>5J6</v>
          </cell>
          <cell r="B813" t="str">
            <v>Q12</v>
          </cell>
          <cell r="C813" t="str">
            <v/>
          </cell>
          <cell r="D813" t="str">
            <v/>
          </cell>
          <cell r="AH813" t="str">
            <v/>
          </cell>
        </row>
        <row r="814">
          <cell r="A814" t="str">
            <v>5J7</v>
          </cell>
          <cell r="B814" t="str">
            <v>Q12</v>
          </cell>
          <cell r="C814" t="str">
            <v/>
          </cell>
          <cell r="D814" t="str">
            <v/>
          </cell>
          <cell r="AH814" t="str">
            <v/>
          </cell>
        </row>
        <row r="815">
          <cell r="A815" t="str">
            <v>5J8</v>
          </cell>
          <cell r="B815" t="str">
            <v>Q10</v>
          </cell>
          <cell r="C815" t="str">
            <v/>
          </cell>
          <cell r="D815" t="str">
            <v/>
          </cell>
          <cell r="AH815" t="str">
            <v/>
          </cell>
        </row>
        <row r="816">
          <cell r="A816" t="str">
            <v>5J9</v>
          </cell>
          <cell r="B816" t="str">
            <v>Q10</v>
          </cell>
          <cell r="C816" t="str">
            <v/>
          </cell>
          <cell r="D816" t="str">
            <v/>
          </cell>
          <cell r="AH816" t="str">
            <v/>
          </cell>
        </row>
        <row r="817">
          <cell r="A817" t="str">
            <v>5JA</v>
          </cell>
          <cell r="B817" t="str">
            <v>Q25</v>
          </cell>
          <cell r="C817" t="str">
            <v/>
          </cell>
          <cell r="D817" t="str">
            <v/>
          </cell>
          <cell r="AH817" t="str">
            <v/>
          </cell>
        </row>
        <row r="818">
          <cell r="A818" t="str">
            <v>5JC</v>
          </cell>
          <cell r="B818" t="str">
            <v>Q25</v>
          </cell>
          <cell r="C818" t="str">
            <v/>
          </cell>
          <cell r="D818" t="str">
            <v/>
          </cell>
          <cell r="AH818" t="str">
            <v/>
          </cell>
        </row>
        <row r="819">
          <cell r="A819" t="str">
            <v>5JD</v>
          </cell>
          <cell r="B819" t="str">
            <v>Q25</v>
          </cell>
          <cell r="C819" t="str">
            <v/>
          </cell>
          <cell r="D819" t="str">
            <v/>
          </cell>
          <cell r="AH819" t="str">
            <v/>
          </cell>
        </row>
        <row r="820">
          <cell r="A820" t="str">
            <v>5JE</v>
          </cell>
          <cell r="B820" t="str">
            <v>Q23</v>
          </cell>
          <cell r="C820" t="str">
            <v/>
          </cell>
          <cell r="D820" t="str">
            <v/>
          </cell>
          <cell r="AH820" t="str">
            <v/>
          </cell>
        </row>
        <row r="821">
          <cell r="A821" t="str">
            <v>5JF</v>
          </cell>
          <cell r="B821" t="str">
            <v>Q20</v>
          </cell>
          <cell r="C821" t="str">
            <v/>
          </cell>
          <cell r="D821" t="str">
            <v/>
          </cell>
          <cell r="AH821" t="str">
            <v/>
          </cell>
        </row>
        <row r="822">
          <cell r="A822" t="str">
            <v>5JG</v>
          </cell>
          <cell r="B822" t="str">
            <v>Q20</v>
          </cell>
          <cell r="C822" t="str">
            <v/>
          </cell>
          <cell r="D822" t="str">
            <v/>
          </cell>
          <cell r="AH822" t="str">
            <v/>
          </cell>
        </row>
        <row r="823">
          <cell r="A823" t="str">
            <v>5JH</v>
          </cell>
          <cell r="B823" t="str">
            <v>Q01</v>
          </cell>
          <cell r="C823" t="str">
            <v/>
          </cell>
          <cell r="D823" t="str">
            <v/>
          </cell>
          <cell r="AH823" t="str">
            <v/>
          </cell>
        </row>
        <row r="824">
          <cell r="A824" t="str">
            <v>5JJ</v>
          </cell>
          <cell r="B824" t="str">
            <v>Q01</v>
          </cell>
          <cell r="C824" t="str">
            <v/>
          </cell>
          <cell r="D824" t="str">
            <v/>
          </cell>
          <cell r="AH824" t="str">
            <v/>
          </cell>
        </row>
        <row r="825">
          <cell r="A825" t="str">
            <v>5JK</v>
          </cell>
          <cell r="B825" t="str">
            <v>Q01</v>
          </cell>
          <cell r="C825" t="str">
            <v/>
          </cell>
          <cell r="D825" t="str">
            <v/>
          </cell>
          <cell r="AH825" t="str">
            <v/>
          </cell>
        </row>
        <row r="826">
          <cell r="A826" t="str">
            <v>5JL</v>
          </cell>
          <cell r="B826" t="str">
            <v>Q01</v>
          </cell>
          <cell r="C826" t="str">
            <v/>
          </cell>
          <cell r="D826" t="str">
            <v/>
          </cell>
          <cell r="AH826" t="str">
            <v/>
          </cell>
        </row>
        <row r="827">
          <cell r="A827" t="str">
            <v>5JM</v>
          </cell>
          <cell r="B827" t="str">
            <v>Q01</v>
          </cell>
          <cell r="C827" t="str">
            <v/>
          </cell>
          <cell r="D827" t="str">
            <v/>
          </cell>
          <cell r="AH827" t="str">
            <v/>
          </cell>
        </row>
        <row r="828">
          <cell r="A828" t="str">
            <v>5JN</v>
          </cell>
          <cell r="B828" t="str">
            <v>Q03</v>
          </cell>
          <cell r="C828" t="str">
            <v/>
          </cell>
          <cell r="D828" t="str">
            <v/>
          </cell>
          <cell r="AH828" t="str">
            <v/>
          </cell>
        </row>
        <row r="829">
          <cell r="A829" t="str">
            <v>5JP</v>
          </cell>
          <cell r="B829" t="str">
            <v>Q03</v>
          </cell>
          <cell r="C829" t="str">
            <v/>
          </cell>
          <cell r="D829" t="str">
            <v/>
          </cell>
          <cell r="AH829" t="str">
            <v/>
          </cell>
        </row>
        <row r="830">
          <cell r="A830" t="str">
            <v>5JQ</v>
          </cell>
          <cell r="B830" t="str">
            <v>Q01</v>
          </cell>
          <cell r="C830" t="str">
            <v/>
          </cell>
          <cell r="D830" t="str">
            <v/>
          </cell>
          <cell r="AH830" t="str">
            <v/>
          </cell>
        </row>
        <row r="831">
          <cell r="A831" t="str">
            <v>5JR</v>
          </cell>
          <cell r="B831" t="str">
            <v>Q01</v>
          </cell>
          <cell r="C831" t="str">
            <v/>
          </cell>
          <cell r="D831" t="str">
            <v/>
          </cell>
          <cell r="AH831" t="str">
            <v/>
          </cell>
        </row>
        <row r="832">
          <cell r="A832" t="str">
            <v>5JT</v>
          </cell>
          <cell r="B832" t="str">
            <v>Q01</v>
          </cell>
          <cell r="C832" t="str">
            <v/>
          </cell>
          <cell r="D832" t="str">
            <v/>
          </cell>
          <cell r="AH832" t="str">
            <v/>
          </cell>
        </row>
        <row r="833">
          <cell r="A833" t="str">
            <v>5JV</v>
          </cell>
          <cell r="B833" t="str">
            <v>Q01</v>
          </cell>
          <cell r="C833" t="str">
            <v/>
          </cell>
          <cell r="D833" t="str">
            <v/>
          </cell>
          <cell r="AH833" t="str">
            <v/>
          </cell>
        </row>
        <row r="834">
          <cell r="A834" t="str">
            <v>5JW</v>
          </cell>
          <cell r="B834" t="str">
            <v>Q01</v>
          </cell>
          <cell r="C834" t="str">
            <v/>
          </cell>
          <cell r="D834" t="str">
            <v/>
          </cell>
          <cell r="AH834" t="str">
            <v/>
          </cell>
        </row>
        <row r="835">
          <cell r="A835" t="str">
            <v>5JX</v>
          </cell>
          <cell r="B835" t="str">
            <v>Q14</v>
          </cell>
          <cell r="C835" t="str">
            <v/>
          </cell>
          <cell r="D835" t="str">
            <v/>
          </cell>
          <cell r="AH835" t="str">
            <v/>
          </cell>
        </row>
        <row r="836">
          <cell r="A836" t="str">
            <v>5JY</v>
          </cell>
          <cell r="B836" t="str">
            <v>Q14</v>
          </cell>
          <cell r="C836" t="str">
            <v/>
          </cell>
          <cell r="D836" t="str">
            <v/>
          </cell>
          <cell r="AH836" t="str">
            <v/>
          </cell>
        </row>
        <row r="837">
          <cell r="A837" t="str">
            <v>5K1</v>
          </cell>
          <cell r="B837" t="str">
            <v>Q22</v>
          </cell>
          <cell r="C837" t="str">
            <v/>
          </cell>
          <cell r="D837" t="str">
            <v/>
          </cell>
          <cell r="AH837" t="str">
            <v/>
          </cell>
        </row>
        <row r="838">
          <cell r="A838" t="str">
            <v>5K2</v>
          </cell>
          <cell r="B838" t="str">
            <v>Q22</v>
          </cell>
          <cell r="C838" t="str">
            <v/>
          </cell>
          <cell r="D838" t="str">
            <v/>
          </cell>
          <cell r="AH838" t="str">
            <v/>
          </cell>
        </row>
        <row r="839">
          <cell r="A839" t="str">
            <v>5K3</v>
          </cell>
          <cell r="B839" t="str">
            <v>Q20</v>
          </cell>
          <cell r="C839" t="str">
            <v/>
          </cell>
          <cell r="D839" t="str">
            <v/>
          </cell>
          <cell r="AH839" t="str">
            <v/>
          </cell>
        </row>
        <row r="840">
          <cell r="A840" t="str">
            <v>5K4</v>
          </cell>
          <cell r="B840" t="str">
            <v>Q20</v>
          </cell>
          <cell r="C840" t="str">
            <v/>
          </cell>
          <cell r="D840" t="str">
            <v/>
          </cell>
          <cell r="AH840" t="str">
            <v/>
          </cell>
        </row>
        <row r="841">
          <cell r="A841" t="str">
            <v>5K5</v>
          </cell>
          <cell r="B841" t="str">
            <v>Q04</v>
          </cell>
          <cell r="C841" t="str">
            <v/>
          </cell>
          <cell r="D841" t="str">
            <v/>
          </cell>
          <cell r="AH841" t="str">
            <v/>
          </cell>
        </row>
        <row r="842">
          <cell r="A842" t="str">
            <v>5K6</v>
          </cell>
          <cell r="B842" t="str">
            <v>Q04</v>
          </cell>
          <cell r="C842" t="str">
            <v/>
          </cell>
          <cell r="D842" t="str">
            <v/>
          </cell>
          <cell r="AH842" t="str">
            <v/>
          </cell>
        </row>
        <row r="843">
          <cell r="A843" t="str">
            <v>5K7</v>
          </cell>
          <cell r="B843" t="str">
            <v>Q05</v>
          </cell>
          <cell r="C843" t="str">
            <v/>
          </cell>
          <cell r="D843" t="str">
            <v/>
          </cell>
          <cell r="AH843" t="str">
            <v/>
          </cell>
        </row>
        <row r="844">
          <cell r="A844" t="str">
            <v>5K8</v>
          </cell>
          <cell r="B844" t="str">
            <v>Q05</v>
          </cell>
          <cell r="C844" t="str">
            <v/>
          </cell>
          <cell r="D844" t="str">
            <v/>
          </cell>
          <cell r="AH844" t="str">
            <v/>
          </cell>
        </row>
        <row r="845">
          <cell r="A845" t="str">
            <v>5K9</v>
          </cell>
          <cell r="B845" t="str">
            <v>Q08</v>
          </cell>
          <cell r="C845" t="str">
            <v/>
          </cell>
          <cell r="D845" t="str">
            <v/>
          </cell>
          <cell r="AH845" t="str">
            <v/>
          </cell>
        </row>
        <row r="846">
          <cell r="A846" t="str">
            <v>5KA</v>
          </cell>
          <cell r="B846" t="str">
            <v>Q10</v>
          </cell>
          <cell r="C846" t="str">
            <v/>
          </cell>
          <cell r="D846" t="str">
            <v/>
          </cell>
          <cell r="AH846" t="str">
            <v/>
          </cell>
        </row>
        <row r="847">
          <cell r="A847" t="str">
            <v>5KC</v>
          </cell>
          <cell r="B847" t="str">
            <v>Q10</v>
          </cell>
          <cell r="C847" t="str">
            <v/>
          </cell>
          <cell r="D847" t="str">
            <v/>
          </cell>
          <cell r="AH847" t="str">
            <v/>
          </cell>
        </row>
        <row r="848">
          <cell r="A848" t="str">
            <v>5KD</v>
          </cell>
          <cell r="B848" t="str">
            <v>Q10</v>
          </cell>
          <cell r="C848" t="str">
            <v/>
          </cell>
          <cell r="D848" t="str">
            <v/>
          </cell>
          <cell r="AH848" t="str">
            <v/>
          </cell>
        </row>
        <row r="849">
          <cell r="A849" t="str">
            <v>5KE</v>
          </cell>
          <cell r="B849" t="str">
            <v>Q10</v>
          </cell>
          <cell r="C849" t="str">
            <v/>
          </cell>
          <cell r="D849" t="str">
            <v/>
          </cell>
          <cell r="AH849" t="str">
            <v/>
          </cell>
        </row>
        <row r="850">
          <cell r="A850" t="str">
            <v>5KF</v>
          </cell>
          <cell r="B850" t="str">
            <v>Q09</v>
          </cell>
          <cell r="C850" t="str">
            <v/>
          </cell>
          <cell r="D850" t="str">
            <v/>
          </cell>
          <cell r="AH850" t="str">
            <v/>
          </cell>
        </row>
        <row r="851">
          <cell r="A851" t="str">
            <v>5KG</v>
          </cell>
          <cell r="B851" t="str">
            <v>Q09</v>
          </cell>
          <cell r="C851" t="str">
            <v/>
          </cell>
          <cell r="D851" t="str">
            <v/>
          </cell>
          <cell r="AH851" t="str">
            <v/>
          </cell>
        </row>
        <row r="852">
          <cell r="A852" t="str">
            <v>5KH</v>
          </cell>
          <cell r="B852" t="str">
            <v>Q11</v>
          </cell>
          <cell r="C852" t="str">
            <v/>
          </cell>
          <cell r="D852" t="str">
            <v/>
          </cell>
          <cell r="AH852" t="str">
            <v/>
          </cell>
        </row>
        <row r="853">
          <cell r="A853" t="str">
            <v>5KJ</v>
          </cell>
          <cell r="B853" t="str">
            <v>Q11</v>
          </cell>
          <cell r="C853" t="str">
            <v/>
          </cell>
          <cell r="D853" t="str">
            <v/>
          </cell>
          <cell r="AH853" t="str">
            <v/>
          </cell>
        </row>
        <row r="854">
          <cell r="A854" t="str">
            <v>5KK</v>
          </cell>
          <cell r="B854" t="str">
            <v>Q11</v>
          </cell>
          <cell r="C854" t="str">
            <v/>
          </cell>
          <cell r="D854" t="str">
            <v/>
          </cell>
          <cell r="AH854" t="str">
            <v/>
          </cell>
        </row>
        <row r="855">
          <cell r="A855" t="str">
            <v>5KL</v>
          </cell>
          <cell r="B855" t="str">
            <v>Q09</v>
          </cell>
          <cell r="C855" t="str">
            <v/>
          </cell>
          <cell r="D855" t="str">
            <v/>
          </cell>
          <cell r="AH855" t="str">
            <v/>
          </cell>
        </row>
        <row r="856">
          <cell r="A856" t="str">
            <v>5KM</v>
          </cell>
          <cell r="B856" t="str">
            <v>Q10</v>
          </cell>
          <cell r="C856" t="str">
            <v/>
          </cell>
          <cell r="D856" t="str">
            <v/>
          </cell>
          <cell r="AH856" t="str">
            <v/>
          </cell>
        </row>
        <row r="857">
          <cell r="A857" t="str">
            <v>5KN</v>
          </cell>
          <cell r="B857" t="str">
            <v>Q10</v>
          </cell>
          <cell r="C857" t="str">
            <v/>
          </cell>
          <cell r="D857" t="str">
            <v/>
          </cell>
          <cell r="AH857" t="str">
            <v/>
          </cell>
        </row>
        <row r="858">
          <cell r="A858" t="str">
            <v>5KP</v>
          </cell>
          <cell r="B858" t="str">
            <v>Q19</v>
          </cell>
          <cell r="C858" t="str">
            <v/>
          </cell>
          <cell r="D858" t="str">
            <v/>
          </cell>
          <cell r="AH858" t="str">
            <v/>
          </cell>
        </row>
        <row r="859">
          <cell r="A859" t="str">
            <v>5KQ</v>
          </cell>
          <cell r="B859" t="str">
            <v>Q19</v>
          </cell>
          <cell r="C859" t="str">
            <v/>
          </cell>
          <cell r="D859" t="str">
            <v/>
          </cell>
          <cell r="AH859" t="str">
            <v/>
          </cell>
        </row>
        <row r="860">
          <cell r="A860" t="str">
            <v>5KR</v>
          </cell>
          <cell r="B860" t="str">
            <v>Q21</v>
          </cell>
          <cell r="C860" t="str">
            <v/>
          </cell>
          <cell r="D860" t="str">
            <v/>
          </cell>
          <cell r="AH860" t="str">
            <v/>
          </cell>
        </row>
        <row r="861">
          <cell r="A861" t="str">
            <v>5KT</v>
          </cell>
          <cell r="B861" t="str">
            <v>Q21</v>
          </cell>
          <cell r="C861" t="str">
            <v/>
          </cell>
          <cell r="D861" t="str">
            <v/>
          </cell>
          <cell r="AH861" t="str">
            <v/>
          </cell>
        </row>
        <row r="862">
          <cell r="A862" t="str">
            <v>5KV</v>
          </cell>
          <cell r="B862" t="str">
            <v>Q22</v>
          </cell>
          <cell r="C862" t="str">
            <v/>
          </cell>
          <cell r="D862" t="str">
            <v/>
          </cell>
          <cell r="AH862" t="str">
            <v/>
          </cell>
        </row>
        <row r="863">
          <cell r="A863" t="str">
            <v>5KW</v>
          </cell>
          <cell r="B863" t="str">
            <v>Q20</v>
          </cell>
          <cell r="C863" t="str">
            <v/>
          </cell>
          <cell r="D863" t="str">
            <v/>
          </cell>
          <cell r="AH863" t="str">
            <v/>
          </cell>
        </row>
        <row r="864">
          <cell r="A864" t="str">
            <v>5KX</v>
          </cell>
          <cell r="B864" t="str">
            <v>Q20</v>
          </cell>
          <cell r="C864" t="str">
            <v/>
          </cell>
          <cell r="D864" t="str">
            <v/>
          </cell>
          <cell r="AH864" t="str">
            <v/>
          </cell>
        </row>
        <row r="865">
          <cell r="A865" t="str">
            <v>5KY</v>
          </cell>
          <cell r="B865" t="str">
            <v>Q20</v>
          </cell>
          <cell r="C865" t="str">
            <v/>
          </cell>
          <cell r="D865" t="str">
            <v/>
          </cell>
          <cell r="AH865" t="str">
            <v/>
          </cell>
        </row>
        <row r="866">
          <cell r="A866" t="str">
            <v>5L1</v>
          </cell>
          <cell r="B866" t="str">
            <v>Q17</v>
          </cell>
          <cell r="C866" t="str">
            <v/>
          </cell>
          <cell r="D866" t="str">
            <v/>
          </cell>
          <cell r="AH866" t="str">
            <v/>
          </cell>
        </row>
        <row r="867">
          <cell r="A867" t="str">
            <v>5L2</v>
          </cell>
          <cell r="B867" t="str">
            <v>Q18</v>
          </cell>
          <cell r="C867" t="str">
            <v/>
          </cell>
          <cell r="D867" t="str">
            <v/>
          </cell>
          <cell r="AH867" t="str">
            <v/>
          </cell>
        </row>
        <row r="868">
          <cell r="A868" t="str">
            <v>5L3</v>
          </cell>
          <cell r="B868" t="str">
            <v>Q18</v>
          </cell>
          <cell r="C868" t="str">
            <v/>
          </cell>
          <cell r="D868" t="str">
            <v/>
          </cell>
          <cell r="AH868" t="str">
            <v/>
          </cell>
        </row>
        <row r="869">
          <cell r="A869" t="str">
            <v>5L4</v>
          </cell>
          <cell r="B869" t="str">
            <v>Q18</v>
          </cell>
          <cell r="C869" t="str">
            <v/>
          </cell>
          <cell r="D869" t="str">
            <v/>
          </cell>
          <cell r="AH869" t="str">
            <v/>
          </cell>
        </row>
        <row r="870">
          <cell r="A870" t="str">
            <v>5L5</v>
          </cell>
          <cell r="B870" t="str">
            <v>Q19</v>
          </cell>
          <cell r="C870" t="str">
            <v/>
          </cell>
          <cell r="D870" t="str">
            <v/>
          </cell>
          <cell r="AH870" t="str">
            <v/>
          </cell>
        </row>
        <row r="871">
          <cell r="A871" t="str">
            <v>5L6</v>
          </cell>
          <cell r="B871" t="str">
            <v>Q19</v>
          </cell>
          <cell r="C871" t="str">
            <v/>
          </cell>
          <cell r="D871" t="str">
            <v/>
          </cell>
          <cell r="AH871" t="str">
            <v/>
          </cell>
        </row>
        <row r="872">
          <cell r="A872" t="str">
            <v>5L7</v>
          </cell>
          <cell r="B872" t="str">
            <v>Q19</v>
          </cell>
          <cell r="C872" t="str">
            <v/>
          </cell>
          <cell r="D872" t="str">
            <v/>
          </cell>
          <cell r="AH872" t="str">
            <v/>
          </cell>
        </row>
        <row r="873">
          <cell r="A873" t="str">
            <v>5L8</v>
          </cell>
          <cell r="B873" t="str">
            <v>Q19</v>
          </cell>
          <cell r="C873" t="str">
            <v/>
          </cell>
          <cell r="D873" t="str">
            <v/>
          </cell>
          <cell r="AH873" t="str">
            <v/>
          </cell>
        </row>
        <row r="874">
          <cell r="A874" t="str">
            <v>5L9</v>
          </cell>
          <cell r="B874" t="str">
            <v>Q19</v>
          </cell>
          <cell r="C874" t="str">
            <v/>
          </cell>
          <cell r="D874" t="str">
            <v/>
          </cell>
          <cell r="AH874" t="str">
            <v/>
          </cell>
        </row>
        <row r="875">
          <cell r="A875" t="str">
            <v>5LA</v>
          </cell>
          <cell r="B875" t="str">
            <v>Q04</v>
          </cell>
          <cell r="C875" t="str">
            <v/>
          </cell>
          <cell r="D875" t="str">
            <v/>
          </cell>
          <cell r="AH875" t="str">
            <v/>
          </cell>
        </row>
        <row r="876">
          <cell r="A876" t="str">
            <v>5LC</v>
          </cell>
          <cell r="B876" t="str">
            <v>Q04</v>
          </cell>
          <cell r="C876" t="str">
            <v/>
          </cell>
          <cell r="D876" t="str">
            <v/>
          </cell>
          <cell r="AH876" t="str">
            <v/>
          </cell>
        </row>
        <row r="877">
          <cell r="A877" t="str">
            <v>5LD</v>
          </cell>
          <cell r="B877" t="str">
            <v>Q07</v>
          </cell>
          <cell r="C877" t="str">
            <v/>
          </cell>
          <cell r="D877" t="str">
            <v/>
          </cell>
          <cell r="AH877" t="str">
            <v/>
          </cell>
        </row>
        <row r="878">
          <cell r="A878" t="str">
            <v>5LE</v>
          </cell>
          <cell r="B878" t="str">
            <v>Q07</v>
          </cell>
          <cell r="C878" t="str">
            <v/>
          </cell>
          <cell r="D878" t="str">
            <v/>
          </cell>
          <cell r="AH878" t="str">
            <v/>
          </cell>
        </row>
        <row r="879">
          <cell r="A879" t="str">
            <v>5LF</v>
          </cell>
          <cell r="B879" t="str">
            <v>Q07</v>
          </cell>
          <cell r="C879" t="str">
            <v/>
          </cell>
          <cell r="D879" t="str">
            <v/>
          </cell>
          <cell r="AH879" t="str">
            <v/>
          </cell>
        </row>
        <row r="880">
          <cell r="A880" t="str">
            <v>5LG</v>
          </cell>
          <cell r="B880" t="str">
            <v>Q08</v>
          </cell>
          <cell r="C880" t="str">
            <v/>
          </cell>
          <cell r="D880" t="str">
            <v/>
          </cell>
          <cell r="AH880" t="str">
            <v/>
          </cell>
        </row>
        <row r="881">
          <cell r="A881" t="str">
            <v>5LH</v>
          </cell>
          <cell r="B881" t="str">
            <v>Q14</v>
          </cell>
          <cell r="C881" t="str">
            <v/>
          </cell>
          <cell r="D881" t="str">
            <v/>
          </cell>
          <cell r="AH881" t="str">
            <v/>
          </cell>
        </row>
        <row r="882">
          <cell r="A882" t="str">
            <v>5LJ</v>
          </cell>
          <cell r="B882" t="str">
            <v>Q12</v>
          </cell>
          <cell r="C882" t="str">
            <v/>
          </cell>
          <cell r="D882" t="str">
            <v/>
          </cell>
          <cell r="AH882" t="str">
            <v/>
          </cell>
        </row>
        <row r="883">
          <cell r="A883" t="str">
            <v>5LK</v>
          </cell>
          <cell r="B883" t="str">
            <v>Q12</v>
          </cell>
          <cell r="C883" t="str">
            <v/>
          </cell>
          <cell r="D883" t="str">
            <v/>
          </cell>
          <cell r="AH883" t="str">
            <v/>
          </cell>
        </row>
        <row r="884">
          <cell r="A884" t="str">
            <v>5LL</v>
          </cell>
          <cell r="B884" t="str">
            <v>Q18</v>
          </cell>
          <cell r="C884" t="str">
            <v/>
          </cell>
          <cell r="D884" t="str">
            <v/>
          </cell>
          <cell r="AH884" t="str">
            <v/>
          </cell>
        </row>
        <row r="885">
          <cell r="A885" t="str">
            <v>5LM</v>
          </cell>
          <cell r="B885" t="str">
            <v>Q18</v>
          </cell>
          <cell r="C885" t="str">
            <v/>
          </cell>
          <cell r="D885" t="str">
            <v/>
          </cell>
          <cell r="AH885" t="str">
            <v/>
          </cell>
        </row>
        <row r="886">
          <cell r="A886" t="str">
            <v>5LN</v>
          </cell>
          <cell r="B886" t="str">
            <v>Q18</v>
          </cell>
          <cell r="C886" t="str">
            <v/>
          </cell>
          <cell r="D886" t="str">
            <v/>
          </cell>
          <cell r="AH886" t="str">
            <v/>
          </cell>
        </row>
        <row r="887">
          <cell r="A887" t="str">
            <v>5LP</v>
          </cell>
          <cell r="B887" t="str">
            <v>Q18</v>
          </cell>
          <cell r="C887" t="str">
            <v/>
          </cell>
          <cell r="D887" t="str">
            <v/>
          </cell>
          <cell r="AH887" t="str">
            <v/>
          </cell>
        </row>
        <row r="888">
          <cell r="A888" t="str">
            <v>5LQ</v>
          </cell>
          <cell r="B888" t="str">
            <v>Q19</v>
          </cell>
          <cell r="C888" t="str">
            <v/>
          </cell>
          <cell r="D888" t="str">
            <v/>
          </cell>
          <cell r="AH888" t="str">
            <v/>
          </cell>
        </row>
        <row r="889">
          <cell r="A889" t="str">
            <v>5LR</v>
          </cell>
          <cell r="B889" t="str">
            <v>Q19</v>
          </cell>
          <cell r="C889" t="str">
            <v/>
          </cell>
          <cell r="D889" t="str">
            <v/>
          </cell>
          <cell r="AH889" t="str">
            <v/>
          </cell>
        </row>
        <row r="890">
          <cell r="A890" t="str">
            <v>5LT</v>
          </cell>
          <cell r="B890" t="str">
            <v>Q19</v>
          </cell>
          <cell r="C890" t="str">
            <v/>
          </cell>
          <cell r="D890" t="str">
            <v/>
          </cell>
          <cell r="AH890" t="str">
            <v/>
          </cell>
        </row>
        <row r="891">
          <cell r="A891" t="str">
            <v>5LV</v>
          </cell>
          <cell r="B891" t="str">
            <v>Q25</v>
          </cell>
          <cell r="C891" t="str">
            <v/>
          </cell>
          <cell r="D891" t="str">
            <v/>
          </cell>
          <cell r="AH891" t="str">
            <v/>
          </cell>
        </row>
        <row r="892">
          <cell r="A892" t="str">
            <v>5LW</v>
          </cell>
          <cell r="B892" t="str">
            <v>Q25</v>
          </cell>
          <cell r="C892" t="str">
            <v/>
          </cell>
          <cell r="D892" t="str">
            <v/>
          </cell>
          <cell r="AH892" t="str">
            <v/>
          </cell>
        </row>
        <row r="893">
          <cell r="A893" t="str">
            <v>5LX</v>
          </cell>
          <cell r="B893" t="str">
            <v>Q17</v>
          </cell>
          <cell r="C893" t="str">
            <v/>
          </cell>
          <cell r="D893" t="str">
            <v/>
          </cell>
          <cell r="AH893" t="str">
            <v/>
          </cell>
        </row>
        <row r="894">
          <cell r="A894" t="str">
            <v>5LY</v>
          </cell>
          <cell r="B894" t="str">
            <v>Q17</v>
          </cell>
          <cell r="C894" t="str">
            <v/>
          </cell>
          <cell r="D894" t="str">
            <v/>
          </cell>
          <cell r="AH894" t="str">
            <v/>
          </cell>
        </row>
        <row r="895">
          <cell r="A895" t="str">
            <v>5M1</v>
          </cell>
          <cell r="B895" t="str">
            <v>Q27</v>
          </cell>
          <cell r="C895" t="str">
            <v/>
          </cell>
          <cell r="D895" t="str">
            <v/>
          </cell>
          <cell r="AH895" t="str">
            <v/>
          </cell>
        </row>
        <row r="896">
          <cell r="A896" t="str">
            <v>5M2</v>
          </cell>
          <cell r="B896" t="str">
            <v>Q26</v>
          </cell>
          <cell r="C896" t="str">
            <v/>
          </cell>
          <cell r="D896" t="str">
            <v/>
          </cell>
          <cell r="AH896" t="str">
            <v/>
          </cell>
        </row>
        <row r="897">
          <cell r="A897" t="str">
            <v>5M3</v>
          </cell>
          <cell r="B897" t="str">
            <v>Q27</v>
          </cell>
          <cell r="C897" t="str">
            <v/>
          </cell>
          <cell r="D897" t="str">
            <v/>
          </cell>
          <cell r="AH897" t="str">
            <v/>
          </cell>
        </row>
        <row r="898">
          <cell r="A898" t="str">
            <v>5M5</v>
          </cell>
          <cell r="B898" t="str">
            <v>Q15</v>
          </cell>
          <cell r="C898" t="str">
            <v/>
          </cell>
          <cell r="D898" t="str">
            <v/>
          </cell>
          <cell r="AH898" t="str">
            <v/>
          </cell>
        </row>
        <row r="899">
          <cell r="A899" t="str">
            <v>5M6</v>
          </cell>
          <cell r="B899" t="str">
            <v>Q08</v>
          </cell>
          <cell r="C899" t="str">
            <v/>
          </cell>
          <cell r="D899" t="str">
            <v/>
          </cell>
          <cell r="AH899" t="str">
            <v/>
          </cell>
        </row>
        <row r="900">
          <cell r="A900" t="str">
            <v>5M7</v>
          </cell>
          <cell r="B900" t="str">
            <v>Q08</v>
          </cell>
          <cell r="C900" t="str">
            <v/>
          </cell>
          <cell r="D900" t="str">
            <v/>
          </cell>
          <cell r="AH900" t="str">
            <v/>
          </cell>
        </row>
        <row r="901">
          <cell r="A901" t="str">
            <v>5M8</v>
          </cell>
          <cell r="B901" t="str">
            <v>Q20</v>
          </cell>
          <cell r="C901" t="str">
            <v/>
          </cell>
          <cell r="D901" t="str">
            <v/>
          </cell>
          <cell r="AH901" t="str">
            <v/>
          </cell>
        </row>
        <row r="902">
          <cell r="A902" t="str">
            <v>5M9</v>
          </cell>
          <cell r="B902" t="str">
            <v>Q28</v>
          </cell>
          <cell r="C902" t="str">
            <v/>
          </cell>
          <cell r="D902" t="str">
            <v/>
          </cell>
          <cell r="AH902" t="str">
            <v/>
          </cell>
        </row>
        <row r="903">
          <cell r="A903" t="str">
            <v>5MA</v>
          </cell>
          <cell r="B903" t="str">
            <v>Q19</v>
          </cell>
          <cell r="C903" t="str">
            <v/>
          </cell>
          <cell r="D903" t="str">
            <v/>
          </cell>
          <cell r="AH903" t="str">
            <v/>
          </cell>
        </row>
        <row r="904">
          <cell r="A904" t="str">
            <v>5MC</v>
          </cell>
          <cell r="B904" t="str">
            <v>Q19</v>
          </cell>
          <cell r="C904" t="str">
            <v/>
          </cell>
          <cell r="D904" t="str">
            <v/>
          </cell>
          <cell r="AH904" t="str">
            <v/>
          </cell>
        </row>
        <row r="905">
          <cell r="A905" t="str">
            <v>5MD</v>
          </cell>
          <cell r="B905" t="str">
            <v>Q28</v>
          </cell>
          <cell r="C905" t="str">
            <v/>
          </cell>
          <cell r="D905" t="str">
            <v/>
          </cell>
          <cell r="AH905" t="str">
            <v/>
          </cell>
        </row>
        <row r="906">
          <cell r="A906" t="str">
            <v>5ME</v>
          </cell>
          <cell r="B906" t="str">
            <v>Q26</v>
          </cell>
          <cell r="C906" t="str">
            <v/>
          </cell>
          <cell r="D906" t="str">
            <v/>
          </cell>
          <cell r="AH906" t="str">
            <v/>
          </cell>
        </row>
        <row r="907">
          <cell r="A907" t="str">
            <v>5MF</v>
          </cell>
          <cell r="B907" t="str">
            <v>Q26</v>
          </cell>
          <cell r="C907" t="str">
            <v/>
          </cell>
          <cell r="D907" t="str">
            <v/>
          </cell>
          <cell r="AH907" t="str">
            <v/>
          </cell>
        </row>
        <row r="908">
          <cell r="A908" t="str">
            <v>5MG</v>
          </cell>
          <cell r="B908" t="str">
            <v>Q27</v>
          </cell>
          <cell r="C908" t="str">
            <v/>
          </cell>
          <cell r="D908" t="str">
            <v/>
          </cell>
          <cell r="AH908" t="str">
            <v/>
          </cell>
        </row>
        <row r="909">
          <cell r="A909" t="str">
            <v>5MH</v>
          </cell>
          <cell r="B909" t="str">
            <v>Q27</v>
          </cell>
          <cell r="C909" t="str">
            <v/>
          </cell>
          <cell r="D909" t="str">
            <v/>
          </cell>
          <cell r="AH909" t="str">
            <v/>
          </cell>
        </row>
        <row r="910">
          <cell r="A910" t="str">
            <v>5MJ</v>
          </cell>
          <cell r="B910" t="str">
            <v>Q27</v>
          </cell>
          <cell r="C910" t="str">
            <v/>
          </cell>
          <cell r="D910" t="str">
            <v/>
          </cell>
          <cell r="AH910" t="str">
            <v/>
          </cell>
        </row>
        <row r="911">
          <cell r="A911" t="str">
            <v>5MK</v>
          </cell>
          <cell r="B911" t="str">
            <v>Q26</v>
          </cell>
          <cell r="C911" t="str">
            <v/>
          </cell>
          <cell r="D911" t="str">
            <v/>
          </cell>
          <cell r="AH911" t="str">
            <v/>
          </cell>
        </row>
        <row r="912">
          <cell r="A912" t="str">
            <v>5ML</v>
          </cell>
          <cell r="B912" t="str">
            <v>Q26</v>
          </cell>
          <cell r="C912" t="str">
            <v/>
          </cell>
          <cell r="D912" t="str">
            <v/>
          </cell>
          <cell r="AH912" t="str">
            <v/>
          </cell>
        </row>
        <row r="913">
          <cell r="A913" t="str">
            <v>5MM</v>
          </cell>
          <cell r="B913" t="str">
            <v>Q26</v>
          </cell>
          <cell r="C913" t="str">
            <v/>
          </cell>
          <cell r="D913" t="str">
            <v/>
          </cell>
          <cell r="AH913" t="str">
            <v/>
          </cell>
        </row>
        <row r="914">
          <cell r="A914" t="str">
            <v>5MN</v>
          </cell>
          <cell r="B914" t="str">
            <v>Q26</v>
          </cell>
          <cell r="C914" t="str">
            <v/>
          </cell>
          <cell r="D914" t="str">
            <v/>
          </cell>
          <cell r="AH914" t="str">
            <v/>
          </cell>
        </row>
        <row r="915">
          <cell r="A915" t="str">
            <v>5MP</v>
          </cell>
          <cell r="B915" t="str">
            <v>Q28</v>
          </cell>
          <cell r="C915" t="str">
            <v/>
          </cell>
          <cell r="D915" t="str">
            <v/>
          </cell>
          <cell r="AH915" t="str">
            <v/>
          </cell>
        </row>
        <row r="916">
          <cell r="A916" t="str">
            <v>5MQ</v>
          </cell>
          <cell r="B916" t="str">
            <v>Q28</v>
          </cell>
          <cell r="C916" t="str">
            <v/>
          </cell>
          <cell r="D916" t="str">
            <v/>
          </cell>
          <cell r="AH916" t="str">
            <v/>
          </cell>
        </row>
        <row r="917">
          <cell r="A917" t="str">
            <v>5MR</v>
          </cell>
          <cell r="B917" t="str">
            <v>Q28</v>
          </cell>
          <cell r="C917" t="str">
            <v/>
          </cell>
          <cell r="D917" t="str">
            <v/>
          </cell>
          <cell r="AH917" t="str">
            <v/>
          </cell>
        </row>
        <row r="918">
          <cell r="A918" t="str">
            <v>5MT</v>
          </cell>
          <cell r="B918" t="str">
            <v>Q28</v>
          </cell>
          <cell r="C918" t="str">
            <v/>
          </cell>
          <cell r="D918" t="str">
            <v/>
          </cell>
          <cell r="AH918" t="str">
            <v/>
          </cell>
        </row>
        <row r="919">
          <cell r="A919" t="str">
            <v>5MV</v>
          </cell>
          <cell r="B919" t="str">
            <v>Q27</v>
          </cell>
          <cell r="C919" t="str">
            <v/>
          </cell>
          <cell r="D919" t="str">
            <v/>
          </cell>
          <cell r="AH919" t="str">
            <v/>
          </cell>
        </row>
        <row r="920">
          <cell r="A920" t="str">
            <v>5MW</v>
          </cell>
          <cell r="B920" t="str">
            <v>Q27</v>
          </cell>
          <cell r="C920" t="str">
            <v/>
          </cell>
          <cell r="D920" t="str">
            <v/>
          </cell>
          <cell r="AH920" t="str">
            <v/>
          </cell>
        </row>
        <row r="921">
          <cell r="A921" t="str">
            <v>5MX</v>
          </cell>
          <cell r="B921" t="str">
            <v>Q27</v>
          </cell>
          <cell r="C921" t="str">
            <v/>
          </cell>
          <cell r="D921" t="str">
            <v/>
          </cell>
          <cell r="AH921" t="str">
            <v/>
          </cell>
        </row>
        <row r="922">
          <cell r="A922" t="str">
            <v>5MY</v>
          </cell>
          <cell r="B922" t="str">
            <v>Q27</v>
          </cell>
          <cell r="C922" t="str">
            <v/>
          </cell>
          <cell r="D922" t="str">
            <v/>
          </cell>
          <cell r="AH922" t="str">
            <v/>
          </cell>
        </row>
        <row r="923">
          <cell r="A923" t="str">
            <v>5NA</v>
          </cell>
          <cell r="B923" t="str">
            <v>Q06</v>
          </cell>
          <cell r="C923" t="str">
            <v/>
          </cell>
          <cell r="D923" t="str">
            <v/>
          </cell>
          <cell r="AH923" t="str">
            <v/>
          </cell>
        </row>
        <row r="924">
          <cell r="A924" t="str">
            <v>5NC</v>
          </cell>
          <cell r="B924" t="str">
            <v>Q06</v>
          </cell>
          <cell r="C924" t="str">
            <v/>
          </cell>
          <cell r="D924" t="str">
            <v/>
          </cell>
          <cell r="AH924" t="str">
            <v/>
          </cell>
        </row>
        <row r="925">
          <cell r="A925" t="str">
            <v>RA0</v>
          </cell>
          <cell r="B925" t="str">
            <v>Q08</v>
          </cell>
          <cell r="C925" t="str">
            <v/>
          </cell>
          <cell r="D925" t="str">
            <v/>
          </cell>
          <cell r="AH925" t="str">
            <v/>
          </cell>
        </row>
        <row r="926">
          <cell r="A926" t="str">
            <v>RA2</v>
          </cell>
          <cell r="B926" t="str">
            <v>Q19</v>
          </cell>
          <cell r="C926" t="str">
            <v/>
          </cell>
          <cell r="D926" t="str">
            <v/>
          </cell>
          <cell r="AH926">
            <v>2</v>
          </cell>
        </row>
        <row r="927">
          <cell r="A927" t="str">
            <v>RA3</v>
          </cell>
          <cell r="B927" t="str">
            <v>Q20</v>
          </cell>
          <cell r="C927" t="str">
            <v/>
          </cell>
          <cell r="D927" t="str">
            <v/>
          </cell>
          <cell r="AH927">
            <v>2</v>
          </cell>
        </row>
        <row r="928">
          <cell r="A928" t="str">
            <v>RA4</v>
          </cell>
          <cell r="B928" t="str">
            <v>Q22</v>
          </cell>
          <cell r="C928" t="str">
            <v/>
          </cell>
          <cell r="D928" t="str">
            <v/>
          </cell>
          <cell r="AH928">
            <v>1</v>
          </cell>
        </row>
        <row r="929">
          <cell r="A929" t="str">
            <v>RA7</v>
          </cell>
          <cell r="B929" t="str">
            <v>Q20</v>
          </cell>
          <cell r="C929" t="str">
            <v/>
          </cell>
          <cell r="D929" t="str">
            <v/>
          </cell>
          <cell r="AH929">
            <v>5</v>
          </cell>
        </row>
        <row r="930">
          <cell r="A930" t="str">
            <v>RA9</v>
          </cell>
          <cell r="B930" t="str">
            <v>Q21</v>
          </cell>
          <cell r="C930" t="str">
            <v/>
          </cell>
          <cell r="D930" t="str">
            <v/>
          </cell>
          <cell r="AH930">
            <v>1</v>
          </cell>
        </row>
        <row r="931">
          <cell r="A931" t="str">
            <v>RAE</v>
          </cell>
          <cell r="B931" t="str">
            <v>Q12</v>
          </cell>
          <cell r="C931" t="str">
            <v/>
          </cell>
          <cell r="D931" t="str">
            <v/>
          </cell>
          <cell r="AH931">
            <v>2</v>
          </cell>
        </row>
        <row r="932">
          <cell r="A932" t="str">
            <v>RAJ</v>
          </cell>
          <cell r="B932" t="str">
            <v>Q03</v>
          </cell>
          <cell r="C932" t="str">
            <v/>
          </cell>
          <cell r="D932" t="str">
            <v/>
          </cell>
          <cell r="AH932">
            <v>1</v>
          </cell>
        </row>
        <row r="933">
          <cell r="A933" t="str">
            <v>RAL</v>
          </cell>
          <cell r="B933" t="str">
            <v>Q05</v>
          </cell>
          <cell r="C933" t="str">
            <v/>
          </cell>
          <cell r="D933" t="str">
            <v/>
          </cell>
          <cell r="AH933">
            <v>6</v>
          </cell>
        </row>
        <row r="934">
          <cell r="A934" t="str">
            <v>RAN</v>
          </cell>
          <cell r="B934" t="str">
            <v>Q05</v>
          </cell>
          <cell r="C934" t="str">
            <v/>
          </cell>
          <cell r="D934" t="str">
            <v/>
          </cell>
          <cell r="AH934">
            <v>0</v>
          </cell>
        </row>
        <row r="935">
          <cell r="A935" t="str">
            <v>RAP</v>
          </cell>
          <cell r="B935" t="str">
            <v>Q05</v>
          </cell>
          <cell r="C935" t="str">
            <v/>
          </cell>
          <cell r="D935" t="str">
            <v/>
          </cell>
          <cell r="AH935">
            <v>2</v>
          </cell>
        </row>
        <row r="936">
          <cell r="A936" t="str">
            <v>RAS</v>
          </cell>
          <cell r="B936" t="str">
            <v>Q04</v>
          </cell>
          <cell r="C936" t="str">
            <v/>
          </cell>
          <cell r="D936" t="str">
            <v/>
          </cell>
          <cell r="AH936">
            <v>1</v>
          </cell>
        </row>
        <row r="937">
          <cell r="A937" t="str">
            <v>RAT</v>
          </cell>
          <cell r="B937" t="str">
            <v>Q06</v>
          </cell>
          <cell r="C937" t="str">
            <v/>
          </cell>
          <cell r="D937" t="str">
            <v/>
          </cell>
          <cell r="AH937" t="str">
            <v/>
          </cell>
        </row>
        <row r="938">
          <cell r="A938" t="str">
            <v>RAX</v>
          </cell>
          <cell r="B938" t="str">
            <v>Q08</v>
          </cell>
          <cell r="C938" t="str">
            <v/>
          </cell>
          <cell r="D938" t="str">
            <v/>
          </cell>
          <cell r="AH938">
            <v>3</v>
          </cell>
        </row>
        <row r="939">
          <cell r="A939" t="str">
            <v>RB4</v>
          </cell>
          <cell r="B939" t="str">
            <v>Q03</v>
          </cell>
          <cell r="C939">
            <v>0.75</v>
          </cell>
          <cell r="D939">
            <v>0.95</v>
          </cell>
          <cell r="AH939" t="str">
            <v/>
          </cell>
        </row>
        <row r="940">
          <cell r="A940" t="str">
            <v>RB6</v>
          </cell>
          <cell r="B940" t="str">
            <v>Q15</v>
          </cell>
          <cell r="C940">
            <v>0.75</v>
          </cell>
          <cell r="D940">
            <v>0.95</v>
          </cell>
          <cell r="AH940" t="str">
            <v/>
          </cell>
        </row>
        <row r="941">
          <cell r="A941" t="str">
            <v>RB7</v>
          </cell>
          <cell r="B941" t="str">
            <v>Q26</v>
          </cell>
          <cell r="C941">
            <v>0.75</v>
          </cell>
          <cell r="D941">
            <v>0.95</v>
          </cell>
          <cell r="AH941" t="str">
            <v/>
          </cell>
        </row>
        <row r="942">
          <cell r="A942" t="str">
            <v>RB8</v>
          </cell>
          <cell r="B942" t="str">
            <v>Q23</v>
          </cell>
          <cell r="C942">
            <v>0.75</v>
          </cell>
          <cell r="D942">
            <v>0.95</v>
          </cell>
          <cell r="AH942" t="str">
            <v/>
          </cell>
        </row>
        <row r="943">
          <cell r="A943" t="str">
            <v>RBA</v>
          </cell>
          <cell r="B943" t="str">
            <v>Q22</v>
          </cell>
          <cell r="C943" t="str">
            <v/>
          </cell>
          <cell r="D943" t="str">
            <v/>
          </cell>
          <cell r="AH943">
            <v>1</v>
          </cell>
        </row>
        <row r="944">
          <cell r="A944" t="str">
            <v>RBB</v>
          </cell>
          <cell r="B944" t="str">
            <v>Q20</v>
          </cell>
          <cell r="C944" t="str">
            <v/>
          </cell>
          <cell r="D944" t="str">
            <v/>
          </cell>
          <cell r="AH944">
            <v>0</v>
          </cell>
        </row>
        <row r="945">
          <cell r="A945" t="str">
            <v>RBD</v>
          </cell>
          <cell r="B945" t="str">
            <v>Q22</v>
          </cell>
          <cell r="C945" t="str">
            <v/>
          </cell>
          <cell r="D945" t="str">
            <v/>
          </cell>
          <cell r="AH945">
            <v>1</v>
          </cell>
        </row>
        <row r="946">
          <cell r="A946" t="str">
            <v>RBF</v>
          </cell>
          <cell r="B946" t="str">
            <v>Q16</v>
          </cell>
          <cell r="C946" t="str">
            <v/>
          </cell>
          <cell r="D946" t="str">
            <v/>
          </cell>
          <cell r="AH946">
            <v>1</v>
          </cell>
        </row>
        <row r="947">
          <cell r="A947" t="str">
            <v>RBK</v>
          </cell>
          <cell r="B947" t="str">
            <v>Q27</v>
          </cell>
          <cell r="C947" t="str">
            <v/>
          </cell>
          <cell r="D947" t="str">
            <v/>
          </cell>
          <cell r="AH947">
            <v>1</v>
          </cell>
        </row>
        <row r="948">
          <cell r="A948" t="str">
            <v>RBL</v>
          </cell>
          <cell r="B948" t="str">
            <v>Q15</v>
          </cell>
          <cell r="C948" t="str">
            <v/>
          </cell>
          <cell r="D948" t="str">
            <v/>
          </cell>
          <cell r="AH948">
            <v>3</v>
          </cell>
        </row>
        <row r="949">
          <cell r="A949" t="str">
            <v>RBN</v>
          </cell>
          <cell r="B949" t="str">
            <v>Q15</v>
          </cell>
          <cell r="C949" t="str">
            <v/>
          </cell>
          <cell r="D949" t="str">
            <v/>
          </cell>
          <cell r="AH949">
            <v>2</v>
          </cell>
        </row>
        <row r="950">
          <cell r="A950" t="str">
            <v>RBQ</v>
          </cell>
          <cell r="B950" t="str">
            <v>Q15</v>
          </cell>
          <cell r="C950" t="str">
            <v/>
          </cell>
          <cell r="D950" t="str">
            <v/>
          </cell>
          <cell r="AH950">
            <v>1</v>
          </cell>
        </row>
        <row r="951">
          <cell r="A951" t="str">
            <v>RBS</v>
          </cell>
          <cell r="B951" t="str">
            <v>Q15</v>
          </cell>
          <cell r="C951" t="str">
            <v/>
          </cell>
          <cell r="D951" t="str">
            <v/>
          </cell>
          <cell r="AH951">
            <v>0</v>
          </cell>
        </row>
        <row r="952">
          <cell r="A952" t="str">
            <v>RBT</v>
          </cell>
          <cell r="B952" t="str">
            <v>Q15</v>
          </cell>
          <cell r="C952" t="str">
            <v/>
          </cell>
          <cell r="D952" t="str">
            <v/>
          </cell>
          <cell r="AH952">
            <v>2</v>
          </cell>
        </row>
        <row r="953">
          <cell r="A953" t="str">
            <v>RBV</v>
          </cell>
          <cell r="B953" t="str">
            <v>Q14</v>
          </cell>
          <cell r="C953" t="str">
            <v/>
          </cell>
          <cell r="D953" t="str">
            <v/>
          </cell>
          <cell r="AH953">
            <v>1</v>
          </cell>
        </row>
        <row r="954">
          <cell r="A954" t="str">
            <v>RBX</v>
          </cell>
          <cell r="B954" t="str">
            <v>Q24</v>
          </cell>
          <cell r="C954">
            <v>0.75</v>
          </cell>
          <cell r="D954">
            <v>0.95</v>
          </cell>
          <cell r="AH954" t="str">
            <v/>
          </cell>
        </row>
        <row r="955">
          <cell r="A955" t="str">
            <v>RBZ</v>
          </cell>
          <cell r="B955" t="str">
            <v>Q21</v>
          </cell>
          <cell r="C955" t="str">
            <v/>
          </cell>
          <cell r="D955" t="str">
            <v/>
          </cell>
          <cell r="AH955">
            <v>1</v>
          </cell>
        </row>
        <row r="956">
          <cell r="A956" t="str">
            <v>RC1</v>
          </cell>
          <cell r="B956" t="str">
            <v>Q02</v>
          </cell>
          <cell r="C956" t="str">
            <v/>
          </cell>
          <cell r="D956" t="str">
            <v/>
          </cell>
          <cell r="AH956">
            <v>1</v>
          </cell>
        </row>
        <row r="957">
          <cell r="A957" t="str">
            <v>RC3</v>
          </cell>
          <cell r="B957" t="str">
            <v>Q04</v>
          </cell>
          <cell r="C957" t="str">
            <v/>
          </cell>
          <cell r="D957" t="str">
            <v/>
          </cell>
          <cell r="AH957">
            <v>2</v>
          </cell>
        </row>
        <row r="958">
          <cell r="A958" t="str">
            <v>RC9</v>
          </cell>
          <cell r="B958" t="str">
            <v>Q02</v>
          </cell>
          <cell r="C958" t="str">
            <v/>
          </cell>
          <cell r="D958" t="str">
            <v/>
          </cell>
          <cell r="AH958">
            <v>1</v>
          </cell>
        </row>
        <row r="959">
          <cell r="A959" t="str">
            <v>RCB</v>
          </cell>
          <cell r="B959" t="str">
            <v>Q11</v>
          </cell>
          <cell r="C959" t="str">
            <v/>
          </cell>
          <cell r="D959" t="str">
            <v/>
          </cell>
          <cell r="AH959">
            <v>1</v>
          </cell>
        </row>
        <row r="960">
          <cell r="A960" t="str">
            <v>RCC</v>
          </cell>
          <cell r="B960" t="str">
            <v>Q11</v>
          </cell>
          <cell r="C960" t="str">
            <v/>
          </cell>
          <cell r="D960" t="str">
            <v/>
          </cell>
          <cell r="AH960">
            <v>2</v>
          </cell>
        </row>
        <row r="961">
          <cell r="A961" t="str">
            <v>RCD</v>
          </cell>
          <cell r="B961" t="str">
            <v>Q11</v>
          </cell>
          <cell r="C961" t="str">
            <v/>
          </cell>
          <cell r="D961" t="str">
            <v/>
          </cell>
          <cell r="AH961">
            <v>1</v>
          </cell>
        </row>
        <row r="962">
          <cell r="A962" t="str">
            <v>RCF</v>
          </cell>
          <cell r="B962" t="str">
            <v>Q12</v>
          </cell>
          <cell r="C962" t="str">
            <v/>
          </cell>
          <cell r="D962" t="str">
            <v/>
          </cell>
          <cell r="AH962">
            <v>1</v>
          </cell>
        </row>
        <row r="963">
          <cell r="A963" t="str">
            <v>RCS</v>
          </cell>
          <cell r="B963" t="str">
            <v>Q24</v>
          </cell>
          <cell r="C963" t="str">
            <v/>
          </cell>
          <cell r="D963" t="str">
            <v/>
          </cell>
          <cell r="AH963">
            <v>3</v>
          </cell>
        </row>
        <row r="964">
          <cell r="A964" t="str">
            <v>RCU</v>
          </cell>
          <cell r="B964" t="str">
            <v>Q23</v>
          </cell>
          <cell r="C964" t="str">
            <v/>
          </cell>
          <cell r="D964" t="str">
            <v/>
          </cell>
          <cell r="AH964">
            <v>1</v>
          </cell>
        </row>
        <row r="965">
          <cell r="A965" t="str">
            <v>RCX</v>
          </cell>
          <cell r="B965" t="str">
            <v>Q01</v>
          </cell>
          <cell r="C965" t="str">
            <v/>
          </cell>
          <cell r="D965" t="str">
            <v/>
          </cell>
          <cell r="AH965">
            <v>3</v>
          </cell>
        </row>
        <row r="966">
          <cell r="A966" t="str">
            <v>RD1</v>
          </cell>
          <cell r="B966" t="str">
            <v>Q20</v>
          </cell>
          <cell r="C966" t="str">
            <v/>
          </cell>
          <cell r="D966" t="str">
            <v/>
          </cell>
          <cell r="AH966">
            <v>3</v>
          </cell>
        </row>
        <row r="967">
          <cell r="A967" t="str">
            <v>RD3</v>
          </cell>
          <cell r="B967" t="str">
            <v>Q22</v>
          </cell>
          <cell r="C967" t="str">
            <v/>
          </cell>
          <cell r="D967" t="str">
            <v/>
          </cell>
          <cell r="AH967">
            <v>1</v>
          </cell>
        </row>
        <row r="968">
          <cell r="A968" t="str">
            <v>RD7</v>
          </cell>
          <cell r="B968" t="str">
            <v>Q16</v>
          </cell>
          <cell r="C968" t="str">
            <v/>
          </cell>
          <cell r="D968" t="str">
            <v/>
          </cell>
          <cell r="AH968">
            <v>2</v>
          </cell>
        </row>
        <row r="969">
          <cell r="A969" t="str">
            <v>RD8</v>
          </cell>
          <cell r="B969" t="str">
            <v>Q16</v>
          </cell>
          <cell r="C969" t="str">
            <v/>
          </cell>
          <cell r="D969" t="str">
            <v/>
          </cell>
          <cell r="AH969">
            <v>0</v>
          </cell>
        </row>
        <row r="970">
          <cell r="A970" t="str">
            <v>RD9</v>
          </cell>
          <cell r="B970" t="str">
            <v>Q16</v>
          </cell>
          <cell r="C970" t="str">
            <v/>
          </cell>
          <cell r="D970" t="str">
            <v/>
          </cell>
          <cell r="AH970" t="str">
            <v/>
          </cell>
        </row>
        <row r="971">
          <cell r="A971" t="str">
            <v>RDD</v>
          </cell>
          <cell r="B971" t="str">
            <v>Q03</v>
          </cell>
          <cell r="C971" t="str">
            <v/>
          </cell>
          <cell r="D971" t="str">
            <v/>
          </cell>
          <cell r="AH971">
            <v>2</v>
          </cell>
        </row>
        <row r="972">
          <cell r="A972" t="str">
            <v>RDE</v>
          </cell>
          <cell r="B972" t="str">
            <v>Q03</v>
          </cell>
          <cell r="C972" t="str">
            <v/>
          </cell>
          <cell r="D972" t="str">
            <v/>
          </cell>
          <cell r="AH972">
            <v>1</v>
          </cell>
        </row>
        <row r="973">
          <cell r="A973" t="str">
            <v>RDR</v>
          </cell>
          <cell r="B973" t="str">
            <v>Q19</v>
          </cell>
          <cell r="C973" t="str">
            <v/>
          </cell>
          <cell r="D973" t="str">
            <v/>
          </cell>
          <cell r="AH973" t="str">
            <v/>
          </cell>
        </row>
        <row r="974">
          <cell r="A974" t="str">
            <v>RDU</v>
          </cell>
          <cell r="B974" t="str">
            <v>Q19</v>
          </cell>
          <cell r="C974" t="str">
            <v/>
          </cell>
          <cell r="D974" t="str">
            <v/>
          </cell>
          <cell r="AH974">
            <v>2</v>
          </cell>
        </row>
        <row r="975">
          <cell r="A975" t="str">
            <v>RDY</v>
          </cell>
          <cell r="B975" t="str">
            <v>Q22</v>
          </cell>
          <cell r="C975" t="str">
            <v/>
          </cell>
          <cell r="D975" t="str">
            <v/>
          </cell>
          <cell r="AH975" t="str">
            <v/>
          </cell>
        </row>
        <row r="976">
          <cell r="A976" t="str">
            <v>RDZ</v>
          </cell>
          <cell r="B976" t="str">
            <v>Q22</v>
          </cell>
          <cell r="C976" t="str">
            <v/>
          </cell>
          <cell r="D976" t="str">
            <v/>
          </cell>
          <cell r="AH976">
            <v>2</v>
          </cell>
        </row>
        <row r="977">
          <cell r="A977" t="str">
            <v>RE6</v>
          </cell>
          <cell r="B977" t="str">
            <v>Q13</v>
          </cell>
          <cell r="C977">
            <v>0.75</v>
          </cell>
          <cell r="D977">
            <v>0.95</v>
          </cell>
          <cell r="AH977" t="str">
            <v/>
          </cell>
        </row>
        <row r="978">
          <cell r="A978" t="str">
            <v>RE9</v>
          </cell>
          <cell r="B978" t="str">
            <v>Q09</v>
          </cell>
          <cell r="C978" t="str">
            <v/>
          </cell>
          <cell r="D978" t="str">
            <v/>
          </cell>
          <cell r="AH978">
            <v>1</v>
          </cell>
        </row>
        <row r="979">
          <cell r="A979" t="str">
            <v>REF</v>
          </cell>
          <cell r="B979" t="str">
            <v>Q21</v>
          </cell>
          <cell r="C979" t="str">
            <v/>
          </cell>
          <cell r="D979" t="str">
            <v/>
          </cell>
          <cell r="AH979">
            <v>4</v>
          </cell>
        </row>
        <row r="980">
          <cell r="A980" t="str">
            <v>REM</v>
          </cell>
          <cell r="B980" t="str">
            <v>Q15</v>
          </cell>
          <cell r="C980" t="str">
            <v/>
          </cell>
          <cell r="D980" t="str">
            <v/>
          </cell>
          <cell r="AH980">
            <v>3</v>
          </cell>
        </row>
        <row r="981">
          <cell r="A981" t="str">
            <v>REN</v>
          </cell>
          <cell r="B981" t="str">
            <v>Q15</v>
          </cell>
          <cell r="C981" t="str">
            <v/>
          </cell>
          <cell r="D981" t="str">
            <v/>
          </cell>
          <cell r="AH981">
            <v>1</v>
          </cell>
        </row>
        <row r="982">
          <cell r="A982" t="str">
            <v>REP</v>
          </cell>
          <cell r="B982" t="str">
            <v>Q15</v>
          </cell>
          <cell r="C982" t="str">
            <v/>
          </cell>
          <cell r="D982" t="str">
            <v/>
          </cell>
          <cell r="AH982">
            <v>1</v>
          </cell>
        </row>
        <row r="983">
          <cell r="A983" t="str">
            <v>RET</v>
          </cell>
          <cell r="B983" t="str">
            <v>Q15</v>
          </cell>
          <cell r="C983" t="str">
            <v/>
          </cell>
          <cell r="D983" t="str">
            <v/>
          </cell>
          <cell r="AH983">
            <v>0</v>
          </cell>
        </row>
        <row r="984">
          <cell r="A984" t="str">
            <v>RF4</v>
          </cell>
          <cell r="B984" t="str">
            <v>Q06</v>
          </cell>
          <cell r="C984" t="str">
            <v/>
          </cell>
          <cell r="D984" t="str">
            <v/>
          </cell>
          <cell r="AH984">
            <v>7</v>
          </cell>
        </row>
        <row r="985">
          <cell r="A985" t="str">
            <v>RF41</v>
          </cell>
          <cell r="B985" t="str">
            <v>Q06</v>
          </cell>
          <cell r="C985" t="str">
            <v/>
          </cell>
          <cell r="D985" t="str">
            <v/>
          </cell>
          <cell r="AH985" t="str">
            <v/>
          </cell>
        </row>
        <row r="986">
          <cell r="A986" t="str">
            <v>RFF</v>
          </cell>
          <cell r="B986" t="str">
            <v>Q23</v>
          </cell>
          <cell r="C986" t="str">
            <v/>
          </cell>
          <cell r="D986" t="str">
            <v/>
          </cell>
          <cell r="AH986">
            <v>2</v>
          </cell>
        </row>
        <row r="987">
          <cell r="A987" t="str">
            <v>RFK</v>
          </cell>
          <cell r="B987" t="str">
            <v>Q24</v>
          </cell>
          <cell r="C987" t="str">
            <v/>
          </cell>
          <cell r="D987" t="str">
            <v/>
          </cell>
          <cell r="AH987">
            <v>6</v>
          </cell>
        </row>
        <row r="988">
          <cell r="A988" t="str">
            <v>RFR</v>
          </cell>
          <cell r="B988" t="str">
            <v>Q23</v>
          </cell>
          <cell r="C988" t="str">
            <v/>
          </cell>
          <cell r="D988" t="str">
            <v/>
          </cell>
          <cell r="AH988">
            <v>1</v>
          </cell>
        </row>
        <row r="989">
          <cell r="A989" t="str">
            <v>RFS</v>
          </cell>
          <cell r="B989" t="str">
            <v>Q24</v>
          </cell>
          <cell r="C989" t="str">
            <v/>
          </cell>
          <cell r="D989" t="str">
            <v/>
          </cell>
          <cell r="AH989">
            <v>1</v>
          </cell>
        </row>
        <row r="990">
          <cell r="A990" t="str">
            <v>RFU</v>
          </cell>
          <cell r="B990" t="str">
            <v>Q02</v>
          </cell>
          <cell r="C990">
            <v>0.75</v>
          </cell>
          <cell r="D990">
            <v>0.95</v>
          </cell>
          <cell r="AH990" t="str">
            <v/>
          </cell>
        </row>
        <row r="991">
          <cell r="A991" t="str">
            <v>RFW</v>
          </cell>
          <cell r="B991" t="str">
            <v>Q04</v>
          </cell>
          <cell r="C991" t="str">
            <v/>
          </cell>
          <cell r="D991" t="str">
            <v/>
          </cell>
          <cell r="AH991">
            <v>2</v>
          </cell>
        </row>
        <row r="992">
          <cell r="A992" t="str">
            <v>RG2</v>
          </cell>
          <cell r="B992" t="str">
            <v>Q07</v>
          </cell>
          <cell r="C992" t="str">
            <v/>
          </cell>
          <cell r="D992" t="str">
            <v/>
          </cell>
          <cell r="AH992">
            <v>2</v>
          </cell>
        </row>
        <row r="993">
          <cell r="A993" t="str">
            <v>RG3</v>
          </cell>
          <cell r="B993" t="str">
            <v>Q07</v>
          </cell>
          <cell r="C993" t="str">
            <v/>
          </cell>
          <cell r="D993" t="str">
            <v/>
          </cell>
          <cell r="AH993">
            <v>1</v>
          </cell>
        </row>
        <row r="994">
          <cell r="A994" t="str">
            <v>RGC</v>
          </cell>
          <cell r="B994" t="str">
            <v>Q06</v>
          </cell>
          <cell r="C994" t="str">
            <v/>
          </cell>
          <cell r="D994" t="str">
            <v/>
          </cell>
          <cell r="AH994">
            <v>2</v>
          </cell>
        </row>
        <row r="995">
          <cell r="A995" t="str">
            <v>RGD</v>
          </cell>
          <cell r="B995" t="str">
            <v>Q12</v>
          </cell>
          <cell r="C995" t="str">
            <v/>
          </cell>
          <cell r="D995" t="str">
            <v/>
          </cell>
          <cell r="AH995" t="str">
            <v/>
          </cell>
        </row>
        <row r="996">
          <cell r="A996" t="str">
            <v>RGH</v>
          </cell>
          <cell r="B996" t="str">
            <v>Q12</v>
          </cell>
          <cell r="C996">
            <v>0.75</v>
          </cell>
          <cell r="D996">
            <v>0.95</v>
          </cell>
          <cell r="AH996" t="str">
            <v/>
          </cell>
        </row>
        <row r="997">
          <cell r="A997" t="str">
            <v>RGK</v>
          </cell>
          <cell r="B997" t="str">
            <v>Q01</v>
          </cell>
          <cell r="C997" t="str">
            <v/>
          </cell>
          <cell r="D997" t="str">
            <v/>
          </cell>
          <cell r="AH997" t="str">
            <v/>
          </cell>
        </row>
        <row r="998">
          <cell r="A998" t="str">
            <v>RGM</v>
          </cell>
          <cell r="B998" t="str">
            <v>Q01</v>
          </cell>
          <cell r="C998" t="str">
            <v/>
          </cell>
          <cell r="D998" t="str">
            <v/>
          </cell>
          <cell r="AH998">
            <v>1</v>
          </cell>
        </row>
        <row r="999">
          <cell r="A999" t="str">
            <v>RGN</v>
          </cell>
          <cell r="B999" t="str">
            <v>Q01</v>
          </cell>
          <cell r="C999" t="str">
            <v/>
          </cell>
          <cell r="D999" t="str">
            <v/>
          </cell>
          <cell r="AH999">
            <v>1</v>
          </cell>
        </row>
        <row r="1000">
          <cell r="A1000" t="str">
            <v>RGP</v>
          </cell>
          <cell r="B1000" t="str">
            <v>Q01</v>
          </cell>
          <cell r="C1000" t="str">
            <v/>
          </cell>
          <cell r="D1000" t="str">
            <v/>
          </cell>
          <cell r="AH1000">
            <v>2</v>
          </cell>
        </row>
        <row r="1001">
          <cell r="A1001" t="str">
            <v>RGQ</v>
          </cell>
          <cell r="B1001" t="str">
            <v>Q01</v>
          </cell>
          <cell r="C1001" t="str">
            <v/>
          </cell>
          <cell r="D1001" t="str">
            <v/>
          </cell>
          <cell r="AH1001">
            <v>3</v>
          </cell>
        </row>
        <row r="1002">
          <cell r="A1002" t="str">
            <v>RGR</v>
          </cell>
          <cell r="B1002" t="str">
            <v>Q01</v>
          </cell>
          <cell r="C1002" t="str">
            <v/>
          </cell>
          <cell r="D1002" t="str">
            <v/>
          </cell>
          <cell r="AH1002">
            <v>6</v>
          </cell>
        </row>
        <row r="1003">
          <cell r="A1003" t="str">
            <v>RGS</v>
          </cell>
          <cell r="B1003" t="str">
            <v>Q01</v>
          </cell>
          <cell r="C1003" t="str">
            <v/>
          </cell>
          <cell r="D1003" t="str">
            <v/>
          </cell>
          <cell r="AH1003" t="str">
            <v/>
          </cell>
        </row>
        <row r="1004">
          <cell r="A1004" t="str">
            <v>RGT</v>
          </cell>
          <cell r="B1004" t="str">
            <v>Q01</v>
          </cell>
          <cell r="C1004" t="str">
            <v/>
          </cell>
          <cell r="D1004" t="str">
            <v/>
          </cell>
          <cell r="AH1004">
            <v>9</v>
          </cell>
        </row>
        <row r="1005">
          <cell r="A1005" t="str">
            <v>RGZ</v>
          </cell>
          <cell r="B1005" t="str">
            <v>Q07</v>
          </cell>
          <cell r="C1005" t="str">
            <v/>
          </cell>
          <cell r="D1005" t="str">
            <v/>
          </cell>
          <cell r="AH1005">
            <v>2</v>
          </cell>
        </row>
        <row r="1006">
          <cell r="A1006" t="str">
            <v>RH1</v>
          </cell>
          <cell r="B1006" t="str">
            <v>Q16</v>
          </cell>
          <cell r="C1006">
            <v>0.75</v>
          </cell>
          <cell r="D1006">
            <v>0.95</v>
          </cell>
          <cell r="AH1006" t="str">
            <v/>
          </cell>
        </row>
        <row r="1007">
          <cell r="A1007" t="str">
            <v>RH5</v>
          </cell>
          <cell r="B1007" t="str">
            <v>Q22</v>
          </cell>
          <cell r="C1007" t="str">
            <v/>
          </cell>
          <cell r="D1007" t="str">
            <v/>
          </cell>
          <cell r="AH1007" t="str">
            <v/>
          </cell>
        </row>
        <row r="1008">
          <cell r="A1008" t="str">
            <v>RH8</v>
          </cell>
          <cell r="B1008" t="str">
            <v>Q21</v>
          </cell>
          <cell r="C1008" t="str">
            <v/>
          </cell>
          <cell r="D1008" t="str">
            <v/>
          </cell>
          <cell r="AH1008">
            <v>2</v>
          </cell>
        </row>
        <row r="1009">
          <cell r="A1009" t="str">
            <v>RHA</v>
          </cell>
          <cell r="B1009" t="str">
            <v>Q24</v>
          </cell>
          <cell r="C1009" t="str">
            <v/>
          </cell>
          <cell r="D1009" t="str">
            <v/>
          </cell>
          <cell r="AH1009" t="str">
            <v/>
          </cell>
        </row>
        <row r="1010">
          <cell r="A1010" t="str">
            <v>RHM</v>
          </cell>
          <cell r="B1010" t="str">
            <v>Q17</v>
          </cell>
          <cell r="C1010" t="str">
            <v/>
          </cell>
          <cell r="D1010" t="str">
            <v/>
          </cell>
          <cell r="AH1010">
            <v>5</v>
          </cell>
        </row>
        <row r="1011">
          <cell r="A1011" t="str">
            <v>RHP</v>
          </cell>
          <cell r="B1011" t="str">
            <v>Q22</v>
          </cell>
          <cell r="C1011">
            <v>0.75</v>
          </cell>
          <cell r="D1011">
            <v>0.95</v>
          </cell>
          <cell r="AH1011" t="str">
            <v/>
          </cell>
        </row>
        <row r="1012">
          <cell r="A1012" t="str">
            <v>RHQ</v>
          </cell>
          <cell r="B1012" t="str">
            <v>Q23</v>
          </cell>
          <cell r="C1012" t="str">
            <v/>
          </cell>
          <cell r="D1012" t="str">
            <v/>
          </cell>
          <cell r="AH1012">
            <v>6</v>
          </cell>
        </row>
        <row r="1013">
          <cell r="A1013" t="str">
            <v>RHU</v>
          </cell>
          <cell r="B1013" t="str">
            <v>Q17</v>
          </cell>
          <cell r="C1013" t="str">
            <v/>
          </cell>
          <cell r="D1013" t="str">
            <v/>
          </cell>
          <cell r="AH1013">
            <v>8</v>
          </cell>
        </row>
        <row r="1014">
          <cell r="A1014" t="str">
            <v>RHW</v>
          </cell>
          <cell r="B1014" t="str">
            <v>Q16</v>
          </cell>
          <cell r="C1014" t="str">
            <v/>
          </cell>
          <cell r="D1014" t="str">
            <v/>
          </cell>
          <cell r="AH1014">
            <v>3</v>
          </cell>
        </row>
        <row r="1015">
          <cell r="A1015" t="str">
            <v>RHX</v>
          </cell>
          <cell r="B1015" t="str">
            <v>Q16</v>
          </cell>
          <cell r="C1015" t="str">
            <v/>
          </cell>
          <cell r="D1015" t="str">
            <v/>
          </cell>
          <cell r="AH1015" t="str">
            <v/>
          </cell>
        </row>
        <row r="1016">
          <cell r="A1016" t="str">
            <v>RHY</v>
          </cell>
          <cell r="B1016" t="str">
            <v>Q16</v>
          </cell>
          <cell r="C1016">
            <v>0.75</v>
          </cell>
          <cell r="D1016">
            <v>0.95</v>
          </cell>
          <cell r="AH1016" t="str">
            <v/>
          </cell>
        </row>
        <row r="1017">
          <cell r="A1017" t="str">
            <v>RHZ</v>
          </cell>
          <cell r="B1017" t="str">
            <v>Q16</v>
          </cell>
          <cell r="C1017" t="str">
            <v/>
          </cell>
          <cell r="D1017" t="str">
            <v/>
          </cell>
          <cell r="AH1017" t="str">
            <v/>
          </cell>
        </row>
        <row r="1018">
          <cell r="A1018" t="str">
            <v>RJ1</v>
          </cell>
          <cell r="B1018" t="str">
            <v>Q07</v>
          </cell>
          <cell r="C1018" t="str">
            <v/>
          </cell>
          <cell r="D1018" t="str">
            <v/>
          </cell>
          <cell r="AH1018">
            <v>12</v>
          </cell>
        </row>
        <row r="1019">
          <cell r="A1019" t="str">
            <v>RJ2</v>
          </cell>
          <cell r="B1019" t="str">
            <v>Q07</v>
          </cell>
          <cell r="C1019" t="str">
            <v/>
          </cell>
          <cell r="D1019" t="str">
            <v/>
          </cell>
          <cell r="AH1019">
            <v>2</v>
          </cell>
        </row>
        <row r="1020">
          <cell r="A1020" t="str">
            <v>RJ5</v>
          </cell>
          <cell r="B1020" t="str">
            <v>Q04</v>
          </cell>
          <cell r="C1020" t="str">
            <v/>
          </cell>
          <cell r="D1020" t="str">
            <v/>
          </cell>
          <cell r="AH1020">
            <v>3</v>
          </cell>
        </row>
        <row r="1021">
          <cell r="A1021" t="str">
            <v>RJ6</v>
          </cell>
          <cell r="B1021" t="str">
            <v>Q08</v>
          </cell>
          <cell r="C1021" t="str">
            <v/>
          </cell>
          <cell r="D1021" t="str">
            <v/>
          </cell>
          <cell r="AH1021">
            <v>3</v>
          </cell>
        </row>
        <row r="1022">
          <cell r="A1022" t="str">
            <v>RJ7</v>
          </cell>
          <cell r="B1022" t="str">
            <v>Q08</v>
          </cell>
          <cell r="C1022" t="str">
            <v/>
          </cell>
          <cell r="D1022" t="str">
            <v/>
          </cell>
          <cell r="AH1022">
            <v>5.42</v>
          </cell>
        </row>
        <row r="1023">
          <cell r="A1023" t="str">
            <v>RJ8</v>
          </cell>
          <cell r="B1023" t="str">
            <v>Q21</v>
          </cell>
          <cell r="C1023" t="str">
            <v/>
          </cell>
          <cell r="D1023" t="str">
            <v/>
          </cell>
          <cell r="AH1023" t="str">
            <v/>
          </cell>
        </row>
        <row r="1024">
          <cell r="A1024" t="str">
            <v>RJ9</v>
          </cell>
          <cell r="B1024" t="str">
            <v>Q21</v>
          </cell>
          <cell r="C1024">
            <v>0.75</v>
          </cell>
          <cell r="D1024">
            <v>0.95</v>
          </cell>
          <cell r="AH1024" t="str">
            <v/>
          </cell>
        </row>
        <row r="1025">
          <cell r="A1025" t="str">
            <v>RJC</v>
          </cell>
          <cell r="B1025" t="str">
            <v>Q28</v>
          </cell>
          <cell r="C1025" t="str">
            <v/>
          </cell>
          <cell r="D1025" t="str">
            <v/>
          </cell>
          <cell r="AH1025">
            <v>2</v>
          </cell>
        </row>
        <row r="1026">
          <cell r="A1026" t="str">
            <v>RJD</v>
          </cell>
          <cell r="B1026" t="str">
            <v>Q26</v>
          </cell>
          <cell r="C1026" t="str">
            <v/>
          </cell>
          <cell r="D1026" t="str">
            <v/>
          </cell>
          <cell r="AH1026">
            <v>2</v>
          </cell>
        </row>
        <row r="1027">
          <cell r="A1027" t="str">
            <v>RJE</v>
          </cell>
          <cell r="B1027" t="str">
            <v>Q26</v>
          </cell>
          <cell r="C1027" t="str">
            <v/>
          </cell>
          <cell r="D1027" t="str">
            <v/>
          </cell>
          <cell r="AH1027">
            <v>8</v>
          </cell>
        </row>
        <row r="1028">
          <cell r="A1028" t="str">
            <v>RJF</v>
          </cell>
          <cell r="B1028" t="str">
            <v>Q26</v>
          </cell>
          <cell r="C1028" t="str">
            <v/>
          </cell>
          <cell r="D1028" t="str">
            <v/>
          </cell>
          <cell r="AH1028">
            <v>1</v>
          </cell>
        </row>
        <row r="1029">
          <cell r="A1029" t="str">
            <v>RJH</v>
          </cell>
          <cell r="B1029" t="str">
            <v>Q27</v>
          </cell>
          <cell r="C1029" t="str">
            <v/>
          </cell>
          <cell r="D1029" t="str">
            <v/>
          </cell>
          <cell r="AH1029">
            <v>1</v>
          </cell>
        </row>
        <row r="1030">
          <cell r="A1030" t="str">
            <v>RJL</v>
          </cell>
          <cell r="B1030" t="str">
            <v>Q11</v>
          </cell>
          <cell r="C1030" t="str">
            <v/>
          </cell>
          <cell r="D1030" t="str">
            <v/>
          </cell>
          <cell r="AH1030">
            <v>2</v>
          </cell>
        </row>
        <row r="1031">
          <cell r="A1031" t="str">
            <v>RJN</v>
          </cell>
          <cell r="B1031" t="str">
            <v>Q15</v>
          </cell>
          <cell r="C1031" t="str">
            <v/>
          </cell>
          <cell r="D1031" t="str">
            <v/>
          </cell>
          <cell r="AH1031">
            <v>1</v>
          </cell>
        </row>
        <row r="1032">
          <cell r="A1032" t="str">
            <v>RJR</v>
          </cell>
          <cell r="B1032" t="str">
            <v>Q15</v>
          </cell>
          <cell r="C1032" t="str">
            <v/>
          </cell>
          <cell r="D1032" t="str">
            <v/>
          </cell>
          <cell r="AH1032">
            <v>2</v>
          </cell>
        </row>
        <row r="1033">
          <cell r="A1033" t="str">
            <v>RJX</v>
          </cell>
          <cell r="B1033" t="str">
            <v>Q13</v>
          </cell>
          <cell r="C1033" t="str">
            <v/>
          </cell>
          <cell r="D1033" t="str">
            <v/>
          </cell>
          <cell r="AH1033" t="str">
            <v/>
          </cell>
        </row>
        <row r="1034">
          <cell r="A1034" t="str">
            <v>RJZ</v>
          </cell>
          <cell r="B1034" t="str">
            <v>Q07</v>
          </cell>
          <cell r="C1034" t="str">
            <v/>
          </cell>
          <cell r="D1034" t="str">
            <v/>
          </cell>
          <cell r="AH1034">
            <v>6</v>
          </cell>
        </row>
        <row r="1035">
          <cell r="A1035" t="str">
            <v>RK5</v>
          </cell>
          <cell r="B1035" t="str">
            <v>Q24</v>
          </cell>
          <cell r="C1035" t="str">
            <v/>
          </cell>
          <cell r="D1035" t="str">
            <v/>
          </cell>
          <cell r="AH1035">
            <v>4</v>
          </cell>
        </row>
        <row r="1036">
          <cell r="A1036" t="str">
            <v>RK9</v>
          </cell>
          <cell r="B1036" t="str">
            <v>Q21</v>
          </cell>
          <cell r="C1036" t="str">
            <v/>
          </cell>
          <cell r="D1036" t="str">
            <v/>
          </cell>
          <cell r="AH1036">
            <v>8</v>
          </cell>
        </row>
        <row r="1037">
          <cell r="A1037" t="str">
            <v>RKA</v>
          </cell>
          <cell r="B1037" t="str">
            <v>Q27</v>
          </cell>
          <cell r="C1037">
            <v>0.75</v>
          </cell>
          <cell r="D1037">
            <v>0.95</v>
          </cell>
          <cell r="AH1037" t="str">
            <v/>
          </cell>
        </row>
        <row r="1038">
          <cell r="A1038" t="str">
            <v>RKB</v>
          </cell>
          <cell r="B1038" t="str">
            <v>Q28</v>
          </cell>
          <cell r="C1038" t="str">
            <v/>
          </cell>
          <cell r="D1038" t="str">
            <v/>
          </cell>
          <cell r="AH1038">
            <v>6</v>
          </cell>
        </row>
        <row r="1039">
          <cell r="A1039" t="str">
            <v>RKD</v>
          </cell>
          <cell r="B1039" t="str">
            <v>Q17</v>
          </cell>
          <cell r="C1039">
            <v>0.75</v>
          </cell>
          <cell r="D1039">
            <v>0.95</v>
          </cell>
          <cell r="AH1039" t="str">
            <v/>
          </cell>
        </row>
        <row r="1040">
          <cell r="A1040" t="str">
            <v>RKE</v>
          </cell>
          <cell r="B1040" t="str">
            <v>Q05</v>
          </cell>
          <cell r="C1040" t="str">
            <v/>
          </cell>
          <cell r="D1040" t="str">
            <v/>
          </cell>
          <cell r="AH1040">
            <v>2</v>
          </cell>
        </row>
        <row r="1041">
          <cell r="A1041" t="str">
            <v>RKL</v>
          </cell>
          <cell r="B1041" t="str">
            <v>Q04</v>
          </cell>
          <cell r="C1041" t="str">
            <v/>
          </cell>
          <cell r="D1041" t="str">
            <v/>
          </cell>
          <cell r="AH1041" t="str">
            <v/>
          </cell>
        </row>
        <row r="1042">
          <cell r="A1042" t="str">
            <v>RL1</v>
          </cell>
          <cell r="B1042" t="str">
            <v>Q26</v>
          </cell>
          <cell r="C1042" t="str">
            <v/>
          </cell>
          <cell r="D1042" t="str">
            <v/>
          </cell>
          <cell r="AH1042">
            <v>0</v>
          </cell>
        </row>
        <row r="1043">
          <cell r="A1043" t="str">
            <v>RL4</v>
          </cell>
          <cell r="B1043" t="str">
            <v>Q27</v>
          </cell>
          <cell r="C1043" t="str">
            <v/>
          </cell>
          <cell r="D1043" t="str">
            <v/>
          </cell>
          <cell r="AH1043">
            <v>2</v>
          </cell>
        </row>
        <row r="1044">
          <cell r="A1044" t="str">
            <v>RL5</v>
          </cell>
          <cell r="B1044" t="str">
            <v>Q28</v>
          </cell>
          <cell r="C1044">
            <v>0.75</v>
          </cell>
          <cell r="D1044">
            <v>0.95</v>
          </cell>
          <cell r="AH1044" t="str">
            <v/>
          </cell>
        </row>
        <row r="1045">
          <cell r="A1045" t="str">
            <v>RL6</v>
          </cell>
          <cell r="B1045" t="str">
            <v>Q28</v>
          </cell>
          <cell r="C1045">
            <v>0.75</v>
          </cell>
          <cell r="D1045">
            <v>0.95</v>
          </cell>
          <cell r="AH1045" t="str">
            <v/>
          </cell>
        </row>
        <row r="1046">
          <cell r="A1046" t="str">
            <v>RLN</v>
          </cell>
          <cell r="B1046" t="str">
            <v>Q09</v>
          </cell>
          <cell r="C1046" t="str">
            <v/>
          </cell>
          <cell r="D1046" t="str">
            <v/>
          </cell>
          <cell r="AH1046">
            <v>4</v>
          </cell>
        </row>
        <row r="1047">
          <cell r="A1047" t="str">
            <v>RLQ</v>
          </cell>
          <cell r="B1047" t="str">
            <v>Q28</v>
          </cell>
          <cell r="C1047" t="str">
            <v/>
          </cell>
          <cell r="D1047" t="str">
            <v/>
          </cell>
          <cell r="AH1047">
            <v>0</v>
          </cell>
        </row>
        <row r="1048">
          <cell r="A1048" t="str">
            <v>RLT</v>
          </cell>
          <cell r="B1048" t="str">
            <v>Q28</v>
          </cell>
          <cell r="C1048" t="str">
            <v/>
          </cell>
          <cell r="D1048" t="str">
            <v/>
          </cell>
          <cell r="AH1048">
            <v>2</v>
          </cell>
        </row>
        <row r="1049">
          <cell r="A1049" t="str">
            <v>RLU</v>
          </cell>
          <cell r="B1049" t="str">
            <v>Q27</v>
          </cell>
          <cell r="C1049" t="str">
            <v/>
          </cell>
          <cell r="D1049" t="str">
            <v/>
          </cell>
          <cell r="AH1049">
            <v>0</v>
          </cell>
        </row>
        <row r="1050">
          <cell r="A1050" t="str">
            <v>RLY</v>
          </cell>
          <cell r="B1050" t="str">
            <v>Q26</v>
          </cell>
          <cell r="C1050" t="str">
            <v/>
          </cell>
          <cell r="D1050" t="str">
            <v/>
          </cell>
          <cell r="AH1050" t="str">
            <v/>
          </cell>
        </row>
        <row r="1051">
          <cell r="A1051" t="str">
            <v>RM1</v>
          </cell>
          <cell r="B1051" t="str">
            <v>Q01</v>
          </cell>
          <cell r="C1051" t="str">
            <v/>
          </cell>
          <cell r="D1051" t="str">
            <v/>
          </cell>
          <cell r="AH1051">
            <v>4</v>
          </cell>
        </row>
        <row r="1052">
          <cell r="A1052" t="str">
            <v>RM2</v>
          </cell>
          <cell r="B1052" t="str">
            <v>Q14</v>
          </cell>
          <cell r="C1052" t="str">
            <v/>
          </cell>
          <cell r="D1052" t="str">
            <v/>
          </cell>
          <cell r="AH1052">
            <v>1</v>
          </cell>
        </row>
        <row r="1053">
          <cell r="A1053" t="str">
            <v>RM3</v>
          </cell>
          <cell r="B1053" t="str">
            <v>Q14</v>
          </cell>
          <cell r="C1053" t="str">
            <v/>
          </cell>
          <cell r="D1053" t="str">
            <v/>
          </cell>
          <cell r="AH1053">
            <v>5</v>
          </cell>
        </row>
        <row r="1054">
          <cell r="A1054" t="str">
            <v>RM4</v>
          </cell>
          <cell r="B1054" t="str">
            <v>Q14</v>
          </cell>
          <cell r="C1054" t="str">
            <v/>
          </cell>
          <cell r="D1054" t="str">
            <v/>
          </cell>
          <cell r="AH1054">
            <v>1</v>
          </cell>
        </row>
        <row r="1055">
          <cell r="A1055" t="str">
            <v>RM6</v>
          </cell>
          <cell r="B1055" t="str">
            <v>Q09</v>
          </cell>
          <cell r="C1055" t="str">
            <v/>
          </cell>
          <cell r="D1055" t="str">
            <v/>
          </cell>
          <cell r="AH1055" t="str">
            <v/>
          </cell>
        </row>
        <row r="1056">
          <cell r="A1056" t="str">
            <v>RMA</v>
          </cell>
          <cell r="B1056" t="str">
            <v>Q14</v>
          </cell>
          <cell r="C1056">
            <v>0.75</v>
          </cell>
          <cell r="D1056">
            <v>0.95</v>
          </cell>
          <cell r="AH1056" t="str">
            <v/>
          </cell>
        </row>
        <row r="1057">
          <cell r="A1057" t="str">
            <v>RMC</v>
          </cell>
          <cell r="B1057" t="str">
            <v>Q14</v>
          </cell>
          <cell r="C1057" t="str">
            <v/>
          </cell>
          <cell r="D1057" t="str">
            <v/>
          </cell>
          <cell r="AH1057">
            <v>3</v>
          </cell>
        </row>
        <row r="1058">
          <cell r="A1058" t="str">
            <v>RMD</v>
          </cell>
          <cell r="B1058" t="str">
            <v>Q13</v>
          </cell>
          <cell r="C1058">
            <v>0.75</v>
          </cell>
          <cell r="D1058">
            <v>0.95</v>
          </cell>
          <cell r="AH1058" t="str">
            <v/>
          </cell>
        </row>
        <row r="1059">
          <cell r="A1059" t="str">
            <v>RMP</v>
          </cell>
          <cell r="B1059" t="str">
            <v>Q14</v>
          </cell>
          <cell r="C1059" t="str">
            <v/>
          </cell>
          <cell r="D1059" t="str">
            <v/>
          </cell>
          <cell r="AH1059">
            <v>1</v>
          </cell>
        </row>
        <row r="1060">
          <cell r="A1060" t="str">
            <v>RMY</v>
          </cell>
          <cell r="B1060" t="str">
            <v>Q01</v>
          </cell>
          <cell r="C1060" t="str">
            <v/>
          </cell>
          <cell r="D1060" t="str">
            <v/>
          </cell>
          <cell r="AH1060" t="str">
            <v/>
          </cell>
        </row>
        <row r="1061">
          <cell r="A1061" t="str">
            <v>RMZ</v>
          </cell>
          <cell r="B1061" t="str">
            <v>Q01</v>
          </cell>
          <cell r="C1061">
            <v>0.75</v>
          </cell>
          <cell r="D1061">
            <v>0.95</v>
          </cell>
          <cell r="AH1061" t="str">
            <v/>
          </cell>
        </row>
        <row r="1062">
          <cell r="A1062" t="str">
            <v>RN1</v>
          </cell>
          <cell r="B1062" t="str">
            <v>Q17</v>
          </cell>
          <cell r="C1062" t="str">
            <v/>
          </cell>
          <cell r="D1062" t="str">
            <v/>
          </cell>
          <cell r="AH1062">
            <v>2</v>
          </cell>
        </row>
        <row r="1063">
          <cell r="A1063" t="str">
            <v>RN3</v>
          </cell>
          <cell r="B1063" t="str">
            <v>Q20</v>
          </cell>
          <cell r="C1063" t="str">
            <v/>
          </cell>
          <cell r="D1063" t="str">
            <v/>
          </cell>
          <cell r="AH1063">
            <v>0</v>
          </cell>
        </row>
        <row r="1064">
          <cell r="A1064" t="str">
            <v>RN5</v>
          </cell>
          <cell r="B1064" t="str">
            <v>Q17</v>
          </cell>
          <cell r="C1064" t="str">
            <v/>
          </cell>
          <cell r="D1064" t="str">
            <v/>
          </cell>
          <cell r="AH1064">
            <v>1</v>
          </cell>
        </row>
        <row r="1065">
          <cell r="A1065" t="str">
            <v>RN7</v>
          </cell>
          <cell r="B1065" t="str">
            <v>Q18</v>
          </cell>
          <cell r="C1065" t="str">
            <v/>
          </cell>
          <cell r="D1065" t="str">
            <v/>
          </cell>
          <cell r="AH1065">
            <v>1</v>
          </cell>
        </row>
        <row r="1066">
          <cell r="A1066" t="str">
            <v>RNA</v>
          </cell>
          <cell r="B1066" t="str">
            <v>Q27</v>
          </cell>
          <cell r="C1066" t="str">
            <v/>
          </cell>
          <cell r="D1066" t="str">
            <v/>
          </cell>
          <cell r="AH1066">
            <v>2</v>
          </cell>
        </row>
        <row r="1067">
          <cell r="A1067" t="str">
            <v>RNH</v>
          </cell>
          <cell r="B1067" t="str">
            <v>Q06</v>
          </cell>
          <cell r="C1067" t="str">
            <v/>
          </cell>
          <cell r="D1067" t="str">
            <v/>
          </cell>
          <cell r="AH1067">
            <v>1</v>
          </cell>
        </row>
        <row r="1068">
          <cell r="A1068" t="str">
            <v>RNJ</v>
          </cell>
          <cell r="B1068" t="str">
            <v>Q06</v>
          </cell>
          <cell r="C1068" t="str">
            <v/>
          </cell>
          <cell r="D1068" t="str">
            <v/>
          </cell>
          <cell r="AH1068">
            <v>4</v>
          </cell>
        </row>
        <row r="1069">
          <cell r="A1069" t="str">
            <v>RNK</v>
          </cell>
          <cell r="B1069" t="str">
            <v>Q05</v>
          </cell>
          <cell r="C1069" t="str">
            <v/>
          </cell>
          <cell r="D1069" t="str">
            <v/>
          </cell>
          <cell r="AH1069" t="str">
            <v/>
          </cell>
        </row>
        <row r="1070">
          <cell r="A1070" t="str">
            <v>RNL</v>
          </cell>
          <cell r="B1070" t="str">
            <v>Q13</v>
          </cell>
          <cell r="C1070" t="str">
            <v/>
          </cell>
          <cell r="D1070" t="str">
            <v/>
          </cell>
          <cell r="AH1070">
            <v>2</v>
          </cell>
        </row>
        <row r="1071">
          <cell r="A1071" t="str">
            <v>RNN</v>
          </cell>
          <cell r="B1071" t="str">
            <v>Q13</v>
          </cell>
          <cell r="C1071" t="str">
            <v/>
          </cell>
          <cell r="D1071" t="str">
            <v/>
          </cell>
          <cell r="AH1071" t="str">
            <v/>
          </cell>
        </row>
        <row r="1072">
          <cell r="A1072" t="str">
            <v>RNP</v>
          </cell>
          <cell r="B1072" t="str">
            <v>Q09</v>
          </cell>
          <cell r="C1072" t="str">
            <v/>
          </cell>
          <cell r="D1072" t="str">
            <v/>
          </cell>
          <cell r="AH1072" t="str">
            <v/>
          </cell>
        </row>
        <row r="1073">
          <cell r="A1073" t="str">
            <v>RNQ</v>
          </cell>
          <cell r="B1073" t="str">
            <v>Q25</v>
          </cell>
          <cell r="C1073" t="str">
            <v/>
          </cell>
          <cell r="D1073" t="str">
            <v/>
          </cell>
          <cell r="AH1073">
            <v>1</v>
          </cell>
        </row>
        <row r="1074">
          <cell r="A1074" t="str">
            <v>RNS</v>
          </cell>
          <cell r="B1074" t="str">
            <v>Q25</v>
          </cell>
          <cell r="C1074" t="str">
            <v/>
          </cell>
          <cell r="D1074" t="str">
            <v/>
          </cell>
          <cell r="AH1074">
            <v>1</v>
          </cell>
        </row>
        <row r="1075">
          <cell r="A1075" t="str">
            <v>RNU</v>
          </cell>
          <cell r="B1075" t="str">
            <v>Q16</v>
          </cell>
          <cell r="C1075" t="str">
            <v/>
          </cell>
          <cell r="D1075" t="str">
            <v/>
          </cell>
          <cell r="AH1075" t="str">
            <v/>
          </cell>
        </row>
        <row r="1076">
          <cell r="A1076" t="str">
            <v>RNV</v>
          </cell>
          <cell r="B1076" t="str">
            <v>Q16</v>
          </cell>
          <cell r="C1076" t="str">
            <v/>
          </cell>
          <cell r="D1076" t="str">
            <v/>
          </cell>
          <cell r="AH1076" t="str">
            <v/>
          </cell>
        </row>
        <row r="1077">
          <cell r="A1077" t="str">
            <v>RNY</v>
          </cell>
          <cell r="B1077" t="str">
            <v>Q16</v>
          </cell>
          <cell r="C1077">
            <v>0.75</v>
          </cell>
          <cell r="D1077">
            <v>0.95</v>
          </cell>
          <cell r="AH1077" t="str">
            <v/>
          </cell>
        </row>
        <row r="1078">
          <cell r="A1078" t="str">
            <v>RNZ</v>
          </cell>
          <cell r="B1078" t="str">
            <v>Q20</v>
          </cell>
          <cell r="C1078" t="str">
            <v/>
          </cell>
          <cell r="D1078" t="str">
            <v/>
          </cell>
          <cell r="AH1078">
            <v>1</v>
          </cell>
        </row>
        <row r="1079">
          <cell r="A1079" t="str">
            <v>RP1</v>
          </cell>
          <cell r="B1079" t="str">
            <v>Q25</v>
          </cell>
          <cell r="C1079" t="str">
            <v/>
          </cell>
          <cell r="D1079" t="str">
            <v/>
          </cell>
          <cell r="AH1079" t="str">
            <v/>
          </cell>
        </row>
        <row r="1080">
          <cell r="A1080" t="str">
            <v>RP4</v>
          </cell>
          <cell r="B1080" t="str">
            <v>Q05</v>
          </cell>
          <cell r="C1080" t="str">
            <v/>
          </cell>
          <cell r="D1080" t="str">
            <v/>
          </cell>
          <cell r="AH1080">
            <v>1</v>
          </cell>
        </row>
        <row r="1081">
          <cell r="A1081" t="str">
            <v>RP5</v>
          </cell>
          <cell r="B1081" t="str">
            <v>Q23</v>
          </cell>
          <cell r="C1081" t="str">
            <v/>
          </cell>
          <cell r="D1081" t="str">
            <v/>
          </cell>
          <cell r="AH1081">
            <v>3</v>
          </cell>
        </row>
        <row r="1082">
          <cell r="A1082" t="str">
            <v>RP6</v>
          </cell>
          <cell r="B1082" t="str">
            <v>Q05</v>
          </cell>
          <cell r="C1082" t="str">
            <v/>
          </cell>
          <cell r="D1082" t="str">
            <v/>
          </cell>
          <cell r="AH1082">
            <v>0</v>
          </cell>
        </row>
        <row r="1083">
          <cell r="A1083" t="str">
            <v>RP7</v>
          </cell>
          <cell r="B1083" t="str">
            <v>Q24</v>
          </cell>
          <cell r="C1083" t="str">
            <v/>
          </cell>
          <cell r="D1083" t="str">
            <v/>
          </cell>
          <cell r="AH1083" t="str">
            <v/>
          </cell>
        </row>
        <row r="1084">
          <cell r="A1084" t="str">
            <v>RPA</v>
          </cell>
          <cell r="B1084" t="str">
            <v>Q18</v>
          </cell>
          <cell r="C1084" t="str">
            <v/>
          </cell>
          <cell r="D1084" t="str">
            <v/>
          </cell>
          <cell r="AH1084">
            <v>3</v>
          </cell>
        </row>
        <row r="1085">
          <cell r="A1085" t="str">
            <v>RPC</v>
          </cell>
          <cell r="B1085" t="str">
            <v>Q19</v>
          </cell>
          <cell r="C1085" t="str">
            <v/>
          </cell>
          <cell r="D1085" t="str">
            <v/>
          </cell>
          <cell r="AH1085">
            <v>1</v>
          </cell>
        </row>
        <row r="1086">
          <cell r="A1086" t="str">
            <v>RPG</v>
          </cell>
          <cell r="B1086" t="str">
            <v>Q07</v>
          </cell>
          <cell r="C1086" t="str">
            <v/>
          </cell>
          <cell r="D1086" t="str">
            <v/>
          </cell>
          <cell r="AH1086" t="str">
            <v/>
          </cell>
        </row>
        <row r="1087">
          <cell r="A1087" t="str">
            <v>RPH</v>
          </cell>
          <cell r="B1087" t="str">
            <v>Q18</v>
          </cell>
          <cell r="C1087">
            <v>0.75</v>
          </cell>
          <cell r="D1087">
            <v>0.95</v>
          </cell>
          <cell r="AH1087" t="str">
            <v/>
          </cell>
        </row>
        <row r="1088">
          <cell r="A1088" t="str">
            <v>RPL</v>
          </cell>
          <cell r="B1088" t="str">
            <v>Q19</v>
          </cell>
          <cell r="C1088" t="str">
            <v/>
          </cell>
          <cell r="D1088" t="str">
            <v/>
          </cell>
          <cell r="AH1088">
            <v>1</v>
          </cell>
        </row>
        <row r="1089">
          <cell r="A1089" t="str">
            <v>RPN</v>
          </cell>
          <cell r="B1089" t="str">
            <v>Q08</v>
          </cell>
          <cell r="C1089" t="str">
            <v/>
          </cell>
          <cell r="D1089" t="str">
            <v/>
          </cell>
          <cell r="AH1089" t="str">
            <v/>
          </cell>
        </row>
        <row r="1090">
          <cell r="A1090" t="str">
            <v>RPQ</v>
          </cell>
          <cell r="B1090" t="str">
            <v>Q19</v>
          </cell>
          <cell r="C1090">
            <v>0.75</v>
          </cell>
          <cell r="D1090">
            <v>0.95</v>
          </cell>
          <cell r="AH1090" t="str">
            <v/>
          </cell>
        </row>
        <row r="1091">
          <cell r="A1091" t="str">
            <v>RPR</v>
          </cell>
          <cell r="B1091" t="str">
            <v>Q19</v>
          </cell>
          <cell r="C1091" t="str">
            <v/>
          </cell>
          <cell r="D1091" t="str">
            <v/>
          </cell>
          <cell r="AH1091">
            <v>2</v>
          </cell>
        </row>
        <row r="1092">
          <cell r="A1092" t="str">
            <v>RPY</v>
          </cell>
          <cell r="B1092" t="str">
            <v>Q08</v>
          </cell>
          <cell r="C1092" t="str">
            <v/>
          </cell>
          <cell r="D1092" t="str">
            <v/>
          </cell>
          <cell r="AH1092">
            <v>0</v>
          </cell>
        </row>
        <row r="1093">
          <cell r="A1093" t="str">
            <v>RQ2</v>
          </cell>
          <cell r="B1093" t="str">
            <v>Q19</v>
          </cell>
          <cell r="C1093">
            <v>0.75</v>
          </cell>
          <cell r="D1093">
            <v>0.95</v>
          </cell>
          <cell r="AH1093" t="str">
            <v/>
          </cell>
        </row>
        <row r="1094">
          <cell r="A1094" t="str">
            <v>RQ3</v>
          </cell>
          <cell r="B1094" t="str">
            <v>Q27</v>
          </cell>
          <cell r="C1094" t="str">
            <v/>
          </cell>
          <cell r="D1094" t="str">
            <v/>
          </cell>
          <cell r="AH1094">
            <v>0</v>
          </cell>
        </row>
        <row r="1095">
          <cell r="A1095" t="str">
            <v>RQ6</v>
          </cell>
          <cell r="B1095" t="str">
            <v>Q15</v>
          </cell>
          <cell r="C1095" t="str">
            <v/>
          </cell>
          <cell r="D1095" t="str">
            <v/>
          </cell>
          <cell r="AH1095">
            <v>5</v>
          </cell>
        </row>
        <row r="1096">
          <cell r="A1096" t="str">
            <v>RQ8</v>
          </cell>
          <cell r="B1096" t="str">
            <v>Q03</v>
          </cell>
          <cell r="C1096" t="str">
            <v/>
          </cell>
          <cell r="D1096" t="str">
            <v/>
          </cell>
          <cell r="AH1096">
            <v>2</v>
          </cell>
        </row>
        <row r="1097">
          <cell r="A1097" t="str">
            <v>RQM</v>
          </cell>
          <cell r="B1097" t="str">
            <v>Q04</v>
          </cell>
          <cell r="C1097" t="str">
            <v/>
          </cell>
          <cell r="D1097" t="str">
            <v/>
          </cell>
          <cell r="AH1097">
            <v>2</v>
          </cell>
        </row>
        <row r="1098">
          <cell r="A1098" t="str">
            <v>RQN</v>
          </cell>
          <cell r="B1098" t="str">
            <v>Q04</v>
          </cell>
          <cell r="C1098" t="str">
            <v/>
          </cell>
          <cell r="D1098" t="str">
            <v/>
          </cell>
          <cell r="AH1098">
            <v>7</v>
          </cell>
        </row>
        <row r="1099">
          <cell r="A1099" t="str">
            <v>RQQ</v>
          </cell>
          <cell r="B1099" t="str">
            <v>Q01</v>
          </cell>
          <cell r="C1099" t="str">
            <v/>
          </cell>
          <cell r="D1099" t="str">
            <v/>
          </cell>
          <cell r="AH1099">
            <v>1</v>
          </cell>
        </row>
        <row r="1100">
          <cell r="A1100" t="str">
            <v>RQW</v>
          </cell>
          <cell r="B1100" t="str">
            <v>Q03</v>
          </cell>
          <cell r="C1100" t="str">
            <v/>
          </cell>
          <cell r="D1100" t="str">
            <v/>
          </cell>
          <cell r="AH1100">
            <v>2</v>
          </cell>
        </row>
        <row r="1101">
          <cell r="A1101" t="str">
            <v>RQX</v>
          </cell>
          <cell r="B1101" t="str">
            <v>Q06</v>
          </cell>
          <cell r="C1101" t="str">
            <v/>
          </cell>
          <cell r="D1101" t="str">
            <v/>
          </cell>
          <cell r="AH1101">
            <v>1</v>
          </cell>
        </row>
        <row r="1102">
          <cell r="A1102" t="str">
            <v>RQY</v>
          </cell>
          <cell r="B1102" t="str">
            <v>Q08</v>
          </cell>
          <cell r="C1102" t="str">
            <v/>
          </cell>
          <cell r="D1102" t="str">
            <v/>
          </cell>
          <cell r="AH1102" t="str">
            <v/>
          </cell>
        </row>
        <row r="1103">
          <cell r="A1103" t="str">
            <v>RR1</v>
          </cell>
          <cell r="B1103" t="str">
            <v>Q27</v>
          </cell>
          <cell r="C1103" t="str">
            <v/>
          </cell>
          <cell r="D1103" t="str">
            <v/>
          </cell>
          <cell r="AH1103">
            <v>7</v>
          </cell>
        </row>
        <row r="1104">
          <cell r="A1104" t="str">
            <v>RR2</v>
          </cell>
          <cell r="B1104" t="str">
            <v>Q17</v>
          </cell>
          <cell r="C1104" t="str">
            <v/>
          </cell>
          <cell r="D1104" t="str">
            <v/>
          </cell>
          <cell r="AH1104">
            <v>0</v>
          </cell>
        </row>
        <row r="1105">
          <cell r="A1105" t="str">
            <v>RR21</v>
          </cell>
          <cell r="B1105" t="str">
            <v>Q17</v>
          </cell>
          <cell r="C1105">
            <v>0.75</v>
          </cell>
          <cell r="D1105">
            <v>0.95</v>
          </cell>
        </row>
        <row r="1106">
          <cell r="A1106" t="str">
            <v>RR7</v>
          </cell>
          <cell r="B1106" t="str">
            <v>Q09</v>
          </cell>
          <cell r="C1106" t="str">
            <v/>
          </cell>
          <cell r="D1106" t="str">
            <v/>
          </cell>
          <cell r="AH1106">
            <v>1</v>
          </cell>
        </row>
        <row r="1107">
          <cell r="A1107" t="str">
            <v>RR8</v>
          </cell>
          <cell r="B1107" t="str">
            <v>Q12</v>
          </cell>
          <cell r="C1107" t="str">
            <v/>
          </cell>
          <cell r="D1107" t="str">
            <v/>
          </cell>
          <cell r="AH1107">
            <v>11</v>
          </cell>
        </row>
        <row r="1108">
          <cell r="A1108" t="str">
            <v>RRD</v>
          </cell>
          <cell r="B1108" t="str">
            <v>Q03</v>
          </cell>
          <cell r="C1108" t="str">
            <v/>
          </cell>
          <cell r="D1108" t="str">
            <v/>
          </cell>
          <cell r="AH1108" t="str">
            <v/>
          </cell>
        </row>
        <row r="1109">
          <cell r="A1109" t="str">
            <v>RRE</v>
          </cell>
          <cell r="B1109" t="str">
            <v>Q26</v>
          </cell>
          <cell r="C1109" t="str">
            <v/>
          </cell>
          <cell r="D1109" t="str">
            <v/>
          </cell>
          <cell r="AH1109" t="str">
            <v/>
          </cell>
        </row>
        <row r="1110">
          <cell r="A1110" t="str">
            <v>RRF</v>
          </cell>
          <cell r="B1110" t="str">
            <v>Q14</v>
          </cell>
          <cell r="C1110" t="str">
            <v/>
          </cell>
          <cell r="D1110" t="str">
            <v/>
          </cell>
          <cell r="AH1110">
            <v>2</v>
          </cell>
        </row>
        <row r="1111">
          <cell r="A1111" t="str">
            <v>RRJ</v>
          </cell>
          <cell r="B1111" t="str">
            <v>Q27</v>
          </cell>
          <cell r="C1111" t="str">
            <v/>
          </cell>
          <cell r="D1111" t="str">
            <v/>
          </cell>
          <cell r="AH1111">
            <v>0</v>
          </cell>
        </row>
        <row r="1112">
          <cell r="A1112" t="str">
            <v>RRK</v>
          </cell>
          <cell r="B1112" t="str">
            <v>Q27</v>
          </cell>
          <cell r="C1112" t="str">
            <v/>
          </cell>
          <cell r="D1112" t="str">
            <v/>
          </cell>
          <cell r="AH1112">
            <v>9</v>
          </cell>
        </row>
        <row r="1113">
          <cell r="A1113" t="str">
            <v>RRP</v>
          </cell>
          <cell r="B1113" t="str">
            <v>Q05</v>
          </cell>
          <cell r="C1113" t="str">
            <v/>
          </cell>
          <cell r="D1113" t="str">
            <v/>
          </cell>
          <cell r="AH1113" t="str">
            <v/>
          </cell>
        </row>
        <row r="1114">
          <cell r="A1114" t="str">
            <v>RRR</v>
          </cell>
          <cell r="B1114" t="str">
            <v>Q08</v>
          </cell>
          <cell r="C1114" t="str">
            <v/>
          </cell>
          <cell r="D1114" t="str">
            <v/>
          </cell>
          <cell r="AH1114" t="str">
            <v/>
          </cell>
        </row>
        <row r="1115">
          <cell r="A1115" t="str">
            <v>RRU</v>
          </cell>
          <cell r="B1115" t="str">
            <v>Q08</v>
          </cell>
          <cell r="C1115">
            <v>0.75</v>
          </cell>
          <cell r="D1115">
            <v>0.95</v>
          </cell>
          <cell r="AH1115" t="str">
            <v/>
          </cell>
        </row>
        <row r="1116">
          <cell r="A1116" t="str">
            <v>RRV</v>
          </cell>
          <cell r="B1116" t="str">
            <v>Q05</v>
          </cell>
          <cell r="C1116" t="str">
            <v/>
          </cell>
          <cell r="D1116" t="str">
            <v/>
          </cell>
          <cell r="AH1116">
            <v>2</v>
          </cell>
        </row>
        <row r="1117">
          <cell r="A1117" t="str">
            <v>RT1</v>
          </cell>
          <cell r="B1117" t="str">
            <v>Q01</v>
          </cell>
          <cell r="C1117" t="str">
            <v/>
          </cell>
          <cell r="D1117" t="str">
            <v/>
          </cell>
          <cell r="AH1117" t="str">
            <v/>
          </cell>
        </row>
        <row r="1118">
          <cell r="A1118" t="str">
            <v>RT2</v>
          </cell>
          <cell r="B1118" t="str">
            <v>Q14</v>
          </cell>
          <cell r="C1118" t="str">
            <v/>
          </cell>
          <cell r="D1118" t="str">
            <v/>
          </cell>
          <cell r="AH1118" t="str">
            <v/>
          </cell>
        </row>
        <row r="1119">
          <cell r="A1119" t="str">
            <v>RT3</v>
          </cell>
          <cell r="B1119" t="str">
            <v>Q04</v>
          </cell>
          <cell r="C1119" t="str">
            <v/>
          </cell>
          <cell r="D1119" t="str">
            <v/>
          </cell>
          <cell r="AH1119">
            <v>0</v>
          </cell>
        </row>
        <row r="1120">
          <cell r="A1120" t="str">
            <v>RT5</v>
          </cell>
          <cell r="B1120" t="str">
            <v>Q25</v>
          </cell>
          <cell r="C1120" t="str">
            <v/>
          </cell>
          <cell r="D1120" t="str">
            <v/>
          </cell>
          <cell r="AH1120" t="str">
            <v/>
          </cell>
        </row>
        <row r="1121">
          <cell r="A1121" t="str">
            <v>RT6</v>
          </cell>
          <cell r="B1121" t="str">
            <v>Q01</v>
          </cell>
          <cell r="C1121" t="str">
            <v/>
          </cell>
          <cell r="D1121" t="str">
            <v/>
          </cell>
          <cell r="AH1121" t="str">
            <v/>
          </cell>
        </row>
        <row r="1122">
          <cell r="A1122" t="str">
            <v>RTC</v>
          </cell>
          <cell r="B1122" t="str">
            <v>Q10</v>
          </cell>
          <cell r="C1122" t="str">
            <v/>
          </cell>
          <cell r="D1122" t="str">
            <v/>
          </cell>
          <cell r="AH1122" t="str">
            <v/>
          </cell>
        </row>
        <row r="1123">
          <cell r="A1123" t="str">
            <v>RTD</v>
          </cell>
          <cell r="B1123" t="str">
            <v>Q09</v>
          </cell>
          <cell r="C1123" t="str">
            <v/>
          </cell>
          <cell r="D1123" t="str">
            <v/>
          </cell>
          <cell r="AH1123">
            <v>4</v>
          </cell>
        </row>
        <row r="1124">
          <cell r="A1124" t="str">
            <v>RTE</v>
          </cell>
          <cell r="B1124" t="str">
            <v>Q20</v>
          </cell>
          <cell r="C1124" t="str">
            <v/>
          </cell>
          <cell r="D1124" t="str">
            <v/>
          </cell>
          <cell r="AH1124">
            <v>2</v>
          </cell>
        </row>
        <row r="1125">
          <cell r="A1125" t="str">
            <v>RTF</v>
          </cell>
          <cell r="B1125" t="str">
            <v>Q09</v>
          </cell>
          <cell r="C1125" t="str">
            <v/>
          </cell>
          <cell r="D1125" t="str">
            <v/>
          </cell>
          <cell r="AH1125">
            <v>5</v>
          </cell>
        </row>
        <row r="1126">
          <cell r="A1126" t="str">
            <v>RTG</v>
          </cell>
          <cell r="B1126" t="str">
            <v>Q24</v>
          </cell>
          <cell r="C1126" t="str">
            <v/>
          </cell>
          <cell r="D1126" t="str">
            <v/>
          </cell>
          <cell r="AH1126">
            <v>3</v>
          </cell>
        </row>
        <row r="1127">
          <cell r="A1127" t="str">
            <v>RTH</v>
          </cell>
          <cell r="B1127" t="str">
            <v>Q16</v>
          </cell>
          <cell r="C1127" t="str">
            <v/>
          </cell>
          <cell r="D1127" t="str">
            <v/>
          </cell>
          <cell r="AH1127">
            <v>6</v>
          </cell>
        </row>
        <row r="1128">
          <cell r="A1128" t="str">
            <v>RTK</v>
          </cell>
          <cell r="B1128" t="str">
            <v>Q19</v>
          </cell>
          <cell r="C1128" t="str">
            <v/>
          </cell>
          <cell r="D1128" t="str">
            <v/>
          </cell>
          <cell r="AH1128">
            <v>2</v>
          </cell>
        </row>
        <row r="1129">
          <cell r="A1129" t="str">
            <v>RTM</v>
          </cell>
          <cell r="B1129" t="str">
            <v>Q18</v>
          </cell>
          <cell r="C1129" t="str">
            <v/>
          </cell>
          <cell r="D1129" t="str">
            <v/>
          </cell>
          <cell r="AH1129" t="str">
            <v/>
          </cell>
        </row>
        <row r="1130">
          <cell r="A1130" t="str">
            <v>RTP</v>
          </cell>
          <cell r="B1130" t="str">
            <v>Q19</v>
          </cell>
          <cell r="C1130" t="str">
            <v/>
          </cell>
          <cell r="D1130" t="str">
            <v/>
          </cell>
          <cell r="AH1130">
            <v>2</v>
          </cell>
        </row>
        <row r="1131">
          <cell r="A1131" t="str">
            <v>RTQ</v>
          </cell>
          <cell r="B1131" t="str">
            <v>Q20</v>
          </cell>
          <cell r="C1131" t="str">
            <v/>
          </cell>
          <cell r="D1131" t="str">
            <v/>
          </cell>
          <cell r="AH1131" t="str">
            <v/>
          </cell>
        </row>
        <row r="1132">
          <cell r="A1132" t="str">
            <v>RTR</v>
          </cell>
          <cell r="B1132" t="str">
            <v>Q10</v>
          </cell>
          <cell r="C1132" t="str">
            <v/>
          </cell>
          <cell r="D1132" t="str">
            <v/>
          </cell>
          <cell r="AH1132">
            <v>4</v>
          </cell>
        </row>
        <row r="1133">
          <cell r="A1133" t="str">
            <v>RTR1</v>
          </cell>
          <cell r="B1133" t="str">
            <v>Q10</v>
          </cell>
          <cell r="C1133" t="str">
            <v/>
          </cell>
          <cell r="D1133" t="str">
            <v/>
          </cell>
          <cell r="AH1133" t="str">
            <v/>
          </cell>
        </row>
        <row r="1134">
          <cell r="A1134" t="str">
            <v>RTV</v>
          </cell>
          <cell r="B1134" t="str">
            <v>Q15</v>
          </cell>
          <cell r="C1134" t="str">
            <v/>
          </cell>
          <cell r="D1134" t="str">
            <v/>
          </cell>
          <cell r="AH1134" t="str">
            <v/>
          </cell>
        </row>
        <row r="1135">
          <cell r="A1135" t="str">
            <v>RTX</v>
          </cell>
          <cell r="B1135" t="str">
            <v>Q13</v>
          </cell>
          <cell r="C1135" t="str">
            <v/>
          </cell>
          <cell r="D1135" t="str">
            <v/>
          </cell>
          <cell r="AH1135">
            <v>3</v>
          </cell>
        </row>
        <row r="1136">
          <cell r="A1136" t="str">
            <v>RV1</v>
          </cell>
          <cell r="B1136" t="str">
            <v>Q11</v>
          </cell>
          <cell r="C1136">
            <v>0.75</v>
          </cell>
          <cell r="D1136">
            <v>0.95</v>
          </cell>
          <cell r="AH1136" t="str">
            <v/>
          </cell>
        </row>
        <row r="1137">
          <cell r="A1137" t="str">
            <v>RV3</v>
          </cell>
          <cell r="B1137" t="str">
            <v>Q04</v>
          </cell>
          <cell r="C1137" t="str">
            <v/>
          </cell>
          <cell r="D1137" t="str">
            <v/>
          </cell>
          <cell r="AH1137" t="str">
            <v/>
          </cell>
        </row>
        <row r="1138">
          <cell r="A1138" t="str">
            <v>RV5</v>
          </cell>
          <cell r="B1138" t="str">
            <v>Q07</v>
          </cell>
          <cell r="C1138" t="str">
            <v/>
          </cell>
          <cell r="D1138" t="str">
            <v/>
          </cell>
          <cell r="AH1138" t="str">
            <v/>
          </cell>
        </row>
        <row r="1139">
          <cell r="A1139" t="str">
            <v>RV6</v>
          </cell>
          <cell r="B1139" t="str">
            <v>Q24</v>
          </cell>
          <cell r="C1139">
            <v>0.75</v>
          </cell>
          <cell r="D1139">
            <v>0.95</v>
          </cell>
          <cell r="AH1139" t="str">
            <v/>
          </cell>
        </row>
        <row r="1140">
          <cell r="A1140" t="str">
            <v>RV7</v>
          </cell>
          <cell r="B1140" t="str">
            <v>Q02</v>
          </cell>
          <cell r="C1140" t="str">
            <v/>
          </cell>
          <cell r="D1140" t="str">
            <v/>
          </cell>
          <cell r="AH1140" t="str">
            <v/>
          </cell>
        </row>
        <row r="1141">
          <cell r="A1141" t="str">
            <v>RV8</v>
          </cell>
          <cell r="B1141" t="str">
            <v>Q04</v>
          </cell>
          <cell r="C1141" t="str">
            <v/>
          </cell>
          <cell r="D1141" t="str">
            <v/>
          </cell>
          <cell r="AH1141">
            <v>3</v>
          </cell>
        </row>
        <row r="1142">
          <cell r="A1142" t="str">
            <v>RV9</v>
          </cell>
          <cell r="B1142" t="str">
            <v>Q11</v>
          </cell>
          <cell r="C1142" t="str">
            <v/>
          </cell>
          <cell r="D1142" t="str">
            <v/>
          </cell>
          <cell r="AH1142" t="str">
            <v/>
          </cell>
        </row>
        <row r="1143">
          <cell r="A1143" t="str">
            <v>RVJ</v>
          </cell>
          <cell r="B1143" t="str">
            <v>Q20</v>
          </cell>
          <cell r="C1143" t="str">
            <v/>
          </cell>
          <cell r="D1143" t="str">
            <v/>
          </cell>
          <cell r="AH1143">
            <v>8</v>
          </cell>
        </row>
        <row r="1144">
          <cell r="A1144" t="str">
            <v>RVK</v>
          </cell>
          <cell r="B1144" t="str">
            <v>Q09</v>
          </cell>
          <cell r="C1144">
            <v>0.75</v>
          </cell>
          <cell r="D1144">
            <v>0.95</v>
          </cell>
          <cell r="AH1144" t="str">
            <v/>
          </cell>
        </row>
        <row r="1145">
          <cell r="A1145" t="str">
            <v>RVL</v>
          </cell>
          <cell r="B1145" t="str">
            <v>Q05</v>
          </cell>
          <cell r="C1145" t="str">
            <v/>
          </cell>
          <cell r="D1145" t="str">
            <v/>
          </cell>
          <cell r="AH1145">
            <v>6</v>
          </cell>
        </row>
        <row r="1146">
          <cell r="A1146" t="str">
            <v>RVN</v>
          </cell>
          <cell r="B1146" t="str">
            <v>Q20</v>
          </cell>
          <cell r="C1146" t="str">
            <v/>
          </cell>
          <cell r="D1146" t="str">
            <v/>
          </cell>
          <cell r="AH1146" t="str">
            <v/>
          </cell>
        </row>
        <row r="1147">
          <cell r="A1147" t="str">
            <v>RVR</v>
          </cell>
          <cell r="B1147" t="str">
            <v>Q08</v>
          </cell>
          <cell r="C1147" t="str">
            <v/>
          </cell>
          <cell r="D1147" t="str">
            <v/>
          </cell>
          <cell r="AH1147">
            <v>5</v>
          </cell>
        </row>
        <row r="1148">
          <cell r="A1148" t="str">
            <v>RVR1</v>
          </cell>
          <cell r="B1148" t="str">
            <v>Q08</v>
          </cell>
          <cell r="C1148" t="str">
            <v/>
          </cell>
          <cell r="D1148" t="str">
            <v/>
          </cell>
          <cell r="AH1148" t="str">
            <v/>
          </cell>
        </row>
        <row r="1149">
          <cell r="A1149" t="str">
            <v>RVV</v>
          </cell>
          <cell r="B1149" t="str">
            <v>Q18</v>
          </cell>
          <cell r="C1149" t="str">
            <v/>
          </cell>
          <cell r="D1149" t="str">
            <v/>
          </cell>
          <cell r="AH1149">
            <v>5</v>
          </cell>
        </row>
        <row r="1150">
          <cell r="A1150" t="str">
            <v>RVW</v>
          </cell>
          <cell r="B1150" t="str">
            <v>Q10</v>
          </cell>
          <cell r="C1150" t="str">
            <v/>
          </cell>
          <cell r="D1150" t="str">
            <v/>
          </cell>
          <cell r="AH1150">
            <v>1</v>
          </cell>
        </row>
        <row r="1151">
          <cell r="A1151" t="str">
            <v>RVX</v>
          </cell>
          <cell r="B1151" t="str">
            <v>Q10</v>
          </cell>
          <cell r="C1151" t="str">
            <v/>
          </cell>
          <cell r="D1151" t="str">
            <v/>
          </cell>
          <cell r="AH1151" t="str">
            <v/>
          </cell>
        </row>
        <row r="1152">
          <cell r="A1152" t="str">
            <v>RVY</v>
          </cell>
          <cell r="B1152" t="str">
            <v>Q15</v>
          </cell>
          <cell r="C1152" t="str">
            <v/>
          </cell>
          <cell r="D1152" t="str">
            <v/>
          </cell>
          <cell r="AH1152">
            <v>1</v>
          </cell>
        </row>
        <row r="1153">
          <cell r="A1153" t="str">
            <v>RW1</v>
          </cell>
          <cell r="B1153" t="str">
            <v>Q17</v>
          </cell>
          <cell r="C1153" t="str">
            <v/>
          </cell>
          <cell r="D1153" t="str">
            <v/>
          </cell>
          <cell r="AH1153" t="str">
            <v/>
          </cell>
        </row>
        <row r="1154">
          <cell r="A1154" t="str">
            <v>RW3</v>
          </cell>
          <cell r="B1154" t="str">
            <v>Q14</v>
          </cell>
          <cell r="C1154" t="str">
            <v/>
          </cell>
          <cell r="D1154" t="str">
            <v/>
          </cell>
          <cell r="AH1154">
            <v>3</v>
          </cell>
        </row>
        <row r="1155">
          <cell r="A1155" t="str">
            <v>RW4</v>
          </cell>
          <cell r="B1155" t="str">
            <v>Q15</v>
          </cell>
          <cell r="C1155" t="str">
            <v/>
          </cell>
          <cell r="D1155" t="str">
            <v/>
          </cell>
          <cell r="AH1155" t="str">
            <v/>
          </cell>
        </row>
        <row r="1156">
          <cell r="A1156" t="str">
            <v>RW5</v>
          </cell>
          <cell r="B1156" t="str">
            <v>Q13</v>
          </cell>
          <cell r="C1156" t="str">
            <v/>
          </cell>
          <cell r="D1156" t="str">
            <v/>
          </cell>
          <cell r="AH1156" t="str">
            <v/>
          </cell>
        </row>
        <row r="1157">
          <cell r="A1157" t="str">
            <v>RW6</v>
          </cell>
          <cell r="B1157" t="str">
            <v>Q14</v>
          </cell>
          <cell r="C1157" t="str">
            <v/>
          </cell>
          <cell r="D1157" t="str">
            <v/>
          </cell>
          <cell r="AH1157">
            <v>7</v>
          </cell>
        </row>
        <row r="1158">
          <cell r="A1158" t="str">
            <v>RW9</v>
          </cell>
          <cell r="B1158" t="str">
            <v>Q09</v>
          </cell>
          <cell r="C1158" t="str">
            <v/>
          </cell>
          <cell r="D1158" t="str">
            <v/>
          </cell>
          <cell r="AH1158" t="str">
            <v/>
          </cell>
        </row>
        <row r="1159">
          <cell r="A1159" t="str">
            <v>RWA</v>
          </cell>
          <cell r="B1159" t="str">
            <v>Q11</v>
          </cell>
          <cell r="C1159" t="str">
            <v/>
          </cell>
          <cell r="D1159" t="str">
            <v/>
          </cell>
          <cell r="AH1159">
            <v>6</v>
          </cell>
        </row>
        <row r="1160">
          <cell r="A1160" t="str">
            <v>RWD</v>
          </cell>
          <cell r="B1160" t="str">
            <v>Q24</v>
          </cell>
          <cell r="C1160" t="str">
            <v/>
          </cell>
          <cell r="D1160" t="str">
            <v/>
          </cell>
          <cell r="AH1160">
            <v>6</v>
          </cell>
        </row>
        <row r="1161">
          <cell r="A1161" t="str">
            <v>RWE</v>
          </cell>
          <cell r="B1161" t="str">
            <v>Q25</v>
          </cell>
          <cell r="C1161" t="str">
            <v/>
          </cell>
          <cell r="D1161" t="str">
            <v/>
          </cell>
          <cell r="AH1161">
            <v>12</v>
          </cell>
        </row>
        <row r="1162">
          <cell r="A1162" t="str">
            <v>RWF</v>
          </cell>
          <cell r="B1162" t="str">
            <v>Q18</v>
          </cell>
          <cell r="C1162" t="str">
            <v/>
          </cell>
          <cell r="D1162" t="str">
            <v/>
          </cell>
          <cell r="AH1162">
            <v>4</v>
          </cell>
        </row>
        <row r="1163">
          <cell r="A1163" t="str">
            <v>RWG</v>
          </cell>
          <cell r="B1163" t="str">
            <v>Q02</v>
          </cell>
          <cell r="C1163" t="str">
            <v/>
          </cell>
          <cell r="D1163" t="str">
            <v/>
          </cell>
          <cell r="AH1163">
            <v>3</v>
          </cell>
        </row>
        <row r="1164">
          <cell r="A1164" t="str">
            <v>RWH</v>
          </cell>
          <cell r="B1164" t="str">
            <v>Q02</v>
          </cell>
          <cell r="C1164" t="str">
            <v/>
          </cell>
          <cell r="D1164" t="str">
            <v/>
          </cell>
          <cell r="AH1164">
            <v>3</v>
          </cell>
        </row>
        <row r="1165">
          <cell r="A1165" t="str">
            <v>RWJ</v>
          </cell>
          <cell r="B1165" t="str">
            <v>Q14</v>
          </cell>
          <cell r="C1165" t="str">
            <v/>
          </cell>
          <cell r="D1165" t="str">
            <v/>
          </cell>
          <cell r="AH1165">
            <v>2</v>
          </cell>
        </row>
        <row r="1166">
          <cell r="A1166" t="str">
            <v>RWK</v>
          </cell>
          <cell r="B1166" t="str">
            <v>Q06</v>
          </cell>
          <cell r="C1166" t="str">
            <v/>
          </cell>
          <cell r="D1166" t="str">
            <v/>
          </cell>
          <cell r="AH1166" t="str">
            <v/>
          </cell>
        </row>
        <row r="1167">
          <cell r="A1167" t="str">
            <v>RWN</v>
          </cell>
          <cell r="B1167" t="str">
            <v>Q03</v>
          </cell>
          <cell r="C1167" t="str">
            <v/>
          </cell>
          <cell r="D1167" t="str">
            <v/>
          </cell>
          <cell r="AH1167" t="str">
            <v/>
          </cell>
        </row>
        <row r="1168">
          <cell r="A1168" t="str">
            <v>RWP</v>
          </cell>
          <cell r="B1168" t="str">
            <v>Q28</v>
          </cell>
          <cell r="C1168" t="str">
            <v/>
          </cell>
          <cell r="D1168" t="str">
            <v/>
          </cell>
          <cell r="AH1168">
            <v>2</v>
          </cell>
        </row>
        <row r="1169">
          <cell r="A1169" t="str">
            <v>RWQ</v>
          </cell>
          <cell r="B1169" t="str">
            <v>Q28</v>
          </cell>
          <cell r="C1169" t="str">
            <v/>
          </cell>
          <cell r="D1169" t="str">
            <v/>
          </cell>
          <cell r="AH1169" t="str">
            <v/>
          </cell>
        </row>
        <row r="1170">
          <cell r="A1170" t="str">
            <v>RWR</v>
          </cell>
          <cell r="B1170" t="str">
            <v>Q02</v>
          </cell>
          <cell r="C1170" t="str">
            <v/>
          </cell>
          <cell r="D1170" t="str">
            <v/>
          </cell>
          <cell r="AH1170" t="str">
            <v/>
          </cell>
        </row>
        <row r="1171">
          <cell r="A1171" t="str">
            <v>RWT</v>
          </cell>
          <cell r="B1171" t="str">
            <v>Q16</v>
          </cell>
          <cell r="C1171" t="str">
            <v/>
          </cell>
          <cell r="D1171" t="str">
            <v/>
          </cell>
          <cell r="AH1171" t="str">
            <v/>
          </cell>
        </row>
        <row r="1172">
          <cell r="A1172" t="str">
            <v>RWV</v>
          </cell>
          <cell r="B1172" t="str">
            <v>Q21</v>
          </cell>
          <cell r="C1172" t="str">
            <v/>
          </cell>
          <cell r="D1172" t="str">
            <v/>
          </cell>
          <cell r="AH1172" t="str">
            <v/>
          </cell>
        </row>
        <row r="1173">
          <cell r="A1173" t="str">
            <v>RWW</v>
          </cell>
          <cell r="B1173" t="str">
            <v>Q15</v>
          </cell>
          <cell r="C1173" t="str">
            <v/>
          </cell>
          <cell r="D1173" t="str">
            <v/>
          </cell>
          <cell r="AH1173">
            <v>2</v>
          </cell>
        </row>
        <row r="1174">
          <cell r="A1174" t="str">
            <v>RWX</v>
          </cell>
          <cell r="B1174" t="str">
            <v>Q16</v>
          </cell>
          <cell r="C1174" t="str">
            <v/>
          </cell>
          <cell r="D1174" t="str">
            <v/>
          </cell>
          <cell r="AH1174" t="str">
            <v/>
          </cell>
        </row>
        <row r="1175">
          <cell r="A1175" t="str">
            <v>RWY</v>
          </cell>
          <cell r="B1175" t="str">
            <v>Q12</v>
          </cell>
          <cell r="C1175" t="str">
            <v/>
          </cell>
          <cell r="D1175" t="str">
            <v/>
          </cell>
          <cell r="AH1175">
            <v>2</v>
          </cell>
        </row>
        <row r="1176">
          <cell r="A1176" t="str">
            <v>RX1</v>
          </cell>
          <cell r="B1176" t="str">
            <v>Q24</v>
          </cell>
          <cell r="C1176" t="str">
            <v/>
          </cell>
          <cell r="D1176" t="str">
            <v/>
          </cell>
          <cell r="AH1176" t="str">
            <v/>
          </cell>
        </row>
        <row r="1177">
          <cell r="A1177" t="str">
            <v>RX2</v>
          </cell>
          <cell r="B1177" t="str">
            <v>Q19</v>
          </cell>
          <cell r="C1177" t="str">
            <v/>
          </cell>
          <cell r="D1177" t="str">
            <v/>
          </cell>
          <cell r="AH1177" t="str">
            <v/>
          </cell>
        </row>
        <row r="1178">
          <cell r="A1178" t="str">
            <v>RX3</v>
          </cell>
          <cell r="B1178" t="str">
            <v>Q10</v>
          </cell>
          <cell r="C1178" t="str">
            <v/>
          </cell>
          <cell r="D1178" t="str">
            <v/>
          </cell>
          <cell r="AH1178" t="str">
            <v/>
          </cell>
        </row>
        <row r="1179">
          <cell r="A1179" t="str">
            <v>RX4</v>
          </cell>
          <cell r="B1179" t="str">
            <v>Q09</v>
          </cell>
          <cell r="C1179" t="str">
            <v/>
          </cell>
          <cell r="D1179" t="str">
            <v/>
          </cell>
          <cell r="AH1179" t="str">
            <v/>
          </cell>
        </row>
        <row r="1180">
          <cell r="A1180" t="str">
            <v>RX5</v>
          </cell>
          <cell r="B1180" t="str">
            <v>Q20</v>
          </cell>
          <cell r="C1180">
            <v>0.75</v>
          </cell>
          <cell r="D1180">
            <v>0.95</v>
          </cell>
          <cell r="AH1180" t="str">
            <v/>
          </cell>
        </row>
        <row r="1181">
          <cell r="A1181" t="str">
            <v>RXA</v>
          </cell>
          <cell r="B1181" t="str">
            <v>Q15</v>
          </cell>
          <cell r="C1181" t="str">
            <v/>
          </cell>
          <cell r="D1181" t="str">
            <v/>
          </cell>
          <cell r="AH1181" t="str">
            <v/>
          </cell>
        </row>
        <row r="1182">
          <cell r="A1182" t="str">
            <v>RXC</v>
          </cell>
          <cell r="B1182" t="str">
            <v>Q19</v>
          </cell>
          <cell r="C1182" t="str">
            <v/>
          </cell>
          <cell r="D1182" t="str">
            <v/>
          </cell>
          <cell r="AH1182">
            <v>4</v>
          </cell>
        </row>
        <row r="1183">
          <cell r="A1183" t="str">
            <v>RXE</v>
          </cell>
          <cell r="B1183" t="str">
            <v>Q23</v>
          </cell>
          <cell r="C1183" t="str">
            <v/>
          </cell>
          <cell r="D1183" t="str">
            <v/>
          </cell>
          <cell r="AH1183" t="str">
            <v/>
          </cell>
        </row>
        <row r="1184">
          <cell r="A1184" t="str">
            <v>RXF</v>
          </cell>
          <cell r="B1184" t="str">
            <v>Q12</v>
          </cell>
          <cell r="C1184" t="str">
            <v/>
          </cell>
          <cell r="D1184" t="str">
            <v/>
          </cell>
          <cell r="AH1184">
            <v>5</v>
          </cell>
        </row>
        <row r="1185">
          <cell r="A1185" t="str">
            <v>RXG</v>
          </cell>
          <cell r="B1185" t="str">
            <v>Q12</v>
          </cell>
          <cell r="C1185" t="str">
            <v/>
          </cell>
          <cell r="D1185" t="str">
            <v/>
          </cell>
          <cell r="AH1185" t="str">
            <v/>
          </cell>
        </row>
        <row r="1186">
          <cell r="A1186" t="str">
            <v>RXH</v>
          </cell>
          <cell r="B1186" t="str">
            <v>Q19</v>
          </cell>
          <cell r="C1186" t="str">
            <v/>
          </cell>
          <cell r="D1186" t="str">
            <v/>
          </cell>
          <cell r="AH1186">
            <v>7</v>
          </cell>
        </row>
        <row r="1187">
          <cell r="A1187" t="str">
            <v>RXK</v>
          </cell>
          <cell r="B1187" t="str">
            <v>Q27</v>
          </cell>
          <cell r="C1187" t="str">
            <v/>
          </cell>
          <cell r="D1187" t="str">
            <v/>
          </cell>
          <cell r="AH1187">
            <v>5</v>
          </cell>
        </row>
        <row r="1188">
          <cell r="A1188" t="str">
            <v>RXL</v>
          </cell>
          <cell r="B1188" t="str">
            <v>Q13</v>
          </cell>
          <cell r="C1188" t="str">
            <v/>
          </cell>
          <cell r="D1188" t="str">
            <v/>
          </cell>
          <cell r="AH1188">
            <v>4</v>
          </cell>
        </row>
        <row r="1189">
          <cell r="A1189" t="str">
            <v>RXM</v>
          </cell>
          <cell r="B1189" t="str">
            <v>Q24</v>
          </cell>
          <cell r="C1189" t="str">
            <v/>
          </cell>
          <cell r="D1189" t="str">
            <v/>
          </cell>
          <cell r="AH1189" t="str">
            <v/>
          </cell>
        </row>
        <row r="1190">
          <cell r="A1190" t="str">
            <v>RXN</v>
          </cell>
          <cell r="B1190" t="str">
            <v>Q13</v>
          </cell>
          <cell r="C1190" t="str">
            <v/>
          </cell>
          <cell r="D1190" t="str">
            <v/>
          </cell>
          <cell r="AH1190">
            <v>3</v>
          </cell>
        </row>
        <row r="1191">
          <cell r="A1191" t="str">
            <v>RXP</v>
          </cell>
          <cell r="B1191" t="str">
            <v>Q10</v>
          </cell>
          <cell r="C1191" t="str">
            <v/>
          </cell>
          <cell r="D1191" t="str">
            <v/>
          </cell>
          <cell r="AH1191">
            <v>1</v>
          </cell>
        </row>
        <row r="1192">
          <cell r="A1192" t="str">
            <v>RXQ</v>
          </cell>
          <cell r="B1192" t="str">
            <v>Q16</v>
          </cell>
          <cell r="C1192" t="str">
            <v/>
          </cell>
          <cell r="D1192" t="str">
            <v/>
          </cell>
          <cell r="AH1192">
            <v>2</v>
          </cell>
        </row>
        <row r="1193">
          <cell r="A1193" t="str">
            <v>RXR</v>
          </cell>
          <cell r="B1193" t="str">
            <v>Q13</v>
          </cell>
          <cell r="C1193" t="str">
            <v/>
          </cell>
          <cell r="D1193" t="str">
            <v/>
          </cell>
          <cell r="AH1193">
            <v>4</v>
          </cell>
        </row>
        <row r="1194">
          <cell r="A1194" t="str">
            <v>RXT</v>
          </cell>
          <cell r="B1194" t="str">
            <v>Q27</v>
          </cell>
          <cell r="C1194" t="str">
            <v/>
          </cell>
          <cell r="D1194" t="str">
            <v/>
          </cell>
          <cell r="AH1194" t="str">
            <v/>
          </cell>
        </row>
        <row r="1195">
          <cell r="A1195" t="str">
            <v>RXV</v>
          </cell>
          <cell r="B1195" t="str">
            <v>Q14</v>
          </cell>
          <cell r="C1195" t="str">
            <v/>
          </cell>
          <cell r="D1195" t="str">
            <v/>
          </cell>
          <cell r="AH1195" t="str">
            <v/>
          </cell>
        </row>
        <row r="1196">
          <cell r="A1196" t="str">
            <v>RXW</v>
          </cell>
          <cell r="B1196" t="str">
            <v>Q26</v>
          </cell>
          <cell r="C1196" t="str">
            <v/>
          </cell>
          <cell r="D1196" t="str">
            <v/>
          </cell>
          <cell r="AH1196">
            <v>4</v>
          </cell>
        </row>
        <row r="1197">
          <cell r="A1197" t="str">
            <v>RXX</v>
          </cell>
          <cell r="B1197" t="str">
            <v>Q19</v>
          </cell>
          <cell r="C1197" t="str">
            <v/>
          </cell>
          <cell r="D1197" t="str">
            <v/>
          </cell>
          <cell r="AH1197" t="str">
            <v/>
          </cell>
        </row>
        <row r="1198">
          <cell r="A1198" t="str">
            <v>RXY</v>
          </cell>
          <cell r="B1198" t="str">
            <v>Q18</v>
          </cell>
          <cell r="C1198" t="str">
            <v/>
          </cell>
          <cell r="D1198" t="str">
            <v/>
          </cell>
          <cell r="AH1198" t="str">
            <v/>
          </cell>
        </row>
        <row r="1199">
          <cell r="A1199" t="str">
            <v>TAA</v>
          </cell>
          <cell r="B1199" t="str">
            <v>Q14</v>
          </cell>
          <cell r="C1199" t="str">
            <v/>
          </cell>
          <cell r="D1199" t="str">
            <v/>
          </cell>
          <cell r="AH1199" t="str">
            <v/>
          </cell>
        </row>
        <row r="1200">
          <cell r="A1200" t="str">
            <v>TAC</v>
          </cell>
          <cell r="B1200" t="str">
            <v>Q09</v>
          </cell>
          <cell r="C1200" t="str">
            <v/>
          </cell>
          <cell r="D1200" t="str">
            <v/>
          </cell>
          <cell r="AH1200" t="str">
            <v/>
          </cell>
        </row>
        <row r="1201">
          <cell r="A1201" t="str">
            <v>TAD</v>
          </cell>
          <cell r="B1201" t="str">
            <v>Q12</v>
          </cell>
          <cell r="C1201" t="str">
            <v/>
          </cell>
          <cell r="D1201" t="str">
            <v/>
          </cell>
          <cell r="AH1201" t="str">
            <v/>
          </cell>
        </row>
        <row r="1202">
          <cell r="A1202" t="str">
            <v>TAE</v>
          </cell>
          <cell r="B1202" t="str">
            <v>Q14</v>
          </cell>
          <cell r="C1202" t="str">
            <v/>
          </cell>
          <cell r="D1202" t="str">
            <v/>
          </cell>
          <cell r="AH1202" t="str">
            <v/>
          </cell>
        </row>
        <row r="1203">
          <cell r="A1203" t="str">
            <v>TAF</v>
          </cell>
          <cell r="B1203" t="str">
            <v>Q05</v>
          </cell>
          <cell r="C1203" t="str">
            <v/>
          </cell>
          <cell r="D1203" t="str">
            <v/>
          </cell>
          <cell r="AH1203" t="str">
            <v/>
          </cell>
        </row>
        <row r="1204">
          <cell r="A1204" t="str">
            <v>TAG</v>
          </cell>
          <cell r="B1204" t="str">
            <v>Q03</v>
          </cell>
          <cell r="C1204" t="str">
            <v/>
          </cell>
          <cell r="D1204" t="str">
            <v/>
          </cell>
          <cell r="AH1204" t="str">
            <v/>
          </cell>
        </row>
        <row r="1205">
          <cell r="A1205" t="str">
            <v>TAH</v>
          </cell>
          <cell r="B1205" t="str">
            <v>Q23</v>
          </cell>
          <cell r="C1205" t="str">
            <v/>
          </cell>
          <cell r="D1205" t="str">
            <v/>
          </cell>
          <cell r="AH1205" t="str">
            <v/>
          </cell>
        </row>
        <row r="1206">
          <cell r="A1206" t="str">
            <v>TAJ</v>
          </cell>
          <cell r="B1206" t="str">
            <v>Q27</v>
          </cell>
          <cell r="C1206" t="str">
            <v/>
          </cell>
          <cell r="D1206" t="str">
            <v/>
          </cell>
          <cell r="AH1206" t="str">
            <v/>
          </cell>
        </row>
        <row r="1207">
          <cell r="A1207" t="str">
            <v>TAK</v>
          </cell>
          <cell r="B1207" t="str">
            <v>Q07</v>
          </cell>
          <cell r="C1207" t="str">
            <v/>
          </cell>
          <cell r="D1207" t="str">
            <v/>
          </cell>
          <cell r="AH1207" t="str">
            <v/>
          </cell>
        </row>
        <row r="1208">
          <cell r="A1208" t="str">
            <v>TAL</v>
          </cell>
          <cell r="B1208" t="str">
            <v>Q21</v>
          </cell>
          <cell r="C1208" t="str">
            <v/>
          </cell>
          <cell r="D1208" t="str">
            <v/>
          </cell>
          <cell r="AH1208" t="str">
            <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o"/>
      <sheetName val="Mar06"/>
      <sheetName val="Report"/>
    </sheetNames>
    <sheetDataSet>
      <sheetData sheetId="0" refreshError="1">
        <row r="25">
          <cell r="L25">
            <v>-464</v>
          </cell>
        </row>
      </sheetData>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DE"/>
      <sheetName val="Cascade Detail"/>
      <sheetName val="Budgeting Codes"/>
      <sheetName val="Journal 1"/>
      <sheetName val="Report"/>
      <sheetName val="Exclusions"/>
      <sheetName val="TRU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splits"/>
      <sheetName val="Summary"/>
      <sheetName val="OldPCTs"/>
      <sheetName val="NewPCTs"/>
      <sheetName val="Sheet3"/>
      <sheetName val="Exclusions"/>
      <sheetName val="Policy - Table 1"/>
      <sheetName val="Net WP"/>
    </sheetNames>
    <sheetDataSet>
      <sheetData sheetId="0"/>
      <sheetData sheetId="1"/>
      <sheetData sheetId="2" refreshError="1">
        <row r="3">
          <cell r="E3" t="str">
            <v>5J9</v>
          </cell>
        </row>
        <row r="4">
          <cell r="E4" t="str">
            <v>5ND</v>
          </cell>
        </row>
        <row r="5">
          <cell r="E5" t="str">
            <v>5ND</v>
          </cell>
        </row>
        <row r="6">
          <cell r="E6" t="str">
            <v>5ND</v>
          </cell>
        </row>
        <row r="7">
          <cell r="E7" t="str">
            <v>5ND</v>
          </cell>
        </row>
        <row r="8">
          <cell r="E8" t="str">
            <v>5D9</v>
          </cell>
        </row>
        <row r="9">
          <cell r="E9" t="str">
            <v>5QR</v>
          </cell>
        </row>
        <row r="10">
          <cell r="E10" t="str">
            <v>5KM</v>
          </cell>
        </row>
        <row r="11">
          <cell r="E11" t="str">
            <v>5E1</v>
          </cell>
        </row>
        <row r="12">
          <cell r="E12" t="str">
            <v>5ND</v>
          </cell>
        </row>
        <row r="13">
          <cell r="E13" t="str">
            <v>5KF</v>
          </cell>
        </row>
        <row r="14">
          <cell r="E14" t="str">
            <v>5D7</v>
          </cell>
        </row>
        <row r="15">
          <cell r="E15" t="str">
            <v>5D8</v>
          </cell>
        </row>
        <row r="16">
          <cell r="E16" t="str">
            <v>TAC</v>
          </cell>
        </row>
        <row r="17">
          <cell r="E17" t="str">
            <v>5KG</v>
          </cell>
        </row>
        <row r="18">
          <cell r="E18" t="str">
            <v>5KL</v>
          </cell>
        </row>
        <row r="19">
          <cell r="E19" t="str">
            <v>5NK</v>
          </cell>
        </row>
        <row r="20">
          <cell r="E20" t="str">
            <v>5NK</v>
          </cell>
        </row>
        <row r="21">
          <cell r="E21" t="str">
            <v>5NP</v>
          </cell>
        </row>
        <row r="22">
          <cell r="E22" t="str">
            <v>5NL</v>
          </cell>
        </row>
        <row r="23">
          <cell r="E23" t="str">
            <v>5NN</v>
          </cell>
        </row>
        <row r="24">
          <cell r="E24" t="str">
            <v>5NP</v>
          </cell>
        </row>
        <row r="25">
          <cell r="E25" t="str">
            <v>5NN</v>
          </cell>
        </row>
        <row r="26">
          <cell r="E26" t="str">
            <v>5NM</v>
          </cell>
        </row>
        <row r="27">
          <cell r="E27" t="str">
            <v>5J4</v>
          </cell>
        </row>
        <row r="28">
          <cell r="E28" t="str">
            <v>5NL</v>
          </cell>
        </row>
        <row r="29">
          <cell r="E29" t="str">
            <v>5NL</v>
          </cell>
        </row>
        <row r="30">
          <cell r="E30" t="str">
            <v>5NJ</v>
          </cell>
        </row>
        <row r="31">
          <cell r="E31" t="str">
            <v>5NJ</v>
          </cell>
        </row>
        <row r="32">
          <cell r="E32" t="str">
            <v>5NM</v>
          </cell>
        </row>
        <row r="33">
          <cell r="E33" t="str">
            <v>5J2</v>
          </cell>
        </row>
        <row r="34">
          <cell r="E34" t="str">
            <v>5CC</v>
          </cell>
        </row>
        <row r="35">
          <cell r="E35" t="str">
            <v>5HP</v>
          </cell>
        </row>
        <row r="36">
          <cell r="E36" t="str">
            <v>5NH</v>
          </cell>
        </row>
        <row r="37">
          <cell r="E37" t="str">
            <v>5NE</v>
          </cell>
        </row>
        <row r="38">
          <cell r="E38" t="str">
            <v>5NG</v>
          </cell>
        </row>
        <row r="39">
          <cell r="E39" t="str">
            <v>5NE</v>
          </cell>
        </row>
        <row r="40">
          <cell r="E40" t="str">
            <v>5NF</v>
          </cell>
        </row>
        <row r="41">
          <cell r="E41" t="str">
            <v>5NH</v>
          </cell>
        </row>
        <row r="42">
          <cell r="E42" t="str">
            <v>5NE</v>
          </cell>
        </row>
        <row r="43">
          <cell r="E43" t="str">
            <v>5NG</v>
          </cell>
        </row>
        <row r="44">
          <cell r="E44" t="str">
            <v>5NE</v>
          </cell>
        </row>
        <row r="45">
          <cell r="E45" t="str">
            <v>5NG</v>
          </cell>
        </row>
        <row r="46">
          <cell r="E46" t="str">
            <v>5NF</v>
          </cell>
        </row>
        <row r="47">
          <cell r="E47" t="str">
            <v>5HG</v>
          </cell>
        </row>
        <row r="48">
          <cell r="E48" t="str">
            <v>5HQ</v>
          </cell>
        </row>
        <row r="49">
          <cell r="E49" t="str">
            <v>5JX</v>
          </cell>
        </row>
        <row r="50">
          <cell r="E50" t="str">
            <v>5NT</v>
          </cell>
        </row>
        <row r="51">
          <cell r="E51" t="str">
            <v>5NQ</v>
          </cell>
        </row>
        <row r="52">
          <cell r="E52" t="str">
            <v>5NT</v>
          </cell>
        </row>
        <row r="53">
          <cell r="E53" t="str">
            <v>5J5</v>
          </cell>
        </row>
        <row r="54">
          <cell r="E54" t="str">
            <v>5NQ</v>
          </cell>
        </row>
        <row r="55">
          <cell r="E55" t="str">
            <v>5F5</v>
          </cell>
        </row>
        <row r="56">
          <cell r="E56" t="str">
            <v>5NT</v>
          </cell>
        </row>
        <row r="57">
          <cell r="E57" t="str">
            <v>5F7</v>
          </cell>
        </row>
        <row r="58">
          <cell r="E58" t="str">
            <v>5LH</v>
          </cell>
        </row>
        <row r="59">
          <cell r="E59" t="str">
            <v>5NR</v>
          </cell>
        </row>
        <row r="60">
          <cell r="E60" t="str">
            <v>5NR</v>
          </cell>
        </row>
        <row r="61">
          <cell r="E61" t="str">
            <v>5NV</v>
          </cell>
        </row>
        <row r="62">
          <cell r="E62" t="str">
            <v>5NW</v>
          </cell>
        </row>
        <row r="63">
          <cell r="E63" t="str">
            <v>5NX</v>
          </cell>
        </row>
        <row r="64">
          <cell r="E64" t="str">
            <v>5NV</v>
          </cell>
        </row>
        <row r="65">
          <cell r="E65" t="str">
            <v>5AN</v>
          </cell>
        </row>
        <row r="66">
          <cell r="E66" t="str">
            <v>5EF</v>
          </cell>
        </row>
        <row r="67">
          <cell r="E67" t="str">
            <v>5NV</v>
          </cell>
        </row>
        <row r="68">
          <cell r="E68" t="str">
            <v>5NV</v>
          </cell>
        </row>
        <row r="69">
          <cell r="E69" t="str">
            <v>5NX</v>
          </cell>
        </row>
        <row r="70">
          <cell r="E70" t="str">
            <v>5NW</v>
          </cell>
        </row>
        <row r="71">
          <cell r="E71" t="str">
            <v>5JE</v>
          </cell>
        </row>
        <row r="72">
          <cell r="E72" t="str">
            <v>5N5</v>
          </cell>
        </row>
        <row r="73">
          <cell r="E73" t="str">
            <v>5N5</v>
          </cell>
        </row>
        <row r="74">
          <cell r="E74" t="str">
            <v>5N5</v>
          </cell>
        </row>
        <row r="75">
          <cell r="E75" t="str">
            <v>5N4</v>
          </cell>
        </row>
        <row r="76">
          <cell r="E76" t="str">
            <v>5H8</v>
          </cell>
        </row>
        <row r="77">
          <cell r="E77" t="str">
            <v>5N4</v>
          </cell>
        </row>
        <row r="78">
          <cell r="E78" t="str">
            <v>5N4</v>
          </cell>
        </row>
        <row r="79">
          <cell r="E79" t="str">
            <v>5N4</v>
          </cell>
        </row>
        <row r="80">
          <cell r="E80" t="str">
            <v>5NY</v>
          </cell>
        </row>
        <row r="81">
          <cell r="E81" t="str">
            <v>5NY</v>
          </cell>
        </row>
        <row r="82">
          <cell r="E82" t="str">
            <v>5NY</v>
          </cell>
        </row>
        <row r="83">
          <cell r="E83" t="str">
            <v>5J6</v>
          </cell>
        </row>
        <row r="84">
          <cell r="E84" t="str">
            <v>5N1</v>
          </cell>
        </row>
        <row r="85">
          <cell r="E85" t="str">
            <v>5N3</v>
          </cell>
        </row>
        <row r="86">
          <cell r="E86" t="str">
            <v>5N2</v>
          </cell>
        </row>
        <row r="87">
          <cell r="E87" t="str">
            <v>5N1</v>
          </cell>
        </row>
        <row r="88">
          <cell r="E88" t="str">
            <v>5N1</v>
          </cell>
        </row>
        <row r="89">
          <cell r="E89" t="str">
            <v>5N1</v>
          </cell>
        </row>
        <row r="90">
          <cell r="E90" t="str">
            <v>5NY</v>
          </cell>
        </row>
        <row r="91">
          <cell r="E91" t="str">
            <v>5N2</v>
          </cell>
        </row>
        <row r="92">
          <cell r="E92" t="str">
            <v>5N2</v>
          </cell>
        </row>
        <row r="93">
          <cell r="E93" t="str">
            <v>5N1</v>
          </cell>
        </row>
        <row r="94">
          <cell r="E94" t="str">
            <v>5N3</v>
          </cell>
        </row>
        <row r="95">
          <cell r="E95" t="str">
            <v>5PA</v>
          </cell>
        </row>
        <row r="96">
          <cell r="E96" t="str">
            <v>5PD</v>
          </cell>
        </row>
        <row r="97">
          <cell r="E97" t="str">
            <v>5PC</v>
          </cell>
        </row>
        <row r="98">
          <cell r="E98" t="str">
            <v>5PA</v>
          </cell>
        </row>
        <row r="99">
          <cell r="E99" t="str">
            <v>5PC</v>
          </cell>
        </row>
        <row r="100">
          <cell r="E100" t="str">
            <v>5PA</v>
          </cell>
        </row>
        <row r="101">
          <cell r="E101" t="str">
            <v>5PD</v>
          </cell>
        </row>
        <row r="102">
          <cell r="E102" t="str">
            <v>5PD</v>
          </cell>
        </row>
        <row r="103">
          <cell r="E103" t="str">
            <v>5PA</v>
          </cell>
        </row>
        <row r="104">
          <cell r="E104" t="str">
            <v>5N6</v>
          </cell>
        </row>
        <row r="105">
          <cell r="E105" t="str">
            <v>5N8</v>
          </cell>
        </row>
        <row r="106">
          <cell r="E106" t="str">
            <v>5ET</v>
          </cell>
        </row>
        <row r="107">
          <cell r="E107" t="str">
            <v>5N8</v>
          </cell>
        </row>
        <row r="108">
          <cell r="E108" t="str">
            <v>5N7</v>
          </cell>
        </row>
        <row r="109">
          <cell r="E109" t="str">
            <v>5N6</v>
          </cell>
        </row>
        <row r="110">
          <cell r="E110" t="str">
            <v>5N6</v>
          </cell>
        </row>
        <row r="111">
          <cell r="E111" t="str">
            <v>5N9</v>
          </cell>
        </row>
        <row r="112">
          <cell r="E112" t="str">
            <v>5N6</v>
          </cell>
        </row>
        <row r="113">
          <cell r="E113" t="str">
            <v>5N8</v>
          </cell>
        </row>
        <row r="114">
          <cell r="E114" t="str">
            <v>5N7</v>
          </cell>
        </row>
        <row r="115">
          <cell r="E115" t="str">
            <v>5N6</v>
          </cell>
        </row>
        <row r="116">
          <cell r="E116" t="str">
            <v>5N9</v>
          </cell>
        </row>
        <row r="117">
          <cell r="E117" t="str">
            <v>5N8</v>
          </cell>
        </row>
        <row r="118">
          <cell r="E118" t="str">
            <v>5N8</v>
          </cell>
        </row>
        <row r="119">
          <cell r="E119" t="str">
            <v>5N6</v>
          </cell>
        </row>
        <row r="120">
          <cell r="E120" t="str">
            <v>5EM</v>
          </cell>
        </row>
        <row r="121">
          <cell r="E121" t="str">
            <v>5N8</v>
          </cell>
        </row>
        <row r="122">
          <cell r="E122" t="str">
            <v>5N9</v>
          </cell>
        </row>
        <row r="123">
          <cell r="E123" t="str">
            <v>5PE</v>
          </cell>
        </row>
        <row r="124">
          <cell r="E124" t="str">
            <v>5PE</v>
          </cell>
        </row>
        <row r="125">
          <cell r="E125" t="str">
            <v>5PG</v>
          </cell>
        </row>
        <row r="126">
          <cell r="E126" t="str">
            <v>5MX</v>
          </cell>
        </row>
        <row r="127">
          <cell r="E127" t="str">
            <v>5PG</v>
          </cell>
        </row>
        <row r="128">
          <cell r="E128" t="str">
            <v>5PF</v>
          </cell>
        </row>
        <row r="129">
          <cell r="E129" t="str">
            <v>5PF</v>
          </cell>
        </row>
        <row r="130">
          <cell r="E130" t="str">
            <v>TAM</v>
          </cell>
        </row>
        <row r="131">
          <cell r="E131" t="str">
            <v>5M1</v>
          </cell>
        </row>
        <row r="132">
          <cell r="E132" t="str">
            <v>5M3</v>
          </cell>
        </row>
        <row r="133">
          <cell r="E133" t="str">
            <v>5PF</v>
          </cell>
        </row>
        <row r="134">
          <cell r="E134" t="str">
            <v>5MV</v>
          </cell>
        </row>
        <row r="135">
          <cell r="E135" t="str">
            <v>5PK</v>
          </cell>
        </row>
        <row r="136">
          <cell r="E136" t="str">
            <v>5PK</v>
          </cell>
        </row>
        <row r="137">
          <cell r="E137" t="str">
            <v>5PK</v>
          </cell>
        </row>
        <row r="138">
          <cell r="E138" t="str">
            <v>5PH</v>
          </cell>
        </row>
        <row r="139">
          <cell r="E139" t="str">
            <v>5PJ</v>
          </cell>
        </row>
        <row r="140">
          <cell r="E140" t="str">
            <v>5M2</v>
          </cell>
        </row>
        <row r="141">
          <cell r="E141" t="str">
            <v>5PJ</v>
          </cell>
        </row>
        <row r="142">
          <cell r="E142" t="str">
            <v>5PK</v>
          </cell>
        </row>
        <row r="143">
          <cell r="E143" t="str">
            <v>5PH</v>
          </cell>
        </row>
        <row r="144">
          <cell r="E144" t="str">
            <v>5MK</v>
          </cell>
        </row>
        <row r="145">
          <cell r="E145" t="str">
            <v>5MD</v>
          </cell>
        </row>
        <row r="146">
          <cell r="E146" t="str">
            <v>5CN</v>
          </cell>
        </row>
        <row r="147">
          <cell r="E147" t="str">
            <v>5PM</v>
          </cell>
        </row>
        <row r="148">
          <cell r="E148" t="str">
            <v>5PL</v>
          </cell>
        </row>
        <row r="149">
          <cell r="E149" t="str">
            <v>5PM</v>
          </cell>
        </row>
        <row r="150">
          <cell r="E150" t="str">
            <v>5PM</v>
          </cell>
        </row>
        <row r="151">
          <cell r="E151" t="str">
            <v>5PL</v>
          </cell>
        </row>
        <row r="152">
          <cell r="E152" t="str">
            <v>5PL</v>
          </cell>
        </row>
        <row r="153">
          <cell r="E153" t="str">
            <v>5P2</v>
          </cell>
        </row>
        <row r="154">
          <cell r="E154" t="str">
            <v>5P2</v>
          </cell>
        </row>
        <row r="155">
          <cell r="E155" t="str">
            <v>5P4</v>
          </cell>
        </row>
        <row r="156">
          <cell r="E156" t="str">
            <v>5P4</v>
          </cell>
        </row>
        <row r="157">
          <cell r="E157" t="str">
            <v>5GC</v>
          </cell>
        </row>
        <row r="158">
          <cell r="E158" t="str">
            <v>5P3</v>
          </cell>
        </row>
        <row r="159">
          <cell r="E159" t="str">
            <v>5P3</v>
          </cell>
        </row>
        <row r="160">
          <cell r="E160" t="str">
            <v>5P3</v>
          </cell>
        </row>
        <row r="161">
          <cell r="E161" t="str">
            <v>5P4</v>
          </cell>
        </row>
        <row r="162">
          <cell r="E162" t="str">
            <v>5P4</v>
          </cell>
        </row>
        <row r="163">
          <cell r="E163" t="str">
            <v>5P3</v>
          </cell>
        </row>
        <row r="164">
          <cell r="E164" t="str">
            <v>5PY</v>
          </cell>
        </row>
        <row r="165">
          <cell r="E165" t="str">
            <v>5PY</v>
          </cell>
        </row>
        <row r="166">
          <cell r="E166" t="str">
            <v>5P1</v>
          </cell>
        </row>
        <row r="167">
          <cell r="E167" t="str">
            <v>5PX</v>
          </cell>
        </row>
        <row r="168">
          <cell r="E168" t="str">
            <v>5PW</v>
          </cell>
        </row>
        <row r="169">
          <cell r="E169" t="str">
            <v>5PV</v>
          </cell>
        </row>
        <row r="170">
          <cell r="E170" t="str">
            <v>5PV</v>
          </cell>
        </row>
        <row r="171">
          <cell r="E171" t="str">
            <v>5PX</v>
          </cell>
        </row>
        <row r="172">
          <cell r="E172" t="str">
            <v>5P1</v>
          </cell>
        </row>
        <row r="173">
          <cell r="E173" t="str">
            <v>5PW</v>
          </cell>
        </row>
        <row r="174">
          <cell r="E174" t="str">
            <v>5PY</v>
          </cell>
        </row>
        <row r="175">
          <cell r="E175" t="str">
            <v>5PV</v>
          </cell>
        </row>
        <row r="176">
          <cell r="E176" t="str">
            <v>5PX</v>
          </cell>
        </row>
        <row r="177">
          <cell r="E177" t="str">
            <v>5PQ</v>
          </cell>
        </row>
        <row r="178">
          <cell r="E178" t="str">
            <v>5PP</v>
          </cell>
        </row>
        <row r="179">
          <cell r="E179" t="str">
            <v>5PT</v>
          </cell>
        </row>
        <row r="180">
          <cell r="E180" t="str">
            <v>5PP</v>
          </cell>
        </row>
        <row r="181">
          <cell r="E181" t="str">
            <v>5PR</v>
          </cell>
        </row>
        <row r="182">
          <cell r="E182" t="str">
            <v>5PP</v>
          </cell>
        </row>
        <row r="183">
          <cell r="E183" t="str">
            <v>5PT</v>
          </cell>
        </row>
        <row r="184">
          <cell r="E184" t="str">
            <v>5PQ</v>
          </cell>
        </row>
        <row r="185">
          <cell r="E185" t="str">
            <v>5PN</v>
          </cell>
        </row>
        <row r="186">
          <cell r="E186" t="str">
            <v>5PQ</v>
          </cell>
        </row>
        <row r="187">
          <cell r="E187" t="str">
            <v>5PP</v>
          </cell>
        </row>
        <row r="188">
          <cell r="E188" t="str">
            <v>5PP</v>
          </cell>
        </row>
        <row r="189">
          <cell r="E189" t="str">
            <v>5PQ</v>
          </cell>
        </row>
        <row r="190">
          <cell r="E190" t="str">
            <v>5PT</v>
          </cell>
        </row>
        <row r="191">
          <cell r="E191" t="str">
            <v>5PT</v>
          </cell>
        </row>
        <row r="192">
          <cell r="E192" t="str">
            <v>5PR</v>
          </cell>
        </row>
        <row r="193">
          <cell r="E193" t="str">
            <v>5PQ</v>
          </cell>
        </row>
        <row r="194">
          <cell r="E194" t="str">
            <v>5A9</v>
          </cell>
        </row>
        <row r="195">
          <cell r="E195" t="str">
            <v>5K7</v>
          </cell>
        </row>
        <row r="196">
          <cell r="E196" t="str">
            <v>5C1</v>
          </cell>
        </row>
        <row r="197">
          <cell r="E197" t="str">
            <v>5C9</v>
          </cell>
        </row>
        <row r="198">
          <cell r="E198" t="str">
            <v>5K8</v>
          </cell>
        </row>
        <row r="199">
          <cell r="E199" t="str">
            <v>5C2</v>
          </cell>
        </row>
        <row r="200">
          <cell r="E200" t="str">
            <v>5C3</v>
          </cell>
        </row>
        <row r="201">
          <cell r="E201" t="str">
            <v>5A4</v>
          </cell>
        </row>
        <row r="202">
          <cell r="E202" t="str">
            <v>5C5</v>
          </cell>
        </row>
        <row r="203">
          <cell r="E203" t="str">
            <v>5NA</v>
          </cell>
        </row>
        <row r="204">
          <cell r="E204" t="str">
            <v>5C4</v>
          </cell>
        </row>
        <row r="205">
          <cell r="E205" t="str">
            <v>5NC</v>
          </cell>
        </row>
        <row r="206">
          <cell r="E206" t="str">
            <v>5K5</v>
          </cell>
        </row>
        <row r="207">
          <cell r="E207" t="str">
            <v>5HX</v>
          </cell>
        </row>
        <row r="208">
          <cell r="E208" t="str">
            <v>5H1</v>
          </cell>
        </row>
        <row r="209">
          <cell r="E209" t="str">
            <v>5K6</v>
          </cell>
        </row>
        <row r="210">
          <cell r="E210" t="str">
            <v>5AT</v>
          </cell>
        </row>
        <row r="211">
          <cell r="E211" t="str">
            <v>5HY</v>
          </cell>
        </row>
        <row r="212">
          <cell r="E212" t="str">
            <v>5LA</v>
          </cell>
        </row>
        <row r="213">
          <cell r="E213" t="str">
            <v>5LC</v>
          </cell>
        </row>
        <row r="214">
          <cell r="E214" t="str">
            <v>TAK</v>
          </cell>
        </row>
        <row r="215">
          <cell r="E215" t="str">
            <v>5A7</v>
          </cell>
        </row>
        <row r="216">
          <cell r="E216" t="str">
            <v>5A8</v>
          </cell>
        </row>
        <row r="217">
          <cell r="E217" t="str">
            <v>5LD</v>
          </cell>
        </row>
        <row r="218">
          <cell r="E218" t="str">
            <v>5LF</v>
          </cell>
        </row>
        <row r="219">
          <cell r="E219" t="str">
            <v>5LE</v>
          </cell>
        </row>
        <row r="220">
          <cell r="E220" t="str">
            <v>5K9</v>
          </cell>
        </row>
        <row r="221">
          <cell r="E221" t="str">
            <v>5A5</v>
          </cell>
        </row>
        <row r="222">
          <cell r="E222" t="str">
            <v>5M6</v>
          </cell>
        </row>
        <row r="223">
          <cell r="E223" t="str">
            <v>5M7</v>
          </cell>
        </row>
        <row r="224">
          <cell r="E224" t="str">
            <v>5LG</v>
          </cell>
        </row>
        <row r="225">
          <cell r="E225" t="str">
            <v>5QC</v>
          </cell>
        </row>
        <row r="226">
          <cell r="E226" t="str">
            <v>5QC</v>
          </cell>
        </row>
        <row r="227">
          <cell r="E227" t="str">
            <v>5QC</v>
          </cell>
        </row>
        <row r="228">
          <cell r="E228" t="str">
            <v>5QC</v>
          </cell>
        </row>
        <row r="229">
          <cell r="E229" t="str">
            <v>5QT</v>
          </cell>
        </row>
        <row r="230">
          <cell r="E230" t="str">
            <v>5QC</v>
          </cell>
        </row>
        <row r="231">
          <cell r="E231" t="str">
            <v>5QC</v>
          </cell>
        </row>
        <row r="232">
          <cell r="E232" t="str">
            <v>5QC</v>
          </cell>
        </row>
        <row r="233">
          <cell r="E233" t="str">
            <v>5FE</v>
          </cell>
        </row>
        <row r="234">
          <cell r="E234" t="str">
            <v>5L1</v>
          </cell>
        </row>
        <row r="235">
          <cell r="E235" t="str">
            <v>5QA</v>
          </cell>
        </row>
        <row r="236">
          <cell r="E236" t="str">
            <v>5QA</v>
          </cell>
        </row>
        <row r="237">
          <cell r="E237" t="str">
            <v>5P9</v>
          </cell>
        </row>
        <row r="238">
          <cell r="E238" t="str">
            <v>5QA</v>
          </cell>
        </row>
        <row r="239">
          <cell r="E239" t="str">
            <v>5P9</v>
          </cell>
        </row>
        <row r="240">
          <cell r="E240" t="str">
            <v>5L3</v>
          </cell>
        </row>
        <row r="241">
          <cell r="E241" t="str">
            <v>5QA</v>
          </cell>
        </row>
        <row r="242">
          <cell r="E242" t="str">
            <v>5P9</v>
          </cell>
        </row>
        <row r="243">
          <cell r="E243" t="str">
            <v>5QA</v>
          </cell>
        </row>
        <row r="244">
          <cell r="E244" t="str">
            <v>5P6</v>
          </cell>
        </row>
        <row r="245">
          <cell r="E245" t="str">
            <v>5P8</v>
          </cell>
        </row>
        <row r="246">
          <cell r="E246" t="str">
            <v>5LQ</v>
          </cell>
        </row>
        <row r="247">
          <cell r="E247" t="str">
            <v>5P6</v>
          </cell>
        </row>
        <row r="248">
          <cell r="E248" t="str">
            <v>5P5</v>
          </cell>
        </row>
        <row r="249">
          <cell r="E249" t="str">
            <v>5P5</v>
          </cell>
        </row>
        <row r="250">
          <cell r="E250" t="str">
            <v>5P7</v>
          </cell>
        </row>
        <row r="251">
          <cell r="E251" t="str">
            <v>5P5</v>
          </cell>
        </row>
        <row r="252">
          <cell r="E252" t="str">
            <v>5P8</v>
          </cell>
        </row>
        <row r="253">
          <cell r="E253" t="str">
            <v>5P6</v>
          </cell>
        </row>
        <row r="254">
          <cell r="E254" t="str">
            <v>5P6</v>
          </cell>
        </row>
        <row r="255">
          <cell r="E255" t="str">
            <v>5P5</v>
          </cell>
        </row>
        <row r="256">
          <cell r="E256" t="str">
            <v>5P5</v>
          </cell>
        </row>
        <row r="257">
          <cell r="E257" t="str">
            <v>5P7</v>
          </cell>
        </row>
        <row r="258">
          <cell r="E258" t="str">
            <v>5P6</v>
          </cell>
        </row>
        <row r="259">
          <cell r="E259" t="str">
            <v>5QG</v>
          </cell>
        </row>
        <row r="260">
          <cell r="E260" t="str">
            <v>5PD</v>
          </cell>
        </row>
        <row r="261">
          <cell r="E261" t="str">
            <v>5QD</v>
          </cell>
        </row>
        <row r="262">
          <cell r="E262" t="str">
            <v>5CQ</v>
          </cell>
        </row>
        <row r="263">
          <cell r="E263" t="str">
            <v>5QF</v>
          </cell>
        </row>
        <row r="264">
          <cell r="E264" t="str">
            <v>5QE</v>
          </cell>
        </row>
        <row r="265">
          <cell r="E265" t="str">
            <v>5QE</v>
          </cell>
        </row>
        <row r="266">
          <cell r="E266" t="str">
            <v>5QF</v>
          </cell>
        </row>
        <row r="267">
          <cell r="E267" t="str">
            <v>5QG</v>
          </cell>
        </row>
        <row r="268">
          <cell r="E268" t="str">
            <v>5QE</v>
          </cell>
        </row>
        <row r="269">
          <cell r="E269" t="str">
            <v>5QE</v>
          </cell>
        </row>
        <row r="270">
          <cell r="E270" t="str">
            <v>5QD</v>
          </cell>
        </row>
        <row r="271">
          <cell r="E271" t="str">
            <v>5QG</v>
          </cell>
        </row>
        <row r="272">
          <cell r="E272" t="str">
            <v>5QF</v>
          </cell>
        </row>
        <row r="273">
          <cell r="E273" t="str">
            <v>5QD</v>
          </cell>
        </row>
        <row r="274">
          <cell r="E274" t="str">
            <v>5FL</v>
          </cell>
        </row>
        <row r="275">
          <cell r="E275" t="str">
            <v>5QJ</v>
          </cell>
        </row>
        <row r="276">
          <cell r="E276" t="str">
            <v>5QJ</v>
          </cell>
        </row>
        <row r="277">
          <cell r="E277" t="str">
            <v>5QH</v>
          </cell>
        </row>
        <row r="278">
          <cell r="E278" t="str">
            <v>5QH</v>
          </cell>
        </row>
        <row r="279">
          <cell r="E279" t="str">
            <v>5QK</v>
          </cell>
        </row>
        <row r="280">
          <cell r="E280" t="str">
            <v>5M8</v>
          </cell>
        </row>
        <row r="281">
          <cell r="E281" t="str">
            <v>5A3</v>
          </cell>
        </row>
        <row r="282">
          <cell r="E282" t="str">
            <v>5QK</v>
          </cell>
        </row>
        <row r="283">
          <cell r="E283" t="str">
            <v>5K3</v>
          </cell>
        </row>
        <row r="284">
          <cell r="E284" t="str">
            <v>5QH</v>
          </cell>
        </row>
        <row r="285">
          <cell r="E285" t="str">
            <v>5QK</v>
          </cell>
        </row>
        <row r="286">
          <cell r="E286" t="str">
            <v>5QN</v>
          </cell>
        </row>
        <row r="287">
          <cell r="E287" t="str">
            <v>5QL</v>
          </cell>
        </row>
        <row r="288">
          <cell r="E288" t="str">
            <v>5QM</v>
          </cell>
        </row>
        <row r="289">
          <cell r="E289" t="str">
            <v>5QN</v>
          </cell>
        </row>
        <row r="290">
          <cell r="E290" t="str">
            <v>5QL</v>
          </cell>
        </row>
        <row r="291">
          <cell r="E291" t="str">
            <v>5QM</v>
          </cell>
        </row>
        <row r="292">
          <cell r="E292" t="str">
            <v>5QL</v>
          </cell>
        </row>
        <row r="293">
          <cell r="E293" t="str">
            <v>5QM</v>
          </cell>
        </row>
        <row r="294">
          <cell r="E294" t="str">
            <v>5QL</v>
          </cell>
        </row>
        <row r="295">
          <cell r="E295" t="str">
            <v>5QP</v>
          </cell>
        </row>
        <row r="296">
          <cell r="E296" t="str">
            <v>5QQ</v>
          </cell>
        </row>
        <row r="297">
          <cell r="E297" t="str">
            <v>5QQ</v>
          </cell>
        </row>
        <row r="298">
          <cell r="E298" t="str">
            <v>5QQ</v>
          </cell>
        </row>
        <row r="299">
          <cell r="E299" t="str">
            <v>5QP</v>
          </cell>
        </row>
        <row r="300">
          <cell r="E300" t="str">
            <v>5QQ</v>
          </cell>
        </row>
        <row r="301">
          <cell r="E301" t="str">
            <v>5F1</v>
          </cell>
        </row>
        <row r="302">
          <cell r="E302" t="str">
            <v>5QQ</v>
          </cell>
        </row>
        <row r="303">
          <cell r="E303" t="str">
            <v>5QQ</v>
          </cell>
        </row>
        <row r="304">
          <cell r="E304" t="str">
            <v>TAL</v>
          </cell>
        </row>
        <row r="305">
          <cell r="E305" t="str">
            <v>5QP</v>
          </cell>
        </row>
        <row r="308">
          <cell r="E308" t="str">
            <v>5QR</v>
          </cell>
        </row>
        <row r="309">
          <cell r="E309" t="str">
            <v>5NF</v>
          </cell>
        </row>
        <row r="310">
          <cell r="E310" t="str">
            <v>5NH</v>
          </cell>
        </row>
        <row r="311">
          <cell r="E311" t="str">
            <v>5PD</v>
          </cell>
        </row>
        <row r="312">
          <cell r="E312" t="str">
            <v>5QE</v>
          </cell>
        </row>
        <row r="313">
          <cell r="E313" t="str">
            <v>5PN</v>
          </cell>
        </row>
      </sheetData>
      <sheetData sheetId="3"/>
      <sheetData sheetId="4"/>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itle Page"/>
      <sheetName val="2. Estimate &amp; Budgets Controls"/>
      <sheetName val="3a. DH CB Cascade Schedule"/>
      <sheetName val="3b. NHS Cascade Schedule"/>
      <sheetName val="3c. Group Cascade Schedule"/>
      <sheetName val="4. Cascade Coding"/>
      <sheetName val="5. Issues"/>
      <sheetName val="Overall Dispo"/>
      <sheetName val="2. Overall Dispo"/>
      <sheetName val="DHF Cascade Coding"/>
      <sheetName val="Int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8.5a"/>
      <sheetName val="Interactive inputs &amp; results"/>
      <sheetName val="Baseline WF scenarios"/>
      <sheetName val="NHSLA02 - Commentary"/>
      <sheetName val="NHSLA04 - I&amp;E Budget Profile"/>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d_Struct"/>
      <sheetName val="Sheet Index"/>
      <sheetName val="Control"/>
      <sheetName val="I_Incme (Base)"/>
      <sheetName val="I_Cost (Base)"/>
      <sheetName val="I_SDev1"/>
      <sheetName val="I_SDev2"/>
      <sheetName val="I_SDev3"/>
      <sheetName val="I_SDev4"/>
      <sheetName val="I_SDev5"/>
      <sheetName val="I_PFI"/>
      <sheetName val="I_PFI (Memo)"/>
      <sheetName val="I_CIP"/>
      <sheetName val="I_Infl"/>
      <sheetName val="I_Budgt per"/>
      <sheetName val="I_BSHist"/>
      <sheetName val="I_BSFor"/>
      <sheetName val="S_Activity(Base)"/>
      <sheetName val="S_Input"/>
      <sheetName val="I_NE"/>
      <sheetName val="C_I&amp;E_real"/>
      <sheetName val="C_I&amp;E_nom"/>
      <sheetName val="C_Cash"/>
      <sheetName val="O_FS"/>
      <sheetName val="C_BS"/>
      <sheetName val="O_Bridge"/>
      <sheetName val="O_KPI"/>
      <sheetName val="O_Rating"/>
      <sheetName val="O_Sumry"/>
      <sheetName val="O_BCharts"/>
      <sheetName val="O_Charts"/>
      <sheetName val="Global"/>
      <sheetName val="Settings"/>
      <sheetName val="Estates Bids"/>
      <sheetName val="NAO Cost of Capital Calc"/>
      <sheetName val="WORKSHEET"/>
      <sheetName val="Int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refreshError="1"/>
      <sheetData sheetId="35" refreshError="1"/>
      <sheetData sheetId="36" refreshError="1"/>
      <sheetData sheetId="3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Range"/>
      <sheetName val="Data"/>
      <sheetName val="Mapping"/>
      <sheetName val="summary"/>
      <sheetName val="Estates Bids"/>
      <sheetName val="Mar06"/>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SHA Scatter"/>
      <sheetName val="PCP SHA Scatter"/>
      <sheetName val="T3"/>
      <sheetName val="Population"/>
      <sheetName val="SHA Lookup"/>
      <sheetName val="Data"/>
      <sheetName val="two"/>
      <sheetName val="By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otal - HRGs"/>
      <sheetName val="Total - OPATT"/>
      <sheetName val="Total - Other Currencies"/>
      <sheetName val="TEI"/>
      <sheetName val="TEIXS"/>
      <sheetName val="TNEI_L"/>
      <sheetName val="TNEI_L_XS"/>
      <sheetName val="TNEI_S"/>
      <sheetName val="TDC"/>
      <sheetName val="TCLFUSFF"/>
      <sheetName val="TCLFASFF"/>
      <sheetName val="TCLFUSNFF"/>
      <sheetName val="TCLFASNFF"/>
      <sheetName val="TCLFUMFF"/>
      <sheetName val="TCLFAMFF"/>
      <sheetName val="TCLFUMNFF"/>
      <sheetName val="TCLFAMNFF"/>
      <sheetName val="TNCLFUSFF"/>
      <sheetName val="TNCLFASFF"/>
      <sheetName val="TNCLFUSNFF"/>
      <sheetName val="TNCLFASNFF"/>
      <sheetName val="TNCLFUMFF"/>
      <sheetName val="TNCLFAMFF"/>
      <sheetName val="TNCLFUMNFF"/>
      <sheetName val="TNCLFAMNFF"/>
      <sheetName val="TOPROC"/>
      <sheetName val="TAandEMSAD"/>
      <sheetName val="TAandEMSNA"/>
      <sheetName val="TAandEMinAD"/>
      <sheetName val="TAandEMinNA"/>
      <sheetName val="TAandEWiCAD"/>
      <sheetName val="TAandEWiCNA"/>
      <sheetName val="TNon24HRDEPAD"/>
      <sheetName val="TNon24HRDEPNA"/>
      <sheetName val="TAUDHA"/>
      <sheetName val="TAUDF"/>
      <sheetName val="TAUDR"/>
      <sheetName val="TAUDNS"/>
      <sheetName val="TDCRA"/>
      <sheetName val="TDCFRAD"/>
      <sheetName val="TDADS"/>
      <sheetName val="TDAPS"/>
      <sheetName val="TCORCU"/>
      <sheetName val="THAH"/>
      <sheetName val="TCCSALBICU"/>
      <sheetName val="TCCSALCCU"/>
      <sheetName val="TCCSALSIICU"/>
      <sheetName val="TCCSNEO_BEDDAY"/>
      <sheetName val="TCCSNEO_ADM"/>
      <sheetName val="TCCSPD_BEDDAY"/>
      <sheetName val="TCCSPD_ADM"/>
      <sheetName val="TCCSOUTRS"/>
      <sheetName val="TCFIP"/>
      <sheetName val="TCFIP5"/>
      <sheetName val="TCHEMTHPY_PROC_IP"/>
      <sheetName val="TCHEMTHPY_PROC_DCRDN"/>
      <sheetName val="TCHEMTHPY_PROC_OP"/>
      <sheetName val="TCHEMTHPY_PROC_Oth"/>
      <sheetName val="TCHEMTHPY_DEL_DCRDN"/>
      <sheetName val="TCHEMTHPY_DEL_OP"/>
      <sheetName val="TCHEMTHPY_DEL_Oth"/>
      <sheetName val="TCHEMTHPY_SDA_DCRDN"/>
      <sheetName val="TCHEMTHPY_SDA_OP"/>
      <sheetName val="THICOSTDRUGS_APC"/>
      <sheetName val="THICOSTDRUGS_OP"/>
      <sheetName val="THICOSTDRUGS_Oth"/>
      <sheetName val="TDIAGIM_OP"/>
      <sheetName val="TDIAGIM_Oth"/>
      <sheetName val="TDIAGIM_DA"/>
      <sheetName val="TRADTHPY_IP"/>
      <sheetName val="TRADTHPY_PLAN_DCRDN"/>
      <sheetName val="TRADTHPY_PLAN_OP"/>
      <sheetName val="TRADTHPY_PLAN_Oth"/>
      <sheetName val="TRADTHPY_TREAT_DCRDN"/>
      <sheetName val="TRADTHPY_TREAT_OP"/>
      <sheetName val="TRADTHPY_TREAT_Oth"/>
      <sheetName val="TREHAB_CSRS_LEVEL_1_ATT_APC"/>
      <sheetName val="TREHAB_CSRS_LEVEL_1_ATT_OP"/>
      <sheetName val="TREHAB_CSRS_LEVEL_1_ATT_Oth"/>
      <sheetName val="TREHAB_SRS_LEVEL_2_ATT_APC"/>
      <sheetName val="TREHAB_SRS_LEVEL_2_ATT_OP"/>
      <sheetName val="TREHAB_SRS_LEVEL_2_ATT_Oth"/>
      <sheetName val="TREHAB_NSRS_ATT_APC"/>
      <sheetName val="TREHAB_NSRS_ATT_OP"/>
      <sheetName val="TREHAB_CSRS_LEVEL_1_BEDDAY_APC"/>
      <sheetName val="TREHAB_CSRS_LEVEL_1_BEDDAY_Oth"/>
      <sheetName val="TREHAB_SRS_LEVEL_2_BEDDAY_APC"/>
      <sheetName val="TREHAB_SRS_LEVEL_2_BEDDAY_Oth"/>
      <sheetName val="TREHAB_NSRS_BEDDAY_APC"/>
      <sheetName val="TSPAL_IP"/>
      <sheetName val="TSPAL_DCRDN"/>
      <sheetName val="TSPAL_OP"/>
      <sheetName val="TSPAL_Oth"/>
      <sheetName val="TRENAL"/>
      <sheetName val="TCSDN"/>
      <sheetName val="TCSHVC"/>
      <sheetName val="TCSHVPN"/>
      <sheetName val="TCSHVV"/>
      <sheetName val="TCSHVO"/>
      <sheetName val="TCSSNC"/>
      <sheetName val="TCSSHC"/>
      <sheetName val="TCSSNV"/>
      <sheetName val="TCSSNO"/>
      <sheetName val="TCSCNSN"/>
      <sheetName val="TCRT"/>
      <sheetName val="TCSCMV"/>
      <sheetName val="TCSCVac"/>
      <sheetName val="TCSCM"/>
      <sheetName val="TCSCMO"/>
      <sheetName val="TCSCT"/>
      <sheetName val="TOCS"/>
      <sheetName val="TMHCMHTF"/>
      <sheetName val="TMHCMHTNF"/>
      <sheetName val="TMHCSCFAF"/>
      <sheetName val="TMHCSCFANF"/>
      <sheetName val="TMHCSCFUAF"/>
      <sheetName val="TMHCSCFUANF"/>
      <sheetName val="TMHCSCSSFAF"/>
      <sheetName val="TMHCSCSSFANF"/>
      <sheetName val="TMHCSCSSFUAF"/>
      <sheetName val="TMHCSCSSFUANF"/>
      <sheetName val="TMHDCFRAD"/>
      <sheetName val="TMHIP"/>
      <sheetName val="TMHIPSS"/>
      <sheetName val="TMHCSOPFAF"/>
      <sheetName val="TMHCSOPFANF"/>
      <sheetName val="TMHCSOPFUAF"/>
      <sheetName val="TMHCSOPFUANF"/>
      <sheetName val="TMHCSOPSSFAF"/>
      <sheetName val="TMHCSOPSSFANF"/>
      <sheetName val="TMHCSOPSSFUAF"/>
      <sheetName val="TMHCSOPSSFUANF"/>
      <sheetName val="TMHSTSAF"/>
      <sheetName val="TMHSTSANF"/>
      <sheetName val="TMHSTSCF"/>
      <sheetName val="TMHSTSCNF"/>
      <sheetName val="TMHSTSEF"/>
      <sheetName val="TMHSTSENF"/>
      <sheetName val="TMHSU"/>
      <sheetName val="TPARA"/>
      <sheetName val="TPARB"/>
      <sheetName val="TPARC"/>
      <sheetName val="TPARETU"/>
      <sheetName val="TPARO"/>
      <sheetName val="TPARA(Act)"/>
      <sheetName val="TPARB(Act)"/>
      <sheetName val="TPARC(Act)"/>
      <sheetName val="TPARETU(Act)"/>
      <sheetName val="TPARO(Act)"/>
      <sheetName val="THTCS_APC"/>
      <sheetName val="THTCS_OP"/>
      <sheetName val="THTCS_Oth"/>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ow r="56">
          <cell r="A56" t="str">
            <v>Recover</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 Gershon Efficiency"/>
      <sheetName val="6.2 LDP Efficiency"/>
      <sheetName val="Event 12 with ERO changes"/>
      <sheetName val="Population"/>
      <sheetName val="SHA Lookup"/>
      <sheetName val="Exclusions"/>
    </sheetNames>
    <sheetDataSet>
      <sheetData sheetId="0"/>
      <sheetData sheetId="1"/>
      <sheetData sheetId="2" refreshError="1"/>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gt;"/>
      <sheetName val="07. Non-mandatory Prices"/>
      <sheetName val="Issues--&gt;"/>
      <sheetName val="Issues"/>
      <sheetName val="Email"/>
      <sheetName val="Imported Tariffs --&gt;"/>
      <sheetName val="STEP BY STEP DC-EL-NE"/>
      <sheetName val="01. APC &amp; OPROC"/>
      <sheetName val="201314 Road Test "/>
      <sheetName val="00b_Prices (2)"/>
      <sheetName val="Adjusted prices"/>
      <sheetName val="Post SC - 03_Output for IA"/>
      <sheetName val="OPATT"/>
      <sheetName val="201213  Prices"/>
      <sheetName val="TRADGYDA"/>
      <sheetName val="1314 tariff"/>
      <sheetName val="1213 tariff"/>
      <sheetName val="Imported Models --&gt;"/>
      <sheetName val="Indicative tariff"/>
      <sheetName val="per diem"/>
      <sheetName val="Acute Rehab"/>
    </sheetNames>
    <sheetDataSet>
      <sheetData sheetId="0"/>
      <sheetData sheetId="1">
        <row r="12">
          <cell r="K12">
            <v>-5.1000000000000004E-3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3_14 costs - U"/>
      <sheetName val="13_14 costs - A"/>
      <sheetName val="14_15 costs - A"/>
      <sheetName val="15_16 costs - U"/>
      <sheetName val="13_14 dataset act"/>
      <sheetName val="15_16 dataset act"/>
      <sheetName val="Sheet1"/>
      <sheetName val="Med"/>
      <sheetName val="Median"/>
      <sheetName val="P3 Analysis"/>
      <sheetName val="Activities"/>
      <sheetName val="F-test, t-test"/>
      <sheetName val="Summary"/>
      <sheetName val="Validation template"/>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row r="1">
          <cell r="O1">
            <v>0</v>
          </cell>
        </row>
        <row r="2">
          <cell r="O2">
            <v>0</v>
          </cell>
        </row>
        <row r="3">
          <cell r="O3" t="str">
            <v>P3</v>
          </cell>
        </row>
        <row r="4">
          <cell r="O4" t="str">
            <v>Change from x to y</v>
          </cell>
        </row>
        <row r="5">
          <cell r="O5">
            <v>-0.1349703097416145</v>
          </cell>
        </row>
        <row r="6">
          <cell r="O6">
            <v>3.296170625302957E-2</v>
          </cell>
        </row>
        <row r="7">
          <cell r="O7">
            <v>-0.11242281147838722</v>
          </cell>
        </row>
        <row r="8">
          <cell r="O8">
            <v>-6.472859414035885E-2</v>
          </cell>
        </row>
        <row r="9">
          <cell r="O9">
            <v>-0.42335766423357662</v>
          </cell>
        </row>
        <row r="10">
          <cell r="O10">
            <v>-0.36487898310987288</v>
          </cell>
        </row>
        <row r="11">
          <cell r="O11">
            <v>-0.3898339614953652</v>
          </cell>
        </row>
        <row r="12">
          <cell r="O12">
            <v>-0.35334476843910806</v>
          </cell>
        </row>
        <row r="13">
          <cell r="O13">
            <v>-0.22077922077922077</v>
          </cell>
        </row>
        <row r="14">
          <cell r="O14">
            <v>-0.11731044349070101</v>
          </cell>
        </row>
        <row r="15">
          <cell r="O15">
            <v>-2.2749893359874877E-2</v>
          </cell>
        </row>
        <row r="16">
          <cell r="O16">
            <v>0.22377756471716204</v>
          </cell>
        </row>
        <row r="17">
          <cell r="O17">
            <v>-0.15177940136695733</v>
          </cell>
        </row>
        <row r="18">
          <cell r="O18">
            <v>-6.4341267970775398E-2</v>
          </cell>
        </row>
        <row r="19">
          <cell r="O19">
            <v>-0.20713260461521474</v>
          </cell>
        </row>
        <row r="20">
          <cell r="O20">
            <v>-0.36994009802141947</v>
          </cell>
        </row>
        <row r="21">
          <cell r="O21">
            <v>-9.858209581340717E-2</v>
          </cell>
        </row>
        <row r="22">
          <cell r="O22">
            <v>-0.43391283638961659</v>
          </cell>
        </row>
        <row r="23">
          <cell r="O23">
            <v>4.9913415503718042E-2</v>
          </cell>
        </row>
        <row r="24">
          <cell r="O24">
            <v>-0.1934819897084048</v>
          </cell>
        </row>
        <row r="25">
          <cell r="O25">
            <v>2.3706045041485577E-2</v>
          </cell>
        </row>
        <row r="26">
          <cell r="O26">
            <v>4.990542703331878E-2</v>
          </cell>
        </row>
        <row r="27">
          <cell r="O27">
            <v>-6.2562206739655901E-2</v>
          </cell>
        </row>
        <row r="28">
          <cell r="O28">
            <v>6.4637985309548798E-2</v>
          </cell>
        </row>
        <row r="29">
          <cell r="O29">
            <v>-0.54725430120197971</v>
          </cell>
        </row>
        <row r="30">
          <cell r="O30">
            <v>-0.12844685364129155</v>
          </cell>
        </row>
        <row r="31">
          <cell r="O31">
            <v>-0.1699238158330573</v>
          </cell>
        </row>
        <row r="32">
          <cell r="O32">
            <v>5.7905245961154476E-2</v>
          </cell>
        </row>
        <row r="33">
          <cell r="O33">
            <v>-0.37851662404092073</v>
          </cell>
        </row>
        <row r="34">
          <cell r="O34">
            <v>-0.16278040141676506</v>
          </cell>
        </row>
        <row r="35">
          <cell r="O35">
            <v>-0.42417135709818637</v>
          </cell>
        </row>
        <row r="36">
          <cell r="O36">
            <v>-0.32145090681676047</v>
          </cell>
        </row>
        <row r="37">
          <cell r="O37">
            <v>-0.30140047675804527</v>
          </cell>
        </row>
        <row r="38">
          <cell r="O38">
            <v>-0.17161936560934893</v>
          </cell>
        </row>
        <row r="39">
          <cell r="O39">
            <v>-0.18846694796061886</v>
          </cell>
        </row>
        <row r="40">
          <cell r="O40">
            <v>-0.1968645592392701</v>
          </cell>
        </row>
        <row r="41">
          <cell r="O41">
            <v>-0.18355695118469884</v>
          </cell>
        </row>
        <row r="42">
          <cell r="O42">
            <v>-0.20827943078913325</v>
          </cell>
        </row>
        <row r="43">
          <cell r="O43">
            <v>-0.24526707234617984</v>
          </cell>
        </row>
        <row r="44">
          <cell r="O44">
            <v>-0.18916498768748602</v>
          </cell>
        </row>
        <row r="45">
          <cell r="O45">
            <v>-0.31572230729964268</v>
          </cell>
        </row>
        <row r="46">
          <cell r="O46">
            <v>-0.29369431117203565</v>
          </cell>
        </row>
        <row r="47">
          <cell r="O47">
            <v>-0.37128589263420725</v>
          </cell>
        </row>
        <row r="48">
          <cell r="O48">
            <v>-0.39920948616600793</v>
          </cell>
        </row>
        <row r="49">
          <cell r="O49">
            <v>-0.14066193853427897</v>
          </cell>
        </row>
        <row r="50">
          <cell r="O50">
            <v>-0.25105130361648442</v>
          </cell>
        </row>
        <row r="51">
          <cell r="O51">
            <v>-0.36736918604651164</v>
          </cell>
        </row>
        <row r="52">
          <cell r="O52">
            <v>-0.33121019108280253</v>
          </cell>
        </row>
        <row r="53">
          <cell r="O53">
            <v>0.31312292358803989</v>
          </cell>
        </row>
        <row r="54">
          <cell r="O54">
            <v>-0.12778603268945021</v>
          </cell>
        </row>
        <row r="55">
          <cell r="O55">
            <v>-0.30704109023332643</v>
          </cell>
        </row>
        <row r="56">
          <cell r="O56">
            <v>-0.51925573344872344</v>
          </cell>
        </row>
        <row r="57">
          <cell r="O57">
            <v>-0.15643153526970954</v>
          </cell>
        </row>
        <row r="58">
          <cell r="O58">
            <v>-0.29939759036144581</v>
          </cell>
        </row>
        <row r="59">
          <cell r="O59">
            <v>1.5686274509803921E-3</v>
          </cell>
        </row>
        <row r="60">
          <cell r="O60">
            <v>-0.10695187165775401</v>
          </cell>
        </row>
        <row r="61">
          <cell r="O61">
            <v>-0.37747819191118159</v>
          </cell>
        </row>
        <row r="62">
          <cell r="O62">
            <v>-0.13932702418506834</v>
          </cell>
        </row>
        <row r="63">
          <cell r="O63">
            <v>0.40646258503401361</v>
          </cell>
        </row>
        <row r="64">
          <cell r="O64">
            <v>0.25510204081632654</v>
          </cell>
        </row>
        <row r="65">
          <cell r="O65">
            <v>-0.40282685512367489</v>
          </cell>
        </row>
        <row r="66">
          <cell r="O66">
            <v>0.13380909901873328</v>
          </cell>
        </row>
        <row r="67">
          <cell r="O67">
            <v>-0.37288909173893198</v>
          </cell>
        </row>
        <row r="68">
          <cell r="O68">
            <v>-0.32247815726767276</v>
          </cell>
        </row>
        <row r="69">
          <cell r="O69">
            <v>-4.3661060802069857E-2</v>
          </cell>
        </row>
        <row r="70">
          <cell r="O70">
            <v>-0.85892282958199362</v>
          </cell>
        </row>
        <row r="71">
          <cell r="O71">
            <v>0.54863344051446949</v>
          </cell>
        </row>
        <row r="72">
          <cell r="O72">
            <v>-0.33762057877813506</v>
          </cell>
        </row>
        <row r="73">
          <cell r="O73">
            <v>-0.1812700964630225</v>
          </cell>
        </row>
        <row r="74">
          <cell r="O74">
            <v>-6.8467629250116444E-2</v>
          </cell>
        </row>
        <row r="75">
          <cell r="O75">
            <v>0.57055961070559613</v>
          </cell>
        </row>
        <row r="76">
          <cell r="O76">
            <v>-0.50109329446064144</v>
          </cell>
        </row>
        <row r="77">
          <cell r="O77">
            <v>-0.21246952281435039</v>
          </cell>
        </row>
        <row r="78">
          <cell r="O78">
            <v>0.15458167330677292</v>
          </cell>
        </row>
        <row r="79">
          <cell r="O79">
            <v>-0.2441860465116279</v>
          </cell>
        </row>
        <row r="80">
          <cell r="O80">
            <v>-0.45520965692503179</v>
          </cell>
        </row>
        <row r="81">
          <cell r="O81">
            <v>-0.34624896949711459</v>
          </cell>
        </row>
        <row r="82">
          <cell r="O82">
            <v>4.5379537953795381E-2</v>
          </cell>
        </row>
        <row r="83">
          <cell r="O83">
            <v>-0.51012145748987858</v>
          </cell>
        </row>
        <row r="84">
          <cell r="O84">
            <v>-0.37604830593760485</v>
          </cell>
        </row>
        <row r="85">
          <cell r="O85">
            <v>-0.10932475884244373</v>
          </cell>
        </row>
        <row r="86">
          <cell r="O86">
            <v>-0.37210282343025708</v>
          </cell>
        </row>
        <row r="87">
          <cell r="O87">
            <v>-9.7374179431072211E-2</v>
          </cell>
        </row>
        <row r="88">
          <cell r="O88">
            <v>-0.15701668302257116</v>
          </cell>
        </row>
        <row r="89">
          <cell r="O89">
            <v>-0.12144455097475232</v>
          </cell>
        </row>
        <row r="90">
          <cell r="O90">
            <v>-8.7407407407407406E-2</v>
          </cell>
        </row>
        <row r="91">
          <cell r="O91">
            <v>-0.27069351230425054</v>
          </cell>
        </row>
        <row r="92">
          <cell r="O92">
            <v>0.28995215311004785</v>
          </cell>
        </row>
        <row r="93">
          <cell r="O93">
            <v>-0.43840271877655057</v>
          </cell>
        </row>
        <row r="94">
          <cell r="O94">
            <v>-0.10773680404916848</v>
          </cell>
        </row>
        <row r="95">
          <cell r="O95">
            <v>7.5596816976127315E-2</v>
          </cell>
        </row>
        <row r="96">
          <cell r="O96">
            <v>-0.18733421750663129</v>
          </cell>
        </row>
        <row r="97">
          <cell r="O97">
            <v>-0.13217905405405406</v>
          </cell>
        </row>
        <row r="98">
          <cell r="O98">
            <v>-0.27050610820244331</v>
          </cell>
        </row>
        <row r="99">
          <cell r="O99">
            <v>5.8666666666666666E-2</v>
          </cell>
        </row>
        <row r="100">
          <cell r="O100">
            <v>0.2684630738522954</v>
          </cell>
        </row>
        <row r="101">
          <cell r="O101">
            <v>-0.22044444444444444</v>
          </cell>
        </row>
        <row r="102">
          <cell r="O102">
            <v>-0.42315573770491804</v>
          </cell>
        </row>
        <row r="103">
          <cell r="O103">
            <v>-8.3838383838383837E-2</v>
          </cell>
        </row>
        <row r="104">
          <cell r="O104">
            <v>-0.49485783424077434</v>
          </cell>
        </row>
        <row r="105">
          <cell r="O105">
            <v>-0.20110361741263028</v>
          </cell>
        </row>
        <row r="106">
          <cell r="O106">
            <v>-0.36492537313432838</v>
          </cell>
        </row>
        <row r="107">
          <cell r="O107">
            <v>-0.143602085840353</v>
          </cell>
        </row>
        <row r="108">
          <cell r="O108">
            <v>-0.25247035573122528</v>
          </cell>
        </row>
        <row r="109">
          <cell r="O109">
            <v>-0.12648221343873517</v>
          </cell>
        </row>
        <row r="110">
          <cell r="O110">
            <v>-0.1388888888888889</v>
          </cell>
        </row>
        <row r="111">
          <cell r="O111">
            <v>-0.15860735009671179</v>
          </cell>
        </row>
        <row r="112">
          <cell r="O112">
            <v>2.3255813953488372E-2</v>
          </cell>
        </row>
        <row r="113">
          <cell r="O113">
            <v>0.2334429309534993</v>
          </cell>
        </row>
        <row r="114">
          <cell r="O114">
            <v>-0.11085180863477247</v>
          </cell>
        </row>
        <row r="115">
          <cell r="O115">
            <v>-0.32158836689038034</v>
          </cell>
        </row>
        <row r="116">
          <cell r="O116">
            <v>-4.7026279391424619E-2</v>
          </cell>
        </row>
        <row r="117">
          <cell r="O117">
            <v>-0.30513307984790877</v>
          </cell>
        </row>
        <row r="118">
          <cell r="O118">
            <v>-6.1312607944732297E-2</v>
          </cell>
        </row>
        <row r="119">
          <cell r="O119">
            <v>-0.31637353433835846</v>
          </cell>
        </row>
        <row r="120">
          <cell r="O120">
            <v>-0.45055499495459134</v>
          </cell>
        </row>
        <row r="121">
          <cell r="O121">
            <v>-6.8241469816272965E-2</v>
          </cell>
        </row>
        <row r="122">
          <cell r="O122">
            <v>3.2006920415224911E-2</v>
          </cell>
        </row>
        <row r="123">
          <cell r="O123">
            <v>-0.34012096774193551</v>
          </cell>
        </row>
        <row r="124">
          <cell r="O124">
            <v>-0.26506024096385544</v>
          </cell>
        </row>
        <row r="125">
          <cell r="O125">
            <v>-0.17604770161119804</v>
          </cell>
        </row>
        <row r="126">
          <cell r="O126">
            <v>-9.2817925508235644E-2</v>
          </cell>
        </row>
        <row r="127">
          <cell r="O127">
            <v>-0.52091756020390223</v>
          </cell>
        </row>
        <row r="128">
          <cell r="O128">
            <v>-0.29161554192229039</v>
          </cell>
        </row>
        <row r="129">
          <cell r="O129">
            <v>-2.3452157598499061E-2</v>
          </cell>
        </row>
        <row r="130">
          <cell r="O130">
            <v>-0.20357142857142857</v>
          </cell>
        </row>
        <row r="131">
          <cell r="O131">
            <v>-6.6508313539192399E-2</v>
          </cell>
        </row>
        <row r="132">
          <cell r="O132">
            <v>1.166429587482219E-2</v>
          </cell>
        </row>
        <row r="133">
          <cell r="O133">
            <v>-0.11894273127753303</v>
          </cell>
        </row>
        <row r="134">
          <cell r="O134">
            <v>-0.17438551099611901</v>
          </cell>
        </row>
        <row r="135">
          <cell r="O135">
            <v>-0.15469007131102577</v>
          </cell>
        </row>
        <row r="136">
          <cell r="O136">
            <v>-0.21070615034168566</v>
          </cell>
        </row>
        <row r="137">
          <cell r="O137">
            <v>-0.26405867970660146</v>
          </cell>
        </row>
        <row r="138">
          <cell r="O138">
            <v>6.8669527896995708E-2</v>
          </cell>
        </row>
        <row r="139">
          <cell r="O139">
            <v>-0.42828008157715841</v>
          </cell>
        </row>
        <row r="140">
          <cell r="O140">
            <v>-0.43325183374083132</v>
          </cell>
        </row>
        <row r="141">
          <cell r="O141">
            <v>-0.35218508997429304</v>
          </cell>
        </row>
        <row r="142">
          <cell r="O142">
            <v>-7.769085513892636E-2</v>
          </cell>
        </row>
        <row r="143">
          <cell r="O143">
            <v>-0.56577693040991417</v>
          </cell>
        </row>
        <row r="144">
          <cell r="O144">
            <v>-0.25105828720286549</v>
          </cell>
        </row>
        <row r="145">
          <cell r="O145">
            <v>-0.12552068869758401</v>
          </cell>
        </row>
        <row r="146">
          <cell r="O146">
            <v>9.4414893617021281E-2</v>
          </cell>
        </row>
        <row r="147">
          <cell r="O147">
            <v>-0.17502365184484389</v>
          </cell>
        </row>
        <row r="148">
          <cell r="O148">
            <v>-0.11829268292682926</v>
          </cell>
        </row>
        <row r="149">
          <cell r="O149">
            <v>-0.10218978102189781</v>
          </cell>
        </row>
        <row r="150">
          <cell r="O150">
            <v>-0.21175523349436393</v>
          </cell>
        </row>
        <row r="151">
          <cell r="O151">
            <v>-9.9108027750247768E-2</v>
          </cell>
        </row>
        <row r="152">
          <cell r="O152">
            <v>-0.15363800360793747</v>
          </cell>
        </row>
        <row r="153">
          <cell r="O153">
            <v>-0.23830734966592429</v>
          </cell>
        </row>
        <row r="154">
          <cell r="O154">
            <v>0.13133476088508209</v>
          </cell>
        </row>
        <row r="155">
          <cell r="O155">
            <v>-0.1496962332928311</v>
          </cell>
        </row>
        <row r="156">
          <cell r="O156">
            <v>-0.13701492537313434</v>
          </cell>
        </row>
        <row r="157">
          <cell r="O157">
            <v>-4.7589993898718728E-2</v>
          </cell>
        </row>
        <row r="158">
          <cell r="O158">
            <v>-2.1262458471760799E-2</v>
          </cell>
        </row>
        <row r="159">
          <cell r="O159">
            <v>7.9505300353356886E-2</v>
          </cell>
        </row>
        <row r="160">
          <cell r="O160">
            <v>-0.2390386489119844</v>
          </cell>
        </row>
        <row r="161">
          <cell r="O161">
            <v>-5.5400372439478582E-2</v>
          </cell>
        </row>
        <row r="162">
          <cell r="O162">
            <v>-0.32116589485153907</v>
          </cell>
        </row>
        <row r="163">
          <cell r="O163">
            <v>9.827517047733654E-2</v>
          </cell>
        </row>
        <row r="164">
          <cell r="O164">
            <v>1.0970756707868556</v>
          </cell>
        </row>
        <row r="165">
          <cell r="O165">
            <v>0.4707309006724727</v>
          </cell>
        </row>
        <row r="166">
          <cell r="O166">
            <v>-6.7073170731707321E-2</v>
          </cell>
        </row>
        <row r="167">
          <cell r="O167">
            <v>-0.1134453781512605</v>
          </cell>
        </row>
        <row r="168">
          <cell r="O168">
            <v>-0.19390185802763221</v>
          </cell>
        </row>
        <row r="169">
          <cell r="O169">
            <v>-6.7039106145251395E-2</v>
          </cell>
        </row>
        <row r="170">
          <cell r="O170">
            <v>-6.2883435582822084E-2</v>
          </cell>
        </row>
        <row r="171">
          <cell r="O171">
            <v>-0.17029862792574657</v>
          </cell>
        </row>
        <row r="172">
          <cell r="O172">
            <v>-0.11475409836065574</v>
          </cell>
        </row>
        <row r="173">
          <cell r="O173">
            <v>-0.1273006134969325</v>
          </cell>
        </row>
        <row r="174">
          <cell r="O174">
            <v>-0.26404084609773887</v>
          </cell>
        </row>
        <row r="175">
          <cell r="O175">
            <v>-0.2769863880974992</v>
          </cell>
        </row>
        <row r="176">
          <cell r="O176">
            <v>-0.28599221789883267</v>
          </cell>
        </row>
        <row r="177">
          <cell r="O177" t="str">
            <v>Not on Published Price list 13/14 (A)</v>
          </cell>
        </row>
        <row r="178">
          <cell r="O178" t="str">
            <v>Not on Published Price list 13/14 (A)</v>
          </cell>
        </row>
        <row r="179">
          <cell r="O179">
            <v>-0.12532637075718014</v>
          </cell>
        </row>
        <row r="180">
          <cell r="O180" t="str">
            <v>Not on Published Price list 13/14 (A)</v>
          </cell>
        </row>
        <row r="181">
          <cell r="O181">
            <v>-1.2004801920768306E-3</v>
          </cell>
        </row>
        <row r="182">
          <cell r="O182">
            <v>-8.680142687277051E-2</v>
          </cell>
        </row>
        <row r="183">
          <cell r="O183">
            <v>-7.2864321608040197E-2</v>
          </cell>
        </row>
        <row r="184">
          <cell r="O184">
            <v>0.86970684039087953</v>
          </cell>
        </row>
        <row r="185">
          <cell r="O185">
            <v>-0.44103072348860256</v>
          </cell>
        </row>
        <row r="186">
          <cell r="O186">
            <v>-0.16426512968299711</v>
          </cell>
        </row>
        <row r="187">
          <cell r="O187">
            <v>-3.3123028391167195E-2</v>
          </cell>
        </row>
        <row r="188">
          <cell r="O188">
            <v>0.13738019169329074</v>
          </cell>
        </row>
        <row r="189">
          <cell r="O189">
            <v>-4.4193216855087356E-2</v>
          </cell>
        </row>
        <row r="190">
          <cell r="O190">
            <v>-5.1818181818181819E-2</v>
          </cell>
        </row>
        <row r="191">
          <cell r="O191">
            <v>-0.18081180811808117</v>
          </cell>
        </row>
        <row r="192">
          <cell r="O192">
            <v>-1</v>
          </cell>
        </row>
        <row r="193">
          <cell r="O193">
            <v>8.723404255319149E-2</v>
          </cell>
        </row>
        <row r="194">
          <cell r="O194">
            <v>-0.19284940411700974</v>
          </cell>
        </row>
        <row r="195">
          <cell r="O195">
            <v>-0.10395584176632934</v>
          </cell>
        </row>
        <row r="196">
          <cell r="O196">
            <v>1.9342359767891683E-3</v>
          </cell>
        </row>
        <row r="197">
          <cell r="O197">
            <v>0.32341650671785027</v>
          </cell>
        </row>
        <row r="198">
          <cell r="O198">
            <v>2.0084269662921348</v>
          </cell>
        </row>
        <row r="199">
          <cell r="O199">
            <v>4.4193216855087356E-2</v>
          </cell>
        </row>
        <row r="200">
          <cell r="O200">
            <v>-0.17181818181818181</v>
          </cell>
        </row>
        <row r="201">
          <cell r="O201">
            <v>-0.10487580496780129</v>
          </cell>
        </row>
        <row r="202">
          <cell r="O202">
            <v>1.2458471760797342E-2</v>
          </cell>
        </row>
        <row r="203">
          <cell r="O203">
            <v>-0.1245136186770428</v>
          </cell>
        </row>
        <row r="204">
          <cell r="O204">
            <v>-2.9335634167385678E-2</v>
          </cell>
        </row>
        <row r="205">
          <cell r="O205">
            <v>-9.3023255813953487E-2</v>
          </cell>
        </row>
        <row r="206">
          <cell r="O206">
            <v>1.3043478260869565E-2</v>
          </cell>
        </row>
        <row r="207">
          <cell r="O207">
            <v>-9.8026095684175307E-2</v>
          </cell>
        </row>
        <row r="208">
          <cell r="O208">
            <v>-3.5768645357686452E-2</v>
          </cell>
        </row>
        <row r="209">
          <cell r="O209">
            <v>-8.6351471900089211E-2</v>
          </cell>
        </row>
        <row r="210">
          <cell r="O210">
            <v>-0.2038253759672945</v>
          </cell>
        </row>
        <row r="211">
          <cell r="O211">
            <v>-0.36793164111585824</v>
          </cell>
        </row>
        <row r="212">
          <cell r="O212">
            <v>-3.6321031048623317E-2</v>
          </cell>
        </row>
        <row r="213">
          <cell r="O213">
            <v>-6.2086353608572328E-2</v>
          </cell>
        </row>
        <row r="214">
          <cell r="O214">
            <v>0.55506607929515417</v>
          </cell>
        </row>
        <row r="215">
          <cell r="O215">
            <v>1.1039426523297491</v>
          </cell>
        </row>
        <row r="216">
          <cell r="O216">
            <v>0.60963455149501666</v>
          </cell>
        </row>
        <row r="217">
          <cell r="O217">
            <v>-0.14541547277936961</v>
          </cell>
        </row>
        <row r="218">
          <cell r="O218">
            <v>-1.083537224746592E-2</v>
          </cell>
        </row>
        <row r="219">
          <cell r="O219">
            <v>0.41833440929632021</v>
          </cell>
        </row>
        <row r="220">
          <cell r="O220">
            <v>-4.3899289864428662E-2</v>
          </cell>
        </row>
        <row r="221">
          <cell r="O221">
            <v>-0.20358814352574103</v>
          </cell>
        </row>
        <row r="222">
          <cell r="O222">
            <v>-3.1022390072835176E-2</v>
          </cell>
        </row>
        <row r="223">
          <cell r="O223">
            <v>-0.13977695167286244</v>
          </cell>
        </row>
        <row r="224">
          <cell r="O224">
            <v>-0.13783447417548225</v>
          </cell>
        </row>
        <row r="225">
          <cell r="O225">
            <v>-7.9265562024182709E-2</v>
          </cell>
        </row>
        <row r="226">
          <cell r="O226">
            <v>0.3611111111111111</v>
          </cell>
        </row>
        <row r="227">
          <cell r="O227">
            <v>-6.346541302887844E-2</v>
          </cell>
        </row>
        <row r="228">
          <cell r="O228">
            <v>-9.9418604651162784E-2</v>
          </cell>
        </row>
        <row r="229">
          <cell r="O229">
            <v>-7.4102175012645419E-2</v>
          </cell>
        </row>
        <row r="230">
          <cell r="O230">
            <v>-1.2190476190476191E-2</v>
          </cell>
        </row>
        <row r="231">
          <cell r="O231">
            <v>-0.1339754816112084</v>
          </cell>
        </row>
        <row r="232">
          <cell r="O232">
            <v>-0.22721518987341771</v>
          </cell>
        </row>
        <row r="233">
          <cell r="O233">
            <v>-0.16519174041297935</v>
          </cell>
        </row>
        <row r="234">
          <cell r="O234">
            <v>-9.0958019375672772E-2</v>
          </cell>
        </row>
        <row r="235">
          <cell r="O235">
            <v>0.31644260599793173</v>
          </cell>
        </row>
        <row r="236">
          <cell r="O236">
            <v>0.37296416938110749</v>
          </cell>
        </row>
        <row r="237">
          <cell r="O237">
            <v>-0.12332668755340359</v>
          </cell>
        </row>
        <row r="238">
          <cell r="O238">
            <v>0.50801393728222999</v>
          </cell>
        </row>
        <row r="239">
          <cell r="O239">
            <v>1.1366806136680614</v>
          </cell>
        </row>
        <row r="240">
          <cell r="O240">
            <v>-0.10854092526690391</v>
          </cell>
        </row>
        <row r="241">
          <cell r="O241">
            <v>-0.1397003745318352</v>
          </cell>
        </row>
        <row r="242">
          <cell r="O242">
            <v>-0.20666344760985031</v>
          </cell>
        </row>
        <row r="243">
          <cell r="O243">
            <v>-0.39459084604715672</v>
          </cell>
        </row>
        <row r="244">
          <cell r="O244">
            <v>-0.14088250930356194</v>
          </cell>
        </row>
        <row r="245">
          <cell r="O245">
            <v>-0.15119916579770595</v>
          </cell>
        </row>
        <row r="246">
          <cell r="O246">
            <v>-0.11042944785276074</v>
          </cell>
        </row>
        <row r="247">
          <cell r="O247">
            <v>-0.32077922077922078</v>
          </cell>
        </row>
        <row r="248">
          <cell r="O248">
            <v>1.7647058823529412E-2</v>
          </cell>
        </row>
        <row r="249">
          <cell r="O249">
            <v>-0.25746156165209527</v>
          </cell>
        </row>
        <row r="250">
          <cell r="O250">
            <v>0.20218153486560186</v>
          </cell>
        </row>
        <row r="251">
          <cell r="O251">
            <v>-0.17267080745341615</v>
          </cell>
        </row>
        <row r="252">
          <cell r="O252">
            <v>-8.5811648079306066E-2</v>
          </cell>
        </row>
        <row r="253">
          <cell r="O253">
            <v>-0.32154456874774451</v>
          </cell>
        </row>
        <row r="254">
          <cell r="O254">
            <v>-0.38212842388863943</v>
          </cell>
        </row>
        <row r="255">
          <cell r="O255">
            <v>-0.10287335934728627</v>
          </cell>
        </row>
        <row r="256">
          <cell r="O256">
            <v>-0.10257568910980569</v>
          </cell>
        </row>
        <row r="257">
          <cell r="O257">
            <v>-6.7559342665855143E-2</v>
          </cell>
        </row>
        <row r="258">
          <cell r="O258">
            <v>-0.16002870470039468</v>
          </cell>
        </row>
        <row r="259">
          <cell r="O259">
            <v>-3.3459255261737722E-2</v>
          </cell>
        </row>
        <row r="260">
          <cell r="O260">
            <v>0.55765199161425572</v>
          </cell>
        </row>
        <row r="261">
          <cell r="O261">
            <v>-0.29661538461538461</v>
          </cell>
        </row>
        <row r="262">
          <cell r="O262">
            <v>-0.33152852977925862</v>
          </cell>
        </row>
        <row r="263">
          <cell r="O263">
            <v>-0.41536458333333331</v>
          </cell>
        </row>
        <row r="264">
          <cell r="O264">
            <v>-0.27845330739299612</v>
          </cell>
        </row>
        <row r="265">
          <cell r="O265">
            <v>-0.33121019108280253</v>
          </cell>
        </row>
        <row r="266">
          <cell r="O266">
            <v>-0.3351703406813627</v>
          </cell>
        </row>
        <row r="267">
          <cell r="O267">
            <v>-5.949820788530466E-2</v>
          </cell>
        </row>
        <row r="268">
          <cell r="O268">
            <v>-0.15906886517943744</v>
          </cell>
        </row>
        <row r="269">
          <cell r="O269">
            <v>-9.3343534812547813E-2</v>
          </cell>
        </row>
        <row r="270">
          <cell r="O270">
            <v>-6.3157894736842104E-3</v>
          </cell>
        </row>
        <row r="271">
          <cell r="O271">
            <v>-0.4247498912570683</v>
          </cell>
        </row>
        <row r="272">
          <cell r="O272">
            <v>-0.32580525731210663</v>
          </cell>
        </row>
        <row r="273">
          <cell r="O273">
            <v>-0.72528693076638284</v>
          </cell>
        </row>
        <row r="274">
          <cell r="O274">
            <v>-0.13555691554467564</v>
          </cell>
        </row>
        <row r="275">
          <cell r="O275">
            <v>-0.14540922309929372</v>
          </cell>
        </row>
        <row r="276">
          <cell r="O276">
            <v>5.6969696969696969E-2</v>
          </cell>
        </row>
        <row r="277">
          <cell r="O277">
            <v>-3.5398230088495575E-2</v>
          </cell>
        </row>
        <row r="278">
          <cell r="O278">
            <v>-0.1934541203974284</v>
          </cell>
        </row>
        <row r="279">
          <cell r="O279">
            <v>-0.24898167006109981</v>
          </cell>
        </row>
        <row r="280">
          <cell r="O280">
            <v>1.0103092783505154</v>
          </cell>
        </row>
        <row r="281">
          <cell r="O281">
            <v>-1</v>
          </cell>
        </row>
        <row r="282">
          <cell r="O282">
            <v>5.7346938775510203</v>
          </cell>
        </row>
        <row r="283">
          <cell r="O283">
            <v>0.23809523809523808</v>
          </cell>
        </row>
        <row r="284">
          <cell r="O284">
            <v>0.1977818853974122</v>
          </cell>
        </row>
        <row r="285">
          <cell r="O285" t="str">
            <v>Not on Published Price list 13/14 (A)</v>
          </cell>
        </row>
        <row r="286">
          <cell r="O286" t="str">
            <v>Not on both list</v>
          </cell>
        </row>
        <row r="287">
          <cell r="O287" t="str">
            <v>Not on Published Price list 13/14 (A)</v>
          </cell>
        </row>
        <row r="288">
          <cell r="O288">
            <v>0.1134020618556701</v>
          </cell>
        </row>
        <row r="289">
          <cell r="O289" t="str">
            <v>Not on Published Price list 13/14 (A)</v>
          </cell>
        </row>
        <row r="290">
          <cell r="O290">
            <v>0.19135802469135801</v>
          </cell>
        </row>
        <row r="291">
          <cell r="O291">
            <v>-0.19901256080737675</v>
          </cell>
        </row>
        <row r="292">
          <cell r="O292">
            <v>8.8346337780015105E-2</v>
          </cell>
        </row>
        <row r="293">
          <cell r="O293">
            <v>-2.0872420262664164E-2</v>
          </cell>
        </row>
        <row r="294">
          <cell r="O294">
            <v>-0.33650893630422801</v>
          </cell>
        </row>
        <row r="295">
          <cell r="O295">
            <v>-0.48932676518883417</v>
          </cell>
        </row>
        <row r="296">
          <cell r="O296">
            <v>-7.2589937267955443E-2</v>
          </cell>
        </row>
        <row r="297">
          <cell r="O297">
            <v>-8.5877318116975743E-2</v>
          </cell>
        </row>
        <row r="298">
          <cell r="O298">
            <v>-2.9013539651837523E-2</v>
          </cell>
        </row>
        <row r="299">
          <cell r="O299">
            <v>0.10333484573502723</v>
          </cell>
        </row>
        <row r="300">
          <cell r="O300">
            <v>-4.0659023027266594E-2</v>
          </cell>
        </row>
        <row r="301">
          <cell r="O301">
            <v>-7.8247396057501931E-2</v>
          </cell>
        </row>
        <row r="302">
          <cell r="O302">
            <v>-6.7041226937969781E-2</v>
          </cell>
        </row>
        <row r="303">
          <cell r="O303">
            <v>-0.12795374560080441</v>
          </cell>
        </row>
        <row r="304">
          <cell r="O304">
            <v>-0.27498577659776219</v>
          </cell>
        </row>
        <row r="305">
          <cell r="O305">
            <v>-0.32600498868843902</v>
          </cell>
        </row>
        <row r="306">
          <cell r="O306">
            <v>-0.14989600516388152</v>
          </cell>
        </row>
        <row r="307">
          <cell r="O307">
            <v>-0.18515205724508049</v>
          </cell>
        </row>
        <row r="308">
          <cell r="O308">
            <v>-0.18647406434668418</v>
          </cell>
        </row>
        <row r="309">
          <cell r="O309" t="str">
            <v>Not on 15/16 prices Unadjusted</v>
          </cell>
        </row>
        <row r="310">
          <cell r="O310">
            <v>-0.29971569654346852</v>
          </cell>
        </row>
        <row r="311">
          <cell r="O311">
            <v>-0.20566037735849058</v>
          </cell>
        </row>
        <row r="312">
          <cell r="O312">
            <v>-7.9599056603773588E-2</v>
          </cell>
        </row>
        <row r="313">
          <cell r="O313">
            <v>-0.13431855500821019</v>
          </cell>
        </row>
        <row r="314">
          <cell r="O314">
            <v>6.6789781471221915E-2</v>
          </cell>
        </row>
        <row r="315">
          <cell r="O315">
            <v>-5.2476910159529808E-3</v>
          </cell>
        </row>
        <row r="316">
          <cell r="O316">
            <v>-0.21817709010531791</v>
          </cell>
        </row>
        <row r="317">
          <cell r="O317" t="str">
            <v>Not on Published Price list 13/14 (A)</v>
          </cell>
        </row>
        <row r="318">
          <cell r="O318">
            <v>0.19613095238095238</v>
          </cell>
        </row>
        <row r="319">
          <cell r="O319">
            <v>0.23972602739726026</v>
          </cell>
        </row>
        <row r="320">
          <cell r="O320">
            <v>-0.37632508833922262</v>
          </cell>
        </row>
        <row r="321">
          <cell r="O321">
            <v>-3.5836177474402729E-2</v>
          </cell>
        </row>
        <row r="322">
          <cell r="O322">
            <v>-0.17252252252252251</v>
          </cell>
        </row>
        <row r="323">
          <cell r="O323">
            <v>7.049864898059445E-2</v>
          </cell>
        </row>
        <row r="324">
          <cell r="O324">
            <v>0.11449468085106383</v>
          </cell>
        </row>
        <row r="325">
          <cell r="O325">
            <v>0.27350427350427353</v>
          </cell>
        </row>
        <row r="326">
          <cell r="O326">
            <v>0.13336360884044807</v>
          </cell>
        </row>
        <row r="327">
          <cell r="O327">
            <v>-0.13813490997043806</v>
          </cell>
        </row>
        <row r="328">
          <cell r="O328">
            <v>-3.7052994398965963E-2</v>
          </cell>
        </row>
        <row r="329">
          <cell r="O329">
            <v>-0.40828402366863903</v>
          </cell>
        </row>
        <row r="330">
          <cell r="O330">
            <v>-0.30538922155688625</v>
          </cell>
        </row>
        <row r="331">
          <cell r="O331">
            <v>-0.36624040920716111</v>
          </cell>
        </row>
        <row r="332">
          <cell r="O332">
            <v>9.081735620585267E-2</v>
          </cell>
        </row>
        <row r="333">
          <cell r="O333">
            <v>0.16793446459918079</v>
          </cell>
        </row>
        <row r="334">
          <cell r="O334">
            <v>0.38424437299035369</v>
          </cell>
        </row>
        <row r="335">
          <cell r="O335">
            <v>-0.24531835205992508</v>
          </cell>
        </row>
        <row r="336">
          <cell r="O336">
            <v>0.14990512333965844</v>
          </cell>
        </row>
        <row r="337">
          <cell r="O337">
            <v>0.18235294117647058</v>
          </cell>
        </row>
        <row r="338">
          <cell r="O338">
            <v>-0.39883040935672515</v>
          </cell>
        </row>
        <row r="339">
          <cell r="O339" t="str">
            <v>Not on 15/16 prices Unadjusted</v>
          </cell>
        </row>
        <row r="340">
          <cell r="O340" t="str">
            <v>Not on 15/16 prices Unadjusted</v>
          </cell>
        </row>
        <row r="341">
          <cell r="O341" t="str">
            <v>Not on 15/16 prices Unadjusted</v>
          </cell>
        </row>
        <row r="342">
          <cell r="O342" t="str">
            <v>Not on 15/16 prices Unadjusted</v>
          </cell>
        </row>
        <row r="343">
          <cell r="O343" t="str">
            <v>Not on 15/16 prices Unadjusted</v>
          </cell>
        </row>
        <row r="344">
          <cell r="O344" t="str">
            <v>Not on 15/16 prices Unadjusted</v>
          </cell>
        </row>
        <row r="345">
          <cell r="O345" t="str">
            <v>Not on 15/16 prices Unadjusted</v>
          </cell>
        </row>
        <row r="346">
          <cell r="O346" t="str">
            <v>Not on 15/16 prices Unadjusted</v>
          </cell>
        </row>
        <row r="347">
          <cell r="O347" t="str">
            <v>Not on 15/16 prices Unadjusted</v>
          </cell>
        </row>
        <row r="348">
          <cell r="O348" t="str">
            <v>Not on 15/16 prices Unadjusted</v>
          </cell>
        </row>
        <row r="349">
          <cell r="O349" t="str">
            <v>Not on 15/16 prices Unadjusted</v>
          </cell>
        </row>
        <row r="350">
          <cell r="O350" t="str">
            <v>Not on 15/16 prices Unadjusted</v>
          </cell>
        </row>
        <row r="351">
          <cell r="O351" t="str">
            <v>Not on 15/16 prices Unadjusted</v>
          </cell>
        </row>
        <row r="352">
          <cell r="O352" t="str">
            <v>Not on 15/16 prices Unadjusted</v>
          </cell>
        </row>
        <row r="353">
          <cell r="O353" t="str">
            <v>Not on 15/16 prices Unadjusted</v>
          </cell>
        </row>
        <row r="354">
          <cell r="O354" t="str">
            <v>Not on 15/16 prices Unadjusted</v>
          </cell>
        </row>
        <row r="355">
          <cell r="O355" t="str">
            <v>Not on 15/16 prices Unadjusted</v>
          </cell>
        </row>
        <row r="356">
          <cell r="O356">
            <v>-0.23297650906928338</v>
          </cell>
        </row>
        <row r="357">
          <cell r="O357">
            <v>-0.214190093708166</v>
          </cell>
        </row>
        <row r="358">
          <cell r="O358">
            <v>-0.1220159151193634</v>
          </cell>
        </row>
        <row r="359">
          <cell r="O359" t="str">
            <v>Not on 15/16 prices Unadjusted</v>
          </cell>
        </row>
        <row r="360">
          <cell r="O360" t="str">
            <v>Not on 15/16 prices Unadjusted</v>
          </cell>
        </row>
        <row r="361">
          <cell r="O361" t="str">
            <v>Not on 15/16 prices Unadjusted</v>
          </cell>
        </row>
        <row r="362">
          <cell r="O362" t="str">
            <v>Not on 15/16 prices Unadjusted</v>
          </cell>
        </row>
        <row r="363">
          <cell r="O363" t="str">
            <v>Not on 15/16 prices Unadjusted</v>
          </cell>
        </row>
        <row r="364">
          <cell r="O364">
            <v>-0.1873715673454138</v>
          </cell>
        </row>
        <row r="365">
          <cell r="O365">
            <v>-5.681818181818182E-3</v>
          </cell>
        </row>
        <row r="366">
          <cell r="O366">
            <v>-1.8495684340320593E-2</v>
          </cell>
        </row>
        <row r="367">
          <cell r="O367">
            <v>0.30369576861274772</v>
          </cell>
        </row>
        <row r="368">
          <cell r="O368">
            <v>-0.17078885706847174</v>
          </cell>
        </row>
        <row r="369">
          <cell r="O369">
            <v>-7.4977817213842057E-2</v>
          </cell>
        </row>
        <row r="370">
          <cell r="O370">
            <v>2.1141649048625794E-3</v>
          </cell>
        </row>
        <row r="371">
          <cell r="O371" t="str">
            <v>Not on 15/16 prices Unadjusted</v>
          </cell>
        </row>
        <row r="372">
          <cell r="O372" t="str">
            <v>Not on 15/16 prices Unadjusted</v>
          </cell>
        </row>
        <row r="373">
          <cell r="O373">
            <v>-3.1689088191330345E-2</v>
          </cell>
        </row>
        <row r="374">
          <cell r="O374">
            <v>4.8802129547471165E-3</v>
          </cell>
        </row>
        <row r="375">
          <cell r="O375" t="str">
            <v>Not on 15/16 prices Unadjusted</v>
          </cell>
        </row>
        <row r="376">
          <cell r="O376" t="str">
            <v>Not on 15/16 prices Unadjusted</v>
          </cell>
        </row>
        <row r="377">
          <cell r="O377">
            <v>-5.701754385964912E-2</v>
          </cell>
        </row>
        <row r="378">
          <cell r="O378">
            <v>-0.12946783161239078</v>
          </cell>
        </row>
        <row r="379">
          <cell r="O379" t="str">
            <v>Not on 15/16 prices Unadjusted</v>
          </cell>
        </row>
        <row r="380">
          <cell r="O380">
            <v>-0.57070707070707072</v>
          </cell>
        </row>
        <row r="381">
          <cell r="O381">
            <v>-0.44719535783365572</v>
          </cell>
        </row>
        <row r="382">
          <cell r="O382">
            <v>-0.16920943134535368</v>
          </cell>
        </row>
        <row r="383">
          <cell r="O383" t="str">
            <v>Not on 15/16 prices Unadjusted</v>
          </cell>
        </row>
        <row r="384">
          <cell r="O384" t="str">
            <v>Not on 15/16 prices Unadjusted</v>
          </cell>
        </row>
        <row r="385">
          <cell r="O385" t="str">
            <v>Not on 15/16 prices Unadjusted</v>
          </cell>
        </row>
        <row r="386">
          <cell r="O386">
            <v>-0.24247456923396304</v>
          </cell>
        </row>
        <row r="387">
          <cell r="O387">
            <v>-4.074585635359116E-2</v>
          </cell>
        </row>
        <row r="388">
          <cell r="O388">
            <v>0.30748225013653741</v>
          </cell>
        </row>
        <row r="389">
          <cell r="O389">
            <v>0.82683215130023646</v>
          </cell>
        </row>
        <row r="390">
          <cell r="O390" t="str">
            <v>Not on 15/16 prices Unadjusted</v>
          </cell>
        </row>
        <row r="391">
          <cell r="O391" t="str">
            <v>Not on 15/16 prices Unadjusted</v>
          </cell>
        </row>
        <row r="392">
          <cell r="O392" t="str">
            <v>Not on 15/16 prices Unadjusted</v>
          </cell>
        </row>
        <row r="393">
          <cell r="O393" t="str">
            <v>Not on 15/16 prices Unadjusted</v>
          </cell>
        </row>
        <row r="394">
          <cell r="O394" t="str">
            <v>Not on 15/16 prices Unadjusted</v>
          </cell>
        </row>
        <row r="395">
          <cell r="O395">
            <v>-0.25452664252457319</v>
          </cell>
        </row>
        <row r="396">
          <cell r="O396">
            <v>-0.20425138632162662</v>
          </cell>
        </row>
        <row r="397">
          <cell r="O397">
            <v>5.0377833753148613E-3</v>
          </cell>
        </row>
        <row r="398">
          <cell r="O398">
            <v>-0.2052505966587112</v>
          </cell>
        </row>
        <row r="399">
          <cell r="O399">
            <v>-0.31120331950207469</v>
          </cell>
        </row>
        <row r="400">
          <cell r="O400">
            <v>4.0567951318458417E-2</v>
          </cell>
        </row>
        <row r="401">
          <cell r="O401">
            <v>-0.35510718789407314</v>
          </cell>
        </row>
        <row r="402">
          <cell r="O402">
            <v>-0.21869782971619364</v>
          </cell>
        </row>
        <row r="403">
          <cell r="O403">
            <v>-2.4553571428571428E-2</v>
          </cell>
        </row>
        <row r="404">
          <cell r="O404">
            <v>4.4554455445544552E-2</v>
          </cell>
        </row>
        <row r="405">
          <cell r="O405">
            <v>-0.21668383110195674</v>
          </cell>
        </row>
        <row r="406">
          <cell r="O406">
            <v>-8.0674567000911579E-2</v>
          </cell>
        </row>
        <row r="407">
          <cell r="O407">
            <v>-8.5953878406708595E-2</v>
          </cell>
        </row>
        <row r="408">
          <cell r="O408">
            <v>-2.7166882276843468E-2</v>
          </cell>
        </row>
        <row r="409">
          <cell r="O409">
            <v>-0.27613338328962156</v>
          </cell>
        </row>
        <row r="410">
          <cell r="O410">
            <v>3.1914893617021274E-2</v>
          </cell>
        </row>
        <row r="411">
          <cell r="O411">
            <v>5.5023923444976079E-2</v>
          </cell>
        </row>
        <row r="412">
          <cell r="O412">
            <v>-0.36601307189542481</v>
          </cell>
        </row>
        <row r="413">
          <cell r="O413">
            <v>-0.15375918598078009</v>
          </cell>
        </row>
        <row r="414">
          <cell r="O414">
            <v>-3.8548752834467119E-2</v>
          </cell>
        </row>
        <row r="415">
          <cell r="O415">
            <v>-0.23731501057082452</v>
          </cell>
        </row>
        <row r="416">
          <cell r="O416">
            <v>2.9010238907849831E-2</v>
          </cell>
        </row>
        <row r="417">
          <cell r="O417">
            <v>-0.31913477537437607</v>
          </cell>
        </row>
        <row r="418">
          <cell r="O418">
            <v>-0.16962645437844459</v>
          </cell>
        </row>
        <row r="419">
          <cell r="O419">
            <v>-7.8758949880668255E-2</v>
          </cell>
        </row>
        <row r="420">
          <cell r="O420" t="str">
            <v>Not on 15/16 prices Unadjusted</v>
          </cell>
        </row>
        <row r="421">
          <cell r="O421">
            <v>-0.28505443747937975</v>
          </cell>
        </row>
        <row r="422">
          <cell r="O422">
            <v>-0.17185761957730811</v>
          </cell>
        </row>
        <row r="423">
          <cell r="O423">
            <v>2.8795811518324606E-2</v>
          </cell>
        </row>
        <row r="424">
          <cell r="O424">
            <v>-0.17582128777923783</v>
          </cell>
        </row>
        <row r="425">
          <cell r="O425">
            <v>-0.21495678316422398</v>
          </cell>
        </row>
        <row r="426">
          <cell r="O426">
            <v>4.7337278106508875E-2</v>
          </cell>
        </row>
        <row r="427">
          <cell r="O427">
            <v>-0.28312646762831267</v>
          </cell>
        </row>
        <row r="428">
          <cell r="O428">
            <v>-0.11709047900650503</v>
          </cell>
        </row>
        <row r="429">
          <cell r="O429">
            <v>4.6454767726161368E-2</v>
          </cell>
        </row>
        <row r="430">
          <cell r="O430">
            <v>-0.24256348246674728</v>
          </cell>
        </row>
        <row r="431">
          <cell r="O431">
            <v>-0.26193001060445387</v>
          </cell>
        </row>
        <row r="432">
          <cell r="O432">
            <v>-0.1233974358974359</v>
          </cell>
        </row>
        <row r="433">
          <cell r="O433">
            <v>-0.18290960451977401</v>
          </cell>
        </row>
        <row r="434">
          <cell r="O434">
            <v>0.87157287157287155</v>
          </cell>
        </row>
        <row r="435">
          <cell r="O435">
            <v>-0.37806637806637805</v>
          </cell>
        </row>
        <row r="436">
          <cell r="O436">
            <v>-0.1594966344746854</v>
          </cell>
        </row>
        <row r="437">
          <cell r="O437">
            <v>-0.19814385150812064</v>
          </cell>
        </row>
        <row r="438">
          <cell r="O438">
            <v>-7.9365079365079361E-3</v>
          </cell>
        </row>
        <row r="439">
          <cell r="O439">
            <v>-0.31114435302916976</v>
          </cell>
        </row>
        <row r="440">
          <cell r="O440">
            <v>-0.22072419106317412</v>
          </cell>
        </row>
        <row r="441">
          <cell r="O441">
            <v>0.13759213759213759</v>
          </cell>
        </row>
        <row r="442">
          <cell r="O442">
            <v>8.4985835694051E-3</v>
          </cell>
        </row>
        <row r="443">
          <cell r="O443">
            <v>-0.34992458521870284</v>
          </cell>
        </row>
        <row r="444">
          <cell r="O444">
            <v>-0.22060766182298547</v>
          </cell>
        </row>
        <row r="445">
          <cell r="O445">
            <v>-0.62453531598513012</v>
          </cell>
        </row>
        <row r="446">
          <cell r="O446">
            <v>-0.29968454258675081</v>
          </cell>
        </row>
        <row r="447">
          <cell r="O447">
            <v>-0.24736048265460031</v>
          </cell>
        </row>
        <row r="448">
          <cell r="O448">
            <v>-6.0648801128349791E-2</v>
          </cell>
        </row>
        <row r="449">
          <cell r="O449">
            <v>8.7108013937282226E-3</v>
          </cell>
        </row>
        <row r="450">
          <cell r="O450" t="str">
            <v>Not on 15/16 prices Unadjusted</v>
          </cell>
        </row>
        <row r="451">
          <cell r="O451">
            <v>-0.26323529411764707</v>
          </cell>
        </row>
        <row r="452">
          <cell r="O452">
            <v>3.6834924965893585E-2</v>
          </cell>
        </row>
        <row r="453">
          <cell r="O453">
            <v>-3.4165571616294348E-2</v>
          </cell>
        </row>
        <row r="454">
          <cell r="O454" t="str">
            <v>Not on 15/16 prices Unadjusted</v>
          </cell>
        </row>
        <row r="455">
          <cell r="O455">
            <v>-3.125E-2</v>
          </cell>
        </row>
        <row r="456">
          <cell r="O456" t="str">
            <v>Not on 15/16 prices Unadjusted</v>
          </cell>
        </row>
        <row r="457">
          <cell r="O457">
            <v>-0.36420395421436003</v>
          </cell>
        </row>
        <row r="458">
          <cell r="O458">
            <v>-0.17653061224489797</v>
          </cell>
        </row>
        <row r="459">
          <cell r="O459">
            <v>-8.5422864428389284E-2</v>
          </cell>
        </row>
        <row r="460">
          <cell r="O460">
            <v>-0.26155292853304674</v>
          </cell>
        </row>
        <row r="461">
          <cell r="O461">
            <v>-0.12012826837691169</v>
          </cell>
        </row>
        <row r="462">
          <cell r="O462" t="str">
            <v>Not on 15/16 prices Unadjusted</v>
          </cell>
        </row>
        <row r="463">
          <cell r="O463" t="str">
            <v>Not on 15/16 prices Unadjusted</v>
          </cell>
        </row>
        <row r="464">
          <cell r="O464">
            <v>-0.39668431669188098</v>
          </cell>
        </row>
        <row r="465">
          <cell r="O465">
            <v>-0.58944785276073619</v>
          </cell>
        </row>
        <row r="466">
          <cell r="O466">
            <v>-0.30684413641017561</v>
          </cell>
        </row>
        <row r="467">
          <cell r="O467">
            <v>5.0392893747864709E-2</v>
          </cell>
        </row>
        <row r="468">
          <cell r="O468">
            <v>-7.6331900481959092E-2</v>
          </cell>
        </row>
        <row r="469">
          <cell r="O469">
            <v>-0.14007516228220021</v>
          </cell>
        </row>
        <row r="470">
          <cell r="O470">
            <v>-0.22852233676975944</v>
          </cell>
        </row>
        <row r="471">
          <cell r="O471">
            <v>-0.21729908083902899</v>
          </cell>
        </row>
        <row r="472">
          <cell r="O472">
            <v>-0.34714003944773175</v>
          </cell>
        </row>
        <row r="473">
          <cell r="O473">
            <v>-0.14423756775866131</v>
          </cell>
        </row>
        <row r="474">
          <cell r="O474">
            <v>-7.6864535768645353E-2</v>
          </cell>
        </row>
        <row r="475">
          <cell r="O475">
            <v>-6.8086479509519196E-2</v>
          </cell>
        </row>
        <row r="476">
          <cell r="O476">
            <v>-0.24108527131782945</v>
          </cell>
        </row>
        <row r="477">
          <cell r="O477">
            <v>-0.15709903593339175</v>
          </cell>
        </row>
        <row r="478">
          <cell r="O478">
            <v>-3.0750036694554526E-2</v>
          </cell>
        </row>
        <row r="479">
          <cell r="O479">
            <v>-0.25593719332679099</v>
          </cell>
        </row>
        <row r="480">
          <cell r="O480">
            <v>-0.13780260707635009</v>
          </cell>
        </row>
        <row r="481">
          <cell r="O481" t="str">
            <v>Not on 15/16 prices Unadjusted</v>
          </cell>
        </row>
        <row r="482">
          <cell r="O482">
            <v>0.32401714179243524</v>
          </cell>
        </row>
        <row r="483">
          <cell r="O483">
            <v>0.17841163310961969</v>
          </cell>
        </row>
        <row r="484">
          <cell r="O484">
            <v>-0.21325966850828729</v>
          </cell>
        </row>
        <row r="485">
          <cell r="O485">
            <v>-0.39610274579273691</v>
          </cell>
        </row>
        <row r="486">
          <cell r="O486">
            <v>-0.23130755064456721</v>
          </cell>
        </row>
        <row r="487">
          <cell r="O487" t="str">
            <v>Not on 15/16 prices Unadjusted</v>
          </cell>
        </row>
        <row r="488">
          <cell r="O488" t="str">
            <v>Not on 15/16 prices Unadjusted</v>
          </cell>
        </row>
        <row r="489">
          <cell r="O489" t="str">
            <v>Not on 15/16 prices Unadjusted</v>
          </cell>
        </row>
        <row r="490">
          <cell r="O490">
            <v>-0.28820148749154834</v>
          </cell>
        </row>
        <row r="491">
          <cell r="O491">
            <v>-0.262380088151413</v>
          </cell>
        </row>
        <row r="492">
          <cell r="O492">
            <v>-0.11687436847423374</v>
          </cell>
        </row>
        <row r="493">
          <cell r="O493">
            <v>-0.15156794425087108</v>
          </cell>
        </row>
        <row r="494">
          <cell r="O494" t="str">
            <v>Not on 15/16 prices Unadjusted</v>
          </cell>
        </row>
        <row r="495">
          <cell r="O495" t="str">
            <v>Not on 15/16 prices Unadjusted</v>
          </cell>
        </row>
        <row r="496">
          <cell r="O496" t="str">
            <v>Not on 15/16 prices Unadjusted</v>
          </cell>
        </row>
        <row r="497">
          <cell r="O497">
            <v>-0.39159109645507006</v>
          </cell>
        </row>
        <row r="498">
          <cell r="O498">
            <v>-0.32423076923076921</v>
          </cell>
        </row>
        <row r="499">
          <cell r="O499">
            <v>-0.11822985468956407</v>
          </cell>
        </row>
        <row r="500">
          <cell r="O500">
            <v>0.10467289719626169</v>
          </cell>
        </row>
        <row r="501">
          <cell r="O501">
            <v>-0.31599291351264291</v>
          </cell>
        </row>
        <row r="502">
          <cell r="O502">
            <v>-0.32947719688542826</v>
          </cell>
        </row>
        <row r="503">
          <cell r="O503">
            <v>-0.11961141469338191</v>
          </cell>
        </row>
        <row r="504">
          <cell r="O504">
            <v>-9.9322799097065456E-2</v>
          </cell>
        </row>
        <row r="505">
          <cell r="O505">
            <v>-0.20461455911285995</v>
          </cell>
        </row>
        <row r="506">
          <cell r="O506">
            <v>-0.2626143405134258</v>
          </cell>
        </row>
        <row r="507">
          <cell r="O507">
            <v>-5.5178652193577565E-2</v>
          </cell>
        </row>
        <row r="508">
          <cell r="O508">
            <v>-3.7662337662337661E-2</v>
          </cell>
        </row>
        <row r="509">
          <cell r="O509">
            <v>0.26354285714285713</v>
          </cell>
        </row>
        <row r="510">
          <cell r="O510">
            <v>-0.16944655041698256</v>
          </cell>
        </row>
        <row r="511">
          <cell r="O511">
            <v>-7.6957695769576964E-2</v>
          </cell>
        </row>
        <row r="512">
          <cell r="O512">
            <v>-3.5726877423904103E-2</v>
          </cell>
        </row>
        <row r="513">
          <cell r="O513">
            <v>-5.5381727158948686E-2</v>
          </cell>
        </row>
        <row r="514">
          <cell r="O514">
            <v>-6.4120631341600898E-2</v>
          </cell>
        </row>
        <row r="515">
          <cell r="O515">
            <v>-0.16344803370786518</v>
          </cell>
        </row>
        <row r="516">
          <cell r="O516">
            <v>-5.741878841088674E-2</v>
          </cell>
        </row>
        <row r="517">
          <cell r="O517">
            <v>1.5804825351098308</v>
          </cell>
        </row>
        <row r="518">
          <cell r="O518">
            <v>0.8125</v>
          </cell>
        </row>
        <row r="519">
          <cell r="O519">
            <v>0.81895424836601305</v>
          </cell>
        </row>
        <row r="520">
          <cell r="O520">
            <v>1.6493672685909285E-2</v>
          </cell>
        </row>
        <row r="521">
          <cell r="O521">
            <v>-0.27167726816203547</v>
          </cell>
        </row>
        <row r="522">
          <cell r="O522">
            <v>0.18205128205128204</v>
          </cell>
        </row>
        <row r="523">
          <cell r="O523">
            <v>6.8777292576419208E-2</v>
          </cell>
        </row>
        <row r="524">
          <cell r="O524">
            <v>0.32433025911286784</v>
          </cell>
        </row>
        <row r="525">
          <cell r="O525">
            <v>-6.7348960052822718E-2</v>
          </cell>
        </row>
        <row r="526">
          <cell r="O526">
            <v>0.78644628099173552</v>
          </cell>
        </row>
        <row r="527">
          <cell r="O527">
            <v>0.29996346364632809</v>
          </cell>
        </row>
        <row r="528">
          <cell r="O528">
            <v>9.7834493426140756E-2</v>
          </cell>
        </row>
        <row r="529">
          <cell r="O529">
            <v>1.2483130904183535</v>
          </cell>
        </row>
        <row r="530">
          <cell r="O530">
            <v>0.35918937805730261</v>
          </cell>
        </row>
        <row r="531">
          <cell r="O531">
            <v>0.12440731542108828</v>
          </cell>
        </row>
        <row r="532">
          <cell r="O532">
            <v>3.653846153846154E-2</v>
          </cell>
        </row>
        <row r="533">
          <cell r="O533">
            <v>0.51171230616958097</v>
          </cell>
        </row>
        <row r="534">
          <cell r="O534">
            <v>0.6238894373149062</v>
          </cell>
        </row>
        <row r="535">
          <cell r="O535">
            <v>0.49244712990936557</v>
          </cell>
        </row>
        <row r="536">
          <cell r="O536">
            <v>-0.21378941742383753</v>
          </cell>
        </row>
        <row r="537">
          <cell r="O537">
            <v>-0.60411311053984573</v>
          </cell>
        </row>
        <row r="538">
          <cell r="O538">
            <v>-0.43232205367561261</v>
          </cell>
        </row>
        <row r="539">
          <cell r="O539">
            <v>-0.44927044451985071</v>
          </cell>
        </row>
        <row r="540">
          <cell r="O540">
            <v>3.8714390065741421E-2</v>
          </cell>
        </row>
        <row r="541">
          <cell r="O541">
            <v>4.2678440029433405E-2</v>
          </cell>
        </row>
        <row r="542">
          <cell r="O542">
            <v>0.15094339622641509</v>
          </cell>
        </row>
        <row r="543">
          <cell r="O543">
            <v>4.6012269938650305E-2</v>
          </cell>
        </row>
        <row r="544">
          <cell r="O544">
            <v>0.3034939483900434</v>
          </cell>
        </row>
        <row r="545">
          <cell r="O545">
            <v>-0.17038539553752535</v>
          </cell>
        </row>
        <row r="546">
          <cell r="O546">
            <v>-0.34367167919799496</v>
          </cell>
        </row>
        <row r="547">
          <cell r="O547">
            <v>-0.38306878306878306</v>
          </cell>
        </row>
        <row r="548">
          <cell r="O548">
            <v>-0.26095843742902569</v>
          </cell>
        </row>
        <row r="549">
          <cell r="O549">
            <v>-0.26140012845215155</v>
          </cell>
        </row>
        <row r="550">
          <cell r="O550">
            <v>-0.17716701902748413</v>
          </cell>
        </row>
        <row r="551">
          <cell r="O551">
            <v>-4.1564792176039117E-2</v>
          </cell>
        </row>
        <row r="552">
          <cell r="O552">
            <v>-0.15699100572363042</v>
          </cell>
        </row>
        <row r="553">
          <cell r="O553">
            <v>-0.44553644553644556</v>
          </cell>
        </row>
        <row r="554">
          <cell r="O554">
            <v>-0.4682230869001297</v>
          </cell>
        </row>
        <row r="555">
          <cell r="O555">
            <v>0.10172143974960876</v>
          </cell>
        </row>
        <row r="556">
          <cell r="O556" t="str">
            <v>Not on 15/16 prices Unadjusted</v>
          </cell>
        </row>
        <row r="557">
          <cell r="O557" t="str">
            <v>Not on 15/16 prices Unadjusted</v>
          </cell>
        </row>
        <row r="558">
          <cell r="O558" t="str">
            <v>Not on 15/16 prices Unadjusted</v>
          </cell>
        </row>
        <row r="559">
          <cell r="O559">
            <v>-0.63097576948264567</v>
          </cell>
        </row>
        <row r="560">
          <cell r="O560">
            <v>-9.5384615384615387E-2</v>
          </cell>
        </row>
        <row r="561">
          <cell r="O561">
            <v>0.12137203166226913</v>
          </cell>
        </row>
        <row r="562">
          <cell r="O562">
            <v>1.4684908789386402</v>
          </cell>
        </row>
        <row r="563">
          <cell r="O563">
            <v>1.2638623326959848</v>
          </cell>
        </row>
        <row r="564">
          <cell r="O564">
            <v>1.5217391304347827</v>
          </cell>
        </row>
        <row r="565">
          <cell r="O565">
            <v>2.8428874734607219</v>
          </cell>
        </row>
        <row r="566">
          <cell r="O566">
            <v>0.4684838160136286</v>
          </cell>
        </row>
        <row r="567">
          <cell r="O567">
            <v>0.37533512064343161</v>
          </cell>
        </row>
        <row r="568">
          <cell r="O568">
            <v>0.84411764705882353</v>
          </cell>
        </row>
        <row r="569">
          <cell r="O569">
            <v>6.945080091533181</v>
          </cell>
        </row>
        <row r="570">
          <cell r="O570">
            <v>0.50092208390963577</v>
          </cell>
        </row>
        <row r="571">
          <cell r="O571">
            <v>-4.3793270004830138E-2</v>
          </cell>
        </row>
        <row r="572">
          <cell r="O572">
            <v>0.34879783271249576</v>
          </cell>
        </row>
        <row r="573">
          <cell r="O573">
            <v>0.24512344836993588</v>
          </cell>
        </row>
        <row r="574">
          <cell r="O574">
            <v>7.4933687002652516E-2</v>
          </cell>
        </row>
        <row r="575">
          <cell r="O575">
            <v>8.4469696969696972E-2</v>
          </cell>
        </row>
        <row r="576">
          <cell r="O576">
            <v>0.26063249727371862</v>
          </cell>
        </row>
        <row r="577">
          <cell r="O577">
            <v>0.18953826283500161</v>
          </cell>
        </row>
        <row r="578">
          <cell r="O578">
            <v>8.5353003161222338E-2</v>
          </cell>
        </row>
        <row r="579">
          <cell r="O579">
            <v>2.3463060686015833</v>
          </cell>
        </row>
        <row r="580">
          <cell r="O580">
            <v>0.73353989155693256</v>
          </cell>
        </row>
        <row r="581">
          <cell r="O581">
            <v>4.8475689881734558</v>
          </cell>
        </row>
        <row r="582">
          <cell r="O582">
            <v>0.90415785764622969</v>
          </cell>
        </row>
        <row r="583">
          <cell r="O583">
            <v>6.5704761904761906</v>
          </cell>
        </row>
        <row r="584">
          <cell r="O584">
            <v>2.983810709838107</v>
          </cell>
        </row>
        <row r="585">
          <cell r="O585">
            <v>-2.3741567202906072E-2</v>
          </cell>
        </row>
        <row r="586">
          <cell r="O586">
            <v>-0.35441061670569868</v>
          </cell>
        </row>
        <row r="587">
          <cell r="O587">
            <v>-6.2905204135272466E-2</v>
          </cell>
        </row>
        <row r="588">
          <cell r="O588">
            <v>1.9661963550852439</v>
          </cell>
        </row>
        <row r="589">
          <cell r="O589">
            <v>-0.22483498349834982</v>
          </cell>
        </row>
        <row r="590">
          <cell r="O590">
            <v>1.112736660929432</v>
          </cell>
        </row>
        <row r="591">
          <cell r="O591">
            <v>0.28093245666467426</v>
          </cell>
        </row>
        <row r="592">
          <cell r="O592">
            <v>1.2210327455919396</v>
          </cell>
        </row>
        <row r="593">
          <cell r="O593">
            <v>0.18823529411764706</v>
          </cell>
        </row>
        <row r="594">
          <cell r="O594">
            <v>3.2120038722168442</v>
          </cell>
        </row>
        <row r="595">
          <cell r="O595">
            <v>1.9429175475687104</v>
          </cell>
        </row>
        <row r="596">
          <cell r="O596">
            <v>1.5</v>
          </cell>
        </row>
        <row r="597">
          <cell r="O597">
            <v>2.375</v>
          </cell>
        </row>
        <row r="598">
          <cell r="O598">
            <v>3.5748792270531404E-2</v>
          </cell>
        </row>
        <row r="599">
          <cell r="O599">
            <v>1.8269824922760041</v>
          </cell>
        </row>
        <row r="600">
          <cell r="O600">
            <v>-0.38228855721393035</v>
          </cell>
        </row>
        <row r="601">
          <cell r="O601">
            <v>0.12131367292225201</v>
          </cell>
        </row>
        <row r="602">
          <cell r="O602">
            <v>1.3136117556071152</v>
          </cell>
        </row>
        <row r="603">
          <cell r="O603">
            <v>1.234368855682265</v>
          </cell>
        </row>
        <row r="604">
          <cell r="O604">
            <v>-8.7873462214411252E-2</v>
          </cell>
        </row>
        <row r="605">
          <cell r="O605">
            <v>1.1004065040650406</v>
          </cell>
        </row>
        <row r="606">
          <cell r="O606">
            <v>0.76501305483028725</v>
          </cell>
        </row>
        <row r="607">
          <cell r="O607">
            <v>1.4651038891848696</v>
          </cell>
        </row>
        <row r="608">
          <cell r="O608">
            <v>0.37902559867877789</v>
          </cell>
        </row>
        <row r="609">
          <cell r="O609">
            <v>2.044162129461585</v>
          </cell>
        </row>
        <row r="610">
          <cell r="O610">
            <v>0.7330396475770925</v>
          </cell>
        </row>
        <row r="611">
          <cell r="O611">
            <v>2.1628849270664507</v>
          </cell>
        </row>
        <row r="612">
          <cell r="O612">
            <v>0.56850961538461542</v>
          </cell>
        </row>
        <row r="613">
          <cell r="O613">
            <v>-0.51244088011515521</v>
          </cell>
        </row>
        <row r="614">
          <cell r="O614">
            <v>-0.25452408930669801</v>
          </cell>
        </row>
        <row r="615">
          <cell r="O615">
            <v>-0.358162100456621</v>
          </cell>
        </row>
        <row r="616">
          <cell r="O616">
            <v>-0.22630092779346511</v>
          </cell>
        </row>
        <row r="617">
          <cell r="O617">
            <v>1.7417355371900827</v>
          </cell>
        </row>
        <row r="618">
          <cell r="O618">
            <v>0.50706713780918733</v>
          </cell>
        </row>
        <row r="619">
          <cell r="O619">
            <v>1.7069154774972557</v>
          </cell>
        </row>
        <row r="620">
          <cell r="O620">
            <v>0.70131421744324973</v>
          </cell>
        </row>
        <row r="621">
          <cell r="O621">
            <v>2.7728494623655915</v>
          </cell>
        </row>
        <row r="622">
          <cell r="O622">
            <v>0.97939560439560436</v>
          </cell>
        </row>
        <row r="623">
          <cell r="O623">
            <v>-0.36952998379254459</v>
          </cell>
        </row>
        <row r="624">
          <cell r="O624">
            <v>-0.51381642512077297</v>
          </cell>
        </row>
        <row r="625">
          <cell r="O625">
            <v>0.17843631778058008</v>
          </cell>
        </row>
        <row r="626">
          <cell r="O626">
            <v>-0.4277456647398844</v>
          </cell>
        </row>
        <row r="627">
          <cell r="O627">
            <v>1.6326923076923077</v>
          </cell>
        </row>
        <row r="628">
          <cell r="O628">
            <v>-0.18785753829119764</v>
          </cell>
        </row>
        <row r="629">
          <cell r="O629">
            <v>-0.57249508840864438</v>
          </cell>
        </row>
        <row r="630">
          <cell r="O630">
            <v>-9.3175316714344092E-2</v>
          </cell>
        </row>
        <row r="631">
          <cell r="O631">
            <v>0.78464254192409533</v>
          </cell>
        </row>
        <row r="632">
          <cell r="O632">
            <v>1.7442748091603053</v>
          </cell>
        </row>
        <row r="633">
          <cell r="O633">
            <v>12.770547945205479</v>
          </cell>
        </row>
        <row r="634">
          <cell r="O634">
            <v>1.0009310986964618E-2</v>
          </cell>
        </row>
        <row r="635">
          <cell r="O635">
            <v>4.3079015984582247E-2</v>
          </cell>
        </row>
        <row r="636">
          <cell r="O636">
            <v>8.1150051037767942E-2</v>
          </cell>
        </row>
        <row r="637">
          <cell r="O637">
            <v>0.3349206349206349</v>
          </cell>
        </row>
        <row r="638">
          <cell r="O638">
            <v>0.16670270270270271</v>
          </cell>
        </row>
        <row r="639">
          <cell r="O639">
            <v>5.0055005500550052E-2</v>
          </cell>
        </row>
        <row r="640">
          <cell r="O640">
            <v>0.27901383042693928</v>
          </cell>
        </row>
        <row r="641">
          <cell r="O641">
            <v>0.57127991675338186</v>
          </cell>
        </row>
        <row r="642">
          <cell r="O642">
            <v>0.84006734006734007</v>
          </cell>
        </row>
        <row r="643">
          <cell r="O643" t="str">
            <v>Not on 15/16 prices Unadjusted</v>
          </cell>
        </row>
        <row r="644">
          <cell r="O644" t="str">
            <v>Not on 15/16 prices Unadjusted</v>
          </cell>
        </row>
        <row r="645">
          <cell r="O645">
            <v>0.31146245059288535</v>
          </cell>
        </row>
        <row r="646">
          <cell r="O646" t="str">
            <v>Not on 15/16 prices Unadjusted</v>
          </cell>
        </row>
        <row r="647">
          <cell r="O647">
            <v>1.3837894736842105</v>
          </cell>
        </row>
        <row r="648">
          <cell r="O648">
            <v>0.49586349534643226</v>
          </cell>
        </row>
        <row r="649">
          <cell r="O649">
            <v>0.21145799806887672</v>
          </cell>
        </row>
        <row r="650">
          <cell r="O650">
            <v>0</v>
          </cell>
        </row>
        <row r="651">
          <cell r="O651">
            <v>-0.27313883299798791</v>
          </cell>
        </row>
        <row r="652">
          <cell r="O652">
            <v>-0.18248847926267281</v>
          </cell>
        </row>
        <row r="653">
          <cell r="O653">
            <v>-6.3877534663781363E-2</v>
          </cell>
        </row>
        <row r="654">
          <cell r="O654">
            <v>-0.70802276188186264</v>
          </cell>
        </row>
        <row r="655">
          <cell r="O655">
            <v>-0.38559015206372194</v>
          </cell>
        </row>
        <row r="656">
          <cell r="O656">
            <v>0.15361077111383109</v>
          </cell>
        </row>
        <row r="657">
          <cell r="O657">
            <v>6.0786106032906767E-2</v>
          </cell>
        </row>
        <row r="658">
          <cell r="O658">
            <v>4.0780141843971635E-2</v>
          </cell>
        </row>
        <row r="659">
          <cell r="O659">
            <v>-0.33671307506053266</v>
          </cell>
        </row>
        <row r="660">
          <cell r="O660">
            <v>-0.19822654462242562</v>
          </cell>
        </row>
        <row r="661">
          <cell r="O661" t="str">
            <v>Not on 15/16 prices Unadjusted</v>
          </cell>
        </row>
        <row r="662">
          <cell r="O662" t="str">
            <v>Not on 15/16 prices Unadjusted</v>
          </cell>
        </row>
        <row r="663">
          <cell r="O663">
            <v>-0.54603823143148988</v>
          </cell>
        </row>
        <row r="664">
          <cell r="O664">
            <v>-0.24108878807517822</v>
          </cell>
        </row>
        <row r="665">
          <cell r="O665">
            <v>-0.2029194970371441</v>
          </cell>
        </row>
        <row r="666">
          <cell r="O666">
            <v>-0.13118916631400762</v>
          </cell>
        </row>
        <row r="667">
          <cell r="O667">
            <v>-0.22319262493934983</v>
          </cell>
        </row>
        <row r="668">
          <cell r="O668">
            <v>-9.0909090909090912E-2</v>
          </cell>
        </row>
        <row r="669">
          <cell r="O669">
            <v>-0.13407821229050279</v>
          </cell>
        </row>
        <row r="670">
          <cell r="O670">
            <v>-0.19049016730261226</v>
          </cell>
        </row>
        <row r="671">
          <cell r="O671">
            <v>-0.14487179487179488</v>
          </cell>
        </row>
        <row r="672">
          <cell r="O672">
            <v>-0.1544461778471139</v>
          </cell>
        </row>
        <row r="673">
          <cell r="O673">
            <v>-0.15878194671016857</v>
          </cell>
        </row>
        <row r="674">
          <cell r="O674">
            <v>-0.29889879391714735</v>
          </cell>
        </row>
        <row r="675">
          <cell r="O675">
            <v>-0.13569321533923304</v>
          </cell>
        </row>
        <row r="676">
          <cell r="O676">
            <v>-0.20094562647754138</v>
          </cell>
        </row>
        <row r="677">
          <cell r="O677">
            <v>-0.16600000000000001</v>
          </cell>
        </row>
        <row r="678">
          <cell r="O678">
            <v>-0.1982793936911102</v>
          </cell>
        </row>
        <row r="679">
          <cell r="O679">
            <v>-0.4533106960950764</v>
          </cell>
        </row>
        <row r="680">
          <cell r="O680">
            <v>-0.22083333333333333</v>
          </cell>
        </row>
        <row r="681">
          <cell r="O681">
            <v>-7.407407407407407E-2</v>
          </cell>
        </row>
        <row r="682">
          <cell r="O682">
            <v>-0.34059609455292911</v>
          </cell>
        </row>
        <row r="683">
          <cell r="O683">
            <v>-0.28169913765570104</v>
          </cell>
        </row>
        <row r="684">
          <cell r="O684">
            <v>2.8502415458937197E-2</v>
          </cell>
        </row>
        <row r="685">
          <cell r="O685">
            <v>-0.10068302555021502</v>
          </cell>
        </row>
        <row r="686">
          <cell r="O686">
            <v>-0.21631736526946108</v>
          </cell>
        </row>
        <row r="687">
          <cell r="O687">
            <v>-0.12696276357110811</v>
          </cell>
        </row>
        <row r="688">
          <cell r="O688">
            <v>-0.44857943177270909</v>
          </cell>
        </row>
        <row r="689">
          <cell r="O689">
            <v>-0.2653537790923951</v>
          </cell>
        </row>
        <row r="690">
          <cell r="O690">
            <v>0.22228391634277253</v>
          </cell>
        </row>
        <row r="691">
          <cell r="O691">
            <v>-2.7741481555935268E-2</v>
          </cell>
        </row>
        <row r="692">
          <cell r="O692">
            <v>2.4066852367688022E-2</v>
          </cell>
        </row>
        <row r="693">
          <cell r="O693">
            <v>-0.36692506459948321</v>
          </cell>
        </row>
        <row r="694">
          <cell r="O694">
            <v>-0.32669809673476513</v>
          </cell>
        </row>
        <row r="695">
          <cell r="O695" t="str">
            <v>Not on 15/16 prices Unadjusted</v>
          </cell>
        </row>
        <row r="696">
          <cell r="O696" t="str">
            <v>Not on 15/16 prices Unadjusted</v>
          </cell>
        </row>
        <row r="697">
          <cell r="O697" t="str">
            <v>Not on 15/16 prices Unadjusted</v>
          </cell>
        </row>
        <row r="698">
          <cell r="O698" t="str">
            <v>Not on 15/16 prices Unadjusted</v>
          </cell>
        </row>
        <row r="699">
          <cell r="O699" t="str">
            <v>Not on 15/16 prices Unadjusted</v>
          </cell>
        </row>
        <row r="700">
          <cell r="O700" t="str">
            <v>Not on 15/16 prices Unadjusted</v>
          </cell>
        </row>
        <row r="701">
          <cell r="O701" t="str">
            <v>Not on 15/16 prices Unadjusted</v>
          </cell>
        </row>
        <row r="702">
          <cell r="O702" t="str">
            <v>Not on 15/16 prices Unadjusted</v>
          </cell>
        </row>
        <row r="703">
          <cell r="O703" t="str">
            <v>Not on 15/16 prices Unadjusted</v>
          </cell>
        </row>
        <row r="704">
          <cell r="O704" t="str">
            <v>Not on 15/16 prices Unadjusted</v>
          </cell>
        </row>
        <row r="705">
          <cell r="O705" t="str">
            <v>Not on 15/16 prices Unadjusted</v>
          </cell>
        </row>
        <row r="706">
          <cell r="O706" t="str">
            <v>Not on 15/16 prices Unadjusted</v>
          </cell>
        </row>
        <row r="707">
          <cell r="O707" t="str">
            <v>Not on 15/16 prices Unadjusted</v>
          </cell>
        </row>
        <row r="708">
          <cell r="O708" t="str">
            <v>Not on 15/16 prices Unadjusted</v>
          </cell>
        </row>
        <row r="709">
          <cell r="O709" t="str">
            <v>Not on 15/16 prices Unadjusted</v>
          </cell>
        </row>
        <row r="710">
          <cell r="O710">
            <v>-0.11481129083412622</v>
          </cell>
        </row>
        <row r="711">
          <cell r="O711">
            <v>-0.20555284948855335</v>
          </cell>
        </row>
        <row r="712">
          <cell r="O712">
            <v>-0.29979253112033194</v>
          </cell>
        </row>
        <row r="713">
          <cell r="O713">
            <v>-7.9497907949790794E-2</v>
          </cell>
        </row>
        <row r="714">
          <cell r="O714">
            <v>6.3371356147021544E-3</v>
          </cell>
        </row>
        <row r="715">
          <cell r="O715" t="str">
            <v>Not on 15/16 prices Unadjusted</v>
          </cell>
        </row>
        <row r="716">
          <cell r="O716" t="str">
            <v>Not on 15/16 prices Unadjusted</v>
          </cell>
        </row>
        <row r="717">
          <cell r="O717" t="str">
            <v>Not on 15/16 prices Unadjusted</v>
          </cell>
        </row>
        <row r="718">
          <cell r="O718" t="str">
            <v>Not on 15/16 prices Unadjusted</v>
          </cell>
        </row>
        <row r="719">
          <cell r="O719" t="str">
            <v>Not on 15/16 prices Unadjusted</v>
          </cell>
        </row>
        <row r="720">
          <cell r="O720">
            <v>-0.13883133029423952</v>
          </cell>
        </row>
        <row r="721">
          <cell r="O721">
            <v>-0.12853425845620123</v>
          </cell>
        </row>
        <row r="722">
          <cell r="O722">
            <v>-0.20402157920549288</v>
          </cell>
        </row>
        <row r="723">
          <cell r="O723">
            <v>-0.30039668229354488</v>
          </cell>
        </row>
        <row r="724">
          <cell r="O724">
            <v>-0.25155612792444731</v>
          </cell>
        </row>
        <row r="725">
          <cell r="O725">
            <v>-0.33693101830126704</v>
          </cell>
        </row>
        <row r="726">
          <cell r="O726">
            <v>-0.15138816134101624</v>
          </cell>
        </row>
        <row r="727">
          <cell r="O727">
            <v>-0.19372630127542226</v>
          </cell>
        </row>
        <row r="728">
          <cell r="O728">
            <v>-0.12346401404330018</v>
          </cell>
        </row>
        <row r="729">
          <cell r="O729">
            <v>-0.28492815652705594</v>
          </cell>
        </row>
        <row r="730">
          <cell r="O730">
            <v>-0.14203821656050955</v>
          </cell>
        </row>
        <row r="731">
          <cell r="O731">
            <v>-4.965089216446858E-2</v>
          </cell>
        </row>
        <row r="732">
          <cell r="O732">
            <v>4.5506257110352671E-3</v>
          </cell>
        </row>
        <row r="733">
          <cell r="O733">
            <v>-7.3081607795371494E-3</v>
          </cell>
        </row>
        <row r="734">
          <cell r="O734">
            <v>1.2180267965895249E-2</v>
          </cell>
        </row>
        <row r="735">
          <cell r="O735">
            <v>-7.2115384615384609E-2</v>
          </cell>
        </row>
        <row r="736">
          <cell r="O736">
            <v>-5.673076923076923E-2</v>
          </cell>
        </row>
        <row r="737">
          <cell r="O737">
            <v>5.3846153846153849E-2</v>
          </cell>
        </row>
        <row r="738">
          <cell r="O738">
            <v>0.10740203193033382</v>
          </cell>
        </row>
        <row r="739">
          <cell r="O739">
            <v>-0.51428571428571423</v>
          </cell>
        </row>
        <row r="740">
          <cell r="O740">
            <v>6.6202090592334492E-2</v>
          </cell>
        </row>
        <row r="741">
          <cell r="O741">
            <v>-4.4585987261146494E-2</v>
          </cell>
        </row>
        <row r="742">
          <cell r="O742">
            <v>0.3949579831932773</v>
          </cell>
        </row>
        <row r="743">
          <cell r="O743">
            <v>5.1229508196721313E-2</v>
          </cell>
        </row>
        <row r="744">
          <cell r="O744">
            <v>3.565891472868217E-2</v>
          </cell>
        </row>
        <row r="745">
          <cell r="O745">
            <v>-6.0728744939271252E-2</v>
          </cell>
        </row>
        <row r="746">
          <cell r="O746">
            <v>-8.2750582750582752E-2</v>
          </cell>
        </row>
        <row r="747">
          <cell r="O747">
            <v>-6.7829457364341081E-2</v>
          </cell>
        </row>
        <row r="748">
          <cell r="O748">
            <v>0.19668737060041408</v>
          </cell>
        </row>
        <row r="749">
          <cell r="O749">
            <v>9.7421203438395415E-2</v>
          </cell>
        </row>
        <row r="750">
          <cell r="O750">
            <v>-1</v>
          </cell>
        </row>
        <row r="751">
          <cell r="O751">
            <v>1.8530020703933747</v>
          </cell>
        </row>
        <row r="752">
          <cell r="O752">
            <v>-9.8790322580645157E-2</v>
          </cell>
        </row>
        <row r="753">
          <cell r="O753" t="str">
            <v>Not on 15/16 prices Unadjusted</v>
          </cell>
        </row>
        <row r="754">
          <cell r="O754" t="str">
            <v>Not on 15/16 prices Unadjusted</v>
          </cell>
        </row>
        <row r="755">
          <cell r="O755">
            <v>-0.15393283750281722</v>
          </cell>
        </row>
        <row r="756">
          <cell r="O756">
            <v>-0.10296352583586627</v>
          </cell>
        </row>
        <row r="757">
          <cell r="O757">
            <v>-0.32994493858534518</v>
          </cell>
        </row>
        <row r="758">
          <cell r="O758">
            <v>-5.4022988505747126E-2</v>
          </cell>
        </row>
        <row r="759">
          <cell r="O759">
            <v>0.18424396442185514</v>
          </cell>
        </row>
        <row r="760">
          <cell r="O760">
            <v>0.1592545531554426</v>
          </cell>
        </row>
        <row r="761">
          <cell r="O761">
            <v>-0.19974185221039045</v>
          </cell>
        </row>
        <row r="762">
          <cell r="O762">
            <v>0.12144504227517294</v>
          </cell>
        </row>
        <row r="763">
          <cell r="O763">
            <v>0.11305361305361306</v>
          </cell>
        </row>
        <row r="764">
          <cell r="O764">
            <v>-0.2528473804100228</v>
          </cell>
        </row>
        <row r="765">
          <cell r="O765">
            <v>5.8540497193263832E-2</v>
          </cell>
        </row>
        <row r="766">
          <cell r="O766">
            <v>0.10294117647058823</v>
          </cell>
        </row>
        <row r="767">
          <cell r="O767">
            <v>-0.23433242506811988</v>
          </cell>
        </row>
        <row r="768">
          <cell r="O768">
            <v>-0.10105757931844889</v>
          </cell>
        </row>
        <row r="769">
          <cell r="O769">
            <v>-0.16443594646271512</v>
          </cell>
        </row>
        <row r="770">
          <cell r="O770">
            <v>-0.15221987315010571</v>
          </cell>
        </row>
        <row r="771">
          <cell r="O771">
            <v>-0.17850953206239167</v>
          </cell>
        </row>
        <row r="772">
          <cell r="O772">
            <v>-0.47695605573419081</v>
          </cell>
        </row>
        <row r="773">
          <cell r="O773">
            <v>0.21672167216721672</v>
          </cell>
        </row>
        <row r="774">
          <cell r="O774">
            <v>-0.44954270655712292</v>
          </cell>
        </row>
        <row r="775">
          <cell r="O775">
            <v>-4.0887040887040885E-2</v>
          </cell>
        </row>
        <row r="776">
          <cell r="O776">
            <v>-0.40960912052117265</v>
          </cell>
        </row>
        <row r="777">
          <cell r="O777">
            <v>-0.21278538812785389</v>
          </cell>
        </row>
        <row r="778">
          <cell r="O778">
            <v>-0.25543478260869568</v>
          </cell>
        </row>
        <row r="779">
          <cell r="O779">
            <v>-1.8805829807240243E-3</v>
          </cell>
        </row>
        <row r="780">
          <cell r="O780">
            <v>-9.2238470191226093E-2</v>
          </cell>
        </row>
        <row r="781">
          <cell r="O781">
            <v>-7.9679044597872742E-2</v>
          </cell>
        </row>
        <row r="782">
          <cell r="O782">
            <v>-7.0256625999158606E-2</v>
          </cell>
        </row>
        <row r="783">
          <cell r="O783">
            <v>-0.37677183356195704</v>
          </cell>
        </row>
        <row r="784">
          <cell r="O784">
            <v>-0.15760441292356187</v>
          </cell>
        </row>
        <row r="785">
          <cell r="O785">
            <v>-0.28036790358388836</v>
          </cell>
        </row>
        <row r="786">
          <cell r="O786">
            <v>-0.30574826560951435</v>
          </cell>
        </row>
        <row r="787">
          <cell r="O787">
            <v>-0.24061433447098976</v>
          </cell>
        </row>
        <row r="788">
          <cell r="O788">
            <v>-0.25746102449888641</v>
          </cell>
        </row>
        <row r="789">
          <cell r="O789">
            <v>-0.10648518815052041</v>
          </cell>
        </row>
        <row r="790">
          <cell r="O790">
            <v>6.41025641025641E-3</v>
          </cell>
        </row>
        <row r="791">
          <cell r="O791">
            <v>-0.29077849860982391</v>
          </cell>
        </row>
        <row r="792">
          <cell r="O792">
            <v>-0.17694155324259409</v>
          </cell>
        </row>
        <row r="793">
          <cell r="O793">
            <v>-0.18113612004287247</v>
          </cell>
        </row>
        <row r="794">
          <cell r="O794">
            <v>-0.38892251815980627</v>
          </cell>
        </row>
        <row r="795">
          <cell r="O795">
            <v>-0.18910741301059</v>
          </cell>
        </row>
        <row r="796">
          <cell r="O796">
            <v>-0.22311111111111112</v>
          </cell>
        </row>
        <row r="797">
          <cell r="O797">
            <v>-7.5288855758479309E-2</v>
          </cell>
        </row>
        <row r="798">
          <cell r="O798">
            <v>-8.3391243919388458E-3</v>
          </cell>
        </row>
        <row r="799">
          <cell r="O799">
            <v>-0.13412228796844181</v>
          </cell>
        </row>
        <row r="800">
          <cell r="O800">
            <v>-0.21564307353346185</v>
          </cell>
        </row>
        <row r="801">
          <cell r="O801">
            <v>-0.19618781961878196</v>
          </cell>
        </row>
        <row r="802">
          <cell r="O802">
            <v>-0.11880466472303207</v>
          </cell>
        </row>
        <row r="803">
          <cell r="O803">
            <v>3.6585365853658534E-2</v>
          </cell>
        </row>
        <row r="804">
          <cell r="O804">
            <v>-8.4548104956268216E-2</v>
          </cell>
        </row>
        <row r="805">
          <cell r="O805">
            <v>-8.6507072905331883E-2</v>
          </cell>
        </row>
        <row r="806">
          <cell r="O806">
            <v>-0.30025104602510461</v>
          </cell>
        </row>
        <row r="807">
          <cell r="O807">
            <v>-0.35408103347034647</v>
          </cell>
        </row>
        <row r="808">
          <cell r="O808">
            <v>-0.26153011394465547</v>
          </cell>
        </row>
        <row r="809">
          <cell r="O809">
            <v>-0.17691622103386809</v>
          </cell>
        </row>
        <row r="810">
          <cell r="O810">
            <v>-0.29255189255189257</v>
          </cell>
        </row>
        <row r="811">
          <cell r="O811">
            <v>-0.12060889929742388</v>
          </cell>
        </row>
        <row r="812">
          <cell r="O812">
            <v>-0.28163580246913578</v>
          </cell>
        </row>
        <row r="813">
          <cell r="O813" t="e">
            <v>#DIV/0!</v>
          </cell>
        </row>
        <row r="814">
          <cell r="O814">
            <v>-5.6451612903225805E-2</v>
          </cell>
        </row>
        <row r="815">
          <cell r="O815">
            <v>-0.32743362831858408</v>
          </cell>
        </row>
        <row r="816">
          <cell r="O816">
            <v>-9.2142453363482188E-2</v>
          </cell>
        </row>
        <row r="817">
          <cell r="O817">
            <v>-6.616541353383458E-2</v>
          </cell>
        </row>
        <row r="818">
          <cell r="O818">
            <v>8.8105726872246704E-3</v>
          </cell>
        </row>
        <row r="819">
          <cell r="O819">
            <v>-0.24540930152737259</v>
          </cell>
        </row>
        <row r="820">
          <cell r="O820">
            <v>-0.15247595297470609</v>
          </cell>
        </row>
        <row r="821">
          <cell r="O821" t="str">
            <v>Not on 15/16 prices Unadjusted</v>
          </cell>
        </row>
        <row r="822">
          <cell r="O822" t="str">
            <v>Not on 15/16 prices Unadjusted</v>
          </cell>
        </row>
        <row r="823">
          <cell r="O823" t="str">
            <v>Not on 15/16 prices Unadjusted</v>
          </cell>
        </row>
        <row r="824">
          <cell r="O824" t="str">
            <v>Not on 15/16 prices Unadjusted</v>
          </cell>
        </row>
        <row r="825">
          <cell r="O825" t="str">
            <v>Not on 15/16 prices Unadjusted</v>
          </cell>
        </row>
        <row r="826">
          <cell r="O826" t="str">
            <v>Not on 15/16 prices Unadjusted</v>
          </cell>
        </row>
        <row r="827">
          <cell r="O827" t="str">
            <v>Not on 15/16 prices Unadjusted</v>
          </cell>
        </row>
        <row r="828">
          <cell r="O828">
            <v>-0.34095821325648418</v>
          </cell>
        </row>
        <row r="829">
          <cell r="O829">
            <v>-0.34357344632768361</v>
          </cell>
        </row>
        <row r="830">
          <cell r="O830">
            <v>-0.19717480871100648</v>
          </cell>
        </row>
        <row r="831">
          <cell r="O831">
            <v>-0.21150885296381833</v>
          </cell>
        </row>
        <row r="832">
          <cell r="O832">
            <v>-0.15188970763014023</v>
          </cell>
        </row>
        <row r="833">
          <cell r="O833">
            <v>-0.24325309992706054</v>
          </cell>
        </row>
        <row r="834">
          <cell r="O834">
            <v>-0.21357702349869451</v>
          </cell>
        </row>
        <row r="835">
          <cell r="O835">
            <v>-2.7303754266211604E-2</v>
          </cell>
        </row>
        <row r="836">
          <cell r="O836" t="str">
            <v>Not on 15/16 prices Unadjusted</v>
          </cell>
        </row>
        <row r="837">
          <cell r="O837" t="str">
            <v>Not on 15/16 prices Unadjusted</v>
          </cell>
        </row>
        <row r="838">
          <cell r="O838" t="str">
            <v>Not on 15/16 prices Unadjusted</v>
          </cell>
        </row>
        <row r="839">
          <cell r="O839" t="str">
            <v>Not on 15/16 prices Unadjusted</v>
          </cell>
        </row>
        <row r="840">
          <cell r="O840" t="str">
            <v>Not on 15/16 prices Unadjusted</v>
          </cell>
        </row>
        <row r="841">
          <cell r="O841" t="str">
            <v>Not on 15/16 prices Unadjusted</v>
          </cell>
        </row>
        <row r="842">
          <cell r="O842" t="str">
            <v>Not on 15/16 prices Unadjusted</v>
          </cell>
        </row>
        <row r="843">
          <cell r="O843">
            <v>-0.2080436941410129</v>
          </cell>
        </row>
        <row r="844">
          <cell r="O844">
            <v>-0.16992452099864525</v>
          </cell>
        </row>
        <row r="845">
          <cell r="O845">
            <v>-0.13667582417582416</v>
          </cell>
        </row>
        <row r="846">
          <cell r="O846" t="str">
            <v>Not on 15/16 prices Unadjusted</v>
          </cell>
        </row>
        <row r="847">
          <cell r="O847" t="str">
            <v>Not on 15/16 prices Unadjusted</v>
          </cell>
        </row>
        <row r="848">
          <cell r="O848">
            <v>0.38135593220338981</v>
          </cell>
        </row>
        <row r="849">
          <cell r="O849">
            <v>-2.8735632183908046E-2</v>
          </cell>
        </row>
        <row r="850">
          <cell r="O850">
            <v>-0.38408999598232224</v>
          </cell>
        </row>
        <row r="851">
          <cell r="O851">
            <v>0.1998069498069498</v>
          </cell>
        </row>
        <row r="852">
          <cell r="O852">
            <v>0.33388157894736842</v>
          </cell>
        </row>
        <row r="853">
          <cell r="O853">
            <v>-0.22298221614227087</v>
          </cell>
        </row>
        <row r="854">
          <cell r="O854">
            <v>-2.8985507246376812E-2</v>
          </cell>
        </row>
        <row r="855">
          <cell r="O855">
            <v>-0.29255319148936171</v>
          </cell>
        </row>
        <row r="856">
          <cell r="O856">
            <v>-0.14466019417475728</v>
          </cell>
        </row>
        <row r="857">
          <cell r="O857">
            <v>-0.1321996708721887</v>
          </cell>
        </row>
        <row r="858">
          <cell r="O858">
            <v>-6.1197916666666664E-2</v>
          </cell>
        </row>
        <row r="859">
          <cell r="O859">
            <v>-0.29365311494589064</v>
          </cell>
        </row>
        <row r="860">
          <cell r="O860">
            <v>-0.30903674280039722</v>
          </cell>
        </row>
        <row r="861">
          <cell r="O861">
            <v>-0.1367624810892587</v>
          </cell>
        </row>
        <row r="862">
          <cell r="O862">
            <v>-0.17472294270219288</v>
          </cell>
        </row>
        <row r="863">
          <cell r="O863">
            <v>3.0559646539027981E-2</v>
          </cell>
        </row>
        <row r="864">
          <cell r="O864">
            <v>-0.20488516223113379</v>
          </cell>
        </row>
        <row r="865">
          <cell r="O865">
            <v>0.12840466926070038</v>
          </cell>
        </row>
        <row r="866">
          <cell r="O866">
            <v>-0.16121883656509695</v>
          </cell>
        </row>
        <row r="867">
          <cell r="O867">
            <v>-5.5672268907563029E-2</v>
          </cell>
        </row>
        <row r="868">
          <cell r="O868">
            <v>-0.37991004497751124</v>
          </cell>
        </row>
        <row r="869">
          <cell r="O869" t="str">
            <v>Not on 15/16 prices Unadjusted</v>
          </cell>
        </row>
        <row r="870">
          <cell r="O870">
            <v>-0.44034978138663333</v>
          </cell>
        </row>
        <row r="871">
          <cell r="O871">
            <v>-4.0803515379786569E-2</v>
          </cell>
        </row>
        <row r="872">
          <cell r="O872">
            <v>-0.13874788494077833</v>
          </cell>
        </row>
        <row r="873">
          <cell r="O873">
            <v>-0.56263577118030417</v>
          </cell>
        </row>
        <row r="874">
          <cell r="O874">
            <v>-0.14754098360655737</v>
          </cell>
        </row>
        <row r="875">
          <cell r="O875">
            <v>-0.42995169082125606</v>
          </cell>
        </row>
        <row r="876">
          <cell r="O876">
            <v>-0.32989690721649484</v>
          </cell>
        </row>
        <row r="877">
          <cell r="O877">
            <v>-6.0178306092124816E-2</v>
          </cell>
        </row>
        <row r="878">
          <cell r="O878">
            <v>-0.51151442513483436</v>
          </cell>
        </row>
        <row r="879">
          <cell r="O879">
            <v>-0.1922056723117731</v>
          </cell>
        </row>
        <row r="880">
          <cell r="O880">
            <v>0.65164433617539586</v>
          </cell>
        </row>
        <row r="881">
          <cell r="O881">
            <v>0.18813905930470348</v>
          </cell>
        </row>
        <row r="882">
          <cell r="O882" t="str">
            <v>Not on 15/16 prices Unadjusted</v>
          </cell>
        </row>
        <row r="883">
          <cell r="O883">
            <v>9.3514328808446456E-2</v>
          </cell>
        </row>
        <row r="884">
          <cell r="O884">
            <v>-0.24652665589660744</v>
          </cell>
        </row>
        <row r="885">
          <cell r="O885">
            <v>-0.2902307935504268</v>
          </cell>
        </row>
        <row r="886">
          <cell r="O886">
            <v>0.57747223691168692</v>
          </cell>
        </row>
        <row r="887">
          <cell r="O887">
            <v>-6.4531899291126862E-2</v>
          </cell>
        </row>
        <row r="888">
          <cell r="O888">
            <v>-2.9900332225913623E-2</v>
          </cell>
        </row>
        <row r="889">
          <cell r="O889">
            <v>-0.35588592233009708</v>
          </cell>
        </row>
        <row r="890">
          <cell r="O890" t="str">
            <v>Not on 15/16 prices Unadjusted</v>
          </cell>
        </row>
        <row r="891">
          <cell r="O891">
            <v>0.1468459152016546</v>
          </cell>
        </row>
        <row r="892">
          <cell r="O892" t="str">
            <v>Not on 15/16 prices Unadjusted</v>
          </cell>
        </row>
        <row r="893">
          <cell r="O893">
            <v>0.21130952380952381</v>
          </cell>
        </row>
        <row r="894">
          <cell r="O894">
            <v>0.66704416761041907</v>
          </cell>
        </row>
        <row r="895">
          <cell r="O895">
            <v>3.7037037037037035E-2</v>
          </cell>
        </row>
        <row r="896">
          <cell r="O896" t="str">
            <v>Not on 15/16 prices Unadjusted</v>
          </cell>
        </row>
        <row r="897">
          <cell r="O897">
            <v>-0.3778644563627499</v>
          </cell>
        </row>
        <row r="898">
          <cell r="O898">
            <v>-4.5945945945945948E-2</v>
          </cell>
        </row>
        <row r="899">
          <cell r="O899">
            <v>-0.10288335517693316</v>
          </cell>
        </row>
        <row r="900">
          <cell r="O900">
            <v>-5.5944055944055944E-2</v>
          </cell>
        </row>
        <row r="901">
          <cell r="O901">
            <v>-0.35426377844803947</v>
          </cell>
        </row>
        <row r="902">
          <cell r="O902">
            <v>-0.23686016193220805</v>
          </cell>
        </row>
        <row r="903">
          <cell r="O903">
            <v>0.62745098039215685</v>
          </cell>
        </row>
        <row r="904">
          <cell r="O904">
            <v>-0.29038854805725972</v>
          </cell>
        </row>
        <row r="905">
          <cell r="O905">
            <v>-0.18771526980482203</v>
          </cell>
        </row>
        <row r="906">
          <cell r="O906">
            <v>-0.18515429524603835</v>
          </cell>
        </row>
        <row r="907">
          <cell r="O907">
            <v>-8.5046066619418846E-3</v>
          </cell>
        </row>
        <row r="908">
          <cell r="O908">
            <v>-0.5095099264195474</v>
          </cell>
        </row>
        <row r="909">
          <cell r="O909">
            <v>-0.45297029702970298</v>
          </cell>
        </row>
        <row r="910">
          <cell r="O910">
            <v>-0.32668566001899335</v>
          </cell>
        </row>
        <row r="911">
          <cell r="O911">
            <v>-0.31941747572815532</v>
          </cell>
        </row>
        <row r="912">
          <cell r="O912">
            <v>0.11545538178472861</v>
          </cell>
        </row>
        <row r="913">
          <cell r="O913">
            <v>-4.5984058859595341E-2</v>
          </cell>
        </row>
        <row r="914">
          <cell r="O914">
            <v>4.7184773988897699E-2</v>
          </cell>
        </row>
        <row r="915">
          <cell r="O915">
            <v>-8.6299892125134836E-3</v>
          </cell>
        </row>
        <row r="916">
          <cell r="O916">
            <v>-4.3726235741444866E-2</v>
          </cell>
        </row>
        <row r="917">
          <cell r="O917">
            <v>-1.5884476534296029E-2</v>
          </cell>
        </row>
        <row r="918">
          <cell r="O918">
            <v>1.3824884792626729E-2</v>
          </cell>
        </row>
        <row r="919">
          <cell r="O919">
            <v>5.2854122621564484E-2</v>
          </cell>
        </row>
        <row r="920">
          <cell r="O920">
            <v>3.1847133757961785E-3</v>
          </cell>
        </row>
        <row r="921">
          <cell r="O921">
            <v>2.1428571428571429E-2</v>
          </cell>
        </row>
        <row r="922">
          <cell r="O922">
            <v>2.8382213812677391E-2</v>
          </cell>
        </row>
        <row r="923">
          <cell r="O923">
            <v>-5.2287581699346407E-2</v>
          </cell>
        </row>
        <row r="924">
          <cell r="O924">
            <v>-4.1708043694141016E-2</v>
          </cell>
        </row>
        <row r="925">
          <cell r="O925">
            <v>-2.9213483146067417E-2</v>
          </cell>
        </row>
        <row r="926">
          <cell r="O926">
            <v>-0.23900573613766729</v>
          </cell>
        </row>
        <row r="927">
          <cell r="O927">
            <v>-0.11596385542168675</v>
          </cell>
        </row>
        <row r="928">
          <cell r="O928">
            <v>-0.26371826371826373</v>
          </cell>
        </row>
        <row r="929">
          <cell r="O929">
            <v>-8.5714285714285715E-2</v>
          </cell>
        </row>
        <row r="930">
          <cell r="O930">
            <v>-0.28652643547470152</v>
          </cell>
        </row>
        <row r="931">
          <cell r="O931">
            <v>-0.25359477124183005</v>
          </cell>
        </row>
        <row r="932">
          <cell r="O932">
            <v>-5.9948979591836732E-2</v>
          </cell>
        </row>
        <row r="933">
          <cell r="O933">
            <v>-0.21807747489239598</v>
          </cell>
        </row>
        <row r="934">
          <cell r="O934">
            <v>-9.8290598290598288E-2</v>
          </cell>
        </row>
        <row r="935">
          <cell r="O935">
            <v>-0.21583804703780887</v>
          </cell>
        </row>
        <row r="936">
          <cell r="O936">
            <v>0.53343701399688959</v>
          </cell>
        </row>
        <row r="937">
          <cell r="O937">
            <v>-0.13050993949870354</v>
          </cell>
        </row>
        <row r="938">
          <cell r="O938">
            <v>-0.3951048951048951</v>
          </cell>
        </row>
        <row r="939">
          <cell r="O939">
            <v>8.8967971530249119E-3</v>
          </cell>
        </row>
        <row r="940">
          <cell r="O940" t="str">
            <v>Not on both list</v>
          </cell>
        </row>
        <row r="941">
          <cell r="O941" t="str">
            <v>Not on both list</v>
          </cell>
        </row>
        <row r="942">
          <cell r="O942" t="str">
            <v>Not on both list</v>
          </cell>
        </row>
        <row r="943">
          <cell r="O943" t="str">
            <v>Not on both list</v>
          </cell>
        </row>
        <row r="944">
          <cell r="O944" t="str">
            <v>Not on both list</v>
          </cell>
        </row>
        <row r="945">
          <cell r="O945" t="str">
            <v>Not on both list</v>
          </cell>
        </row>
        <row r="946">
          <cell r="O946" t="str">
            <v>Not on both list</v>
          </cell>
        </row>
        <row r="947">
          <cell r="O947" t="str">
            <v>Not on both list</v>
          </cell>
        </row>
        <row r="948">
          <cell r="O948" t="str">
            <v>Not on both list</v>
          </cell>
        </row>
        <row r="949">
          <cell r="O949" t="str">
            <v>Not on both list</v>
          </cell>
        </row>
        <row r="950">
          <cell r="O950" t="str">
            <v>Not on Published Price list 13/14 (A)</v>
          </cell>
        </row>
        <row r="951">
          <cell r="O951">
            <v>-0.44099953725127256</v>
          </cell>
        </row>
        <row r="952">
          <cell r="O952">
            <v>-0.29045362220717669</v>
          </cell>
        </row>
        <row r="953">
          <cell r="O953">
            <v>-0.27024525682554373</v>
          </cell>
        </row>
        <row r="954">
          <cell r="O954">
            <v>-0.15233581584292485</v>
          </cell>
        </row>
        <row r="955">
          <cell r="O955">
            <v>-0.11892642295233688</v>
          </cell>
        </row>
        <row r="956">
          <cell r="O956">
            <v>-4.4685172647257958E-2</v>
          </cell>
        </row>
        <row r="957">
          <cell r="O957">
            <v>-0.2003701989819528</v>
          </cell>
        </row>
        <row r="958">
          <cell r="O958">
            <v>-0.24710782045349375</v>
          </cell>
        </row>
        <row r="959">
          <cell r="O959">
            <v>-9.1401489505754913E-2</v>
          </cell>
        </row>
        <row r="960">
          <cell r="O960">
            <v>-0.16196205460434984</v>
          </cell>
        </row>
        <row r="961">
          <cell r="O961">
            <v>3.7914691943127965E-2</v>
          </cell>
        </row>
        <row r="962">
          <cell r="O962">
            <v>0.1092086996760759</v>
          </cell>
        </row>
        <row r="963">
          <cell r="O963">
            <v>0.2992552471225457</v>
          </cell>
        </row>
        <row r="964">
          <cell r="O964">
            <v>-1.8509949097639981E-2</v>
          </cell>
        </row>
        <row r="965">
          <cell r="O965">
            <v>-1</v>
          </cell>
        </row>
        <row r="966">
          <cell r="O966">
            <v>-1</v>
          </cell>
        </row>
        <row r="967">
          <cell r="O967">
            <v>-0.99953725127255899</v>
          </cell>
        </row>
        <row r="968">
          <cell r="O968">
            <v>-1</v>
          </cell>
        </row>
        <row r="969">
          <cell r="O969">
            <v>0.90652475705691804</v>
          </cell>
        </row>
        <row r="970">
          <cell r="O970">
            <v>0.85651322233104799</v>
          </cell>
        </row>
        <row r="971">
          <cell r="O971">
            <v>3.4059945504087197E-2</v>
          </cell>
        </row>
        <row r="972">
          <cell r="O972">
            <v>-3.1368821292775663E-2</v>
          </cell>
        </row>
        <row r="973">
          <cell r="O973">
            <v>-1.1396011396011397E-2</v>
          </cell>
        </row>
        <row r="974">
          <cell r="O974">
            <v>0.17840375586854459</v>
          </cell>
        </row>
        <row r="975">
          <cell r="O975">
            <v>-5.565217391304348E-2</v>
          </cell>
        </row>
        <row r="976">
          <cell r="O976">
            <v>-0.12837837837837837</v>
          </cell>
        </row>
        <row r="977">
          <cell r="O977">
            <v>0</v>
          </cell>
        </row>
        <row r="978">
          <cell r="O978">
            <v>0.82461945731303776</v>
          </cell>
        </row>
        <row r="979">
          <cell r="O979">
            <v>9.4786729857819912E-3</v>
          </cell>
        </row>
        <row r="980">
          <cell r="O980">
            <v>-3.6290322580645164E-2</v>
          </cell>
        </row>
        <row r="981">
          <cell r="O981">
            <v>1.5131450827653359</v>
          </cell>
        </row>
        <row r="982">
          <cell r="O982">
            <v>-0.19708029197080293</v>
          </cell>
        </row>
        <row r="983">
          <cell r="O983">
            <v>-4.8625792811839326E-2</v>
          </cell>
        </row>
        <row r="984">
          <cell r="O984">
            <v>3.4795763993948563E-2</v>
          </cell>
        </row>
        <row r="985">
          <cell r="O985">
            <v>0.43707482993197277</v>
          </cell>
        </row>
        <row r="986">
          <cell r="O986">
            <v>9.5238095238095233E-2</v>
          </cell>
        </row>
        <row r="987">
          <cell r="O987">
            <v>-9.713024282560706E-2</v>
          </cell>
        </row>
        <row r="988">
          <cell r="O988">
            <v>-7.1266968325791852E-2</v>
          </cell>
        </row>
        <row r="989">
          <cell r="O989">
            <v>-0.13318284424379231</v>
          </cell>
        </row>
        <row r="990">
          <cell r="O990">
            <v>-0.2976154542710534</v>
          </cell>
        </row>
        <row r="991">
          <cell r="O991">
            <v>-0.6369213608477412</v>
          </cell>
        </row>
        <row r="992">
          <cell r="O992">
            <v>0.45633187772925765</v>
          </cell>
        </row>
        <row r="993">
          <cell r="O993">
            <v>-0.17797695262483995</v>
          </cell>
        </row>
        <row r="994">
          <cell r="O994">
            <v>0.10649627263045794</v>
          </cell>
        </row>
        <row r="995">
          <cell r="O995">
            <v>-4.2884990253411304E-2</v>
          </cell>
        </row>
        <row r="996">
          <cell r="O996">
            <v>0</v>
          </cell>
        </row>
        <row r="997">
          <cell r="O997">
            <v>-3.1125299281723862E-2</v>
          </cell>
        </row>
        <row r="998">
          <cell r="O998">
            <v>5.0847457627118647E-2</v>
          </cell>
        </row>
        <row r="999">
          <cell r="O999">
            <v>-5.3264604810996562E-2</v>
          </cell>
        </row>
        <row r="1000">
          <cell r="O1000">
            <v>0.54846625766871171</v>
          </cell>
        </row>
        <row r="1001">
          <cell r="O1001">
            <v>9.8425196850393699E-3</v>
          </cell>
        </row>
        <row r="1002">
          <cell r="O1002">
            <v>-6.7873303167420816E-3</v>
          </cell>
        </row>
        <row r="1003">
          <cell r="O1003">
            <v>0.27010125074449076</v>
          </cell>
        </row>
        <row r="1004">
          <cell r="O1004">
            <v>-5.5106539309331376E-2</v>
          </cell>
        </row>
        <row r="1005">
          <cell r="O1005">
            <v>0.63532763532763536</v>
          </cell>
        </row>
        <row r="1006">
          <cell r="O1006">
            <v>0.54437609841827772</v>
          </cell>
        </row>
        <row r="1007">
          <cell r="O1007">
            <v>0.25979557069846676</v>
          </cell>
        </row>
        <row r="1008">
          <cell r="O1008">
            <v>0.50358239508700098</v>
          </cell>
        </row>
        <row r="1009">
          <cell r="O1009">
            <v>-0.21160409556313994</v>
          </cell>
        </row>
        <row r="1010">
          <cell r="O1010">
            <v>6.2827225130890049E-2</v>
          </cell>
        </row>
        <row r="1011">
          <cell r="O1011">
            <v>3.3947623666343359E-2</v>
          </cell>
        </row>
        <row r="1012">
          <cell r="O1012">
            <v>-4.0076335877862593E-2</v>
          </cell>
        </row>
        <row r="1013">
          <cell r="O1013">
            <v>-2.072538860103627E-2</v>
          </cell>
        </row>
        <row r="1014">
          <cell r="O1014">
            <v>5.1504102096627168E-2</v>
          </cell>
        </row>
        <row r="1015">
          <cell r="O1015">
            <v>-0.43379978471474706</v>
          </cell>
        </row>
        <row r="1016">
          <cell r="O1016">
            <v>1.1593927893738141</v>
          </cell>
        </row>
        <row r="1017">
          <cell r="O1017">
            <v>0.30948678071539659</v>
          </cell>
        </row>
        <row r="1018">
          <cell r="O1018">
            <v>-0.20588235294117646</v>
          </cell>
        </row>
        <row r="1019">
          <cell r="O1019">
            <v>-8.9538171536286529E-2</v>
          </cell>
        </row>
        <row r="1020">
          <cell r="O1020">
            <v>-0.27733755942947702</v>
          </cell>
        </row>
        <row r="1021">
          <cell r="O1021">
            <v>0.48086522462562398</v>
          </cell>
        </row>
        <row r="1022">
          <cell r="O1022">
            <v>-0.21717171717171718</v>
          </cell>
        </row>
        <row r="1023">
          <cell r="O1023">
            <v>0.5409990574929312</v>
          </cell>
        </row>
        <row r="1024">
          <cell r="O1024">
            <v>-3.110419906687403E-2</v>
          </cell>
        </row>
        <row r="1025">
          <cell r="O1025">
            <v>0.28041594454072788</v>
          </cell>
        </row>
        <row r="1026">
          <cell r="O1026">
            <v>8.7539432176656148E-2</v>
          </cell>
        </row>
        <row r="1027">
          <cell r="O1027">
            <v>0.12436177972283005</v>
          </cell>
        </row>
        <row r="1028">
          <cell r="O1028">
            <v>0.35691260744985676</v>
          </cell>
        </row>
        <row r="1029">
          <cell r="O1029">
            <v>0.95712584358872566</v>
          </cell>
        </row>
        <row r="1030">
          <cell r="O1030">
            <v>0.35736378777064004</v>
          </cell>
        </row>
        <row r="1031">
          <cell r="O1031">
            <v>0.20401691331923891</v>
          </cell>
        </row>
        <row r="1032">
          <cell r="O1032">
            <v>-0.1111111111111111</v>
          </cell>
        </row>
        <row r="1033">
          <cell r="O1033">
            <v>0.22681564245810057</v>
          </cell>
        </row>
        <row r="1034">
          <cell r="O1034">
            <v>0.2586705202312139</v>
          </cell>
        </row>
        <row r="1035">
          <cell r="O1035">
            <v>-5.9087989723827873E-2</v>
          </cell>
        </row>
        <row r="1036">
          <cell r="O1036">
            <v>0.22483858716293201</v>
          </cell>
        </row>
        <row r="1037">
          <cell r="O1037">
            <v>-0.30260223048327139</v>
          </cell>
        </row>
        <row r="1038">
          <cell r="O1038">
            <v>-0.20822281167108753</v>
          </cell>
        </row>
        <row r="1039">
          <cell r="O1039">
            <v>-0.27196652719665271</v>
          </cell>
        </row>
        <row r="1040">
          <cell r="O1040">
            <v>-6.4476885644768861E-2</v>
          </cell>
        </row>
        <row r="1041">
          <cell r="O1041">
            <v>-0.18090452261306533</v>
          </cell>
        </row>
        <row r="1042">
          <cell r="O1042">
            <v>-0.44436468054558509</v>
          </cell>
        </row>
        <row r="1043">
          <cell r="O1043">
            <v>1.9530201342281879</v>
          </cell>
        </row>
        <row r="1044">
          <cell r="O1044">
            <v>-0.14716981132075471</v>
          </cell>
        </row>
        <row r="1045">
          <cell r="O1045">
            <v>-3.7439613526570048E-2</v>
          </cell>
        </row>
        <row r="1046">
          <cell r="O1046">
            <v>-9.0185676392572939E-2</v>
          </cell>
        </row>
        <row r="1047">
          <cell r="O1047">
            <v>-0.38011853448275862</v>
          </cell>
        </row>
        <row r="1048">
          <cell r="O1048">
            <v>-0.32765011119347665</v>
          </cell>
        </row>
        <row r="1049">
          <cell r="O1049">
            <v>-0.27967711301044634</v>
          </cell>
        </row>
        <row r="1050">
          <cell r="O1050">
            <v>-0.38407699037620296</v>
          </cell>
        </row>
        <row r="1051">
          <cell r="O1051">
            <v>0.1560344827586207</v>
          </cell>
        </row>
        <row r="1052">
          <cell r="O1052">
            <v>-7.9505300353356886E-2</v>
          </cell>
        </row>
        <row r="1053">
          <cell r="O1053">
            <v>-0.27121888959795787</v>
          </cell>
        </row>
        <row r="1054">
          <cell r="O1054">
            <v>-0.11280101394169835</v>
          </cell>
        </row>
        <row r="1055">
          <cell r="O1055">
            <v>8.7044534412955468E-2</v>
          </cell>
        </row>
        <row r="1056">
          <cell r="O1056">
            <v>-3.6211699164345405E-2</v>
          </cell>
        </row>
        <row r="1057">
          <cell r="O1057">
            <v>-0.10069790628115653</v>
          </cell>
        </row>
        <row r="1058">
          <cell r="O1058">
            <v>-2.8409090909090908E-2</v>
          </cell>
        </row>
        <row r="1059">
          <cell r="O1059">
            <v>-5.6179775280898875E-3</v>
          </cell>
        </row>
        <row r="1060">
          <cell r="O1060">
            <v>-0.16468114926419061</v>
          </cell>
        </row>
        <row r="1061">
          <cell r="O1061">
            <v>8.356545961002786E-3</v>
          </cell>
        </row>
        <row r="1062">
          <cell r="O1062">
            <v>-4.189944134078212E-2</v>
          </cell>
        </row>
        <row r="1063">
          <cell r="O1063">
            <v>0.15133276010318142</v>
          </cell>
        </row>
        <row r="1064">
          <cell r="O1064">
            <v>4.784688995215311E-2</v>
          </cell>
        </row>
        <row r="1065">
          <cell r="O1065">
            <v>-9.1097308488612833E-2</v>
          </cell>
        </row>
        <row r="1066">
          <cell r="O1066">
            <v>4.1540020263424522E-2</v>
          </cell>
        </row>
        <row r="1067">
          <cell r="O1067">
            <v>0.33006535947712418</v>
          </cell>
        </row>
        <row r="1068">
          <cell r="O1068">
            <v>5.2208835341365459E-2</v>
          </cell>
        </row>
        <row r="1069">
          <cell r="O1069">
            <v>0.28960817717206133</v>
          </cell>
        </row>
        <row r="1070">
          <cell r="O1070">
            <v>-0.24722991689750692</v>
          </cell>
        </row>
        <row r="1071">
          <cell r="O1071">
            <v>-0.3163596966413868</v>
          </cell>
        </row>
        <row r="1072">
          <cell r="O1072" t="e">
            <v>#DIV/0!</v>
          </cell>
        </row>
        <row r="1073">
          <cell r="O1073">
            <v>-0.4869967937299608</v>
          </cell>
        </row>
        <row r="1074">
          <cell r="O1074">
            <v>-0.50443081117927746</v>
          </cell>
        </row>
        <row r="1075">
          <cell r="O1075">
            <v>-0.21245027416406839</v>
          </cell>
        </row>
        <row r="1076">
          <cell r="O1076">
            <v>-8.3333333333333329E-2</v>
          </cell>
        </row>
        <row r="1077">
          <cell r="O1077">
            <v>-0.1259713701431493</v>
          </cell>
        </row>
        <row r="1078">
          <cell r="O1078">
            <v>-0.10014727540500737</v>
          </cell>
        </row>
        <row r="1079">
          <cell r="O1079">
            <v>-2.948920484465508E-2</v>
          </cell>
        </row>
        <row r="1080">
          <cell r="O1080">
            <v>-0.22727272727272727</v>
          </cell>
        </row>
        <row r="1081">
          <cell r="O1081" t="str">
            <v>Not on 15/16 prices Unadjusted</v>
          </cell>
        </row>
        <row r="1082">
          <cell r="O1082" t="str">
            <v>Not on 15/16 prices Unadjusted</v>
          </cell>
        </row>
        <row r="1083">
          <cell r="O1083" t="str">
            <v>Not on 15/16 prices Unadjusted</v>
          </cell>
        </row>
        <row r="1084">
          <cell r="O1084" t="str">
            <v>Not on 15/16 prices Unadjusted</v>
          </cell>
        </row>
        <row r="1085">
          <cell r="O1085" t="str">
            <v>Not on 15/16 prices Unadjusted</v>
          </cell>
        </row>
        <row r="1086">
          <cell r="O1086" t="str">
            <v>Not on 15/16 prices Unadjusted</v>
          </cell>
        </row>
        <row r="1087">
          <cell r="O1087" t="str">
            <v>Not on 15/16 prices Unadjusted</v>
          </cell>
        </row>
        <row r="1088">
          <cell r="O1088" t="str">
            <v>Not on 15/16 prices Unadjusted</v>
          </cell>
        </row>
        <row r="1089">
          <cell r="O1089">
            <v>-0.21556642216788915</v>
          </cell>
        </row>
        <row r="1090">
          <cell r="O1090">
            <v>-3.8121494438634849E-2</v>
          </cell>
        </row>
        <row r="1091">
          <cell r="O1091">
            <v>1.6753738065213474E-2</v>
          </cell>
        </row>
        <row r="1092">
          <cell r="O1092">
            <v>0.11515513126491647</v>
          </cell>
        </row>
        <row r="1093">
          <cell r="O1093">
            <v>0.20226730310262531</v>
          </cell>
        </row>
        <row r="1094">
          <cell r="O1094">
            <v>-2.7204502814258912E-2</v>
          </cell>
        </row>
        <row r="1095">
          <cell r="O1095">
            <v>0.43433395872420261</v>
          </cell>
        </row>
        <row r="1096">
          <cell r="O1096">
            <v>-0.60495540138751236</v>
          </cell>
        </row>
        <row r="1097">
          <cell r="O1097">
            <v>-0.52574985851726086</v>
          </cell>
        </row>
        <row r="1098">
          <cell r="O1098">
            <v>-0.51381578947368423</v>
          </cell>
        </row>
        <row r="1099">
          <cell r="O1099">
            <v>-0.38754780114722753</v>
          </cell>
        </row>
        <row r="1100">
          <cell r="O1100">
            <v>-0.16131441374159822</v>
          </cell>
        </row>
        <row r="1101">
          <cell r="O1101">
            <v>4.2074363992172209E-2</v>
          </cell>
        </row>
        <row r="1102">
          <cell r="O1102">
            <v>-0.3982209350434423</v>
          </cell>
        </row>
        <row r="1103">
          <cell r="O1103">
            <v>-0.11883956658511011</v>
          </cell>
        </row>
        <row r="1104">
          <cell r="O1104">
            <v>-0.1293800539083558</v>
          </cell>
        </row>
        <row r="1105">
          <cell r="O1105">
            <v>-0.3246822033898305</v>
          </cell>
        </row>
        <row r="1106">
          <cell r="O1106">
            <v>1.2129963898916967</v>
          </cell>
        </row>
        <row r="1107">
          <cell r="O1107">
            <v>-0.82995702885205647</v>
          </cell>
        </row>
        <row r="1108">
          <cell r="O1108">
            <v>-0.23809523809523808</v>
          </cell>
        </row>
        <row r="1109">
          <cell r="O1109" t="str">
            <v>Not on both list</v>
          </cell>
        </row>
        <row r="1110">
          <cell r="O1110">
            <v>0.22848475171642982</v>
          </cell>
        </row>
        <row r="1111">
          <cell r="O1111">
            <v>0.34360530097397413</v>
          </cell>
        </row>
        <row r="1112">
          <cell r="O1112">
            <v>0.24876257384639949</v>
          </cell>
        </row>
        <row r="1113">
          <cell r="O1113">
            <v>0.4713396136037043</v>
          </cell>
        </row>
        <row r="1114">
          <cell r="O1114">
            <v>0.4318219564856336</v>
          </cell>
        </row>
        <row r="1115">
          <cell r="O1115">
            <v>-1</v>
          </cell>
        </row>
        <row r="1116">
          <cell r="O1116">
            <v>0.84271715661850188</v>
          </cell>
        </row>
        <row r="1117">
          <cell r="O1117">
            <v>0.47550240823783424</v>
          </cell>
        </row>
        <row r="1118">
          <cell r="O1118">
            <v>0.59043348281016439</v>
          </cell>
        </row>
        <row r="1119">
          <cell r="O1119">
            <v>0.34097326025577146</v>
          </cell>
        </row>
        <row r="1120">
          <cell r="O1120">
            <v>1.3318385650224216</v>
          </cell>
        </row>
        <row r="1121">
          <cell r="O1121">
            <v>-1.7771134363062616E-2</v>
          </cell>
        </row>
        <row r="1122">
          <cell r="O1122">
            <v>2.504235176880917</v>
          </cell>
        </row>
        <row r="1123">
          <cell r="O1123">
            <v>0.74456070420195986</v>
          </cell>
        </row>
        <row r="1124">
          <cell r="O1124">
            <v>1.5516879849024954E-2</v>
          </cell>
        </row>
        <row r="1125">
          <cell r="O1125">
            <v>-0.3422101069406584</v>
          </cell>
        </row>
        <row r="1126">
          <cell r="O1126">
            <v>-0.128957852799329</v>
          </cell>
        </row>
        <row r="1127">
          <cell r="O1127">
            <v>0.17184131090987495</v>
          </cell>
        </row>
        <row r="1128">
          <cell r="O1128">
            <v>0.17399741267787838</v>
          </cell>
        </row>
        <row r="1129">
          <cell r="O1129">
            <v>-0.24105217766278569</v>
          </cell>
        </row>
        <row r="1130">
          <cell r="O1130">
            <v>-0.66587427363972529</v>
          </cell>
        </row>
        <row r="1131">
          <cell r="O1131">
            <v>-0.16250000000000001</v>
          </cell>
        </row>
        <row r="1132">
          <cell r="O1132">
            <v>0.5661045180095774</v>
          </cell>
        </row>
        <row r="1133">
          <cell r="O1133">
            <v>-0.11387329591018444</v>
          </cell>
        </row>
        <row r="1134">
          <cell r="O1134">
            <v>-1.6470588235294119E-2</v>
          </cell>
        </row>
        <row r="1135">
          <cell r="O1135">
            <v>-0.22134502923976609</v>
          </cell>
        </row>
        <row r="1136">
          <cell r="O1136">
            <v>-0.32152588555858308</v>
          </cell>
        </row>
        <row r="1137">
          <cell r="O1137">
            <v>-8.9074990483441183E-2</v>
          </cell>
        </row>
        <row r="1138">
          <cell r="O1138">
            <v>0.13671023965141613</v>
          </cell>
        </row>
        <row r="1139">
          <cell r="O1139">
            <v>-0.33792751403777438</v>
          </cell>
        </row>
        <row r="1140">
          <cell r="O1140">
            <v>0.84261501210653755</v>
          </cell>
        </row>
        <row r="1141">
          <cell r="O1141">
            <v>3.335126412049489E-2</v>
          </cell>
        </row>
        <row r="1142">
          <cell r="O1142">
            <v>0.82924693520140103</v>
          </cell>
        </row>
        <row r="1143">
          <cell r="O1143">
            <v>-8.2280431432973811E-2</v>
          </cell>
        </row>
        <row r="1144">
          <cell r="O1144">
            <v>-0.14430808294540837</v>
          </cell>
        </row>
        <row r="1145">
          <cell r="O1145">
            <v>-5.4853620955315874E-2</v>
          </cell>
        </row>
        <row r="1146">
          <cell r="O1146">
            <v>-0.41263940520446096</v>
          </cell>
        </row>
        <row r="1147">
          <cell r="O1147">
            <v>-0.16109313196691838</v>
          </cell>
        </row>
        <row r="1148">
          <cell r="O1148">
            <v>-0.13244353182751539</v>
          </cell>
        </row>
        <row r="1149">
          <cell r="O1149">
            <v>-0.18768833405079638</v>
          </cell>
        </row>
        <row r="1150">
          <cell r="O1150">
            <v>-5.4726368159203981E-2</v>
          </cell>
        </row>
        <row r="1151">
          <cell r="O1151">
            <v>-0.20272172688878462</v>
          </cell>
        </row>
        <row r="1152">
          <cell r="O1152">
            <v>-0.20535158680771623</v>
          </cell>
        </row>
        <row r="1153">
          <cell r="O1153">
            <v>-2.9208709506107277E-2</v>
          </cell>
        </row>
        <row r="1154">
          <cell r="O1154">
            <v>-7.1563801590306703E-2</v>
          </cell>
        </row>
        <row r="1155">
          <cell r="O1155">
            <v>0.11212121212121212</v>
          </cell>
        </row>
        <row r="1156">
          <cell r="O1156">
            <v>-0.1092814371257485</v>
          </cell>
        </row>
        <row r="1157">
          <cell r="O1157">
            <v>0.14791987673343607</v>
          </cell>
        </row>
        <row r="1158">
          <cell r="O1158">
            <v>-0.1239013671875</v>
          </cell>
        </row>
        <row r="1159">
          <cell r="O1159">
            <v>-0.26877645126650246</v>
          </cell>
        </row>
        <row r="1160">
          <cell r="O1160">
            <v>-7.5168972269597623E-2</v>
          </cell>
        </row>
        <row r="1161">
          <cell r="O1161">
            <v>-1.1620185922974768E-2</v>
          </cell>
        </row>
        <row r="1162">
          <cell r="O1162">
            <v>-0.41319181197877181</v>
          </cell>
        </row>
        <row r="1163">
          <cell r="O1163">
            <v>-0.44630130253133449</v>
          </cell>
        </row>
        <row r="1164">
          <cell r="O1164">
            <v>9.0498321714433255E-2</v>
          </cell>
        </row>
        <row r="1165">
          <cell r="O1165">
            <v>-0.47318854507015184</v>
          </cell>
        </row>
        <row r="1166">
          <cell r="O1166">
            <v>-8.2852648138437332E-2</v>
          </cell>
        </row>
        <row r="1167">
          <cell r="O1167">
            <v>-0.23524556335121749</v>
          </cell>
        </row>
        <row r="1168">
          <cell r="O1168">
            <v>-0.10940129838903583</v>
          </cell>
        </row>
        <row r="1169">
          <cell r="O1169">
            <v>-0.12148859543817526</v>
          </cell>
        </row>
        <row r="1170">
          <cell r="O1170">
            <v>-0.12712108139200459</v>
          </cell>
        </row>
        <row r="1171">
          <cell r="O1171">
            <v>0.5321100917431193</v>
          </cell>
        </row>
        <row r="1172">
          <cell r="O1172" t="e">
            <v>#DIV/0!</v>
          </cell>
        </row>
        <row r="1173">
          <cell r="O1173" t="e">
            <v>#DIV/0!</v>
          </cell>
        </row>
        <row r="1174">
          <cell r="O1174" t="e">
            <v>#DIV/0!</v>
          </cell>
        </row>
        <row r="1175">
          <cell r="O1175">
            <v>-0.51237458193979935</v>
          </cell>
        </row>
        <row r="1176">
          <cell r="O1176">
            <v>-0.29382303839732887</v>
          </cell>
        </row>
        <row r="1177">
          <cell r="O1177">
            <v>-0.27511835875854812</v>
          </cell>
        </row>
        <row r="1178">
          <cell r="O1178">
            <v>-0.24437910757523348</v>
          </cell>
        </row>
        <row r="1179">
          <cell r="O1179">
            <v>-0.16509136735979837</v>
          </cell>
        </row>
        <row r="1180">
          <cell r="O1180">
            <v>-0.27294025771183134</v>
          </cell>
        </row>
        <row r="1181">
          <cell r="O1181">
            <v>-0.32973986407311928</v>
          </cell>
        </row>
        <row r="1182">
          <cell r="O1182">
            <v>-0.35056151097498722</v>
          </cell>
        </row>
        <row r="1183">
          <cell r="O1183">
            <v>-6.7946824224519942E-3</v>
          </cell>
        </row>
        <row r="1184">
          <cell r="O1184">
            <v>-6.1332809121289564E-2</v>
          </cell>
        </row>
        <row r="1185">
          <cell r="O1185">
            <v>-0.25979724617945227</v>
          </cell>
        </row>
        <row r="1186">
          <cell r="O1186">
            <v>-0.27522285251215561</v>
          </cell>
        </row>
        <row r="1187">
          <cell r="O1187">
            <v>-5.5277704659120824E-2</v>
          </cell>
        </row>
        <row r="1188">
          <cell r="O1188">
            <v>-0.14395154106538394</v>
          </cell>
        </row>
        <row r="1189">
          <cell r="O1189">
            <v>-0.10785216361962384</v>
          </cell>
        </row>
        <row r="1190">
          <cell r="O1190">
            <v>-8.0677204802625899E-2</v>
          </cell>
        </row>
        <row r="1191">
          <cell r="O1191">
            <v>5.9001244002132573E-2</v>
          </cell>
        </row>
        <row r="1192">
          <cell r="O1192">
            <v>-6.6123557365919891E-2</v>
          </cell>
        </row>
        <row r="1193">
          <cell r="O1193">
            <v>0.12491774511954376</v>
          </cell>
        </row>
        <row r="1194">
          <cell r="O1194">
            <v>0.14365658426011191</v>
          </cell>
        </row>
        <row r="1195">
          <cell r="O1195" t="str">
            <v>Not on 15/16 prices Unadjusted</v>
          </cell>
        </row>
        <row r="1196">
          <cell r="O1196">
            <v>-3.374727462318703E-2</v>
          </cell>
        </row>
        <row r="1197">
          <cell r="O1197">
            <v>7.32484076433121E-2</v>
          </cell>
        </row>
        <row r="1198">
          <cell r="O1198">
            <v>-0.65356999509432279</v>
          </cell>
        </row>
        <row r="1199">
          <cell r="O1199">
            <v>-0.4119572332533275</v>
          </cell>
        </row>
        <row r="1200">
          <cell r="O1200">
            <v>-0.93772136953955132</v>
          </cell>
        </row>
        <row r="1201">
          <cell r="O1201">
            <v>-0.51684502576298053</v>
          </cell>
        </row>
        <row r="1202">
          <cell r="O1202">
            <v>-0.16435185185185186</v>
          </cell>
        </row>
        <row r="1203">
          <cell r="O1203">
            <v>-0.19830777366472765</v>
          </cell>
        </row>
        <row r="1204">
          <cell r="O1204">
            <v>-0.14448370632116214</v>
          </cell>
        </row>
        <row r="1205">
          <cell r="O1205">
            <v>-0.34045964724746125</v>
          </cell>
        </row>
        <row r="1206">
          <cell r="O1206">
            <v>-0.34704562453253551</v>
          </cell>
        </row>
        <row r="1207">
          <cell r="O1207">
            <v>-1.4064697609001406E-2</v>
          </cell>
        </row>
        <row r="1208">
          <cell r="O1208">
            <v>-0.17721518987341772</v>
          </cell>
        </row>
        <row r="1209">
          <cell r="O1209">
            <v>-0.27962764052989619</v>
          </cell>
        </row>
        <row r="1210">
          <cell r="O1210">
            <v>-0.2381870781099325</v>
          </cell>
        </row>
        <row r="1211">
          <cell r="O1211">
            <v>-0.30110262934690418</v>
          </cell>
        </row>
        <row r="1212">
          <cell r="O1212">
            <v>6.7005937234944871E-2</v>
          </cell>
        </row>
        <row r="1213">
          <cell r="O1213">
            <v>-0.46510810335735631</v>
          </cell>
        </row>
        <row r="1214">
          <cell r="O1214">
            <v>-0.30187265917602996</v>
          </cell>
        </row>
        <row r="1215">
          <cell r="O1215">
            <v>-0.14864864864864866</v>
          </cell>
        </row>
        <row r="1216">
          <cell r="O1216">
            <v>6.5552699228791769E-2</v>
          </cell>
        </row>
        <row r="1217">
          <cell r="O1217">
            <v>-3.1796502384737681E-3</v>
          </cell>
        </row>
        <row r="1218">
          <cell r="O1218">
            <v>-0.4070891514500537</v>
          </cell>
        </row>
        <row r="1219">
          <cell r="O1219">
            <v>-2.4390243902439025E-2</v>
          </cell>
        </row>
        <row r="1220">
          <cell r="O1220">
            <v>3.6540880503144653</v>
          </cell>
        </row>
        <row r="1221">
          <cell r="O1221">
            <v>-0.23247232472324722</v>
          </cell>
        </row>
        <row r="1222">
          <cell r="O1222">
            <v>-0.14827439284192587</v>
          </cell>
        </row>
        <row r="1223">
          <cell r="O1223">
            <v>-0.10191846522781775</v>
          </cell>
        </row>
        <row r="1224">
          <cell r="O1224">
            <v>-0.22273249138920781</v>
          </cell>
        </row>
        <row r="1225">
          <cell r="O1225">
            <v>-0.3442403367776502</v>
          </cell>
        </row>
        <row r="1226">
          <cell r="O1226">
            <v>2.310945273631841</v>
          </cell>
        </row>
        <row r="1227">
          <cell r="O1227">
            <v>0.13780025284450062</v>
          </cell>
        </row>
        <row r="1228">
          <cell r="O1228">
            <v>-0.21744627054361568</v>
          </cell>
        </row>
        <row r="1229">
          <cell r="O1229">
            <v>0.17948717948717949</v>
          </cell>
        </row>
        <row r="1230">
          <cell r="O1230" t="str">
            <v>Not on 15/16 prices Unadjusted</v>
          </cell>
        </row>
        <row r="1231">
          <cell r="O1231" t="str">
            <v>Not on 15/16 prices Unadjusted</v>
          </cell>
        </row>
        <row r="1232">
          <cell r="O1232" t="str">
            <v>Not on 15/16 prices Unadjusted</v>
          </cell>
        </row>
        <row r="1233">
          <cell r="O1233">
            <v>-8.4925690021231421E-3</v>
          </cell>
        </row>
        <row r="1234">
          <cell r="O1234">
            <v>3.1884057971014491E-2</v>
          </cell>
        </row>
        <row r="1235">
          <cell r="O1235">
            <v>-0.33997569866342647</v>
          </cell>
        </row>
        <row r="1236">
          <cell r="O1236">
            <v>-0.11203319502074689</v>
          </cell>
        </row>
        <row r="1237">
          <cell r="O1237">
            <v>-0.4191343963553531</v>
          </cell>
        </row>
        <row r="1238">
          <cell r="O1238">
            <v>-0.29202947086403214</v>
          </cell>
        </row>
        <row r="1239">
          <cell r="O1239">
            <v>-0.21457905544147843</v>
          </cell>
        </row>
        <row r="1240">
          <cell r="O1240">
            <v>-0.20431654676258992</v>
          </cell>
        </row>
        <row r="1241">
          <cell r="O1241">
            <v>-0.11595330739299611</v>
          </cell>
        </row>
        <row r="1242">
          <cell r="O1242">
            <v>-4.8672566371681415E-2</v>
          </cell>
        </row>
        <row r="1243">
          <cell r="O1243">
            <v>3.7184594953519258E-2</v>
          </cell>
        </row>
        <row r="1244">
          <cell r="O1244">
            <v>-7.3369565217391311E-2</v>
          </cell>
        </row>
        <row r="1245">
          <cell r="O1245">
            <v>-0.40349110439744879</v>
          </cell>
        </row>
        <row r="1246">
          <cell r="O1246">
            <v>-0.82275931520644507</v>
          </cell>
        </row>
        <row r="1247">
          <cell r="O1247">
            <v>-0.39962676619568116</v>
          </cell>
        </row>
        <row r="1248">
          <cell r="O1248">
            <v>-0.48439073514602216</v>
          </cell>
        </row>
        <row r="1249">
          <cell r="O1249">
            <v>-0.33366336633663368</v>
          </cell>
        </row>
        <row r="1250">
          <cell r="O1250">
            <v>-0.3842962962962963</v>
          </cell>
        </row>
        <row r="1251">
          <cell r="O1251">
            <v>-0.39512003148366787</v>
          </cell>
        </row>
        <row r="1252">
          <cell r="O1252">
            <v>-0.32</v>
          </cell>
        </row>
        <row r="1253">
          <cell r="O1253">
            <v>-0.12537940695773991</v>
          </cell>
        </row>
      </sheetData>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Available Res - Summary"/>
      <sheetName val="Cascade Summary"/>
      <sheetName val="Data Conversion for Summary"/>
      <sheetName val="Cascade Detail"/>
      <sheetName val="RLAs"/>
      <sheetName val="Man Adjs - Cascade -&gt; Winter"/>
      <sheetName val="Man Adjs - Winter -&gt; Spring"/>
      <sheetName val="Budgeting Codes"/>
      <sheetName val="Budget Controls Summary"/>
      <sheetName val="Agreed Manual Adjusts"/>
      <sheetName val="2006PCTs"/>
      <sheetName val="new pcts"/>
      <sheetName val="PCAccess"/>
      <sheetName val="Cover Sheet"/>
      <sheetName val="Business with DH &amp; Group Bodies"/>
      <sheetName val="Accenture P&amp;L"/>
      <sheetName val="Input Table (TB)"/>
    </sheetNames>
    <sheetDataSet>
      <sheetData sheetId="0" refreshError="1"/>
      <sheetData sheetId="1"/>
      <sheetData sheetId="2" refreshError="1"/>
      <sheetData sheetId="3" refreshError="1"/>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Price Adjustments"/>
      <sheetName val="2014-15 Non-mandatory tariff"/>
      <sheetName val="00b_Prices"/>
      <sheetName val="01. APC &amp; OPROC"/>
      <sheetName val="OPATT201516 SC"/>
      <sheetName val="Models &gt;"/>
      <sheetName val="Non-mandatory 2015-16"/>
      <sheetName val="Price Comparison"/>
    </sheetNames>
    <sheetDataSet>
      <sheetData sheetId="0"/>
      <sheetData sheetId="1"/>
      <sheetData sheetId="2"/>
      <sheetData sheetId="3"/>
      <sheetData sheetId="4"/>
      <sheetData sheetId="5"/>
      <sheetData sheetId="6"/>
      <sheetData sheetId="7"/>
      <sheetData sheetId="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16 Proposed Tariff"/>
      <sheetName val="Linked Sheet"/>
      <sheetName val="Reconciliation &gt;&gt;"/>
      <sheetName val="Inputs &gt;&gt;"/>
      <sheetName val="2014-15 Unbundled Tariff"/>
      <sheetName val="2014-15 Tariff"/>
      <sheetName val="Chemo_SQL_Test"/>
      <sheetName val="Input_Rad_15-16"/>
      <sheetName val="Input_DI_15-16"/>
      <sheetName val="Price Adjustments"/>
      <sheetName val="Parameters"/>
      <sheetName val="Calculation &gt;&gt;"/>
      <sheetName val="Rad_Calc"/>
      <sheetName val="Chem_Calc"/>
      <sheetName val="DI_Calc"/>
      <sheetName val="Other -&gt;"/>
      <sheetName val="DI Data Comparison_xYear"/>
      <sheetName val="Radio_&amp;_Chemo_SQL"/>
      <sheetName val="DI_SQL"/>
      <sheetName val="Notes&gt;&gt;&gt;"/>
      <sheetName val="Method changes"/>
      <sheetName val="Currency Changes 201516"/>
      <sheetName val="Cost of reporting for new HRGs"/>
      <sheetName val="RC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R notes"/>
      <sheetName val="Paybill Status"/>
      <sheetName val="Interactive WF input"/>
      <sheetName val="Interactive inputs &amp; results"/>
      <sheetName val="Annex results (pay metrics)"/>
      <sheetName val="Baseline WF scenarios"/>
      <sheetName val="Baseline &amp; default assumptions"/>
      <sheetName val="Calculations"/>
      <sheetName val="drift calc"/>
      <sheetName val="Developer notes"/>
      <sheetName val="TRUSTs"/>
    </sheetNames>
    <sheetDataSet>
      <sheetData sheetId="0"/>
      <sheetData sheetId="1"/>
      <sheetData sheetId="2"/>
      <sheetData sheetId="3"/>
      <sheetData sheetId="4"/>
      <sheetData sheetId="5" refreshError="1"/>
      <sheetData sheetId="6"/>
      <sheetData sheetId="7"/>
      <sheetData sheetId="8"/>
      <sheetData sheetId="9"/>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_DC Options"/>
      <sheetName val="xx_1213 eff"/>
      <sheetName val="xx_IA Inputs - chk"/>
      <sheetName val="xx_IA Inputs"/>
      <sheetName val="Raw_APC_SQL"/>
      <sheetName val="INPUTS&gt;&gt;"/>
      <sheetName val="SQL_Pull"/>
      <sheetName val="Pivot_ignore"/>
      <sheetName val="Ignore-00a_Tariff Prices"/>
      <sheetName val="CALCULATION&gt;&gt;"/>
      <sheetName val="01_FHF"/>
      <sheetName val="02_Stroke"/>
      <sheetName val="03_Chole"/>
      <sheetName val="04_Cataracts"/>
      <sheetName val="05_Renal"/>
      <sheetName val="06_Hips&amp;Knees"/>
      <sheetName val="07_IR"/>
      <sheetName val="08b_App Setting (default)"/>
      <sheetName val="Rates_&amp;_Differentials"/>
      <sheetName val="08c_App Setting_new rates (MZ)"/>
      <sheetName val="out_Prices"/>
      <sheetName val="Data_Tia"/>
      <sheetName val="09a_TIA"/>
      <sheetName val="09b_TIA (ub di)"/>
      <sheetName val="VALIDATION 201314 BPTs"/>
      <sheetName val="201314 BPT Road-Test"/>
      <sheetName val="Imported Models-&gt;"/>
      <sheetName val="04_Output for IA incl 1314 BPT"/>
      <sheetName val="OPATT"/>
      <sheetName val="03_Output for IA"/>
      <sheetName val="201314 Pleural effusion"/>
      <sheetName val="02. OP Attendances"/>
      <sheetName val="00d_1213 prices"/>
      <sheetName val="OutPuts&gt;&gt;"/>
      <sheetName val="Pre-SC_APC_Prices"/>
      <sheetName val="2013-14 Re-run Solver"/>
      <sheetName val="12-13 tariff"/>
      <sheetName val="13-14 tariff"/>
      <sheetName val="14-15 tariff"/>
      <sheetName val="08a_App Setting"/>
      <sheetName val="Final BPT Tariff"/>
      <sheetName val="All Modelled Prices"/>
      <sheetName val="AEC_Output"/>
      <sheetName val="08c_App Setting_new rates"/>
      <sheetName val="00c_Tariff Post Spell(Val)"/>
      <sheetName val="00b_1011 HES Spells(Val)"/>
      <sheetName val="00a_Tariff Prices(Val)"/>
      <sheetName val="Road Test Tariffs"/>
      <sheetName val="Adjusted prices"/>
      <sheetName val="Notes"/>
      <sheetName val="DH_Email_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0">
          <cell r="J20">
            <v>-1.4999999999999999E-2</v>
          </cell>
        </row>
      </sheetData>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Navigation"/>
      <sheetName val="s118 BPT"/>
      <sheetName val="BPT SQL Code"/>
      <sheetName val="00_APC_Raw_Activity"/>
      <sheetName val="01_APC_Raw_UC"/>
      <sheetName val="03_OPROC_RAW"/>
      <sheetName val="04_HES_Activity_RAW"/>
      <sheetName val="04.1_HES_POD_Split"/>
      <sheetName val="05_Post_Spell_Conversion_RAW"/>
      <sheetName val="06_Flagged_Activity_RAW"/>
      <sheetName val="06_RENAL_RAW"/>
      <sheetName val="NSRC OPROC"/>
      <sheetName val="NSRC CLFUSFF"/>
      <sheetName val="NSRC CLFASFF"/>
      <sheetName val="00b_1112 HES Spells"/>
      <sheetName val="00c_Tariff Post Spell"/>
      <sheetName val="Matrix activity"/>
      <sheetName val="BPT INPUT FROM APC"/>
      <sheetName val="Final APC Prices"/>
      <sheetName val="Final OPROC Prices"/>
      <sheetName val="Final OPATT Prices"/>
      <sheetName val="201415_NonMandatory"/>
      <sheetName val="201415_BPTs"/>
      <sheetName val="1415_APC"/>
      <sheetName val="Price Adjustments"/>
      <sheetName val="Expert &amp; Final Monitor comments"/>
      <sheetName val="HRG mapping"/>
      <sheetName val="Prices Summary I"/>
      <sheetName val="APC Prices I"/>
      <sheetName val="00_Other"/>
      <sheetName val="01_FHF"/>
      <sheetName val="02_Stroke"/>
      <sheetName val="03_Chole"/>
      <sheetName val="04_Cataracts"/>
      <sheetName val="05_Renal"/>
      <sheetName val="06_Hips&amp;Knees"/>
      <sheetName val="07_IR"/>
      <sheetName val="08_DayCase"/>
      <sheetName val="09_TIA"/>
      <sheetName val="10.1_Outpatients"/>
      <sheetName val="10.2_Outpatients"/>
      <sheetName val="11_Pleural_Effusion"/>
      <sheetName val="12_SameDay_EMCare"/>
      <sheetName val="Linked Sheet"/>
      <sheetName val="Output for APC &amp; OPROC"/>
      <sheetName val="Output for OPATT"/>
      <sheetName val="Model Changes"/>
      <sheetName val="Changes UK"/>
      <sheetName val="Linked Sheet Tariff Layout"/>
      <sheetName val="Calculation &gt;&gt;&gt;"/>
      <sheetName val="Inputs &gt;&gt;&gt;"/>
      <sheetName val="APC TED 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3">
          <cell r="X73">
            <v>-1.9002292493024851E-2</v>
          </cell>
        </row>
      </sheetData>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Version Control"/>
      <sheetName val="Financial Model Reports"/>
      <sheetName val="Scenario Data"/>
      <sheetName val="A.1 Scenario Comparison"/>
      <sheetName val="A.2 Scenario Chart"/>
      <sheetName val="A.3 Scenario by DA"/>
      <sheetName val="B.1 Cash and Resource"/>
      <sheetName val="B.2 Cash by Service"/>
      <sheetName val="B.3 Capex Opex"/>
      <sheetName val="Data"/>
      <sheetName val="OldPCTs"/>
    </sheetNames>
    <sheetDataSet>
      <sheetData sheetId="0" refreshError="1"/>
      <sheetData sheetId="1" refreshError="1"/>
      <sheetData sheetId="2" refreshError="1"/>
      <sheetData sheetId="3" refreshError="1">
        <row r="3">
          <cell r="B3" t="str">
            <v>ID</v>
          </cell>
          <cell r="C3" t="str">
            <v>Scenario</v>
          </cell>
          <cell r="D3" t="str">
            <v>Category</v>
          </cell>
          <cell r="E3" t="str">
            <v>Reporting Type</v>
          </cell>
          <cell r="F3" t="str">
            <v>2006/07</v>
          </cell>
          <cell r="G3" t="str">
            <v>2007/08</v>
          </cell>
          <cell r="H3" t="str">
            <v>2008/09</v>
          </cell>
          <cell r="I3" t="str">
            <v>2009/10</v>
          </cell>
          <cell r="J3" t="str">
            <v>2010/11</v>
          </cell>
          <cell r="K3" t="str">
            <v>2011/12</v>
          </cell>
          <cell r="L3" t="str">
            <v>2012/13</v>
          </cell>
          <cell r="M3" t="str">
            <v>2013/14</v>
          </cell>
          <cell r="N3" t="str">
            <v>2014/15</v>
          </cell>
          <cell r="O3" t="str">
            <v>2015/16</v>
          </cell>
          <cell r="P3" t="str">
            <v>2016/17</v>
          </cell>
          <cell r="Q3" t="str">
            <v>2017/18</v>
          </cell>
          <cell r="R3">
            <v>0</v>
          </cell>
        </row>
        <row r="4">
          <cell r="A4" t="str">
            <v>ConCat</v>
          </cell>
          <cell r="B4" t="str">
            <v>Scenario</v>
          </cell>
          <cell r="C4">
            <v>0</v>
          </cell>
          <cell r="D4">
            <v>0</v>
          </cell>
          <cell r="E4" t="str">
            <v>Reporting Type</v>
          </cell>
          <cell r="F4">
            <v>0</v>
          </cell>
          <cell r="G4">
            <v>0</v>
          </cell>
          <cell r="H4">
            <v>0</v>
          </cell>
          <cell r="I4">
            <v>0</v>
          </cell>
          <cell r="J4">
            <v>0</v>
          </cell>
          <cell r="K4">
            <v>0</v>
          </cell>
          <cell r="L4">
            <v>0</v>
          </cell>
          <cell r="M4">
            <v>0</v>
          </cell>
          <cell r="N4">
            <v>0</v>
          </cell>
          <cell r="O4">
            <v>0</v>
          </cell>
          <cell r="P4">
            <v>0</v>
          </cell>
          <cell r="Q4">
            <v>0</v>
          </cell>
          <cell r="R4" t="str">
            <v>Total</v>
          </cell>
        </row>
        <row r="5">
          <cell r="A5" t="str">
            <v>Option 0Pandemic VaccinesCash</v>
          </cell>
          <cell r="B5">
            <v>1</v>
          </cell>
          <cell r="C5" t="str">
            <v>Option 0</v>
          </cell>
          <cell r="D5" t="str">
            <v>Pandemic Vaccines</v>
          </cell>
          <cell r="E5" t="str">
            <v>Cash</v>
          </cell>
          <cell r="F5">
            <v>0</v>
          </cell>
          <cell r="G5">
            <v>0</v>
          </cell>
          <cell r="H5">
            <v>0</v>
          </cell>
          <cell r="I5">
            <v>0</v>
          </cell>
          <cell r="J5">
            <v>0</v>
          </cell>
          <cell r="K5">
            <v>0</v>
          </cell>
          <cell r="L5">
            <v>0</v>
          </cell>
          <cell r="M5">
            <v>0</v>
          </cell>
          <cell r="N5">
            <v>0</v>
          </cell>
          <cell r="O5">
            <v>0</v>
          </cell>
          <cell r="P5">
            <v>0</v>
          </cell>
          <cell r="Q5">
            <v>0</v>
          </cell>
          <cell r="R5">
            <v>0</v>
          </cell>
        </row>
        <row r="6">
          <cell r="A6" t="str">
            <v>Option 0Pandemic Vaccinesnear-cash</v>
          </cell>
          <cell r="B6">
            <v>1</v>
          </cell>
          <cell r="C6" t="str">
            <v>Option 0</v>
          </cell>
          <cell r="D6" t="str">
            <v>Pandemic Vaccines</v>
          </cell>
          <cell r="E6" t="str">
            <v>near-cash</v>
          </cell>
          <cell r="F6">
            <v>0</v>
          </cell>
          <cell r="G6">
            <v>0</v>
          </cell>
          <cell r="H6">
            <v>0</v>
          </cell>
          <cell r="I6">
            <v>0</v>
          </cell>
          <cell r="J6">
            <v>0</v>
          </cell>
          <cell r="K6">
            <v>0</v>
          </cell>
          <cell r="L6">
            <v>0</v>
          </cell>
          <cell r="M6">
            <v>0</v>
          </cell>
          <cell r="N6">
            <v>0</v>
          </cell>
          <cell r="O6">
            <v>0</v>
          </cell>
          <cell r="P6">
            <v>0</v>
          </cell>
          <cell r="Q6">
            <v>0</v>
          </cell>
          <cell r="R6">
            <v>0</v>
          </cell>
        </row>
        <row r="7">
          <cell r="A7" t="str">
            <v>Option 0Pandemic Vaccinesnon-cash</v>
          </cell>
          <cell r="B7">
            <v>1</v>
          </cell>
          <cell r="C7" t="str">
            <v>Option 0</v>
          </cell>
          <cell r="D7" t="str">
            <v>Pandemic Vaccines</v>
          </cell>
          <cell r="E7" t="str">
            <v>non-cash</v>
          </cell>
          <cell r="F7">
            <v>0</v>
          </cell>
          <cell r="G7">
            <v>0</v>
          </cell>
          <cell r="H7">
            <v>0</v>
          </cell>
          <cell r="I7">
            <v>0</v>
          </cell>
          <cell r="J7">
            <v>0</v>
          </cell>
          <cell r="K7">
            <v>0</v>
          </cell>
          <cell r="L7">
            <v>0</v>
          </cell>
          <cell r="M7">
            <v>0</v>
          </cell>
          <cell r="N7">
            <v>0</v>
          </cell>
          <cell r="O7">
            <v>0</v>
          </cell>
          <cell r="P7">
            <v>0</v>
          </cell>
          <cell r="Q7">
            <v>0</v>
          </cell>
          <cell r="R7">
            <v>0</v>
          </cell>
        </row>
        <row r="8">
          <cell r="A8" t="str">
            <v>Option 0Pandemic VaccinesResource</v>
          </cell>
          <cell r="B8">
            <v>1</v>
          </cell>
          <cell r="C8" t="str">
            <v>Option 0</v>
          </cell>
          <cell r="D8" t="str">
            <v>Pandemic Vaccines</v>
          </cell>
          <cell r="E8" t="str">
            <v>Resource</v>
          </cell>
          <cell r="F8">
            <v>0</v>
          </cell>
          <cell r="G8">
            <v>0</v>
          </cell>
          <cell r="H8">
            <v>0</v>
          </cell>
          <cell r="I8">
            <v>0</v>
          </cell>
          <cell r="J8">
            <v>0</v>
          </cell>
          <cell r="K8">
            <v>0</v>
          </cell>
          <cell r="L8">
            <v>0</v>
          </cell>
          <cell r="M8">
            <v>0</v>
          </cell>
          <cell r="N8">
            <v>0</v>
          </cell>
          <cell r="O8">
            <v>0</v>
          </cell>
          <cell r="P8">
            <v>0</v>
          </cell>
          <cell r="Q8">
            <v>0</v>
          </cell>
          <cell r="R8">
            <v>0</v>
          </cell>
        </row>
        <row r="9">
          <cell r="A9" t="str">
            <v>Option 0Pre-Pandemic VaccinesCash</v>
          </cell>
          <cell r="B9">
            <v>1</v>
          </cell>
          <cell r="C9" t="str">
            <v>Option 0</v>
          </cell>
          <cell r="D9" t="str">
            <v>Pre-Pandemic Vaccines</v>
          </cell>
          <cell r="E9" t="str">
            <v>Cash</v>
          </cell>
          <cell r="F9">
            <v>37396638.283571467</v>
          </cell>
          <cell r="G9">
            <v>18208526.387242425</v>
          </cell>
          <cell r="H9">
            <v>1056690.5120427539</v>
          </cell>
          <cell r="I9">
            <v>18884168.148333333</v>
          </cell>
          <cell r="J9">
            <v>8253.8727266666665</v>
          </cell>
          <cell r="K9">
            <v>20034213.988566831</v>
          </cell>
          <cell r="L9">
            <v>8756.5335757206685</v>
          </cell>
          <cell r="M9">
            <v>21254297.620470554</v>
          </cell>
          <cell r="N9">
            <v>9289.8064704820572</v>
          </cell>
          <cell r="O9">
            <v>22548684.345557213</v>
          </cell>
          <cell r="P9">
            <v>9855.5556845344163</v>
          </cell>
          <cell r="Q9">
            <v>23921899.222201649</v>
          </cell>
          <cell r="R9">
            <v>163341274.27644363</v>
          </cell>
        </row>
        <row r="10">
          <cell r="A10" t="str">
            <v>Option 0Pre-Pandemic Vaccinesnear-cash</v>
          </cell>
          <cell r="B10">
            <v>1</v>
          </cell>
          <cell r="C10" t="str">
            <v>Option 0</v>
          </cell>
          <cell r="D10" t="str">
            <v>Pre-Pandemic Vaccines</v>
          </cell>
          <cell r="E10" t="str">
            <v>near-cash</v>
          </cell>
          <cell r="F10">
            <v>42309.633571465776</v>
          </cell>
          <cell r="G10">
            <v>47726.387242426892</v>
          </cell>
          <cell r="H10">
            <v>40685897.776827753</v>
          </cell>
          <cell r="I10">
            <v>18884168.148333333</v>
          </cell>
          <cell r="J10">
            <v>8253.8727266666665</v>
          </cell>
          <cell r="K10">
            <v>20034213.988566831</v>
          </cell>
          <cell r="L10">
            <v>8756.5335757206685</v>
          </cell>
          <cell r="M10">
            <v>21254297.620470554</v>
          </cell>
          <cell r="N10">
            <v>9289.8064704820572</v>
          </cell>
          <cell r="O10">
            <v>22548684.345557213</v>
          </cell>
          <cell r="P10">
            <v>9855.5556845344163</v>
          </cell>
          <cell r="Q10">
            <v>23921899.222201649</v>
          </cell>
          <cell r="R10">
            <v>147455352.89122862</v>
          </cell>
        </row>
        <row r="11">
          <cell r="A11" t="str">
            <v>Option 0Pre-Pandemic Vaccinesnon-cash</v>
          </cell>
          <cell r="B11">
            <v>1</v>
          </cell>
          <cell r="C11" t="str">
            <v>Option 0</v>
          </cell>
          <cell r="D11" t="str">
            <v>Pre-Pandemic Vaccines</v>
          </cell>
          <cell r="E11" t="str">
            <v>non-cash</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Option 0Pre-Pandemic VaccinesResource</v>
          </cell>
          <cell r="B12">
            <v>1</v>
          </cell>
          <cell r="C12" t="str">
            <v>Option 0</v>
          </cell>
          <cell r="D12" t="str">
            <v>Pre-Pandemic Vaccines</v>
          </cell>
          <cell r="E12" t="str">
            <v>Resource</v>
          </cell>
          <cell r="F12">
            <v>42309.633571465776</v>
          </cell>
          <cell r="G12">
            <v>47726.387242426892</v>
          </cell>
          <cell r="H12">
            <v>40685897.776827753</v>
          </cell>
          <cell r="I12">
            <v>18884168.148333333</v>
          </cell>
          <cell r="J12">
            <v>8253.8727266666665</v>
          </cell>
          <cell r="K12">
            <v>20034213.988566831</v>
          </cell>
          <cell r="L12">
            <v>8756.5335757206685</v>
          </cell>
          <cell r="M12">
            <v>21254297.620470554</v>
          </cell>
          <cell r="N12">
            <v>9289.8064704820572</v>
          </cell>
          <cell r="O12">
            <v>22548684.345557213</v>
          </cell>
          <cell r="P12">
            <v>9855.5556845344163</v>
          </cell>
          <cell r="Q12">
            <v>23921899.222201649</v>
          </cell>
          <cell r="R12">
            <v>147455352.89122862</v>
          </cell>
        </row>
        <row r="13">
          <cell r="A13" t="str">
            <v>Option 0AntiviralsCash</v>
          </cell>
          <cell r="B13">
            <v>1</v>
          </cell>
          <cell r="C13" t="str">
            <v>Option 0</v>
          </cell>
          <cell r="D13" t="str">
            <v>Antivirals</v>
          </cell>
          <cell r="E13" t="str">
            <v>Cash</v>
          </cell>
          <cell r="F13">
            <v>89103455.733142331</v>
          </cell>
          <cell r="G13">
            <v>523848.8419038672</v>
          </cell>
          <cell r="H13">
            <v>539564.30716098321</v>
          </cell>
          <cell r="I13">
            <v>555751.23637581279</v>
          </cell>
          <cell r="J13">
            <v>100766962.85310502</v>
          </cell>
          <cell r="K13">
            <v>96599238.194853336</v>
          </cell>
          <cell r="L13">
            <v>607284.38127123285</v>
          </cell>
          <cell r="M13">
            <v>625502.91270936979</v>
          </cell>
          <cell r="N13">
            <v>644268.00009065098</v>
          </cell>
          <cell r="O13">
            <v>116816527.58155581</v>
          </cell>
          <cell r="P13">
            <v>120244897.89146547</v>
          </cell>
          <cell r="Q13">
            <v>704009.03893505677</v>
          </cell>
          <cell r="R13">
            <v>527731310.97256893</v>
          </cell>
        </row>
        <row r="14">
          <cell r="A14" t="str">
            <v>Option 0Antiviralsnear-cash</v>
          </cell>
          <cell r="B14">
            <v>1</v>
          </cell>
          <cell r="C14" t="str">
            <v>Option 0</v>
          </cell>
          <cell r="D14" t="str">
            <v>Antivirals</v>
          </cell>
          <cell r="E14" t="str">
            <v>near-cash</v>
          </cell>
          <cell r="F14">
            <v>468540.16064233397</v>
          </cell>
          <cell r="G14">
            <v>523848.8419038672</v>
          </cell>
          <cell r="H14">
            <v>539564.30716098321</v>
          </cell>
          <cell r="I14">
            <v>555751.23637581279</v>
          </cell>
          <cell r="J14">
            <v>100766962.85310501</v>
          </cell>
          <cell r="K14">
            <v>96599238.194853321</v>
          </cell>
          <cell r="L14">
            <v>607284.38127123285</v>
          </cell>
          <cell r="M14">
            <v>625502.91270936979</v>
          </cell>
          <cell r="N14">
            <v>644268.00009065098</v>
          </cell>
          <cell r="O14">
            <v>116816527.58155581</v>
          </cell>
          <cell r="P14">
            <v>120244897.89146546</v>
          </cell>
          <cell r="Q14">
            <v>704009.03893505677</v>
          </cell>
          <cell r="R14">
            <v>439096395.40006888</v>
          </cell>
        </row>
        <row r="15">
          <cell r="A15" t="str">
            <v>Option 0Antiviralsnon-cash</v>
          </cell>
          <cell r="B15">
            <v>1</v>
          </cell>
          <cell r="C15" t="str">
            <v>Option 0</v>
          </cell>
          <cell r="D15" t="str">
            <v>Antivirals</v>
          </cell>
          <cell r="E15" t="str">
            <v>non-cash</v>
          </cell>
          <cell r="F15">
            <v>5686003.2837781254</v>
          </cell>
          <cell r="G15">
            <v>6392611.8738886248</v>
          </cell>
          <cell r="H15">
            <v>6584390.2301052827</v>
          </cell>
          <cell r="I15">
            <v>6781921.9370084424</v>
          </cell>
          <cell r="J15">
            <v>6985379.5951186968</v>
          </cell>
          <cell r="K15">
            <v>7194940.9829722578</v>
          </cell>
          <cell r="L15">
            <v>7410789.212461425</v>
          </cell>
          <cell r="M15">
            <v>7633112.8888352681</v>
          </cell>
          <cell r="N15">
            <v>7862106.2755003264</v>
          </cell>
          <cell r="O15">
            <v>8097969.4637653362</v>
          </cell>
          <cell r="P15">
            <v>8340908.5476782974</v>
          </cell>
          <cell r="Q15">
            <v>8591135.8041086458</v>
          </cell>
          <cell r="R15">
            <v>87561270.09522073</v>
          </cell>
        </row>
        <row r="16">
          <cell r="A16" t="str">
            <v>Option 0AntiviralsResource</v>
          </cell>
          <cell r="B16">
            <v>1</v>
          </cell>
          <cell r="C16" t="str">
            <v>Option 0</v>
          </cell>
          <cell r="D16" t="str">
            <v>Antivirals</v>
          </cell>
          <cell r="E16" t="str">
            <v>Resource</v>
          </cell>
          <cell r="F16">
            <v>6154543.4444204597</v>
          </cell>
          <cell r="G16">
            <v>6916460.715792492</v>
          </cell>
          <cell r="H16">
            <v>7123954.5372662656</v>
          </cell>
          <cell r="I16">
            <v>7337673.1733842548</v>
          </cell>
          <cell r="J16">
            <v>107752342.44822371</v>
          </cell>
          <cell r="K16">
            <v>103794179.17782559</v>
          </cell>
          <cell r="L16">
            <v>8018073.5937326578</v>
          </cell>
          <cell r="M16">
            <v>8258615.8015446384</v>
          </cell>
          <cell r="N16">
            <v>8506374.2755909767</v>
          </cell>
          <cell r="O16">
            <v>124914497.04532115</v>
          </cell>
          <cell r="P16">
            <v>128585806.43914375</v>
          </cell>
          <cell r="Q16">
            <v>9295144.8430437017</v>
          </cell>
          <cell r="R16">
            <v>526657665.49528968</v>
          </cell>
        </row>
        <row r="17">
          <cell r="A17" t="str">
            <v>Option 0AntibioticsCash</v>
          </cell>
          <cell r="B17">
            <v>1</v>
          </cell>
          <cell r="C17" t="str">
            <v>Option 0</v>
          </cell>
          <cell r="D17" t="str">
            <v>Antibiotics</v>
          </cell>
          <cell r="E17" t="str">
            <v>Cash</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Option 0Antibioticsnear-cash</v>
          </cell>
          <cell r="B18">
            <v>1</v>
          </cell>
          <cell r="C18" t="str">
            <v>Option 0</v>
          </cell>
          <cell r="D18" t="str">
            <v>Antibiotics</v>
          </cell>
          <cell r="E18" t="str">
            <v>near-cash</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Option 0Antibioticsnon-cash</v>
          </cell>
          <cell r="B19">
            <v>1</v>
          </cell>
          <cell r="C19" t="str">
            <v>Option 0</v>
          </cell>
          <cell r="D19" t="str">
            <v>Antibiotics</v>
          </cell>
          <cell r="E19" t="str">
            <v>non-cash</v>
          </cell>
          <cell r="F19">
            <v>0</v>
          </cell>
          <cell r="G19">
            <v>0</v>
          </cell>
          <cell r="H19">
            <v>0</v>
          </cell>
          <cell r="I19">
            <v>0</v>
          </cell>
          <cell r="J19">
            <v>0</v>
          </cell>
          <cell r="K19">
            <v>0</v>
          </cell>
          <cell r="L19">
            <v>0</v>
          </cell>
          <cell r="M19">
            <v>0</v>
          </cell>
          <cell r="N19">
            <v>0</v>
          </cell>
          <cell r="O19">
            <v>0</v>
          </cell>
          <cell r="P19">
            <v>0</v>
          </cell>
          <cell r="Q19">
            <v>0</v>
          </cell>
          <cell r="R19">
            <v>0</v>
          </cell>
        </row>
        <row r="20">
          <cell r="A20" t="str">
            <v>Option 0AntibioticsResource</v>
          </cell>
          <cell r="B20">
            <v>1</v>
          </cell>
          <cell r="C20" t="str">
            <v>Option 0</v>
          </cell>
          <cell r="D20" t="str">
            <v>Antibiotics</v>
          </cell>
          <cell r="E20" t="str">
            <v>Resource</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Option 0ConsumablesCash</v>
          </cell>
          <cell r="B21">
            <v>1</v>
          </cell>
          <cell r="C21" t="str">
            <v>Option 0</v>
          </cell>
          <cell r="D21" t="str">
            <v>Consumables</v>
          </cell>
          <cell r="E21" t="str">
            <v>Cash</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Option 0Consumablesnear-cash</v>
          </cell>
          <cell r="B22">
            <v>1</v>
          </cell>
          <cell r="C22" t="str">
            <v>Option 0</v>
          </cell>
          <cell r="D22" t="str">
            <v>Consumables</v>
          </cell>
          <cell r="E22" t="str">
            <v>near-cash</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Option 0Consumablesnon-cash</v>
          </cell>
          <cell r="B23">
            <v>1</v>
          </cell>
          <cell r="C23" t="str">
            <v>Option 0</v>
          </cell>
          <cell r="D23" t="str">
            <v>Consumables</v>
          </cell>
          <cell r="E23" t="str">
            <v>non-cash</v>
          </cell>
          <cell r="F23">
            <v>0</v>
          </cell>
          <cell r="G23">
            <v>0</v>
          </cell>
          <cell r="H23">
            <v>0</v>
          </cell>
          <cell r="I23">
            <v>0</v>
          </cell>
          <cell r="J23">
            <v>0</v>
          </cell>
          <cell r="K23">
            <v>0</v>
          </cell>
          <cell r="L23">
            <v>0</v>
          </cell>
          <cell r="M23">
            <v>0</v>
          </cell>
          <cell r="N23">
            <v>0</v>
          </cell>
          <cell r="O23">
            <v>0</v>
          </cell>
          <cell r="P23">
            <v>0</v>
          </cell>
          <cell r="Q23">
            <v>0</v>
          </cell>
          <cell r="R23">
            <v>0</v>
          </cell>
        </row>
        <row r="24">
          <cell r="A24" t="str">
            <v>Option 0ConsumablesResource</v>
          </cell>
          <cell r="B24">
            <v>1</v>
          </cell>
          <cell r="C24" t="str">
            <v>Option 0</v>
          </cell>
          <cell r="D24" t="str">
            <v>Consumables</v>
          </cell>
          <cell r="E24" t="str">
            <v>Resource</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Option 0Non ProductCash</v>
          </cell>
          <cell r="B25">
            <v>1</v>
          </cell>
          <cell r="C25" t="str">
            <v>Option 0</v>
          </cell>
          <cell r="D25" t="str">
            <v>Non Product</v>
          </cell>
          <cell r="E25" t="str">
            <v>Cash</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Option 0Non Productnear-cash</v>
          </cell>
          <cell r="B26">
            <v>1</v>
          </cell>
          <cell r="C26" t="str">
            <v>Option 0</v>
          </cell>
          <cell r="D26" t="str">
            <v>Non Product</v>
          </cell>
          <cell r="E26" t="str">
            <v>near-cash</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Option 0Non Productnon-cash</v>
          </cell>
          <cell r="B27">
            <v>1</v>
          </cell>
          <cell r="C27" t="str">
            <v>Option 0</v>
          </cell>
          <cell r="D27" t="str">
            <v>Non Product</v>
          </cell>
          <cell r="E27" t="str">
            <v>non-cash</v>
          </cell>
          <cell r="F27">
            <v>0</v>
          </cell>
          <cell r="G27">
            <v>0</v>
          </cell>
          <cell r="H27">
            <v>0</v>
          </cell>
          <cell r="I27">
            <v>0</v>
          </cell>
          <cell r="J27">
            <v>0</v>
          </cell>
          <cell r="K27">
            <v>0</v>
          </cell>
          <cell r="L27">
            <v>0</v>
          </cell>
          <cell r="M27">
            <v>0</v>
          </cell>
          <cell r="N27">
            <v>0</v>
          </cell>
          <cell r="O27">
            <v>0</v>
          </cell>
          <cell r="P27">
            <v>0</v>
          </cell>
          <cell r="Q27">
            <v>0</v>
          </cell>
          <cell r="R27">
            <v>0</v>
          </cell>
        </row>
        <row r="28">
          <cell r="A28" t="str">
            <v>Option 0Non ProductResource</v>
          </cell>
          <cell r="B28">
            <v>1</v>
          </cell>
          <cell r="C28" t="str">
            <v>Option 0</v>
          </cell>
          <cell r="D28" t="str">
            <v>Non Product</v>
          </cell>
          <cell r="E28" t="str">
            <v>Resource</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Option 0TotalCash</v>
          </cell>
          <cell r="B29">
            <v>1</v>
          </cell>
          <cell r="C29" t="str">
            <v>Option 0</v>
          </cell>
          <cell r="D29" t="str">
            <v>Total</v>
          </cell>
          <cell r="E29" t="str">
            <v>Cash</v>
          </cell>
          <cell r="F29">
            <v>126500094.0167138</v>
          </cell>
          <cell r="G29">
            <v>18732375.229146294</v>
          </cell>
          <cell r="H29">
            <v>1596254.8192037372</v>
          </cell>
          <cell r="I29">
            <v>19439919.384709146</v>
          </cell>
          <cell r="J29">
            <v>100775216.72583169</v>
          </cell>
          <cell r="K29">
            <v>116633452.18342017</v>
          </cell>
          <cell r="L29">
            <v>616040.91484695347</v>
          </cell>
          <cell r="M29">
            <v>21879800.533179924</v>
          </cell>
          <cell r="N29">
            <v>653557.80656113301</v>
          </cell>
          <cell r="O29">
            <v>139365211.92711303</v>
          </cell>
          <cell r="P29">
            <v>120254753.44715001</v>
          </cell>
          <cell r="Q29">
            <v>24625908.261136707</v>
          </cell>
          <cell r="R29">
            <v>691072585.24901247</v>
          </cell>
        </row>
        <row r="30">
          <cell r="A30" t="str">
            <v>Option 0TotalVAT*</v>
          </cell>
          <cell r="B30">
            <v>1</v>
          </cell>
          <cell r="C30" t="str">
            <v>Option 0</v>
          </cell>
          <cell r="D30" t="str">
            <v>Total</v>
          </cell>
          <cell r="E30" t="str">
            <v>VAT*</v>
          </cell>
          <cell r="F30">
            <v>18840439.534404188</v>
          </cell>
          <cell r="G30">
            <v>2789928.2256175335</v>
          </cell>
          <cell r="H30">
            <v>237740.07945587579</v>
          </cell>
          <cell r="I30">
            <v>2895307.1424034908</v>
          </cell>
          <cell r="J30">
            <v>15009074.831506848</v>
          </cell>
          <cell r="K30">
            <v>17370939.686892375</v>
          </cell>
          <cell r="L30">
            <v>91750.774551673909</v>
          </cell>
          <cell r="M30">
            <v>3258693.6964310519</v>
          </cell>
          <cell r="N30">
            <v>97338.396721870871</v>
          </cell>
          <cell r="O30">
            <v>20756520.92531471</v>
          </cell>
          <cell r="P30">
            <v>17910282.428298935</v>
          </cell>
          <cell r="Q30">
            <v>3667688.4644246176</v>
          </cell>
          <cell r="R30">
            <v>102925704.18602318</v>
          </cell>
        </row>
        <row r="31">
          <cell r="A31" t="str">
            <v>Option 0Totalcash (exc VAT)</v>
          </cell>
          <cell r="B31">
            <v>1</v>
          </cell>
          <cell r="C31" t="str">
            <v>Option 0</v>
          </cell>
          <cell r="D31" t="str">
            <v>Total</v>
          </cell>
          <cell r="E31" t="str">
            <v>cash (exc VAT)</v>
          </cell>
          <cell r="F31">
            <v>107659654.48230961</v>
          </cell>
          <cell r="G31">
            <v>15942447.003528761</v>
          </cell>
          <cell r="H31">
            <v>1358514.7397478614</v>
          </cell>
          <cell r="I31">
            <v>16544612.242305655</v>
          </cell>
          <cell r="J31">
            <v>85766141.894324839</v>
          </cell>
          <cell r="K31">
            <v>99262512.496527791</v>
          </cell>
          <cell r="L31">
            <v>524290.14029527956</v>
          </cell>
          <cell r="M31">
            <v>18621106.836748872</v>
          </cell>
          <cell r="N31">
            <v>556219.40983926214</v>
          </cell>
          <cell r="O31">
            <v>118608691.00179832</v>
          </cell>
          <cell r="P31">
            <v>102344471.01885107</v>
          </cell>
          <cell r="Q31">
            <v>20958219.796712089</v>
          </cell>
          <cell r="R31">
            <v>588146881.06298935</v>
          </cell>
        </row>
        <row r="32">
          <cell r="A32" t="str">
            <v>Option 0Totaldiscount Factor</v>
          </cell>
          <cell r="B32">
            <v>1</v>
          </cell>
          <cell r="C32" t="str">
            <v>Option 0</v>
          </cell>
          <cell r="D32" t="str">
            <v>Total</v>
          </cell>
          <cell r="E32" t="str">
            <v>discount Factor</v>
          </cell>
          <cell r="F32">
            <v>1</v>
          </cell>
          <cell r="G32">
            <v>0.96618357487922713</v>
          </cell>
          <cell r="H32">
            <v>0.93351070036640305</v>
          </cell>
          <cell r="I32">
            <v>0.90194270566802237</v>
          </cell>
          <cell r="J32">
            <v>0.87144222769857238</v>
          </cell>
          <cell r="K32">
            <v>0.84197316685852408</v>
          </cell>
          <cell r="L32">
            <v>0.81350064430775282</v>
          </cell>
          <cell r="M32">
            <v>0.78599096068381924</v>
          </cell>
          <cell r="N32">
            <v>0.75941155621625056</v>
          </cell>
          <cell r="O32">
            <v>0.73373097218961414</v>
          </cell>
          <cell r="P32">
            <v>0.70891881370977217</v>
          </cell>
          <cell r="Q32">
            <v>0.68494571372924851</v>
          </cell>
          <cell r="R32">
            <v>10.001551036307207</v>
          </cell>
        </row>
        <row r="33">
          <cell r="A33" t="str">
            <v>Option 0TotalCash Discount</v>
          </cell>
          <cell r="B33">
            <v>1</v>
          </cell>
          <cell r="C33" t="str">
            <v>Option 0</v>
          </cell>
          <cell r="D33" t="str">
            <v>Total</v>
          </cell>
          <cell r="E33" t="str">
            <v>Cash Discount</v>
          </cell>
          <cell r="F33">
            <v>0</v>
          </cell>
          <cell r="G33">
            <v>539116.5653367202</v>
          </cell>
          <cell r="H33">
            <v>90326.693587753543</v>
          </cell>
          <cell r="I33">
            <v>1622319.9122522059</v>
          </cell>
          <cell r="J33">
            <v>11025904.140822545</v>
          </cell>
          <cell r="K33">
            <v>15686140.499492466</v>
          </cell>
          <cell r="L33">
            <v>97779.773360867519</v>
          </cell>
          <cell r="M33">
            <v>3985085.1851365915</v>
          </cell>
          <cell r="N33">
            <v>133819.96221554361</v>
          </cell>
          <cell r="O33">
            <v>31581820.842911299</v>
          </cell>
          <cell r="P33">
            <v>29790550.034413014</v>
          </cell>
          <cell r="Q33">
            <v>6602976.9795586616</v>
          </cell>
          <cell r="R33">
            <v>101155840.58908767</v>
          </cell>
        </row>
        <row r="34">
          <cell r="A34" t="str">
            <v>Option 0TotalDiscounted Cash</v>
          </cell>
          <cell r="B34">
            <v>1</v>
          </cell>
          <cell r="C34" t="str">
            <v>Option 0</v>
          </cell>
          <cell r="D34" t="str">
            <v>Total</v>
          </cell>
          <cell r="E34" t="str">
            <v>Discounted Cash</v>
          </cell>
          <cell r="F34">
            <v>126500094.0167138</v>
          </cell>
          <cell r="G34">
            <v>18193258.663809575</v>
          </cell>
          <cell r="H34">
            <v>1505928.1256159837</v>
          </cell>
          <cell r="I34">
            <v>17817599.47245694</v>
          </cell>
          <cell r="J34">
            <v>89749312.585009143</v>
          </cell>
          <cell r="K34">
            <v>100947311.6839277</v>
          </cell>
          <cell r="L34">
            <v>518261.14148608595</v>
          </cell>
          <cell r="M34">
            <v>17894715.348043334</v>
          </cell>
          <cell r="N34">
            <v>519737.8443455894</v>
          </cell>
          <cell r="O34">
            <v>107783391.08420172</v>
          </cell>
          <cell r="P34">
            <v>90464203.412736997</v>
          </cell>
          <cell r="Q34">
            <v>18022931.281578045</v>
          </cell>
          <cell r="R34">
            <v>589916744.65992498</v>
          </cell>
        </row>
        <row r="35">
          <cell r="A35" t="str">
            <v>Option 0Totalnear-cash</v>
          </cell>
          <cell r="B35">
            <v>1</v>
          </cell>
          <cell r="C35" t="str">
            <v>Option 0</v>
          </cell>
          <cell r="D35" t="str">
            <v>Total</v>
          </cell>
          <cell r="E35" t="str">
            <v>near-cash</v>
          </cell>
          <cell r="F35">
            <v>510849.79421379976</v>
          </cell>
          <cell r="G35">
            <v>571575.22914629406</v>
          </cell>
          <cell r="H35">
            <v>41225462.083988734</v>
          </cell>
          <cell r="I35">
            <v>19439919.384709146</v>
          </cell>
          <cell r="J35">
            <v>100775216.72583167</v>
          </cell>
          <cell r="K35">
            <v>116633452.18342015</v>
          </cell>
          <cell r="L35">
            <v>616040.91484695347</v>
          </cell>
          <cell r="M35">
            <v>21879800.533179924</v>
          </cell>
          <cell r="N35">
            <v>653557.80656113301</v>
          </cell>
          <cell r="O35">
            <v>139365211.92711303</v>
          </cell>
          <cell r="P35">
            <v>120254753.44714999</v>
          </cell>
          <cell r="Q35">
            <v>24625908.261136707</v>
          </cell>
          <cell r="R35">
            <v>586551748.29129755</v>
          </cell>
        </row>
        <row r="36">
          <cell r="A36" t="str">
            <v>Option 0Totalnon-cash</v>
          </cell>
          <cell r="B36">
            <v>1</v>
          </cell>
          <cell r="C36" t="str">
            <v>Option 0</v>
          </cell>
          <cell r="D36" t="str">
            <v>Total</v>
          </cell>
          <cell r="E36" t="str">
            <v>non-cash</v>
          </cell>
          <cell r="F36">
            <v>5686003.2837781254</v>
          </cell>
          <cell r="G36">
            <v>6392611.8738886248</v>
          </cell>
          <cell r="H36">
            <v>6584390.2301052827</v>
          </cell>
          <cell r="I36">
            <v>6781921.9370084424</v>
          </cell>
          <cell r="J36">
            <v>6985379.5951186968</v>
          </cell>
          <cell r="K36">
            <v>7194940.9829722578</v>
          </cell>
          <cell r="L36">
            <v>7410789.212461425</v>
          </cell>
          <cell r="M36">
            <v>7633112.8888352681</v>
          </cell>
          <cell r="N36">
            <v>7862106.2755003264</v>
          </cell>
          <cell r="O36">
            <v>8097969.4637653362</v>
          </cell>
          <cell r="P36">
            <v>8340908.5476782974</v>
          </cell>
          <cell r="Q36">
            <v>8591135.8041086458</v>
          </cell>
          <cell r="R36">
            <v>87561270.09522073</v>
          </cell>
        </row>
        <row r="37">
          <cell r="A37" t="str">
            <v>Option 0TotalResource</v>
          </cell>
          <cell r="B37">
            <v>1</v>
          </cell>
          <cell r="C37" t="str">
            <v>Option 0</v>
          </cell>
          <cell r="D37" t="str">
            <v>Total</v>
          </cell>
          <cell r="E37" t="str">
            <v>Resource</v>
          </cell>
          <cell r="F37">
            <v>6196853.0779919252</v>
          </cell>
          <cell r="G37">
            <v>6964187.1030349191</v>
          </cell>
          <cell r="H37">
            <v>47809852.314094022</v>
          </cell>
          <cell r="I37">
            <v>26221841.32171759</v>
          </cell>
          <cell r="J37">
            <v>107760596.32095037</v>
          </cell>
          <cell r="K37">
            <v>123828393.16639242</v>
          </cell>
          <cell r="L37">
            <v>8026830.1273083789</v>
          </cell>
          <cell r="M37">
            <v>29512913.42201519</v>
          </cell>
          <cell r="N37">
            <v>8515664.0820614584</v>
          </cell>
          <cell r="O37">
            <v>147463181.39087838</v>
          </cell>
          <cell r="P37">
            <v>128595661.99482828</v>
          </cell>
          <cell r="Q37">
            <v>33217044.065245353</v>
          </cell>
          <cell r="R37">
            <v>674113018.38651824</v>
          </cell>
        </row>
        <row r="38">
          <cell r="A38" t="str">
            <v>Option 0TotalCapital DEL (Credit)</v>
          </cell>
          <cell r="B38">
            <v>1</v>
          </cell>
          <cell r="C38" t="str">
            <v>Option 0</v>
          </cell>
          <cell r="D38" t="str">
            <v>Total</v>
          </cell>
          <cell r="E38" t="str">
            <v>Capital DEL (Credit)</v>
          </cell>
          <cell r="F38">
            <v>0</v>
          </cell>
          <cell r="G38">
            <v>0</v>
          </cell>
          <cell r="H38">
            <v>37354328.649999999</v>
          </cell>
          <cell r="I38">
            <v>18160800</v>
          </cell>
          <cell r="J38">
            <v>88691350</v>
          </cell>
          <cell r="K38">
            <v>100672367.57250001</v>
          </cell>
          <cell r="L38">
            <v>0</v>
          </cell>
          <cell r="M38">
            <v>18160800</v>
          </cell>
          <cell r="N38">
            <v>0</v>
          </cell>
          <cell r="O38">
            <v>106852150</v>
          </cell>
          <cell r="P38">
            <v>88634915.572500005</v>
          </cell>
          <cell r="Q38">
            <v>18160800</v>
          </cell>
          <cell r="R38">
            <v>476687511.79500002</v>
          </cell>
        </row>
        <row r="39">
          <cell r="A39" t="str">
            <v>Option 0TotalCapital DEL (Debit)</v>
          </cell>
          <cell r="B39">
            <v>1</v>
          </cell>
          <cell r="C39" t="str">
            <v>Option 0</v>
          </cell>
          <cell r="D39" t="str">
            <v>Total</v>
          </cell>
          <cell r="E39" t="str">
            <v>Capital DEL (Debit)</v>
          </cell>
          <cell r="F39">
            <v>125989244.2225</v>
          </cell>
          <cell r="G39">
            <v>18160800</v>
          </cell>
          <cell r="H39">
            <v>0</v>
          </cell>
          <cell r="I39">
            <v>18160800</v>
          </cell>
          <cell r="J39">
            <v>88691350</v>
          </cell>
          <cell r="K39">
            <v>100672367.57250001</v>
          </cell>
          <cell r="L39">
            <v>0</v>
          </cell>
          <cell r="M39">
            <v>18160800</v>
          </cell>
          <cell r="N39">
            <v>0</v>
          </cell>
          <cell r="O39">
            <v>106852150</v>
          </cell>
          <cell r="P39">
            <v>88634915.572500005</v>
          </cell>
          <cell r="Q39">
            <v>18160800</v>
          </cell>
          <cell r="R39">
            <v>583483227.36750007</v>
          </cell>
        </row>
        <row r="40">
          <cell r="A40" t="str">
            <v>Option 1Pandemic Vaccinescash</v>
          </cell>
          <cell r="B40">
            <v>2</v>
          </cell>
          <cell r="C40" t="str">
            <v>Option 1</v>
          </cell>
          <cell r="D40" t="str">
            <v>Pandemic Vaccines</v>
          </cell>
          <cell r="E40" t="str">
            <v>cash</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Option 1Pandemic Vaccinesnear-cash</v>
          </cell>
          <cell r="B41">
            <v>2</v>
          </cell>
          <cell r="C41" t="str">
            <v>Option 1</v>
          </cell>
          <cell r="D41" t="str">
            <v>Pandemic Vaccines</v>
          </cell>
          <cell r="E41" t="str">
            <v>near-cash</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Option 1Pandemic Vaccinesnon-cash</v>
          </cell>
          <cell r="B42">
            <v>2</v>
          </cell>
          <cell r="C42" t="str">
            <v>Option 1</v>
          </cell>
          <cell r="D42" t="str">
            <v>Pandemic Vaccines</v>
          </cell>
          <cell r="E42" t="str">
            <v>non-cash</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Option 1Pandemic Vaccinesresource</v>
          </cell>
          <cell r="B43">
            <v>2</v>
          </cell>
          <cell r="C43" t="str">
            <v>Option 1</v>
          </cell>
          <cell r="D43" t="str">
            <v>Pandemic Vaccines</v>
          </cell>
          <cell r="E43" t="str">
            <v>resource</v>
          </cell>
          <cell r="F43">
            <v>0</v>
          </cell>
          <cell r="G43">
            <v>0</v>
          </cell>
          <cell r="H43">
            <v>0</v>
          </cell>
          <cell r="I43">
            <v>0</v>
          </cell>
          <cell r="J43">
            <v>0</v>
          </cell>
          <cell r="K43">
            <v>0</v>
          </cell>
          <cell r="L43">
            <v>0</v>
          </cell>
          <cell r="M43">
            <v>0</v>
          </cell>
          <cell r="N43">
            <v>0</v>
          </cell>
          <cell r="O43">
            <v>0</v>
          </cell>
          <cell r="P43">
            <v>0</v>
          </cell>
          <cell r="Q43">
            <v>0</v>
          </cell>
          <cell r="R43">
            <v>0</v>
          </cell>
        </row>
        <row r="44">
          <cell r="A44" t="str">
            <v>Option 1Pre=Pandemic Vaccinescash</v>
          </cell>
          <cell r="B44">
            <v>2</v>
          </cell>
          <cell r="C44" t="str">
            <v>Option 1</v>
          </cell>
          <cell r="D44" t="str">
            <v>Pre=Pandemic Vaccines</v>
          </cell>
          <cell r="E44" t="str">
            <v>cash</v>
          </cell>
          <cell r="F44">
            <v>37396638.283571467</v>
          </cell>
          <cell r="G44">
            <v>291460310.61276329</v>
          </cell>
          <cell r="H44">
            <v>6060534.643292754</v>
          </cell>
          <cell r="I44">
            <v>293047365.22604167</v>
          </cell>
          <cell r="J44">
            <v>5181900.8895833334</v>
          </cell>
          <cell r="K44">
            <v>303756539.25594795</v>
          </cell>
          <cell r="L44">
            <v>5497478.653758958</v>
          </cell>
          <cell r="M44">
            <v>322255312.49663514</v>
          </cell>
          <cell r="N44">
            <v>5832275.1037728796</v>
          </cell>
          <cell r="O44">
            <v>341880661.02768028</v>
          </cell>
          <cell r="P44">
            <v>6187460.6575926477</v>
          </cell>
          <cell r="Q44">
            <v>362701193.28426605</v>
          </cell>
          <cell r="R44">
            <v>1981257670.1349061</v>
          </cell>
        </row>
        <row r="45">
          <cell r="A45" t="str">
            <v>Option 1Pre=Pandemic Vaccinesnear-cash</v>
          </cell>
          <cell r="B45">
            <v>2</v>
          </cell>
          <cell r="C45" t="str">
            <v>Option 1</v>
          </cell>
          <cell r="D45" t="str">
            <v>Pre=Pandemic Vaccines</v>
          </cell>
          <cell r="E45" t="str">
            <v>near-cash</v>
          </cell>
          <cell r="F45">
            <v>42309.633571465776</v>
          </cell>
          <cell r="G45">
            <v>147260.61276326023</v>
          </cell>
          <cell r="H45">
            <v>40839341.908077747</v>
          </cell>
          <cell r="I45">
            <v>88738365.22604169</v>
          </cell>
          <cell r="J45">
            <v>5181900.8895833334</v>
          </cell>
          <cell r="K45">
            <v>303756539.25594795</v>
          </cell>
          <cell r="L45">
            <v>5497478.653758958</v>
          </cell>
          <cell r="M45">
            <v>322255312.49663514</v>
          </cell>
          <cell r="N45">
            <v>5832275.1037728796</v>
          </cell>
          <cell r="O45">
            <v>341880661.02768028</v>
          </cell>
          <cell r="P45">
            <v>6187460.6575926477</v>
          </cell>
          <cell r="Q45">
            <v>362701193.28426605</v>
          </cell>
          <cell r="R45">
            <v>1483060098.7496912</v>
          </cell>
        </row>
        <row r="46">
          <cell r="A46" t="str">
            <v>Option 1Pre=Pandemic Vaccinesnon-cash</v>
          </cell>
          <cell r="B46">
            <v>2</v>
          </cell>
          <cell r="C46" t="str">
            <v>Option 1</v>
          </cell>
          <cell r="D46" t="str">
            <v>Pre=Pandemic Vaccines</v>
          </cell>
          <cell r="E46" t="str">
            <v>non-cash</v>
          </cell>
          <cell r="F46">
            <v>1110000.51575</v>
          </cell>
          <cell r="G46">
            <v>8221695.4228325002</v>
          </cell>
          <cell r="H46">
            <v>10575143.457108302</v>
          </cell>
          <cell r="I46">
            <v>17516535.750000004</v>
          </cell>
          <cell r="J46">
            <v>17516535.750000004</v>
          </cell>
          <cell r="K46">
            <v>18042031.822500005</v>
          </cell>
          <cell r="L46">
            <v>18583292.777175002</v>
          </cell>
          <cell r="M46">
            <v>19140791.560490251</v>
          </cell>
          <cell r="N46">
            <v>19715015.307304963</v>
          </cell>
          <cell r="O46">
            <v>20306465.76652411</v>
          </cell>
          <cell r="P46">
            <v>20915659.739519835</v>
          </cell>
          <cell r="Q46">
            <v>21543129.531705432</v>
          </cell>
          <cell r="R46">
            <v>193186297.40091044</v>
          </cell>
        </row>
        <row r="47">
          <cell r="A47" t="str">
            <v>Option 1Pre=Pandemic Vaccinesresource</v>
          </cell>
          <cell r="B47">
            <v>2</v>
          </cell>
          <cell r="C47" t="str">
            <v>Option 1</v>
          </cell>
          <cell r="D47" t="str">
            <v>Pre=Pandemic Vaccines</v>
          </cell>
          <cell r="E47" t="str">
            <v>resource</v>
          </cell>
          <cell r="F47">
            <v>1152310.1493214658</v>
          </cell>
          <cell r="G47">
            <v>8368956.0355957607</v>
          </cell>
          <cell r="H47">
            <v>51414485.365186051</v>
          </cell>
          <cell r="I47">
            <v>106254900.97604169</v>
          </cell>
          <cell r="J47">
            <v>22698436.639583338</v>
          </cell>
          <cell r="K47">
            <v>321798571.07844794</v>
          </cell>
          <cell r="L47">
            <v>24080771.43093396</v>
          </cell>
          <cell r="M47">
            <v>341396104.05712539</v>
          </cell>
          <cell r="N47">
            <v>25547290.411077842</v>
          </cell>
          <cell r="O47">
            <v>362187126.79420441</v>
          </cell>
          <cell r="P47">
            <v>27103120.397112481</v>
          </cell>
          <cell r="Q47">
            <v>384244322.81597149</v>
          </cell>
          <cell r="R47">
            <v>1676246396.1506019</v>
          </cell>
        </row>
        <row r="48">
          <cell r="A48" t="str">
            <v>Option 1Antiviralscash</v>
          </cell>
          <cell r="B48">
            <v>2</v>
          </cell>
          <cell r="C48" t="str">
            <v>Option 1</v>
          </cell>
          <cell r="D48" t="str">
            <v>Antivirals</v>
          </cell>
          <cell r="E48" t="str">
            <v>cash</v>
          </cell>
          <cell r="F48">
            <v>127459419.07238866</v>
          </cell>
          <cell r="G48">
            <v>637073.70898437512</v>
          </cell>
          <cell r="H48">
            <v>656185.92025390617</v>
          </cell>
          <cell r="I48">
            <v>675871.49786152353</v>
          </cell>
          <cell r="J48">
            <v>100890686.7224353</v>
          </cell>
          <cell r="K48">
            <v>141324009.09354174</v>
          </cell>
          <cell r="L48">
            <v>738543.03424372908</v>
          </cell>
          <cell r="M48">
            <v>760699.3252710409</v>
          </cell>
          <cell r="N48">
            <v>783520.30502917222</v>
          </cell>
          <cell r="O48">
            <v>116959957.45564249</v>
          </cell>
          <cell r="P48">
            <v>172093165.27332205</v>
          </cell>
          <cell r="Q48">
            <v>856173.79235361225</v>
          </cell>
          <cell r="R48">
            <v>663835305.20132756</v>
          </cell>
        </row>
        <row r="49">
          <cell r="A49" t="str">
            <v>Option 1Antiviralsnear-cash</v>
          </cell>
          <cell r="B49">
            <v>2</v>
          </cell>
          <cell r="C49" t="str">
            <v>Option 1</v>
          </cell>
          <cell r="D49" t="str">
            <v>Antivirals</v>
          </cell>
          <cell r="E49" t="str">
            <v>near-cash</v>
          </cell>
          <cell r="F49">
            <v>497144.07238867186</v>
          </cell>
          <cell r="G49">
            <v>637073.70898437512</v>
          </cell>
          <cell r="H49">
            <v>656185.92025390617</v>
          </cell>
          <cell r="I49">
            <v>675871.49786152353</v>
          </cell>
          <cell r="J49">
            <v>100890686.7224353</v>
          </cell>
          <cell r="K49">
            <v>141324009.09354174</v>
          </cell>
          <cell r="L49">
            <v>738543.03424372908</v>
          </cell>
          <cell r="M49">
            <v>760699.3252710409</v>
          </cell>
          <cell r="N49">
            <v>783520.30502917222</v>
          </cell>
          <cell r="O49">
            <v>116959957.45564249</v>
          </cell>
          <cell r="P49">
            <v>172093165.27332205</v>
          </cell>
          <cell r="Q49">
            <v>856173.79235361225</v>
          </cell>
          <cell r="R49">
            <v>536873030.20132756</v>
          </cell>
        </row>
        <row r="50">
          <cell r="A50" t="str">
            <v>Option 1Antiviralsnon-cash</v>
          </cell>
          <cell r="B50">
            <v>2</v>
          </cell>
          <cell r="C50" t="str">
            <v>Option 1</v>
          </cell>
          <cell r="D50" t="str">
            <v>Antivirals</v>
          </cell>
          <cell r="E50" t="str">
            <v>non-cash</v>
          </cell>
          <cell r="F50">
            <v>6021367.6787687503</v>
          </cell>
          <cell r="G50">
            <v>7774313.1812500004</v>
          </cell>
          <cell r="H50">
            <v>8007542.5766874989</v>
          </cell>
          <cell r="I50">
            <v>8247768.853988125</v>
          </cell>
          <cell r="J50">
            <v>8495201.9196077697</v>
          </cell>
          <cell r="K50">
            <v>8750057.9771960024</v>
          </cell>
          <cell r="L50">
            <v>9012559.7165118828</v>
          </cell>
          <cell r="M50">
            <v>9282936.5080072396</v>
          </cell>
          <cell r="N50">
            <v>9561424.6032474581</v>
          </cell>
          <cell r="O50">
            <v>9848267.3413448837</v>
          </cell>
          <cell r="P50">
            <v>10143715.361585228</v>
          </cell>
          <cell r="Q50">
            <v>10448026.822432786</v>
          </cell>
          <cell r="R50">
            <v>105593182.54062763</v>
          </cell>
        </row>
        <row r="51">
          <cell r="A51" t="str">
            <v>Option 1Antiviralsresource</v>
          </cell>
          <cell r="B51">
            <v>2</v>
          </cell>
          <cell r="C51" t="str">
            <v>Option 1</v>
          </cell>
          <cell r="D51" t="str">
            <v>Antivirals</v>
          </cell>
          <cell r="E51" t="str">
            <v>resource</v>
          </cell>
          <cell r="F51">
            <v>6518511.7511574226</v>
          </cell>
          <cell r="G51">
            <v>8411386.8902343754</v>
          </cell>
          <cell r="H51">
            <v>8663728.4969414044</v>
          </cell>
          <cell r="I51">
            <v>8923640.3518496491</v>
          </cell>
          <cell r="J51">
            <v>109385888.64204307</v>
          </cell>
          <cell r="K51">
            <v>150074067.07073775</v>
          </cell>
          <cell r="L51">
            <v>9751102.7507556118</v>
          </cell>
          <cell r="M51">
            <v>10043635.83327828</v>
          </cell>
          <cell r="N51">
            <v>10344944.908276631</v>
          </cell>
          <cell r="O51">
            <v>126808224.79698737</v>
          </cell>
          <cell r="P51">
            <v>182236880.63490728</v>
          </cell>
          <cell r="Q51">
            <v>11304200.614786398</v>
          </cell>
          <cell r="R51">
            <v>642466212.74195528</v>
          </cell>
        </row>
        <row r="52">
          <cell r="A52" t="str">
            <v>Option 1Antibioticscash</v>
          </cell>
          <cell r="B52">
            <v>2</v>
          </cell>
          <cell r="C52" t="str">
            <v>Option 1</v>
          </cell>
          <cell r="D52" t="str">
            <v>Antibiotics</v>
          </cell>
          <cell r="E52" t="str">
            <v>cash</v>
          </cell>
          <cell r="F52">
            <v>5405295.0005714092</v>
          </cell>
          <cell r="G52">
            <v>123869320.35128625</v>
          </cell>
          <cell r="H52">
            <v>26555216.062979925</v>
          </cell>
          <cell r="I52">
            <v>84065925.413160682</v>
          </cell>
          <cell r="J52">
            <v>65367128.71789261</v>
          </cell>
          <cell r="K52">
            <v>109582276.08062927</v>
          </cell>
          <cell r="L52">
            <v>10618838.665534718</v>
          </cell>
          <cell r="M52">
            <v>155107962.31033114</v>
          </cell>
          <cell r="N52">
            <v>33553589.871508818</v>
          </cell>
          <cell r="O52">
            <v>100379111.29942016</v>
          </cell>
          <cell r="P52">
            <v>78051770.163106427</v>
          </cell>
          <cell r="Q52">
            <v>130846968.41295029</v>
          </cell>
          <cell r="R52">
            <v>923403402.34937167</v>
          </cell>
        </row>
        <row r="53">
          <cell r="A53" t="str">
            <v>Option 1Antibioticsnear-cash</v>
          </cell>
          <cell r="B53">
            <v>2</v>
          </cell>
          <cell r="C53" t="str">
            <v>Option 1</v>
          </cell>
          <cell r="D53" t="str">
            <v>Antibiotics</v>
          </cell>
          <cell r="E53" t="str">
            <v>near-cash</v>
          </cell>
          <cell r="F53">
            <v>235883.49975704166</v>
          </cell>
          <cell r="G53">
            <v>5044404.5037024878</v>
          </cell>
          <cell r="H53">
            <v>14157704.612008803</v>
          </cell>
          <cell r="I53">
            <v>86578727.240986466</v>
          </cell>
          <cell r="J53">
            <v>71459511.701302081</v>
          </cell>
          <cell r="K53">
            <v>112248107.53976962</v>
          </cell>
          <cell r="L53">
            <v>17082247.772633817</v>
          </cell>
          <cell r="M53">
            <v>157936142.90533313</v>
          </cell>
          <cell r="N53">
            <v>40410620.593230247</v>
          </cell>
          <cell r="O53">
            <v>103379528.0926578</v>
          </cell>
          <cell r="P53">
            <v>85326394.055780694</v>
          </cell>
          <cell r="Q53">
            <v>134030110.58889608</v>
          </cell>
          <cell r="R53">
            <v>827889383.10605812</v>
          </cell>
        </row>
        <row r="54">
          <cell r="A54" t="str">
            <v>Option 1Antibioticsnon-cash</v>
          </cell>
          <cell r="B54">
            <v>2</v>
          </cell>
          <cell r="C54" t="str">
            <v>Option 1</v>
          </cell>
          <cell r="D54" t="str">
            <v>Antibiotics</v>
          </cell>
          <cell r="E54" t="str">
            <v>non-cash</v>
          </cell>
          <cell r="F54">
            <v>137761.3635749807</v>
          </cell>
          <cell r="G54">
            <v>3614213.129420463</v>
          </cell>
          <cell r="H54">
            <v>5364420.4824457886</v>
          </cell>
          <cell r="I54">
            <v>5614886.9120524162</v>
          </cell>
          <cell r="J54">
            <v>5777683.9432176827</v>
          </cell>
          <cell r="K54">
            <v>5956833.5249964092</v>
          </cell>
          <cell r="L54">
            <v>6129544.8953596419</v>
          </cell>
          <cell r="M54">
            <v>6319604.6866686894</v>
          </cell>
          <cell r="N54">
            <v>6502834.179487044</v>
          </cell>
          <cell r="O54">
            <v>6704468.6120868158</v>
          </cell>
          <cell r="P54">
            <v>6898856.7810178036</v>
          </cell>
          <cell r="Q54">
            <v>7112770.7505629007</v>
          </cell>
          <cell r="R54">
            <v>66133879.260890633</v>
          </cell>
        </row>
        <row r="55">
          <cell r="A55" t="str">
            <v>Option 1Antibioticsresource</v>
          </cell>
          <cell r="B55">
            <v>2</v>
          </cell>
          <cell r="C55" t="str">
            <v>Option 1</v>
          </cell>
          <cell r="D55" t="str">
            <v>Antibiotics</v>
          </cell>
          <cell r="E55" t="str">
            <v>resource</v>
          </cell>
          <cell r="F55">
            <v>373644.86333202233</v>
          </cell>
          <cell r="G55">
            <v>8658617.6331229508</v>
          </cell>
          <cell r="H55">
            <v>19522125.09445459</v>
          </cell>
          <cell r="I55">
            <v>92193614.153038889</v>
          </cell>
          <cell r="J55">
            <v>77237195.644519761</v>
          </cell>
          <cell r="K55">
            <v>118204941.06476603</v>
          </cell>
          <cell r="L55">
            <v>23211792.66799346</v>
          </cell>
          <cell r="M55">
            <v>164255747.59200183</v>
          </cell>
          <cell r="N55">
            <v>46913454.77271729</v>
          </cell>
          <cell r="O55">
            <v>110083996.70474462</v>
          </cell>
          <cell r="P55">
            <v>92225250.836798504</v>
          </cell>
          <cell r="Q55">
            <v>141142881.33945897</v>
          </cell>
          <cell r="R55">
            <v>894023262.36694884</v>
          </cell>
        </row>
        <row r="56">
          <cell r="A56" t="str">
            <v>Option 1Consumablescash</v>
          </cell>
          <cell r="B56">
            <v>2</v>
          </cell>
          <cell r="C56" t="str">
            <v>Option 1</v>
          </cell>
          <cell r="D56" t="str">
            <v>Consumables</v>
          </cell>
          <cell r="E56" t="str">
            <v>cash</v>
          </cell>
          <cell r="F56">
            <v>39170433.052558437</v>
          </cell>
          <cell r="G56">
            <v>66581804.570291467</v>
          </cell>
          <cell r="H56">
            <v>47520614.311089821</v>
          </cell>
          <cell r="I56">
            <v>40849210.982068643</v>
          </cell>
          <cell r="J56">
            <v>44623574.812422574</v>
          </cell>
          <cell r="K56">
            <v>63531105.865159303</v>
          </cell>
          <cell r="L56">
            <v>57111990.704264455</v>
          </cell>
          <cell r="M56">
            <v>45976146.841867022</v>
          </cell>
          <cell r="N56">
            <v>50224226.585075714</v>
          </cell>
          <cell r="O56">
            <v>69639571.788182124</v>
          </cell>
          <cell r="P56">
            <v>62358843.695027456</v>
          </cell>
          <cell r="Q56">
            <v>55704240.618851215</v>
          </cell>
          <cell r="R56">
            <v>643291763.82685828</v>
          </cell>
        </row>
        <row r="57">
          <cell r="A57" t="str">
            <v>Option 1Consumablesnear-cash</v>
          </cell>
          <cell r="B57">
            <v>2</v>
          </cell>
          <cell r="C57" t="str">
            <v>Option 1</v>
          </cell>
          <cell r="D57" t="str">
            <v>Consumables</v>
          </cell>
          <cell r="E57" t="str">
            <v>near-cash</v>
          </cell>
          <cell r="F57">
            <v>570232.94443343603</v>
          </cell>
          <cell r="G57">
            <v>6356240.2456852123</v>
          </cell>
          <cell r="H57">
            <v>37751201.182124816</v>
          </cell>
          <cell r="I57">
            <v>40849210.982068643</v>
          </cell>
          <cell r="J57">
            <v>44623574.812422574</v>
          </cell>
          <cell r="K57">
            <v>63531105.865159303</v>
          </cell>
          <cell r="L57">
            <v>57111990.704264455</v>
          </cell>
          <cell r="M57">
            <v>45976146.841867022</v>
          </cell>
          <cell r="N57">
            <v>50224226.585075714</v>
          </cell>
          <cell r="O57">
            <v>69639571.788182124</v>
          </cell>
          <cell r="P57">
            <v>62358843.695027456</v>
          </cell>
          <cell r="Q57">
            <v>55704240.618851215</v>
          </cell>
          <cell r="R57">
            <v>534696586.26516199</v>
          </cell>
        </row>
        <row r="58">
          <cell r="A58" t="str">
            <v>Option 1Consumablesnon-cash</v>
          </cell>
          <cell r="B58">
            <v>2</v>
          </cell>
          <cell r="C58" t="str">
            <v>Option 1</v>
          </cell>
          <cell r="D58" t="str">
            <v>Consumables</v>
          </cell>
          <cell r="E58" t="str">
            <v>non-cash</v>
          </cell>
          <cell r="F58">
            <v>337751.75094609382</v>
          </cell>
          <cell r="G58">
            <v>3153940.1266475702</v>
          </cell>
          <cell r="H58">
            <v>3872284.4466212993</v>
          </cell>
          <cell r="I58">
            <v>4064734.7152425945</v>
          </cell>
          <cell r="J58">
            <v>4186676.7566998727</v>
          </cell>
          <cell r="K58">
            <v>4312277.0594008686</v>
          </cell>
          <cell r="L58">
            <v>4441645.3711828953</v>
          </cell>
          <cell r="M58">
            <v>4574894.7323183818</v>
          </cell>
          <cell r="N58">
            <v>4712141.5742879333</v>
          </cell>
          <cell r="O58">
            <v>4853505.8215165716</v>
          </cell>
          <cell r="P58">
            <v>4999110.99616207</v>
          </cell>
          <cell r="Q58">
            <v>5149084.3260469316</v>
          </cell>
          <cell r="R58">
            <v>48658047.677073084</v>
          </cell>
        </row>
        <row r="59">
          <cell r="A59" t="str">
            <v>Option 1Consumablesresource</v>
          </cell>
          <cell r="B59">
            <v>2</v>
          </cell>
          <cell r="C59" t="str">
            <v>Option 1</v>
          </cell>
          <cell r="D59" t="str">
            <v>Consumables</v>
          </cell>
          <cell r="E59" t="str">
            <v>resource</v>
          </cell>
          <cell r="F59">
            <v>907984.69537952985</v>
          </cell>
          <cell r="G59">
            <v>9510180.3723327816</v>
          </cell>
          <cell r="H59">
            <v>41623485.628746115</v>
          </cell>
          <cell r="I59">
            <v>44913945.697311237</v>
          </cell>
          <cell r="J59">
            <v>48810251.569122449</v>
          </cell>
          <cell r="K59">
            <v>67843382.924560174</v>
          </cell>
          <cell r="L59">
            <v>61553636.075447351</v>
          </cell>
          <cell r="M59">
            <v>50551041.574185401</v>
          </cell>
          <cell r="N59">
            <v>54936368.15936365</v>
          </cell>
          <cell r="O59">
            <v>74493077.609698698</v>
          </cell>
          <cell r="P59">
            <v>67357954.691189528</v>
          </cell>
          <cell r="Q59">
            <v>60853324.944898143</v>
          </cell>
          <cell r="R59">
            <v>583354633.94223511</v>
          </cell>
        </row>
        <row r="60">
          <cell r="A60" t="str">
            <v>Option 1Non Productcash</v>
          </cell>
          <cell r="B60">
            <v>2</v>
          </cell>
          <cell r="C60" t="str">
            <v>Option 1</v>
          </cell>
          <cell r="D60" t="str">
            <v>Non Product</v>
          </cell>
          <cell r="E60" t="str">
            <v>cash</v>
          </cell>
          <cell r="F60">
            <v>16600000</v>
          </cell>
          <cell r="G60">
            <v>22248000</v>
          </cell>
          <cell r="H60">
            <v>25037240</v>
          </cell>
          <cell r="I60">
            <v>28083083.899999999</v>
          </cell>
          <cell r="J60">
            <v>29375779.941000003</v>
          </cell>
          <cell r="K60">
            <v>27358868.153480001</v>
          </cell>
          <cell r="L60">
            <v>24716882.538150299</v>
          </cell>
          <cell r="M60">
            <v>22875653.896902584</v>
          </cell>
          <cell r="N60">
            <v>23561923.513809666</v>
          </cell>
          <cell r="O60">
            <v>27008804.905265369</v>
          </cell>
          <cell r="P60">
            <v>24996844.655800674</v>
          </cell>
          <cell r="Q60">
            <v>25746749.995474696</v>
          </cell>
          <cell r="R60">
            <v>297609831.49988329</v>
          </cell>
        </row>
        <row r="61">
          <cell r="A61" t="str">
            <v>Option 1Non Productnear-cash</v>
          </cell>
          <cell r="B61">
            <v>2</v>
          </cell>
          <cell r="C61" t="str">
            <v>Option 1</v>
          </cell>
          <cell r="D61" t="str">
            <v>Non Product</v>
          </cell>
          <cell r="E61" t="str">
            <v>near-cash</v>
          </cell>
          <cell r="F61">
            <v>14500000</v>
          </cell>
          <cell r="G61">
            <v>22248000</v>
          </cell>
          <cell r="H61">
            <v>25037240</v>
          </cell>
          <cell r="I61">
            <v>25788357.199999999</v>
          </cell>
          <cell r="J61">
            <v>29375779.941000003</v>
          </cell>
          <cell r="K61">
            <v>27358868.153480001</v>
          </cell>
          <cell r="L61">
            <v>22209372.715439402</v>
          </cell>
          <cell r="M61">
            <v>22875653.896902584</v>
          </cell>
          <cell r="N61">
            <v>23561923.513809666</v>
          </cell>
          <cell r="O61">
            <v>24268781.219223954</v>
          </cell>
          <cell r="P61">
            <v>24996844.655800674</v>
          </cell>
          <cell r="Q61">
            <v>25746749.995474696</v>
          </cell>
          <cell r="R61">
            <v>287967571.29113096</v>
          </cell>
        </row>
        <row r="62">
          <cell r="A62" t="str">
            <v>Option 1Non Productnon-cash</v>
          </cell>
          <cell r="B62">
            <v>2</v>
          </cell>
          <cell r="C62" t="str">
            <v>Option 1</v>
          </cell>
          <cell r="D62" t="str">
            <v>Non Product</v>
          </cell>
          <cell r="E62" t="str">
            <v>non-cash</v>
          </cell>
          <cell r="F62">
            <v>761250</v>
          </cell>
          <cell r="G62">
            <v>758852.5</v>
          </cell>
          <cell r="H62">
            <v>755626.02500000002</v>
          </cell>
          <cell r="I62">
            <v>831838.42874999996</v>
          </cell>
          <cell r="J62">
            <v>829218.61576750013</v>
          </cell>
          <cell r="K62">
            <v>825692.95942017506</v>
          </cell>
          <cell r="L62">
            <v>908972.31073270133</v>
          </cell>
          <cell r="M62">
            <v>906109.57035177317</v>
          </cell>
          <cell r="N62">
            <v>902256.99046832975</v>
          </cell>
          <cell r="O62">
            <v>993258.58619001263</v>
          </cell>
          <cell r="P62">
            <v>990130.39248178201</v>
          </cell>
          <cell r="Q62">
            <v>985920.5744234866</v>
          </cell>
          <cell r="R62">
            <v>10449126.953585761</v>
          </cell>
        </row>
        <row r="63">
          <cell r="A63" t="str">
            <v>Option 1Non Productresource</v>
          </cell>
          <cell r="B63">
            <v>2</v>
          </cell>
          <cell r="C63" t="str">
            <v>Option 1</v>
          </cell>
          <cell r="D63" t="str">
            <v>Non Product</v>
          </cell>
          <cell r="E63" t="str">
            <v>resource</v>
          </cell>
          <cell r="F63">
            <v>15261250</v>
          </cell>
          <cell r="G63">
            <v>23006852.5</v>
          </cell>
          <cell r="H63">
            <v>25792866.024999999</v>
          </cell>
          <cell r="I63">
            <v>26620195.62875</v>
          </cell>
          <cell r="J63">
            <v>30204998.556767505</v>
          </cell>
          <cell r="K63">
            <v>28184561.112900175</v>
          </cell>
          <cell r="L63">
            <v>23118345.026172101</v>
          </cell>
          <cell r="M63">
            <v>23781763.467254356</v>
          </cell>
          <cell r="N63">
            <v>24464180.504277997</v>
          </cell>
          <cell r="O63">
            <v>25262039.805413965</v>
          </cell>
          <cell r="P63">
            <v>25986975.048282456</v>
          </cell>
          <cell r="Q63">
            <v>26732670.569898184</v>
          </cell>
          <cell r="R63">
            <v>298416698.24471676</v>
          </cell>
        </row>
        <row r="64">
          <cell r="A64" t="str">
            <v>Option 1Totalcash</v>
          </cell>
          <cell r="B64">
            <v>2</v>
          </cell>
          <cell r="C64" t="str">
            <v>Option 1</v>
          </cell>
          <cell r="D64" t="str">
            <v>Total</v>
          </cell>
          <cell r="E64" t="str">
            <v>cash</v>
          </cell>
          <cell r="F64">
            <v>226031785.40908998</v>
          </cell>
          <cell r="G64">
            <v>504796509.24332535</v>
          </cell>
          <cell r="H64">
            <v>105829790.93761641</v>
          </cell>
          <cell r="I64">
            <v>446721457.01913249</v>
          </cell>
          <cell r="J64">
            <v>245439071.08333382</v>
          </cell>
          <cell r="K64">
            <v>645552798.44875824</v>
          </cell>
          <cell r="L64">
            <v>98683733.595952153</v>
          </cell>
          <cell r="M64">
            <v>546975774.87100697</v>
          </cell>
          <cell r="N64">
            <v>113955535.37919624</v>
          </cell>
          <cell r="O64">
            <v>655868106.47619033</v>
          </cell>
          <cell r="P64">
            <v>343688084.44484931</v>
          </cell>
          <cell r="Q64">
            <v>575855326.1038959</v>
          </cell>
          <cell r="R64">
            <v>4509397973.0123472</v>
          </cell>
        </row>
        <row r="65">
          <cell r="A65" t="str">
            <v>Option 1TotalVAT*</v>
          </cell>
          <cell r="B65">
            <v>2</v>
          </cell>
          <cell r="C65" t="str">
            <v>Option 1</v>
          </cell>
          <cell r="D65" t="str">
            <v>Total</v>
          </cell>
          <cell r="E65" t="str">
            <v>VAT*</v>
          </cell>
          <cell r="F65">
            <v>33664308.465183616</v>
          </cell>
          <cell r="G65">
            <v>75182458.82347399</v>
          </cell>
          <cell r="H65">
            <v>15761883.756666273</v>
          </cell>
          <cell r="I65">
            <v>66532982.960296333</v>
          </cell>
          <cell r="J65">
            <v>36554755.267730564</v>
          </cell>
          <cell r="K65">
            <v>96146161.471091628</v>
          </cell>
          <cell r="L65">
            <v>14697577.344077989</v>
          </cell>
          <cell r="M65">
            <v>81464477.10844785</v>
          </cell>
          <cell r="N65">
            <v>16972101.013922855</v>
          </cell>
          <cell r="O65">
            <v>97682483.943262458</v>
          </cell>
          <cell r="P65">
            <v>51187587.044977546</v>
          </cell>
          <cell r="Q65">
            <v>85765686.86653769</v>
          </cell>
          <cell r="R65">
            <v>671612464.06566882</v>
          </cell>
        </row>
        <row r="66">
          <cell r="A66" t="str">
            <v>Option 1Totalcash (exc VAT)</v>
          </cell>
          <cell r="B66">
            <v>2</v>
          </cell>
          <cell r="C66" t="str">
            <v>Option 1</v>
          </cell>
          <cell r="D66" t="str">
            <v>Total</v>
          </cell>
          <cell r="E66" t="str">
            <v>cash (exc VAT)</v>
          </cell>
          <cell r="F66">
            <v>192367476.94390637</v>
          </cell>
          <cell r="G66">
            <v>429614050.41985136</v>
          </cell>
          <cell r="H66">
            <v>90067907.180950135</v>
          </cell>
          <cell r="I66">
            <v>380188474.05883616</v>
          </cell>
          <cell r="J66">
            <v>208884315.81560326</v>
          </cell>
          <cell r="K66">
            <v>549406636.97766662</v>
          </cell>
          <cell r="L66">
            <v>83986156.251874164</v>
          </cell>
          <cell r="M66">
            <v>465511297.76255912</v>
          </cell>
          <cell r="N66">
            <v>96983434.365273386</v>
          </cell>
          <cell r="O66">
            <v>558185622.53292787</v>
          </cell>
          <cell r="P66">
            <v>292500497.39987177</v>
          </cell>
          <cell r="Q66">
            <v>490089639.23735821</v>
          </cell>
          <cell r="R66">
            <v>3837785508.9466786</v>
          </cell>
        </row>
        <row r="67">
          <cell r="A67" t="str">
            <v>Option 1Totaldiscount Factor</v>
          </cell>
          <cell r="B67">
            <v>2</v>
          </cell>
          <cell r="C67" t="str">
            <v>Option 1</v>
          </cell>
          <cell r="D67" t="str">
            <v>Total</v>
          </cell>
          <cell r="E67" t="str">
            <v>discount Factor</v>
          </cell>
          <cell r="F67">
            <v>1</v>
          </cell>
          <cell r="G67">
            <v>0.96618357487922713</v>
          </cell>
          <cell r="H67">
            <v>0.93351070036640305</v>
          </cell>
          <cell r="I67">
            <v>0.90194270566802237</v>
          </cell>
          <cell r="J67">
            <v>0.87144222769857238</v>
          </cell>
          <cell r="K67">
            <v>0.84197316685852408</v>
          </cell>
          <cell r="L67">
            <v>0.81350064430775282</v>
          </cell>
          <cell r="M67">
            <v>0.78599096068381924</v>
          </cell>
          <cell r="N67">
            <v>0.75941155621625056</v>
          </cell>
          <cell r="O67">
            <v>0.73373097218961414</v>
          </cell>
          <cell r="P67">
            <v>0.70891881370977217</v>
          </cell>
          <cell r="Q67">
            <v>0.68494571372924851</v>
          </cell>
          <cell r="R67">
            <v>10.001551036307207</v>
          </cell>
        </row>
        <row r="68">
          <cell r="A68" t="str">
            <v>Option 1TotalCash Discount</v>
          </cell>
          <cell r="B68">
            <v>2</v>
          </cell>
          <cell r="C68" t="str">
            <v>Option 1</v>
          </cell>
          <cell r="D68" t="str">
            <v>Total</v>
          </cell>
          <cell r="E68" t="str">
            <v>Cash Discount</v>
          </cell>
          <cell r="F68">
            <v>0</v>
          </cell>
          <cell r="G68">
            <v>14528011.366854846</v>
          </cell>
          <cell r="H68">
            <v>5988552.0679251924</v>
          </cell>
          <cell r="I68">
            <v>37280253.102412738</v>
          </cell>
          <cell r="J68">
            <v>26853702.309961818</v>
          </cell>
          <cell r="K68">
            <v>86820990.948489159</v>
          </cell>
          <cell r="L68">
            <v>15663364.028042929</v>
          </cell>
          <cell r="M68">
            <v>99623625.624993846</v>
          </cell>
          <cell r="N68">
            <v>23333093.546744529</v>
          </cell>
          <cell r="O68">
            <v>148627543.04957771</v>
          </cell>
          <cell r="P68">
            <v>85141391.773636371</v>
          </cell>
          <cell r="Q68">
            <v>154404841.49861598</v>
          </cell>
          <cell r="R68">
            <v>698265369.31725514</v>
          </cell>
        </row>
        <row r="69">
          <cell r="A69" t="str">
            <v>Option 1TotalDiscounted Cash</v>
          </cell>
          <cell r="B69">
            <v>2</v>
          </cell>
          <cell r="C69" t="str">
            <v>Option 1</v>
          </cell>
          <cell r="D69" t="str">
            <v>Total</v>
          </cell>
          <cell r="E69" t="str">
            <v>Discounted Cash</v>
          </cell>
          <cell r="F69">
            <v>226031785.40908998</v>
          </cell>
          <cell r="G69">
            <v>490268497.87647051</v>
          </cell>
          <cell r="H69">
            <v>99841238.869691223</v>
          </cell>
          <cell r="I69">
            <v>409441203.91671973</v>
          </cell>
          <cell r="J69">
            <v>218585368.77337199</v>
          </cell>
          <cell r="K69">
            <v>558731807.50026906</v>
          </cell>
          <cell r="L69">
            <v>83020369.567909226</v>
          </cell>
          <cell r="M69">
            <v>447352149.2460131</v>
          </cell>
          <cell r="N69">
            <v>90622441.832451716</v>
          </cell>
          <cell r="O69">
            <v>507240563.42661262</v>
          </cell>
          <cell r="P69">
            <v>258546692.67121294</v>
          </cell>
          <cell r="Q69">
            <v>421450484.60527992</v>
          </cell>
          <cell r="R69">
            <v>3811132603.6950922</v>
          </cell>
        </row>
        <row r="70">
          <cell r="A70" t="str">
            <v>Option 1Totalnear-cash</v>
          </cell>
          <cell r="B70">
            <v>2</v>
          </cell>
          <cell r="C70" t="str">
            <v>Option 1</v>
          </cell>
          <cell r="D70" t="str">
            <v>Total</v>
          </cell>
          <cell r="E70" t="str">
            <v>near-cash</v>
          </cell>
          <cell r="F70">
            <v>15845570.150150616</v>
          </cell>
          <cell r="G70">
            <v>34432979.071135335</v>
          </cell>
          <cell r="H70">
            <v>118441673.62246527</v>
          </cell>
          <cell r="I70">
            <v>242630532.14695829</v>
          </cell>
          <cell r="J70">
            <v>251531454.06674328</v>
          </cell>
          <cell r="K70">
            <v>648218629.90789866</v>
          </cell>
          <cell r="L70">
            <v>102639632.88034037</v>
          </cell>
          <cell r="M70">
            <v>549803955.46600902</v>
          </cell>
          <cell r="N70">
            <v>120812566.10091768</v>
          </cell>
          <cell r="O70">
            <v>656128499.58338666</v>
          </cell>
          <cell r="P70">
            <v>350962708.33752358</v>
          </cell>
          <cell r="Q70">
            <v>579038468.27984166</v>
          </cell>
          <cell r="R70">
            <v>3670486669.6133699</v>
          </cell>
        </row>
        <row r="71">
          <cell r="A71" t="str">
            <v>Option 1Totalnon-cash</v>
          </cell>
          <cell r="B71">
            <v>2</v>
          </cell>
          <cell r="C71" t="str">
            <v>Option 1</v>
          </cell>
          <cell r="D71" t="str">
            <v>Total</v>
          </cell>
          <cell r="E71" t="str">
            <v>non-cash</v>
          </cell>
          <cell r="F71">
            <v>8368131.3090398256</v>
          </cell>
          <cell r="G71">
            <v>23523014.360150531</v>
          </cell>
          <cell r="H71">
            <v>28575016.987862885</v>
          </cell>
          <cell r="I71">
            <v>36275764.660033144</v>
          </cell>
          <cell r="J71">
            <v>36805316.98529283</v>
          </cell>
          <cell r="K71">
            <v>37886893.343513459</v>
          </cell>
          <cell r="L71">
            <v>39076015.070962124</v>
          </cell>
          <cell r="M71">
            <v>40224337.057836331</v>
          </cell>
          <cell r="N71">
            <v>41393672.654795729</v>
          </cell>
          <cell r="O71">
            <v>42705966.127662398</v>
          </cell>
          <cell r="P71">
            <v>43947473.27076672</v>
          </cell>
          <cell r="Q71">
            <v>45238932.00517153</v>
          </cell>
          <cell r="R71">
            <v>424020533.83308756</v>
          </cell>
        </row>
        <row r="72">
          <cell r="A72" t="str">
            <v>Option 1Totalresource</v>
          </cell>
          <cell r="B72">
            <v>2</v>
          </cell>
          <cell r="C72" t="str">
            <v>Option 1</v>
          </cell>
          <cell r="D72" t="str">
            <v>Total</v>
          </cell>
          <cell r="E72" t="str">
            <v>resource</v>
          </cell>
          <cell r="F72">
            <v>24213701.459190439</v>
          </cell>
          <cell r="G72">
            <v>57955993.431285873</v>
          </cell>
          <cell r="H72">
            <v>147016690.61032817</v>
          </cell>
          <cell r="I72">
            <v>278906296.80699146</v>
          </cell>
          <cell r="J72">
            <v>288336771.05203611</v>
          </cell>
          <cell r="K72">
            <v>686105523.25141203</v>
          </cell>
          <cell r="L72">
            <v>141715647.95130247</v>
          </cell>
          <cell r="M72">
            <v>590028292.52384531</v>
          </cell>
          <cell r="N72">
            <v>162206238.75571343</v>
          </cell>
          <cell r="O72">
            <v>698834465.71104896</v>
          </cell>
          <cell r="P72">
            <v>394910181.60829026</v>
          </cell>
          <cell r="Q72">
            <v>624277400.28501308</v>
          </cell>
          <cell r="R72">
            <v>4094507203.4464579</v>
          </cell>
        </row>
        <row r="73">
          <cell r="A73" t="str">
            <v>Option 1TotalCapital DEL (Credit)</v>
          </cell>
          <cell r="B73">
            <v>2</v>
          </cell>
          <cell r="C73" t="str">
            <v>Option 1</v>
          </cell>
          <cell r="D73" t="str">
            <v>Total</v>
          </cell>
          <cell r="E73" t="str">
            <v>Capital DEL (Credit)</v>
          </cell>
          <cell r="F73">
            <v>217290.96492678125</v>
          </cell>
          <cell r="G73">
            <v>4602962.4764735941</v>
          </cell>
          <cell r="H73">
            <v>77841116.106159508</v>
          </cell>
          <cell r="I73">
            <v>194831456.44836488</v>
          </cell>
          <cell r="J73">
            <v>187992358.34132251</v>
          </cell>
          <cell r="K73">
            <v>554346144.30496728</v>
          </cell>
          <cell r="L73">
            <v>57946923.57301753</v>
          </cell>
          <cell r="M73">
            <v>448266091.21666986</v>
          </cell>
          <cell r="N73">
            <v>67756299.029620022</v>
          </cell>
          <cell r="O73">
            <v>503391241.84836483</v>
          </cell>
          <cell r="P73">
            <v>232808433.34132251</v>
          </cell>
          <cell r="Q73">
            <v>419174181.90496737</v>
          </cell>
          <cell r="R73">
            <v>2749174499.5561767</v>
          </cell>
        </row>
        <row r="74">
          <cell r="A74" t="str">
            <v>Option 1TotalCapital DEL (Debit)</v>
          </cell>
          <cell r="B74">
            <v>2</v>
          </cell>
          <cell r="C74" t="str">
            <v>Option 1</v>
          </cell>
          <cell r="D74" t="str">
            <v>Total</v>
          </cell>
          <cell r="E74" t="str">
            <v>Capital DEL (Debit)</v>
          </cell>
          <cell r="F74">
            <v>210403506.22386616</v>
          </cell>
          <cell r="G74">
            <v>469751430.11937648</v>
          </cell>
          <cell r="H74">
            <v>66231639.883283786</v>
          </cell>
          <cell r="I74">
            <v>398940886.81402272</v>
          </cell>
          <cell r="J74">
            <v>182579354.96962127</v>
          </cell>
          <cell r="K74">
            <v>552046574.67062521</v>
          </cell>
          <cell r="L74">
            <v>54633920.201316275</v>
          </cell>
          <cell r="M74">
            <v>445966521.58232772</v>
          </cell>
          <cell r="N74">
            <v>62343295.657918788</v>
          </cell>
          <cell r="O74">
            <v>503191672.2140227</v>
          </cell>
          <cell r="P74">
            <v>227395429.96962127</v>
          </cell>
          <cell r="Q74">
            <v>416874612.27062523</v>
          </cell>
          <cell r="R74">
            <v>3590358844.5766273</v>
          </cell>
        </row>
        <row r="75">
          <cell r="A75" t="str">
            <v>Option 2Pandemic Vaccinescash</v>
          </cell>
          <cell r="B75">
            <v>3</v>
          </cell>
          <cell r="C75" t="str">
            <v>Option 2</v>
          </cell>
          <cell r="D75" t="str">
            <v>Pandemic Vaccines</v>
          </cell>
          <cell r="E75" t="str">
            <v>cash</v>
          </cell>
          <cell r="F75">
            <v>11414478.75</v>
          </cell>
          <cell r="G75">
            <v>43015751.25</v>
          </cell>
          <cell r="H75">
            <v>37160902.5</v>
          </cell>
          <cell r="I75">
            <v>35926800</v>
          </cell>
          <cell r="J75">
            <v>38887800</v>
          </cell>
          <cell r="K75">
            <v>43104264</v>
          </cell>
          <cell r="L75">
            <v>37665981.419999994</v>
          </cell>
          <cell r="M75">
            <v>39258184.383599997</v>
          </cell>
          <cell r="N75">
            <v>43768561.501518011</v>
          </cell>
          <cell r="O75">
            <v>48514228.880565844</v>
          </cell>
          <cell r="P75">
            <v>42393393.925506316</v>
          </cell>
          <cell r="Q75">
            <v>44185432.388346225</v>
          </cell>
          <cell r="R75">
            <v>465295778.99953628</v>
          </cell>
        </row>
        <row r="76">
          <cell r="A76" t="str">
            <v>Option 2Pandemic Vaccinesnear-cash</v>
          </cell>
          <cell r="B76">
            <v>3</v>
          </cell>
          <cell r="C76" t="str">
            <v>Option 2</v>
          </cell>
          <cell r="D76" t="str">
            <v>Pandemic Vaccines</v>
          </cell>
          <cell r="E76" t="str">
            <v>near-cash</v>
          </cell>
          <cell r="F76">
            <v>11414478.75</v>
          </cell>
          <cell r="G76">
            <v>43015751.25</v>
          </cell>
          <cell r="H76">
            <v>37160902.5</v>
          </cell>
          <cell r="I76">
            <v>35926800</v>
          </cell>
          <cell r="J76">
            <v>38887800</v>
          </cell>
          <cell r="K76">
            <v>43104264</v>
          </cell>
          <cell r="L76">
            <v>37665981.419999994</v>
          </cell>
          <cell r="M76">
            <v>39258184.383599997</v>
          </cell>
          <cell r="N76">
            <v>43768561.501518011</v>
          </cell>
          <cell r="O76">
            <v>48514228.880565844</v>
          </cell>
          <cell r="P76">
            <v>42393393.925506316</v>
          </cell>
          <cell r="Q76">
            <v>44185432.388346225</v>
          </cell>
          <cell r="R76">
            <v>465295778.99953628</v>
          </cell>
        </row>
        <row r="77">
          <cell r="A77" t="str">
            <v>Option 2Pandemic Vaccinesnon-cash</v>
          </cell>
          <cell r="B77">
            <v>3</v>
          </cell>
          <cell r="C77" t="str">
            <v>Option 2</v>
          </cell>
          <cell r="D77" t="str">
            <v>Pandemic Vaccines</v>
          </cell>
          <cell r="E77" t="str">
            <v>non-cash</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Option 2Pandemic Vaccinesresource</v>
          </cell>
          <cell r="B78">
            <v>3</v>
          </cell>
          <cell r="C78" t="str">
            <v>Option 2</v>
          </cell>
          <cell r="D78" t="str">
            <v>Pandemic Vaccines</v>
          </cell>
          <cell r="E78" t="str">
            <v>resource</v>
          </cell>
          <cell r="F78">
            <v>11414478.75</v>
          </cell>
          <cell r="G78">
            <v>43015751.25</v>
          </cell>
          <cell r="H78">
            <v>37160902.5</v>
          </cell>
          <cell r="I78">
            <v>35926800</v>
          </cell>
          <cell r="J78">
            <v>38887800</v>
          </cell>
          <cell r="K78">
            <v>43104264</v>
          </cell>
          <cell r="L78">
            <v>37665981.419999994</v>
          </cell>
          <cell r="M78">
            <v>39258184.383599997</v>
          </cell>
          <cell r="N78">
            <v>43768561.501518011</v>
          </cell>
          <cell r="O78">
            <v>48514228.880565844</v>
          </cell>
          <cell r="P78">
            <v>42393393.925506316</v>
          </cell>
          <cell r="Q78">
            <v>44185432.388346225</v>
          </cell>
          <cell r="R78">
            <v>465295778.99953628</v>
          </cell>
        </row>
        <row r="79">
          <cell r="A79" t="str">
            <v>Option 2Pre=Pandemic Vaccinescash</v>
          </cell>
          <cell r="B79">
            <v>3</v>
          </cell>
          <cell r="C79" t="str">
            <v>Option 2</v>
          </cell>
          <cell r="D79" t="str">
            <v>Pre=Pandemic Vaccines</v>
          </cell>
          <cell r="E79" t="str">
            <v>cash</v>
          </cell>
          <cell r="F79">
            <v>37396638.283571467</v>
          </cell>
          <cell r="G79">
            <v>495791888.23776335</v>
          </cell>
          <cell r="H79">
            <v>119587422.2985011</v>
          </cell>
          <cell r="I79">
            <v>498144944.17552084</v>
          </cell>
          <cell r="J79">
            <v>112094481.35989586</v>
          </cell>
          <cell r="K79">
            <v>516139329.30225527</v>
          </cell>
          <cell r="L79">
            <v>127769624.53520235</v>
          </cell>
          <cell r="M79">
            <v>544336430.41408443</v>
          </cell>
          <cell r="N79">
            <v>126163326.32294358</v>
          </cell>
          <cell r="O79">
            <v>580919362.31717944</v>
          </cell>
          <cell r="P79">
            <v>143805838.06476241</v>
          </cell>
          <cell r="Q79">
            <v>612655448.03500402</v>
          </cell>
          <cell r="R79">
            <v>3914804733.3466845</v>
          </cell>
        </row>
        <row r="80">
          <cell r="A80" t="str">
            <v>Option 2Pre=Pandemic Vaccinesnear-cash</v>
          </cell>
          <cell r="B80">
            <v>3</v>
          </cell>
          <cell r="C80" t="str">
            <v>Option 2</v>
          </cell>
          <cell r="D80" t="str">
            <v>Pre=Pandemic Vaccines</v>
          </cell>
          <cell r="E80" t="str">
            <v>near-cash</v>
          </cell>
          <cell r="F80">
            <v>42309.633571465776</v>
          </cell>
          <cell r="G80">
            <v>169838.23776326023</v>
          </cell>
          <cell r="H80">
            <v>40988129.563286081</v>
          </cell>
          <cell r="I80">
            <v>501176444.17552084</v>
          </cell>
          <cell r="J80">
            <v>120582681.35989586</v>
          </cell>
          <cell r="K80">
            <v>513016884.30225527</v>
          </cell>
          <cell r="L80">
            <v>118764493.15520236</v>
          </cell>
          <cell r="M80">
            <v>547649032.31458437</v>
          </cell>
          <cell r="N80">
            <v>135716870.20398557</v>
          </cell>
          <cell r="O80">
            <v>577405022.96093905</v>
          </cell>
          <cell r="P80">
            <v>133670483.36136498</v>
          </cell>
          <cell r="Q80">
            <v>616383810.65803945</v>
          </cell>
          <cell r="R80">
            <v>3305565999.9264083</v>
          </cell>
        </row>
        <row r="81">
          <cell r="A81" t="str">
            <v>Option 2Pre=Pandemic Vaccinesnon-cash</v>
          </cell>
          <cell r="B81">
            <v>3</v>
          </cell>
          <cell r="C81" t="str">
            <v>Option 2</v>
          </cell>
          <cell r="D81" t="str">
            <v>Pre=Pandemic Vaccines</v>
          </cell>
          <cell r="E81" t="str">
            <v>non-cash</v>
          </cell>
          <cell r="F81">
            <v>1110000.51575</v>
          </cell>
          <cell r="G81">
            <v>10009399.1728325</v>
          </cell>
          <cell r="H81">
            <v>20367910.707108304</v>
          </cell>
          <cell r="I81">
            <v>21689016.562500004</v>
          </cell>
          <cell r="J81">
            <v>21344183.437500004</v>
          </cell>
          <cell r="K81">
            <v>21503652.410625003</v>
          </cell>
          <cell r="L81">
            <v>22514595.445256252</v>
          </cell>
          <cell r="M81">
            <v>23700174.00129094</v>
          </cell>
          <cell r="N81">
            <v>24023066.501162343</v>
          </cell>
          <cell r="O81">
            <v>24202550.235336181</v>
          </cell>
          <cell r="P81">
            <v>25340375.527221788</v>
          </cell>
          <cell r="Q81">
            <v>26674754.636985909</v>
          </cell>
          <cell r="R81">
            <v>242479679.15356922</v>
          </cell>
        </row>
        <row r="82">
          <cell r="A82" t="str">
            <v>Option 2Pre=Pandemic Vaccinesresource</v>
          </cell>
          <cell r="B82">
            <v>3</v>
          </cell>
          <cell r="C82" t="str">
            <v>Option 2</v>
          </cell>
          <cell r="D82" t="str">
            <v>Pre=Pandemic Vaccines</v>
          </cell>
          <cell r="E82" t="str">
            <v>resource</v>
          </cell>
          <cell r="F82">
            <v>1152310.1493214658</v>
          </cell>
          <cell r="G82">
            <v>10179237.41059576</v>
          </cell>
          <cell r="H82">
            <v>61356040.270394385</v>
          </cell>
          <cell r="I82">
            <v>522865460.73802084</v>
          </cell>
          <cell r="J82">
            <v>141926864.79739586</v>
          </cell>
          <cell r="K82">
            <v>534520536.71288025</v>
          </cell>
          <cell r="L82">
            <v>141279088.60045862</v>
          </cell>
          <cell r="M82">
            <v>571349206.31587529</v>
          </cell>
          <cell r="N82">
            <v>159739936.70514792</v>
          </cell>
          <cell r="O82">
            <v>601607573.19627523</v>
          </cell>
          <cell r="P82">
            <v>159010858.88858676</v>
          </cell>
          <cell r="Q82">
            <v>643058565.29502535</v>
          </cell>
          <cell r="R82">
            <v>3548045679.0799775</v>
          </cell>
        </row>
        <row r="83">
          <cell r="A83" t="str">
            <v>Option 2Antiviralscash</v>
          </cell>
          <cell r="B83">
            <v>3</v>
          </cell>
          <cell r="C83" t="str">
            <v>Option 2</v>
          </cell>
          <cell r="D83" t="str">
            <v>Antivirals</v>
          </cell>
          <cell r="E83" t="str">
            <v>cash</v>
          </cell>
          <cell r="F83">
            <v>210689128.0964236</v>
          </cell>
          <cell r="G83">
            <v>507877511.54550749</v>
          </cell>
          <cell r="H83">
            <v>2402934.3558593751</v>
          </cell>
          <cell r="I83">
            <v>2475022.3865351561</v>
          </cell>
          <cell r="J83">
            <v>102743812.13776915</v>
          </cell>
          <cell r="K83">
            <v>240005770.0156287</v>
          </cell>
          <cell r="L83">
            <v>591042573.33568478</v>
          </cell>
          <cell r="M83">
            <v>2785659.500992544</v>
          </cell>
          <cell r="N83">
            <v>2869229.2860223209</v>
          </cell>
          <cell r="O83">
            <v>119108237.70606545</v>
          </cell>
          <cell r="P83">
            <v>286492372.31656832</v>
          </cell>
          <cell r="Q83">
            <v>685180332.07561588</v>
          </cell>
          <cell r="R83">
            <v>2753672582.7586727</v>
          </cell>
        </row>
        <row r="84">
          <cell r="A84" t="str">
            <v>Option 2Antiviralsnear-cash</v>
          </cell>
          <cell r="B84">
            <v>3</v>
          </cell>
          <cell r="C84" t="str">
            <v>Option 2</v>
          </cell>
          <cell r="D84" t="str">
            <v>Antivirals</v>
          </cell>
          <cell r="E84" t="str">
            <v>near-cash</v>
          </cell>
          <cell r="F84">
            <v>559212.52392358403</v>
          </cell>
          <cell r="G84">
            <v>2254390.0851824977</v>
          </cell>
          <cell r="H84">
            <v>2402934.3558593751</v>
          </cell>
          <cell r="I84">
            <v>2475022.3865351561</v>
          </cell>
          <cell r="J84">
            <v>102743812.13776913</v>
          </cell>
          <cell r="K84">
            <v>240005770.01562873</v>
          </cell>
          <cell r="L84">
            <v>591042573.33568478</v>
          </cell>
          <cell r="M84">
            <v>2785659.500992544</v>
          </cell>
          <cell r="N84">
            <v>2869229.2860223209</v>
          </cell>
          <cell r="O84">
            <v>119108237.70606545</v>
          </cell>
          <cell r="P84">
            <v>286492372.31656837</v>
          </cell>
          <cell r="Q84">
            <v>685180332.07561588</v>
          </cell>
          <cell r="R84">
            <v>2037919545.7258477</v>
          </cell>
        </row>
        <row r="85">
          <cell r="A85" t="str">
            <v>Option 2Antiviralsnon-cash</v>
          </cell>
          <cell r="B85">
            <v>3</v>
          </cell>
          <cell r="C85" t="str">
            <v>Option 2</v>
          </cell>
          <cell r="D85" t="str">
            <v>Antivirals</v>
          </cell>
          <cell r="E85" t="str">
            <v>non-cash</v>
          </cell>
          <cell r="F85">
            <v>6749084.5337781254</v>
          </cell>
          <cell r="G85">
            <v>27330034.62472216</v>
          </cell>
          <cell r="H85">
            <v>29323395.351250004</v>
          </cell>
          <cell r="I85">
            <v>30203097.211787507</v>
          </cell>
          <cell r="J85">
            <v>31109190.128141135</v>
          </cell>
          <cell r="K85">
            <v>32042465.831985358</v>
          </cell>
          <cell r="L85">
            <v>33003739.806944925</v>
          </cell>
          <cell r="M85">
            <v>33993852.001153275</v>
          </cell>
          <cell r="N85">
            <v>35013667.561187878</v>
          </cell>
          <cell r="O85">
            <v>36064077.588023514</v>
          </cell>
          <cell r="P85">
            <v>37145999.915664218</v>
          </cell>
          <cell r="Q85">
            <v>38260379.91313415</v>
          </cell>
          <cell r="R85">
            <v>370238984.46777219</v>
          </cell>
        </row>
        <row r="86">
          <cell r="A86" t="str">
            <v>Option 2Antiviralsresource</v>
          </cell>
          <cell r="B86">
            <v>3</v>
          </cell>
          <cell r="C86" t="str">
            <v>Option 2</v>
          </cell>
          <cell r="D86" t="str">
            <v>Antivirals</v>
          </cell>
          <cell r="E86" t="str">
            <v>resource</v>
          </cell>
          <cell r="F86">
            <v>7308297.0577017097</v>
          </cell>
          <cell r="G86">
            <v>29584424.70990466</v>
          </cell>
          <cell r="H86">
            <v>31726329.707109381</v>
          </cell>
          <cell r="I86">
            <v>32678119.598322663</v>
          </cell>
          <cell r="J86">
            <v>133853002.26591027</v>
          </cell>
          <cell r="K86">
            <v>272048235.84761411</v>
          </cell>
          <cell r="L86">
            <v>624046313.14262974</v>
          </cell>
          <cell r="M86">
            <v>36779511.502145819</v>
          </cell>
          <cell r="N86">
            <v>37882896.847210199</v>
          </cell>
          <cell r="O86">
            <v>155172315.29408896</v>
          </cell>
          <cell r="P86">
            <v>323638372.23223257</v>
          </cell>
          <cell r="Q86">
            <v>723440711.98874998</v>
          </cell>
          <cell r="R86">
            <v>2408158530.1936202</v>
          </cell>
        </row>
        <row r="87">
          <cell r="A87" t="str">
            <v>Option 2Antibioticscash</v>
          </cell>
          <cell r="B87">
            <v>3</v>
          </cell>
          <cell r="C87" t="str">
            <v>Option 2</v>
          </cell>
          <cell r="D87" t="str">
            <v>Antibiotics</v>
          </cell>
          <cell r="E87" t="str">
            <v>cash</v>
          </cell>
          <cell r="F87">
            <v>9737963.819927305</v>
          </cell>
          <cell r="G87">
            <v>190194404.82798412</v>
          </cell>
          <cell r="H87">
            <v>45079904.254274212</v>
          </cell>
          <cell r="I87">
            <v>130363369.32253121</v>
          </cell>
          <cell r="J87">
            <v>93185408.187191129</v>
          </cell>
          <cell r="K87">
            <v>173348978.5064843</v>
          </cell>
          <cell r="L87">
            <v>15802205.247975618</v>
          </cell>
          <cell r="M87">
            <v>232275060.80054256</v>
          </cell>
          <cell r="N87">
            <v>55060794.490026012</v>
          </cell>
          <cell r="O87">
            <v>155660680.52282664</v>
          </cell>
          <cell r="P87">
            <v>111268250.64890786</v>
          </cell>
          <cell r="Q87">
            <v>206987745.88662389</v>
          </cell>
          <cell r="R87">
            <v>1418964766.5152948</v>
          </cell>
        </row>
        <row r="88">
          <cell r="A88" t="str">
            <v>Option 2Antibioticsnear-cash</v>
          </cell>
          <cell r="B88">
            <v>3</v>
          </cell>
          <cell r="C88" t="str">
            <v>Option 2</v>
          </cell>
          <cell r="D88" t="str">
            <v>Antibiotics</v>
          </cell>
          <cell r="E88" t="str">
            <v>near-cash</v>
          </cell>
          <cell r="F88">
            <v>159418.71298980364</v>
          </cell>
          <cell r="G88">
            <v>3490838.2657997506</v>
          </cell>
          <cell r="H88">
            <v>16136034.979928954</v>
          </cell>
          <cell r="I88">
            <v>131996649.67860906</v>
          </cell>
          <cell r="J88">
            <v>97145358.127658784</v>
          </cell>
          <cell r="K88">
            <v>175081725.63624728</v>
          </cell>
          <cell r="L88">
            <v>20003316.139817733</v>
          </cell>
          <cell r="M88">
            <v>234113332.23050815</v>
          </cell>
          <cell r="N88">
            <v>59517753.035181314</v>
          </cell>
          <cell r="O88">
            <v>157610902.68287712</v>
          </cell>
          <cell r="P88">
            <v>115996637.96946314</v>
          </cell>
          <cell r="Q88">
            <v>209056736.57622141</v>
          </cell>
          <cell r="R88">
            <v>1220308704.0353024</v>
          </cell>
        </row>
        <row r="89">
          <cell r="A89" t="str">
            <v>Option 2Antibioticsnon-cash</v>
          </cell>
          <cell r="B89">
            <v>3</v>
          </cell>
          <cell r="C89" t="str">
            <v>Option 2</v>
          </cell>
          <cell r="D89" t="str">
            <v>Antibiotics</v>
          </cell>
          <cell r="E89" t="str">
            <v>non-cash</v>
          </cell>
          <cell r="F89">
            <v>143954.6245396875</v>
          </cell>
          <cell r="G89">
            <v>5320027.2924575657</v>
          </cell>
          <cell r="H89">
            <v>8307885.740348476</v>
          </cell>
          <cell r="I89">
            <v>8705103.4521060549</v>
          </cell>
          <cell r="J89">
            <v>8962584.4229449574</v>
          </cell>
          <cell r="K89">
            <v>9235244.2523393109</v>
          </cell>
          <cell r="L89">
            <v>9508405.8143023029</v>
          </cell>
          <cell r="M89">
            <v>9797670.6273067761</v>
          </cell>
          <cell r="N89">
            <v>10087467.728393313</v>
          </cell>
          <cell r="O89">
            <v>10394348.76850976</v>
          </cell>
          <cell r="P89">
            <v>10701794.513052465</v>
          </cell>
          <cell r="Q89">
            <v>11027364.608512005</v>
          </cell>
          <cell r="R89">
            <v>102191851.84481266</v>
          </cell>
        </row>
        <row r="90">
          <cell r="A90" t="str">
            <v>Option 2Antibioticsresource</v>
          </cell>
          <cell r="B90">
            <v>3</v>
          </cell>
          <cell r="C90" t="str">
            <v>Option 2</v>
          </cell>
          <cell r="D90" t="str">
            <v>Antibiotics</v>
          </cell>
          <cell r="E90" t="str">
            <v>resource</v>
          </cell>
          <cell r="F90">
            <v>303373.33752949117</v>
          </cell>
          <cell r="G90">
            <v>8810865.5582573153</v>
          </cell>
          <cell r="H90">
            <v>24443920.720277429</v>
          </cell>
          <cell r="I90">
            <v>140701753.1307151</v>
          </cell>
          <cell r="J90">
            <v>106107942.55060375</v>
          </cell>
          <cell r="K90">
            <v>184316969.88858658</v>
          </cell>
          <cell r="L90">
            <v>29511721.954120036</v>
          </cell>
          <cell r="M90">
            <v>243911002.85781494</v>
          </cell>
          <cell r="N90">
            <v>69605220.76357463</v>
          </cell>
          <cell r="O90">
            <v>168005251.45138687</v>
          </cell>
          <cell r="P90">
            <v>126698432.4825156</v>
          </cell>
          <cell r="Q90">
            <v>220084101.18473342</v>
          </cell>
          <cell r="R90">
            <v>1322500555.880115</v>
          </cell>
        </row>
        <row r="91">
          <cell r="A91" t="str">
            <v>Option 2Consumablescash</v>
          </cell>
          <cell r="B91">
            <v>3</v>
          </cell>
          <cell r="C91" t="str">
            <v>Option 2</v>
          </cell>
          <cell r="D91" t="str">
            <v>Consumables</v>
          </cell>
          <cell r="E91" t="str">
            <v>cash</v>
          </cell>
          <cell r="F91">
            <v>62529546.250408128</v>
          </cell>
          <cell r="G91">
            <v>162484590.78258684</v>
          </cell>
          <cell r="H91">
            <v>123568321.22837892</v>
          </cell>
          <cell r="I91">
            <v>48003110.297024198</v>
          </cell>
          <cell r="J91">
            <v>76663483.771075219</v>
          </cell>
          <cell r="K91">
            <v>174424063.73406386</v>
          </cell>
          <cell r="L91">
            <v>146864822.58996856</v>
          </cell>
          <cell r="M91">
            <v>54027923.546702467</v>
          </cell>
          <cell r="N91">
            <v>86285426.389637187</v>
          </cell>
          <cell r="O91">
            <v>192585325.26449564</v>
          </cell>
          <cell r="P91">
            <v>161455241.70557609</v>
          </cell>
          <cell r="Q91">
            <v>68724268.534772485</v>
          </cell>
          <cell r="R91">
            <v>1357616124.0946896</v>
          </cell>
        </row>
        <row r="92">
          <cell r="A92" t="str">
            <v>Option 2Consumablesnear-cash</v>
          </cell>
          <cell r="B92">
            <v>3</v>
          </cell>
          <cell r="C92" t="str">
            <v>Option 2</v>
          </cell>
          <cell r="D92" t="str">
            <v>Consumables</v>
          </cell>
          <cell r="E92" t="str">
            <v>near-cash</v>
          </cell>
          <cell r="F92">
            <v>803571.14228313835</v>
          </cell>
          <cell r="G92">
            <v>9507217.4579805657</v>
          </cell>
          <cell r="H92">
            <v>44099767.286913916</v>
          </cell>
          <cell r="I92">
            <v>48003110.297024198</v>
          </cell>
          <cell r="J92">
            <v>76663483.771075219</v>
          </cell>
          <cell r="K92">
            <v>174424063.73406386</v>
          </cell>
          <cell r="L92">
            <v>146864822.58996856</v>
          </cell>
          <cell r="M92">
            <v>54027923.546702467</v>
          </cell>
          <cell r="N92">
            <v>86285426.389637187</v>
          </cell>
          <cell r="O92">
            <v>192585325.26449564</v>
          </cell>
          <cell r="P92">
            <v>161455241.70557609</v>
          </cell>
          <cell r="Q92">
            <v>68724268.534772485</v>
          </cell>
          <cell r="R92">
            <v>1063444221.7204933</v>
          </cell>
        </row>
        <row r="93">
          <cell r="A93" t="str">
            <v>Option 2Consumablesnon-cash</v>
          </cell>
          <cell r="B93">
            <v>3</v>
          </cell>
          <cell r="C93" t="str">
            <v>Option 2</v>
          </cell>
          <cell r="D93" t="str">
            <v>Consumables</v>
          </cell>
          <cell r="E93" t="str">
            <v>non-cash</v>
          </cell>
          <cell r="F93">
            <v>540102.28219609382</v>
          </cell>
          <cell r="G93">
            <v>6038675.9972725715</v>
          </cell>
          <cell r="H93">
            <v>9904284.3218119256</v>
          </cell>
          <cell r="I93">
            <v>10905858.093261596</v>
          </cell>
          <cell r="J93">
            <v>11233033.836059446</v>
          </cell>
          <cell r="K93">
            <v>11570024.851141227</v>
          </cell>
          <cell r="L93">
            <v>11917125.596675467</v>
          </cell>
          <cell r="M93">
            <v>12274639.364575729</v>
          </cell>
          <cell r="N93">
            <v>12642878.545513006</v>
          </cell>
          <cell r="O93">
            <v>13022164.901878392</v>
          </cell>
          <cell r="P93">
            <v>13412829.848934742</v>
          </cell>
          <cell r="Q93">
            <v>13815214.744402789</v>
          </cell>
          <cell r="R93">
            <v>127276832.38372296</v>
          </cell>
        </row>
        <row r="94">
          <cell r="A94" t="str">
            <v>Option 2Consumablesresource</v>
          </cell>
          <cell r="B94">
            <v>3</v>
          </cell>
          <cell r="C94" t="str">
            <v>Option 2</v>
          </cell>
          <cell r="D94" t="str">
            <v>Consumables</v>
          </cell>
          <cell r="E94" t="str">
            <v>resource</v>
          </cell>
          <cell r="F94">
            <v>1343673.4244792322</v>
          </cell>
          <cell r="G94">
            <v>15545893.455253137</v>
          </cell>
          <cell r="H94">
            <v>54004051.608725846</v>
          </cell>
          <cell r="I94">
            <v>58908968.39028579</v>
          </cell>
          <cell r="J94">
            <v>87896517.60713467</v>
          </cell>
          <cell r="K94">
            <v>185994088.58520508</v>
          </cell>
          <cell r="L94">
            <v>158781948.18664402</v>
          </cell>
          <cell r="M94">
            <v>66302562.911278196</v>
          </cell>
          <cell r="N94">
            <v>98928304.935150191</v>
          </cell>
          <cell r="O94">
            <v>205607490.16637403</v>
          </cell>
          <cell r="P94">
            <v>174868071.55451083</v>
          </cell>
          <cell r="Q94">
            <v>82539483.279175282</v>
          </cell>
          <cell r="R94">
            <v>1190721054.1042163</v>
          </cell>
        </row>
        <row r="95">
          <cell r="A95" t="str">
            <v>Option 2Non Productcash</v>
          </cell>
          <cell r="B95">
            <v>3</v>
          </cell>
          <cell r="C95" t="str">
            <v>Option 2</v>
          </cell>
          <cell r="D95" t="str">
            <v>Non Product</v>
          </cell>
          <cell r="E95" t="str">
            <v>cash</v>
          </cell>
          <cell r="F95">
            <v>16600000</v>
          </cell>
          <cell r="G95">
            <v>22248000</v>
          </cell>
          <cell r="H95">
            <v>25037240</v>
          </cell>
          <cell r="I95">
            <v>28083083.899999999</v>
          </cell>
          <cell r="J95">
            <v>29375779.941000003</v>
          </cell>
          <cell r="K95">
            <v>27358868.153480001</v>
          </cell>
          <cell r="L95">
            <v>24716882.538150299</v>
          </cell>
          <cell r="M95">
            <v>22875653.896902584</v>
          </cell>
          <cell r="N95">
            <v>23561923.513809666</v>
          </cell>
          <cell r="O95">
            <v>27008804.905265369</v>
          </cell>
          <cell r="P95">
            <v>24996844.655800674</v>
          </cell>
          <cell r="Q95">
            <v>25746749.995474696</v>
          </cell>
          <cell r="R95">
            <v>297609831.49988329</v>
          </cell>
        </row>
        <row r="96">
          <cell r="A96" t="str">
            <v>Option 2Non Productnear-cash</v>
          </cell>
          <cell r="B96">
            <v>3</v>
          </cell>
          <cell r="C96" t="str">
            <v>Option 2</v>
          </cell>
          <cell r="D96" t="str">
            <v>Non Product</v>
          </cell>
          <cell r="E96" t="str">
            <v>near-cash</v>
          </cell>
          <cell r="F96">
            <v>14500000</v>
          </cell>
          <cell r="G96">
            <v>22248000</v>
          </cell>
          <cell r="H96">
            <v>25037240</v>
          </cell>
          <cell r="I96">
            <v>25788357.199999999</v>
          </cell>
          <cell r="J96">
            <v>29375779.941000003</v>
          </cell>
          <cell r="K96">
            <v>27358868.153480001</v>
          </cell>
          <cell r="L96">
            <v>22209372.715439402</v>
          </cell>
          <cell r="M96">
            <v>22875653.896902584</v>
          </cell>
          <cell r="N96">
            <v>23561923.513809666</v>
          </cell>
          <cell r="O96">
            <v>24268781.219223954</v>
          </cell>
          <cell r="P96">
            <v>24996844.655800674</v>
          </cell>
          <cell r="Q96">
            <v>25746749.995474696</v>
          </cell>
          <cell r="R96">
            <v>287967571.29113096</v>
          </cell>
        </row>
        <row r="97">
          <cell r="A97" t="str">
            <v>Option 2Non Productnon-cash</v>
          </cell>
          <cell r="B97">
            <v>3</v>
          </cell>
          <cell r="C97" t="str">
            <v>Option 2</v>
          </cell>
          <cell r="D97" t="str">
            <v>Non Product</v>
          </cell>
          <cell r="E97" t="str">
            <v>non-cash</v>
          </cell>
          <cell r="F97">
            <v>761250</v>
          </cell>
          <cell r="G97">
            <v>758852.5</v>
          </cell>
          <cell r="H97">
            <v>755626.02500000002</v>
          </cell>
          <cell r="I97">
            <v>831838.42874999996</v>
          </cell>
          <cell r="J97">
            <v>829218.61576750013</v>
          </cell>
          <cell r="K97">
            <v>825692.95942017506</v>
          </cell>
          <cell r="L97">
            <v>908972.31073270133</v>
          </cell>
          <cell r="M97">
            <v>906109.57035177317</v>
          </cell>
          <cell r="N97">
            <v>902256.99046832975</v>
          </cell>
          <cell r="O97">
            <v>993258.58619001263</v>
          </cell>
          <cell r="P97">
            <v>990130.39248178201</v>
          </cell>
          <cell r="Q97">
            <v>985920.5744234866</v>
          </cell>
          <cell r="R97">
            <v>10449126.953585761</v>
          </cell>
        </row>
        <row r="98">
          <cell r="A98" t="str">
            <v>Option 2Non Productresource</v>
          </cell>
          <cell r="B98">
            <v>3</v>
          </cell>
          <cell r="C98" t="str">
            <v>Option 2</v>
          </cell>
          <cell r="D98" t="str">
            <v>Non Product</v>
          </cell>
          <cell r="E98" t="str">
            <v>resource</v>
          </cell>
          <cell r="F98">
            <v>15261250</v>
          </cell>
          <cell r="G98">
            <v>23006852.5</v>
          </cell>
          <cell r="H98">
            <v>25792866.024999999</v>
          </cell>
          <cell r="I98">
            <v>26620195.62875</v>
          </cell>
          <cell r="J98">
            <v>30204998.556767505</v>
          </cell>
          <cell r="K98">
            <v>28184561.112900175</v>
          </cell>
          <cell r="L98">
            <v>23118345.026172101</v>
          </cell>
          <cell r="M98">
            <v>23781763.467254356</v>
          </cell>
          <cell r="N98">
            <v>24464180.504277997</v>
          </cell>
          <cell r="O98">
            <v>25262039.805413965</v>
          </cell>
          <cell r="P98">
            <v>25986975.048282456</v>
          </cell>
          <cell r="Q98">
            <v>26732670.569898184</v>
          </cell>
          <cell r="R98">
            <v>298416698.24471676</v>
          </cell>
        </row>
        <row r="99">
          <cell r="A99" t="str">
            <v>Option 2Totalcash</v>
          </cell>
          <cell r="B99">
            <v>3</v>
          </cell>
          <cell r="C99" t="str">
            <v>Option 2</v>
          </cell>
          <cell r="D99" t="str">
            <v>Total</v>
          </cell>
          <cell r="E99" t="str">
            <v>cash</v>
          </cell>
          <cell r="F99">
            <v>348367755.20033044</v>
          </cell>
          <cell r="G99">
            <v>1421612146.6438417</v>
          </cell>
          <cell r="H99">
            <v>352836724.63701361</v>
          </cell>
          <cell r="I99">
            <v>742996330.08161139</v>
          </cell>
          <cell r="J99">
            <v>452950765.39693129</v>
          </cell>
          <cell r="K99">
            <v>1174381273.7119122</v>
          </cell>
          <cell r="L99">
            <v>943862089.66698158</v>
          </cell>
          <cell r="M99">
            <v>895558912.54282463</v>
          </cell>
          <cell r="N99">
            <v>337709261.50395679</v>
          </cell>
          <cell r="O99">
            <v>1123796639.5963984</v>
          </cell>
          <cell r="P99">
            <v>770411941.31712174</v>
          </cell>
          <cell r="Q99">
            <v>1643479976.9158373</v>
          </cell>
          <cell r="R99">
            <v>10207963817.21476</v>
          </cell>
        </row>
        <row r="100">
          <cell r="A100" t="str">
            <v>Option 2TotalVAT*</v>
          </cell>
          <cell r="B100">
            <v>3</v>
          </cell>
          <cell r="C100" t="str">
            <v>Option 2</v>
          </cell>
          <cell r="D100" t="str">
            <v>Total</v>
          </cell>
          <cell r="E100" t="str">
            <v>VAT*</v>
          </cell>
          <cell r="F100">
            <v>51884559.285155594</v>
          </cell>
          <cell r="G100">
            <v>211729468.6490829</v>
          </cell>
          <cell r="H100">
            <v>52550150.477853119</v>
          </cell>
          <cell r="I100">
            <v>110659027.88449538</v>
          </cell>
          <cell r="J100">
            <v>67460752.293160021</v>
          </cell>
          <cell r="K100">
            <v>174907849.27624226</v>
          </cell>
          <cell r="L100">
            <v>140575204.84401858</v>
          </cell>
          <cell r="M100">
            <v>133381114.63403773</v>
          </cell>
          <cell r="N100">
            <v>50297124.053780794</v>
          </cell>
          <cell r="O100">
            <v>167373967.59946358</v>
          </cell>
          <cell r="P100">
            <v>114742204.02595437</v>
          </cell>
          <cell r="Q100">
            <v>244773613.58320975</v>
          </cell>
          <cell r="R100">
            <v>1520335036.6064541</v>
          </cell>
        </row>
        <row r="101">
          <cell r="A101" t="str">
            <v>Option 2Totalcash (exc VAT)</v>
          </cell>
          <cell r="B101">
            <v>3</v>
          </cell>
          <cell r="C101" t="str">
            <v>Option 2</v>
          </cell>
          <cell r="D101" t="str">
            <v>Total</v>
          </cell>
          <cell r="E101" t="str">
            <v>cash (exc VAT)</v>
          </cell>
          <cell r="F101">
            <v>296483195.91517484</v>
          </cell>
          <cell r="G101">
            <v>1209882677.9947588</v>
          </cell>
          <cell r="H101">
            <v>300286574.15916049</v>
          </cell>
          <cell r="I101">
            <v>632337302.19711602</v>
          </cell>
          <cell r="J101">
            <v>385490013.10377127</v>
          </cell>
          <cell r="K101">
            <v>999473424.4356699</v>
          </cell>
          <cell r="L101">
            <v>803286884.822963</v>
          </cell>
          <cell r="M101">
            <v>762177797.90878689</v>
          </cell>
          <cell r="N101">
            <v>287412137.450176</v>
          </cell>
          <cell r="O101">
            <v>956422671.99693477</v>
          </cell>
          <cell r="P101">
            <v>655669737.29116738</v>
          </cell>
          <cell r="Q101">
            <v>1398706363.3326275</v>
          </cell>
          <cell r="R101">
            <v>8687628780.6083069</v>
          </cell>
        </row>
        <row r="102">
          <cell r="A102" t="str">
            <v>Option 2Totaldiscount Factor</v>
          </cell>
          <cell r="B102">
            <v>3</v>
          </cell>
          <cell r="C102" t="str">
            <v>Option 2</v>
          </cell>
          <cell r="D102" t="str">
            <v>Total</v>
          </cell>
          <cell r="E102" t="str">
            <v>discount Factor</v>
          </cell>
          <cell r="F102">
            <v>1</v>
          </cell>
          <cell r="G102">
            <v>0.96618357487922713</v>
          </cell>
          <cell r="H102">
            <v>0.93351070036640305</v>
          </cell>
          <cell r="I102">
            <v>0.90194270566802237</v>
          </cell>
          <cell r="J102">
            <v>0.87144222769857238</v>
          </cell>
          <cell r="K102">
            <v>0.84197316685852408</v>
          </cell>
          <cell r="L102">
            <v>0.81350064430775282</v>
          </cell>
          <cell r="M102">
            <v>0.78599096068381924</v>
          </cell>
          <cell r="N102">
            <v>0.75941155621625056</v>
          </cell>
          <cell r="O102">
            <v>0.73373097218961414</v>
          </cell>
          <cell r="P102">
            <v>0.70891881370977217</v>
          </cell>
          <cell r="Q102">
            <v>0.68494571372924851</v>
          </cell>
          <cell r="R102">
            <v>10.001551036307207</v>
          </cell>
        </row>
        <row r="103">
          <cell r="A103" t="str">
            <v>Option 2TotalCash Discount</v>
          </cell>
          <cell r="B103">
            <v>3</v>
          </cell>
          <cell r="C103" t="str">
            <v>Option 2</v>
          </cell>
          <cell r="D103" t="str">
            <v>Total</v>
          </cell>
          <cell r="E103" t="str">
            <v>Cash Discount</v>
          </cell>
          <cell r="F103">
            <v>0</v>
          </cell>
          <cell r="G103">
            <v>40913906.985329919</v>
          </cell>
          <cell r="H103">
            <v>19965844.005214754</v>
          </cell>
          <cell r="I103">
            <v>62005284.958631292</v>
          </cell>
          <cell r="J103">
            <v>49557737.329068974</v>
          </cell>
          <cell r="K103">
            <v>157943620.07263514</v>
          </cell>
          <cell r="L103">
            <v>149812486.45551497</v>
          </cell>
          <cell r="M103">
            <v>163112938.31858164</v>
          </cell>
          <cell r="N103">
            <v>69148038.873698935</v>
          </cell>
          <cell r="O103">
            <v>254665735.04843539</v>
          </cell>
          <cell r="P103">
            <v>190853124.94531503</v>
          </cell>
          <cell r="Q103">
            <v>440668435.00211936</v>
          </cell>
          <cell r="R103">
            <v>1598647151.9945455</v>
          </cell>
        </row>
        <row r="104">
          <cell r="A104" t="str">
            <v>Option 2TotalDiscounted Cash</v>
          </cell>
          <cell r="B104">
            <v>3</v>
          </cell>
          <cell r="C104" t="str">
            <v>Option 2</v>
          </cell>
          <cell r="D104" t="str">
            <v>Total</v>
          </cell>
          <cell r="E104" t="str">
            <v>Discounted Cash</v>
          </cell>
          <cell r="F104">
            <v>348367755.20033044</v>
          </cell>
          <cell r="G104">
            <v>1380698239.6585119</v>
          </cell>
          <cell r="H104">
            <v>332870880.63179886</v>
          </cell>
          <cell r="I104">
            <v>680991045.12298012</v>
          </cell>
          <cell r="J104">
            <v>403393028.06786233</v>
          </cell>
          <cell r="K104">
            <v>1016437653.639277</v>
          </cell>
          <cell r="L104">
            <v>794049603.21146655</v>
          </cell>
          <cell r="M104">
            <v>732445974.22424293</v>
          </cell>
          <cell r="N104">
            <v>268561222.63025784</v>
          </cell>
          <cell r="O104">
            <v>869130904.5479629</v>
          </cell>
          <cell r="P104">
            <v>579558816.37180674</v>
          </cell>
          <cell r="Q104">
            <v>1202811541.913718</v>
          </cell>
          <cell r="R104">
            <v>8609316665.2202168</v>
          </cell>
        </row>
        <row r="105">
          <cell r="A105" t="str">
            <v>Option 2Totalnear-cash</v>
          </cell>
          <cell r="B105">
            <v>3</v>
          </cell>
          <cell r="C105" t="str">
            <v>Option 2</v>
          </cell>
          <cell r="D105" t="str">
            <v>Total</v>
          </cell>
          <cell r="E105" t="str">
            <v>near-cash</v>
          </cell>
          <cell r="F105">
            <v>27478990.762767993</v>
          </cell>
          <cell r="G105">
            <v>80686035.296726078</v>
          </cell>
          <cell r="H105">
            <v>165825008.68598831</v>
          </cell>
          <cell r="I105">
            <v>745366383.73768938</v>
          </cell>
          <cell r="J105">
            <v>465398915.33739901</v>
          </cell>
          <cell r="K105">
            <v>1172991575.8416753</v>
          </cell>
          <cell r="L105">
            <v>936550559.35611284</v>
          </cell>
          <cell r="M105">
            <v>900709785.87329018</v>
          </cell>
          <cell r="N105">
            <v>351719763.93015409</v>
          </cell>
          <cell r="O105">
            <v>1119492498.7141671</v>
          </cell>
          <cell r="P105">
            <v>765004973.93427956</v>
          </cell>
          <cell r="Q105">
            <v>1649277330.2284703</v>
          </cell>
          <cell r="R105">
            <v>8380501821.6987209</v>
          </cell>
        </row>
        <row r="106">
          <cell r="A106" t="str">
            <v>Option 2Totalnon-cash</v>
          </cell>
          <cell r="B106">
            <v>3</v>
          </cell>
          <cell r="C106" t="str">
            <v>Option 2</v>
          </cell>
          <cell r="D106" t="str">
            <v>Total</v>
          </cell>
          <cell r="E106" t="str">
            <v>non-cash</v>
          </cell>
          <cell r="F106">
            <v>9304391.9562639073</v>
          </cell>
          <cell r="G106">
            <v>49456989.587284796</v>
          </cell>
          <cell r="H106">
            <v>68659102.14551872</v>
          </cell>
          <cell r="I106">
            <v>72334913.748405159</v>
          </cell>
          <cell r="J106">
            <v>73478210.440413028</v>
          </cell>
          <cell r="K106">
            <v>75177080.305511072</v>
          </cell>
          <cell r="L106">
            <v>77852838.973911658</v>
          </cell>
          <cell r="M106">
            <v>80672445.564678505</v>
          </cell>
          <cell r="N106">
            <v>82669337.326724857</v>
          </cell>
          <cell r="O106">
            <v>84676400.07993786</v>
          </cell>
          <cell r="P106">
            <v>87591130.197355002</v>
          </cell>
          <cell r="Q106">
            <v>90763634.477458328</v>
          </cell>
          <cell r="R106">
            <v>852636474.80346286</v>
          </cell>
        </row>
        <row r="107">
          <cell r="A107" t="str">
            <v>Option 2Totalresource</v>
          </cell>
          <cell r="B107">
            <v>3</v>
          </cell>
          <cell r="C107" t="str">
            <v>Option 2</v>
          </cell>
          <cell r="D107" t="str">
            <v>Total</v>
          </cell>
          <cell r="E107" t="str">
            <v>resource</v>
          </cell>
          <cell r="F107">
            <v>36783382.7190319</v>
          </cell>
          <cell r="G107">
            <v>130143024.88401087</v>
          </cell>
          <cell r="H107">
            <v>234484110.83150706</v>
          </cell>
          <cell r="I107">
            <v>817701297.48609436</v>
          </cell>
          <cell r="J107">
            <v>538877125.777812</v>
          </cell>
          <cell r="K107">
            <v>1248168656.1471863</v>
          </cell>
          <cell r="L107">
            <v>1014403398.3300245</v>
          </cell>
          <cell r="M107">
            <v>981382231.43796861</v>
          </cell>
          <cell r="N107">
            <v>434389101.25687897</v>
          </cell>
          <cell r="O107">
            <v>1204168898.7941048</v>
          </cell>
          <cell r="P107">
            <v>852596104.13163459</v>
          </cell>
          <cell r="Q107">
            <v>1740040964.7059283</v>
          </cell>
          <cell r="R107">
            <v>9233138296.502182</v>
          </cell>
        </row>
        <row r="108">
          <cell r="A108" t="str">
            <v>Option 2TotalCapital DEL (Credit)</v>
          </cell>
          <cell r="B108">
            <v>3</v>
          </cell>
          <cell r="C108" t="str">
            <v>Option 2</v>
          </cell>
          <cell r="D108" t="str">
            <v>Total</v>
          </cell>
          <cell r="E108" t="str">
            <v>Capital DEL (Credit)</v>
          </cell>
          <cell r="F108">
            <v>141235.59631249998</v>
          </cell>
          <cell r="G108">
            <v>2991850.8134375</v>
          </cell>
          <cell r="H108">
            <v>79531951.402875006</v>
          </cell>
          <cell r="I108">
            <v>644673337.66087496</v>
          </cell>
          <cell r="J108">
            <v>345901659.7428751</v>
          </cell>
          <cell r="K108">
            <v>981466383.65837502</v>
          </cell>
          <cell r="L108">
            <v>724148725.52037513</v>
          </cell>
          <cell r="M108">
            <v>714166056.31087494</v>
          </cell>
          <cell r="N108">
            <v>217925834.11787501</v>
          </cell>
          <cell r="O108">
            <v>833490123.06087494</v>
          </cell>
          <cell r="P108">
            <v>510422325.31537503</v>
          </cell>
          <cell r="Q108">
            <v>1170683415.1133752</v>
          </cell>
          <cell r="R108">
            <v>6225542898.3135014</v>
          </cell>
        </row>
        <row r="109">
          <cell r="A109" t="str">
            <v>Option 2TotalCapital DEL (Debit)</v>
          </cell>
          <cell r="B109">
            <v>3</v>
          </cell>
          <cell r="C109" t="str">
            <v>Option 2</v>
          </cell>
          <cell r="D109" t="str">
            <v>Total</v>
          </cell>
          <cell r="E109" t="str">
            <v>Capital DEL (Debit)</v>
          </cell>
          <cell r="F109">
            <v>321030000.03387505</v>
          </cell>
          <cell r="G109">
            <v>1319297455.5193751</v>
          </cell>
          <cell r="H109">
            <v>262595229.37537497</v>
          </cell>
          <cell r="I109">
            <v>642247154.765625</v>
          </cell>
          <cell r="J109">
            <v>333895095.51037502</v>
          </cell>
          <cell r="K109">
            <v>983003200.76312506</v>
          </cell>
          <cell r="L109">
            <v>731218561.28787506</v>
          </cell>
          <cell r="M109">
            <v>709639873.41562498</v>
          </cell>
          <cell r="N109">
            <v>205919269.88537499</v>
          </cell>
          <cell r="O109">
            <v>837126940.16562498</v>
          </cell>
          <cell r="P109">
            <v>515392161.08287501</v>
          </cell>
          <cell r="Q109">
            <v>1166157232.2181251</v>
          </cell>
          <cell r="R109">
            <v>8027522174.0232496</v>
          </cell>
        </row>
        <row r="110">
          <cell r="A110" t="str">
            <v>Option 3Pandemic Vaccinescash</v>
          </cell>
          <cell r="B110">
            <v>4</v>
          </cell>
          <cell r="C110" t="str">
            <v>Option 3</v>
          </cell>
          <cell r="D110" t="str">
            <v>Pandemic Vaccines</v>
          </cell>
          <cell r="E110" t="str">
            <v>cash</v>
          </cell>
          <cell r="F110">
            <v>11414478.75</v>
          </cell>
          <cell r="G110">
            <v>43015751.25</v>
          </cell>
          <cell r="H110">
            <v>37160902.5</v>
          </cell>
          <cell r="I110">
            <v>35926800</v>
          </cell>
          <cell r="J110">
            <v>38887800</v>
          </cell>
          <cell r="K110">
            <v>43104264</v>
          </cell>
          <cell r="L110">
            <v>37665981.419999994</v>
          </cell>
          <cell r="M110">
            <v>39258184.383599997</v>
          </cell>
          <cell r="N110">
            <v>43768561.501518011</v>
          </cell>
          <cell r="O110">
            <v>48514228.880565844</v>
          </cell>
          <cell r="P110">
            <v>42393393.925506316</v>
          </cell>
          <cell r="Q110">
            <v>44185432.388346225</v>
          </cell>
          <cell r="R110">
            <v>465295778.99953628</v>
          </cell>
        </row>
        <row r="111">
          <cell r="A111" t="str">
            <v>Option 3Pandemic Vaccinesnear-cash</v>
          </cell>
          <cell r="B111">
            <v>4</v>
          </cell>
          <cell r="C111" t="str">
            <v>Option 3</v>
          </cell>
          <cell r="D111" t="str">
            <v>Pandemic Vaccines</v>
          </cell>
          <cell r="E111" t="str">
            <v>near-cash</v>
          </cell>
          <cell r="F111">
            <v>11414478.75</v>
          </cell>
          <cell r="G111">
            <v>43015751.25</v>
          </cell>
          <cell r="H111">
            <v>37160902.5</v>
          </cell>
          <cell r="I111">
            <v>35926800</v>
          </cell>
          <cell r="J111">
            <v>38887800</v>
          </cell>
          <cell r="K111">
            <v>43104264</v>
          </cell>
          <cell r="L111">
            <v>37665981.419999994</v>
          </cell>
          <cell r="M111">
            <v>39258184.383599997</v>
          </cell>
          <cell r="N111">
            <v>43768561.501518011</v>
          </cell>
          <cell r="O111">
            <v>48514228.880565844</v>
          </cell>
          <cell r="P111">
            <v>42393393.925506316</v>
          </cell>
          <cell r="Q111">
            <v>44185432.388346225</v>
          </cell>
          <cell r="R111">
            <v>465295778.99953628</v>
          </cell>
        </row>
        <row r="112">
          <cell r="A112" t="str">
            <v>Option 3Pandemic Vaccinesnon-cash</v>
          </cell>
          <cell r="B112">
            <v>4</v>
          </cell>
          <cell r="C112" t="str">
            <v>Option 3</v>
          </cell>
          <cell r="D112" t="str">
            <v>Pandemic Vaccines</v>
          </cell>
          <cell r="E112" t="str">
            <v>non-cash</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A113" t="str">
            <v>Option 3Pandemic Vaccinesresource</v>
          </cell>
          <cell r="B113">
            <v>4</v>
          </cell>
          <cell r="C113" t="str">
            <v>Option 3</v>
          </cell>
          <cell r="D113" t="str">
            <v>Pandemic Vaccines</v>
          </cell>
          <cell r="E113" t="str">
            <v>resource</v>
          </cell>
          <cell r="F113">
            <v>11414478.75</v>
          </cell>
          <cell r="G113">
            <v>43015751.25</v>
          </cell>
          <cell r="H113">
            <v>37160902.5</v>
          </cell>
          <cell r="I113">
            <v>35926800</v>
          </cell>
          <cell r="J113">
            <v>38887800</v>
          </cell>
          <cell r="K113">
            <v>43104264</v>
          </cell>
          <cell r="L113">
            <v>37665981.419999994</v>
          </cell>
          <cell r="M113">
            <v>39258184.383599997</v>
          </cell>
          <cell r="N113">
            <v>43768561.501518011</v>
          </cell>
          <cell r="O113">
            <v>48514228.880565844</v>
          </cell>
          <cell r="P113">
            <v>42393393.925506316</v>
          </cell>
          <cell r="Q113">
            <v>44185432.388346225</v>
          </cell>
          <cell r="R113">
            <v>465295778.99953628</v>
          </cell>
        </row>
        <row r="114">
          <cell r="A114" t="str">
            <v>Option 3Pre=Pandemic Vaccinescash</v>
          </cell>
          <cell r="B114">
            <v>4</v>
          </cell>
          <cell r="C114" t="str">
            <v>Option 3</v>
          </cell>
          <cell r="D114" t="str">
            <v>Pre=Pandemic Vaccines</v>
          </cell>
          <cell r="E114" t="str">
            <v>cash</v>
          </cell>
          <cell r="F114">
            <v>37396638.283571467</v>
          </cell>
          <cell r="G114">
            <v>495791888.23776335</v>
          </cell>
          <cell r="H114">
            <v>119587422.2985011</v>
          </cell>
          <cell r="I114">
            <v>498144944.17552084</v>
          </cell>
          <cell r="J114">
            <v>112094481.35989586</v>
          </cell>
          <cell r="K114">
            <v>516139329.30225527</v>
          </cell>
          <cell r="L114">
            <v>127769624.53520235</v>
          </cell>
          <cell r="M114">
            <v>544336430.41408443</v>
          </cell>
          <cell r="N114">
            <v>126163326.32294358</v>
          </cell>
          <cell r="O114">
            <v>580919362.31717944</v>
          </cell>
          <cell r="P114">
            <v>143805838.06476241</v>
          </cell>
          <cell r="Q114">
            <v>612655448.03500402</v>
          </cell>
          <cell r="R114">
            <v>3914804733.3466845</v>
          </cell>
        </row>
        <row r="115">
          <cell r="A115" t="str">
            <v>Option 3Pre=Pandemic Vaccinesnear-cash</v>
          </cell>
          <cell r="B115">
            <v>4</v>
          </cell>
          <cell r="C115" t="str">
            <v>Option 3</v>
          </cell>
          <cell r="D115" t="str">
            <v>Pre=Pandemic Vaccines</v>
          </cell>
          <cell r="E115" t="str">
            <v>near-cash</v>
          </cell>
          <cell r="F115">
            <v>42309.633571465776</v>
          </cell>
          <cell r="G115">
            <v>169838.23776326023</v>
          </cell>
          <cell r="H115">
            <v>40988129.563286081</v>
          </cell>
          <cell r="I115">
            <v>501176444.17552084</v>
          </cell>
          <cell r="J115">
            <v>120582681.35989586</v>
          </cell>
          <cell r="K115">
            <v>513016884.30225527</v>
          </cell>
          <cell r="L115">
            <v>118764493.15520236</v>
          </cell>
          <cell r="M115">
            <v>547649032.31458437</v>
          </cell>
          <cell r="N115">
            <v>135716870.20398557</v>
          </cell>
          <cell r="O115">
            <v>577405022.96093905</v>
          </cell>
          <cell r="P115">
            <v>133670483.36136498</v>
          </cell>
          <cell r="Q115">
            <v>616383810.65803945</v>
          </cell>
          <cell r="R115">
            <v>3305565999.9264083</v>
          </cell>
        </row>
        <row r="116">
          <cell r="A116" t="str">
            <v>Option 3Pre=Pandemic Vaccinesnon-cash</v>
          </cell>
          <cell r="B116">
            <v>4</v>
          </cell>
          <cell r="C116" t="str">
            <v>Option 3</v>
          </cell>
          <cell r="D116" t="str">
            <v>Pre=Pandemic Vaccines</v>
          </cell>
          <cell r="E116" t="str">
            <v>non-cash</v>
          </cell>
          <cell r="F116">
            <v>1110000.51575</v>
          </cell>
          <cell r="G116">
            <v>10009399.1728325</v>
          </cell>
          <cell r="H116">
            <v>20367910.707108304</v>
          </cell>
          <cell r="I116">
            <v>21689016.562500004</v>
          </cell>
          <cell r="J116">
            <v>21344183.437500004</v>
          </cell>
          <cell r="K116">
            <v>21503652.410625003</v>
          </cell>
          <cell r="L116">
            <v>22514595.445256252</v>
          </cell>
          <cell r="M116">
            <v>23700174.00129094</v>
          </cell>
          <cell r="N116">
            <v>24023066.501162343</v>
          </cell>
          <cell r="O116">
            <v>24202550.235336181</v>
          </cell>
          <cell r="P116">
            <v>25340375.527221788</v>
          </cell>
          <cell r="Q116">
            <v>26674754.636985909</v>
          </cell>
          <cell r="R116">
            <v>242479679.15356922</v>
          </cell>
        </row>
        <row r="117">
          <cell r="A117" t="str">
            <v>Option 3Pre=Pandemic Vaccinesresource</v>
          </cell>
          <cell r="B117">
            <v>4</v>
          </cell>
          <cell r="C117" t="str">
            <v>Option 3</v>
          </cell>
          <cell r="D117" t="str">
            <v>Pre=Pandemic Vaccines</v>
          </cell>
          <cell r="E117" t="str">
            <v>resource</v>
          </cell>
          <cell r="F117">
            <v>1152310.1493214658</v>
          </cell>
          <cell r="G117">
            <v>10179237.41059576</v>
          </cell>
          <cell r="H117">
            <v>61356040.270394385</v>
          </cell>
          <cell r="I117">
            <v>522865460.73802084</v>
          </cell>
          <cell r="J117">
            <v>141926864.79739586</v>
          </cell>
          <cell r="K117">
            <v>534520536.71288025</v>
          </cell>
          <cell r="L117">
            <v>141279088.60045862</v>
          </cell>
          <cell r="M117">
            <v>571349206.31587529</v>
          </cell>
          <cell r="N117">
            <v>159739936.70514792</v>
          </cell>
          <cell r="O117">
            <v>601607573.19627523</v>
          </cell>
          <cell r="P117">
            <v>159010858.88858676</v>
          </cell>
          <cell r="Q117">
            <v>643058565.29502535</v>
          </cell>
          <cell r="R117">
            <v>3548045679.0799775</v>
          </cell>
        </row>
        <row r="118">
          <cell r="A118" t="str">
            <v>Option 3Antiviralscash</v>
          </cell>
          <cell r="B118">
            <v>4</v>
          </cell>
          <cell r="C118" t="str">
            <v>Option 3</v>
          </cell>
          <cell r="D118" t="str">
            <v>Antivirals</v>
          </cell>
          <cell r="E118" t="str">
            <v>cash</v>
          </cell>
          <cell r="F118">
            <v>210689128.0964236</v>
          </cell>
          <cell r="G118">
            <v>902820697.46228242</v>
          </cell>
          <cell r="H118">
            <v>3567433.3129296876</v>
          </cell>
          <cell r="I118">
            <v>3674456.3123175786</v>
          </cell>
          <cell r="J118">
            <v>103979229.08132504</v>
          </cell>
          <cell r="K118">
            <v>241278249.46749127</v>
          </cell>
          <cell r="L118">
            <v>1051029415.5343934</v>
          </cell>
          <cell r="M118">
            <v>4135632.9514735462</v>
          </cell>
          <cell r="N118">
            <v>4259701.9400177533</v>
          </cell>
          <cell r="O118">
            <v>120540424.53968073</v>
          </cell>
          <cell r="P118">
            <v>287967524.7551921</v>
          </cell>
          <cell r="Q118">
            <v>1218431152.7557042</v>
          </cell>
          <cell r="R118">
            <v>4152373046.2092314</v>
          </cell>
        </row>
        <row r="119">
          <cell r="A119" t="str">
            <v>Option 3Antiviralsnear-cash</v>
          </cell>
          <cell r="B119">
            <v>4</v>
          </cell>
          <cell r="C119" t="str">
            <v>Option 3</v>
          </cell>
          <cell r="D119" t="str">
            <v>Antivirals</v>
          </cell>
          <cell r="E119" t="str">
            <v>near-cash</v>
          </cell>
          <cell r="F119">
            <v>559212.52392358403</v>
          </cell>
          <cell r="G119">
            <v>3007048.5019572927</v>
          </cell>
          <cell r="H119">
            <v>3567433.3129296876</v>
          </cell>
          <cell r="I119">
            <v>3674456.3123175786</v>
          </cell>
          <cell r="J119">
            <v>103979229.08132502</v>
          </cell>
          <cell r="K119">
            <v>241278249.4674913</v>
          </cell>
          <cell r="L119">
            <v>1051029415.5343934</v>
          </cell>
          <cell r="M119">
            <v>4135632.9514735462</v>
          </cell>
          <cell r="N119">
            <v>4259701.9400177533</v>
          </cell>
          <cell r="O119">
            <v>120540424.53968073</v>
          </cell>
          <cell r="P119">
            <v>287967524.7551921</v>
          </cell>
          <cell r="Q119">
            <v>1218431152.7557042</v>
          </cell>
          <cell r="R119">
            <v>3042429481.6764059</v>
          </cell>
        </row>
        <row r="120">
          <cell r="A120" t="str">
            <v>Option 3Antiviralsnon-cash</v>
          </cell>
          <cell r="B120">
            <v>4</v>
          </cell>
          <cell r="C120" t="str">
            <v>Option 3</v>
          </cell>
          <cell r="D120" t="str">
            <v>Antivirals</v>
          </cell>
          <cell r="E120" t="str">
            <v>non-cash</v>
          </cell>
          <cell r="F120">
            <v>6749084.5337781254</v>
          </cell>
          <cell r="G120">
            <v>36374008.668194316</v>
          </cell>
          <cell r="H120">
            <v>43533963.867625006</v>
          </cell>
          <cell r="I120">
            <v>44839982.783653758</v>
          </cell>
          <cell r="J120">
            <v>46185182.267163374</v>
          </cell>
          <cell r="K120">
            <v>47570737.735178269</v>
          </cell>
          <cell r="L120">
            <v>48997859.867233619</v>
          </cell>
          <cell r="M120">
            <v>50467795.663250625</v>
          </cell>
          <cell r="N120">
            <v>51981829.533148147</v>
          </cell>
          <cell r="O120">
            <v>53541284.419142596</v>
          </cell>
          <cell r="P120">
            <v>55147522.951716885</v>
          </cell>
          <cell r="Q120">
            <v>56801948.640268393</v>
          </cell>
          <cell r="R120">
            <v>542191200.93035316</v>
          </cell>
        </row>
        <row r="121">
          <cell r="A121" t="str">
            <v>Option 3Antiviralsresource</v>
          </cell>
          <cell r="B121">
            <v>4</v>
          </cell>
          <cell r="C121" t="str">
            <v>Option 3</v>
          </cell>
          <cell r="D121" t="str">
            <v>Antivirals</v>
          </cell>
          <cell r="E121" t="str">
            <v>resource</v>
          </cell>
          <cell r="F121">
            <v>7308297.0577017097</v>
          </cell>
          <cell r="G121">
            <v>39381057.170151606</v>
          </cell>
          <cell r="H121">
            <v>47101397.180554695</v>
          </cell>
          <cell r="I121">
            <v>48514439.095971338</v>
          </cell>
          <cell r="J121">
            <v>150164411.34848839</v>
          </cell>
          <cell r="K121">
            <v>288848987.20266956</v>
          </cell>
          <cell r="L121">
            <v>1100027275.4016271</v>
          </cell>
          <cell r="M121">
            <v>54603428.614724174</v>
          </cell>
          <cell r="N121">
            <v>56241531.4731659</v>
          </cell>
          <cell r="O121">
            <v>174081708.95882332</v>
          </cell>
          <cell r="P121">
            <v>343115047.706909</v>
          </cell>
          <cell r="Q121">
            <v>1275233101.3959725</v>
          </cell>
          <cell r="R121">
            <v>3584620682.6067591</v>
          </cell>
        </row>
        <row r="122">
          <cell r="A122" t="str">
            <v>Option 3Antibioticscash</v>
          </cell>
          <cell r="B122">
            <v>4</v>
          </cell>
          <cell r="C122" t="str">
            <v>Option 3</v>
          </cell>
          <cell r="D122" t="str">
            <v>Antibiotics</v>
          </cell>
          <cell r="E122" t="str">
            <v>cash</v>
          </cell>
          <cell r="F122">
            <v>9737963.819927305</v>
          </cell>
          <cell r="G122">
            <v>190194404.82798412</v>
          </cell>
          <cell r="H122">
            <v>45079904.254274212</v>
          </cell>
          <cell r="I122">
            <v>130363369.32253121</v>
          </cell>
          <cell r="J122">
            <v>93185408.187191129</v>
          </cell>
          <cell r="K122">
            <v>173348978.5064843</v>
          </cell>
          <cell r="L122">
            <v>15802205.247975618</v>
          </cell>
          <cell r="M122">
            <v>232275060.80054256</v>
          </cell>
          <cell r="N122">
            <v>55060794.490026012</v>
          </cell>
          <cell r="O122">
            <v>155660680.52282664</v>
          </cell>
          <cell r="P122">
            <v>111268250.64890786</v>
          </cell>
          <cell r="Q122">
            <v>206987745.88662389</v>
          </cell>
          <cell r="R122">
            <v>1418964766.5152948</v>
          </cell>
        </row>
        <row r="123">
          <cell r="A123" t="str">
            <v>Option 3Antibioticsnear-cash</v>
          </cell>
          <cell r="B123">
            <v>4</v>
          </cell>
          <cell r="C123" t="str">
            <v>Option 3</v>
          </cell>
          <cell r="D123" t="str">
            <v>Antibiotics</v>
          </cell>
          <cell r="E123" t="str">
            <v>near-cash</v>
          </cell>
          <cell r="F123">
            <v>159418.71298980364</v>
          </cell>
          <cell r="G123">
            <v>3490838.2657997506</v>
          </cell>
          <cell r="H123">
            <v>16136034.979928954</v>
          </cell>
          <cell r="I123">
            <v>131996649.67860906</v>
          </cell>
          <cell r="J123">
            <v>97145358.127658784</v>
          </cell>
          <cell r="K123">
            <v>175081725.63624728</v>
          </cell>
          <cell r="L123">
            <v>20003316.139817733</v>
          </cell>
          <cell r="M123">
            <v>234113332.23050815</v>
          </cell>
          <cell r="N123">
            <v>59517753.035181314</v>
          </cell>
          <cell r="O123">
            <v>157610902.68287712</v>
          </cell>
          <cell r="P123">
            <v>115996637.96946314</v>
          </cell>
          <cell r="Q123">
            <v>209056736.57622141</v>
          </cell>
          <cell r="R123">
            <v>1220308704.0353024</v>
          </cell>
        </row>
        <row r="124">
          <cell r="A124" t="str">
            <v>Option 3Antibioticsnon-cash</v>
          </cell>
          <cell r="B124">
            <v>4</v>
          </cell>
          <cell r="C124" t="str">
            <v>Option 3</v>
          </cell>
          <cell r="D124" t="str">
            <v>Antibiotics</v>
          </cell>
          <cell r="E124" t="str">
            <v>non-cash</v>
          </cell>
          <cell r="F124">
            <v>143954.6245396875</v>
          </cell>
          <cell r="G124">
            <v>5320027.2924575657</v>
          </cell>
          <cell r="H124">
            <v>8307885.740348476</v>
          </cell>
          <cell r="I124">
            <v>8705103.4521060549</v>
          </cell>
          <cell r="J124">
            <v>8962584.4229449574</v>
          </cell>
          <cell r="K124">
            <v>9235244.2523393109</v>
          </cell>
          <cell r="L124">
            <v>9508405.8143023029</v>
          </cell>
          <cell r="M124">
            <v>9797670.6273067761</v>
          </cell>
          <cell r="N124">
            <v>10087467.728393313</v>
          </cell>
          <cell r="O124">
            <v>10394348.76850976</v>
          </cell>
          <cell r="P124">
            <v>10701794.513052465</v>
          </cell>
          <cell r="Q124">
            <v>11027364.608512005</v>
          </cell>
          <cell r="R124">
            <v>102191851.84481266</v>
          </cell>
        </row>
        <row r="125">
          <cell r="A125" t="str">
            <v>Option 3Antibioticsresource</v>
          </cell>
          <cell r="B125">
            <v>4</v>
          </cell>
          <cell r="C125" t="str">
            <v>Option 3</v>
          </cell>
          <cell r="D125" t="str">
            <v>Antibiotics</v>
          </cell>
          <cell r="E125" t="str">
            <v>resource</v>
          </cell>
          <cell r="F125">
            <v>303373.33752949117</v>
          </cell>
          <cell r="G125">
            <v>8810865.5582573153</v>
          </cell>
          <cell r="H125">
            <v>24443920.720277429</v>
          </cell>
          <cell r="I125">
            <v>140701753.1307151</v>
          </cell>
          <cell r="J125">
            <v>106107942.55060375</v>
          </cell>
          <cell r="K125">
            <v>184316969.88858658</v>
          </cell>
          <cell r="L125">
            <v>29511721.954120036</v>
          </cell>
          <cell r="M125">
            <v>243911002.85781494</v>
          </cell>
          <cell r="N125">
            <v>69605220.76357463</v>
          </cell>
          <cell r="O125">
            <v>168005251.45138687</v>
          </cell>
          <cell r="P125">
            <v>126698432.4825156</v>
          </cell>
          <cell r="Q125">
            <v>220084101.18473342</v>
          </cell>
          <cell r="R125">
            <v>1322500555.880115</v>
          </cell>
        </row>
        <row r="126">
          <cell r="A126" t="str">
            <v>Option 3Consumablescash</v>
          </cell>
          <cell r="B126">
            <v>4</v>
          </cell>
          <cell r="C126" t="str">
            <v>Option 3</v>
          </cell>
          <cell r="D126" t="str">
            <v>Consumables</v>
          </cell>
          <cell r="E126" t="str">
            <v>cash</v>
          </cell>
          <cell r="F126">
            <v>62543701.962193847</v>
          </cell>
          <cell r="G126">
            <v>162668415.79532215</v>
          </cell>
          <cell r="H126">
            <v>123799179.4351261</v>
          </cell>
          <cell r="I126">
            <v>48240894.249973789</v>
          </cell>
          <cell r="J126">
            <v>76908401.242613286</v>
          </cell>
          <cell r="K126">
            <v>174676328.7297481</v>
          </cell>
          <cell r="L126">
            <v>147124655.5355233</v>
          </cell>
          <cell r="M126">
            <v>54295551.480623856</v>
          </cell>
          <cell r="N126">
            <v>86561083.161576211</v>
          </cell>
          <cell r="O126">
            <v>192869251.73959285</v>
          </cell>
          <cell r="P126">
            <v>161747685.9749262</v>
          </cell>
          <cell r="Q126">
            <v>69025486.132203102</v>
          </cell>
          <cell r="R126">
            <v>1360460635.4394228</v>
          </cell>
        </row>
        <row r="127">
          <cell r="A127" t="str">
            <v>Option 3Consumablesnear-cash</v>
          </cell>
          <cell r="B127">
            <v>4</v>
          </cell>
          <cell r="C127" t="str">
            <v>Option 3</v>
          </cell>
          <cell r="D127" t="str">
            <v>Consumables</v>
          </cell>
          <cell r="E127" t="str">
            <v>near-cash</v>
          </cell>
          <cell r="F127">
            <v>817726.85406885273</v>
          </cell>
          <cell r="G127">
            <v>9691042.4707158841</v>
          </cell>
          <cell r="H127">
            <v>44330625.493661091</v>
          </cell>
          <cell r="I127">
            <v>48240894.249973789</v>
          </cell>
          <cell r="J127">
            <v>76908401.242613286</v>
          </cell>
          <cell r="K127">
            <v>174676328.7297481</v>
          </cell>
          <cell r="L127">
            <v>147124655.5355233</v>
          </cell>
          <cell r="M127">
            <v>54295551.480623856</v>
          </cell>
          <cell r="N127">
            <v>86561083.161576211</v>
          </cell>
          <cell r="O127">
            <v>192869251.73959285</v>
          </cell>
          <cell r="P127">
            <v>161747685.9749262</v>
          </cell>
          <cell r="Q127">
            <v>69025486.132203102</v>
          </cell>
          <cell r="R127">
            <v>1066288733.0652266</v>
          </cell>
        </row>
        <row r="128">
          <cell r="A128" t="str">
            <v>Option 3Consumablesnon-cash</v>
          </cell>
          <cell r="B128">
            <v>4</v>
          </cell>
          <cell r="C128" t="str">
            <v>Option 3</v>
          </cell>
          <cell r="D128" t="str">
            <v>Consumables</v>
          </cell>
          <cell r="E128" t="str">
            <v>non-cash</v>
          </cell>
          <cell r="F128">
            <v>540102.28219609382</v>
          </cell>
          <cell r="G128">
            <v>6038675.9972725715</v>
          </cell>
          <cell r="H128">
            <v>9904284.3218119256</v>
          </cell>
          <cell r="I128">
            <v>10905858.093261596</v>
          </cell>
          <cell r="J128">
            <v>11233033.836059446</v>
          </cell>
          <cell r="K128">
            <v>11570024.851141227</v>
          </cell>
          <cell r="L128">
            <v>11917125.596675467</v>
          </cell>
          <cell r="M128">
            <v>12274639.364575729</v>
          </cell>
          <cell r="N128">
            <v>12642878.545513006</v>
          </cell>
          <cell r="O128">
            <v>13022164.901878392</v>
          </cell>
          <cell r="P128">
            <v>13412829.848934742</v>
          </cell>
          <cell r="Q128">
            <v>13815214.744402789</v>
          </cell>
          <cell r="R128">
            <v>127276832.38372296</v>
          </cell>
        </row>
        <row r="129">
          <cell r="A129" t="str">
            <v>Option 3Consumablesresource</v>
          </cell>
          <cell r="B129">
            <v>4</v>
          </cell>
          <cell r="C129" t="str">
            <v>Option 3</v>
          </cell>
          <cell r="D129" t="str">
            <v>Consumables</v>
          </cell>
          <cell r="E129" t="str">
            <v>resource</v>
          </cell>
          <cell r="F129">
            <v>1357829.1362649465</v>
          </cell>
          <cell r="G129">
            <v>15729718.467988456</v>
          </cell>
          <cell r="H129">
            <v>54234909.81547302</v>
          </cell>
          <cell r="I129">
            <v>59146752.343235388</v>
          </cell>
          <cell r="J129">
            <v>88141435.078672737</v>
          </cell>
          <cell r="K129">
            <v>186246353.58088931</v>
          </cell>
          <cell r="L129">
            <v>159041781.13219875</v>
          </cell>
          <cell r="M129">
            <v>66570190.845199585</v>
          </cell>
          <cell r="N129">
            <v>99203961.707089216</v>
          </cell>
          <cell r="O129">
            <v>205891416.64147124</v>
          </cell>
          <cell r="P129">
            <v>175160515.82386094</v>
          </cell>
          <cell r="Q129">
            <v>82840700.876605898</v>
          </cell>
          <cell r="R129">
            <v>1193565565.4489496</v>
          </cell>
        </row>
        <row r="130">
          <cell r="A130" t="str">
            <v>Option 3Non Productcash</v>
          </cell>
          <cell r="B130">
            <v>4</v>
          </cell>
          <cell r="C130" t="str">
            <v>Option 3</v>
          </cell>
          <cell r="D130" t="str">
            <v>Non Product</v>
          </cell>
          <cell r="E130" t="str">
            <v>cash</v>
          </cell>
          <cell r="F130">
            <v>16600000</v>
          </cell>
          <cell r="G130">
            <v>22248000</v>
          </cell>
          <cell r="H130">
            <v>25037240</v>
          </cell>
          <cell r="I130">
            <v>28083083.899999999</v>
          </cell>
          <cell r="J130">
            <v>29375779.941000003</v>
          </cell>
          <cell r="K130">
            <v>27358868.153480001</v>
          </cell>
          <cell r="L130">
            <v>24716882.538150299</v>
          </cell>
          <cell r="M130">
            <v>22875653.896902584</v>
          </cell>
          <cell r="N130">
            <v>23561923.513809666</v>
          </cell>
          <cell r="O130">
            <v>27008804.905265369</v>
          </cell>
          <cell r="P130">
            <v>24996844.655800674</v>
          </cell>
          <cell r="Q130">
            <v>25746749.995474696</v>
          </cell>
          <cell r="R130">
            <v>297609831.49988329</v>
          </cell>
        </row>
        <row r="131">
          <cell r="A131" t="str">
            <v>Option 3Non Productnear-cash</v>
          </cell>
          <cell r="B131">
            <v>4</v>
          </cell>
          <cell r="C131" t="str">
            <v>Option 3</v>
          </cell>
          <cell r="D131" t="str">
            <v>Non Product</v>
          </cell>
          <cell r="E131" t="str">
            <v>near-cash</v>
          </cell>
          <cell r="F131">
            <v>14500000</v>
          </cell>
          <cell r="G131">
            <v>22248000</v>
          </cell>
          <cell r="H131">
            <v>25037240</v>
          </cell>
          <cell r="I131">
            <v>25788357.199999999</v>
          </cell>
          <cell r="J131">
            <v>29375779.941000003</v>
          </cell>
          <cell r="K131">
            <v>27358868.153480001</v>
          </cell>
          <cell r="L131">
            <v>22209372.715439402</v>
          </cell>
          <cell r="M131">
            <v>22875653.896902584</v>
          </cell>
          <cell r="N131">
            <v>23561923.513809666</v>
          </cell>
          <cell r="O131">
            <v>24268781.219223954</v>
          </cell>
          <cell r="P131">
            <v>24996844.655800674</v>
          </cell>
          <cell r="Q131">
            <v>25746749.995474696</v>
          </cell>
          <cell r="R131">
            <v>287967571.29113096</v>
          </cell>
        </row>
        <row r="132">
          <cell r="A132" t="str">
            <v>Option 3Non Productnon-cash</v>
          </cell>
          <cell r="B132">
            <v>4</v>
          </cell>
          <cell r="C132" t="str">
            <v>Option 3</v>
          </cell>
          <cell r="D132" t="str">
            <v>Non Product</v>
          </cell>
          <cell r="E132" t="str">
            <v>non-cash</v>
          </cell>
          <cell r="F132">
            <v>761250</v>
          </cell>
          <cell r="G132">
            <v>758852.5</v>
          </cell>
          <cell r="H132">
            <v>755626.02500000002</v>
          </cell>
          <cell r="I132">
            <v>831838.42874999996</v>
          </cell>
          <cell r="J132">
            <v>829218.61576750013</v>
          </cell>
          <cell r="K132">
            <v>825692.95942017506</v>
          </cell>
          <cell r="L132">
            <v>908972.31073270133</v>
          </cell>
          <cell r="M132">
            <v>906109.57035177317</v>
          </cell>
          <cell r="N132">
            <v>902256.99046832975</v>
          </cell>
          <cell r="O132">
            <v>993258.58619001263</v>
          </cell>
          <cell r="P132">
            <v>990130.39248178201</v>
          </cell>
          <cell r="Q132">
            <v>985920.5744234866</v>
          </cell>
          <cell r="R132">
            <v>10449126.953585761</v>
          </cell>
        </row>
        <row r="133">
          <cell r="A133" t="str">
            <v>Option 3Non Productresource</v>
          </cell>
          <cell r="B133">
            <v>4</v>
          </cell>
          <cell r="C133" t="str">
            <v>Option 3</v>
          </cell>
          <cell r="D133" t="str">
            <v>Non Product</v>
          </cell>
          <cell r="E133" t="str">
            <v>resource</v>
          </cell>
          <cell r="F133">
            <v>15261250</v>
          </cell>
          <cell r="G133">
            <v>23006852.5</v>
          </cell>
          <cell r="H133">
            <v>25792866.024999999</v>
          </cell>
          <cell r="I133">
            <v>26620195.62875</v>
          </cell>
          <cell r="J133">
            <v>30204998.556767505</v>
          </cell>
          <cell r="K133">
            <v>28184561.112900175</v>
          </cell>
          <cell r="L133">
            <v>23118345.026172101</v>
          </cell>
          <cell r="M133">
            <v>23781763.467254356</v>
          </cell>
          <cell r="N133">
            <v>24464180.504277997</v>
          </cell>
          <cell r="O133">
            <v>25262039.805413965</v>
          </cell>
          <cell r="P133">
            <v>25986975.048282456</v>
          </cell>
          <cell r="Q133">
            <v>26732670.569898184</v>
          </cell>
          <cell r="R133">
            <v>298416698.24471676</v>
          </cell>
        </row>
        <row r="134">
          <cell r="A134" t="str">
            <v>Option 3Totalcash</v>
          </cell>
          <cell r="B134">
            <v>4</v>
          </cell>
          <cell r="C134" t="str">
            <v>Option 3</v>
          </cell>
          <cell r="D134" t="str">
            <v>Total</v>
          </cell>
          <cell r="E134" t="str">
            <v>cash</v>
          </cell>
          <cell r="F134">
            <v>348381910.91211617</v>
          </cell>
          <cell r="G134">
            <v>1816739157.5733521</v>
          </cell>
          <cell r="H134">
            <v>354232081.80083108</v>
          </cell>
          <cell r="I134">
            <v>744433547.96034336</v>
          </cell>
          <cell r="J134">
            <v>454431099.81202531</v>
          </cell>
          <cell r="K134">
            <v>1175906018.1594589</v>
          </cell>
          <cell r="L134">
            <v>1404108764.811245</v>
          </cell>
          <cell r="M134">
            <v>897176513.92722702</v>
          </cell>
          <cell r="N134">
            <v>339375390.92989123</v>
          </cell>
          <cell r="O134">
            <v>1125512752.9051108</v>
          </cell>
          <cell r="P134">
            <v>772179538.0250957</v>
          </cell>
          <cell r="Q134">
            <v>2177032015.193356</v>
          </cell>
          <cell r="R134">
            <v>11609508792.010052</v>
          </cell>
        </row>
        <row r="135">
          <cell r="A135" t="str">
            <v>Option 3TotalVAT*</v>
          </cell>
          <cell r="B135">
            <v>4</v>
          </cell>
          <cell r="C135" t="str">
            <v>Option 3</v>
          </cell>
          <cell r="D135" t="str">
            <v>Total</v>
          </cell>
          <cell r="E135" t="str">
            <v>VAT*</v>
          </cell>
          <cell r="F135">
            <v>51886667.582655609</v>
          </cell>
          <cell r="G135">
            <v>270578172.40454197</v>
          </cell>
          <cell r="H135">
            <v>52757969.629911005</v>
          </cell>
          <cell r="I135">
            <v>110873081.61111498</v>
          </cell>
          <cell r="J135">
            <v>67681227.631578267</v>
          </cell>
          <cell r="K135">
            <v>175134938.87481308</v>
          </cell>
          <cell r="L135">
            <v>209122581.9931643</v>
          </cell>
          <cell r="M135">
            <v>133622033.98916149</v>
          </cell>
          <cell r="N135">
            <v>50545270.98955828</v>
          </cell>
          <cell r="O135">
            <v>167629558.94331443</v>
          </cell>
          <cell r="P135">
            <v>115005463.11012065</v>
          </cell>
          <cell r="Q135">
            <v>324238810.77347875</v>
          </cell>
          <cell r="R135">
            <v>1729075777.5334127</v>
          </cell>
        </row>
        <row r="136">
          <cell r="A136" t="str">
            <v>Option 3Totalcash (exc VAT)</v>
          </cell>
          <cell r="B136">
            <v>4</v>
          </cell>
          <cell r="C136" t="str">
            <v>Option 3</v>
          </cell>
          <cell r="D136" t="str">
            <v>Total</v>
          </cell>
          <cell r="E136" t="str">
            <v>cash (exc VAT)</v>
          </cell>
          <cell r="F136">
            <v>296495243.32946056</v>
          </cell>
          <cell r="G136">
            <v>1546160985.1688101</v>
          </cell>
          <cell r="H136">
            <v>301474112.17092007</v>
          </cell>
          <cell r="I136">
            <v>633560466.34922838</v>
          </cell>
          <cell r="J136">
            <v>386749872.18044704</v>
          </cell>
          <cell r="K136">
            <v>1000771079.2846458</v>
          </cell>
          <cell r="L136">
            <v>1194986182.8180807</v>
          </cell>
          <cell r="M136">
            <v>763554479.93806553</v>
          </cell>
          <cell r="N136">
            <v>288830119.94033295</v>
          </cell>
          <cell r="O136">
            <v>957883193.9617964</v>
          </cell>
          <cell r="P136">
            <v>657174074.91497505</v>
          </cell>
          <cell r="Q136">
            <v>1852793204.4198773</v>
          </cell>
          <cell r="R136">
            <v>9880433014.4766407</v>
          </cell>
        </row>
        <row r="137">
          <cell r="A137" t="str">
            <v>Option 3Totaldiscount Factor</v>
          </cell>
          <cell r="B137">
            <v>4</v>
          </cell>
          <cell r="C137" t="str">
            <v>Option 3</v>
          </cell>
          <cell r="D137" t="str">
            <v>Total</v>
          </cell>
          <cell r="E137" t="str">
            <v>discount Factor</v>
          </cell>
          <cell r="F137">
            <v>1</v>
          </cell>
          <cell r="G137">
            <v>0.96618357487922713</v>
          </cell>
          <cell r="H137">
            <v>0.93351070036640305</v>
          </cell>
          <cell r="I137">
            <v>0.90194270566802237</v>
          </cell>
          <cell r="J137">
            <v>0.87144222769857238</v>
          </cell>
          <cell r="K137">
            <v>0.84197316685852408</v>
          </cell>
          <cell r="L137">
            <v>0.81350064430775282</v>
          </cell>
          <cell r="M137">
            <v>0.78599096068381924</v>
          </cell>
          <cell r="N137">
            <v>0.75941155621625056</v>
          </cell>
          <cell r="O137">
            <v>0.73373097218961414</v>
          </cell>
          <cell r="P137">
            <v>0.70891881370977217</v>
          </cell>
          <cell r="Q137">
            <v>0.68494571372924851</v>
          </cell>
          <cell r="R137">
            <v>10.001551036307207</v>
          </cell>
        </row>
        <row r="138">
          <cell r="A138" t="str">
            <v>Option 3TotalCash Discount</v>
          </cell>
          <cell r="B138">
            <v>4</v>
          </cell>
          <cell r="C138" t="str">
            <v>Option 3</v>
          </cell>
          <cell r="D138" t="str">
            <v>Total</v>
          </cell>
          <cell r="E138" t="str">
            <v>Cash Discount</v>
          </cell>
          <cell r="F138">
            <v>0</v>
          </cell>
          <cell r="G138">
            <v>52285637.179621488</v>
          </cell>
          <cell r="H138">
            <v>20044802.575904924</v>
          </cell>
          <cell r="I138">
            <v>62125225.125911295</v>
          </cell>
          <cell r="J138">
            <v>49719702.005380146</v>
          </cell>
          <cell r="K138">
            <v>158148684.35892949</v>
          </cell>
          <cell r="L138">
            <v>222864153.15670994</v>
          </cell>
          <cell r="M138">
            <v>163407560.71711141</v>
          </cell>
          <cell r="N138">
            <v>69489189.074318409</v>
          </cell>
          <cell r="O138">
            <v>255054626.8121148</v>
          </cell>
          <cell r="P138">
            <v>191291009.325434</v>
          </cell>
          <cell r="Q138">
            <v>583730440.62580299</v>
          </cell>
          <cell r="R138">
            <v>1828161030.9572389</v>
          </cell>
        </row>
        <row r="139">
          <cell r="A139" t="str">
            <v>Option 3TotalDiscounted Cash</v>
          </cell>
          <cell r="B139">
            <v>4</v>
          </cell>
          <cell r="C139" t="str">
            <v>Option 3</v>
          </cell>
          <cell r="D139" t="str">
            <v>Total</v>
          </cell>
          <cell r="E139" t="str">
            <v>Discounted Cash</v>
          </cell>
          <cell r="F139">
            <v>348381910.91211617</v>
          </cell>
          <cell r="G139">
            <v>1764453520.3937306</v>
          </cell>
          <cell r="H139">
            <v>334187279.22492617</v>
          </cell>
          <cell r="I139">
            <v>682308322.83443213</v>
          </cell>
          <cell r="J139">
            <v>404711397.80664515</v>
          </cell>
          <cell r="K139">
            <v>1017757333.8005294</v>
          </cell>
          <cell r="L139">
            <v>1181244611.6545351</v>
          </cell>
          <cell r="M139">
            <v>733768953.21011567</v>
          </cell>
          <cell r="N139">
            <v>269886201.85557282</v>
          </cell>
          <cell r="O139">
            <v>870458126.092996</v>
          </cell>
          <cell r="P139">
            <v>580888528.69966173</v>
          </cell>
          <cell r="Q139">
            <v>1593301574.567553</v>
          </cell>
          <cell r="R139">
            <v>9781347761.0528126</v>
          </cell>
        </row>
        <row r="140">
          <cell r="A140" t="str">
            <v>Option 3Totalnear-cash</v>
          </cell>
          <cell r="B140">
            <v>4</v>
          </cell>
          <cell r="C140" t="str">
            <v>Option 3</v>
          </cell>
          <cell r="D140" t="str">
            <v>Total</v>
          </cell>
          <cell r="E140" t="str">
            <v>near-cash</v>
          </cell>
          <cell r="F140">
            <v>27493146.474553704</v>
          </cell>
          <cell r="G140">
            <v>81622518.726236194</v>
          </cell>
          <cell r="H140">
            <v>167220365.84980583</v>
          </cell>
          <cell r="I140">
            <v>746803601.61642134</v>
          </cell>
          <cell r="J140">
            <v>466879249.7524929</v>
          </cell>
          <cell r="K140">
            <v>1174516320.289222</v>
          </cell>
          <cell r="L140">
            <v>1396797234.5003762</v>
          </cell>
          <cell r="M140">
            <v>902327387.25769246</v>
          </cell>
          <cell r="N140">
            <v>353385893.35608852</v>
          </cell>
          <cell r="O140">
            <v>1121208612.0228796</v>
          </cell>
          <cell r="P140">
            <v>766772570.6422534</v>
          </cell>
          <cell r="Q140">
            <v>2182829368.5059891</v>
          </cell>
          <cell r="R140">
            <v>9387856268.9940109</v>
          </cell>
        </row>
        <row r="141">
          <cell r="A141" t="str">
            <v>Option 3Totalnon-cash</v>
          </cell>
          <cell r="B141">
            <v>4</v>
          </cell>
          <cell r="C141" t="str">
            <v>Option 3</v>
          </cell>
          <cell r="D141" t="str">
            <v>Total</v>
          </cell>
          <cell r="E141" t="str">
            <v>non-cash</v>
          </cell>
          <cell r="F141">
            <v>9304391.9562639073</v>
          </cell>
          <cell r="G141">
            <v>58500963.630756952</v>
          </cell>
          <cell r="H141">
            <v>82869670.661893725</v>
          </cell>
          <cell r="I141">
            <v>86971799.320271417</v>
          </cell>
          <cell r="J141">
            <v>88554202.579435289</v>
          </cell>
          <cell r="K141">
            <v>90705352.20870398</v>
          </cell>
          <cell r="L141">
            <v>93846959.034200341</v>
          </cell>
          <cell r="M141">
            <v>97146389.226775855</v>
          </cell>
          <cell r="N141">
            <v>99637499.298685133</v>
          </cell>
          <cell r="O141">
            <v>102153606.91105694</v>
          </cell>
          <cell r="P141">
            <v>105592653.23340766</v>
          </cell>
          <cell r="Q141">
            <v>109305203.20459259</v>
          </cell>
          <cell r="R141">
            <v>1024588691.2660439</v>
          </cell>
        </row>
        <row r="142">
          <cell r="A142" t="str">
            <v>Option 3Totalresource</v>
          </cell>
          <cell r="B142">
            <v>4</v>
          </cell>
          <cell r="C142" t="str">
            <v>Option 3</v>
          </cell>
          <cell r="D142" t="str">
            <v>Total</v>
          </cell>
          <cell r="E142" t="str">
            <v>resource</v>
          </cell>
          <cell r="F142">
            <v>36797538.430817619</v>
          </cell>
          <cell r="G142">
            <v>140123482.35699314</v>
          </cell>
          <cell r="H142">
            <v>250090036.51169953</v>
          </cell>
          <cell r="I142">
            <v>833775400.93669271</v>
          </cell>
          <cell r="J142">
            <v>555433452.33192825</v>
          </cell>
          <cell r="K142">
            <v>1265221672.4979258</v>
          </cell>
          <cell r="L142">
            <v>1490644193.5345767</v>
          </cell>
          <cell r="M142">
            <v>999473776.48446834</v>
          </cell>
          <cell r="N142">
            <v>453023392.65477365</v>
          </cell>
          <cell r="O142">
            <v>1223362218.9339364</v>
          </cell>
          <cell r="P142">
            <v>872365223.87566102</v>
          </cell>
          <cell r="Q142">
            <v>2292134571.7105818</v>
          </cell>
          <cell r="R142">
            <v>10412444960.260056</v>
          </cell>
        </row>
        <row r="143">
          <cell r="A143" t="str">
            <v>Option 3TotalCapital DEL (Credit)</v>
          </cell>
          <cell r="B143">
            <v>4</v>
          </cell>
          <cell r="C143" t="str">
            <v>Option 3</v>
          </cell>
          <cell r="D143" t="str">
            <v>Total</v>
          </cell>
          <cell r="E143" t="str">
            <v>Capital DEL (Credit)</v>
          </cell>
          <cell r="F143">
            <v>141235.59631249998</v>
          </cell>
          <cell r="G143">
            <v>2991850.8134375</v>
          </cell>
          <cell r="H143">
            <v>79531951.402875006</v>
          </cell>
          <cell r="I143">
            <v>644673337.66087496</v>
          </cell>
          <cell r="J143">
            <v>345901659.7428751</v>
          </cell>
          <cell r="K143">
            <v>981466383.65837502</v>
          </cell>
          <cell r="L143">
            <v>1106857975.520375</v>
          </cell>
          <cell r="M143">
            <v>714166056.31087494</v>
          </cell>
          <cell r="N143">
            <v>217925834.11787501</v>
          </cell>
          <cell r="O143">
            <v>833490123.06087494</v>
          </cell>
          <cell r="P143">
            <v>510422325.31537503</v>
          </cell>
          <cell r="Q143">
            <v>1553392665.1133752</v>
          </cell>
          <cell r="R143">
            <v>6990961398.3135014</v>
          </cell>
        </row>
        <row r="144">
          <cell r="A144" t="str">
            <v>Option 3TotalCapital DEL (Debit)</v>
          </cell>
          <cell r="B144">
            <v>4</v>
          </cell>
          <cell r="C144" t="str">
            <v>Option 3</v>
          </cell>
          <cell r="D144" t="str">
            <v>Total</v>
          </cell>
          <cell r="E144" t="str">
            <v>Capital DEL (Debit)</v>
          </cell>
          <cell r="F144">
            <v>321030000.03387505</v>
          </cell>
          <cell r="G144">
            <v>1702006705.5193753</v>
          </cell>
          <cell r="H144">
            <v>262595229.37537497</v>
          </cell>
          <cell r="I144">
            <v>642247154.765625</v>
          </cell>
          <cell r="J144">
            <v>333895095.51037502</v>
          </cell>
          <cell r="K144">
            <v>983003200.76312506</v>
          </cell>
          <cell r="L144">
            <v>1113927811.2878749</v>
          </cell>
          <cell r="M144">
            <v>709639873.41562498</v>
          </cell>
          <cell r="N144">
            <v>205919269.88537499</v>
          </cell>
          <cell r="O144">
            <v>837126940.16562498</v>
          </cell>
          <cell r="P144">
            <v>515392161.08287501</v>
          </cell>
          <cell r="Q144">
            <v>1548866482.2181251</v>
          </cell>
          <cell r="R144">
            <v>9175649924.0232487</v>
          </cell>
        </row>
        <row r="145">
          <cell r="A145" t="str">
            <v>Option 4Pandemic Vaccinescash</v>
          </cell>
          <cell r="B145">
            <v>5</v>
          </cell>
          <cell r="C145" t="str">
            <v>Option 4</v>
          </cell>
          <cell r="D145" t="str">
            <v>Pandemic Vaccines</v>
          </cell>
          <cell r="E145" t="str">
            <v>cash</v>
          </cell>
          <cell r="F145">
            <v>11414478.75</v>
          </cell>
          <cell r="G145">
            <v>43015751.25</v>
          </cell>
          <cell r="H145">
            <v>37160902.5</v>
          </cell>
          <cell r="I145">
            <v>35926800</v>
          </cell>
          <cell r="J145">
            <v>38887800</v>
          </cell>
          <cell r="K145">
            <v>43104264</v>
          </cell>
          <cell r="L145">
            <v>37665981.419999994</v>
          </cell>
          <cell r="M145">
            <v>39258184.383599997</v>
          </cell>
          <cell r="N145">
            <v>43768561.501518011</v>
          </cell>
          <cell r="O145">
            <v>48514228.880565844</v>
          </cell>
          <cell r="P145">
            <v>42393393.925506316</v>
          </cell>
          <cell r="Q145">
            <v>44185432.388346225</v>
          </cell>
          <cell r="R145">
            <v>465295778.99953628</v>
          </cell>
        </row>
        <row r="146">
          <cell r="A146" t="str">
            <v>Option 4Pandemic Vaccinesnear-cash</v>
          </cell>
          <cell r="B146">
            <v>5</v>
          </cell>
          <cell r="C146" t="str">
            <v>Option 4</v>
          </cell>
          <cell r="D146" t="str">
            <v>Pandemic Vaccines</v>
          </cell>
          <cell r="E146" t="str">
            <v>near-cash</v>
          </cell>
          <cell r="F146">
            <v>11414478.75</v>
          </cell>
          <cell r="G146">
            <v>43015751.25</v>
          </cell>
          <cell r="H146">
            <v>37160902.5</v>
          </cell>
          <cell r="I146">
            <v>35926800</v>
          </cell>
          <cell r="J146">
            <v>38887800</v>
          </cell>
          <cell r="K146">
            <v>43104264</v>
          </cell>
          <cell r="L146">
            <v>37665981.419999994</v>
          </cell>
          <cell r="M146">
            <v>39258184.383599997</v>
          </cell>
          <cell r="N146">
            <v>43768561.501518011</v>
          </cell>
          <cell r="O146">
            <v>48514228.880565844</v>
          </cell>
          <cell r="P146">
            <v>42393393.925506316</v>
          </cell>
          <cell r="Q146">
            <v>44185432.388346225</v>
          </cell>
          <cell r="R146">
            <v>465295778.99953628</v>
          </cell>
        </row>
        <row r="147">
          <cell r="A147" t="str">
            <v>Option 4Pandemic Vaccinesnon-cash</v>
          </cell>
          <cell r="B147">
            <v>5</v>
          </cell>
          <cell r="C147" t="str">
            <v>Option 4</v>
          </cell>
          <cell r="D147" t="str">
            <v>Pandemic Vaccines</v>
          </cell>
          <cell r="E147" t="str">
            <v>non-cash</v>
          </cell>
          <cell r="F147">
            <v>0</v>
          </cell>
          <cell r="G147">
            <v>0</v>
          </cell>
          <cell r="H147">
            <v>0</v>
          </cell>
          <cell r="I147">
            <v>0</v>
          </cell>
          <cell r="J147">
            <v>0</v>
          </cell>
          <cell r="K147">
            <v>0</v>
          </cell>
          <cell r="L147">
            <v>0</v>
          </cell>
          <cell r="M147">
            <v>0</v>
          </cell>
          <cell r="N147">
            <v>0</v>
          </cell>
          <cell r="O147">
            <v>0</v>
          </cell>
          <cell r="P147">
            <v>0</v>
          </cell>
          <cell r="Q147">
            <v>0</v>
          </cell>
          <cell r="R147">
            <v>0</v>
          </cell>
        </row>
        <row r="148">
          <cell r="A148" t="str">
            <v>Option 4Pandemic Vaccinesresource</v>
          </cell>
          <cell r="B148">
            <v>5</v>
          </cell>
          <cell r="C148" t="str">
            <v>Option 4</v>
          </cell>
          <cell r="D148" t="str">
            <v>Pandemic Vaccines</v>
          </cell>
          <cell r="E148" t="str">
            <v>resource</v>
          </cell>
          <cell r="F148">
            <v>11414478.75</v>
          </cell>
          <cell r="G148">
            <v>43015751.25</v>
          </cell>
          <cell r="H148">
            <v>37160902.5</v>
          </cell>
          <cell r="I148">
            <v>35926800</v>
          </cell>
          <cell r="J148">
            <v>38887800</v>
          </cell>
          <cell r="K148">
            <v>43104264</v>
          </cell>
          <cell r="L148">
            <v>37665981.419999994</v>
          </cell>
          <cell r="M148">
            <v>39258184.383599997</v>
          </cell>
          <cell r="N148">
            <v>43768561.501518011</v>
          </cell>
          <cell r="O148">
            <v>48514228.880565844</v>
          </cell>
          <cell r="P148">
            <v>42393393.925506316</v>
          </cell>
          <cell r="Q148">
            <v>44185432.388346225</v>
          </cell>
          <cell r="R148">
            <v>465295778.99953628</v>
          </cell>
        </row>
        <row r="149">
          <cell r="A149" t="str">
            <v>Option 4Pre=Pandemic Vaccinescash</v>
          </cell>
          <cell r="B149">
            <v>5</v>
          </cell>
          <cell r="C149" t="str">
            <v>Option 4</v>
          </cell>
          <cell r="D149" t="str">
            <v>Pre=Pandemic Vaccines</v>
          </cell>
          <cell r="E149" t="str">
            <v>cash</v>
          </cell>
          <cell r="F149">
            <v>37396638.283571467</v>
          </cell>
          <cell r="G149">
            <v>495791888.23776335</v>
          </cell>
          <cell r="H149">
            <v>119587422.2985011</v>
          </cell>
          <cell r="I149">
            <v>498144944.17552084</v>
          </cell>
          <cell r="J149">
            <v>112094481.35989586</v>
          </cell>
          <cell r="K149">
            <v>516139329.30225527</v>
          </cell>
          <cell r="L149">
            <v>127769624.53520235</v>
          </cell>
          <cell r="M149">
            <v>544336430.41408443</v>
          </cell>
          <cell r="N149">
            <v>126163326.32294358</v>
          </cell>
          <cell r="O149">
            <v>580919362.31717944</v>
          </cell>
          <cell r="P149">
            <v>143805838.06476241</v>
          </cell>
          <cell r="Q149">
            <v>612655448.03500402</v>
          </cell>
          <cell r="R149">
            <v>3914804733.3466845</v>
          </cell>
        </row>
        <row r="150">
          <cell r="A150" t="str">
            <v>Option 4Pre=Pandemic Vaccinesnear-cash</v>
          </cell>
          <cell r="B150">
            <v>5</v>
          </cell>
          <cell r="C150" t="str">
            <v>Option 4</v>
          </cell>
          <cell r="D150" t="str">
            <v>Pre=Pandemic Vaccines</v>
          </cell>
          <cell r="E150" t="str">
            <v>near-cash</v>
          </cell>
          <cell r="F150">
            <v>42309.633571465776</v>
          </cell>
          <cell r="G150">
            <v>169838.23776326023</v>
          </cell>
          <cell r="H150">
            <v>40988129.563286081</v>
          </cell>
          <cell r="I150">
            <v>501176444.17552084</v>
          </cell>
          <cell r="J150">
            <v>120582681.35989586</v>
          </cell>
          <cell r="K150">
            <v>513016884.30225527</v>
          </cell>
          <cell r="L150">
            <v>118764493.15520236</v>
          </cell>
          <cell r="M150">
            <v>547649032.31458437</v>
          </cell>
          <cell r="N150">
            <v>135716870.20398557</v>
          </cell>
          <cell r="O150">
            <v>577405022.96093905</v>
          </cell>
          <cell r="P150">
            <v>133670483.36136498</v>
          </cell>
          <cell r="Q150">
            <v>616383810.65803945</v>
          </cell>
          <cell r="R150">
            <v>3305565999.9264083</v>
          </cell>
        </row>
        <row r="151">
          <cell r="A151" t="str">
            <v>Option 4Pre=Pandemic Vaccinesnon-cash</v>
          </cell>
          <cell r="B151">
            <v>5</v>
          </cell>
          <cell r="C151" t="str">
            <v>Option 4</v>
          </cell>
          <cell r="D151" t="str">
            <v>Pre=Pandemic Vaccines</v>
          </cell>
          <cell r="E151" t="str">
            <v>non-cash</v>
          </cell>
          <cell r="F151">
            <v>1110000.51575</v>
          </cell>
          <cell r="G151">
            <v>10009399.1728325</v>
          </cell>
          <cell r="H151">
            <v>20367910.707108304</v>
          </cell>
          <cell r="I151">
            <v>21689016.562500004</v>
          </cell>
          <cell r="J151">
            <v>21344183.437500004</v>
          </cell>
          <cell r="K151">
            <v>21503652.410625003</v>
          </cell>
          <cell r="L151">
            <v>22514595.445256252</v>
          </cell>
          <cell r="M151">
            <v>23700174.00129094</v>
          </cell>
          <cell r="N151">
            <v>24023066.501162343</v>
          </cell>
          <cell r="O151">
            <v>24202550.235336181</v>
          </cell>
          <cell r="P151">
            <v>25340375.527221788</v>
          </cell>
          <cell r="Q151">
            <v>26674754.636985909</v>
          </cell>
          <cell r="R151">
            <v>242479679.15356922</v>
          </cell>
        </row>
        <row r="152">
          <cell r="A152" t="str">
            <v>Option 4Pre=Pandemic Vaccinesresource</v>
          </cell>
          <cell r="B152">
            <v>5</v>
          </cell>
          <cell r="C152" t="str">
            <v>Option 4</v>
          </cell>
          <cell r="D152" t="str">
            <v>Pre=Pandemic Vaccines</v>
          </cell>
          <cell r="E152" t="str">
            <v>resource</v>
          </cell>
          <cell r="F152">
            <v>1152310.1493214658</v>
          </cell>
          <cell r="G152">
            <v>10179237.41059576</v>
          </cell>
          <cell r="H152">
            <v>61356040.270394385</v>
          </cell>
          <cell r="I152">
            <v>522865460.73802084</v>
          </cell>
          <cell r="J152">
            <v>141926864.79739586</v>
          </cell>
          <cell r="K152">
            <v>534520536.71288025</v>
          </cell>
          <cell r="L152">
            <v>141279088.60045862</v>
          </cell>
          <cell r="M152">
            <v>571349206.31587529</v>
          </cell>
          <cell r="N152">
            <v>159739936.70514792</v>
          </cell>
          <cell r="O152">
            <v>601607573.19627523</v>
          </cell>
          <cell r="P152">
            <v>159010858.88858676</v>
          </cell>
          <cell r="Q152">
            <v>643058565.29502535</v>
          </cell>
          <cell r="R152">
            <v>3548045679.0799775</v>
          </cell>
        </row>
        <row r="153">
          <cell r="A153" t="str">
            <v>Option 4Antiviralscash</v>
          </cell>
          <cell r="B153">
            <v>5</v>
          </cell>
          <cell r="C153" t="str">
            <v>Option 4</v>
          </cell>
          <cell r="D153" t="str">
            <v>Antivirals</v>
          </cell>
          <cell r="E153" t="str">
            <v>cash</v>
          </cell>
          <cell r="F153">
            <v>210689128.0964236</v>
          </cell>
          <cell r="G153">
            <v>902820697.46228242</v>
          </cell>
          <cell r="H153">
            <v>3567433.3129296876</v>
          </cell>
          <cell r="I153">
            <v>3674456.3123175786</v>
          </cell>
          <cell r="J153">
            <v>103979229.08132504</v>
          </cell>
          <cell r="K153">
            <v>241278249.46749127</v>
          </cell>
          <cell r="L153">
            <v>1051029415.5343934</v>
          </cell>
          <cell r="M153">
            <v>4135632.9514735462</v>
          </cell>
          <cell r="N153">
            <v>4259701.9400177533</v>
          </cell>
          <cell r="O153">
            <v>120540424.53968073</v>
          </cell>
          <cell r="P153">
            <v>287967524.7551921</v>
          </cell>
          <cell r="Q153">
            <v>1218431152.7557042</v>
          </cell>
          <cell r="R153">
            <v>4152373046.2092314</v>
          </cell>
        </row>
        <row r="154">
          <cell r="A154" t="str">
            <v>Option 4Antiviralsnear-cash</v>
          </cell>
          <cell r="B154">
            <v>5</v>
          </cell>
          <cell r="C154" t="str">
            <v>Option 4</v>
          </cell>
          <cell r="D154" t="str">
            <v>Antivirals</v>
          </cell>
          <cell r="E154" t="str">
            <v>near-cash</v>
          </cell>
          <cell r="F154">
            <v>559212.52392358403</v>
          </cell>
          <cell r="G154">
            <v>3007048.5019572927</v>
          </cell>
          <cell r="H154">
            <v>3567433.3129296876</v>
          </cell>
          <cell r="I154">
            <v>3674456.3123175786</v>
          </cell>
          <cell r="J154">
            <v>103979229.08132502</v>
          </cell>
          <cell r="K154">
            <v>241278249.4674913</v>
          </cell>
          <cell r="L154">
            <v>1051029415.5343934</v>
          </cell>
          <cell r="M154">
            <v>4135632.9514735462</v>
          </cell>
          <cell r="N154">
            <v>4259701.9400177533</v>
          </cell>
          <cell r="O154">
            <v>120540424.53968073</v>
          </cell>
          <cell r="P154">
            <v>287967524.7551921</v>
          </cell>
          <cell r="Q154">
            <v>1218431152.7557042</v>
          </cell>
          <cell r="R154">
            <v>3042429481.6764059</v>
          </cell>
        </row>
        <row r="155">
          <cell r="A155" t="str">
            <v>Option 4Antiviralsnon-cash</v>
          </cell>
          <cell r="B155">
            <v>5</v>
          </cell>
          <cell r="C155" t="str">
            <v>Option 4</v>
          </cell>
          <cell r="D155" t="str">
            <v>Antivirals</v>
          </cell>
          <cell r="E155" t="str">
            <v>non-cash</v>
          </cell>
          <cell r="F155">
            <v>6749084.5337781254</v>
          </cell>
          <cell r="G155">
            <v>36374008.668194316</v>
          </cell>
          <cell r="H155">
            <v>43533963.867625006</v>
          </cell>
          <cell r="I155">
            <v>44839982.783653758</v>
          </cell>
          <cell r="J155">
            <v>46185182.267163374</v>
          </cell>
          <cell r="K155">
            <v>47570737.735178269</v>
          </cell>
          <cell r="L155">
            <v>48997859.867233619</v>
          </cell>
          <cell r="M155">
            <v>50467795.663250625</v>
          </cell>
          <cell r="N155">
            <v>51981829.533148147</v>
          </cell>
          <cell r="O155">
            <v>53541284.419142596</v>
          </cell>
          <cell r="P155">
            <v>55147522.951716885</v>
          </cell>
          <cell r="Q155">
            <v>56801948.640268393</v>
          </cell>
          <cell r="R155">
            <v>542191200.93035316</v>
          </cell>
        </row>
        <row r="156">
          <cell r="A156" t="str">
            <v>Option 4Antiviralsresource</v>
          </cell>
          <cell r="B156">
            <v>5</v>
          </cell>
          <cell r="C156" t="str">
            <v>Option 4</v>
          </cell>
          <cell r="D156" t="str">
            <v>Antivirals</v>
          </cell>
          <cell r="E156" t="str">
            <v>resource</v>
          </cell>
          <cell r="F156">
            <v>7308297.0577017097</v>
          </cell>
          <cell r="G156">
            <v>39381057.170151606</v>
          </cell>
          <cell r="H156">
            <v>47101397.180554695</v>
          </cell>
          <cell r="I156">
            <v>48514439.095971338</v>
          </cell>
          <cell r="J156">
            <v>150164411.34848839</v>
          </cell>
          <cell r="K156">
            <v>288848987.20266956</v>
          </cell>
          <cell r="L156">
            <v>1100027275.4016271</v>
          </cell>
          <cell r="M156">
            <v>54603428.614724174</v>
          </cell>
          <cell r="N156">
            <v>56241531.4731659</v>
          </cell>
          <cell r="O156">
            <v>174081708.95882332</v>
          </cell>
          <cell r="P156">
            <v>343115047.706909</v>
          </cell>
          <cell r="Q156">
            <v>1275233101.3959725</v>
          </cell>
          <cell r="R156">
            <v>3584620682.6067591</v>
          </cell>
        </row>
        <row r="157">
          <cell r="A157" t="str">
            <v>Option 4Antibioticscash</v>
          </cell>
          <cell r="B157">
            <v>5</v>
          </cell>
          <cell r="C157" t="str">
            <v>Option 4</v>
          </cell>
          <cell r="D157" t="str">
            <v>Antibiotics</v>
          </cell>
          <cell r="E157" t="str">
            <v>cash</v>
          </cell>
          <cell r="F157">
            <v>9737963.819927305</v>
          </cell>
          <cell r="G157">
            <v>190194404.82798412</v>
          </cell>
          <cell r="H157">
            <v>45079904.254274212</v>
          </cell>
          <cell r="I157">
            <v>130363369.32253121</v>
          </cell>
          <cell r="J157">
            <v>93185408.187191129</v>
          </cell>
          <cell r="K157">
            <v>173348978.5064843</v>
          </cell>
          <cell r="L157">
            <v>15802205.247975618</v>
          </cell>
          <cell r="M157">
            <v>232275060.80054256</v>
          </cell>
          <cell r="N157">
            <v>55060794.490026012</v>
          </cell>
          <cell r="O157">
            <v>155660680.52282664</v>
          </cell>
          <cell r="P157">
            <v>111268250.64890786</v>
          </cell>
          <cell r="Q157">
            <v>206987745.88662389</v>
          </cell>
          <cell r="R157">
            <v>1418964766.5152948</v>
          </cell>
        </row>
        <row r="158">
          <cell r="A158" t="str">
            <v>Option 4Antibioticsnear-cash</v>
          </cell>
          <cell r="B158">
            <v>5</v>
          </cell>
          <cell r="C158" t="str">
            <v>Option 4</v>
          </cell>
          <cell r="D158" t="str">
            <v>Antibiotics</v>
          </cell>
          <cell r="E158" t="str">
            <v>near-cash</v>
          </cell>
          <cell r="F158">
            <v>159418.71298980364</v>
          </cell>
          <cell r="G158">
            <v>3490838.2657997506</v>
          </cell>
          <cell r="H158">
            <v>16136034.979928954</v>
          </cell>
          <cell r="I158">
            <v>131996649.67860906</v>
          </cell>
          <cell r="J158">
            <v>97145358.127658784</v>
          </cell>
          <cell r="K158">
            <v>175081725.63624728</v>
          </cell>
          <cell r="L158">
            <v>20003316.139817733</v>
          </cell>
          <cell r="M158">
            <v>234113332.23050815</v>
          </cell>
          <cell r="N158">
            <v>59517753.035181314</v>
          </cell>
          <cell r="O158">
            <v>157610902.68287712</v>
          </cell>
          <cell r="P158">
            <v>115996637.96946314</v>
          </cell>
          <cell r="Q158">
            <v>209056736.57622141</v>
          </cell>
          <cell r="R158">
            <v>1220308704.0353024</v>
          </cell>
        </row>
        <row r="159">
          <cell r="A159" t="str">
            <v>Option 4Antibioticsnon-cash</v>
          </cell>
          <cell r="B159">
            <v>5</v>
          </cell>
          <cell r="C159" t="str">
            <v>Option 4</v>
          </cell>
          <cell r="D159" t="str">
            <v>Antibiotics</v>
          </cell>
          <cell r="E159" t="str">
            <v>non-cash</v>
          </cell>
          <cell r="F159">
            <v>143954.6245396875</v>
          </cell>
          <cell r="G159">
            <v>5320027.2924575657</v>
          </cell>
          <cell r="H159">
            <v>8307885.740348476</v>
          </cell>
          <cell r="I159">
            <v>8705103.4521060549</v>
          </cell>
          <cell r="J159">
            <v>8962584.4229449574</v>
          </cell>
          <cell r="K159">
            <v>9235244.2523393109</v>
          </cell>
          <cell r="L159">
            <v>9508405.8143023029</v>
          </cell>
          <cell r="M159">
            <v>9797670.6273067761</v>
          </cell>
          <cell r="N159">
            <v>10087467.728393313</v>
          </cell>
          <cell r="O159">
            <v>10394348.76850976</v>
          </cell>
          <cell r="P159">
            <v>10701794.513052465</v>
          </cell>
          <cell r="Q159">
            <v>11027364.608512005</v>
          </cell>
          <cell r="R159">
            <v>102191851.84481266</v>
          </cell>
        </row>
        <row r="160">
          <cell r="A160" t="str">
            <v>Option 4Antibioticsresource</v>
          </cell>
          <cell r="B160">
            <v>5</v>
          </cell>
          <cell r="C160" t="str">
            <v>Option 4</v>
          </cell>
          <cell r="D160" t="str">
            <v>Antibiotics</v>
          </cell>
          <cell r="E160" t="str">
            <v>resource</v>
          </cell>
          <cell r="F160">
            <v>303373.33752949117</v>
          </cell>
          <cell r="G160">
            <v>8810865.5582573153</v>
          </cell>
          <cell r="H160">
            <v>24443920.720277429</v>
          </cell>
          <cell r="I160">
            <v>140701753.1307151</v>
          </cell>
          <cell r="J160">
            <v>106107942.55060375</v>
          </cell>
          <cell r="K160">
            <v>184316969.88858658</v>
          </cell>
          <cell r="L160">
            <v>29511721.954120036</v>
          </cell>
          <cell r="M160">
            <v>243911002.85781494</v>
          </cell>
          <cell r="N160">
            <v>69605220.76357463</v>
          </cell>
          <cell r="O160">
            <v>168005251.45138687</v>
          </cell>
          <cell r="P160">
            <v>126698432.4825156</v>
          </cell>
          <cell r="Q160">
            <v>220084101.18473342</v>
          </cell>
          <cell r="R160">
            <v>1322500555.880115</v>
          </cell>
        </row>
        <row r="161">
          <cell r="A161" t="str">
            <v>Option 4Consumablescash</v>
          </cell>
          <cell r="B161">
            <v>5</v>
          </cell>
          <cell r="C161" t="str">
            <v>Option 4</v>
          </cell>
          <cell r="D161" t="str">
            <v>Consumables</v>
          </cell>
          <cell r="E161" t="str">
            <v>cash</v>
          </cell>
          <cell r="F161">
            <v>165383579.60802719</v>
          </cell>
          <cell r="G161">
            <v>602188611.11374807</v>
          </cell>
          <cell r="H161">
            <v>493473348.65883285</v>
          </cell>
          <cell r="I161">
            <v>101947554.38477053</v>
          </cell>
          <cell r="J161">
            <v>246358387.66396585</v>
          </cell>
          <cell r="K161">
            <v>701878085.5747031</v>
          </cell>
          <cell r="L161">
            <v>569059692.10053015</v>
          </cell>
          <cell r="M161">
            <v>114742870.61801337</v>
          </cell>
          <cell r="N161">
            <v>277278535.73318899</v>
          </cell>
          <cell r="O161">
            <v>786239473.71606767</v>
          </cell>
          <cell r="P161">
            <v>636639286.87651372</v>
          </cell>
          <cell r="Q161">
            <v>137059476.36221662</v>
          </cell>
          <cell r="R161">
            <v>4832248902.4105787</v>
          </cell>
        </row>
        <row r="162">
          <cell r="A162" t="str">
            <v>Option 4Consumablesnear-cash</v>
          </cell>
          <cell r="B162">
            <v>5</v>
          </cell>
          <cell r="C162" t="str">
            <v>Option 4</v>
          </cell>
          <cell r="D162" t="str">
            <v>Consumables</v>
          </cell>
          <cell r="E162" t="str">
            <v>near-cash</v>
          </cell>
          <cell r="F162">
            <v>2416354.499902186</v>
          </cell>
          <cell r="G162">
            <v>32097287.789141811</v>
          </cell>
          <cell r="H162">
            <v>91784268.342367798</v>
          </cell>
          <cell r="I162">
            <v>101947554.38477053</v>
          </cell>
          <cell r="J162">
            <v>246358387.66396585</v>
          </cell>
          <cell r="K162">
            <v>701878085.5747031</v>
          </cell>
          <cell r="L162">
            <v>569059692.10053015</v>
          </cell>
          <cell r="M162">
            <v>114742870.61801337</v>
          </cell>
          <cell r="N162">
            <v>277278535.73318899</v>
          </cell>
          <cell r="O162">
            <v>786239473.71606767</v>
          </cell>
          <cell r="P162">
            <v>636639286.87651372</v>
          </cell>
          <cell r="Q162">
            <v>137059476.36221662</v>
          </cell>
          <cell r="R162">
            <v>3697501273.6613822</v>
          </cell>
        </row>
        <row r="163">
          <cell r="A163" t="str">
            <v>Option 4Consumablesnon-cash</v>
          </cell>
          <cell r="B163">
            <v>5</v>
          </cell>
          <cell r="C163" t="str">
            <v>Option 4</v>
          </cell>
          <cell r="D163" t="str">
            <v>Consumables</v>
          </cell>
          <cell r="E163" t="str">
            <v>non-cash</v>
          </cell>
          <cell r="F163">
            <v>1425963.2196960938</v>
          </cell>
          <cell r="G163">
            <v>18812790.71602257</v>
          </cell>
          <cell r="H163">
            <v>37158770.511030667</v>
          </cell>
          <cell r="I163">
            <v>41881991.362111606</v>
          </cell>
          <cell r="J163">
            <v>43138451.102974944</v>
          </cell>
          <cell r="K163">
            <v>44432604.636064187</v>
          </cell>
          <cell r="L163">
            <v>45765582.775146119</v>
          </cell>
          <cell r="M163">
            <v>47138550.258400515</v>
          </cell>
          <cell r="N163">
            <v>48552706.766152516</v>
          </cell>
          <cell r="O163">
            <v>50009287.969137102</v>
          </cell>
          <cell r="P163">
            <v>51509566.608211227</v>
          </cell>
          <cell r="Q163">
            <v>53054853.606457561</v>
          </cell>
          <cell r="R163">
            <v>482881119.53140509</v>
          </cell>
        </row>
        <row r="164">
          <cell r="A164" t="str">
            <v>Option 4Consumablesresource</v>
          </cell>
          <cell r="B164">
            <v>5</v>
          </cell>
          <cell r="C164" t="str">
            <v>Option 4</v>
          </cell>
          <cell r="D164" t="str">
            <v>Consumables</v>
          </cell>
          <cell r="E164" t="str">
            <v>resource</v>
          </cell>
          <cell r="F164">
            <v>3842317.7195982798</v>
          </cell>
          <cell r="G164">
            <v>50910078.505164385</v>
          </cell>
          <cell r="H164">
            <v>128943038.85339847</v>
          </cell>
          <cell r="I164">
            <v>143829545.74688214</v>
          </cell>
          <cell r="J164">
            <v>289496838.76694077</v>
          </cell>
          <cell r="K164">
            <v>746310690.21076727</v>
          </cell>
          <cell r="L164">
            <v>614825274.87567627</v>
          </cell>
          <cell r="M164">
            <v>161881420.87641388</v>
          </cell>
          <cell r="N164">
            <v>325831242.49934149</v>
          </cell>
          <cell r="O164">
            <v>836248761.68520474</v>
          </cell>
          <cell r="P164">
            <v>688148853.484725</v>
          </cell>
          <cell r="Q164">
            <v>190114329.96867418</v>
          </cell>
          <cell r="R164">
            <v>4180382393.1927867</v>
          </cell>
        </row>
        <row r="165">
          <cell r="A165" t="str">
            <v>Option 4Non Productcash</v>
          </cell>
          <cell r="B165">
            <v>5</v>
          </cell>
          <cell r="C165" t="str">
            <v>Option 4</v>
          </cell>
          <cell r="D165" t="str">
            <v>Non Product</v>
          </cell>
          <cell r="E165" t="str">
            <v>cash</v>
          </cell>
          <cell r="F165">
            <v>16600000</v>
          </cell>
          <cell r="G165">
            <v>22248000</v>
          </cell>
          <cell r="H165">
            <v>25037240</v>
          </cell>
          <cell r="I165">
            <v>28083083.899999999</v>
          </cell>
          <cell r="J165">
            <v>29375779.941000003</v>
          </cell>
          <cell r="K165">
            <v>27358868.153480001</v>
          </cell>
          <cell r="L165">
            <v>24716882.538150299</v>
          </cell>
          <cell r="M165">
            <v>22875653.896902584</v>
          </cell>
          <cell r="N165">
            <v>23561923.513809666</v>
          </cell>
          <cell r="O165">
            <v>27008804.905265369</v>
          </cell>
          <cell r="P165">
            <v>24996844.655800674</v>
          </cell>
          <cell r="Q165">
            <v>25746749.995474696</v>
          </cell>
          <cell r="R165">
            <v>297609831.49988329</v>
          </cell>
        </row>
        <row r="166">
          <cell r="A166" t="str">
            <v>Option 4Non Productnear-cash</v>
          </cell>
          <cell r="B166">
            <v>5</v>
          </cell>
          <cell r="C166" t="str">
            <v>Option 4</v>
          </cell>
          <cell r="D166" t="str">
            <v>Non Product</v>
          </cell>
          <cell r="E166" t="str">
            <v>near-cash</v>
          </cell>
          <cell r="F166">
            <v>14500000</v>
          </cell>
          <cell r="G166">
            <v>22248000</v>
          </cell>
          <cell r="H166">
            <v>25037240</v>
          </cell>
          <cell r="I166">
            <v>25788357.199999999</v>
          </cell>
          <cell r="J166">
            <v>29375779.941000003</v>
          </cell>
          <cell r="K166">
            <v>27358868.153480001</v>
          </cell>
          <cell r="L166">
            <v>22209372.715439402</v>
          </cell>
          <cell r="M166">
            <v>22875653.896902584</v>
          </cell>
          <cell r="N166">
            <v>23561923.513809666</v>
          </cell>
          <cell r="O166">
            <v>24268781.219223954</v>
          </cell>
          <cell r="P166">
            <v>24996844.655800674</v>
          </cell>
          <cell r="Q166">
            <v>25746749.995474696</v>
          </cell>
          <cell r="R166">
            <v>287967571.29113096</v>
          </cell>
        </row>
        <row r="167">
          <cell r="A167" t="str">
            <v>Option 4Non Productnon-cash</v>
          </cell>
          <cell r="B167">
            <v>5</v>
          </cell>
          <cell r="C167" t="str">
            <v>Option 4</v>
          </cell>
          <cell r="D167" t="str">
            <v>Non Product</v>
          </cell>
          <cell r="E167" t="str">
            <v>non-cash</v>
          </cell>
          <cell r="F167">
            <v>761250</v>
          </cell>
          <cell r="G167">
            <v>758852.5</v>
          </cell>
          <cell r="H167">
            <v>755626.02500000002</v>
          </cell>
          <cell r="I167">
            <v>831838.42874999996</v>
          </cell>
          <cell r="J167">
            <v>829218.61576750013</v>
          </cell>
          <cell r="K167">
            <v>825692.95942017506</v>
          </cell>
          <cell r="L167">
            <v>908972.31073270133</v>
          </cell>
          <cell r="M167">
            <v>906109.57035177317</v>
          </cell>
          <cell r="N167">
            <v>902256.99046832975</v>
          </cell>
          <cell r="O167">
            <v>993258.58619001263</v>
          </cell>
          <cell r="P167">
            <v>990130.39248178201</v>
          </cell>
          <cell r="Q167">
            <v>985920.5744234866</v>
          </cell>
          <cell r="R167">
            <v>10449126.953585761</v>
          </cell>
        </row>
        <row r="168">
          <cell r="A168" t="str">
            <v>Option 4Non Productresource</v>
          </cell>
          <cell r="B168">
            <v>5</v>
          </cell>
          <cell r="C168" t="str">
            <v>Option 4</v>
          </cell>
          <cell r="D168" t="str">
            <v>Non Product</v>
          </cell>
          <cell r="E168" t="str">
            <v>resource</v>
          </cell>
          <cell r="F168">
            <v>15261250</v>
          </cell>
          <cell r="G168">
            <v>23006852.5</v>
          </cell>
          <cell r="H168">
            <v>25792866.024999999</v>
          </cell>
          <cell r="I168">
            <v>26620195.62875</v>
          </cell>
          <cell r="J168">
            <v>30204998.556767505</v>
          </cell>
          <cell r="K168">
            <v>28184561.112900175</v>
          </cell>
          <cell r="L168">
            <v>23118345.026172101</v>
          </cell>
          <cell r="M168">
            <v>23781763.467254356</v>
          </cell>
          <cell r="N168">
            <v>24464180.504277997</v>
          </cell>
          <cell r="O168">
            <v>25262039.805413965</v>
          </cell>
          <cell r="P168">
            <v>25986975.048282456</v>
          </cell>
          <cell r="Q168">
            <v>26732670.569898184</v>
          </cell>
          <cell r="R168">
            <v>298416698.24471676</v>
          </cell>
        </row>
        <row r="169">
          <cell r="A169" t="str">
            <v>Option 4Totalcash</v>
          </cell>
          <cell r="B169">
            <v>5</v>
          </cell>
          <cell r="C169" t="str">
            <v>Option 4</v>
          </cell>
          <cell r="D169" t="str">
            <v>Total</v>
          </cell>
          <cell r="E169" t="str">
            <v>cash</v>
          </cell>
          <cell r="F169">
            <v>451221788.55794954</v>
          </cell>
          <cell r="G169">
            <v>2256259352.891778</v>
          </cell>
          <cell r="H169">
            <v>723906251.0245378</v>
          </cell>
          <cell r="I169">
            <v>798140208.0951401</v>
          </cell>
          <cell r="J169">
            <v>623881086.23337781</v>
          </cell>
          <cell r="K169">
            <v>1703107775.0044141</v>
          </cell>
          <cell r="L169">
            <v>1826043801.3762519</v>
          </cell>
          <cell r="M169">
            <v>957623833.06461656</v>
          </cell>
          <cell r="N169">
            <v>530092843.501504</v>
          </cell>
          <cell r="O169">
            <v>1718882974.8815856</v>
          </cell>
          <cell r="P169">
            <v>1247071138.9266832</v>
          </cell>
          <cell r="Q169">
            <v>2245066005.4233694</v>
          </cell>
          <cell r="R169">
            <v>15081297058.981209</v>
          </cell>
        </row>
        <row r="170">
          <cell r="A170" t="str">
            <v>Option 4TotalVAT*</v>
          </cell>
          <cell r="B170">
            <v>5</v>
          </cell>
          <cell r="C170" t="str">
            <v>Option 4</v>
          </cell>
          <cell r="D170" t="str">
            <v>Total</v>
          </cell>
          <cell r="E170" t="str">
            <v>VAT*</v>
          </cell>
          <cell r="F170">
            <v>67203245.104375482</v>
          </cell>
          <cell r="G170">
            <v>336038627.02643514</v>
          </cell>
          <cell r="H170">
            <v>107815824.62067592</v>
          </cell>
          <cell r="I170">
            <v>118871945.88651025</v>
          </cell>
          <cell r="J170">
            <v>92918459.651779711</v>
          </cell>
          <cell r="K170">
            <v>253654349.46874261</v>
          </cell>
          <cell r="L170">
            <v>271963970.41773963</v>
          </cell>
          <cell r="M170">
            <v>142624826.2011131</v>
          </cell>
          <cell r="N170">
            <v>78949997.968309104</v>
          </cell>
          <cell r="O170">
            <v>256003847.32278943</v>
          </cell>
          <cell r="P170">
            <v>185733999.41461241</v>
          </cell>
          <cell r="Q170">
            <v>334371532.72262955</v>
          </cell>
          <cell r="R170">
            <v>2246150625.8057122</v>
          </cell>
        </row>
        <row r="171">
          <cell r="A171" t="str">
            <v>Option 4Totalcash (exc VAT)</v>
          </cell>
          <cell r="B171">
            <v>5</v>
          </cell>
          <cell r="C171" t="str">
            <v>Option 4</v>
          </cell>
          <cell r="D171" t="str">
            <v>Total</v>
          </cell>
          <cell r="E171" t="str">
            <v>cash (exc VAT)</v>
          </cell>
          <cell r="F171">
            <v>384018543.45357406</v>
          </cell>
          <cell r="G171">
            <v>1920220725.8653429</v>
          </cell>
          <cell r="H171">
            <v>616090426.40386188</v>
          </cell>
          <cell r="I171">
            <v>679268262.20862985</v>
          </cell>
          <cell r="J171">
            <v>530962626.5815981</v>
          </cell>
          <cell r="K171">
            <v>1449453425.5356715</v>
          </cell>
          <cell r="L171">
            <v>1554079830.9585123</v>
          </cell>
          <cell r="M171">
            <v>814999006.86350346</v>
          </cell>
          <cell r="N171">
            <v>451142845.5331949</v>
          </cell>
          <cell r="O171">
            <v>1462879127.5587962</v>
          </cell>
          <cell r="P171">
            <v>1061337139.5120708</v>
          </cell>
          <cell r="Q171">
            <v>1910694472.7007399</v>
          </cell>
          <cell r="R171">
            <v>12835146433.175495</v>
          </cell>
        </row>
        <row r="172">
          <cell r="A172" t="str">
            <v>Option 4Totaldiscount Factor</v>
          </cell>
          <cell r="B172">
            <v>5</v>
          </cell>
          <cell r="C172" t="str">
            <v>Option 4</v>
          </cell>
          <cell r="D172" t="str">
            <v>Total</v>
          </cell>
          <cell r="E172" t="str">
            <v>discount Factor</v>
          </cell>
          <cell r="F172">
            <v>1</v>
          </cell>
          <cell r="G172">
            <v>0.96618357487922713</v>
          </cell>
          <cell r="H172">
            <v>0.93351070036640305</v>
          </cell>
          <cell r="I172">
            <v>0.90194270566802237</v>
          </cell>
          <cell r="J172">
            <v>0.87144222769857238</v>
          </cell>
          <cell r="K172">
            <v>0.84197316685852408</v>
          </cell>
          <cell r="L172">
            <v>0.81350064430775282</v>
          </cell>
          <cell r="M172">
            <v>0.78599096068381924</v>
          </cell>
          <cell r="N172">
            <v>0.75941155621625056</v>
          </cell>
          <cell r="O172">
            <v>0.73373097218961414</v>
          </cell>
          <cell r="P172">
            <v>0.70891881370977217</v>
          </cell>
          <cell r="Q172">
            <v>0.68494571372924851</v>
          </cell>
          <cell r="R172">
            <v>10.001551036307207</v>
          </cell>
        </row>
        <row r="173">
          <cell r="A173" t="str">
            <v>Option 4TotalCash Discount</v>
          </cell>
          <cell r="B173">
            <v>5</v>
          </cell>
          <cell r="C173" t="str">
            <v>Option 4</v>
          </cell>
          <cell r="D173" t="str">
            <v>Total</v>
          </cell>
          <cell r="E173" t="str">
            <v>Cash Discount</v>
          </cell>
          <cell r="F173">
            <v>0</v>
          </cell>
          <cell r="G173">
            <v>64935000.391581506</v>
          </cell>
          <cell r="H173">
            <v>40963420.962556884</v>
          </cell>
          <cell r="I173">
            <v>66607207.91776257</v>
          </cell>
          <cell r="J173">
            <v>68259372.448645025</v>
          </cell>
          <cell r="K173">
            <v>229052534.62346625</v>
          </cell>
          <cell r="L173">
            <v>289834887.16807896</v>
          </cell>
          <cell r="M173">
            <v>174417154.50249979</v>
          </cell>
          <cell r="N173">
            <v>108539755.13100381</v>
          </cell>
          <cell r="O173">
            <v>389519403.09918612</v>
          </cell>
          <cell r="P173">
            <v>308935273.62305063</v>
          </cell>
          <cell r="Q173">
            <v>601972483.37820148</v>
          </cell>
          <cell r="R173">
            <v>2343036493.2460332</v>
          </cell>
        </row>
        <row r="174">
          <cell r="A174" t="str">
            <v>Option 4TotalDiscounted Cash</v>
          </cell>
          <cell r="B174">
            <v>5</v>
          </cell>
          <cell r="C174" t="str">
            <v>Option 4</v>
          </cell>
          <cell r="D174" t="str">
            <v>Total</v>
          </cell>
          <cell r="E174" t="str">
            <v>Discounted Cash</v>
          </cell>
          <cell r="F174">
            <v>451221788.55794954</v>
          </cell>
          <cell r="G174">
            <v>2191324352.5001965</v>
          </cell>
          <cell r="H174">
            <v>682942830.06198096</v>
          </cell>
          <cell r="I174">
            <v>731533000.17737758</v>
          </cell>
          <cell r="J174">
            <v>555621713.78473282</v>
          </cell>
          <cell r="K174">
            <v>1474055240.3809478</v>
          </cell>
          <cell r="L174">
            <v>1536208914.208173</v>
          </cell>
          <cell r="M174">
            <v>783206678.56211674</v>
          </cell>
          <cell r="N174">
            <v>421553088.37050021</v>
          </cell>
          <cell r="O174">
            <v>1329363571.7823994</v>
          </cell>
          <cell r="P174">
            <v>938135865.3036325</v>
          </cell>
          <cell r="Q174">
            <v>1643093522.0451679</v>
          </cell>
          <cell r="R174">
            <v>12738260565.735176</v>
          </cell>
        </row>
        <row r="175">
          <cell r="A175" t="str">
            <v>Option 4Totalnear-cash</v>
          </cell>
          <cell r="B175">
            <v>5</v>
          </cell>
          <cell r="C175" t="str">
            <v>Option 4</v>
          </cell>
          <cell r="D175" t="str">
            <v>Total</v>
          </cell>
          <cell r="E175" t="str">
            <v>near-cash</v>
          </cell>
          <cell r="F175">
            <v>29091774.12038704</v>
          </cell>
          <cell r="G175">
            <v>104028764.04466212</v>
          </cell>
          <cell r="H175">
            <v>214674008.69851252</v>
          </cell>
          <cell r="I175">
            <v>800510261.75121808</v>
          </cell>
          <cell r="J175">
            <v>636329236.17384553</v>
          </cell>
          <cell r="K175">
            <v>1701718077.134177</v>
          </cell>
          <cell r="L175">
            <v>1818732271.065383</v>
          </cell>
          <cell r="M175">
            <v>962774706.395082</v>
          </cell>
          <cell r="N175">
            <v>544103345.92770135</v>
          </cell>
          <cell r="O175">
            <v>1714578833.9993544</v>
          </cell>
          <cell r="P175">
            <v>1241664171.5438406</v>
          </cell>
          <cell r="Q175">
            <v>2250863358.7360024</v>
          </cell>
          <cell r="R175">
            <v>12019068809.590164</v>
          </cell>
        </row>
        <row r="176">
          <cell r="A176" t="str">
            <v>Option 4Totalnon-cash</v>
          </cell>
          <cell r="B176">
            <v>5</v>
          </cell>
          <cell r="C176" t="str">
            <v>Option 4</v>
          </cell>
          <cell r="D176" t="str">
            <v>Total</v>
          </cell>
          <cell r="E176" t="str">
            <v>non-cash</v>
          </cell>
          <cell r="F176">
            <v>10190252.893763907</v>
          </cell>
          <cell r="G176">
            <v>71275078.349506944</v>
          </cell>
          <cell r="H176">
            <v>110124156.85111246</v>
          </cell>
          <cell r="I176">
            <v>117947932.58912142</v>
          </cell>
          <cell r="J176">
            <v>120459619.84635077</v>
          </cell>
          <cell r="K176">
            <v>123567931.99362694</v>
          </cell>
          <cell r="L176">
            <v>127695416.212671</v>
          </cell>
          <cell r="M176">
            <v>132010300.12060064</v>
          </cell>
          <cell r="N176">
            <v>135547327.51932466</v>
          </cell>
          <cell r="O176">
            <v>139140729.97831565</v>
          </cell>
          <cell r="P176">
            <v>143689389.99268413</v>
          </cell>
          <cell r="Q176">
            <v>148544842.06664735</v>
          </cell>
          <cell r="R176">
            <v>1380192978.4137259</v>
          </cell>
        </row>
        <row r="177">
          <cell r="A177" t="str">
            <v>Option 4Totalresource</v>
          </cell>
          <cell r="B177">
            <v>5</v>
          </cell>
          <cell r="C177" t="str">
            <v>Option 4</v>
          </cell>
          <cell r="D177" t="str">
            <v>Total</v>
          </cell>
          <cell r="E177" t="str">
            <v>resource</v>
          </cell>
          <cell r="F177">
            <v>39282027.014150947</v>
          </cell>
          <cell r="G177">
            <v>175303842.39416906</v>
          </cell>
          <cell r="H177">
            <v>324798165.54962492</v>
          </cell>
          <cell r="I177">
            <v>918458194.34033954</v>
          </cell>
          <cell r="J177">
            <v>756788856.0201962</v>
          </cell>
          <cell r="K177">
            <v>1825286009.1278038</v>
          </cell>
          <cell r="L177">
            <v>1946427687.2780542</v>
          </cell>
          <cell r="M177">
            <v>1094785006.5156827</v>
          </cell>
          <cell r="N177">
            <v>679650673.4470259</v>
          </cell>
          <cell r="O177">
            <v>1853719563.97767</v>
          </cell>
          <cell r="P177">
            <v>1385353561.536525</v>
          </cell>
          <cell r="Q177">
            <v>2399408200.80265</v>
          </cell>
          <cell r="R177">
            <v>13399261788.003893</v>
          </cell>
        </row>
        <row r="178">
          <cell r="A178" t="str">
            <v>Option 4TotalCapital DEL (Credit)</v>
          </cell>
          <cell r="B178">
            <v>5</v>
          </cell>
          <cell r="C178" t="str">
            <v>Option 4</v>
          </cell>
          <cell r="D178" t="str">
            <v>Total</v>
          </cell>
          <cell r="E178" t="str">
            <v>Capital DEL (Credit)</v>
          </cell>
          <cell r="F178">
            <v>141235.59631249998</v>
          </cell>
          <cell r="G178">
            <v>2991850.8134375</v>
          </cell>
          <cell r="H178">
            <v>79531951.402875006</v>
          </cell>
          <cell r="I178">
            <v>644673337.66087496</v>
          </cell>
          <cell r="J178">
            <v>447142909.7428751</v>
          </cell>
          <cell r="K178">
            <v>1386431383.6583753</v>
          </cell>
          <cell r="L178">
            <v>1410581725.520375</v>
          </cell>
          <cell r="M178">
            <v>714166056.31087494</v>
          </cell>
          <cell r="N178">
            <v>319167084.11787504</v>
          </cell>
          <cell r="O178">
            <v>1238455123.0608749</v>
          </cell>
          <cell r="P178">
            <v>814146075.31537497</v>
          </cell>
          <cell r="Q178">
            <v>1553392665.1133752</v>
          </cell>
          <cell r="R178">
            <v>8610821398.3135014</v>
          </cell>
        </row>
        <row r="179">
          <cell r="A179" t="str">
            <v>Option 4TotalCapital DEL (Debit)</v>
          </cell>
          <cell r="B179">
            <v>5</v>
          </cell>
          <cell r="C179" t="str">
            <v>Option 4</v>
          </cell>
          <cell r="D179" t="str">
            <v>Total</v>
          </cell>
          <cell r="E179" t="str">
            <v>Capital DEL (Debit)</v>
          </cell>
          <cell r="F179">
            <v>422271250.03387505</v>
          </cell>
          <cell r="G179">
            <v>2106971705.5193753</v>
          </cell>
          <cell r="H179">
            <v>566318979.37537503</v>
          </cell>
          <cell r="I179">
            <v>642247154.765625</v>
          </cell>
          <cell r="J179">
            <v>435136345.51037502</v>
          </cell>
          <cell r="K179">
            <v>1387968200.7631252</v>
          </cell>
          <cell r="L179">
            <v>1417651561.2878749</v>
          </cell>
          <cell r="M179">
            <v>709639873.41562498</v>
          </cell>
          <cell r="N179">
            <v>307160519.88537502</v>
          </cell>
          <cell r="O179">
            <v>1242091940.1656251</v>
          </cell>
          <cell r="P179">
            <v>819115911.08287501</v>
          </cell>
          <cell r="Q179">
            <v>1548866482.2181251</v>
          </cell>
          <cell r="R179">
            <v>11605439924.023249</v>
          </cell>
        </row>
      </sheetData>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age 1"/>
      <sheetName val="Page 2"/>
      <sheetName val="Page 3"/>
      <sheetName val="Page 4"/>
      <sheetName val="Page 5"/>
      <sheetName val="Page 6"/>
      <sheetName val="Page 7"/>
      <sheetName val="Page 8"/>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Page 29"/>
      <sheetName val="Page 30"/>
      <sheetName val="Page 31"/>
      <sheetName val="Page 32"/>
      <sheetName val="Page 33"/>
      <sheetName val="Page 34"/>
      <sheetName val="Page 35"/>
      <sheetName val="Page 36"/>
      <sheetName val="Page 37"/>
      <sheetName val="Page 38"/>
      <sheetName val="Page 39"/>
      <sheetName val="Adjustments"/>
      <sheetName val="DrCr Elimination"/>
      <sheetName val="Expenditure"/>
      <sheetName val="Income"/>
      <sheetName val="Int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Key Messages"/>
      <sheetName val="SHA_lookup_table"/>
      <sheetName val="Update"/>
      <sheetName val="TLAssign"/>
      <sheetName val="CommentClose"/>
      <sheetName val="DataIn"/>
      <sheetName val="TrajIn"/>
      <sheetName val="Org_Lookup_Table"/>
      <sheetName val="KeyPrioritiesTimeseries"/>
      <sheetName val="KeyPrioritiesOrgComparison"/>
      <sheetName val="AmbFeeder"/>
      <sheetName val="Months"/>
      <sheetName val="Mar06"/>
      <sheetName val="Apr06"/>
      <sheetName val="May06"/>
      <sheetName val="Jun06"/>
      <sheetName val="Jul06"/>
      <sheetName val="Aug06"/>
      <sheetName val="Sep06"/>
      <sheetName val="Oct06"/>
      <sheetName val="Nov06"/>
      <sheetName val="Dec06"/>
      <sheetName val="Jan07"/>
      <sheetName val="Feb07"/>
      <sheetName val="Mar07"/>
      <sheetName val="Introduction"/>
      <sheetName val="Interactive inputs &amp; results"/>
      <sheetName val="Scenario Data"/>
    </sheetNames>
    <sheetDataSet>
      <sheetData sheetId="0"/>
      <sheetData sheetId="1"/>
      <sheetData sheetId="2"/>
      <sheetData sheetId="3"/>
      <sheetData sheetId="4"/>
      <sheetData sheetId="5"/>
      <sheetData sheetId="6"/>
      <sheetData sheetId="7"/>
      <sheetData sheetId="8" refreshError="1">
        <row r="1">
          <cell r="C1" t="str">
            <v>Organisation</v>
          </cell>
        </row>
        <row r="5">
          <cell r="O5">
            <v>1</v>
          </cell>
          <cell r="P5">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figures"/>
      <sheetName val="changes against budgets"/>
      <sheetName val="Org_Lookup_Table"/>
      <sheetName val="Estates Bids"/>
    </sheetNames>
    <sheetDataSet>
      <sheetData sheetId="0"/>
      <sheetData sheetId="1" refreshError="1"/>
      <sheetData sheetId="2" refreshError="1"/>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rep"/>
      <sheetName val="changes against budgets"/>
      <sheetName val="previous sheets combined"/>
      <sheetName val="14 Sep figures"/>
      <sheetName val="28 Sep figures"/>
      <sheetName val="1 Oct figures"/>
      <sheetName val="12 Oct MS(H) plans"/>
      <sheetName val="9 November position"/>
      <sheetName val="23 December position"/>
      <sheetName val="Service totals for future years"/>
      <sheetName val="PF Inflation"/>
      <sheetName val="IF inflation"/>
      <sheetName val="Sheet3"/>
      <sheetName val="Source figures"/>
      <sheetName val="Data Ran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04"/>
      <sheetName val="6.2 LDP Efficiency"/>
      <sheetName val="changes against budgets"/>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ista SHA-PCT Ini"/>
      <sheetName val="Vista SHA-PCT CB 1"/>
      <sheetName val="Vista SHA-PCT CB 2"/>
      <sheetName val="Vista SHA-PCT IATS"/>
      <sheetName val="Vista Trust"/>
      <sheetName val="Vista All England 1"/>
      <sheetName val="Vista All England 2"/>
      <sheetName val="SHA_FIMS_Report"/>
      <sheetName val="info"/>
      <sheetName val="T04"/>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nett allocations (2)"/>
      <sheetName val="Intro"/>
      <sheetName val="Data Range"/>
    </sheetNames>
    <sheetDataSet>
      <sheetData sheetId="0"/>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anges FY '03 Plan"/>
      <sheetName val="Scenarios"/>
      <sheetName val="INPUT"/>
      <sheetName val="Rate Card"/>
      <sheetName val="Summary"/>
      <sheetName val="Detail Plan"/>
      <sheetName val="Calendar year Summary Plan  (3)"/>
      <sheetName val="Inflators"/>
      <sheetName val="BP Assumptions"/>
      <sheetName val="Assumption Inputs"/>
      <sheetName val="Calendar year Sum Plan (by ind)"/>
      <sheetName val="Calendar year Summary Plan"/>
      <sheetName val="Calendar year Summary Plan (2)"/>
      <sheetName val="Calendar year Sum Plan (BY Hour"/>
      <sheetName val="Sheet1"/>
      <sheetName val="Business Practises Personnel"/>
      <sheetName val="Graph Data"/>
      <sheetName val="Headcount &amp; Payroll"/>
      <sheetName val="Recruiting &amp; Training"/>
      <sheetName val="Business Practises Recruitment"/>
      <sheetName val="People Costs"/>
      <sheetName val="GSS Costs"/>
      <sheetName val="Facility Costs"/>
      <sheetName val="Control"/>
      <sheetName val="SENSITIVITY"/>
      <sheetName val="GSS"/>
      <sheetName val="ice allocation"/>
      <sheetName val="Accenture P&amp;L"/>
      <sheetName val="Net W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Header"/>
      <sheetName val="NHS Allocs"/>
      <sheetName val="Refs"/>
      <sheetName val="Accrual GL Journal Entries"/>
      <sheetName val="Cash GL Journal Entries"/>
      <sheetName val="Disclosure Amendments"/>
    </sheetNames>
    <sheetDataSet>
      <sheetData sheetId="0" refreshError="1"/>
      <sheetData sheetId="1"/>
      <sheetData sheetId="2" refreshError="1"/>
      <sheetData sheetId="3"/>
      <sheetData sheetId="4"/>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1"/>
      <sheetName val="Table 4.2_4.3"/>
      <sheetName val="Table 4.4"/>
      <sheetName val="Table 4.5"/>
      <sheetName val="Table 4.6"/>
      <sheetName val="Table 4.7"/>
      <sheetName val="Table 4.8"/>
      <sheetName val="Table 4.9"/>
      <sheetName val="Table 4.10"/>
      <sheetName val="Table 4.11"/>
      <sheetName val="Table 4.12"/>
      <sheetName val="Table 4.13"/>
      <sheetName val="Table 4.14"/>
      <sheetName val="Table 4.15"/>
      <sheetName val="Table 4.16"/>
      <sheetName val="Table 4.17"/>
      <sheetName val="Table 4.18"/>
      <sheetName val="Table 4.19"/>
      <sheetName val="Table 4.20"/>
      <sheetName val="Table 4.21"/>
      <sheetName val="Table 4.22"/>
      <sheetName val="Table 4.23"/>
      <sheetName val="Table 4.24"/>
      <sheetName val="Table 4.25"/>
      <sheetName val="Table 4.26"/>
      <sheetName val="Global"/>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wallpaper"/>
      <sheetName val="Resource and cash summary"/>
      <sheetName val="App C revenue"/>
      <sheetName val="APP C capital"/>
      <sheetName val="App C cash"/>
      <sheetName val="Debtor &amp; creditor adj"/>
      <sheetName val="Transfers pending"/>
      <sheetName val="Capital DEL &amp; AME voted &amp; NON V"/>
      <sheetName val="Resource DEL &amp; AME vote &amp; NON V"/>
      <sheetName val="Capital budget DEL &amp; AME"/>
      <sheetName val="Resource budget DEL &amp; AME"/>
      <sheetName val="Glob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ata"/>
      <sheetName val="Management practices"/>
      <sheetName val="Guidance"/>
      <sheetName val="Comments"/>
    </sheetNames>
    <sheetDataSet>
      <sheetData sheetId="0"/>
      <sheetData sheetId="1"/>
      <sheetData sheetId="2">
        <row r="109">
          <cell r="D109" t="str">
            <v>No</v>
          </cell>
        </row>
        <row r="110">
          <cell r="D110" t="str">
            <v>Yes</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Report"/>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0"/>
  <sheetViews>
    <sheetView tabSelected="1" workbookViewId="0">
      <selection activeCell="Q25" sqref="Q25"/>
    </sheetView>
  </sheetViews>
  <sheetFormatPr defaultColWidth="9.140625" defaultRowHeight="15"/>
  <cols>
    <col min="1" max="1" width="4.7109375" style="52" customWidth="1"/>
    <col min="2" max="16384" width="9.140625" style="52"/>
  </cols>
  <sheetData>
    <row r="1" spans="2:2" s="89" customFormat="1"/>
    <row r="2" spans="2:2" s="89" customFormat="1"/>
    <row r="3" spans="2:2" s="89" customFormat="1"/>
    <row r="4" spans="2:2" s="89" customFormat="1"/>
    <row r="5" spans="2:2" s="89" customFormat="1"/>
    <row r="6" spans="2:2" s="89" customFormat="1"/>
    <row r="7" spans="2:2" s="89" customFormat="1"/>
    <row r="10" spans="2:2">
      <c r="B10" s="2" t="s">
        <v>1633</v>
      </c>
    </row>
  </sheetData>
  <pageMargins left="0.70866141732283472" right="0.70866141732283472" top="0.74803149606299213" bottom="0.74803149606299213" header="0.31496062992125984" footer="0.31496062992125984"/>
  <pageSetup paperSize="9" orientation="portrait" cellComments="atEnd"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A62"/>
  <sheetViews>
    <sheetView workbookViewId="0">
      <pane ySplit="2" topLeftCell="A20" activePane="bottomLeft" state="frozen"/>
      <selection pane="bottomLeft"/>
    </sheetView>
  </sheetViews>
  <sheetFormatPr defaultColWidth="9.140625" defaultRowHeight="12.75"/>
  <cols>
    <col min="1" max="1" width="14.85546875" style="1" bestFit="1" customWidth="1"/>
    <col min="2" max="16384" width="9.140625" style="1"/>
  </cols>
  <sheetData>
    <row r="1" spans="1:1" s="58" customFormat="1">
      <c r="A1" s="64" t="s">
        <v>545</v>
      </c>
    </row>
    <row r="2" spans="1:1">
      <c r="A2" s="160" t="s">
        <v>525</v>
      </c>
    </row>
    <row r="3" spans="1:1">
      <c r="A3" s="161">
        <v>100</v>
      </c>
    </row>
    <row r="4" spans="1:1">
      <c r="A4" s="161">
        <v>101</v>
      </c>
    </row>
    <row r="5" spans="1:1">
      <c r="A5" s="161">
        <v>103</v>
      </c>
    </row>
    <row r="6" spans="1:1">
      <c r="A6" s="161">
        <v>104</v>
      </c>
    </row>
    <row r="7" spans="1:1">
      <c r="A7" s="161">
        <v>105</v>
      </c>
    </row>
    <row r="8" spans="1:1">
      <c r="A8" s="161">
        <v>106</v>
      </c>
    </row>
    <row r="9" spans="1:1">
      <c r="A9" s="161">
        <v>107</v>
      </c>
    </row>
    <row r="10" spans="1:1" s="58" customFormat="1">
      <c r="A10" s="162">
        <v>108</v>
      </c>
    </row>
    <row r="11" spans="1:1">
      <c r="A11" s="161">
        <v>110</v>
      </c>
    </row>
    <row r="12" spans="1:1">
      <c r="A12" s="161">
        <v>120</v>
      </c>
    </row>
    <row r="13" spans="1:1">
      <c r="A13" s="161">
        <v>130</v>
      </c>
    </row>
    <row r="14" spans="1:1">
      <c r="A14" s="161">
        <v>140</v>
      </c>
    </row>
    <row r="15" spans="1:1">
      <c r="A15" s="161">
        <v>143</v>
      </c>
    </row>
    <row r="16" spans="1:1">
      <c r="A16" s="161">
        <v>144</v>
      </c>
    </row>
    <row r="17" spans="1:1" s="58" customFormat="1">
      <c r="A17" s="163">
        <v>150</v>
      </c>
    </row>
    <row r="18" spans="1:1">
      <c r="A18" s="161">
        <v>160</v>
      </c>
    </row>
    <row r="19" spans="1:1">
      <c r="A19" s="161">
        <v>170</v>
      </c>
    </row>
    <row r="20" spans="1:1">
      <c r="A20" s="161">
        <v>171</v>
      </c>
    </row>
    <row r="21" spans="1:1">
      <c r="A21" s="161">
        <v>172</v>
      </c>
    </row>
    <row r="22" spans="1:1">
      <c r="A22" s="161">
        <v>173</v>
      </c>
    </row>
    <row r="23" spans="1:1">
      <c r="A23" s="161">
        <v>190</v>
      </c>
    </row>
    <row r="24" spans="1:1">
      <c r="A24" s="161">
        <v>191</v>
      </c>
    </row>
    <row r="25" spans="1:1">
      <c r="A25" s="161">
        <v>211</v>
      </c>
    </row>
    <row r="26" spans="1:1">
      <c r="A26" s="161">
        <v>214</v>
      </c>
    </row>
    <row r="27" spans="1:1">
      <c r="A27" s="161">
        <v>215</v>
      </c>
    </row>
    <row r="28" spans="1:1">
      <c r="A28" s="161">
        <v>216</v>
      </c>
    </row>
    <row r="29" spans="1:1">
      <c r="A29" s="161">
        <v>217</v>
      </c>
    </row>
    <row r="30" spans="1:1" s="58" customFormat="1">
      <c r="A30" s="163">
        <v>218</v>
      </c>
    </row>
    <row r="31" spans="1:1">
      <c r="A31" s="161">
        <v>219</v>
      </c>
    </row>
    <row r="32" spans="1:1">
      <c r="A32" s="162">
        <v>223</v>
      </c>
    </row>
    <row r="33" spans="1:1">
      <c r="A33" s="161">
        <v>251</v>
      </c>
    </row>
    <row r="34" spans="1:1">
      <c r="A34" s="161">
        <v>252</v>
      </c>
    </row>
    <row r="35" spans="1:1">
      <c r="A35" s="161">
        <v>253</v>
      </c>
    </row>
    <row r="36" spans="1:1">
      <c r="A36" s="161">
        <v>257</v>
      </c>
    </row>
    <row r="37" spans="1:1">
      <c r="A37" s="161">
        <v>258</v>
      </c>
    </row>
    <row r="38" spans="1:1">
      <c r="A38" s="161">
        <v>263</v>
      </c>
    </row>
    <row r="39" spans="1:1">
      <c r="A39" s="161">
        <v>300</v>
      </c>
    </row>
    <row r="40" spans="1:1">
      <c r="A40" s="161">
        <v>301</v>
      </c>
    </row>
    <row r="41" spans="1:1">
      <c r="A41" s="161">
        <v>302</v>
      </c>
    </row>
    <row r="42" spans="1:1">
      <c r="A42" s="161">
        <v>303</v>
      </c>
    </row>
    <row r="43" spans="1:1">
      <c r="A43" s="161">
        <v>306</v>
      </c>
    </row>
    <row r="44" spans="1:1">
      <c r="A44" s="161">
        <v>307</v>
      </c>
    </row>
    <row r="45" spans="1:1">
      <c r="A45" s="161">
        <v>320</v>
      </c>
    </row>
    <row r="46" spans="1:1">
      <c r="A46" s="161">
        <v>321</v>
      </c>
    </row>
    <row r="47" spans="1:1">
      <c r="A47" s="161">
        <v>329</v>
      </c>
    </row>
    <row r="48" spans="1:1">
      <c r="A48" s="161">
        <v>330</v>
      </c>
    </row>
    <row r="49" spans="1:1">
      <c r="A49" s="161">
        <v>340</v>
      </c>
    </row>
    <row r="50" spans="1:1">
      <c r="A50" s="161">
        <v>341</v>
      </c>
    </row>
    <row r="51" spans="1:1">
      <c r="A51" s="161">
        <v>350</v>
      </c>
    </row>
    <row r="52" spans="1:1">
      <c r="A52" s="161">
        <v>361</v>
      </c>
    </row>
    <row r="53" spans="1:1">
      <c r="A53" s="161">
        <v>370</v>
      </c>
    </row>
    <row r="54" spans="1:1" s="58" customFormat="1">
      <c r="A54" s="163">
        <v>400</v>
      </c>
    </row>
    <row r="55" spans="1:1">
      <c r="A55" s="161">
        <v>410</v>
      </c>
    </row>
    <row r="56" spans="1:1">
      <c r="A56" s="161">
        <v>420</v>
      </c>
    </row>
    <row r="57" spans="1:1" s="58" customFormat="1">
      <c r="A57" s="163">
        <v>421</v>
      </c>
    </row>
    <row r="58" spans="1:1">
      <c r="A58" s="161">
        <v>430</v>
      </c>
    </row>
    <row r="59" spans="1:1">
      <c r="A59" s="161">
        <v>502</v>
      </c>
    </row>
    <row r="60" spans="1:1">
      <c r="A60" s="161">
        <v>503</v>
      </c>
    </row>
    <row r="61" spans="1:1">
      <c r="A61" s="161">
        <v>800</v>
      </c>
    </row>
    <row r="62" spans="1:1">
      <c r="A62" s="164">
        <v>812</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sheetPr>
  <dimension ref="A1:G8875"/>
  <sheetViews>
    <sheetView workbookViewId="0">
      <pane xSplit="1" ySplit="2" topLeftCell="B6247" activePane="bottomRight" state="frozen"/>
      <selection pane="topRight" activeCell="B1" sqref="B1"/>
      <selection pane="bottomLeft" activeCell="A3" sqref="A3"/>
      <selection pane="bottomRight"/>
    </sheetView>
  </sheetViews>
  <sheetFormatPr defaultRowHeight="11.25"/>
  <cols>
    <col min="1" max="1" width="12" style="3" customWidth="1"/>
    <col min="2" max="2" width="5" style="3" customWidth="1"/>
    <col min="3" max="3" width="13.5703125" style="4" bestFit="1" customWidth="1"/>
    <col min="4" max="4" width="13.42578125" style="4" bestFit="1" customWidth="1"/>
    <col min="5" max="5" width="13.5703125" style="4" bestFit="1" customWidth="1"/>
    <col min="6" max="6" width="13.42578125" style="4" bestFit="1" customWidth="1"/>
    <col min="7" max="7" width="11.5703125" style="4" bestFit="1" customWidth="1"/>
    <col min="8" max="224" width="9.140625" style="3"/>
    <col min="225" max="225" width="8.5703125" style="3" bestFit="1" customWidth="1"/>
    <col min="226" max="226" width="3.7109375" style="3" bestFit="1" customWidth="1"/>
    <col min="227" max="227" width="13.42578125" style="3" bestFit="1" customWidth="1"/>
    <col min="228" max="228" width="13.28515625" style="3" bestFit="1" customWidth="1"/>
    <col min="229" max="229" width="13.42578125" style="3" bestFit="1" customWidth="1"/>
    <col min="230" max="230" width="13.28515625" style="3" bestFit="1" customWidth="1"/>
    <col min="231" max="231" width="11.42578125" style="3" bestFit="1" customWidth="1"/>
    <col min="232" max="232" width="12.140625" style="3" bestFit="1" customWidth="1"/>
    <col min="233" max="233" width="12" style="3" bestFit="1" customWidth="1"/>
    <col min="234" max="234" width="12.140625" style="3" bestFit="1" customWidth="1"/>
    <col min="235" max="235" width="12" style="3" bestFit="1" customWidth="1"/>
    <col min="236" max="236" width="11.5703125" style="3" bestFit="1" customWidth="1"/>
    <col min="237" max="480" width="9.140625" style="3"/>
    <col min="481" max="481" width="8.5703125" style="3" bestFit="1" customWidth="1"/>
    <col min="482" max="482" width="3.7109375" style="3" bestFit="1" customWidth="1"/>
    <col min="483" max="483" width="13.42578125" style="3" bestFit="1" customWidth="1"/>
    <col min="484" max="484" width="13.28515625" style="3" bestFit="1" customWidth="1"/>
    <col min="485" max="485" width="13.42578125" style="3" bestFit="1" customWidth="1"/>
    <col min="486" max="486" width="13.28515625" style="3" bestFit="1" customWidth="1"/>
    <col min="487" max="487" width="11.42578125" style="3" bestFit="1" customWidth="1"/>
    <col min="488" max="488" width="12.140625" style="3" bestFit="1" customWidth="1"/>
    <col min="489" max="489" width="12" style="3" bestFit="1" customWidth="1"/>
    <col min="490" max="490" width="12.140625" style="3" bestFit="1" customWidth="1"/>
    <col min="491" max="491" width="12" style="3" bestFit="1" customWidth="1"/>
    <col min="492" max="492" width="11.5703125" style="3" bestFit="1" customWidth="1"/>
    <col min="493" max="736" width="9.140625" style="3"/>
    <col min="737" max="737" width="8.5703125" style="3" bestFit="1" customWidth="1"/>
    <col min="738" max="738" width="3.7109375" style="3" bestFit="1" customWidth="1"/>
    <col min="739" max="739" width="13.42578125" style="3" bestFit="1" customWidth="1"/>
    <col min="740" max="740" width="13.28515625" style="3" bestFit="1" customWidth="1"/>
    <col min="741" max="741" width="13.42578125" style="3" bestFit="1" customWidth="1"/>
    <col min="742" max="742" width="13.28515625" style="3" bestFit="1" customWidth="1"/>
    <col min="743" max="743" width="11.42578125" style="3" bestFit="1" customWidth="1"/>
    <col min="744" max="744" width="12.140625" style="3" bestFit="1" customWidth="1"/>
    <col min="745" max="745" width="12" style="3" bestFit="1" customWidth="1"/>
    <col min="746" max="746" width="12.140625" style="3" bestFit="1" customWidth="1"/>
    <col min="747" max="747" width="12" style="3" bestFit="1" customWidth="1"/>
    <col min="748" max="748" width="11.5703125" style="3" bestFit="1" customWidth="1"/>
    <col min="749" max="992" width="9.140625" style="3"/>
    <col min="993" max="993" width="8.5703125" style="3" bestFit="1" customWidth="1"/>
    <col min="994" max="994" width="3.7109375" style="3" bestFit="1" customWidth="1"/>
    <col min="995" max="995" width="13.42578125" style="3" bestFit="1" customWidth="1"/>
    <col min="996" max="996" width="13.28515625" style="3" bestFit="1" customWidth="1"/>
    <col min="997" max="997" width="13.42578125" style="3" bestFit="1" customWidth="1"/>
    <col min="998" max="998" width="13.28515625" style="3" bestFit="1" customWidth="1"/>
    <col min="999" max="999" width="11.42578125" style="3" bestFit="1" customWidth="1"/>
    <col min="1000" max="1000" width="12.140625" style="3" bestFit="1" customWidth="1"/>
    <col min="1001" max="1001" width="12" style="3" bestFit="1" customWidth="1"/>
    <col min="1002" max="1002" width="12.140625" style="3" bestFit="1" customWidth="1"/>
    <col min="1003" max="1003" width="12" style="3" bestFit="1" customWidth="1"/>
    <col min="1004" max="1004" width="11.5703125" style="3" bestFit="1" customWidth="1"/>
    <col min="1005" max="1248" width="9.140625" style="3"/>
    <col min="1249" max="1249" width="8.5703125" style="3" bestFit="1" customWidth="1"/>
    <col min="1250" max="1250" width="3.7109375" style="3" bestFit="1" customWidth="1"/>
    <col min="1251" max="1251" width="13.42578125" style="3" bestFit="1" customWidth="1"/>
    <col min="1252" max="1252" width="13.28515625" style="3" bestFit="1" customWidth="1"/>
    <col min="1253" max="1253" width="13.42578125" style="3" bestFit="1" customWidth="1"/>
    <col min="1254" max="1254" width="13.28515625" style="3" bestFit="1" customWidth="1"/>
    <col min="1255" max="1255" width="11.42578125" style="3" bestFit="1" customWidth="1"/>
    <col min="1256" max="1256" width="12.140625" style="3" bestFit="1" customWidth="1"/>
    <col min="1257" max="1257" width="12" style="3" bestFit="1" customWidth="1"/>
    <col min="1258" max="1258" width="12.140625" style="3" bestFit="1" customWidth="1"/>
    <col min="1259" max="1259" width="12" style="3" bestFit="1" customWidth="1"/>
    <col min="1260" max="1260" width="11.5703125" style="3" bestFit="1" customWidth="1"/>
    <col min="1261" max="1504" width="9.140625" style="3"/>
    <col min="1505" max="1505" width="8.5703125" style="3" bestFit="1" customWidth="1"/>
    <col min="1506" max="1506" width="3.7109375" style="3" bestFit="1" customWidth="1"/>
    <col min="1507" max="1507" width="13.42578125" style="3" bestFit="1" customWidth="1"/>
    <col min="1508" max="1508" width="13.28515625" style="3" bestFit="1" customWidth="1"/>
    <col min="1509" max="1509" width="13.42578125" style="3" bestFit="1" customWidth="1"/>
    <col min="1510" max="1510" width="13.28515625" style="3" bestFit="1" customWidth="1"/>
    <col min="1511" max="1511" width="11.42578125" style="3" bestFit="1" customWidth="1"/>
    <col min="1512" max="1512" width="12.140625" style="3" bestFit="1" customWidth="1"/>
    <col min="1513" max="1513" width="12" style="3" bestFit="1" customWidth="1"/>
    <col min="1514" max="1514" width="12.140625" style="3" bestFit="1" customWidth="1"/>
    <col min="1515" max="1515" width="12" style="3" bestFit="1" customWidth="1"/>
    <col min="1516" max="1516" width="11.5703125" style="3" bestFit="1" customWidth="1"/>
    <col min="1517" max="1760" width="9.140625" style="3"/>
    <col min="1761" max="1761" width="8.5703125" style="3" bestFit="1" customWidth="1"/>
    <col min="1762" max="1762" width="3.7109375" style="3" bestFit="1" customWidth="1"/>
    <col min="1763" max="1763" width="13.42578125" style="3" bestFit="1" customWidth="1"/>
    <col min="1764" max="1764" width="13.28515625" style="3" bestFit="1" customWidth="1"/>
    <col min="1765" max="1765" width="13.42578125" style="3" bestFit="1" customWidth="1"/>
    <col min="1766" max="1766" width="13.28515625" style="3" bestFit="1" customWidth="1"/>
    <col min="1767" max="1767" width="11.42578125" style="3" bestFit="1" customWidth="1"/>
    <col min="1768" max="1768" width="12.140625" style="3" bestFit="1" customWidth="1"/>
    <col min="1769" max="1769" width="12" style="3" bestFit="1" customWidth="1"/>
    <col min="1770" max="1770" width="12.140625" style="3" bestFit="1" customWidth="1"/>
    <col min="1771" max="1771" width="12" style="3" bestFit="1" customWidth="1"/>
    <col min="1772" max="1772" width="11.5703125" style="3" bestFit="1" customWidth="1"/>
    <col min="1773" max="2016" width="9.140625" style="3"/>
    <col min="2017" max="2017" width="8.5703125" style="3" bestFit="1" customWidth="1"/>
    <col min="2018" max="2018" width="3.7109375" style="3" bestFit="1" customWidth="1"/>
    <col min="2019" max="2019" width="13.42578125" style="3" bestFit="1" customWidth="1"/>
    <col min="2020" max="2020" width="13.28515625" style="3" bestFit="1" customWidth="1"/>
    <col min="2021" max="2021" width="13.42578125" style="3" bestFit="1" customWidth="1"/>
    <col min="2022" max="2022" width="13.28515625" style="3" bestFit="1" customWidth="1"/>
    <col min="2023" max="2023" width="11.42578125" style="3" bestFit="1" customWidth="1"/>
    <col min="2024" max="2024" width="12.140625" style="3" bestFit="1" customWidth="1"/>
    <col min="2025" max="2025" width="12" style="3" bestFit="1" customWidth="1"/>
    <col min="2026" max="2026" width="12.140625" style="3" bestFit="1" customWidth="1"/>
    <col min="2027" max="2027" width="12" style="3" bestFit="1" customWidth="1"/>
    <col min="2028" max="2028" width="11.5703125" style="3" bestFit="1" customWidth="1"/>
    <col min="2029" max="2272" width="9.140625" style="3"/>
    <col min="2273" max="2273" width="8.5703125" style="3" bestFit="1" customWidth="1"/>
    <col min="2274" max="2274" width="3.7109375" style="3" bestFit="1" customWidth="1"/>
    <col min="2275" max="2275" width="13.42578125" style="3" bestFit="1" customWidth="1"/>
    <col min="2276" max="2276" width="13.28515625" style="3" bestFit="1" customWidth="1"/>
    <col min="2277" max="2277" width="13.42578125" style="3" bestFit="1" customWidth="1"/>
    <col min="2278" max="2278" width="13.28515625" style="3" bestFit="1" customWidth="1"/>
    <col min="2279" max="2279" width="11.42578125" style="3" bestFit="1" customWidth="1"/>
    <col min="2280" max="2280" width="12.140625" style="3" bestFit="1" customWidth="1"/>
    <col min="2281" max="2281" width="12" style="3" bestFit="1" customWidth="1"/>
    <col min="2282" max="2282" width="12.140625" style="3" bestFit="1" customWidth="1"/>
    <col min="2283" max="2283" width="12" style="3" bestFit="1" customWidth="1"/>
    <col min="2284" max="2284" width="11.5703125" style="3" bestFit="1" customWidth="1"/>
    <col min="2285" max="2528" width="9.140625" style="3"/>
    <col min="2529" max="2529" width="8.5703125" style="3" bestFit="1" customWidth="1"/>
    <col min="2530" max="2530" width="3.7109375" style="3" bestFit="1" customWidth="1"/>
    <col min="2531" max="2531" width="13.42578125" style="3" bestFit="1" customWidth="1"/>
    <col min="2532" max="2532" width="13.28515625" style="3" bestFit="1" customWidth="1"/>
    <col min="2533" max="2533" width="13.42578125" style="3" bestFit="1" customWidth="1"/>
    <col min="2534" max="2534" width="13.28515625" style="3" bestFit="1" customWidth="1"/>
    <col min="2535" max="2535" width="11.42578125" style="3" bestFit="1" customWidth="1"/>
    <col min="2536" max="2536" width="12.140625" style="3" bestFit="1" customWidth="1"/>
    <col min="2537" max="2537" width="12" style="3" bestFit="1" customWidth="1"/>
    <col min="2538" max="2538" width="12.140625" style="3" bestFit="1" customWidth="1"/>
    <col min="2539" max="2539" width="12" style="3" bestFit="1" customWidth="1"/>
    <col min="2540" max="2540" width="11.5703125" style="3" bestFit="1" customWidth="1"/>
    <col min="2541" max="2784" width="9.140625" style="3"/>
    <col min="2785" max="2785" width="8.5703125" style="3" bestFit="1" customWidth="1"/>
    <col min="2786" max="2786" width="3.7109375" style="3" bestFit="1" customWidth="1"/>
    <col min="2787" max="2787" width="13.42578125" style="3" bestFit="1" customWidth="1"/>
    <col min="2788" max="2788" width="13.28515625" style="3" bestFit="1" customWidth="1"/>
    <col min="2789" max="2789" width="13.42578125" style="3" bestFit="1" customWidth="1"/>
    <col min="2790" max="2790" width="13.28515625" style="3" bestFit="1" customWidth="1"/>
    <col min="2791" max="2791" width="11.42578125" style="3" bestFit="1" customWidth="1"/>
    <col min="2792" max="2792" width="12.140625" style="3" bestFit="1" customWidth="1"/>
    <col min="2793" max="2793" width="12" style="3" bestFit="1" customWidth="1"/>
    <col min="2794" max="2794" width="12.140625" style="3" bestFit="1" customWidth="1"/>
    <col min="2795" max="2795" width="12" style="3" bestFit="1" customWidth="1"/>
    <col min="2796" max="2796" width="11.5703125" style="3" bestFit="1" customWidth="1"/>
    <col min="2797" max="3040" width="9.140625" style="3"/>
    <col min="3041" max="3041" width="8.5703125" style="3" bestFit="1" customWidth="1"/>
    <col min="3042" max="3042" width="3.7109375" style="3" bestFit="1" customWidth="1"/>
    <col min="3043" max="3043" width="13.42578125" style="3" bestFit="1" customWidth="1"/>
    <col min="3044" max="3044" width="13.28515625" style="3" bestFit="1" customWidth="1"/>
    <col min="3045" max="3045" width="13.42578125" style="3" bestFit="1" customWidth="1"/>
    <col min="3046" max="3046" width="13.28515625" style="3" bestFit="1" customWidth="1"/>
    <col min="3047" max="3047" width="11.42578125" style="3" bestFit="1" customWidth="1"/>
    <col min="3048" max="3048" width="12.140625" style="3" bestFit="1" customWidth="1"/>
    <col min="3049" max="3049" width="12" style="3" bestFit="1" customWidth="1"/>
    <col min="3050" max="3050" width="12.140625" style="3" bestFit="1" customWidth="1"/>
    <col min="3051" max="3051" width="12" style="3" bestFit="1" customWidth="1"/>
    <col min="3052" max="3052" width="11.5703125" style="3" bestFit="1" customWidth="1"/>
    <col min="3053" max="3296" width="9.140625" style="3"/>
    <col min="3297" max="3297" width="8.5703125" style="3" bestFit="1" customWidth="1"/>
    <col min="3298" max="3298" width="3.7109375" style="3" bestFit="1" customWidth="1"/>
    <col min="3299" max="3299" width="13.42578125" style="3" bestFit="1" customWidth="1"/>
    <col min="3300" max="3300" width="13.28515625" style="3" bestFit="1" customWidth="1"/>
    <col min="3301" max="3301" width="13.42578125" style="3" bestFit="1" customWidth="1"/>
    <col min="3302" max="3302" width="13.28515625" style="3" bestFit="1" customWidth="1"/>
    <col min="3303" max="3303" width="11.42578125" style="3" bestFit="1" customWidth="1"/>
    <col min="3304" max="3304" width="12.140625" style="3" bestFit="1" customWidth="1"/>
    <col min="3305" max="3305" width="12" style="3" bestFit="1" customWidth="1"/>
    <col min="3306" max="3306" width="12.140625" style="3" bestFit="1" customWidth="1"/>
    <col min="3307" max="3307" width="12" style="3" bestFit="1" customWidth="1"/>
    <col min="3308" max="3308" width="11.5703125" style="3" bestFit="1" customWidth="1"/>
    <col min="3309" max="3552" width="9.140625" style="3"/>
    <col min="3553" max="3553" width="8.5703125" style="3" bestFit="1" customWidth="1"/>
    <col min="3554" max="3554" width="3.7109375" style="3" bestFit="1" customWidth="1"/>
    <col min="3555" max="3555" width="13.42578125" style="3" bestFit="1" customWidth="1"/>
    <col min="3556" max="3556" width="13.28515625" style="3" bestFit="1" customWidth="1"/>
    <col min="3557" max="3557" width="13.42578125" style="3" bestFit="1" customWidth="1"/>
    <col min="3558" max="3558" width="13.28515625" style="3" bestFit="1" customWidth="1"/>
    <col min="3559" max="3559" width="11.42578125" style="3" bestFit="1" customWidth="1"/>
    <col min="3560" max="3560" width="12.140625" style="3" bestFit="1" customWidth="1"/>
    <col min="3561" max="3561" width="12" style="3" bestFit="1" customWidth="1"/>
    <col min="3562" max="3562" width="12.140625" style="3" bestFit="1" customWidth="1"/>
    <col min="3563" max="3563" width="12" style="3" bestFit="1" customWidth="1"/>
    <col min="3564" max="3564" width="11.5703125" style="3" bestFit="1" customWidth="1"/>
    <col min="3565" max="3808" width="9.140625" style="3"/>
    <col min="3809" max="3809" width="8.5703125" style="3" bestFit="1" customWidth="1"/>
    <col min="3810" max="3810" width="3.7109375" style="3" bestFit="1" customWidth="1"/>
    <col min="3811" max="3811" width="13.42578125" style="3" bestFit="1" customWidth="1"/>
    <col min="3812" max="3812" width="13.28515625" style="3" bestFit="1" customWidth="1"/>
    <col min="3813" max="3813" width="13.42578125" style="3" bestFit="1" customWidth="1"/>
    <col min="3814" max="3814" width="13.28515625" style="3" bestFit="1" customWidth="1"/>
    <col min="3815" max="3815" width="11.42578125" style="3" bestFit="1" customWidth="1"/>
    <col min="3816" max="3816" width="12.140625" style="3" bestFit="1" customWidth="1"/>
    <col min="3817" max="3817" width="12" style="3" bestFit="1" customWidth="1"/>
    <col min="3818" max="3818" width="12.140625" style="3" bestFit="1" customWidth="1"/>
    <col min="3819" max="3819" width="12" style="3" bestFit="1" customWidth="1"/>
    <col min="3820" max="3820" width="11.5703125" style="3" bestFit="1" customWidth="1"/>
    <col min="3821" max="4064" width="9.140625" style="3"/>
    <col min="4065" max="4065" width="8.5703125" style="3" bestFit="1" customWidth="1"/>
    <col min="4066" max="4066" width="3.7109375" style="3" bestFit="1" customWidth="1"/>
    <col min="4067" max="4067" width="13.42578125" style="3" bestFit="1" customWidth="1"/>
    <col min="4068" max="4068" width="13.28515625" style="3" bestFit="1" customWidth="1"/>
    <col min="4069" max="4069" width="13.42578125" style="3" bestFit="1" customWidth="1"/>
    <col min="4070" max="4070" width="13.28515625" style="3" bestFit="1" customWidth="1"/>
    <col min="4071" max="4071" width="11.42578125" style="3" bestFit="1" customWidth="1"/>
    <col min="4072" max="4072" width="12.140625" style="3" bestFit="1" customWidth="1"/>
    <col min="4073" max="4073" width="12" style="3" bestFit="1" customWidth="1"/>
    <col min="4074" max="4074" width="12.140625" style="3" bestFit="1" customWidth="1"/>
    <col min="4075" max="4075" width="12" style="3" bestFit="1" customWidth="1"/>
    <col min="4076" max="4076" width="11.5703125" style="3" bestFit="1" customWidth="1"/>
    <col min="4077" max="4320" width="9.140625" style="3"/>
    <col min="4321" max="4321" width="8.5703125" style="3" bestFit="1" customWidth="1"/>
    <col min="4322" max="4322" width="3.7109375" style="3" bestFit="1" customWidth="1"/>
    <col min="4323" max="4323" width="13.42578125" style="3" bestFit="1" customWidth="1"/>
    <col min="4324" max="4324" width="13.28515625" style="3" bestFit="1" customWidth="1"/>
    <col min="4325" max="4325" width="13.42578125" style="3" bestFit="1" customWidth="1"/>
    <col min="4326" max="4326" width="13.28515625" style="3" bestFit="1" customWidth="1"/>
    <col min="4327" max="4327" width="11.42578125" style="3" bestFit="1" customWidth="1"/>
    <col min="4328" max="4328" width="12.140625" style="3" bestFit="1" customWidth="1"/>
    <col min="4329" max="4329" width="12" style="3" bestFit="1" customWidth="1"/>
    <col min="4330" max="4330" width="12.140625" style="3" bestFit="1" customWidth="1"/>
    <col min="4331" max="4331" width="12" style="3" bestFit="1" customWidth="1"/>
    <col min="4332" max="4332" width="11.5703125" style="3" bestFit="1" customWidth="1"/>
    <col min="4333" max="4576" width="9.140625" style="3"/>
    <col min="4577" max="4577" width="8.5703125" style="3" bestFit="1" customWidth="1"/>
    <col min="4578" max="4578" width="3.7109375" style="3" bestFit="1" customWidth="1"/>
    <col min="4579" max="4579" width="13.42578125" style="3" bestFit="1" customWidth="1"/>
    <col min="4580" max="4580" width="13.28515625" style="3" bestFit="1" customWidth="1"/>
    <col min="4581" max="4581" width="13.42578125" style="3" bestFit="1" customWidth="1"/>
    <col min="4582" max="4582" width="13.28515625" style="3" bestFit="1" customWidth="1"/>
    <col min="4583" max="4583" width="11.42578125" style="3" bestFit="1" customWidth="1"/>
    <col min="4584" max="4584" width="12.140625" style="3" bestFit="1" customWidth="1"/>
    <col min="4585" max="4585" width="12" style="3" bestFit="1" customWidth="1"/>
    <col min="4586" max="4586" width="12.140625" style="3" bestFit="1" customWidth="1"/>
    <col min="4587" max="4587" width="12" style="3" bestFit="1" customWidth="1"/>
    <col min="4588" max="4588" width="11.5703125" style="3" bestFit="1" customWidth="1"/>
    <col min="4589" max="4832" width="9.140625" style="3"/>
    <col min="4833" max="4833" width="8.5703125" style="3" bestFit="1" customWidth="1"/>
    <col min="4834" max="4834" width="3.7109375" style="3" bestFit="1" customWidth="1"/>
    <col min="4835" max="4835" width="13.42578125" style="3" bestFit="1" customWidth="1"/>
    <col min="4836" max="4836" width="13.28515625" style="3" bestFit="1" customWidth="1"/>
    <col min="4837" max="4837" width="13.42578125" style="3" bestFit="1" customWidth="1"/>
    <col min="4838" max="4838" width="13.28515625" style="3" bestFit="1" customWidth="1"/>
    <col min="4839" max="4839" width="11.42578125" style="3" bestFit="1" customWidth="1"/>
    <col min="4840" max="4840" width="12.140625" style="3" bestFit="1" customWidth="1"/>
    <col min="4841" max="4841" width="12" style="3" bestFit="1" customWidth="1"/>
    <col min="4842" max="4842" width="12.140625" style="3" bestFit="1" customWidth="1"/>
    <col min="4843" max="4843" width="12" style="3" bestFit="1" customWidth="1"/>
    <col min="4844" max="4844" width="11.5703125" style="3" bestFit="1" customWidth="1"/>
    <col min="4845" max="5088" width="9.140625" style="3"/>
    <col min="5089" max="5089" width="8.5703125" style="3" bestFit="1" customWidth="1"/>
    <col min="5090" max="5090" width="3.7109375" style="3" bestFit="1" customWidth="1"/>
    <col min="5091" max="5091" width="13.42578125" style="3" bestFit="1" customWidth="1"/>
    <col min="5092" max="5092" width="13.28515625" style="3" bestFit="1" customWidth="1"/>
    <col min="5093" max="5093" width="13.42578125" style="3" bestFit="1" customWidth="1"/>
    <col min="5094" max="5094" width="13.28515625" style="3" bestFit="1" customWidth="1"/>
    <col min="5095" max="5095" width="11.42578125" style="3" bestFit="1" customWidth="1"/>
    <col min="5096" max="5096" width="12.140625" style="3" bestFit="1" customWidth="1"/>
    <col min="5097" max="5097" width="12" style="3" bestFit="1" customWidth="1"/>
    <col min="5098" max="5098" width="12.140625" style="3" bestFit="1" customWidth="1"/>
    <col min="5099" max="5099" width="12" style="3" bestFit="1" customWidth="1"/>
    <col min="5100" max="5100" width="11.5703125" style="3" bestFit="1" customWidth="1"/>
    <col min="5101" max="5344" width="9.140625" style="3"/>
    <col min="5345" max="5345" width="8.5703125" style="3" bestFit="1" customWidth="1"/>
    <col min="5346" max="5346" width="3.7109375" style="3" bestFit="1" customWidth="1"/>
    <col min="5347" max="5347" width="13.42578125" style="3" bestFit="1" customWidth="1"/>
    <col min="5348" max="5348" width="13.28515625" style="3" bestFit="1" customWidth="1"/>
    <col min="5349" max="5349" width="13.42578125" style="3" bestFit="1" customWidth="1"/>
    <col min="5350" max="5350" width="13.28515625" style="3" bestFit="1" customWidth="1"/>
    <col min="5351" max="5351" width="11.42578125" style="3" bestFit="1" customWidth="1"/>
    <col min="5352" max="5352" width="12.140625" style="3" bestFit="1" customWidth="1"/>
    <col min="5353" max="5353" width="12" style="3" bestFit="1" customWidth="1"/>
    <col min="5354" max="5354" width="12.140625" style="3" bestFit="1" customWidth="1"/>
    <col min="5355" max="5355" width="12" style="3" bestFit="1" customWidth="1"/>
    <col min="5356" max="5356" width="11.5703125" style="3" bestFit="1" customWidth="1"/>
    <col min="5357" max="5600" width="9.140625" style="3"/>
    <col min="5601" max="5601" width="8.5703125" style="3" bestFit="1" customWidth="1"/>
    <col min="5602" max="5602" width="3.7109375" style="3" bestFit="1" customWidth="1"/>
    <col min="5603" max="5603" width="13.42578125" style="3" bestFit="1" customWidth="1"/>
    <col min="5604" max="5604" width="13.28515625" style="3" bestFit="1" customWidth="1"/>
    <col min="5605" max="5605" width="13.42578125" style="3" bestFit="1" customWidth="1"/>
    <col min="5606" max="5606" width="13.28515625" style="3" bestFit="1" customWidth="1"/>
    <col min="5607" max="5607" width="11.42578125" style="3" bestFit="1" customWidth="1"/>
    <col min="5608" max="5608" width="12.140625" style="3" bestFit="1" customWidth="1"/>
    <col min="5609" max="5609" width="12" style="3" bestFit="1" customWidth="1"/>
    <col min="5610" max="5610" width="12.140625" style="3" bestFit="1" customWidth="1"/>
    <col min="5611" max="5611" width="12" style="3" bestFit="1" customWidth="1"/>
    <col min="5612" max="5612" width="11.5703125" style="3" bestFit="1" customWidth="1"/>
    <col min="5613" max="5856" width="9.140625" style="3"/>
    <col min="5857" max="5857" width="8.5703125" style="3" bestFit="1" customWidth="1"/>
    <col min="5858" max="5858" width="3.7109375" style="3" bestFit="1" customWidth="1"/>
    <col min="5859" max="5859" width="13.42578125" style="3" bestFit="1" customWidth="1"/>
    <col min="5860" max="5860" width="13.28515625" style="3" bestFit="1" customWidth="1"/>
    <col min="5861" max="5861" width="13.42578125" style="3" bestFit="1" customWidth="1"/>
    <col min="5862" max="5862" width="13.28515625" style="3" bestFit="1" customWidth="1"/>
    <col min="5863" max="5863" width="11.42578125" style="3" bestFit="1" customWidth="1"/>
    <col min="5864" max="5864" width="12.140625" style="3" bestFit="1" customWidth="1"/>
    <col min="5865" max="5865" width="12" style="3" bestFit="1" customWidth="1"/>
    <col min="5866" max="5866" width="12.140625" style="3" bestFit="1" customWidth="1"/>
    <col min="5867" max="5867" width="12" style="3" bestFit="1" customWidth="1"/>
    <col min="5868" max="5868" width="11.5703125" style="3" bestFit="1" customWidth="1"/>
    <col min="5869" max="6112" width="9.140625" style="3"/>
    <col min="6113" max="6113" width="8.5703125" style="3" bestFit="1" customWidth="1"/>
    <col min="6114" max="6114" width="3.7109375" style="3" bestFit="1" customWidth="1"/>
    <col min="6115" max="6115" width="13.42578125" style="3" bestFit="1" customWidth="1"/>
    <col min="6116" max="6116" width="13.28515625" style="3" bestFit="1" customWidth="1"/>
    <col min="6117" max="6117" width="13.42578125" style="3" bestFit="1" customWidth="1"/>
    <col min="6118" max="6118" width="13.28515625" style="3" bestFit="1" customWidth="1"/>
    <col min="6119" max="6119" width="11.42578125" style="3" bestFit="1" customWidth="1"/>
    <col min="6120" max="6120" width="12.140625" style="3" bestFit="1" customWidth="1"/>
    <col min="6121" max="6121" width="12" style="3" bestFit="1" customWidth="1"/>
    <col min="6122" max="6122" width="12.140625" style="3" bestFit="1" customWidth="1"/>
    <col min="6123" max="6123" width="12" style="3" bestFit="1" customWidth="1"/>
    <col min="6124" max="6124" width="11.5703125" style="3" bestFit="1" customWidth="1"/>
    <col min="6125" max="6368" width="9.140625" style="3"/>
    <col min="6369" max="6369" width="8.5703125" style="3" bestFit="1" customWidth="1"/>
    <col min="6370" max="6370" width="3.7109375" style="3" bestFit="1" customWidth="1"/>
    <col min="6371" max="6371" width="13.42578125" style="3" bestFit="1" customWidth="1"/>
    <col min="6372" max="6372" width="13.28515625" style="3" bestFit="1" customWidth="1"/>
    <col min="6373" max="6373" width="13.42578125" style="3" bestFit="1" customWidth="1"/>
    <col min="6374" max="6374" width="13.28515625" style="3" bestFit="1" customWidth="1"/>
    <col min="6375" max="6375" width="11.42578125" style="3" bestFit="1" customWidth="1"/>
    <col min="6376" max="6376" width="12.140625" style="3" bestFit="1" customWidth="1"/>
    <col min="6377" max="6377" width="12" style="3" bestFit="1" customWidth="1"/>
    <col min="6378" max="6378" width="12.140625" style="3" bestFit="1" customWidth="1"/>
    <col min="6379" max="6379" width="12" style="3" bestFit="1" customWidth="1"/>
    <col min="6380" max="6380" width="11.5703125" style="3" bestFit="1" customWidth="1"/>
    <col min="6381" max="6624" width="9.140625" style="3"/>
    <col min="6625" max="6625" width="8.5703125" style="3" bestFit="1" customWidth="1"/>
    <col min="6626" max="6626" width="3.7109375" style="3" bestFit="1" customWidth="1"/>
    <col min="6627" max="6627" width="13.42578125" style="3" bestFit="1" customWidth="1"/>
    <col min="6628" max="6628" width="13.28515625" style="3" bestFit="1" customWidth="1"/>
    <col min="6629" max="6629" width="13.42578125" style="3" bestFit="1" customWidth="1"/>
    <col min="6630" max="6630" width="13.28515625" style="3" bestFit="1" customWidth="1"/>
    <col min="6631" max="6631" width="11.42578125" style="3" bestFit="1" customWidth="1"/>
    <col min="6632" max="6632" width="12.140625" style="3" bestFit="1" customWidth="1"/>
    <col min="6633" max="6633" width="12" style="3" bestFit="1" customWidth="1"/>
    <col min="6634" max="6634" width="12.140625" style="3" bestFit="1" customWidth="1"/>
    <col min="6635" max="6635" width="12" style="3" bestFit="1" customWidth="1"/>
    <col min="6636" max="6636" width="11.5703125" style="3" bestFit="1" customWidth="1"/>
    <col min="6637" max="6880" width="9.140625" style="3"/>
    <col min="6881" max="6881" width="8.5703125" style="3" bestFit="1" customWidth="1"/>
    <col min="6882" max="6882" width="3.7109375" style="3" bestFit="1" customWidth="1"/>
    <col min="6883" max="6883" width="13.42578125" style="3" bestFit="1" customWidth="1"/>
    <col min="6884" max="6884" width="13.28515625" style="3" bestFit="1" customWidth="1"/>
    <col min="6885" max="6885" width="13.42578125" style="3" bestFit="1" customWidth="1"/>
    <col min="6886" max="6886" width="13.28515625" style="3" bestFit="1" customWidth="1"/>
    <col min="6887" max="6887" width="11.42578125" style="3" bestFit="1" customWidth="1"/>
    <col min="6888" max="6888" width="12.140625" style="3" bestFit="1" customWidth="1"/>
    <col min="6889" max="6889" width="12" style="3" bestFit="1" customWidth="1"/>
    <col min="6890" max="6890" width="12.140625" style="3" bestFit="1" customWidth="1"/>
    <col min="6891" max="6891" width="12" style="3" bestFit="1" customWidth="1"/>
    <col min="6892" max="6892" width="11.5703125" style="3" bestFit="1" customWidth="1"/>
    <col min="6893" max="7136" width="9.140625" style="3"/>
    <col min="7137" max="7137" width="8.5703125" style="3" bestFit="1" customWidth="1"/>
    <col min="7138" max="7138" width="3.7109375" style="3" bestFit="1" customWidth="1"/>
    <col min="7139" max="7139" width="13.42578125" style="3" bestFit="1" customWidth="1"/>
    <col min="7140" max="7140" width="13.28515625" style="3" bestFit="1" customWidth="1"/>
    <col min="7141" max="7141" width="13.42578125" style="3" bestFit="1" customWidth="1"/>
    <col min="7142" max="7142" width="13.28515625" style="3" bestFit="1" customWidth="1"/>
    <col min="7143" max="7143" width="11.42578125" style="3" bestFit="1" customWidth="1"/>
    <col min="7144" max="7144" width="12.140625" style="3" bestFit="1" customWidth="1"/>
    <col min="7145" max="7145" width="12" style="3" bestFit="1" customWidth="1"/>
    <col min="7146" max="7146" width="12.140625" style="3" bestFit="1" customWidth="1"/>
    <col min="7147" max="7147" width="12" style="3" bestFit="1" customWidth="1"/>
    <col min="7148" max="7148" width="11.5703125" style="3" bestFit="1" customWidth="1"/>
    <col min="7149" max="7392" width="9.140625" style="3"/>
    <col min="7393" max="7393" width="8.5703125" style="3" bestFit="1" customWidth="1"/>
    <col min="7394" max="7394" width="3.7109375" style="3" bestFit="1" customWidth="1"/>
    <col min="7395" max="7395" width="13.42578125" style="3" bestFit="1" customWidth="1"/>
    <col min="7396" max="7396" width="13.28515625" style="3" bestFit="1" customWidth="1"/>
    <col min="7397" max="7397" width="13.42578125" style="3" bestFit="1" customWidth="1"/>
    <col min="7398" max="7398" width="13.28515625" style="3" bestFit="1" customWidth="1"/>
    <col min="7399" max="7399" width="11.42578125" style="3" bestFit="1" customWidth="1"/>
    <col min="7400" max="7400" width="12.140625" style="3" bestFit="1" customWidth="1"/>
    <col min="7401" max="7401" width="12" style="3" bestFit="1" customWidth="1"/>
    <col min="7402" max="7402" width="12.140625" style="3" bestFit="1" customWidth="1"/>
    <col min="7403" max="7403" width="12" style="3" bestFit="1" customWidth="1"/>
    <col min="7404" max="7404" width="11.5703125" style="3" bestFit="1" customWidth="1"/>
    <col min="7405" max="7648" width="9.140625" style="3"/>
    <col min="7649" max="7649" width="8.5703125" style="3" bestFit="1" customWidth="1"/>
    <col min="7650" max="7650" width="3.7109375" style="3" bestFit="1" customWidth="1"/>
    <col min="7651" max="7651" width="13.42578125" style="3" bestFit="1" customWidth="1"/>
    <col min="7652" max="7652" width="13.28515625" style="3" bestFit="1" customWidth="1"/>
    <col min="7653" max="7653" width="13.42578125" style="3" bestFit="1" customWidth="1"/>
    <col min="7654" max="7654" width="13.28515625" style="3" bestFit="1" customWidth="1"/>
    <col min="7655" max="7655" width="11.42578125" style="3" bestFit="1" customWidth="1"/>
    <col min="7656" max="7656" width="12.140625" style="3" bestFit="1" customWidth="1"/>
    <col min="7657" max="7657" width="12" style="3" bestFit="1" customWidth="1"/>
    <col min="7658" max="7658" width="12.140625" style="3" bestFit="1" customWidth="1"/>
    <col min="7659" max="7659" width="12" style="3" bestFit="1" customWidth="1"/>
    <col min="7660" max="7660" width="11.5703125" style="3" bestFit="1" customWidth="1"/>
    <col min="7661" max="7904" width="9.140625" style="3"/>
    <col min="7905" max="7905" width="8.5703125" style="3" bestFit="1" customWidth="1"/>
    <col min="7906" max="7906" width="3.7109375" style="3" bestFit="1" customWidth="1"/>
    <col min="7907" max="7907" width="13.42578125" style="3" bestFit="1" customWidth="1"/>
    <col min="7908" max="7908" width="13.28515625" style="3" bestFit="1" customWidth="1"/>
    <col min="7909" max="7909" width="13.42578125" style="3" bestFit="1" customWidth="1"/>
    <col min="7910" max="7910" width="13.28515625" style="3" bestFit="1" customWidth="1"/>
    <col min="7911" max="7911" width="11.42578125" style="3" bestFit="1" customWidth="1"/>
    <col min="7912" max="7912" width="12.140625" style="3" bestFit="1" customWidth="1"/>
    <col min="7913" max="7913" width="12" style="3" bestFit="1" customWidth="1"/>
    <col min="7914" max="7914" width="12.140625" style="3" bestFit="1" customWidth="1"/>
    <col min="7915" max="7915" width="12" style="3" bestFit="1" customWidth="1"/>
    <col min="7916" max="7916" width="11.5703125" style="3" bestFit="1" customWidth="1"/>
    <col min="7917" max="8160" width="9.140625" style="3"/>
    <col min="8161" max="8161" width="8.5703125" style="3" bestFit="1" customWidth="1"/>
    <col min="8162" max="8162" width="3.7109375" style="3" bestFit="1" customWidth="1"/>
    <col min="8163" max="8163" width="13.42578125" style="3" bestFit="1" customWidth="1"/>
    <col min="8164" max="8164" width="13.28515625" style="3" bestFit="1" customWidth="1"/>
    <col min="8165" max="8165" width="13.42578125" style="3" bestFit="1" customWidth="1"/>
    <col min="8166" max="8166" width="13.28515625" style="3" bestFit="1" customWidth="1"/>
    <col min="8167" max="8167" width="11.42578125" style="3" bestFit="1" customWidth="1"/>
    <col min="8168" max="8168" width="12.140625" style="3" bestFit="1" customWidth="1"/>
    <col min="8169" max="8169" width="12" style="3" bestFit="1" customWidth="1"/>
    <col min="8170" max="8170" width="12.140625" style="3" bestFit="1" customWidth="1"/>
    <col min="8171" max="8171" width="12" style="3" bestFit="1" customWidth="1"/>
    <col min="8172" max="8172" width="11.5703125" style="3" bestFit="1" customWidth="1"/>
    <col min="8173" max="8416" width="9.140625" style="3"/>
    <col min="8417" max="8417" width="8.5703125" style="3" bestFit="1" customWidth="1"/>
    <col min="8418" max="8418" width="3.7109375" style="3" bestFit="1" customWidth="1"/>
    <col min="8419" max="8419" width="13.42578125" style="3" bestFit="1" customWidth="1"/>
    <col min="8420" max="8420" width="13.28515625" style="3" bestFit="1" customWidth="1"/>
    <col min="8421" max="8421" width="13.42578125" style="3" bestFit="1" customWidth="1"/>
    <col min="8422" max="8422" width="13.28515625" style="3" bestFit="1" customWidth="1"/>
    <col min="8423" max="8423" width="11.42578125" style="3" bestFit="1" customWidth="1"/>
    <col min="8424" max="8424" width="12.140625" style="3" bestFit="1" customWidth="1"/>
    <col min="8425" max="8425" width="12" style="3" bestFit="1" customWidth="1"/>
    <col min="8426" max="8426" width="12.140625" style="3" bestFit="1" customWidth="1"/>
    <col min="8427" max="8427" width="12" style="3" bestFit="1" customWidth="1"/>
    <col min="8428" max="8428" width="11.5703125" style="3" bestFit="1" customWidth="1"/>
    <col min="8429" max="8672" width="9.140625" style="3"/>
    <col min="8673" max="8673" width="8.5703125" style="3" bestFit="1" customWidth="1"/>
    <col min="8674" max="8674" width="3.7109375" style="3" bestFit="1" customWidth="1"/>
    <col min="8675" max="8675" width="13.42578125" style="3" bestFit="1" customWidth="1"/>
    <col min="8676" max="8676" width="13.28515625" style="3" bestFit="1" customWidth="1"/>
    <col min="8677" max="8677" width="13.42578125" style="3" bestFit="1" customWidth="1"/>
    <col min="8678" max="8678" width="13.28515625" style="3" bestFit="1" customWidth="1"/>
    <col min="8679" max="8679" width="11.42578125" style="3" bestFit="1" customWidth="1"/>
    <col min="8680" max="8680" width="12.140625" style="3" bestFit="1" customWidth="1"/>
    <col min="8681" max="8681" width="12" style="3" bestFit="1" customWidth="1"/>
    <col min="8682" max="8682" width="12.140625" style="3" bestFit="1" customWidth="1"/>
    <col min="8683" max="8683" width="12" style="3" bestFit="1" customWidth="1"/>
    <col min="8684" max="8684" width="11.5703125" style="3" bestFit="1" customWidth="1"/>
    <col min="8685" max="8928" width="9.140625" style="3"/>
    <col min="8929" max="8929" width="8.5703125" style="3" bestFit="1" customWidth="1"/>
    <col min="8930" max="8930" width="3.7109375" style="3" bestFit="1" customWidth="1"/>
    <col min="8931" max="8931" width="13.42578125" style="3" bestFit="1" customWidth="1"/>
    <col min="8932" max="8932" width="13.28515625" style="3" bestFit="1" customWidth="1"/>
    <col min="8933" max="8933" width="13.42578125" style="3" bestFit="1" customWidth="1"/>
    <col min="8934" max="8934" width="13.28515625" style="3" bestFit="1" customWidth="1"/>
    <col min="8935" max="8935" width="11.42578125" style="3" bestFit="1" customWidth="1"/>
    <col min="8936" max="8936" width="12.140625" style="3" bestFit="1" customWidth="1"/>
    <col min="8937" max="8937" width="12" style="3" bestFit="1" customWidth="1"/>
    <col min="8938" max="8938" width="12.140625" style="3" bestFit="1" customWidth="1"/>
    <col min="8939" max="8939" width="12" style="3" bestFit="1" customWidth="1"/>
    <col min="8940" max="8940" width="11.5703125" style="3" bestFit="1" customWidth="1"/>
    <col min="8941" max="9184" width="9.140625" style="3"/>
    <col min="9185" max="9185" width="8.5703125" style="3" bestFit="1" customWidth="1"/>
    <col min="9186" max="9186" width="3.7109375" style="3" bestFit="1" customWidth="1"/>
    <col min="9187" max="9187" width="13.42578125" style="3" bestFit="1" customWidth="1"/>
    <col min="9188" max="9188" width="13.28515625" style="3" bestFit="1" customWidth="1"/>
    <col min="9189" max="9189" width="13.42578125" style="3" bestFit="1" customWidth="1"/>
    <col min="9190" max="9190" width="13.28515625" style="3" bestFit="1" customWidth="1"/>
    <col min="9191" max="9191" width="11.42578125" style="3" bestFit="1" customWidth="1"/>
    <col min="9192" max="9192" width="12.140625" style="3" bestFit="1" customWidth="1"/>
    <col min="9193" max="9193" width="12" style="3" bestFit="1" customWidth="1"/>
    <col min="9194" max="9194" width="12.140625" style="3" bestFit="1" customWidth="1"/>
    <col min="9195" max="9195" width="12" style="3" bestFit="1" customWidth="1"/>
    <col min="9196" max="9196" width="11.5703125" style="3" bestFit="1" customWidth="1"/>
    <col min="9197" max="9440" width="9.140625" style="3"/>
    <col min="9441" max="9441" width="8.5703125" style="3" bestFit="1" customWidth="1"/>
    <col min="9442" max="9442" width="3.7109375" style="3" bestFit="1" customWidth="1"/>
    <col min="9443" max="9443" width="13.42578125" style="3" bestFit="1" customWidth="1"/>
    <col min="9444" max="9444" width="13.28515625" style="3" bestFit="1" customWidth="1"/>
    <col min="9445" max="9445" width="13.42578125" style="3" bestFit="1" customWidth="1"/>
    <col min="9446" max="9446" width="13.28515625" style="3" bestFit="1" customWidth="1"/>
    <col min="9447" max="9447" width="11.42578125" style="3" bestFit="1" customWidth="1"/>
    <col min="9448" max="9448" width="12.140625" style="3" bestFit="1" customWidth="1"/>
    <col min="9449" max="9449" width="12" style="3" bestFit="1" customWidth="1"/>
    <col min="9450" max="9450" width="12.140625" style="3" bestFit="1" customWidth="1"/>
    <col min="9451" max="9451" width="12" style="3" bestFit="1" customWidth="1"/>
    <col min="9452" max="9452" width="11.5703125" style="3" bestFit="1" customWidth="1"/>
    <col min="9453" max="9696" width="9.140625" style="3"/>
    <col min="9697" max="9697" width="8.5703125" style="3" bestFit="1" customWidth="1"/>
    <col min="9698" max="9698" width="3.7109375" style="3" bestFit="1" customWidth="1"/>
    <col min="9699" max="9699" width="13.42578125" style="3" bestFit="1" customWidth="1"/>
    <col min="9700" max="9700" width="13.28515625" style="3" bestFit="1" customWidth="1"/>
    <col min="9701" max="9701" width="13.42578125" style="3" bestFit="1" customWidth="1"/>
    <col min="9702" max="9702" width="13.28515625" style="3" bestFit="1" customWidth="1"/>
    <col min="9703" max="9703" width="11.42578125" style="3" bestFit="1" customWidth="1"/>
    <col min="9704" max="9704" width="12.140625" style="3" bestFit="1" customWidth="1"/>
    <col min="9705" max="9705" width="12" style="3" bestFit="1" customWidth="1"/>
    <col min="9706" max="9706" width="12.140625" style="3" bestFit="1" customWidth="1"/>
    <col min="9707" max="9707" width="12" style="3" bestFit="1" customWidth="1"/>
    <col min="9708" max="9708" width="11.5703125" style="3" bestFit="1" customWidth="1"/>
    <col min="9709" max="9952" width="9.140625" style="3"/>
    <col min="9953" max="9953" width="8.5703125" style="3" bestFit="1" customWidth="1"/>
    <col min="9954" max="9954" width="3.7109375" style="3" bestFit="1" customWidth="1"/>
    <col min="9955" max="9955" width="13.42578125" style="3" bestFit="1" customWidth="1"/>
    <col min="9956" max="9956" width="13.28515625" style="3" bestFit="1" customWidth="1"/>
    <col min="9957" max="9957" width="13.42578125" style="3" bestFit="1" customWidth="1"/>
    <col min="9958" max="9958" width="13.28515625" style="3" bestFit="1" customWidth="1"/>
    <col min="9959" max="9959" width="11.42578125" style="3" bestFit="1" customWidth="1"/>
    <col min="9960" max="9960" width="12.140625" style="3" bestFit="1" customWidth="1"/>
    <col min="9961" max="9961" width="12" style="3" bestFit="1" customWidth="1"/>
    <col min="9962" max="9962" width="12.140625" style="3" bestFit="1" customWidth="1"/>
    <col min="9963" max="9963" width="12" style="3" bestFit="1" customWidth="1"/>
    <col min="9964" max="9964" width="11.5703125" style="3" bestFit="1" customWidth="1"/>
    <col min="9965" max="10208" width="9.140625" style="3"/>
    <col min="10209" max="10209" width="8.5703125" style="3" bestFit="1" customWidth="1"/>
    <col min="10210" max="10210" width="3.7109375" style="3" bestFit="1" customWidth="1"/>
    <col min="10211" max="10211" width="13.42578125" style="3" bestFit="1" customWidth="1"/>
    <col min="10212" max="10212" width="13.28515625" style="3" bestFit="1" customWidth="1"/>
    <col min="10213" max="10213" width="13.42578125" style="3" bestFit="1" customWidth="1"/>
    <col min="10214" max="10214" width="13.28515625" style="3" bestFit="1" customWidth="1"/>
    <col min="10215" max="10215" width="11.42578125" style="3" bestFit="1" customWidth="1"/>
    <col min="10216" max="10216" width="12.140625" style="3" bestFit="1" customWidth="1"/>
    <col min="10217" max="10217" width="12" style="3" bestFit="1" customWidth="1"/>
    <col min="10218" max="10218" width="12.140625" style="3" bestFit="1" customWidth="1"/>
    <col min="10219" max="10219" width="12" style="3" bestFit="1" customWidth="1"/>
    <col min="10220" max="10220" width="11.5703125" style="3" bestFit="1" customWidth="1"/>
    <col min="10221" max="10464" width="9.140625" style="3"/>
    <col min="10465" max="10465" width="8.5703125" style="3" bestFit="1" customWidth="1"/>
    <col min="10466" max="10466" width="3.7109375" style="3" bestFit="1" customWidth="1"/>
    <col min="10467" max="10467" width="13.42578125" style="3" bestFit="1" customWidth="1"/>
    <col min="10468" max="10468" width="13.28515625" style="3" bestFit="1" customWidth="1"/>
    <col min="10469" max="10469" width="13.42578125" style="3" bestFit="1" customWidth="1"/>
    <col min="10470" max="10470" width="13.28515625" style="3" bestFit="1" customWidth="1"/>
    <col min="10471" max="10471" width="11.42578125" style="3" bestFit="1" customWidth="1"/>
    <col min="10472" max="10472" width="12.140625" style="3" bestFit="1" customWidth="1"/>
    <col min="10473" max="10473" width="12" style="3" bestFit="1" customWidth="1"/>
    <col min="10474" max="10474" width="12.140625" style="3" bestFit="1" customWidth="1"/>
    <col min="10475" max="10475" width="12" style="3" bestFit="1" customWidth="1"/>
    <col min="10476" max="10476" width="11.5703125" style="3" bestFit="1" customWidth="1"/>
    <col min="10477" max="10720" width="9.140625" style="3"/>
    <col min="10721" max="10721" width="8.5703125" style="3" bestFit="1" customWidth="1"/>
    <col min="10722" max="10722" width="3.7109375" style="3" bestFit="1" customWidth="1"/>
    <col min="10723" max="10723" width="13.42578125" style="3" bestFit="1" customWidth="1"/>
    <col min="10724" max="10724" width="13.28515625" style="3" bestFit="1" customWidth="1"/>
    <col min="10725" max="10725" width="13.42578125" style="3" bestFit="1" customWidth="1"/>
    <col min="10726" max="10726" width="13.28515625" style="3" bestFit="1" customWidth="1"/>
    <col min="10727" max="10727" width="11.42578125" style="3" bestFit="1" customWidth="1"/>
    <col min="10728" max="10728" width="12.140625" style="3" bestFit="1" customWidth="1"/>
    <col min="10729" max="10729" width="12" style="3" bestFit="1" customWidth="1"/>
    <col min="10730" max="10730" width="12.140625" style="3" bestFit="1" customWidth="1"/>
    <col min="10731" max="10731" width="12" style="3" bestFit="1" customWidth="1"/>
    <col min="10732" max="10732" width="11.5703125" style="3" bestFit="1" customWidth="1"/>
    <col min="10733" max="10976" width="9.140625" style="3"/>
    <col min="10977" max="10977" width="8.5703125" style="3" bestFit="1" customWidth="1"/>
    <col min="10978" max="10978" width="3.7109375" style="3" bestFit="1" customWidth="1"/>
    <col min="10979" max="10979" width="13.42578125" style="3" bestFit="1" customWidth="1"/>
    <col min="10980" max="10980" width="13.28515625" style="3" bestFit="1" customWidth="1"/>
    <col min="10981" max="10981" width="13.42578125" style="3" bestFit="1" customWidth="1"/>
    <col min="10982" max="10982" width="13.28515625" style="3" bestFit="1" customWidth="1"/>
    <col min="10983" max="10983" width="11.42578125" style="3" bestFit="1" customWidth="1"/>
    <col min="10984" max="10984" width="12.140625" style="3" bestFit="1" customWidth="1"/>
    <col min="10985" max="10985" width="12" style="3" bestFit="1" customWidth="1"/>
    <col min="10986" max="10986" width="12.140625" style="3" bestFit="1" customWidth="1"/>
    <col min="10987" max="10987" width="12" style="3" bestFit="1" customWidth="1"/>
    <col min="10988" max="10988" width="11.5703125" style="3" bestFit="1" customWidth="1"/>
    <col min="10989" max="11232" width="9.140625" style="3"/>
    <col min="11233" max="11233" width="8.5703125" style="3" bestFit="1" customWidth="1"/>
    <col min="11234" max="11234" width="3.7109375" style="3" bestFit="1" customWidth="1"/>
    <col min="11235" max="11235" width="13.42578125" style="3" bestFit="1" customWidth="1"/>
    <col min="11236" max="11236" width="13.28515625" style="3" bestFit="1" customWidth="1"/>
    <col min="11237" max="11237" width="13.42578125" style="3" bestFit="1" customWidth="1"/>
    <col min="11238" max="11238" width="13.28515625" style="3" bestFit="1" customWidth="1"/>
    <col min="11239" max="11239" width="11.42578125" style="3" bestFit="1" customWidth="1"/>
    <col min="11240" max="11240" width="12.140625" style="3" bestFit="1" customWidth="1"/>
    <col min="11241" max="11241" width="12" style="3" bestFit="1" customWidth="1"/>
    <col min="11242" max="11242" width="12.140625" style="3" bestFit="1" customWidth="1"/>
    <col min="11243" max="11243" width="12" style="3" bestFit="1" customWidth="1"/>
    <col min="11244" max="11244" width="11.5703125" style="3" bestFit="1" customWidth="1"/>
    <col min="11245" max="11488" width="9.140625" style="3"/>
    <col min="11489" max="11489" width="8.5703125" style="3" bestFit="1" customWidth="1"/>
    <col min="11490" max="11490" width="3.7109375" style="3" bestFit="1" customWidth="1"/>
    <col min="11491" max="11491" width="13.42578125" style="3" bestFit="1" customWidth="1"/>
    <col min="11492" max="11492" width="13.28515625" style="3" bestFit="1" customWidth="1"/>
    <col min="11493" max="11493" width="13.42578125" style="3" bestFit="1" customWidth="1"/>
    <col min="11494" max="11494" width="13.28515625" style="3" bestFit="1" customWidth="1"/>
    <col min="11495" max="11495" width="11.42578125" style="3" bestFit="1" customWidth="1"/>
    <col min="11496" max="11496" width="12.140625" style="3" bestFit="1" customWidth="1"/>
    <col min="11497" max="11497" width="12" style="3" bestFit="1" customWidth="1"/>
    <col min="11498" max="11498" width="12.140625" style="3" bestFit="1" customWidth="1"/>
    <col min="11499" max="11499" width="12" style="3" bestFit="1" customWidth="1"/>
    <col min="11500" max="11500" width="11.5703125" style="3" bestFit="1" customWidth="1"/>
    <col min="11501" max="11744" width="9.140625" style="3"/>
    <col min="11745" max="11745" width="8.5703125" style="3" bestFit="1" customWidth="1"/>
    <col min="11746" max="11746" width="3.7109375" style="3" bestFit="1" customWidth="1"/>
    <col min="11747" max="11747" width="13.42578125" style="3" bestFit="1" customWidth="1"/>
    <col min="11748" max="11748" width="13.28515625" style="3" bestFit="1" customWidth="1"/>
    <col min="11749" max="11749" width="13.42578125" style="3" bestFit="1" customWidth="1"/>
    <col min="11750" max="11750" width="13.28515625" style="3" bestFit="1" customWidth="1"/>
    <col min="11751" max="11751" width="11.42578125" style="3" bestFit="1" customWidth="1"/>
    <col min="11752" max="11752" width="12.140625" style="3" bestFit="1" customWidth="1"/>
    <col min="11753" max="11753" width="12" style="3" bestFit="1" customWidth="1"/>
    <col min="11754" max="11754" width="12.140625" style="3" bestFit="1" customWidth="1"/>
    <col min="11755" max="11755" width="12" style="3" bestFit="1" customWidth="1"/>
    <col min="11756" max="11756" width="11.5703125" style="3" bestFit="1" customWidth="1"/>
    <col min="11757" max="12000" width="9.140625" style="3"/>
    <col min="12001" max="12001" width="8.5703125" style="3" bestFit="1" customWidth="1"/>
    <col min="12002" max="12002" width="3.7109375" style="3" bestFit="1" customWidth="1"/>
    <col min="12003" max="12003" width="13.42578125" style="3" bestFit="1" customWidth="1"/>
    <col min="12004" max="12004" width="13.28515625" style="3" bestFit="1" customWidth="1"/>
    <col min="12005" max="12005" width="13.42578125" style="3" bestFit="1" customWidth="1"/>
    <col min="12006" max="12006" width="13.28515625" style="3" bestFit="1" customWidth="1"/>
    <col min="12007" max="12007" width="11.42578125" style="3" bestFit="1" customWidth="1"/>
    <col min="12008" max="12008" width="12.140625" style="3" bestFit="1" customWidth="1"/>
    <col min="12009" max="12009" width="12" style="3" bestFit="1" customWidth="1"/>
    <col min="12010" max="12010" width="12.140625" style="3" bestFit="1" customWidth="1"/>
    <col min="12011" max="12011" width="12" style="3" bestFit="1" customWidth="1"/>
    <col min="12012" max="12012" width="11.5703125" style="3" bestFit="1" customWidth="1"/>
    <col min="12013" max="12256" width="9.140625" style="3"/>
    <col min="12257" max="12257" width="8.5703125" style="3" bestFit="1" customWidth="1"/>
    <col min="12258" max="12258" width="3.7109375" style="3" bestFit="1" customWidth="1"/>
    <col min="12259" max="12259" width="13.42578125" style="3" bestFit="1" customWidth="1"/>
    <col min="12260" max="12260" width="13.28515625" style="3" bestFit="1" customWidth="1"/>
    <col min="12261" max="12261" width="13.42578125" style="3" bestFit="1" customWidth="1"/>
    <col min="12262" max="12262" width="13.28515625" style="3" bestFit="1" customWidth="1"/>
    <col min="12263" max="12263" width="11.42578125" style="3" bestFit="1" customWidth="1"/>
    <col min="12264" max="12264" width="12.140625" style="3" bestFit="1" customWidth="1"/>
    <col min="12265" max="12265" width="12" style="3" bestFit="1" customWidth="1"/>
    <col min="12266" max="12266" width="12.140625" style="3" bestFit="1" customWidth="1"/>
    <col min="12267" max="12267" width="12" style="3" bestFit="1" customWidth="1"/>
    <col min="12268" max="12268" width="11.5703125" style="3" bestFit="1" customWidth="1"/>
    <col min="12269" max="12512" width="9.140625" style="3"/>
    <col min="12513" max="12513" width="8.5703125" style="3" bestFit="1" customWidth="1"/>
    <col min="12514" max="12514" width="3.7109375" style="3" bestFit="1" customWidth="1"/>
    <col min="12515" max="12515" width="13.42578125" style="3" bestFit="1" customWidth="1"/>
    <col min="12516" max="12516" width="13.28515625" style="3" bestFit="1" customWidth="1"/>
    <col min="12517" max="12517" width="13.42578125" style="3" bestFit="1" customWidth="1"/>
    <col min="12518" max="12518" width="13.28515625" style="3" bestFit="1" customWidth="1"/>
    <col min="12519" max="12519" width="11.42578125" style="3" bestFit="1" customWidth="1"/>
    <col min="12520" max="12520" width="12.140625" style="3" bestFit="1" customWidth="1"/>
    <col min="12521" max="12521" width="12" style="3" bestFit="1" customWidth="1"/>
    <col min="12522" max="12522" width="12.140625" style="3" bestFit="1" customWidth="1"/>
    <col min="12523" max="12523" width="12" style="3" bestFit="1" customWidth="1"/>
    <col min="12524" max="12524" width="11.5703125" style="3" bestFit="1" customWidth="1"/>
    <col min="12525" max="12768" width="9.140625" style="3"/>
    <col min="12769" max="12769" width="8.5703125" style="3" bestFit="1" customWidth="1"/>
    <col min="12770" max="12770" width="3.7109375" style="3" bestFit="1" customWidth="1"/>
    <col min="12771" max="12771" width="13.42578125" style="3" bestFit="1" customWidth="1"/>
    <col min="12772" max="12772" width="13.28515625" style="3" bestFit="1" customWidth="1"/>
    <col min="12773" max="12773" width="13.42578125" style="3" bestFit="1" customWidth="1"/>
    <col min="12774" max="12774" width="13.28515625" style="3" bestFit="1" customWidth="1"/>
    <col min="12775" max="12775" width="11.42578125" style="3" bestFit="1" customWidth="1"/>
    <col min="12776" max="12776" width="12.140625" style="3" bestFit="1" customWidth="1"/>
    <col min="12777" max="12777" width="12" style="3" bestFit="1" customWidth="1"/>
    <col min="12778" max="12778" width="12.140625" style="3" bestFit="1" customWidth="1"/>
    <col min="12779" max="12779" width="12" style="3" bestFit="1" customWidth="1"/>
    <col min="12780" max="12780" width="11.5703125" style="3" bestFit="1" customWidth="1"/>
    <col min="12781" max="13024" width="9.140625" style="3"/>
    <col min="13025" max="13025" width="8.5703125" style="3" bestFit="1" customWidth="1"/>
    <col min="13026" max="13026" width="3.7109375" style="3" bestFit="1" customWidth="1"/>
    <col min="13027" max="13027" width="13.42578125" style="3" bestFit="1" customWidth="1"/>
    <col min="13028" max="13028" width="13.28515625" style="3" bestFit="1" customWidth="1"/>
    <col min="13029" max="13029" width="13.42578125" style="3" bestFit="1" customWidth="1"/>
    <col min="13030" max="13030" width="13.28515625" style="3" bestFit="1" customWidth="1"/>
    <col min="13031" max="13031" width="11.42578125" style="3" bestFit="1" customWidth="1"/>
    <col min="13032" max="13032" width="12.140625" style="3" bestFit="1" customWidth="1"/>
    <col min="13033" max="13033" width="12" style="3" bestFit="1" customWidth="1"/>
    <col min="13034" max="13034" width="12.140625" style="3" bestFit="1" customWidth="1"/>
    <col min="13035" max="13035" width="12" style="3" bestFit="1" customWidth="1"/>
    <col min="13036" max="13036" width="11.5703125" style="3" bestFit="1" customWidth="1"/>
    <col min="13037" max="13280" width="9.140625" style="3"/>
    <col min="13281" max="13281" width="8.5703125" style="3" bestFit="1" customWidth="1"/>
    <col min="13282" max="13282" width="3.7109375" style="3" bestFit="1" customWidth="1"/>
    <col min="13283" max="13283" width="13.42578125" style="3" bestFit="1" customWidth="1"/>
    <col min="13284" max="13284" width="13.28515625" style="3" bestFit="1" customWidth="1"/>
    <col min="13285" max="13285" width="13.42578125" style="3" bestFit="1" customWidth="1"/>
    <col min="13286" max="13286" width="13.28515625" style="3" bestFit="1" customWidth="1"/>
    <col min="13287" max="13287" width="11.42578125" style="3" bestFit="1" customWidth="1"/>
    <col min="13288" max="13288" width="12.140625" style="3" bestFit="1" customWidth="1"/>
    <col min="13289" max="13289" width="12" style="3" bestFit="1" customWidth="1"/>
    <col min="13290" max="13290" width="12.140625" style="3" bestFit="1" customWidth="1"/>
    <col min="13291" max="13291" width="12" style="3" bestFit="1" customWidth="1"/>
    <col min="13292" max="13292" width="11.5703125" style="3" bestFit="1" customWidth="1"/>
    <col min="13293" max="13536" width="9.140625" style="3"/>
    <col min="13537" max="13537" width="8.5703125" style="3" bestFit="1" customWidth="1"/>
    <col min="13538" max="13538" width="3.7109375" style="3" bestFit="1" customWidth="1"/>
    <col min="13539" max="13539" width="13.42578125" style="3" bestFit="1" customWidth="1"/>
    <col min="13540" max="13540" width="13.28515625" style="3" bestFit="1" customWidth="1"/>
    <col min="13541" max="13541" width="13.42578125" style="3" bestFit="1" customWidth="1"/>
    <col min="13542" max="13542" width="13.28515625" style="3" bestFit="1" customWidth="1"/>
    <col min="13543" max="13543" width="11.42578125" style="3" bestFit="1" customWidth="1"/>
    <col min="13544" max="13544" width="12.140625" style="3" bestFit="1" customWidth="1"/>
    <col min="13545" max="13545" width="12" style="3" bestFit="1" customWidth="1"/>
    <col min="13546" max="13546" width="12.140625" style="3" bestFit="1" customWidth="1"/>
    <col min="13547" max="13547" width="12" style="3" bestFit="1" customWidth="1"/>
    <col min="13548" max="13548" width="11.5703125" style="3" bestFit="1" customWidth="1"/>
    <col min="13549" max="13792" width="9.140625" style="3"/>
    <col min="13793" max="13793" width="8.5703125" style="3" bestFit="1" customWidth="1"/>
    <col min="13794" max="13794" width="3.7109375" style="3" bestFit="1" customWidth="1"/>
    <col min="13795" max="13795" width="13.42578125" style="3" bestFit="1" customWidth="1"/>
    <col min="13796" max="13796" width="13.28515625" style="3" bestFit="1" customWidth="1"/>
    <col min="13797" max="13797" width="13.42578125" style="3" bestFit="1" customWidth="1"/>
    <col min="13798" max="13798" width="13.28515625" style="3" bestFit="1" customWidth="1"/>
    <col min="13799" max="13799" width="11.42578125" style="3" bestFit="1" customWidth="1"/>
    <col min="13800" max="13800" width="12.140625" style="3" bestFit="1" customWidth="1"/>
    <col min="13801" max="13801" width="12" style="3" bestFit="1" customWidth="1"/>
    <col min="13802" max="13802" width="12.140625" style="3" bestFit="1" customWidth="1"/>
    <col min="13803" max="13803" width="12" style="3" bestFit="1" customWidth="1"/>
    <col min="13804" max="13804" width="11.5703125" style="3" bestFit="1" customWidth="1"/>
    <col min="13805" max="14048" width="9.140625" style="3"/>
    <col min="14049" max="14049" width="8.5703125" style="3" bestFit="1" customWidth="1"/>
    <col min="14050" max="14050" width="3.7109375" style="3" bestFit="1" customWidth="1"/>
    <col min="14051" max="14051" width="13.42578125" style="3" bestFit="1" customWidth="1"/>
    <col min="14052" max="14052" width="13.28515625" style="3" bestFit="1" customWidth="1"/>
    <col min="14053" max="14053" width="13.42578125" style="3" bestFit="1" customWidth="1"/>
    <col min="14054" max="14054" width="13.28515625" style="3" bestFit="1" customWidth="1"/>
    <col min="14055" max="14055" width="11.42578125" style="3" bestFit="1" customWidth="1"/>
    <col min="14056" max="14056" width="12.140625" style="3" bestFit="1" customWidth="1"/>
    <col min="14057" max="14057" width="12" style="3" bestFit="1" customWidth="1"/>
    <col min="14058" max="14058" width="12.140625" style="3" bestFit="1" customWidth="1"/>
    <col min="14059" max="14059" width="12" style="3" bestFit="1" customWidth="1"/>
    <col min="14060" max="14060" width="11.5703125" style="3" bestFit="1" customWidth="1"/>
    <col min="14061" max="14304" width="9.140625" style="3"/>
    <col min="14305" max="14305" width="8.5703125" style="3" bestFit="1" customWidth="1"/>
    <col min="14306" max="14306" width="3.7109375" style="3" bestFit="1" customWidth="1"/>
    <col min="14307" max="14307" width="13.42578125" style="3" bestFit="1" customWidth="1"/>
    <col min="14308" max="14308" width="13.28515625" style="3" bestFit="1" customWidth="1"/>
    <col min="14309" max="14309" width="13.42578125" style="3" bestFit="1" customWidth="1"/>
    <col min="14310" max="14310" width="13.28515625" style="3" bestFit="1" customWidth="1"/>
    <col min="14311" max="14311" width="11.42578125" style="3" bestFit="1" customWidth="1"/>
    <col min="14312" max="14312" width="12.140625" style="3" bestFit="1" customWidth="1"/>
    <col min="14313" max="14313" width="12" style="3" bestFit="1" customWidth="1"/>
    <col min="14314" max="14314" width="12.140625" style="3" bestFit="1" customWidth="1"/>
    <col min="14315" max="14315" width="12" style="3" bestFit="1" customWidth="1"/>
    <col min="14316" max="14316" width="11.5703125" style="3" bestFit="1" customWidth="1"/>
    <col min="14317" max="14560" width="9.140625" style="3"/>
    <col min="14561" max="14561" width="8.5703125" style="3" bestFit="1" customWidth="1"/>
    <col min="14562" max="14562" width="3.7109375" style="3" bestFit="1" customWidth="1"/>
    <col min="14563" max="14563" width="13.42578125" style="3" bestFit="1" customWidth="1"/>
    <col min="14564" max="14564" width="13.28515625" style="3" bestFit="1" customWidth="1"/>
    <col min="14565" max="14565" width="13.42578125" style="3" bestFit="1" customWidth="1"/>
    <col min="14566" max="14566" width="13.28515625" style="3" bestFit="1" customWidth="1"/>
    <col min="14567" max="14567" width="11.42578125" style="3" bestFit="1" customWidth="1"/>
    <col min="14568" max="14568" width="12.140625" style="3" bestFit="1" customWidth="1"/>
    <col min="14569" max="14569" width="12" style="3" bestFit="1" customWidth="1"/>
    <col min="14570" max="14570" width="12.140625" style="3" bestFit="1" customWidth="1"/>
    <col min="14571" max="14571" width="12" style="3" bestFit="1" customWidth="1"/>
    <col min="14572" max="14572" width="11.5703125" style="3" bestFit="1" customWidth="1"/>
    <col min="14573" max="14816" width="9.140625" style="3"/>
    <col min="14817" max="14817" width="8.5703125" style="3" bestFit="1" customWidth="1"/>
    <col min="14818" max="14818" width="3.7109375" style="3" bestFit="1" customWidth="1"/>
    <col min="14819" max="14819" width="13.42578125" style="3" bestFit="1" customWidth="1"/>
    <col min="14820" max="14820" width="13.28515625" style="3" bestFit="1" customWidth="1"/>
    <col min="14821" max="14821" width="13.42578125" style="3" bestFit="1" customWidth="1"/>
    <col min="14822" max="14822" width="13.28515625" style="3" bestFit="1" customWidth="1"/>
    <col min="14823" max="14823" width="11.42578125" style="3" bestFit="1" customWidth="1"/>
    <col min="14824" max="14824" width="12.140625" style="3" bestFit="1" customWidth="1"/>
    <col min="14825" max="14825" width="12" style="3" bestFit="1" customWidth="1"/>
    <col min="14826" max="14826" width="12.140625" style="3" bestFit="1" customWidth="1"/>
    <col min="14827" max="14827" width="12" style="3" bestFit="1" customWidth="1"/>
    <col min="14828" max="14828" width="11.5703125" style="3" bestFit="1" customWidth="1"/>
    <col min="14829" max="15072" width="9.140625" style="3"/>
    <col min="15073" max="15073" width="8.5703125" style="3" bestFit="1" customWidth="1"/>
    <col min="15074" max="15074" width="3.7109375" style="3" bestFit="1" customWidth="1"/>
    <col min="15075" max="15075" width="13.42578125" style="3" bestFit="1" customWidth="1"/>
    <col min="15076" max="15076" width="13.28515625" style="3" bestFit="1" customWidth="1"/>
    <col min="15077" max="15077" width="13.42578125" style="3" bestFit="1" customWidth="1"/>
    <col min="15078" max="15078" width="13.28515625" style="3" bestFit="1" customWidth="1"/>
    <col min="15079" max="15079" width="11.42578125" style="3" bestFit="1" customWidth="1"/>
    <col min="15080" max="15080" width="12.140625" style="3" bestFit="1" customWidth="1"/>
    <col min="15081" max="15081" width="12" style="3" bestFit="1" customWidth="1"/>
    <col min="15082" max="15082" width="12.140625" style="3" bestFit="1" customWidth="1"/>
    <col min="15083" max="15083" width="12" style="3" bestFit="1" customWidth="1"/>
    <col min="15084" max="15084" width="11.5703125" style="3" bestFit="1" customWidth="1"/>
    <col min="15085" max="15328" width="9.140625" style="3"/>
    <col min="15329" max="15329" width="8.5703125" style="3" bestFit="1" customWidth="1"/>
    <col min="15330" max="15330" width="3.7109375" style="3" bestFit="1" customWidth="1"/>
    <col min="15331" max="15331" width="13.42578125" style="3" bestFit="1" customWidth="1"/>
    <col min="15332" max="15332" width="13.28515625" style="3" bestFit="1" customWidth="1"/>
    <col min="15333" max="15333" width="13.42578125" style="3" bestFit="1" customWidth="1"/>
    <col min="15334" max="15334" width="13.28515625" style="3" bestFit="1" customWidth="1"/>
    <col min="15335" max="15335" width="11.42578125" style="3" bestFit="1" customWidth="1"/>
    <col min="15336" max="15336" width="12.140625" style="3" bestFit="1" customWidth="1"/>
    <col min="15337" max="15337" width="12" style="3" bestFit="1" customWidth="1"/>
    <col min="15338" max="15338" width="12.140625" style="3" bestFit="1" customWidth="1"/>
    <col min="15339" max="15339" width="12" style="3" bestFit="1" customWidth="1"/>
    <col min="15340" max="15340" width="11.5703125" style="3" bestFit="1" customWidth="1"/>
    <col min="15341" max="15584" width="9.140625" style="3"/>
    <col min="15585" max="15585" width="8.5703125" style="3" bestFit="1" customWidth="1"/>
    <col min="15586" max="15586" width="3.7109375" style="3" bestFit="1" customWidth="1"/>
    <col min="15587" max="15587" width="13.42578125" style="3" bestFit="1" customWidth="1"/>
    <col min="15588" max="15588" width="13.28515625" style="3" bestFit="1" customWidth="1"/>
    <col min="15589" max="15589" width="13.42578125" style="3" bestFit="1" customWidth="1"/>
    <col min="15590" max="15590" width="13.28515625" style="3" bestFit="1" customWidth="1"/>
    <col min="15591" max="15591" width="11.42578125" style="3" bestFit="1" customWidth="1"/>
    <col min="15592" max="15592" width="12.140625" style="3" bestFit="1" customWidth="1"/>
    <col min="15593" max="15593" width="12" style="3" bestFit="1" customWidth="1"/>
    <col min="15594" max="15594" width="12.140625" style="3" bestFit="1" customWidth="1"/>
    <col min="15595" max="15595" width="12" style="3" bestFit="1" customWidth="1"/>
    <col min="15596" max="15596" width="11.5703125" style="3" bestFit="1" customWidth="1"/>
    <col min="15597" max="15840" width="9.140625" style="3"/>
    <col min="15841" max="15841" width="8.5703125" style="3" bestFit="1" customWidth="1"/>
    <col min="15842" max="15842" width="3.7109375" style="3" bestFit="1" customWidth="1"/>
    <col min="15843" max="15843" width="13.42578125" style="3" bestFit="1" customWidth="1"/>
    <col min="15844" max="15844" width="13.28515625" style="3" bestFit="1" customWidth="1"/>
    <col min="15845" max="15845" width="13.42578125" style="3" bestFit="1" customWidth="1"/>
    <col min="15846" max="15846" width="13.28515625" style="3" bestFit="1" customWidth="1"/>
    <col min="15847" max="15847" width="11.42578125" style="3" bestFit="1" customWidth="1"/>
    <col min="15848" max="15848" width="12.140625" style="3" bestFit="1" customWidth="1"/>
    <col min="15849" max="15849" width="12" style="3" bestFit="1" customWidth="1"/>
    <col min="15850" max="15850" width="12.140625" style="3" bestFit="1" customWidth="1"/>
    <col min="15851" max="15851" width="12" style="3" bestFit="1" customWidth="1"/>
    <col min="15852" max="15852" width="11.5703125" style="3" bestFit="1" customWidth="1"/>
    <col min="15853" max="16096" width="9.140625" style="3"/>
    <col min="16097" max="16097" width="8.5703125" style="3" bestFit="1" customWidth="1"/>
    <col min="16098" max="16098" width="3.7109375" style="3" bestFit="1" customWidth="1"/>
    <col min="16099" max="16099" width="13.42578125" style="3" bestFit="1" customWidth="1"/>
    <col min="16100" max="16100" width="13.28515625" style="3" bestFit="1" customWidth="1"/>
    <col min="16101" max="16101" width="13.42578125" style="3" bestFit="1" customWidth="1"/>
    <col min="16102" max="16102" width="13.28515625" style="3" bestFit="1" customWidth="1"/>
    <col min="16103" max="16103" width="11.42578125" style="3" bestFit="1" customWidth="1"/>
    <col min="16104" max="16104" width="12.140625" style="3" bestFit="1" customWidth="1"/>
    <col min="16105" max="16105" width="12" style="3" bestFit="1" customWidth="1"/>
    <col min="16106" max="16106" width="12.140625" style="3" bestFit="1" customWidth="1"/>
    <col min="16107" max="16107" width="12" style="3" bestFit="1" customWidth="1"/>
    <col min="16108" max="16108" width="11.5703125" style="3" bestFit="1" customWidth="1"/>
    <col min="16109" max="16384" width="9.140625" style="3"/>
  </cols>
  <sheetData>
    <row r="1" spans="1:7">
      <c r="A1" s="64" t="s">
        <v>545</v>
      </c>
    </row>
    <row r="2" spans="1:7" ht="18.75" customHeight="1">
      <c r="A2" s="488" t="s">
        <v>455</v>
      </c>
      <c r="B2" s="488" t="s">
        <v>208</v>
      </c>
      <c r="C2" s="489" t="s">
        <v>514</v>
      </c>
      <c r="D2" s="489" t="s">
        <v>515</v>
      </c>
      <c r="E2" s="489" t="s">
        <v>516</v>
      </c>
      <c r="F2" s="489" t="s">
        <v>517</v>
      </c>
      <c r="G2" s="490" t="s">
        <v>214</v>
      </c>
    </row>
    <row r="3" spans="1:7" ht="12.75">
      <c r="A3" s="134" t="s">
        <v>657</v>
      </c>
      <c r="B3" s="134">
        <v>330</v>
      </c>
      <c r="C3" s="491">
        <v>0</v>
      </c>
      <c r="D3" s="491">
        <v>1</v>
      </c>
      <c r="E3" s="491">
        <v>0</v>
      </c>
      <c r="F3" s="491">
        <v>0</v>
      </c>
      <c r="G3" s="491">
        <f>SUM(C3:F3)</f>
        <v>1</v>
      </c>
    </row>
    <row r="4" spans="1:7" ht="12.75">
      <c r="A4" s="134" t="s">
        <v>657</v>
      </c>
      <c r="B4" s="134">
        <v>400</v>
      </c>
      <c r="C4" s="491">
        <v>0</v>
      </c>
      <c r="D4" s="491">
        <v>1</v>
      </c>
      <c r="E4" s="491">
        <v>0</v>
      </c>
      <c r="F4" s="491">
        <v>0</v>
      </c>
      <c r="G4" s="491">
        <f t="shared" ref="G4:G67" si="0">SUM(C4:F4)</f>
        <v>1</v>
      </c>
    </row>
    <row r="5" spans="1:7" ht="12.75">
      <c r="A5" s="134" t="s">
        <v>658</v>
      </c>
      <c r="B5" s="134">
        <v>110</v>
      </c>
      <c r="C5" s="491">
        <v>2</v>
      </c>
      <c r="D5" s="491">
        <v>0</v>
      </c>
      <c r="E5" s="491">
        <v>0</v>
      </c>
      <c r="F5" s="491">
        <v>0</v>
      </c>
      <c r="G5" s="491">
        <f t="shared" si="0"/>
        <v>2</v>
      </c>
    </row>
    <row r="6" spans="1:7" ht="12.75">
      <c r="A6" s="134" t="s">
        <v>658</v>
      </c>
      <c r="B6" s="134">
        <v>120</v>
      </c>
      <c r="C6" s="491">
        <v>0</v>
      </c>
      <c r="D6" s="491">
        <v>2</v>
      </c>
      <c r="E6" s="491">
        <v>0</v>
      </c>
      <c r="F6" s="491">
        <v>0</v>
      </c>
      <c r="G6" s="491">
        <f t="shared" si="0"/>
        <v>2</v>
      </c>
    </row>
    <row r="7" spans="1:7" ht="12.75">
      <c r="A7" s="134" t="s">
        <v>658</v>
      </c>
      <c r="B7" s="134">
        <v>150</v>
      </c>
      <c r="C7" s="491">
        <v>2</v>
      </c>
      <c r="D7" s="491">
        <v>0</v>
      </c>
      <c r="E7" s="491">
        <v>0</v>
      </c>
      <c r="F7" s="491">
        <v>0</v>
      </c>
      <c r="G7" s="491">
        <f t="shared" si="0"/>
        <v>2</v>
      </c>
    </row>
    <row r="8" spans="1:7" ht="12.75">
      <c r="A8" s="134" t="s">
        <v>658</v>
      </c>
      <c r="B8" s="134">
        <v>171</v>
      </c>
      <c r="C8" s="491">
        <v>1</v>
      </c>
      <c r="D8" s="491">
        <v>0</v>
      </c>
      <c r="E8" s="491">
        <v>0</v>
      </c>
      <c r="F8" s="491">
        <v>0</v>
      </c>
      <c r="G8" s="491">
        <f t="shared" si="0"/>
        <v>1</v>
      </c>
    </row>
    <row r="9" spans="1:7" ht="12.75">
      <c r="A9" s="134" t="s">
        <v>658</v>
      </c>
      <c r="B9" s="134">
        <v>191</v>
      </c>
      <c r="C9" s="491">
        <v>7</v>
      </c>
      <c r="D9" s="491">
        <v>0</v>
      </c>
      <c r="E9" s="491">
        <v>0</v>
      </c>
      <c r="F9" s="491">
        <v>0</v>
      </c>
      <c r="G9" s="491">
        <f t="shared" si="0"/>
        <v>7</v>
      </c>
    </row>
    <row r="10" spans="1:7" ht="12.75">
      <c r="A10" s="134" t="s">
        <v>658</v>
      </c>
      <c r="B10" s="134">
        <v>306</v>
      </c>
      <c r="C10" s="491">
        <v>1</v>
      </c>
      <c r="D10" s="491">
        <v>0</v>
      </c>
      <c r="E10" s="491">
        <v>0</v>
      </c>
      <c r="F10" s="491">
        <v>0</v>
      </c>
      <c r="G10" s="491">
        <f t="shared" si="0"/>
        <v>1</v>
      </c>
    </row>
    <row r="11" spans="1:7" ht="12.75">
      <c r="A11" s="134" t="s">
        <v>658</v>
      </c>
      <c r="B11" s="134">
        <v>323</v>
      </c>
      <c r="C11" s="491">
        <v>1</v>
      </c>
      <c r="D11" s="491">
        <v>0</v>
      </c>
      <c r="E11" s="491">
        <v>0</v>
      </c>
      <c r="F11" s="491">
        <v>0</v>
      </c>
      <c r="G11" s="491">
        <f t="shared" si="0"/>
        <v>1</v>
      </c>
    </row>
    <row r="12" spans="1:7" ht="12.75">
      <c r="A12" s="134" t="s">
        <v>658</v>
      </c>
      <c r="B12" s="134">
        <v>330</v>
      </c>
      <c r="C12" s="491">
        <v>9</v>
      </c>
      <c r="D12" s="491">
        <v>2</v>
      </c>
      <c r="E12" s="491">
        <v>0</v>
      </c>
      <c r="F12" s="491">
        <v>1</v>
      </c>
      <c r="G12" s="491">
        <f t="shared" si="0"/>
        <v>12</v>
      </c>
    </row>
    <row r="13" spans="1:7" ht="12.75">
      <c r="A13" s="134" t="s">
        <v>658</v>
      </c>
      <c r="B13" s="134">
        <v>370</v>
      </c>
      <c r="C13" s="491">
        <v>1</v>
      </c>
      <c r="D13" s="491">
        <v>0</v>
      </c>
      <c r="E13" s="491">
        <v>0</v>
      </c>
      <c r="F13" s="491">
        <v>0</v>
      </c>
      <c r="G13" s="491">
        <f t="shared" si="0"/>
        <v>1</v>
      </c>
    </row>
    <row r="14" spans="1:7" ht="12.75">
      <c r="A14" s="134" t="s">
        <v>658</v>
      </c>
      <c r="B14" s="134">
        <v>400</v>
      </c>
      <c r="C14" s="491">
        <v>0</v>
      </c>
      <c r="D14" s="491">
        <v>1</v>
      </c>
      <c r="E14" s="491">
        <v>0</v>
      </c>
      <c r="F14" s="491">
        <v>0</v>
      </c>
      <c r="G14" s="491">
        <f t="shared" si="0"/>
        <v>1</v>
      </c>
    </row>
    <row r="15" spans="1:7" ht="12.75">
      <c r="A15" s="134" t="s">
        <v>658</v>
      </c>
      <c r="B15" s="134">
        <v>502</v>
      </c>
      <c r="C15" s="491">
        <v>3</v>
      </c>
      <c r="D15" s="491">
        <v>7</v>
      </c>
      <c r="E15" s="491">
        <v>0</v>
      </c>
      <c r="F15" s="491">
        <v>0</v>
      </c>
      <c r="G15" s="491">
        <f t="shared" si="0"/>
        <v>10</v>
      </c>
    </row>
    <row r="16" spans="1:7" ht="12.75">
      <c r="A16" s="134" t="s">
        <v>658</v>
      </c>
      <c r="B16" s="134">
        <v>800</v>
      </c>
      <c r="C16" s="491">
        <v>230</v>
      </c>
      <c r="D16" s="491">
        <v>0</v>
      </c>
      <c r="E16" s="491">
        <v>0</v>
      </c>
      <c r="F16" s="491">
        <v>0</v>
      </c>
      <c r="G16" s="491">
        <f t="shared" si="0"/>
        <v>230</v>
      </c>
    </row>
    <row r="17" spans="1:7" ht="12.75">
      <c r="A17" s="134" t="s">
        <v>658</v>
      </c>
      <c r="B17" s="134">
        <v>812</v>
      </c>
      <c r="C17" s="491">
        <v>2</v>
      </c>
      <c r="D17" s="491">
        <v>0</v>
      </c>
      <c r="E17" s="491">
        <v>0</v>
      </c>
      <c r="F17" s="491">
        <v>0</v>
      </c>
      <c r="G17" s="491">
        <f t="shared" si="0"/>
        <v>2</v>
      </c>
    </row>
    <row r="18" spans="1:7" ht="12.75">
      <c r="A18" s="134" t="s">
        <v>659</v>
      </c>
      <c r="B18" s="134">
        <v>120</v>
      </c>
      <c r="C18" s="491">
        <v>1</v>
      </c>
      <c r="D18" s="491">
        <v>0</v>
      </c>
      <c r="E18" s="491">
        <v>4</v>
      </c>
      <c r="F18" s="491">
        <v>0</v>
      </c>
      <c r="G18" s="491">
        <f t="shared" si="0"/>
        <v>5</v>
      </c>
    </row>
    <row r="19" spans="1:7" ht="12.75">
      <c r="A19" s="134" t="s">
        <v>659</v>
      </c>
      <c r="B19" s="134">
        <v>140</v>
      </c>
      <c r="C19" s="491">
        <v>1</v>
      </c>
      <c r="D19" s="491">
        <v>0</v>
      </c>
      <c r="E19" s="491">
        <v>0</v>
      </c>
      <c r="F19" s="491">
        <v>0</v>
      </c>
      <c r="G19" s="491">
        <f t="shared" si="0"/>
        <v>1</v>
      </c>
    </row>
    <row r="20" spans="1:7" ht="12.75">
      <c r="A20" s="134" t="s">
        <v>659</v>
      </c>
      <c r="B20" s="134">
        <v>160</v>
      </c>
      <c r="C20" s="491">
        <v>4</v>
      </c>
      <c r="D20" s="491">
        <v>0</v>
      </c>
      <c r="E20" s="491">
        <v>0</v>
      </c>
      <c r="F20" s="491">
        <v>0</v>
      </c>
      <c r="G20" s="491">
        <f t="shared" si="0"/>
        <v>4</v>
      </c>
    </row>
    <row r="21" spans="1:7" ht="12.75">
      <c r="A21" s="134" t="s">
        <v>659</v>
      </c>
      <c r="B21" s="134">
        <v>191</v>
      </c>
      <c r="C21" s="491">
        <v>3</v>
      </c>
      <c r="D21" s="491">
        <v>0</v>
      </c>
      <c r="E21" s="491">
        <v>0</v>
      </c>
      <c r="F21" s="491">
        <v>0</v>
      </c>
      <c r="G21" s="491">
        <f t="shared" si="0"/>
        <v>3</v>
      </c>
    </row>
    <row r="22" spans="1:7" ht="12.75">
      <c r="A22" s="134" t="s">
        <v>659</v>
      </c>
      <c r="B22" s="134">
        <v>304</v>
      </c>
      <c r="C22" s="491">
        <v>3</v>
      </c>
      <c r="D22" s="491">
        <v>5</v>
      </c>
      <c r="E22" s="491">
        <v>0</v>
      </c>
      <c r="F22" s="491">
        <v>0</v>
      </c>
      <c r="G22" s="491">
        <f t="shared" si="0"/>
        <v>8</v>
      </c>
    </row>
    <row r="23" spans="1:7" ht="12.75">
      <c r="A23" s="134" t="s">
        <v>659</v>
      </c>
      <c r="B23" s="134">
        <v>323</v>
      </c>
      <c r="C23" s="491">
        <v>2</v>
      </c>
      <c r="D23" s="491">
        <v>0</v>
      </c>
      <c r="E23" s="491">
        <v>0</v>
      </c>
      <c r="F23" s="491">
        <v>0</v>
      </c>
      <c r="G23" s="491">
        <f t="shared" si="0"/>
        <v>2</v>
      </c>
    </row>
    <row r="24" spans="1:7" ht="12.75">
      <c r="A24" s="134" t="s">
        <v>659</v>
      </c>
      <c r="B24" s="134">
        <v>329</v>
      </c>
      <c r="C24" s="491">
        <v>0</v>
      </c>
      <c r="D24" s="491">
        <v>1</v>
      </c>
      <c r="E24" s="491">
        <v>0</v>
      </c>
      <c r="F24" s="491">
        <v>0</v>
      </c>
      <c r="G24" s="491">
        <f t="shared" si="0"/>
        <v>1</v>
      </c>
    </row>
    <row r="25" spans="1:7" ht="12.75">
      <c r="A25" s="134" t="s">
        <v>659</v>
      </c>
      <c r="B25" s="134">
        <v>330</v>
      </c>
      <c r="C25" s="491">
        <v>3</v>
      </c>
      <c r="D25" s="491">
        <v>1</v>
      </c>
      <c r="E25" s="491">
        <v>0</v>
      </c>
      <c r="F25" s="491">
        <v>0</v>
      </c>
      <c r="G25" s="491">
        <f t="shared" si="0"/>
        <v>4</v>
      </c>
    </row>
    <row r="26" spans="1:7" ht="12.75">
      <c r="A26" s="134" t="s">
        <v>659</v>
      </c>
      <c r="B26" s="134">
        <v>400</v>
      </c>
      <c r="C26" s="491">
        <v>58</v>
      </c>
      <c r="D26" s="491">
        <v>0</v>
      </c>
      <c r="E26" s="491">
        <v>0</v>
      </c>
      <c r="F26" s="491">
        <v>0</v>
      </c>
      <c r="G26" s="491">
        <f t="shared" si="0"/>
        <v>58</v>
      </c>
    </row>
    <row r="27" spans="1:7" ht="12.75">
      <c r="A27" s="134" t="s">
        <v>659</v>
      </c>
      <c r="B27" s="134">
        <v>401</v>
      </c>
      <c r="C27" s="491">
        <v>17</v>
      </c>
      <c r="D27" s="491">
        <v>82</v>
      </c>
      <c r="E27" s="491">
        <v>0</v>
      </c>
      <c r="F27" s="491">
        <v>0</v>
      </c>
      <c r="G27" s="491">
        <f t="shared" si="0"/>
        <v>99</v>
      </c>
    </row>
    <row r="28" spans="1:7" ht="12.75">
      <c r="A28" s="134" t="s">
        <v>659</v>
      </c>
      <c r="B28" s="134">
        <v>502</v>
      </c>
      <c r="C28" s="491">
        <v>5</v>
      </c>
      <c r="D28" s="491">
        <v>1</v>
      </c>
      <c r="E28" s="491">
        <v>0</v>
      </c>
      <c r="F28" s="491">
        <v>1</v>
      </c>
      <c r="G28" s="491">
        <f t="shared" si="0"/>
        <v>7</v>
      </c>
    </row>
    <row r="29" spans="1:7" ht="12.75">
      <c r="A29" s="134" t="s">
        <v>660</v>
      </c>
      <c r="B29" s="134">
        <v>100</v>
      </c>
      <c r="C29" s="491">
        <v>84</v>
      </c>
      <c r="D29" s="491">
        <v>4</v>
      </c>
      <c r="E29" s="491">
        <v>0</v>
      </c>
      <c r="F29" s="491">
        <v>0</v>
      </c>
      <c r="G29" s="491">
        <f t="shared" si="0"/>
        <v>88</v>
      </c>
    </row>
    <row r="30" spans="1:7" ht="12.75">
      <c r="A30" s="134" t="s">
        <v>660</v>
      </c>
      <c r="B30" s="134">
        <v>101</v>
      </c>
      <c r="C30" s="491">
        <v>318</v>
      </c>
      <c r="D30" s="491">
        <v>6</v>
      </c>
      <c r="E30" s="491">
        <v>0</v>
      </c>
      <c r="F30" s="491">
        <v>0</v>
      </c>
      <c r="G30" s="491">
        <f t="shared" si="0"/>
        <v>324</v>
      </c>
    </row>
    <row r="31" spans="1:7" ht="12.75">
      <c r="A31" s="134" t="s">
        <v>660</v>
      </c>
      <c r="B31" s="134">
        <v>103</v>
      </c>
      <c r="C31" s="491">
        <v>6</v>
      </c>
      <c r="D31" s="491">
        <v>1</v>
      </c>
      <c r="E31" s="491">
        <v>0</v>
      </c>
      <c r="F31" s="491">
        <v>0</v>
      </c>
      <c r="G31" s="491">
        <f t="shared" si="0"/>
        <v>7</v>
      </c>
    </row>
    <row r="32" spans="1:7" ht="12.75">
      <c r="A32" s="134" t="s">
        <v>660</v>
      </c>
      <c r="B32" s="134">
        <v>104</v>
      </c>
      <c r="C32" s="491">
        <v>15</v>
      </c>
      <c r="D32" s="491">
        <v>1</v>
      </c>
      <c r="E32" s="491">
        <v>0</v>
      </c>
      <c r="F32" s="491">
        <v>0</v>
      </c>
      <c r="G32" s="491">
        <f t="shared" si="0"/>
        <v>16</v>
      </c>
    </row>
    <row r="33" spans="1:7" ht="12.75">
      <c r="A33" s="134" t="s">
        <v>660</v>
      </c>
      <c r="B33" s="134">
        <v>107</v>
      </c>
      <c r="C33" s="491">
        <v>1</v>
      </c>
      <c r="D33" s="491">
        <v>0</v>
      </c>
      <c r="E33" s="491">
        <v>0</v>
      </c>
      <c r="F33" s="491">
        <v>0</v>
      </c>
      <c r="G33" s="491">
        <f t="shared" si="0"/>
        <v>1</v>
      </c>
    </row>
    <row r="34" spans="1:7" ht="12.75">
      <c r="A34" s="134" t="s">
        <v>660</v>
      </c>
      <c r="B34" s="134">
        <v>110</v>
      </c>
      <c r="C34" s="491">
        <v>6</v>
      </c>
      <c r="D34" s="491">
        <v>0</v>
      </c>
      <c r="E34" s="491">
        <v>0</v>
      </c>
      <c r="F34" s="491">
        <v>0</v>
      </c>
      <c r="G34" s="491">
        <f t="shared" si="0"/>
        <v>6</v>
      </c>
    </row>
    <row r="35" spans="1:7" ht="12.75">
      <c r="A35" s="134" t="s">
        <v>660</v>
      </c>
      <c r="B35" s="134">
        <v>120</v>
      </c>
      <c r="C35" s="491">
        <v>0</v>
      </c>
      <c r="D35" s="491">
        <v>1</v>
      </c>
      <c r="E35" s="491">
        <v>0</v>
      </c>
      <c r="F35" s="491">
        <v>0</v>
      </c>
      <c r="G35" s="491">
        <f t="shared" si="0"/>
        <v>1</v>
      </c>
    </row>
    <row r="36" spans="1:7" ht="12.75">
      <c r="A36" s="134" t="s">
        <v>660</v>
      </c>
      <c r="B36" s="134">
        <v>140</v>
      </c>
      <c r="C36" s="491">
        <v>39</v>
      </c>
      <c r="D36" s="491">
        <v>40</v>
      </c>
      <c r="E36" s="491">
        <v>0</v>
      </c>
      <c r="F36" s="491">
        <v>0</v>
      </c>
      <c r="G36" s="491">
        <f t="shared" si="0"/>
        <v>79</v>
      </c>
    </row>
    <row r="37" spans="1:7" ht="12.75">
      <c r="A37" s="134" t="s">
        <v>660</v>
      </c>
      <c r="B37" s="134">
        <v>141</v>
      </c>
      <c r="C37" s="491">
        <v>0</v>
      </c>
      <c r="D37" s="491">
        <v>1</v>
      </c>
      <c r="E37" s="491">
        <v>0</v>
      </c>
      <c r="F37" s="491">
        <v>0</v>
      </c>
      <c r="G37" s="491">
        <f t="shared" si="0"/>
        <v>1</v>
      </c>
    </row>
    <row r="38" spans="1:7" ht="12.75">
      <c r="A38" s="134" t="s">
        <v>660</v>
      </c>
      <c r="B38" s="134">
        <v>143</v>
      </c>
      <c r="C38" s="491">
        <v>1</v>
      </c>
      <c r="D38" s="491">
        <v>0</v>
      </c>
      <c r="E38" s="491">
        <v>0</v>
      </c>
      <c r="F38" s="491">
        <v>0</v>
      </c>
      <c r="G38" s="491">
        <f t="shared" si="0"/>
        <v>1</v>
      </c>
    </row>
    <row r="39" spans="1:7" ht="12.75">
      <c r="A39" s="134" t="s">
        <v>660</v>
      </c>
      <c r="B39" s="134">
        <v>144</v>
      </c>
      <c r="C39" s="491">
        <v>5</v>
      </c>
      <c r="D39" s="491">
        <v>1</v>
      </c>
      <c r="E39" s="491">
        <v>0</v>
      </c>
      <c r="F39" s="491">
        <v>0</v>
      </c>
      <c r="G39" s="491">
        <f t="shared" si="0"/>
        <v>6</v>
      </c>
    </row>
    <row r="40" spans="1:7" ht="12.75">
      <c r="A40" s="134" t="s">
        <v>660</v>
      </c>
      <c r="B40" s="134">
        <v>150</v>
      </c>
      <c r="C40" s="491">
        <v>147</v>
      </c>
      <c r="D40" s="491">
        <v>16</v>
      </c>
      <c r="E40" s="491">
        <v>0</v>
      </c>
      <c r="F40" s="491">
        <v>0</v>
      </c>
      <c r="G40" s="491">
        <f t="shared" si="0"/>
        <v>163</v>
      </c>
    </row>
    <row r="41" spans="1:7" ht="12.75">
      <c r="A41" s="134" t="s">
        <v>660</v>
      </c>
      <c r="B41" s="134">
        <v>160</v>
      </c>
      <c r="C41" s="491">
        <v>3</v>
      </c>
      <c r="D41" s="491">
        <v>8</v>
      </c>
      <c r="E41" s="491">
        <v>1</v>
      </c>
      <c r="F41" s="491">
        <v>0</v>
      </c>
      <c r="G41" s="491">
        <f t="shared" si="0"/>
        <v>12</v>
      </c>
    </row>
    <row r="42" spans="1:7" ht="12.75">
      <c r="A42" s="134" t="s">
        <v>660</v>
      </c>
      <c r="B42" s="134">
        <v>191</v>
      </c>
      <c r="C42" s="491">
        <v>1041</v>
      </c>
      <c r="D42" s="491">
        <v>20</v>
      </c>
      <c r="E42" s="491">
        <v>76</v>
      </c>
      <c r="F42" s="491">
        <v>0</v>
      </c>
      <c r="G42" s="491">
        <f t="shared" si="0"/>
        <v>1137</v>
      </c>
    </row>
    <row r="43" spans="1:7" ht="12.75">
      <c r="A43" s="134" t="s">
        <v>660</v>
      </c>
      <c r="B43" s="134">
        <v>257</v>
      </c>
      <c r="C43" s="491">
        <v>2</v>
      </c>
      <c r="D43" s="491">
        <v>0</v>
      </c>
      <c r="E43" s="491">
        <v>0</v>
      </c>
      <c r="F43" s="491">
        <v>0</v>
      </c>
      <c r="G43" s="491">
        <f t="shared" si="0"/>
        <v>2</v>
      </c>
    </row>
    <row r="44" spans="1:7" ht="12.75">
      <c r="A44" s="134" t="s">
        <v>660</v>
      </c>
      <c r="B44" s="134">
        <v>300</v>
      </c>
      <c r="C44" s="491">
        <v>7</v>
      </c>
      <c r="D44" s="491">
        <v>0</v>
      </c>
      <c r="E44" s="491">
        <v>0</v>
      </c>
      <c r="F44" s="491">
        <v>0</v>
      </c>
      <c r="G44" s="491">
        <f t="shared" si="0"/>
        <v>7</v>
      </c>
    </row>
    <row r="45" spans="1:7" ht="12.75">
      <c r="A45" s="134" t="s">
        <v>660</v>
      </c>
      <c r="B45" s="134">
        <v>303</v>
      </c>
      <c r="C45" s="491">
        <v>61</v>
      </c>
      <c r="D45" s="491">
        <v>5</v>
      </c>
      <c r="E45" s="491">
        <v>0</v>
      </c>
      <c r="F45" s="491">
        <v>0</v>
      </c>
      <c r="G45" s="491">
        <f t="shared" si="0"/>
        <v>66</v>
      </c>
    </row>
    <row r="46" spans="1:7" ht="12.75">
      <c r="A46" s="134" t="s">
        <v>660</v>
      </c>
      <c r="B46" s="134">
        <v>307</v>
      </c>
      <c r="C46" s="491">
        <v>1</v>
      </c>
      <c r="D46" s="491">
        <v>0</v>
      </c>
      <c r="E46" s="491">
        <v>0</v>
      </c>
      <c r="F46" s="491">
        <v>0</v>
      </c>
      <c r="G46" s="491">
        <f t="shared" si="0"/>
        <v>1</v>
      </c>
    </row>
    <row r="47" spans="1:7" ht="12.75">
      <c r="A47" s="134" t="s">
        <v>660</v>
      </c>
      <c r="B47" s="134">
        <v>314</v>
      </c>
      <c r="C47" s="491">
        <v>136</v>
      </c>
      <c r="D47" s="491">
        <v>6</v>
      </c>
      <c r="E47" s="491">
        <v>41</v>
      </c>
      <c r="F47" s="491">
        <v>3</v>
      </c>
      <c r="G47" s="491">
        <f t="shared" si="0"/>
        <v>186</v>
      </c>
    </row>
    <row r="48" spans="1:7" ht="12.75">
      <c r="A48" s="134" t="s">
        <v>660</v>
      </c>
      <c r="B48" s="134">
        <v>315</v>
      </c>
      <c r="C48" s="491">
        <v>2</v>
      </c>
      <c r="D48" s="491">
        <v>0</v>
      </c>
      <c r="E48" s="491">
        <v>0</v>
      </c>
      <c r="F48" s="491">
        <v>0</v>
      </c>
      <c r="G48" s="491">
        <f t="shared" si="0"/>
        <v>2</v>
      </c>
    </row>
    <row r="49" spans="1:7" ht="12.75">
      <c r="A49" s="134" t="s">
        <v>660</v>
      </c>
      <c r="B49" s="134">
        <v>320</v>
      </c>
      <c r="C49" s="491">
        <v>0</v>
      </c>
      <c r="D49" s="491">
        <v>1</v>
      </c>
      <c r="E49" s="491">
        <v>0</v>
      </c>
      <c r="F49" s="491">
        <v>0</v>
      </c>
      <c r="G49" s="491">
        <f t="shared" si="0"/>
        <v>1</v>
      </c>
    </row>
    <row r="50" spans="1:7" ht="12.75">
      <c r="A50" s="134" t="s">
        <v>660</v>
      </c>
      <c r="B50" s="134">
        <v>323</v>
      </c>
      <c r="C50" s="491">
        <v>263</v>
      </c>
      <c r="D50" s="491">
        <v>0</v>
      </c>
      <c r="E50" s="491">
        <v>1</v>
      </c>
      <c r="F50" s="491">
        <v>0</v>
      </c>
      <c r="G50" s="491">
        <f t="shared" si="0"/>
        <v>264</v>
      </c>
    </row>
    <row r="51" spans="1:7" ht="12.75">
      <c r="A51" s="134" t="s">
        <v>660</v>
      </c>
      <c r="B51" s="134">
        <v>330</v>
      </c>
      <c r="C51" s="491">
        <v>27</v>
      </c>
      <c r="D51" s="491">
        <v>0</v>
      </c>
      <c r="E51" s="491">
        <v>0</v>
      </c>
      <c r="F51" s="491">
        <v>0</v>
      </c>
      <c r="G51" s="491">
        <f t="shared" si="0"/>
        <v>27</v>
      </c>
    </row>
    <row r="52" spans="1:7" ht="12.75">
      <c r="A52" s="134" t="s">
        <v>660</v>
      </c>
      <c r="B52" s="134">
        <v>361</v>
      </c>
      <c r="C52" s="491">
        <v>1</v>
      </c>
      <c r="D52" s="491">
        <v>0</v>
      </c>
      <c r="E52" s="491">
        <v>0</v>
      </c>
      <c r="F52" s="491">
        <v>0</v>
      </c>
      <c r="G52" s="491">
        <f t="shared" si="0"/>
        <v>1</v>
      </c>
    </row>
    <row r="53" spans="1:7" ht="12.75">
      <c r="A53" s="134" t="s">
        <v>660</v>
      </c>
      <c r="B53" s="134">
        <v>370</v>
      </c>
      <c r="C53" s="491">
        <v>1</v>
      </c>
      <c r="D53" s="491">
        <v>0</v>
      </c>
      <c r="E53" s="491">
        <v>0</v>
      </c>
      <c r="F53" s="491">
        <v>0</v>
      </c>
      <c r="G53" s="491">
        <f t="shared" si="0"/>
        <v>1</v>
      </c>
    </row>
    <row r="54" spans="1:7" ht="12.75">
      <c r="A54" s="134" t="s">
        <v>660</v>
      </c>
      <c r="B54" s="134">
        <v>400</v>
      </c>
      <c r="C54" s="491">
        <v>550</v>
      </c>
      <c r="D54" s="491">
        <v>1</v>
      </c>
      <c r="E54" s="491">
        <v>5</v>
      </c>
      <c r="F54" s="491">
        <v>0</v>
      </c>
      <c r="G54" s="491">
        <f t="shared" si="0"/>
        <v>556</v>
      </c>
    </row>
    <row r="55" spans="1:7" ht="12.75">
      <c r="A55" s="134" t="s">
        <v>660</v>
      </c>
      <c r="B55" s="134">
        <v>401</v>
      </c>
      <c r="C55" s="491">
        <v>0</v>
      </c>
      <c r="D55" s="491">
        <v>2</v>
      </c>
      <c r="E55" s="491">
        <v>0</v>
      </c>
      <c r="F55" s="491">
        <v>0</v>
      </c>
      <c r="G55" s="491">
        <f t="shared" si="0"/>
        <v>2</v>
      </c>
    </row>
    <row r="56" spans="1:7" ht="12.75">
      <c r="A56" s="134" t="s">
        <v>660</v>
      </c>
      <c r="B56" s="134">
        <v>410</v>
      </c>
      <c r="C56" s="491">
        <v>2</v>
      </c>
      <c r="D56" s="491">
        <v>0</v>
      </c>
      <c r="E56" s="491">
        <v>0</v>
      </c>
      <c r="F56" s="491">
        <v>0</v>
      </c>
      <c r="G56" s="491">
        <f t="shared" si="0"/>
        <v>2</v>
      </c>
    </row>
    <row r="57" spans="1:7" ht="12.75">
      <c r="A57" s="134" t="s">
        <v>660</v>
      </c>
      <c r="B57" s="134">
        <v>430</v>
      </c>
      <c r="C57" s="491">
        <v>1</v>
      </c>
      <c r="D57" s="491">
        <v>0</v>
      </c>
      <c r="E57" s="491">
        <v>0</v>
      </c>
      <c r="F57" s="491">
        <v>0</v>
      </c>
      <c r="G57" s="491">
        <f t="shared" si="0"/>
        <v>1</v>
      </c>
    </row>
    <row r="58" spans="1:7" ht="12.75">
      <c r="A58" s="134" t="s">
        <v>660</v>
      </c>
      <c r="B58" s="134">
        <v>501</v>
      </c>
      <c r="C58" s="491">
        <v>1</v>
      </c>
      <c r="D58" s="491">
        <v>0</v>
      </c>
      <c r="E58" s="491">
        <v>0</v>
      </c>
      <c r="F58" s="491">
        <v>0</v>
      </c>
      <c r="G58" s="491">
        <f t="shared" si="0"/>
        <v>1</v>
      </c>
    </row>
    <row r="59" spans="1:7" ht="12.75">
      <c r="A59" s="134" t="s">
        <v>660</v>
      </c>
      <c r="B59" s="134">
        <v>502</v>
      </c>
      <c r="C59" s="491">
        <v>700</v>
      </c>
      <c r="D59" s="491">
        <v>57</v>
      </c>
      <c r="E59" s="491">
        <v>0</v>
      </c>
      <c r="F59" s="491">
        <v>0</v>
      </c>
      <c r="G59" s="491">
        <f t="shared" si="0"/>
        <v>757</v>
      </c>
    </row>
    <row r="60" spans="1:7" ht="12.75">
      <c r="A60" s="134" t="s">
        <v>660</v>
      </c>
      <c r="B60" s="134">
        <v>650</v>
      </c>
      <c r="C60" s="491">
        <v>1</v>
      </c>
      <c r="D60" s="491">
        <v>0</v>
      </c>
      <c r="E60" s="491">
        <v>0</v>
      </c>
      <c r="F60" s="491">
        <v>0</v>
      </c>
      <c r="G60" s="491">
        <f t="shared" si="0"/>
        <v>1</v>
      </c>
    </row>
    <row r="61" spans="1:7" ht="12.75">
      <c r="A61" s="134" t="s">
        <v>660</v>
      </c>
      <c r="B61" s="134">
        <v>800</v>
      </c>
      <c r="C61" s="491">
        <v>0</v>
      </c>
      <c r="D61" s="491">
        <v>1</v>
      </c>
      <c r="E61" s="491">
        <v>0</v>
      </c>
      <c r="F61" s="491">
        <v>0</v>
      </c>
      <c r="G61" s="491">
        <f t="shared" si="0"/>
        <v>1</v>
      </c>
    </row>
    <row r="62" spans="1:7" ht="12.75">
      <c r="A62" s="134" t="s">
        <v>660</v>
      </c>
      <c r="B62" s="134">
        <v>812</v>
      </c>
      <c r="C62" s="491">
        <v>13</v>
      </c>
      <c r="D62" s="491">
        <v>0</v>
      </c>
      <c r="E62" s="491">
        <v>0</v>
      </c>
      <c r="F62" s="491">
        <v>0</v>
      </c>
      <c r="G62" s="491">
        <f t="shared" si="0"/>
        <v>13</v>
      </c>
    </row>
    <row r="63" spans="1:7" ht="12.75">
      <c r="A63" s="134" t="s">
        <v>77</v>
      </c>
      <c r="B63" s="134">
        <v>100</v>
      </c>
      <c r="C63" s="491">
        <v>1</v>
      </c>
      <c r="D63" s="491">
        <v>0</v>
      </c>
      <c r="E63" s="491">
        <v>0</v>
      </c>
      <c r="F63" s="491">
        <v>0</v>
      </c>
      <c r="G63" s="491">
        <f t="shared" si="0"/>
        <v>1</v>
      </c>
    </row>
    <row r="64" spans="1:7" ht="12.75">
      <c r="A64" s="134" t="s">
        <v>77</v>
      </c>
      <c r="B64" s="134">
        <v>107</v>
      </c>
      <c r="C64" s="491">
        <v>0</v>
      </c>
      <c r="D64" s="491">
        <v>1</v>
      </c>
      <c r="E64" s="491">
        <v>0</v>
      </c>
      <c r="F64" s="491">
        <v>0</v>
      </c>
      <c r="G64" s="491">
        <f t="shared" si="0"/>
        <v>1</v>
      </c>
    </row>
    <row r="65" spans="1:7" ht="12.75">
      <c r="A65" s="134" t="s">
        <v>77</v>
      </c>
      <c r="B65" s="134">
        <v>120</v>
      </c>
      <c r="C65" s="491">
        <v>3</v>
      </c>
      <c r="D65" s="491">
        <v>9</v>
      </c>
      <c r="E65" s="491">
        <v>0</v>
      </c>
      <c r="F65" s="491">
        <v>0</v>
      </c>
      <c r="G65" s="491">
        <f t="shared" si="0"/>
        <v>12</v>
      </c>
    </row>
    <row r="66" spans="1:7" ht="12.75">
      <c r="A66" s="134" t="s">
        <v>77</v>
      </c>
      <c r="B66" s="134">
        <v>130</v>
      </c>
      <c r="C66" s="491">
        <v>1</v>
      </c>
      <c r="D66" s="491">
        <v>0</v>
      </c>
      <c r="E66" s="491">
        <v>0</v>
      </c>
      <c r="F66" s="491">
        <v>0</v>
      </c>
      <c r="G66" s="491">
        <f t="shared" si="0"/>
        <v>1</v>
      </c>
    </row>
    <row r="67" spans="1:7" ht="12.75">
      <c r="A67" s="134" t="s">
        <v>77</v>
      </c>
      <c r="B67" s="134">
        <v>191</v>
      </c>
      <c r="C67" s="491">
        <v>321</v>
      </c>
      <c r="D67" s="491">
        <v>199</v>
      </c>
      <c r="E67" s="491">
        <v>0</v>
      </c>
      <c r="F67" s="491">
        <v>0</v>
      </c>
      <c r="G67" s="491">
        <f t="shared" si="0"/>
        <v>520</v>
      </c>
    </row>
    <row r="68" spans="1:7" ht="12.75">
      <c r="A68" s="134" t="s">
        <v>77</v>
      </c>
      <c r="B68" s="134">
        <v>215</v>
      </c>
      <c r="C68" s="491">
        <v>0</v>
      </c>
      <c r="D68" s="491">
        <v>1</v>
      </c>
      <c r="E68" s="491">
        <v>0</v>
      </c>
      <c r="F68" s="491">
        <v>0</v>
      </c>
      <c r="G68" s="491">
        <f t="shared" ref="G68:G131" si="1">SUM(C68:F68)</f>
        <v>1</v>
      </c>
    </row>
    <row r="69" spans="1:7" ht="12.75">
      <c r="A69" s="134" t="s">
        <v>77</v>
      </c>
      <c r="B69" s="134">
        <v>263</v>
      </c>
      <c r="C69" s="491">
        <v>0</v>
      </c>
      <c r="D69" s="491">
        <v>0</v>
      </c>
      <c r="E69" s="491">
        <v>1</v>
      </c>
      <c r="F69" s="491">
        <v>0</v>
      </c>
      <c r="G69" s="491">
        <f t="shared" si="1"/>
        <v>1</v>
      </c>
    </row>
    <row r="70" spans="1:7" ht="12.75">
      <c r="A70" s="134" t="s">
        <v>77</v>
      </c>
      <c r="B70" s="134">
        <v>300</v>
      </c>
      <c r="C70" s="491">
        <v>7</v>
      </c>
      <c r="D70" s="491">
        <v>4</v>
      </c>
      <c r="E70" s="491">
        <v>0</v>
      </c>
      <c r="F70" s="491">
        <v>0</v>
      </c>
      <c r="G70" s="491">
        <f t="shared" si="1"/>
        <v>11</v>
      </c>
    </row>
    <row r="71" spans="1:7" ht="12.75">
      <c r="A71" s="134" t="s">
        <v>77</v>
      </c>
      <c r="B71" s="134">
        <v>302</v>
      </c>
      <c r="C71" s="491">
        <v>1</v>
      </c>
      <c r="D71" s="491">
        <v>0</v>
      </c>
      <c r="E71" s="491">
        <v>0</v>
      </c>
      <c r="F71" s="491">
        <v>0</v>
      </c>
      <c r="G71" s="491">
        <f t="shared" si="1"/>
        <v>1</v>
      </c>
    </row>
    <row r="72" spans="1:7" ht="12.75">
      <c r="A72" s="134" t="s">
        <v>77</v>
      </c>
      <c r="B72" s="134">
        <v>307</v>
      </c>
      <c r="C72" s="491">
        <v>1</v>
      </c>
      <c r="D72" s="491">
        <v>0</v>
      </c>
      <c r="E72" s="491">
        <v>0</v>
      </c>
      <c r="F72" s="491">
        <v>0</v>
      </c>
      <c r="G72" s="491">
        <f t="shared" si="1"/>
        <v>1</v>
      </c>
    </row>
    <row r="73" spans="1:7" ht="12.75">
      <c r="A73" s="134" t="s">
        <v>77</v>
      </c>
      <c r="B73" s="134">
        <v>314</v>
      </c>
      <c r="C73" s="491">
        <v>0</v>
      </c>
      <c r="D73" s="491">
        <v>2</v>
      </c>
      <c r="E73" s="491">
        <v>0</v>
      </c>
      <c r="F73" s="491">
        <v>0</v>
      </c>
      <c r="G73" s="491">
        <f t="shared" si="1"/>
        <v>2</v>
      </c>
    </row>
    <row r="74" spans="1:7" ht="12.75">
      <c r="A74" s="134" t="s">
        <v>77</v>
      </c>
      <c r="B74" s="134">
        <v>317</v>
      </c>
      <c r="C74" s="491">
        <v>0</v>
      </c>
      <c r="D74" s="491">
        <v>2</v>
      </c>
      <c r="E74" s="491">
        <v>0</v>
      </c>
      <c r="F74" s="491">
        <v>0</v>
      </c>
      <c r="G74" s="491">
        <f t="shared" si="1"/>
        <v>2</v>
      </c>
    </row>
    <row r="75" spans="1:7" ht="12.75">
      <c r="A75" s="134" t="s">
        <v>77</v>
      </c>
      <c r="B75" s="134">
        <v>320</v>
      </c>
      <c r="C75" s="491">
        <v>0</v>
      </c>
      <c r="D75" s="491">
        <v>1</v>
      </c>
      <c r="E75" s="491">
        <v>0</v>
      </c>
      <c r="F75" s="491">
        <v>0</v>
      </c>
      <c r="G75" s="491">
        <f t="shared" si="1"/>
        <v>1</v>
      </c>
    </row>
    <row r="76" spans="1:7" ht="12.75">
      <c r="A76" s="134" t="s">
        <v>77</v>
      </c>
      <c r="B76" s="134">
        <v>328</v>
      </c>
      <c r="C76" s="491">
        <v>1</v>
      </c>
      <c r="D76" s="491">
        <v>0</v>
      </c>
      <c r="E76" s="491">
        <v>0</v>
      </c>
      <c r="F76" s="491">
        <v>0</v>
      </c>
      <c r="G76" s="491">
        <f t="shared" si="1"/>
        <v>1</v>
      </c>
    </row>
    <row r="77" spans="1:7" ht="12.75">
      <c r="A77" s="134" t="s">
        <v>77</v>
      </c>
      <c r="B77" s="134">
        <v>329</v>
      </c>
      <c r="C77" s="491">
        <v>0</v>
      </c>
      <c r="D77" s="491">
        <v>1</v>
      </c>
      <c r="E77" s="491">
        <v>0</v>
      </c>
      <c r="F77" s="491">
        <v>0</v>
      </c>
      <c r="G77" s="491">
        <f t="shared" si="1"/>
        <v>1</v>
      </c>
    </row>
    <row r="78" spans="1:7" ht="12.75">
      <c r="A78" s="134" t="s">
        <v>77</v>
      </c>
      <c r="B78" s="134">
        <v>330</v>
      </c>
      <c r="C78" s="491">
        <v>2</v>
      </c>
      <c r="D78" s="491">
        <v>0</v>
      </c>
      <c r="E78" s="491">
        <v>0</v>
      </c>
      <c r="F78" s="491">
        <v>0</v>
      </c>
      <c r="G78" s="491">
        <f t="shared" si="1"/>
        <v>2</v>
      </c>
    </row>
    <row r="79" spans="1:7" ht="12.75">
      <c r="A79" s="134" t="s">
        <v>77</v>
      </c>
      <c r="B79" s="134">
        <v>361</v>
      </c>
      <c r="C79" s="491">
        <v>1</v>
      </c>
      <c r="D79" s="491">
        <v>0</v>
      </c>
      <c r="E79" s="491">
        <v>0</v>
      </c>
      <c r="F79" s="491">
        <v>0</v>
      </c>
      <c r="G79" s="491">
        <f t="shared" si="1"/>
        <v>1</v>
      </c>
    </row>
    <row r="80" spans="1:7" ht="12.75">
      <c r="A80" s="134" t="s">
        <v>77</v>
      </c>
      <c r="B80" s="134">
        <v>400</v>
      </c>
      <c r="C80" s="491">
        <v>4</v>
      </c>
      <c r="D80" s="491">
        <v>12</v>
      </c>
      <c r="E80" s="491">
        <v>0</v>
      </c>
      <c r="F80" s="491">
        <v>0</v>
      </c>
      <c r="G80" s="491">
        <f t="shared" si="1"/>
        <v>16</v>
      </c>
    </row>
    <row r="81" spans="1:7" ht="12.75">
      <c r="A81" s="134" t="s">
        <v>77</v>
      </c>
      <c r="B81" s="134">
        <v>401</v>
      </c>
      <c r="C81" s="491">
        <v>0</v>
      </c>
      <c r="D81" s="491">
        <v>62</v>
      </c>
      <c r="E81" s="491">
        <v>0</v>
      </c>
      <c r="F81" s="491">
        <v>0</v>
      </c>
      <c r="G81" s="491">
        <f t="shared" si="1"/>
        <v>62</v>
      </c>
    </row>
    <row r="82" spans="1:7" ht="12.75">
      <c r="A82" s="134" t="s">
        <v>77</v>
      </c>
      <c r="B82" s="134">
        <v>420</v>
      </c>
      <c r="C82" s="491">
        <v>3</v>
      </c>
      <c r="D82" s="491">
        <v>0</v>
      </c>
      <c r="E82" s="491">
        <v>0</v>
      </c>
      <c r="F82" s="491">
        <v>0</v>
      </c>
      <c r="G82" s="491">
        <f t="shared" si="1"/>
        <v>3</v>
      </c>
    </row>
    <row r="83" spans="1:7" ht="12.75">
      <c r="A83" s="134" t="s">
        <v>77</v>
      </c>
      <c r="B83" s="134">
        <v>430</v>
      </c>
      <c r="C83" s="491">
        <v>11</v>
      </c>
      <c r="D83" s="491">
        <v>22</v>
      </c>
      <c r="E83" s="491">
        <v>0</v>
      </c>
      <c r="F83" s="491">
        <v>0</v>
      </c>
      <c r="G83" s="491">
        <f t="shared" si="1"/>
        <v>33</v>
      </c>
    </row>
    <row r="84" spans="1:7" ht="12.75">
      <c r="A84" s="134" t="s">
        <v>77</v>
      </c>
      <c r="B84" s="134">
        <v>501</v>
      </c>
      <c r="C84" s="491">
        <v>1</v>
      </c>
      <c r="D84" s="491">
        <v>0</v>
      </c>
      <c r="E84" s="491">
        <v>0</v>
      </c>
      <c r="F84" s="491">
        <v>0</v>
      </c>
      <c r="G84" s="491">
        <f t="shared" si="1"/>
        <v>1</v>
      </c>
    </row>
    <row r="85" spans="1:7" ht="12.75">
      <c r="A85" s="134" t="s">
        <v>77</v>
      </c>
      <c r="B85" s="134">
        <v>502</v>
      </c>
      <c r="C85" s="491">
        <v>0</v>
      </c>
      <c r="D85" s="491">
        <v>5</v>
      </c>
      <c r="E85" s="491">
        <v>0</v>
      </c>
      <c r="F85" s="491">
        <v>0</v>
      </c>
      <c r="G85" s="491">
        <f t="shared" si="1"/>
        <v>5</v>
      </c>
    </row>
    <row r="86" spans="1:7" ht="12.75">
      <c r="A86" s="134" t="s">
        <v>77</v>
      </c>
      <c r="B86" s="134">
        <v>656</v>
      </c>
      <c r="C86" s="491">
        <v>29</v>
      </c>
      <c r="D86" s="491">
        <v>1</v>
      </c>
      <c r="E86" s="491">
        <v>0</v>
      </c>
      <c r="F86" s="491">
        <v>0</v>
      </c>
      <c r="G86" s="491">
        <f t="shared" si="1"/>
        <v>30</v>
      </c>
    </row>
    <row r="87" spans="1:7" ht="12.75">
      <c r="A87" s="134" t="s">
        <v>487</v>
      </c>
      <c r="B87" s="134">
        <v>100</v>
      </c>
      <c r="C87" s="491">
        <v>1</v>
      </c>
      <c r="D87" s="491">
        <v>2</v>
      </c>
      <c r="E87" s="491">
        <v>0</v>
      </c>
      <c r="F87" s="491">
        <v>0</v>
      </c>
      <c r="G87" s="491">
        <f t="shared" si="1"/>
        <v>3</v>
      </c>
    </row>
    <row r="88" spans="1:7" ht="12.75">
      <c r="A88" s="134" t="s">
        <v>487</v>
      </c>
      <c r="B88" s="134">
        <v>101</v>
      </c>
      <c r="C88" s="491">
        <v>7</v>
      </c>
      <c r="D88" s="491">
        <v>8</v>
      </c>
      <c r="E88" s="491">
        <v>0</v>
      </c>
      <c r="F88" s="491">
        <v>0</v>
      </c>
      <c r="G88" s="491">
        <f t="shared" si="1"/>
        <v>15</v>
      </c>
    </row>
    <row r="89" spans="1:7" ht="12.75">
      <c r="A89" s="134" t="s">
        <v>487</v>
      </c>
      <c r="B89" s="134">
        <v>102</v>
      </c>
      <c r="C89" s="491">
        <v>0</v>
      </c>
      <c r="D89" s="491">
        <v>1</v>
      </c>
      <c r="E89" s="491">
        <v>0</v>
      </c>
      <c r="F89" s="491">
        <v>0</v>
      </c>
      <c r="G89" s="491">
        <f t="shared" si="1"/>
        <v>1</v>
      </c>
    </row>
    <row r="90" spans="1:7" ht="12.75">
      <c r="A90" s="134" t="s">
        <v>487</v>
      </c>
      <c r="B90" s="134">
        <v>104</v>
      </c>
      <c r="C90" s="491">
        <v>238</v>
      </c>
      <c r="D90" s="491">
        <v>42</v>
      </c>
      <c r="E90" s="491">
        <v>0</v>
      </c>
      <c r="F90" s="491">
        <v>0</v>
      </c>
      <c r="G90" s="491">
        <f t="shared" si="1"/>
        <v>280</v>
      </c>
    </row>
    <row r="91" spans="1:7" ht="12.75">
      <c r="A91" s="134" t="s">
        <v>487</v>
      </c>
      <c r="B91" s="134">
        <v>106</v>
      </c>
      <c r="C91" s="491">
        <v>0</v>
      </c>
      <c r="D91" s="491">
        <v>1</v>
      </c>
      <c r="E91" s="491">
        <v>0</v>
      </c>
      <c r="F91" s="491">
        <v>0</v>
      </c>
      <c r="G91" s="491">
        <f t="shared" si="1"/>
        <v>1</v>
      </c>
    </row>
    <row r="92" spans="1:7" ht="12.75">
      <c r="A92" s="134" t="s">
        <v>487</v>
      </c>
      <c r="B92" s="134">
        <v>107</v>
      </c>
      <c r="C92" s="491">
        <v>0</v>
      </c>
      <c r="D92" s="491">
        <v>1</v>
      </c>
      <c r="E92" s="491">
        <v>0</v>
      </c>
      <c r="F92" s="491">
        <v>0</v>
      </c>
      <c r="G92" s="491">
        <f t="shared" si="1"/>
        <v>1</v>
      </c>
    </row>
    <row r="93" spans="1:7" ht="12.75">
      <c r="A93" s="134" t="s">
        <v>487</v>
      </c>
      <c r="B93" s="134">
        <v>108</v>
      </c>
      <c r="C93" s="491">
        <v>1</v>
      </c>
      <c r="D93" s="491">
        <v>0</v>
      </c>
      <c r="E93" s="491">
        <v>0</v>
      </c>
      <c r="F93" s="491">
        <v>0</v>
      </c>
      <c r="G93" s="491">
        <f t="shared" si="1"/>
        <v>1</v>
      </c>
    </row>
    <row r="94" spans="1:7" ht="12.75">
      <c r="A94" s="134" t="s">
        <v>487</v>
      </c>
      <c r="B94" s="134">
        <v>110</v>
      </c>
      <c r="C94" s="491">
        <v>1020</v>
      </c>
      <c r="D94" s="491">
        <v>1890</v>
      </c>
      <c r="E94" s="491">
        <v>1</v>
      </c>
      <c r="F94" s="491">
        <v>0</v>
      </c>
      <c r="G94" s="491">
        <f t="shared" si="1"/>
        <v>2911</v>
      </c>
    </row>
    <row r="95" spans="1:7" ht="12.75">
      <c r="A95" s="134" t="s">
        <v>487</v>
      </c>
      <c r="B95" s="134">
        <v>120</v>
      </c>
      <c r="C95" s="491">
        <v>2</v>
      </c>
      <c r="D95" s="491">
        <v>9</v>
      </c>
      <c r="E95" s="491">
        <v>0</v>
      </c>
      <c r="F95" s="491">
        <v>0</v>
      </c>
      <c r="G95" s="491">
        <f t="shared" si="1"/>
        <v>11</v>
      </c>
    </row>
    <row r="96" spans="1:7" ht="12.75">
      <c r="A96" s="134" t="s">
        <v>487</v>
      </c>
      <c r="B96" s="134">
        <v>130</v>
      </c>
      <c r="C96" s="491">
        <v>1</v>
      </c>
      <c r="D96" s="491">
        <v>0</v>
      </c>
      <c r="E96" s="491">
        <v>0</v>
      </c>
      <c r="F96" s="491">
        <v>0</v>
      </c>
      <c r="G96" s="491">
        <f t="shared" si="1"/>
        <v>1</v>
      </c>
    </row>
    <row r="97" spans="1:7" ht="12.75">
      <c r="A97" s="134" t="s">
        <v>487</v>
      </c>
      <c r="B97" s="134">
        <v>144</v>
      </c>
      <c r="C97" s="491">
        <v>0</v>
      </c>
      <c r="D97" s="491">
        <v>2</v>
      </c>
      <c r="E97" s="491">
        <v>0</v>
      </c>
      <c r="F97" s="491">
        <v>0</v>
      </c>
      <c r="G97" s="491">
        <f t="shared" si="1"/>
        <v>2</v>
      </c>
    </row>
    <row r="98" spans="1:7" ht="12.75">
      <c r="A98" s="134" t="s">
        <v>487</v>
      </c>
      <c r="B98" s="134">
        <v>150</v>
      </c>
      <c r="C98" s="491">
        <v>16</v>
      </c>
      <c r="D98" s="491">
        <v>29</v>
      </c>
      <c r="E98" s="491">
        <v>3</v>
      </c>
      <c r="F98" s="491">
        <v>4</v>
      </c>
      <c r="G98" s="491">
        <f t="shared" si="1"/>
        <v>52</v>
      </c>
    </row>
    <row r="99" spans="1:7" ht="12.75">
      <c r="A99" s="134" t="s">
        <v>487</v>
      </c>
      <c r="B99" s="134">
        <v>160</v>
      </c>
      <c r="C99" s="491">
        <v>5</v>
      </c>
      <c r="D99" s="491">
        <v>35</v>
      </c>
      <c r="E99" s="491">
        <v>0</v>
      </c>
      <c r="F99" s="491">
        <v>0</v>
      </c>
      <c r="G99" s="491">
        <f t="shared" si="1"/>
        <v>40</v>
      </c>
    </row>
    <row r="100" spans="1:7" ht="12.75">
      <c r="A100" s="134" t="s">
        <v>487</v>
      </c>
      <c r="B100" s="134">
        <v>172</v>
      </c>
      <c r="C100" s="491">
        <v>0</v>
      </c>
      <c r="D100" s="491">
        <v>2</v>
      </c>
      <c r="E100" s="491">
        <v>0</v>
      </c>
      <c r="F100" s="491">
        <v>0</v>
      </c>
      <c r="G100" s="491">
        <f t="shared" si="1"/>
        <v>2</v>
      </c>
    </row>
    <row r="101" spans="1:7" ht="12.75">
      <c r="A101" s="134" t="s">
        <v>487</v>
      </c>
      <c r="B101" s="134">
        <v>173</v>
      </c>
      <c r="C101" s="491">
        <v>0</v>
      </c>
      <c r="D101" s="491">
        <v>1</v>
      </c>
      <c r="E101" s="491">
        <v>0</v>
      </c>
      <c r="F101" s="491">
        <v>0</v>
      </c>
      <c r="G101" s="491">
        <f t="shared" si="1"/>
        <v>1</v>
      </c>
    </row>
    <row r="102" spans="1:7" ht="12.75">
      <c r="A102" s="134" t="s">
        <v>487</v>
      </c>
      <c r="B102" s="134">
        <v>191</v>
      </c>
      <c r="C102" s="491">
        <v>9</v>
      </c>
      <c r="D102" s="491">
        <v>574</v>
      </c>
      <c r="E102" s="491">
        <v>0</v>
      </c>
      <c r="F102" s="491">
        <v>0</v>
      </c>
      <c r="G102" s="491">
        <f t="shared" si="1"/>
        <v>583</v>
      </c>
    </row>
    <row r="103" spans="1:7" ht="12.75">
      <c r="A103" s="134" t="s">
        <v>487</v>
      </c>
      <c r="B103" s="134">
        <v>300</v>
      </c>
      <c r="C103" s="491">
        <v>30</v>
      </c>
      <c r="D103" s="491">
        <v>31</v>
      </c>
      <c r="E103" s="491">
        <v>0</v>
      </c>
      <c r="F103" s="491">
        <v>0</v>
      </c>
      <c r="G103" s="491">
        <f t="shared" si="1"/>
        <v>61</v>
      </c>
    </row>
    <row r="104" spans="1:7" ht="12.75">
      <c r="A104" s="134" t="s">
        <v>487</v>
      </c>
      <c r="B104" s="134">
        <v>301</v>
      </c>
      <c r="C104" s="491">
        <v>3</v>
      </c>
      <c r="D104" s="491">
        <v>68</v>
      </c>
      <c r="E104" s="491">
        <v>0</v>
      </c>
      <c r="F104" s="491">
        <v>0</v>
      </c>
      <c r="G104" s="491">
        <f t="shared" si="1"/>
        <v>71</v>
      </c>
    </row>
    <row r="105" spans="1:7" ht="12.75">
      <c r="A105" s="134" t="s">
        <v>487</v>
      </c>
      <c r="B105" s="134">
        <v>303</v>
      </c>
      <c r="C105" s="491">
        <v>1</v>
      </c>
      <c r="D105" s="491">
        <v>1</v>
      </c>
      <c r="E105" s="491">
        <v>0</v>
      </c>
      <c r="F105" s="491">
        <v>0</v>
      </c>
      <c r="G105" s="491">
        <f t="shared" si="1"/>
        <v>2</v>
      </c>
    </row>
    <row r="106" spans="1:7" ht="12.75">
      <c r="A106" s="134" t="s">
        <v>487</v>
      </c>
      <c r="B106" s="134">
        <v>304</v>
      </c>
      <c r="C106" s="491">
        <v>0</v>
      </c>
      <c r="D106" s="491">
        <v>2</v>
      </c>
      <c r="E106" s="491">
        <v>0</v>
      </c>
      <c r="F106" s="491">
        <v>0</v>
      </c>
      <c r="G106" s="491">
        <f t="shared" si="1"/>
        <v>2</v>
      </c>
    </row>
    <row r="107" spans="1:7" ht="12.75">
      <c r="A107" s="134" t="s">
        <v>487</v>
      </c>
      <c r="B107" s="134">
        <v>307</v>
      </c>
      <c r="C107" s="491">
        <v>0</v>
      </c>
      <c r="D107" s="491">
        <v>2</v>
      </c>
      <c r="E107" s="491">
        <v>0</v>
      </c>
      <c r="F107" s="491">
        <v>0</v>
      </c>
      <c r="G107" s="491">
        <f t="shared" si="1"/>
        <v>2</v>
      </c>
    </row>
    <row r="108" spans="1:7" ht="12.75">
      <c r="A108" s="134" t="s">
        <v>487</v>
      </c>
      <c r="B108" s="134">
        <v>310</v>
      </c>
      <c r="C108" s="491">
        <v>0</v>
      </c>
      <c r="D108" s="491">
        <v>2</v>
      </c>
      <c r="E108" s="491">
        <v>0</v>
      </c>
      <c r="F108" s="491">
        <v>0</v>
      </c>
      <c r="G108" s="491">
        <f t="shared" si="1"/>
        <v>2</v>
      </c>
    </row>
    <row r="109" spans="1:7" ht="12.75">
      <c r="A109" s="134" t="s">
        <v>487</v>
      </c>
      <c r="B109" s="134">
        <v>314</v>
      </c>
      <c r="C109" s="491">
        <v>141</v>
      </c>
      <c r="D109" s="491">
        <v>60</v>
      </c>
      <c r="E109" s="491">
        <v>2</v>
      </c>
      <c r="F109" s="491">
        <v>5</v>
      </c>
      <c r="G109" s="491">
        <f t="shared" si="1"/>
        <v>208</v>
      </c>
    </row>
    <row r="110" spans="1:7" ht="12.75">
      <c r="A110" s="134" t="s">
        <v>487</v>
      </c>
      <c r="B110" s="134">
        <v>320</v>
      </c>
      <c r="C110" s="491">
        <v>0</v>
      </c>
      <c r="D110" s="491">
        <v>12</v>
      </c>
      <c r="E110" s="491">
        <v>0</v>
      </c>
      <c r="F110" s="491">
        <v>0</v>
      </c>
      <c r="G110" s="491">
        <f t="shared" si="1"/>
        <v>12</v>
      </c>
    </row>
    <row r="111" spans="1:7" ht="12.75">
      <c r="A111" s="134" t="s">
        <v>487</v>
      </c>
      <c r="B111" s="134">
        <v>324</v>
      </c>
      <c r="C111" s="491">
        <v>0</v>
      </c>
      <c r="D111" s="491">
        <v>1</v>
      </c>
      <c r="E111" s="491">
        <v>0</v>
      </c>
      <c r="F111" s="491">
        <v>0</v>
      </c>
      <c r="G111" s="491">
        <f t="shared" si="1"/>
        <v>1</v>
      </c>
    </row>
    <row r="112" spans="1:7" ht="12.75">
      <c r="A112" s="134" t="s">
        <v>487</v>
      </c>
      <c r="B112" s="134">
        <v>328</v>
      </c>
      <c r="C112" s="491">
        <v>2</v>
      </c>
      <c r="D112" s="491">
        <v>13</v>
      </c>
      <c r="E112" s="491">
        <v>0</v>
      </c>
      <c r="F112" s="491">
        <v>0</v>
      </c>
      <c r="G112" s="491">
        <f t="shared" si="1"/>
        <v>15</v>
      </c>
    </row>
    <row r="113" spans="1:7" ht="12.75">
      <c r="A113" s="134" t="s">
        <v>487</v>
      </c>
      <c r="B113" s="134">
        <v>329</v>
      </c>
      <c r="C113" s="491">
        <v>0</v>
      </c>
      <c r="D113" s="491">
        <v>35</v>
      </c>
      <c r="E113" s="491">
        <v>0</v>
      </c>
      <c r="F113" s="491">
        <v>0</v>
      </c>
      <c r="G113" s="491">
        <f t="shared" si="1"/>
        <v>35</v>
      </c>
    </row>
    <row r="114" spans="1:7" ht="12.75">
      <c r="A114" s="134" t="s">
        <v>487</v>
      </c>
      <c r="B114" s="134">
        <v>330</v>
      </c>
      <c r="C114" s="491">
        <v>0</v>
      </c>
      <c r="D114" s="491">
        <v>6</v>
      </c>
      <c r="E114" s="491">
        <v>0</v>
      </c>
      <c r="F114" s="491">
        <v>0</v>
      </c>
      <c r="G114" s="491">
        <f t="shared" si="1"/>
        <v>6</v>
      </c>
    </row>
    <row r="115" spans="1:7" ht="12.75">
      <c r="A115" s="134" t="s">
        <v>487</v>
      </c>
      <c r="B115" s="134">
        <v>340</v>
      </c>
      <c r="C115" s="491">
        <v>5</v>
      </c>
      <c r="D115" s="491">
        <v>13</v>
      </c>
      <c r="E115" s="491">
        <v>0</v>
      </c>
      <c r="F115" s="491">
        <v>0</v>
      </c>
      <c r="G115" s="491">
        <f t="shared" si="1"/>
        <v>18</v>
      </c>
    </row>
    <row r="116" spans="1:7" ht="12.75">
      <c r="A116" s="134" t="s">
        <v>487</v>
      </c>
      <c r="B116" s="134">
        <v>341</v>
      </c>
      <c r="C116" s="491">
        <v>0</v>
      </c>
      <c r="D116" s="491">
        <v>2</v>
      </c>
      <c r="E116" s="491">
        <v>0</v>
      </c>
      <c r="F116" s="491">
        <v>0</v>
      </c>
      <c r="G116" s="491">
        <f t="shared" si="1"/>
        <v>2</v>
      </c>
    </row>
    <row r="117" spans="1:7" ht="12.75">
      <c r="A117" s="134" t="s">
        <v>487</v>
      </c>
      <c r="B117" s="134">
        <v>350</v>
      </c>
      <c r="C117" s="491">
        <v>0</v>
      </c>
      <c r="D117" s="491">
        <v>1</v>
      </c>
      <c r="E117" s="491">
        <v>0</v>
      </c>
      <c r="F117" s="491">
        <v>0</v>
      </c>
      <c r="G117" s="491">
        <f t="shared" si="1"/>
        <v>1</v>
      </c>
    </row>
    <row r="118" spans="1:7" ht="12.75">
      <c r="A118" s="134" t="s">
        <v>487</v>
      </c>
      <c r="B118" s="134">
        <v>361</v>
      </c>
      <c r="C118" s="491">
        <v>0</v>
      </c>
      <c r="D118" s="491">
        <v>3</v>
      </c>
      <c r="E118" s="491">
        <v>0</v>
      </c>
      <c r="F118" s="491">
        <v>0</v>
      </c>
      <c r="G118" s="491">
        <f t="shared" si="1"/>
        <v>3</v>
      </c>
    </row>
    <row r="119" spans="1:7" ht="12.75">
      <c r="A119" s="134" t="s">
        <v>487</v>
      </c>
      <c r="B119" s="134">
        <v>370</v>
      </c>
      <c r="C119" s="491">
        <v>0</v>
      </c>
      <c r="D119" s="491">
        <v>3</v>
      </c>
      <c r="E119" s="491">
        <v>0</v>
      </c>
      <c r="F119" s="491">
        <v>0</v>
      </c>
      <c r="G119" s="491">
        <f t="shared" si="1"/>
        <v>3</v>
      </c>
    </row>
    <row r="120" spans="1:7" ht="12.75">
      <c r="A120" s="134" t="s">
        <v>487</v>
      </c>
      <c r="B120" s="134">
        <v>400</v>
      </c>
      <c r="C120" s="491">
        <v>2111</v>
      </c>
      <c r="D120" s="491">
        <v>11714</v>
      </c>
      <c r="E120" s="491">
        <v>5</v>
      </c>
      <c r="F120" s="491">
        <v>214</v>
      </c>
      <c r="G120" s="491">
        <f t="shared" si="1"/>
        <v>14044</v>
      </c>
    </row>
    <row r="121" spans="1:7" ht="12.75">
      <c r="A121" s="134" t="s">
        <v>487</v>
      </c>
      <c r="B121" s="134">
        <v>401</v>
      </c>
      <c r="C121" s="491">
        <v>2109</v>
      </c>
      <c r="D121" s="491">
        <v>31802</v>
      </c>
      <c r="E121" s="491">
        <v>0</v>
      </c>
      <c r="F121" s="491">
        <v>92</v>
      </c>
      <c r="G121" s="491">
        <f t="shared" si="1"/>
        <v>34003</v>
      </c>
    </row>
    <row r="122" spans="1:7" ht="12.75">
      <c r="A122" s="134" t="s">
        <v>487</v>
      </c>
      <c r="B122" s="134">
        <v>410</v>
      </c>
      <c r="C122" s="491">
        <v>362</v>
      </c>
      <c r="D122" s="491">
        <v>2147</v>
      </c>
      <c r="E122" s="491">
        <v>2</v>
      </c>
      <c r="F122" s="491">
        <v>7</v>
      </c>
      <c r="G122" s="491">
        <f t="shared" si="1"/>
        <v>2518</v>
      </c>
    </row>
    <row r="123" spans="1:7" ht="12.75">
      <c r="A123" s="134" t="s">
        <v>487</v>
      </c>
      <c r="B123" s="134">
        <v>430</v>
      </c>
      <c r="C123" s="491">
        <v>8</v>
      </c>
      <c r="D123" s="491">
        <v>6</v>
      </c>
      <c r="E123" s="491">
        <v>0</v>
      </c>
      <c r="F123" s="491">
        <v>0</v>
      </c>
      <c r="G123" s="491">
        <f t="shared" si="1"/>
        <v>14</v>
      </c>
    </row>
    <row r="124" spans="1:7" ht="12.75">
      <c r="A124" s="134" t="s">
        <v>487</v>
      </c>
      <c r="B124" s="134">
        <v>501</v>
      </c>
      <c r="C124" s="491">
        <v>0</v>
      </c>
      <c r="D124" s="491">
        <v>3</v>
      </c>
      <c r="E124" s="491">
        <v>0</v>
      </c>
      <c r="F124" s="491">
        <v>0</v>
      </c>
      <c r="G124" s="491">
        <f t="shared" si="1"/>
        <v>3</v>
      </c>
    </row>
    <row r="125" spans="1:7" ht="12.75">
      <c r="A125" s="134" t="s">
        <v>487</v>
      </c>
      <c r="B125" s="134">
        <v>502</v>
      </c>
      <c r="C125" s="491">
        <v>2</v>
      </c>
      <c r="D125" s="491">
        <v>10</v>
      </c>
      <c r="E125" s="491">
        <v>0</v>
      </c>
      <c r="F125" s="491">
        <v>0</v>
      </c>
      <c r="G125" s="491">
        <f t="shared" si="1"/>
        <v>12</v>
      </c>
    </row>
    <row r="126" spans="1:7" ht="12.75">
      <c r="A126" s="134" t="s">
        <v>487</v>
      </c>
      <c r="B126" s="134">
        <v>560</v>
      </c>
      <c r="C126" s="491">
        <v>0</v>
      </c>
      <c r="D126" s="491">
        <v>1</v>
      </c>
      <c r="E126" s="491">
        <v>0</v>
      </c>
      <c r="F126" s="491">
        <v>0</v>
      </c>
      <c r="G126" s="491">
        <f t="shared" si="1"/>
        <v>1</v>
      </c>
    </row>
    <row r="127" spans="1:7" ht="12.75">
      <c r="A127" s="134" t="s">
        <v>487</v>
      </c>
      <c r="B127" s="134">
        <v>650</v>
      </c>
      <c r="C127" s="491">
        <v>0</v>
      </c>
      <c r="D127" s="491">
        <v>4</v>
      </c>
      <c r="E127" s="491">
        <v>0</v>
      </c>
      <c r="F127" s="491">
        <v>0</v>
      </c>
      <c r="G127" s="491">
        <f t="shared" si="1"/>
        <v>4</v>
      </c>
    </row>
    <row r="128" spans="1:7" ht="12.75">
      <c r="A128" s="134" t="s">
        <v>487</v>
      </c>
      <c r="B128" s="134">
        <v>651</v>
      </c>
      <c r="C128" s="491">
        <v>1</v>
      </c>
      <c r="D128" s="491">
        <v>0</v>
      </c>
      <c r="E128" s="491">
        <v>0</v>
      </c>
      <c r="F128" s="491">
        <v>0</v>
      </c>
      <c r="G128" s="491">
        <f t="shared" si="1"/>
        <v>1</v>
      </c>
    </row>
    <row r="129" spans="1:7" ht="12.75">
      <c r="A129" s="134" t="s">
        <v>487</v>
      </c>
      <c r="B129" s="134">
        <v>652</v>
      </c>
      <c r="C129" s="491">
        <v>0</v>
      </c>
      <c r="D129" s="491">
        <v>1</v>
      </c>
      <c r="E129" s="491">
        <v>0</v>
      </c>
      <c r="F129" s="491">
        <v>0</v>
      </c>
      <c r="G129" s="491">
        <f t="shared" si="1"/>
        <v>1</v>
      </c>
    </row>
    <row r="130" spans="1:7" ht="12.75">
      <c r="A130" s="134" t="s">
        <v>487</v>
      </c>
      <c r="B130" s="134">
        <v>653</v>
      </c>
      <c r="C130" s="491">
        <v>0</v>
      </c>
      <c r="D130" s="491">
        <v>1</v>
      </c>
      <c r="E130" s="491">
        <v>0</v>
      </c>
      <c r="F130" s="491">
        <v>0</v>
      </c>
      <c r="G130" s="491">
        <f t="shared" si="1"/>
        <v>1</v>
      </c>
    </row>
    <row r="131" spans="1:7" ht="12.75">
      <c r="A131" s="134" t="s">
        <v>78</v>
      </c>
      <c r="B131" s="134">
        <v>110</v>
      </c>
      <c r="C131" s="491">
        <v>13</v>
      </c>
      <c r="D131" s="491">
        <v>9</v>
      </c>
      <c r="E131" s="491">
        <v>0</v>
      </c>
      <c r="F131" s="491">
        <v>0</v>
      </c>
      <c r="G131" s="491">
        <f t="shared" si="1"/>
        <v>22</v>
      </c>
    </row>
    <row r="132" spans="1:7" ht="12.75">
      <c r="A132" s="134" t="s">
        <v>78</v>
      </c>
      <c r="B132" s="134">
        <v>120</v>
      </c>
      <c r="C132" s="491">
        <v>0</v>
      </c>
      <c r="D132" s="491">
        <v>2</v>
      </c>
      <c r="E132" s="491">
        <v>0</v>
      </c>
      <c r="F132" s="491">
        <v>0</v>
      </c>
      <c r="G132" s="491">
        <f t="shared" ref="G132:G195" si="2">SUM(C132:F132)</f>
        <v>2</v>
      </c>
    </row>
    <row r="133" spans="1:7" ht="12.75">
      <c r="A133" s="134" t="s">
        <v>78</v>
      </c>
      <c r="B133" s="134">
        <v>130</v>
      </c>
      <c r="C133" s="491">
        <v>0</v>
      </c>
      <c r="D133" s="491">
        <v>1</v>
      </c>
      <c r="E133" s="491">
        <v>0</v>
      </c>
      <c r="F133" s="491">
        <v>0</v>
      </c>
      <c r="G133" s="491">
        <f t="shared" si="2"/>
        <v>1</v>
      </c>
    </row>
    <row r="134" spans="1:7" ht="12.75">
      <c r="A134" s="134" t="s">
        <v>78</v>
      </c>
      <c r="B134" s="134">
        <v>140</v>
      </c>
      <c r="C134" s="491">
        <v>1</v>
      </c>
      <c r="D134" s="491">
        <v>0</v>
      </c>
      <c r="E134" s="491">
        <v>0</v>
      </c>
      <c r="F134" s="491">
        <v>0</v>
      </c>
      <c r="G134" s="491">
        <f t="shared" si="2"/>
        <v>1</v>
      </c>
    </row>
    <row r="135" spans="1:7" ht="12.75">
      <c r="A135" s="134" t="s">
        <v>78</v>
      </c>
      <c r="B135" s="134">
        <v>143</v>
      </c>
      <c r="C135" s="491">
        <v>0</v>
      </c>
      <c r="D135" s="491">
        <v>2</v>
      </c>
      <c r="E135" s="491">
        <v>0</v>
      </c>
      <c r="F135" s="491">
        <v>0</v>
      </c>
      <c r="G135" s="491">
        <f t="shared" si="2"/>
        <v>2</v>
      </c>
    </row>
    <row r="136" spans="1:7" ht="12.75">
      <c r="A136" s="134" t="s">
        <v>78</v>
      </c>
      <c r="B136" s="134">
        <v>150</v>
      </c>
      <c r="C136" s="491">
        <v>1</v>
      </c>
      <c r="D136" s="491">
        <v>0</v>
      </c>
      <c r="E136" s="491">
        <v>0</v>
      </c>
      <c r="F136" s="491">
        <v>0</v>
      </c>
      <c r="G136" s="491">
        <f t="shared" si="2"/>
        <v>1</v>
      </c>
    </row>
    <row r="137" spans="1:7" ht="12.75">
      <c r="A137" s="134" t="s">
        <v>78</v>
      </c>
      <c r="B137" s="134">
        <v>160</v>
      </c>
      <c r="C137" s="491">
        <v>0</v>
      </c>
      <c r="D137" s="491">
        <v>1</v>
      </c>
      <c r="E137" s="491">
        <v>0</v>
      </c>
      <c r="F137" s="491">
        <v>0</v>
      </c>
      <c r="G137" s="491">
        <f t="shared" si="2"/>
        <v>1</v>
      </c>
    </row>
    <row r="138" spans="1:7" ht="12.75">
      <c r="A138" s="134" t="s">
        <v>78</v>
      </c>
      <c r="B138" s="134">
        <v>171</v>
      </c>
      <c r="C138" s="491">
        <v>0</v>
      </c>
      <c r="D138" s="491">
        <v>1</v>
      </c>
      <c r="E138" s="491">
        <v>0</v>
      </c>
      <c r="F138" s="491">
        <v>0</v>
      </c>
      <c r="G138" s="491">
        <f t="shared" si="2"/>
        <v>1</v>
      </c>
    </row>
    <row r="139" spans="1:7" ht="12.75">
      <c r="A139" s="134" t="s">
        <v>78</v>
      </c>
      <c r="B139" s="134">
        <v>191</v>
      </c>
      <c r="C139" s="491">
        <v>0</v>
      </c>
      <c r="D139" s="491">
        <v>6</v>
      </c>
      <c r="E139" s="491">
        <v>0</v>
      </c>
      <c r="F139" s="491">
        <v>0</v>
      </c>
      <c r="G139" s="491">
        <f t="shared" si="2"/>
        <v>6</v>
      </c>
    </row>
    <row r="140" spans="1:7" ht="12.75">
      <c r="A140" s="134" t="s">
        <v>78</v>
      </c>
      <c r="B140" s="134">
        <v>214</v>
      </c>
      <c r="C140" s="491">
        <v>3</v>
      </c>
      <c r="D140" s="491">
        <v>1</v>
      </c>
      <c r="E140" s="491">
        <v>0</v>
      </c>
      <c r="F140" s="491">
        <v>0</v>
      </c>
      <c r="G140" s="491">
        <f t="shared" si="2"/>
        <v>4</v>
      </c>
    </row>
    <row r="141" spans="1:7" ht="12.75">
      <c r="A141" s="134" t="s">
        <v>78</v>
      </c>
      <c r="B141" s="134">
        <v>253</v>
      </c>
      <c r="C141" s="491">
        <v>0</v>
      </c>
      <c r="D141" s="491">
        <v>1</v>
      </c>
      <c r="E141" s="491">
        <v>0</v>
      </c>
      <c r="F141" s="491">
        <v>0</v>
      </c>
      <c r="G141" s="491">
        <f t="shared" si="2"/>
        <v>1</v>
      </c>
    </row>
    <row r="142" spans="1:7" ht="12.75">
      <c r="A142" s="134" t="s">
        <v>78</v>
      </c>
      <c r="B142" s="134">
        <v>258</v>
      </c>
      <c r="C142" s="491">
        <v>1</v>
      </c>
      <c r="D142" s="491">
        <v>0</v>
      </c>
      <c r="E142" s="491">
        <v>0</v>
      </c>
      <c r="F142" s="491">
        <v>0</v>
      </c>
      <c r="G142" s="491">
        <f t="shared" si="2"/>
        <v>1</v>
      </c>
    </row>
    <row r="143" spans="1:7" ht="12.75">
      <c r="A143" s="134" t="s">
        <v>78</v>
      </c>
      <c r="B143" s="134">
        <v>259</v>
      </c>
      <c r="C143" s="491">
        <v>1</v>
      </c>
      <c r="D143" s="491">
        <v>0</v>
      </c>
      <c r="E143" s="491">
        <v>0</v>
      </c>
      <c r="F143" s="491">
        <v>0</v>
      </c>
      <c r="G143" s="491">
        <f t="shared" si="2"/>
        <v>1</v>
      </c>
    </row>
    <row r="144" spans="1:7" ht="12.75">
      <c r="A144" s="134" t="s">
        <v>78</v>
      </c>
      <c r="B144" s="134">
        <v>262</v>
      </c>
      <c r="C144" s="491">
        <v>0</v>
      </c>
      <c r="D144" s="491">
        <v>1</v>
      </c>
      <c r="E144" s="491">
        <v>0</v>
      </c>
      <c r="F144" s="491">
        <v>0</v>
      </c>
      <c r="G144" s="491">
        <f t="shared" si="2"/>
        <v>1</v>
      </c>
    </row>
    <row r="145" spans="1:7" ht="12.75">
      <c r="A145" s="134" t="s">
        <v>78</v>
      </c>
      <c r="B145" s="134">
        <v>300</v>
      </c>
      <c r="C145" s="491">
        <v>4</v>
      </c>
      <c r="D145" s="491">
        <v>2</v>
      </c>
      <c r="E145" s="491">
        <v>0</v>
      </c>
      <c r="F145" s="491">
        <v>0</v>
      </c>
      <c r="G145" s="491">
        <f t="shared" si="2"/>
        <v>6</v>
      </c>
    </row>
    <row r="146" spans="1:7" ht="12.75">
      <c r="A146" s="134" t="s">
        <v>78</v>
      </c>
      <c r="B146" s="134">
        <v>314</v>
      </c>
      <c r="C146" s="491">
        <v>3</v>
      </c>
      <c r="D146" s="491">
        <v>1</v>
      </c>
      <c r="E146" s="491">
        <v>0</v>
      </c>
      <c r="F146" s="491">
        <v>1</v>
      </c>
      <c r="G146" s="491">
        <f t="shared" si="2"/>
        <v>5</v>
      </c>
    </row>
    <row r="147" spans="1:7" ht="12.75">
      <c r="A147" s="134" t="s">
        <v>78</v>
      </c>
      <c r="B147" s="134">
        <v>320</v>
      </c>
      <c r="C147" s="491">
        <v>0</v>
      </c>
      <c r="D147" s="491">
        <v>1</v>
      </c>
      <c r="E147" s="491">
        <v>0</v>
      </c>
      <c r="F147" s="491">
        <v>0</v>
      </c>
      <c r="G147" s="491">
        <f t="shared" si="2"/>
        <v>1</v>
      </c>
    </row>
    <row r="148" spans="1:7" ht="12.75">
      <c r="A148" s="134" t="s">
        <v>78</v>
      </c>
      <c r="B148" s="134">
        <v>321</v>
      </c>
      <c r="C148" s="491">
        <v>2</v>
      </c>
      <c r="D148" s="491">
        <v>0</v>
      </c>
      <c r="E148" s="491">
        <v>0</v>
      </c>
      <c r="F148" s="491">
        <v>0</v>
      </c>
      <c r="G148" s="491">
        <f t="shared" si="2"/>
        <v>2</v>
      </c>
    </row>
    <row r="149" spans="1:7" ht="12.75">
      <c r="A149" s="134" t="s">
        <v>78</v>
      </c>
      <c r="B149" s="134">
        <v>330</v>
      </c>
      <c r="C149" s="491">
        <v>1</v>
      </c>
      <c r="D149" s="491">
        <v>1</v>
      </c>
      <c r="E149" s="491">
        <v>0</v>
      </c>
      <c r="F149" s="491">
        <v>0</v>
      </c>
      <c r="G149" s="491">
        <f t="shared" si="2"/>
        <v>2</v>
      </c>
    </row>
    <row r="150" spans="1:7" ht="12.75">
      <c r="A150" s="134" t="s">
        <v>78</v>
      </c>
      <c r="B150" s="134">
        <v>400</v>
      </c>
      <c r="C150" s="491">
        <v>672</v>
      </c>
      <c r="D150" s="491">
        <v>1529</v>
      </c>
      <c r="E150" s="491">
        <v>0</v>
      </c>
      <c r="F150" s="491">
        <v>0</v>
      </c>
      <c r="G150" s="491">
        <f t="shared" si="2"/>
        <v>2201</v>
      </c>
    </row>
    <row r="151" spans="1:7" ht="12.75">
      <c r="A151" s="134" t="s">
        <v>78</v>
      </c>
      <c r="B151" s="134">
        <v>401</v>
      </c>
      <c r="C151" s="491">
        <v>225</v>
      </c>
      <c r="D151" s="491">
        <v>3744</v>
      </c>
      <c r="E151" s="491">
        <v>0</v>
      </c>
      <c r="F151" s="491">
        <v>0</v>
      </c>
      <c r="G151" s="491">
        <f t="shared" si="2"/>
        <v>3969</v>
      </c>
    </row>
    <row r="152" spans="1:7" ht="12.75">
      <c r="A152" s="134" t="s">
        <v>78</v>
      </c>
      <c r="B152" s="134">
        <v>410</v>
      </c>
      <c r="C152" s="491">
        <v>2</v>
      </c>
      <c r="D152" s="491">
        <v>22</v>
      </c>
      <c r="E152" s="491">
        <v>0</v>
      </c>
      <c r="F152" s="491">
        <v>0</v>
      </c>
      <c r="G152" s="491">
        <f t="shared" si="2"/>
        <v>24</v>
      </c>
    </row>
    <row r="153" spans="1:7" ht="12.75">
      <c r="A153" s="134" t="s">
        <v>78</v>
      </c>
      <c r="B153" s="134">
        <v>420</v>
      </c>
      <c r="C153" s="491">
        <v>65</v>
      </c>
      <c r="D153" s="491">
        <v>87</v>
      </c>
      <c r="E153" s="491">
        <v>3</v>
      </c>
      <c r="F153" s="491">
        <v>3</v>
      </c>
      <c r="G153" s="491">
        <f t="shared" si="2"/>
        <v>158</v>
      </c>
    </row>
    <row r="154" spans="1:7" ht="12.75">
      <c r="A154" s="134" t="s">
        <v>78</v>
      </c>
      <c r="B154" s="134">
        <v>421</v>
      </c>
      <c r="C154" s="491">
        <v>34</v>
      </c>
      <c r="D154" s="491">
        <v>159</v>
      </c>
      <c r="E154" s="491">
        <v>5</v>
      </c>
      <c r="F154" s="491">
        <v>4</v>
      </c>
      <c r="G154" s="491">
        <f t="shared" si="2"/>
        <v>202</v>
      </c>
    </row>
    <row r="155" spans="1:7" ht="12.75">
      <c r="A155" s="134" t="s">
        <v>78</v>
      </c>
      <c r="B155" s="134">
        <v>654</v>
      </c>
      <c r="C155" s="491">
        <v>0</v>
      </c>
      <c r="D155" s="491">
        <v>1</v>
      </c>
      <c r="E155" s="491">
        <v>0</v>
      </c>
      <c r="F155" s="491">
        <v>0</v>
      </c>
      <c r="G155" s="491">
        <f t="shared" si="2"/>
        <v>1</v>
      </c>
    </row>
    <row r="156" spans="1:7" ht="12.75">
      <c r="A156" s="134" t="s">
        <v>661</v>
      </c>
      <c r="B156" s="134">
        <v>101</v>
      </c>
      <c r="C156" s="491">
        <v>1</v>
      </c>
      <c r="D156" s="491">
        <v>2</v>
      </c>
      <c r="E156" s="491">
        <v>0</v>
      </c>
      <c r="F156" s="491">
        <v>0</v>
      </c>
      <c r="G156" s="491">
        <f t="shared" si="2"/>
        <v>3</v>
      </c>
    </row>
    <row r="157" spans="1:7" ht="12.75">
      <c r="A157" s="134" t="s">
        <v>661</v>
      </c>
      <c r="B157" s="134">
        <v>103</v>
      </c>
      <c r="C157" s="491">
        <v>0</v>
      </c>
      <c r="D157" s="491">
        <v>1</v>
      </c>
      <c r="E157" s="491">
        <v>0</v>
      </c>
      <c r="F157" s="491">
        <v>0</v>
      </c>
      <c r="G157" s="491">
        <f t="shared" si="2"/>
        <v>1</v>
      </c>
    </row>
    <row r="158" spans="1:7" ht="12.75">
      <c r="A158" s="134" t="s">
        <v>661</v>
      </c>
      <c r="B158" s="134">
        <v>107</v>
      </c>
      <c r="C158" s="491">
        <v>1</v>
      </c>
      <c r="D158" s="491">
        <v>0</v>
      </c>
      <c r="E158" s="491">
        <v>0</v>
      </c>
      <c r="F158" s="491">
        <v>0</v>
      </c>
      <c r="G158" s="491">
        <f t="shared" si="2"/>
        <v>1</v>
      </c>
    </row>
    <row r="159" spans="1:7" ht="12.75">
      <c r="A159" s="134" t="s">
        <v>661</v>
      </c>
      <c r="B159" s="134">
        <v>110</v>
      </c>
      <c r="C159" s="491">
        <v>1</v>
      </c>
      <c r="D159" s="491">
        <v>0</v>
      </c>
      <c r="E159" s="491">
        <v>0</v>
      </c>
      <c r="F159" s="491">
        <v>0</v>
      </c>
      <c r="G159" s="491">
        <f t="shared" si="2"/>
        <v>1</v>
      </c>
    </row>
    <row r="160" spans="1:7" ht="12.75">
      <c r="A160" s="134" t="s">
        <v>661</v>
      </c>
      <c r="B160" s="134">
        <v>300</v>
      </c>
      <c r="C160" s="491">
        <v>1</v>
      </c>
      <c r="D160" s="491">
        <v>1</v>
      </c>
      <c r="E160" s="491">
        <v>0</v>
      </c>
      <c r="F160" s="491">
        <v>0</v>
      </c>
      <c r="G160" s="491">
        <f t="shared" si="2"/>
        <v>2</v>
      </c>
    </row>
    <row r="161" spans="1:7" ht="12.75">
      <c r="A161" s="134" t="s">
        <v>661</v>
      </c>
      <c r="B161" s="134">
        <v>320</v>
      </c>
      <c r="C161" s="491">
        <v>2047</v>
      </c>
      <c r="D161" s="491">
        <v>123</v>
      </c>
      <c r="E161" s="491">
        <v>0</v>
      </c>
      <c r="F161" s="491">
        <v>0</v>
      </c>
      <c r="G161" s="491">
        <f t="shared" si="2"/>
        <v>2170</v>
      </c>
    </row>
    <row r="162" spans="1:7" ht="12.75">
      <c r="A162" s="134" t="s">
        <v>661</v>
      </c>
      <c r="B162" s="134">
        <v>330</v>
      </c>
      <c r="C162" s="491">
        <v>0</v>
      </c>
      <c r="D162" s="491">
        <v>1</v>
      </c>
      <c r="E162" s="491">
        <v>0</v>
      </c>
      <c r="F162" s="491">
        <v>0</v>
      </c>
      <c r="G162" s="491">
        <f t="shared" si="2"/>
        <v>1</v>
      </c>
    </row>
    <row r="163" spans="1:7" ht="12.75">
      <c r="A163" s="134" t="s">
        <v>661</v>
      </c>
      <c r="B163" s="134">
        <v>400</v>
      </c>
      <c r="C163" s="491">
        <v>0</v>
      </c>
      <c r="D163" s="491">
        <v>1</v>
      </c>
      <c r="E163" s="491">
        <v>0</v>
      </c>
      <c r="F163" s="491">
        <v>1</v>
      </c>
      <c r="G163" s="491">
        <f t="shared" si="2"/>
        <v>2</v>
      </c>
    </row>
    <row r="164" spans="1:7" ht="12.75">
      <c r="A164" s="134" t="s">
        <v>661</v>
      </c>
      <c r="B164" s="134">
        <v>401</v>
      </c>
      <c r="C164" s="491">
        <v>0</v>
      </c>
      <c r="D164" s="491">
        <v>107</v>
      </c>
      <c r="E164" s="491">
        <v>0</v>
      </c>
      <c r="F164" s="491">
        <v>0</v>
      </c>
      <c r="G164" s="491">
        <f t="shared" si="2"/>
        <v>107</v>
      </c>
    </row>
    <row r="165" spans="1:7" ht="12.75">
      <c r="A165" s="134" t="s">
        <v>661</v>
      </c>
      <c r="B165" s="134">
        <v>420</v>
      </c>
      <c r="C165" s="491">
        <v>6</v>
      </c>
      <c r="D165" s="491">
        <v>10</v>
      </c>
      <c r="E165" s="491">
        <v>9</v>
      </c>
      <c r="F165" s="491">
        <v>9</v>
      </c>
      <c r="G165" s="491">
        <f t="shared" si="2"/>
        <v>34</v>
      </c>
    </row>
    <row r="166" spans="1:7" ht="12.75">
      <c r="A166" s="134" t="s">
        <v>661</v>
      </c>
      <c r="B166" s="134">
        <v>421</v>
      </c>
      <c r="C166" s="491">
        <v>8</v>
      </c>
      <c r="D166" s="491">
        <v>3</v>
      </c>
      <c r="E166" s="491">
        <v>0</v>
      </c>
      <c r="F166" s="491">
        <v>0</v>
      </c>
      <c r="G166" s="491">
        <f t="shared" si="2"/>
        <v>11</v>
      </c>
    </row>
    <row r="167" spans="1:7" ht="12.75">
      <c r="A167" s="134" t="s">
        <v>661</v>
      </c>
      <c r="B167" s="134">
        <v>812</v>
      </c>
      <c r="C167" s="491">
        <v>2</v>
      </c>
      <c r="D167" s="491">
        <v>0</v>
      </c>
      <c r="E167" s="491">
        <v>0</v>
      </c>
      <c r="F167" s="491">
        <v>0</v>
      </c>
      <c r="G167" s="491">
        <f t="shared" si="2"/>
        <v>2</v>
      </c>
    </row>
    <row r="168" spans="1:7" ht="12.75">
      <c r="A168" s="134" t="s">
        <v>661</v>
      </c>
      <c r="B168" s="134">
        <v>840</v>
      </c>
      <c r="C168" s="491">
        <v>1</v>
      </c>
      <c r="D168" s="491">
        <v>0</v>
      </c>
      <c r="E168" s="491">
        <v>0</v>
      </c>
      <c r="F168" s="491">
        <v>0</v>
      </c>
      <c r="G168" s="491">
        <f t="shared" si="2"/>
        <v>1</v>
      </c>
    </row>
    <row r="169" spans="1:7" ht="12.75">
      <c r="A169" s="134" t="s">
        <v>662</v>
      </c>
      <c r="B169" s="134">
        <v>110</v>
      </c>
      <c r="C169" s="491">
        <v>25</v>
      </c>
      <c r="D169" s="491">
        <v>231</v>
      </c>
      <c r="E169" s="491">
        <v>0</v>
      </c>
      <c r="F169" s="491">
        <v>0</v>
      </c>
      <c r="G169" s="491">
        <f t="shared" si="2"/>
        <v>256</v>
      </c>
    </row>
    <row r="170" spans="1:7" ht="12.75">
      <c r="A170" s="134" t="s">
        <v>662</v>
      </c>
      <c r="B170" s="134">
        <v>120</v>
      </c>
      <c r="C170" s="491">
        <v>56</v>
      </c>
      <c r="D170" s="491">
        <v>18</v>
      </c>
      <c r="E170" s="491">
        <v>0</v>
      </c>
      <c r="F170" s="491">
        <v>0</v>
      </c>
      <c r="G170" s="491">
        <f t="shared" si="2"/>
        <v>74</v>
      </c>
    </row>
    <row r="171" spans="1:7" ht="12.75">
      <c r="A171" s="134" t="s">
        <v>662</v>
      </c>
      <c r="B171" s="134">
        <v>140</v>
      </c>
      <c r="C171" s="491">
        <v>0</v>
      </c>
      <c r="D171" s="491">
        <v>1</v>
      </c>
      <c r="E171" s="491">
        <v>0</v>
      </c>
      <c r="F171" s="491">
        <v>0</v>
      </c>
      <c r="G171" s="491">
        <f t="shared" si="2"/>
        <v>1</v>
      </c>
    </row>
    <row r="172" spans="1:7" ht="12.75">
      <c r="A172" s="134" t="s">
        <v>662</v>
      </c>
      <c r="B172" s="134">
        <v>214</v>
      </c>
      <c r="C172" s="491">
        <v>1</v>
      </c>
      <c r="D172" s="491">
        <v>0</v>
      </c>
      <c r="E172" s="491">
        <v>0</v>
      </c>
      <c r="F172" s="491">
        <v>0</v>
      </c>
      <c r="G172" s="491">
        <f t="shared" si="2"/>
        <v>1</v>
      </c>
    </row>
    <row r="173" spans="1:7" ht="12.75">
      <c r="A173" s="134" t="s">
        <v>662</v>
      </c>
      <c r="B173" s="134">
        <v>215</v>
      </c>
      <c r="C173" s="491">
        <v>1</v>
      </c>
      <c r="D173" s="491">
        <v>0</v>
      </c>
      <c r="E173" s="491">
        <v>0</v>
      </c>
      <c r="F173" s="491">
        <v>0</v>
      </c>
      <c r="G173" s="491">
        <f t="shared" si="2"/>
        <v>1</v>
      </c>
    </row>
    <row r="174" spans="1:7" ht="12.75">
      <c r="A174" s="134" t="s">
        <v>662</v>
      </c>
      <c r="B174" s="134">
        <v>258</v>
      </c>
      <c r="C174" s="491">
        <v>16</v>
      </c>
      <c r="D174" s="491">
        <v>2</v>
      </c>
      <c r="E174" s="491">
        <v>0</v>
      </c>
      <c r="F174" s="491">
        <v>0</v>
      </c>
      <c r="G174" s="491">
        <f t="shared" si="2"/>
        <v>18</v>
      </c>
    </row>
    <row r="175" spans="1:7" ht="12.75">
      <c r="A175" s="134" t="s">
        <v>662</v>
      </c>
      <c r="B175" s="134">
        <v>263</v>
      </c>
      <c r="C175" s="491">
        <v>1</v>
      </c>
      <c r="D175" s="491">
        <v>0</v>
      </c>
      <c r="E175" s="491">
        <v>0</v>
      </c>
      <c r="F175" s="491">
        <v>0</v>
      </c>
      <c r="G175" s="491">
        <f t="shared" si="2"/>
        <v>1</v>
      </c>
    </row>
    <row r="176" spans="1:7" ht="12.75">
      <c r="A176" s="134" t="s">
        <v>662</v>
      </c>
      <c r="B176" s="134">
        <v>264</v>
      </c>
      <c r="C176" s="491">
        <v>1</v>
      </c>
      <c r="D176" s="491">
        <v>0</v>
      </c>
      <c r="E176" s="491">
        <v>0</v>
      </c>
      <c r="F176" s="491">
        <v>0</v>
      </c>
      <c r="G176" s="491">
        <f t="shared" si="2"/>
        <v>1</v>
      </c>
    </row>
    <row r="177" spans="1:7" ht="12.75">
      <c r="A177" s="134" t="s">
        <v>662</v>
      </c>
      <c r="B177" s="134">
        <v>300</v>
      </c>
      <c r="C177" s="491">
        <v>767</v>
      </c>
      <c r="D177" s="491">
        <v>540</v>
      </c>
      <c r="E177" s="491">
        <v>0</v>
      </c>
      <c r="F177" s="491">
        <v>0</v>
      </c>
      <c r="G177" s="491">
        <f t="shared" si="2"/>
        <v>1307</v>
      </c>
    </row>
    <row r="178" spans="1:7" ht="12.75">
      <c r="A178" s="134" t="s">
        <v>662</v>
      </c>
      <c r="B178" s="134">
        <v>302</v>
      </c>
      <c r="C178" s="491">
        <v>2</v>
      </c>
      <c r="D178" s="491">
        <v>1</v>
      </c>
      <c r="E178" s="491">
        <v>0</v>
      </c>
      <c r="F178" s="491">
        <v>0</v>
      </c>
      <c r="G178" s="491">
        <f t="shared" si="2"/>
        <v>3</v>
      </c>
    </row>
    <row r="179" spans="1:7" ht="12.75">
      <c r="A179" s="134" t="s">
        <v>662</v>
      </c>
      <c r="B179" s="134">
        <v>303</v>
      </c>
      <c r="C179" s="491">
        <v>1</v>
      </c>
      <c r="D179" s="491">
        <v>5</v>
      </c>
      <c r="E179" s="491">
        <v>0</v>
      </c>
      <c r="F179" s="491">
        <v>0</v>
      </c>
      <c r="G179" s="491">
        <f t="shared" si="2"/>
        <v>6</v>
      </c>
    </row>
    <row r="180" spans="1:7" ht="12.75">
      <c r="A180" s="134" t="s">
        <v>662</v>
      </c>
      <c r="B180" s="134">
        <v>320</v>
      </c>
      <c r="C180" s="491">
        <v>950</v>
      </c>
      <c r="D180" s="491">
        <v>1266</v>
      </c>
      <c r="E180" s="491">
        <v>0</v>
      </c>
      <c r="F180" s="491">
        <v>0</v>
      </c>
      <c r="G180" s="491">
        <f t="shared" si="2"/>
        <v>2216</v>
      </c>
    </row>
    <row r="181" spans="1:7" ht="12.75">
      <c r="A181" s="134" t="s">
        <v>662</v>
      </c>
      <c r="B181" s="134">
        <v>340</v>
      </c>
      <c r="C181" s="491">
        <v>366</v>
      </c>
      <c r="D181" s="491">
        <v>793</v>
      </c>
      <c r="E181" s="491">
        <v>3</v>
      </c>
      <c r="F181" s="491">
        <v>0</v>
      </c>
      <c r="G181" s="491">
        <f t="shared" si="2"/>
        <v>1162</v>
      </c>
    </row>
    <row r="182" spans="1:7" ht="12.75">
      <c r="A182" s="134" t="s">
        <v>662</v>
      </c>
      <c r="B182" s="134">
        <v>341</v>
      </c>
      <c r="C182" s="491">
        <v>2299</v>
      </c>
      <c r="D182" s="491">
        <v>103</v>
      </c>
      <c r="E182" s="491">
        <v>0</v>
      </c>
      <c r="F182" s="491">
        <v>0</v>
      </c>
      <c r="G182" s="491">
        <f t="shared" si="2"/>
        <v>2402</v>
      </c>
    </row>
    <row r="183" spans="1:7" ht="12.75">
      <c r="A183" s="134" t="s">
        <v>662</v>
      </c>
      <c r="B183" s="134">
        <v>400</v>
      </c>
      <c r="C183" s="491">
        <v>4</v>
      </c>
      <c r="D183" s="491">
        <v>11</v>
      </c>
      <c r="E183" s="491">
        <v>0</v>
      </c>
      <c r="F183" s="491">
        <v>0</v>
      </c>
      <c r="G183" s="491">
        <f t="shared" si="2"/>
        <v>15</v>
      </c>
    </row>
    <row r="184" spans="1:7" ht="12.75">
      <c r="A184" s="134" t="s">
        <v>662</v>
      </c>
      <c r="B184" s="134">
        <v>401</v>
      </c>
      <c r="C184" s="491">
        <v>59</v>
      </c>
      <c r="D184" s="491">
        <v>37</v>
      </c>
      <c r="E184" s="491">
        <v>0</v>
      </c>
      <c r="F184" s="491">
        <v>0</v>
      </c>
      <c r="G184" s="491">
        <f t="shared" si="2"/>
        <v>96</v>
      </c>
    </row>
    <row r="185" spans="1:7" ht="12.75">
      <c r="A185" s="134" t="s">
        <v>662</v>
      </c>
      <c r="B185" s="134">
        <v>410</v>
      </c>
      <c r="C185" s="491">
        <v>1</v>
      </c>
      <c r="D185" s="491">
        <v>0</v>
      </c>
      <c r="E185" s="491">
        <v>0</v>
      </c>
      <c r="F185" s="491">
        <v>0</v>
      </c>
      <c r="G185" s="491">
        <f t="shared" si="2"/>
        <v>1</v>
      </c>
    </row>
    <row r="186" spans="1:7" ht="12.75">
      <c r="A186" s="134" t="s">
        <v>662</v>
      </c>
      <c r="B186" s="134">
        <v>420</v>
      </c>
      <c r="C186" s="491">
        <v>49</v>
      </c>
      <c r="D186" s="491">
        <v>45</v>
      </c>
      <c r="E186" s="491">
        <v>1</v>
      </c>
      <c r="F186" s="491">
        <v>0</v>
      </c>
      <c r="G186" s="491">
        <f t="shared" si="2"/>
        <v>95</v>
      </c>
    </row>
    <row r="187" spans="1:7" ht="12.75">
      <c r="A187" s="134" t="s">
        <v>662</v>
      </c>
      <c r="B187" s="134">
        <v>421</v>
      </c>
      <c r="C187" s="491">
        <v>1</v>
      </c>
      <c r="D187" s="491">
        <v>1</v>
      </c>
      <c r="E187" s="491">
        <v>0</v>
      </c>
      <c r="F187" s="491">
        <v>0</v>
      </c>
      <c r="G187" s="491">
        <f t="shared" si="2"/>
        <v>2</v>
      </c>
    </row>
    <row r="188" spans="1:7" ht="12.75">
      <c r="A188" s="134" t="s">
        <v>662</v>
      </c>
      <c r="B188" s="134">
        <v>430</v>
      </c>
      <c r="C188" s="491">
        <v>0</v>
      </c>
      <c r="D188" s="491">
        <v>0</v>
      </c>
      <c r="E188" s="491">
        <v>1</v>
      </c>
      <c r="F188" s="491">
        <v>0</v>
      </c>
      <c r="G188" s="491">
        <f t="shared" si="2"/>
        <v>1</v>
      </c>
    </row>
    <row r="189" spans="1:7" ht="12.75">
      <c r="A189" s="134" t="s">
        <v>79</v>
      </c>
      <c r="B189" s="134">
        <v>191</v>
      </c>
      <c r="C189" s="491">
        <v>4</v>
      </c>
      <c r="D189" s="491">
        <v>20</v>
      </c>
      <c r="E189" s="491">
        <v>0</v>
      </c>
      <c r="F189" s="491">
        <v>0</v>
      </c>
      <c r="G189" s="491">
        <f t="shared" si="2"/>
        <v>24</v>
      </c>
    </row>
    <row r="190" spans="1:7" ht="12.75">
      <c r="A190" s="134" t="s">
        <v>79</v>
      </c>
      <c r="B190" s="134">
        <v>307</v>
      </c>
      <c r="C190" s="491">
        <v>0</v>
      </c>
      <c r="D190" s="491">
        <v>0</v>
      </c>
      <c r="E190" s="491">
        <v>1</v>
      </c>
      <c r="F190" s="491">
        <v>0</v>
      </c>
      <c r="G190" s="491">
        <f t="shared" si="2"/>
        <v>1</v>
      </c>
    </row>
    <row r="191" spans="1:7" ht="12.75">
      <c r="A191" s="134" t="s">
        <v>80</v>
      </c>
      <c r="B191" s="134">
        <v>101</v>
      </c>
      <c r="C191" s="491">
        <v>0</v>
      </c>
      <c r="D191" s="491">
        <v>1</v>
      </c>
      <c r="E191" s="491">
        <v>0</v>
      </c>
      <c r="F191" s="491">
        <v>0</v>
      </c>
      <c r="G191" s="491">
        <f t="shared" si="2"/>
        <v>1</v>
      </c>
    </row>
    <row r="192" spans="1:7" ht="12.75">
      <c r="A192" s="134" t="s">
        <v>80</v>
      </c>
      <c r="B192" s="134">
        <v>110</v>
      </c>
      <c r="C192" s="491">
        <v>59</v>
      </c>
      <c r="D192" s="491">
        <v>12</v>
      </c>
      <c r="E192" s="491">
        <v>0</v>
      </c>
      <c r="F192" s="491">
        <v>0</v>
      </c>
      <c r="G192" s="491">
        <f t="shared" si="2"/>
        <v>71</v>
      </c>
    </row>
    <row r="193" spans="1:7" ht="12.75">
      <c r="A193" s="134" t="s">
        <v>80</v>
      </c>
      <c r="B193" s="134">
        <v>120</v>
      </c>
      <c r="C193" s="491">
        <v>0</v>
      </c>
      <c r="D193" s="491">
        <v>1</v>
      </c>
      <c r="E193" s="491">
        <v>0</v>
      </c>
      <c r="F193" s="491">
        <v>0</v>
      </c>
      <c r="G193" s="491">
        <f t="shared" si="2"/>
        <v>1</v>
      </c>
    </row>
    <row r="194" spans="1:7" ht="12.75">
      <c r="A194" s="134" t="s">
        <v>80</v>
      </c>
      <c r="B194" s="134">
        <v>130</v>
      </c>
      <c r="C194" s="491">
        <v>0</v>
      </c>
      <c r="D194" s="491">
        <v>1</v>
      </c>
      <c r="E194" s="491">
        <v>0</v>
      </c>
      <c r="F194" s="491">
        <v>0</v>
      </c>
      <c r="G194" s="491">
        <f t="shared" si="2"/>
        <v>1</v>
      </c>
    </row>
    <row r="195" spans="1:7" ht="12.75">
      <c r="A195" s="134" t="s">
        <v>80</v>
      </c>
      <c r="B195" s="134">
        <v>140</v>
      </c>
      <c r="C195" s="491">
        <v>0</v>
      </c>
      <c r="D195" s="491">
        <v>1</v>
      </c>
      <c r="E195" s="491">
        <v>0</v>
      </c>
      <c r="F195" s="491">
        <v>0</v>
      </c>
      <c r="G195" s="491">
        <f t="shared" si="2"/>
        <v>1</v>
      </c>
    </row>
    <row r="196" spans="1:7" ht="12.75">
      <c r="A196" s="134" t="s">
        <v>80</v>
      </c>
      <c r="B196" s="134">
        <v>190</v>
      </c>
      <c r="C196" s="491">
        <v>7</v>
      </c>
      <c r="D196" s="491">
        <v>0</v>
      </c>
      <c r="E196" s="491">
        <v>0</v>
      </c>
      <c r="F196" s="491">
        <v>0</v>
      </c>
      <c r="G196" s="491">
        <f t="shared" ref="G196:G259" si="3">SUM(C196:F196)</f>
        <v>7</v>
      </c>
    </row>
    <row r="197" spans="1:7" ht="12.75">
      <c r="A197" s="134" t="s">
        <v>80</v>
      </c>
      <c r="B197" s="134">
        <v>191</v>
      </c>
      <c r="C197" s="491">
        <v>59</v>
      </c>
      <c r="D197" s="491">
        <v>137</v>
      </c>
      <c r="E197" s="491">
        <v>0</v>
      </c>
      <c r="F197" s="491">
        <v>0</v>
      </c>
      <c r="G197" s="491">
        <f t="shared" si="3"/>
        <v>196</v>
      </c>
    </row>
    <row r="198" spans="1:7" ht="12.75">
      <c r="A198" s="134" t="s">
        <v>80</v>
      </c>
      <c r="B198" s="134">
        <v>329</v>
      </c>
      <c r="C198" s="491">
        <v>0</v>
      </c>
      <c r="D198" s="491">
        <v>0</v>
      </c>
      <c r="E198" s="491">
        <v>0</v>
      </c>
      <c r="F198" s="491">
        <v>1</v>
      </c>
      <c r="G198" s="491">
        <f t="shared" si="3"/>
        <v>1</v>
      </c>
    </row>
    <row r="199" spans="1:7" ht="12.75">
      <c r="A199" s="134" t="s">
        <v>80</v>
      </c>
      <c r="B199" s="134">
        <v>330</v>
      </c>
      <c r="C199" s="491">
        <v>1</v>
      </c>
      <c r="D199" s="491">
        <v>0</v>
      </c>
      <c r="E199" s="491">
        <v>0</v>
      </c>
      <c r="F199" s="491">
        <v>0</v>
      </c>
      <c r="G199" s="491">
        <f t="shared" si="3"/>
        <v>1</v>
      </c>
    </row>
    <row r="200" spans="1:7" ht="12.75">
      <c r="A200" s="134" t="s">
        <v>80</v>
      </c>
      <c r="B200" s="134">
        <v>400</v>
      </c>
      <c r="C200" s="491">
        <v>264</v>
      </c>
      <c r="D200" s="491">
        <v>69</v>
      </c>
      <c r="E200" s="491">
        <v>2</v>
      </c>
      <c r="F200" s="491">
        <v>0</v>
      </c>
      <c r="G200" s="491">
        <f t="shared" si="3"/>
        <v>335</v>
      </c>
    </row>
    <row r="201" spans="1:7" ht="12.75">
      <c r="A201" s="134" t="s">
        <v>80</v>
      </c>
      <c r="B201" s="134">
        <v>401</v>
      </c>
      <c r="C201" s="491">
        <v>0</v>
      </c>
      <c r="D201" s="491">
        <v>89</v>
      </c>
      <c r="E201" s="491">
        <v>0</v>
      </c>
      <c r="F201" s="491">
        <v>0</v>
      </c>
      <c r="G201" s="491">
        <f t="shared" si="3"/>
        <v>89</v>
      </c>
    </row>
    <row r="202" spans="1:7" ht="12.75">
      <c r="A202" s="134" t="s">
        <v>80</v>
      </c>
      <c r="B202" s="134">
        <v>410</v>
      </c>
      <c r="C202" s="491">
        <v>2</v>
      </c>
      <c r="D202" s="491">
        <v>1</v>
      </c>
      <c r="E202" s="491">
        <v>0</v>
      </c>
      <c r="F202" s="491">
        <v>0</v>
      </c>
      <c r="G202" s="491">
        <f t="shared" si="3"/>
        <v>3</v>
      </c>
    </row>
    <row r="203" spans="1:7" ht="12.75">
      <c r="A203" s="134" t="s">
        <v>80</v>
      </c>
      <c r="B203" s="134">
        <v>502</v>
      </c>
      <c r="C203" s="491">
        <v>8</v>
      </c>
      <c r="D203" s="491">
        <v>141</v>
      </c>
      <c r="E203" s="491">
        <v>0</v>
      </c>
      <c r="F203" s="491">
        <v>0</v>
      </c>
      <c r="G203" s="491">
        <f t="shared" si="3"/>
        <v>149</v>
      </c>
    </row>
    <row r="204" spans="1:7" ht="12.75">
      <c r="A204" s="134" t="s">
        <v>80</v>
      </c>
      <c r="B204" s="134">
        <v>503</v>
      </c>
      <c r="C204" s="491">
        <v>0</v>
      </c>
      <c r="D204" s="491">
        <v>2</v>
      </c>
      <c r="E204" s="491">
        <v>1</v>
      </c>
      <c r="F204" s="491">
        <v>0</v>
      </c>
      <c r="G204" s="491">
        <f t="shared" si="3"/>
        <v>3</v>
      </c>
    </row>
    <row r="205" spans="1:7" ht="12.75">
      <c r="A205" s="134" t="s">
        <v>80</v>
      </c>
      <c r="B205" s="134">
        <v>812</v>
      </c>
      <c r="C205" s="491">
        <v>0</v>
      </c>
      <c r="D205" s="491">
        <v>2</v>
      </c>
      <c r="E205" s="491">
        <v>0</v>
      </c>
      <c r="F205" s="491">
        <v>0</v>
      </c>
      <c r="G205" s="491">
        <f t="shared" si="3"/>
        <v>2</v>
      </c>
    </row>
    <row r="206" spans="1:7" ht="12.75">
      <c r="A206" s="134" t="s">
        <v>81</v>
      </c>
      <c r="B206" s="134">
        <v>100</v>
      </c>
      <c r="C206" s="491">
        <v>21</v>
      </c>
      <c r="D206" s="491">
        <v>1</v>
      </c>
      <c r="E206" s="491">
        <v>0</v>
      </c>
      <c r="F206" s="491">
        <v>0</v>
      </c>
      <c r="G206" s="491">
        <f t="shared" si="3"/>
        <v>22</v>
      </c>
    </row>
    <row r="207" spans="1:7" ht="12.75">
      <c r="A207" s="134" t="s">
        <v>81</v>
      </c>
      <c r="B207" s="134">
        <v>101</v>
      </c>
      <c r="C207" s="491">
        <v>54</v>
      </c>
      <c r="D207" s="491">
        <v>1</v>
      </c>
      <c r="E207" s="491">
        <v>0</v>
      </c>
      <c r="F207" s="491">
        <v>0</v>
      </c>
      <c r="G207" s="491">
        <f t="shared" si="3"/>
        <v>55</v>
      </c>
    </row>
    <row r="208" spans="1:7" ht="12.75">
      <c r="A208" s="134" t="s">
        <v>81</v>
      </c>
      <c r="B208" s="134">
        <v>103</v>
      </c>
      <c r="C208" s="491">
        <v>9</v>
      </c>
      <c r="D208" s="491">
        <v>0</v>
      </c>
      <c r="E208" s="491">
        <v>0</v>
      </c>
      <c r="F208" s="491">
        <v>0</v>
      </c>
      <c r="G208" s="491">
        <f t="shared" si="3"/>
        <v>9</v>
      </c>
    </row>
    <row r="209" spans="1:7" ht="12.75">
      <c r="A209" s="134" t="s">
        <v>81</v>
      </c>
      <c r="B209" s="134">
        <v>104</v>
      </c>
      <c r="C209" s="491">
        <v>14</v>
      </c>
      <c r="D209" s="491">
        <v>10</v>
      </c>
      <c r="E209" s="491">
        <v>0</v>
      </c>
      <c r="F209" s="491">
        <v>0</v>
      </c>
      <c r="G209" s="491">
        <f t="shared" si="3"/>
        <v>24</v>
      </c>
    </row>
    <row r="210" spans="1:7" ht="12.75">
      <c r="A210" s="134" t="s">
        <v>81</v>
      </c>
      <c r="B210" s="134">
        <v>110</v>
      </c>
      <c r="C210" s="491">
        <v>317</v>
      </c>
      <c r="D210" s="491">
        <v>187</v>
      </c>
      <c r="E210" s="491">
        <v>1</v>
      </c>
      <c r="F210" s="491">
        <v>0</v>
      </c>
      <c r="G210" s="491">
        <f t="shared" si="3"/>
        <v>505</v>
      </c>
    </row>
    <row r="211" spans="1:7" ht="12.75">
      <c r="A211" s="134" t="s">
        <v>81</v>
      </c>
      <c r="B211" s="134">
        <v>120</v>
      </c>
      <c r="C211" s="491">
        <v>1</v>
      </c>
      <c r="D211" s="491">
        <v>5</v>
      </c>
      <c r="E211" s="491">
        <v>0</v>
      </c>
      <c r="F211" s="491">
        <v>0</v>
      </c>
      <c r="G211" s="491">
        <f t="shared" si="3"/>
        <v>6</v>
      </c>
    </row>
    <row r="212" spans="1:7" ht="12.75">
      <c r="A212" s="134" t="s">
        <v>81</v>
      </c>
      <c r="B212" s="134">
        <v>130</v>
      </c>
      <c r="C212" s="491">
        <v>5</v>
      </c>
      <c r="D212" s="491">
        <v>3</v>
      </c>
      <c r="E212" s="491">
        <v>0</v>
      </c>
      <c r="F212" s="491">
        <v>0</v>
      </c>
      <c r="G212" s="491">
        <f t="shared" si="3"/>
        <v>8</v>
      </c>
    </row>
    <row r="213" spans="1:7" ht="12.75">
      <c r="A213" s="134" t="s">
        <v>81</v>
      </c>
      <c r="B213" s="134">
        <v>150</v>
      </c>
      <c r="C213" s="491">
        <v>81</v>
      </c>
      <c r="D213" s="491">
        <v>29</v>
      </c>
      <c r="E213" s="491">
        <v>0</v>
      </c>
      <c r="F213" s="491">
        <v>0</v>
      </c>
      <c r="G213" s="491">
        <f t="shared" si="3"/>
        <v>110</v>
      </c>
    </row>
    <row r="214" spans="1:7" ht="12.75">
      <c r="A214" s="134" t="s">
        <v>81</v>
      </c>
      <c r="B214" s="134">
        <v>190</v>
      </c>
      <c r="C214" s="491">
        <v>21</v>
      </c>
      <c r="D214" s="491">
        <v>6</v>
      </c>
      <c r="E214" s="491">
        <v>0</v>
      </c>
      <c r="F214" s="491">
        <v>0</v>
      </c>
      <c r="G214" s="491">
        <f t="shared" si="3"/>
        <v>27</v>
      </c>
    </row>
    <row r="215" spans="1:7" ht="12.75">
      <c r="A215" s="134" t="s">
        <v>81</v>
      </c>
      <c r="B215" s="134">
        <v>191</v>
      </c>
      <c r="C215" s="491">
        <v>931</v>
      </c>
      <c r="D215" s="491">
        <v>920</v>
      </c>
      <c r="E215" s="491">
        <v>1</v>
      </c>
      <c r="F215" s="491">
        <v>12</v>
      </c>
      <c r="G215" s="491">
        <f t="shared" si="3"/>
        <v>1864</v>
      </c>
    </row>
    <row r="216" spans="1:7" ht="12.75">
      <c r="A216" s="134" t="s">
        <v>81</v>
      </c>
      <c r="B216" s="134">
        <v>300</v>
      </c>
      <c r="C216" s="491">
        <v>6</v>
      </c>
      <c r="D216" s="491">
        <v>1</v>
      </c>
      <c r="E216" s="491">
        <v>0</v>
      </c>
      <c r="F216" s="491">
        <v>0</v>
      </c>
      <c r="G216" s="491">
        <f t="shared" si="3"/>
        <v>7</v>
      </c>
    </row>
    <row r="217" spans="1:7" ht="12.75">
      <c r="A217" s="134" t="s">
        <v>81</v>
      </c>
      <c r="B217" s="134">
        <v>301</v>
      </c>
      <c r="C217" s="491">
        <v>57</v>
      </c>
      <c r="D217" s="491">
        <v>42</v>
      </c>
      <c r="E217" s="491">
        <v>0</v>
      </c>
      <c r="F217" s="491">
        <v>0</v>
      </c>
      <c r="G217" s="491">
        <f t="shared" si="3"/>
        <v>99</v>
      </c>
    </row>
    <row r="218" spans="1:7" ht="12.75">
      <c r="A218" s="134" t="s">
        <v>81</v>
      </c>
      <c r="B218" s="134">
        <v>310</v>
      </c>
      <c r="C218" s="491">
        <v>1</v>
      </c>
      <c r="D218" s="491">
        <v>0</v>
      </c>
      <c r="E218" s="491">
        <v>0</v>
      </c>
      <c r="F218" s="491">
        <v>0</v>
      </c>
      <c r="G218" s="491">
        <f t="shared" si="3"/>
        <v>1</v>
      </c>
    </row>
    <row r="219" spans="1:7" ht="12.75">
      <c r="A219" s="134" t="s">
        <v>81</v>
      </c>
      <c r="B219" s="134">
        <v>315</v>
      </c>
      <c r="C219" s="491">
        <v>1</v>
      </c>
      <c r="D219" s="491">
        <v>0</v>
      </c>
      <c r="E219" s="491">
        <v>0</v>
      </c>
      <c r="F219" s="491">
        <v>0</v>
      </c>
      <c r="G219" s="491">
        <f t="shared" si="3"/>
        <v>1</v>
      </c>
    </row>
    <row r="220" spans="1:7" ht="12.75">
      <c r="A220" s="134" t="s">
        <v>81</v>
      </c>
      <c r="B220" s="134">
        <v>320</v>
      </c>
      <c r="C220" s="491">
        <v>0</v>
      </c>
      <c r="D220" s="491">
        <v>0</v>
      </c>
      <c r="E220" s="491">
        <v>0</v>
      </c>
      <c r="F220" s="491">
        <v>1</v>
      </c>
      <c r="G220" s="491">
        <f t="shared" si="3"/>
        <v>1</v>
      </c>
    </row>
    <row r="221" spans="1:7" ht="12.75">
      <c r="A221" s="134" t="s">
        <v>81</v>
      </c>
      <c r="B221" s="134">
        <v>324</v>
      </c>
      <c r="C221" s="491">
        <v>1</v>
      </c>
      <c r="D221" s="491">
        <v>0</v>
      </c>
      <c r="E221" s="491">
        <v>0</v>
      </c>
      <c r="F221" s="491">
        <v>0</v>
      </c>
      <c r="G221" s="491">
        <f t="shared" si="3"/>
        <v>1</v>
      </c>
    </row>
    <row r="222" spans="1:7" ht="12.75">
      <c r="A222" s="134" t="s">
        <v>81</v>
      </c>
      <c r="B222" s="134">
        <v>330</v>
      </c>
      <c r="C222" s="491">
        <v>3</v>
      </c>
      <c r="D222" s="491">
        <v>2</v>
      </c>
      <c r="E222" s="491">
        <v>0</v>
      </c>
      <c r="F222" s="491">
        <v>0</v>
      </c>
      <c r="G222" s="491">
        <f t="shared" si="3"/>
        <v>5</v>
      </c>
    </row>
    <row r="223" spans="1:7" ht="12.75">
      <c r="A223" s="134" t="s">
        <v>81</v>
      </c>
      <c r="B223" s="134">
        <v>370</v>
      </c>
      <c r="C223" s="491">
        <v>1</v>
      </c>
      <c r="D223" s="491">
        <v>0</v>
      </c>
      <c r="E223" s="491">
        <v>0</v>
      </c>
      <c r="F223" s="491">
        <v>0</v>
      </c>
      <c r="G223" s="491">
        <f t="shared" si="3"/>
        <v>1</v>
      </c>
    </row>
    <row r="224" spans="1:7" ht="12.75">
      <c r="A224" s="134" t="s">
        <v>81</v>
      </c>
      <c r="B224" s="134">
        <v>400</v>
      </c>
      <c r="C224" s="491">
        <v>10</v>
      </c>
      <c r="D224" s="491">
        <v>0</v>
      </c>
      <c r="E224" s="491">
        <v>0</v>
      </c>
      <c r="F224" s="491">
        <v>0</v>
      </c>
      <c r="G224" s="491">
        <f t="shared" si="3"/>
        <v>10</v>
      </c>
    </row>
    <row r="225" spans="1:7" ht="12.75">
      <c r="A225" s="134" t="s">
        <v>81</v>
      </c>
      <c r="B225" s="134">
        <v>401</v>
      </c>
      <c r="C225" s="491">
        <v>0</v>
      </c>
      <c r="D225" s="491">
        <v>1</v>
      </c>
      <c r="E225" s="491">
        <v>0</v>
      </c>
      <c r="F225" s="491">
        <v>0</v>
      </c>
      <c r="G225" s="491">
        <f t="shared" si="3"/>
        <v>1</v>
      </c>
    </row>
    <row r="226" spans="1:7" ht="12.75">
      <c r="A226" s="134" t="s">
        <v>81</v>
      </c>
      <c r="B226" s="134">
        <v>410</v>
      </c>
      <c r="C226" s="491">
        <v>30</v>
      </c>
      <c r="D226" s="491">
        <v>9</v>
      </c>
      <c r="E226" s="491">
        <v>0</v>
      </c>
      <c r="F226" s="491">
        <v>0</v>
      </c>
      <c r="G226" s="491">
        <f t="shared" si="3"/>
        <v>39</v>
      </c>
    </row>
    <row r="227" spans="1:7" ht="12.75">
      <c r="A227" s="134" t="s">
        <v>81</v>
      </c>
      <c r="B227" s="134">
        <v>501</v>
      </c>
      <c r="C227" s="491">
        <v>1</v>
      </c>
      <c r="D227" s="491">
        <v>0</v>
      </c>
      <c r="E227" s="491">
        <v>0</v>
      </c>
      <c r="F227" s="491">
        <v>0</v>
      </c>
      <c r="G227" s="491">
        <f t="shared" si="3"/>
        <v>1</v>
      </c>
    </row>
    <row r="228" spans="1:7" ht="12.75">
      <c r="A228" s="134" t="s">
        <v>81</v>
      </c>
      <c r="B228" s="134">
        <v>502</v>
      </c>
      <c r="C228" s="491">
        <v>9</v>
      </c>
      <c r="D228" s="491">
        <v>2</v>
      </c>
      <c r="E228" s="491">
        <v>0</v>
      </c>
      <c r="F228" s="491">
        <v>0</v>
      </c>
      <c r="G228" s="491">
        <f t="shared" si="3"/>
        <v>11</v>
      </c>
    </row>
    <row r="229" spans="1:7" ht="12.75">
      <c r="A229" s="134" t="s">
        <v>81</v>
      </c>
      <c r="B229" s="134">
        <v>650</v>
      </c>
      <c r="C229" s="491">
        <v>3</v>
      </c>
      <c r="D229" s="491">
        <v>0</v>
      </c>
      <c r="E229" s="491">
        <v>0</v>
      </c>
      <c r="F229" s="491">
        <v>0</v>
      </c>
      <c r="G229" s="491">
        <f t="shared" si="3"/>
        <v>3</v>
      </c>
    </row>
    <row r="230" spans="1:7" ht="12.75">
      <c r="A230" s="134" t="s">
        <v>81</v>
      </c>
      <c r="B230" s="134">
        <v>653</v>
      </c>
      <c r="C230" s="491">
        <v>1</v>
      </c>
      <c r="D230" s="491">
        <v>0</v>
      </c>
      <c r="E230" s="491">
        <v>0</v>
      </c>
      <c r="F230" s="491">
        <v>0</v>
      </c>
      <c r="G230" s="491">
        <f t="shared" si="3"/>
        <v>1</v>
      </c>
    </row>
    <row r="231" spans="1:7" ht="12.75">
      <c r="A231" s="134" t="s">
        <v>81</v>
      </c>
      <c r="B231" s="134">
        <v>800</v>
      </c>
      <c r="C231" s="491">
        <v>1</v>
      </c>
      <c r="D231" s="491">
        <v>0</v>
      </c>
      <c r="E231" s="491">
        <v>0</v>
      </c>
      <c r="F231" s="491">
        <v>0</v>
      </c>
      <c r="G231" s="491">
        <f t="shared" si="3"/>
        <v>1</v>
      </c>
    </row>
    <row r="232" spans="1:7" ht="12.75">
      <c r="A232" s="134" t="s">
        <v>81</v>
      </c>
      <c r="B232" s="134">
        <v>811</v>
      </c>
      <c r="C232" s="491">
        <v>32</v>
      </c>
      <c r="D232" s="491">
        <v>603</v>
      </c>
      <c r="E232" s="491">
        <v>0</v>
      </c>
      <c r="F232" s="491">
        <v>0</v>
      </c>
      <c r="G232" s="491">
        <f t="shared" si="3"/>
        <v>635</v>
      </c>
    </row>
    <row r="233" spans="1:7" ht="12.75">
      <c r="A233" s="134" t="s">
        <v>81</v>
      </c>
      <c r="B233" s="134">
        <v>812</v>
      </c>
      <c r="C233" s="491">
        <v>615</v>
      </c>
      <c r="D233" s="491">
        <v>1872</v>
      </c>
      <c r="E233" s="491">
        <v>0</v>
      </c>
      <c r="F233" s="491">
        <v>11</v>
      </c>
      <c r="G233" s="491">
        <f t="shared" si="3"/>
        <v>2498</v>
      </c>
    </row>
    <row r="234" spans="1:7" ht="12.75">
      <c r="A234" s="134" t="s">
        <v>477</v>
      </c>
      <c r="B234" s="134">
        <v>100</v>
      </c>
      <c r="C234" s="491">
        <v>98</v>
      </c>
      <c r="D234" s="491">
        <v>9</v>
      </c>
      <c r="E234" s="491">
        <v>0</v>
      </c>
      <c r="F234" s="491">
        <v>0</v>
      </c>
      <c r="G234" s="491">
        <f t="shared" si="3"/>
        <v>107</v>
      </c>
    </row>
    <row r="235" spans="1:7" ht="12.75">
      <c r="A235" s="134" t="s">
        <v>477</v>
      </c>
      <c r="B235" s="134">
        <v>101</v>
      </c>
      <c r="C235" s="491">
        <v>0</v>
      </c>
      <c r="D235" s="491">
        <v>1</v>
      </c>
      <c r="E235" s="491">
        <v>0</v>
      </c>
      <c r="F235" s="491">
        <v>0</v>
      </c>
      <c r="G235" s="491">
        <f t="shared" si="3"/>
        <v>1</v>
      </c>
    </row>
    <row r="236" spans="1:7" ht="12.75">
      <c r="A236" s="134" t="s">
        <v>477</v>
      </c>
      <c r="B236" s="134">
        <v>104</v>
      </c>
      <c r="C236" s="491">
        <v>87</v>
      </c>
      <c r="D236" s="491">
        <v>1</v>
      </c>
      <c r="E236" s="491">
        <v>0</v>
      </c>
      <c r="F236" s="491">
        <v>0</v>
      </c>
      <c r="G236" s="491">
        <f t="shared" si="3"/>
        <v>88</v>
      </c>
    </row>
    <row r="237" spans="1:7" ht="12.75">
      <c r="A237" s="134" t="s">
        <v>477</v>
      </c>
      <c r="B237" s="134">
        <v>105</v>
      </c>
      <c r="C237" s="491">
        <v>1</v>
      </c>
      <c r="D237" s="491">
        <v>0</v>
      </c>
      <c r="E237" s="491">
        <v>0</v>
      </c>
      <c r="F237" s="491">
        <v>0</v>
      </c>
      <c r="G237" s="491">
        <f t="shared" si="3"/>
        <v>1</v>
      </c>
    </row>
    <row r="238" spans="1:7" ht="12.75">
      <c r="A238" s="134" t="s">
        <v>477</v>
      </c>
      <c r="B238" s="134">
        <v>106</v>
      </c>
      <c r="C238" s="491">
        <v>12</v>
      </c>
      <c r="D238" s="491">
        <v>4</v>
      </c>
      <c r="E238" s="491">
        <v>0</v>
      </c>
      <c r="F238" s="491">
        <v>0</v>
      </c>
      <c r="G238" s="491">
        <f t="shared" si="3"/>
        <v>16</v>
      </c>
    </row>
    <row r="239" spans="1:7" ht="12.75">
      <c r="A239" s="134" t="s">
        <v>477</v>
      </c>
      <c r="B239" s="134">
        <v>108</v>
      </c>
      <c r="C239" s="491">
        <v>59</v>
      </c>
      <c r="D239" s="491">
        <v>4</v>
      </c>
      <c r="E239" s="491">
        <v>0</v>
      </c>
      <c r="F239" s="491">
        <v>0</v>
      </c>
      <c r="G239" s="491">
        <f t="shared" si="3"/>
        <v>63</v>
      </c>
    </row>
    <row r="240" spans="1:7" ht="12.75">
      <c r="A240" s="134" t="s">
        <v>477</v>
      </c>
      <c r="B240" s="134">
        <v>110</v>
      </c>
      <c r="C240" s="491">
        <v>1171</v>
      </c>
      <c r="D240" s="491">
        <v>774</v>
      </c>
      <c r="E240" s="491">
        <v>4</v>
      </c>
      <c r="F240" s="491">
        <v>3</v>
      </c>
      <c r="G240" s="491">
        <f t="shared" si="3"/>
        <v>1952</v>
      </c>
    </row>
    <row r="241" spans="1:7" ht="12.75">
      <c r="A241" s="134" t="s">
        <v>477</v>
      </c>
      <c r="B241" s="134">
        <v>120</v>
      </c>
      <c r="C241" s="491">
        <v>0</v>
      </c>
      <c r="D241" s="491">
        <v>4</v>
      </c>
      <c r="E241" s="491">
        <v>0</v>
      </c>
      <c r="F241" s="491">
        <v>0</v>
      </c>
      <c r="G241" s="491">
        <f t="shared" si="3"/>
        <v>4</v>
      </c>
    </row>
    <row r="242" spans="1:7" ht="12.75">
      <c r="A242" s="134" t="s">
        <v>477</v>
      </c>
      <c r="B242" s="134">
        <v>140</v>
      </c>
      <c r="C242" s="491">
        <v>343</v>
      </c>
      <c r="D242" s="491">
        <v>1</v>
      </c>
      <c r="E242" s="491">
        <v>70</v>
      </c>
      <c r="F242" s="491">
        <v>0</v>
      </c>
      <c r="G242" s="491">
        <f t="shared" si="3"/>
        <v>414</v>
      </c>
    </row>
    <row r="243" spans="1:7" ht="12.75">
      <c r="A243" s="134" t="s">
        <v>477</v>
      </c>
      <c r="B243" s="134">
        <v>142</v>
      </c>
      <c r="C243" s="491">
        <v>14</v>
      </c>
      <c r="D243" s="491">
        <v>0</v>
      </c>
      <c r="E243" s="491">
        <v>1</v>
      </c>
      <c r="F243" s="491">
        <v>0</v>
      </c>
      <c r="G243" s="491">
        <f t="shared" si="3"/>
        <v>15</v>
      </c>
    </row>
    <row r="244" spans="1:7" ht="12.75">
      <c r="A244" s="134" t="s">
        <v>477</v>
      </c>
      <c r="B244" s="134">
        <v>144</v>
      </c>
      <c r="C244" s="491">
        <v>28</v>
      </c>
      <c r="D244" s="491">
        <v>0</v>
      </c>
      <c r="E244" s="491">
        <v>9</v>
      </c>
      <c r="F244" s="491">
        <v>0</v>
      </c>
      <c r="G244" s="491">
        <f t="shared" si="3"/>
        <v>37</v>
      </c>
    </row>
    <row r="245" spans="1:7" ht="12.75">
      <c r="A245" s="134" t="s">
        <v>477</v>
      </c>
      <c r="B245" s="134">
        <v>150</v>
      </c>
      <c r="C245" s="491">
        <v>13</v>
      </c>
      <c r="D245" s="491">
        <v>0</v>
      </c>
      <c r="E245" s="491">
        <v>0</v>
      </c>
      <c r="F245" s="491">
        <v>0</v>
      </c>
      <c r="G245" s="491">
        <f t="shared" si="3"/>
        <v>13</v>
      </c>
    </row>
    <row r="246" spans="1:7" ht="12.75">
      <c r="A246" s="134" t="s">
        <v>477</v>
      </c>
      <c r="B246" s="134">
        <v>160</v>
      </c>
      <c r="C246" s="491">
        <v>222</v>
      </c>
      <c r="D246" s="491">
        <v>247</v>
      </c>
      <c r="E246" s="491">
        <v>13</v>
      </c>
      <c r="F246" s="491">
        <v>19</v>
      </c>
      <c r="G246" s="491">
        <f t="shared" si="3"/>
        <v>501</v>
      </c>
    </row>
    <row r="247" spans="1:7" ht="12.75">
      <c r="A247" s="134" t="s">
        <v>477</v>
      </c>
      <c r="B247" s="134">
        <v>180</v>
      </c>
      <c r="C247" s="491">
        <v>0</v>
      </c>
      <c r="D247" s="491">
        <v>1</v>
      </c>
      <c r="E247" s="491">
        <v>0</v>
      </c>
      <c r="F247" s="491">
        <v>0</v>
      </c>
      <c r="G247" s="491">
        <f t="shared" si="3"/>
        <v>1</v>
      </c>
    </row>
    <row r="248" spans="1:7" ht="12.75">
      <c r="A248" s="134" t="s">
        <v>477</v>
      </c>
      <c r="B248" s="134">
        <v>190</v>
      </c>
      <c r="C248" s="491">
        <v>15</v>
      </c>
      <c r="D248" s="491">
        <v>3</v>
      </c>
      <c r="E248" s="491">
        <v>0</v>
      </c>
      <c r="F248" s="491">
        <v>0</v>
      </c>
      <c r="G248" s="491">
        <f t="shared" si="3"/>
        <v>18</v>
      </c>
    </row>
    <row r="249" spans="1:7" ht="12.75">
      <c r="A249" s="134" t="s">
        <v>477</v>
      </c>
      <c r="B249" s="134">
        <v>191</v>
      </c>
      <c r="C249" s="491">
        <v>5882</v>
      </c>
      <c r="D249" s="491">
        <v>873</v>
      </c>
      <c r="E249" s="491">
        <v>211</v>
      </c>
      <c r="F249" s="491">
        <v>4</v>
      </c>
      <c r="G249" s="491">
        <f t="shared" si="3"/>
        <v>6970</v>
      </c>
    </row>
    <row r="250" spans="1:7" ht="12.75">
      <c r="A250" s="134" t="s">
        <v>477</v>
      </c>
      <c r="B250" s="134">
        <v>214</v>
      </c>
      <c r="C250" s="491">
        <v>1</v>
      </c>
      <c r="D250" s="491">
        <v>0</v>
      </c>
      <c r="E250" s="491">
        <v>0</v>
      </c>
      <c r="F250" s="491">
        <v>0</v>
      </c>
      <c r="G250" s="491">
        <f t="shared" si="3"/>
        <v>1</v>
      </c>
    </row>
    <row r="251" spans="1:7" ht="12.75">
      <c r="A251" s="134" t="s">
        <v>477</v>
      </c>
      <c r="B251" s="134">
        <v>255</v>
      </c>
      <c r="C251" s="491">
        <v>0</v>
      </c>
      <c r="D251" s="491">
        <v>0</v>
      </c>
      <c r="E251" s="491">
        <v>0</v>
      </c>
      <c r="F251" s="491">
        <v>1</v>
      </c>
      <c r="G251" s="491">
        <f t="shared" si="3"/>
        <v>1</v>
      </c>
    </row>
    <row r="252" spans="1:7" ht="12.75">
      <c r="A252" s="134" t="s">
        <v>477</v>
      </c>
      <c r="B252" s="134">
        <v>300</v>
      </c>
      <c r="C252" s="491">
        <v>1</v>
      </c>
      <c r="D252" s="491">
        <v>0</v>
      </c>
      <c r="E252" s="491">
        <v>0</v>
      </c>
      <c r="F252" s="491">
        <v>0</v>
      </c>
      <c r="G252" s="491">
        <f t="shared" si="3"/>
        <v>1</v>
      </c>
    </row>
    <row r="253" spans="1:7" ht="12.75">
      <c r="A253" s="134" t="s">
        <v>477</v>
      </c>
      <c r="B253" s="134">
        <v>301</v>
      </c>
      <c r="C253" s="491">
        <v>0</v>
      </c>
      <c r="D253" s="491">
        <v>1</v>
      </c>
      <c r="E253" s="491">
        <v>0</v>
      </c>
      <c r="F253" s="491">
        <v>0</v>
      </c>
      <c r="G253" s="491">
        <f t="shared" si="3"/>
        <v>1</v>
      </c>
    </row>
    <row r="254" spans="1:7" ht="12.75">
      <c r="A254" s="134" t="s">
        <v>477</v>
      </c>
      <c r="B254" s="134">
        <v>302</v>
      </c>
      <c r="C254" s="491">
        <v>1</v>
      </c>
      <c r="D254" s="491">
        <v>0</v>
      </c>
      <c r="E254" s="491">
        <v>0</v>
      </c>
      <c r="F254" s="491">
        <v>0</v>
      </c>
      <c r="G254" s="491">
        <f t="shared" si="3"/>
        <v>1</v>
      </c>
    </row>
    <row r="255" spans="1:7" ht="12.75">
      <c r="A255" s="134" t="s">
        <v>477</v>
      </c>
      <c r="B255" s="134">
        <v>303</v>
      </c>
      <c r="C255" s="491">
        <v>0</v>
      </c>
      <c r="D255" s="491">
        <v>1</v>
      </c>
      <c r="E255" s="491">
        <v>0</v>
      </c>
      <c r="F255" s="491">
        <v>0</v>
      </c>
      <c r="G255" s="491">
        <f t="shared" si="3"/>
        <v>1</v>
      </c>
    </row>
    <row r="256" spans="1:7" ht="12.75">
      <c r="A256" s="134" t="s">
        <v>477</v>
      </c>
      <c r="B256" s="134">
        <v>306</v>
      </c>
      <c r="C256" s="491">
        <v>0</v>
      </c>
      <c r="D256" s="491">
        <v>1</v>
      </c>
      <c r="E256" s="491">
        <v>0</v>
      </c>
      <c r="F256" s="491">
        <v>0</v>
      </c>
      <c r="G256" s="491">
        <f t="shared" si="3"/>
        <v>1</v>
      </c>
    </row>
    <row r="257" spans="1:7" ht="12.75">
      <c r="A257" s="134" t="s">
        <v>477</v>
      </c>
      <c r="B257" s="134">
        <v>314</v>
      </c>
      <c r="C257" s="491">
        <v>14</v>
      </c>
      <c r="D257" s="491">
        <v>17</v>
      </c>
      <c r="E257" s="491">
        <v>0</v>
      </c>
      <c r="F257" s="491">
        <v>0</v>
      </c>
      <c r="G257" s="491">
        <f t="shared" si="3"/>
        <v>31</v>
      </c>
    </row>
    <row r="258" spans="1:7" ht="12.75">
      <c r="A258" s="134" t="s">
        <v>477</v>
      </c>
      <c r="B258" s="134">
        <v>315</v>
      </c>
      <c r="C258" s="491">
        <v>2</v>
      </c>
      <c r="D258" s="491">
        <v>0</v>
      </c>
      <c r="E258" s="491">
        <v>0</v>
      </c>
      <c r="F258" s="491">
        <v>0</v>
      </c>
      <c r="G258" s="491">
        <f t="shared" si="3"/>
        <v>2</v>
      </c>
    </row>
    <row r="259" spans="1:7" ht="12.75">
      <c r="A259" s="134" t="s">
        <v>477</v>
      </c>
      <c r="B259" s="134">
        <v>320</v>
      </c>
      <c r="C259" s="491">
        <v>0</v>
      </c>
      <c r="D259" s="491">
        <v>2</v>
      </c>
      <c r="E259" s="491">
        <v>0</v>
      </c>
      <c r="F259" s="491">
        <v>0</v>
      </c>
      <c r="G259" s="491">
        <f t="shared" si="3"/>
        <v>2</v>
      </c>
    </row>
    <row r="260" spans="1:7" ht="12.75">
      <c r="A260" s="134" t="s">
        <v>477</v>
      </c>
      <c r="B260" s="134">
        <v>323</v>
      </c>
      <c r="C260" s="491">
        <v>2</v>
      </c>
      <c r="D260" s="491">
        <v>0</v>
      </c>
      <c r="E260" s="491">
        <v>0</v>
      </c>
      <c r="F260" s="491">
        <v>0</v>
      </c>
      <c r="G260" s="491">
        <f t="shared" ref="G260:G323" si="4">SUM(C260:F260)</f>
        <v>2</v>
      </c>
    </row>
    <row r="261" spans="1:7" ht="12.75">
      <c r="A261" s="134" t="s">
        <v>477</v>
      </c>
      <c r="B261" s="134">
        <v>324</v>
      </c>
      <c r="C261" s="491">
        <v>0</v>
      </c>
      <c r="D261" s="491">
        <v>1</v>
      </c>
      <c r="E261" s="491">
        <v>0</v>
      </c>
      <c r="F261" s="491">
        <v>0</v>
      </c>
      <c r="G261" s="491">
        <f t="shared" si="4"/>
        <v>1</v>
      </c>
    </row>
    <row r="262" spans="1:7" ht="12.75">
      <c r="A262" s="134" t="s">
        <v>477</v>
      </c>
      <c r="B262" s="134">
        <v>325</v>
      </c>
      <c r="C262" s="491">
        <v>1</v>
      </c>
      <c r="D262" s="491">
        <v>0</v>
      </c>
      <c r="E262" s="491">
        <v>0</v>
      </c>
      <c r="F262" s="491">
        <v>0</v>
      </c>
      <c r="G262" s="491">
        <f t="shared" si="4"/>
        <v>1</v>
      </c>
    </row>
    <row r="263" spans="1:7" ht="12.75">
      <c r="A263" s="134" t="s">
        <v>477</v>
      </c>
      <c r="B263" s="134">
        <v>329</v>
      </c>
      <c r="C263" s="491">
        <v>1</v>
      </c>
      <c r="D263" s="491">
        <v>0</v>
      </c>
      <c r="E263" s="491">
        <v>0</v>
      </c>
      <c r="F263" s="491">
        <v>0</v>
      </c>
      <c r="G263" s="491">
        <f t="shared" si="4"/>
        <v>1</v>
      </c>
    </row>
    <row r="264" spans="1:7" ht="12.75">
      <c r="A264" s="134" t="s">
        <v>477</v>
      </c>
      <c r="B264" s="134">
        <v>330</v>
      </c>
      <c r="C264" s="491">
        <v>1</v>
      </c>
      <c r="D264" s="491">
        <v>0</v>
      </c>
      <c r="E264" s="491">
        <v>0</v>
      </c>
      <c r="F264" s="491">
        <v>0</v>
      </c>
      <c r="G264" s="491">
        <f t="shared" si="4"/>
        <v>1</v>
      </c>
    </row>
    <row r="265" spans="1:7" ht="12.75">
      <c r="A265" s="134" t="s">
        <v>477</v>
      </c>
      <c r="B265" s="134">
        <v>361</v>
      </c>
      <c r="C265" s="491">
        <v>0</v>
      </c>
      <c r="D265" s="491">
        <v>1</v>
      </c>
      <c r="E265" s="491">
        <v>0</v>
      </c>
      <c r="F265" s="491">
        <v>0</v>
      </c>
      <c r="G265" s="491">
        <f t="shared" si="4"/>
        <v>1</v>
      </c>
    </row>
    <row r="266" spans="1:7" ht="12.75">
      <c r="A266" s="134" t="s">
        <v>477</v>
      </c>
      <c r="B266" s="134">
        <v>400</v>
      </c>
      <c r="C266" s="491">
        <v>194</v>
      </c>
      <c r="D266" s="491">
        <v>200</v>
      </c>
      <c r="E266" s="491">
        <v>0</v>
      </c>
      <c r="F266" s="491">
        <v>0</v>
      </c>
      <c r="G266" s="491">
        <f t="shared" si="4"/>
        <v>394</v>
      </c>
    </row>
    <row r="267" spans="1:7" ht="12.75">
      <c r="A267" s="134" t="s">
        <v>477</v>
      </c>
      <c r="B267" s="134">
        <v>401</v>
      </c>
      <c r="C267" s="491">
        <v>0</v>
      </c>
      <c r="D267" s="491">
        <v>1</v>
      </c>
      <c r="E267" s="491">
        <v>0</v>
      </c>
      <c r="F267" s="491">
        <v>0</v>
      </c>
      <c r="G267" s="491">
        <f t="shared" si="4"/>
        <v>1</v>
      </c>
    </row>
    <row r="268" spans="1:7" ht="12.75">
      <c r="A268" s="134" t="s">
        <v>477</v>
      </c>
      <c r="B268" s="134">
        <v>410</v>
      </c>
      <c r="C268" s="491">
        <v>946</v>
      </c>
      <c r="D268" s="491">
        <v>267</v>
      </c>
      <c r="E268" s="491">
        <v>5</v>
      </c>
      <c r="F268" s="491">
        <v>1</v>
      </c>
      <c r="G268" s="491">
        <f t="shared" si="4"/>
        <v>1219</v>
      </c>
    </row>
    <row r="269" spans="1:7" ht="12.75">
      <c r="A269" s="134" t="s">
        <v>477</v>
      </c>
      <c r="B269" s="134">
        <v>430</v>
      </c>
      <c r="C269" s="491">
        <v>2</v>
      </c>
      <c r="D269" s="491">
        <v>1</v>
      </c>
      <c r="E269" s="491">
        <v>0</v>
      </c>
      <c r="F269" s="491">
        <v>0</v>
      </c>
      <c r="G269" s="491">
        <f t="shared" si="4"/>
        <v>3</v>
      </c>
    </row>
    <row r="270" spans="1:7" ht="12.75">
      <c r="A270" s="134" t="s">
        <v>477</v>
      </c>
      <c r="B270" s="134">
        <v>501</v>
      </c>
      <c r="C270" s="491">
        <v>2</v>
      </c>
      <c r="D270" s="491">
        <v>3</v>
      </c>
      <c r="E270" s="491">
        <v>0</v>
      </c>
      <c r="F270" s="491">
        <v>0</v>
      </c>
      <c r="G270" s="491">
        <f t="shared" si="4"/>
        <v>5</v>
      </c>
    </row>
    <row r="271" spans="1:7" ht="12.75">
      <c r="A271" s="134" t="s">
        <v>477</v>
      </c>
      <c r="B271" s="134">
        <v>502</v>
      </c>
      <c r="C271" s="491">
        <v>73</v>
      </c>
      <c r="D271" s="491">
        <v>9</v>
      </c>
      <c r="E271" s="491">
        <v>0</v>
      </c>
      <c r="F271" s="491">
        <v>0</v>
      </c>
      <c r="G271" s="491">
        <f t="shared" si="4"/>
        <v>82</v>
      </c>
    </row>
    <row r="272" spans="1:7" ht="12.75">
      <c r="A272" s="134" t="s">
        <v>477</v>
      </c>
      <c r="B272" s="134">
        <v>560</v>
      </c>
      <c r="C272" s="491">
        <v>1</v>
      </c>
      <c r="D272" s="491">
        <v>0</v>
      </c>
      <c r="E272" s="491">
        <v>0</v>
      </c>
      <c r="F272" s="491">
        <v>0</v>
      </c>
      <c r="G272" s="491">
        <f t="shared" si="4"/>
        <v>1</v>
      </c>
    </row>
    <row r="273" spans="1:7" ht="12.75">
      <c r="A273" s="134" t="s">
        <v>477</v>
      </c>
      <c r="B273" s="134">
        <v>650</v>
      </c>
      <c r="C273" s="491">
        <v>3</v>
      </c>
      <c r="D273" s="491">
        <v>1</v>
      </c>
      <c r="E273" s="491">
        <v>0</v>
      </c>
      <c r="F273" s="491">
        <v>0</v>
      </c>
      <c r="G273" s="491">
        <f t="shared" si="4"/>
        <v>4</v>
      </c>
    </row>
    <row r="274" spans="1:7" ht="12.75">
      <c r="A274" s="134" t="s">
        <v>477</v>
      </c>
      <c r="B274" s="134">
        <v>651</v>
      </c>
      <c r="C274" s="491">
        <v>2</v>
      </c>
      <c r="D274" s="491">
        <v>0</v>
      </c>
      <c r="E274" s="491">
        <v>0</v>
      </c>
      <c r="F274" s="491">
        <v>0</v>
      </c>
      <c r="G274" s="491">
        <f t="shared" si="4"/>
        <v>2</v>
      </c>
    </row>
    <row r="275" spans="1:7" ht="12.75">
      <c r="A275" s="134" t="s">
        <v>477</v>
      </c>
      <c r="B275" s="134">
        <v>653</v>
      </c>
      <c r="C275" s="491">
        <v>2</v>
      </c>
      <c r="D275" s="491">
        <v>1</v>
      </c>
      <c r="E275" s="491">
        <v>0</v>
      </c>
      <c r="F275" s="491">
        <v>0</v>
      </c>
      <c r="G275" s="491">
        <f t="shared" si="4"/>
        <v>3</v>
      </c>
    </row>
    <row r="276" spans="1:7" ht="12.75">
      <c r="A276" s="134" t="s">
        <v>477</v>
      </c>
      <c r="B276" s="134">
        <v>655</v>
      </c>
      <c r="C276" s="491">
        <v>1</v>
      </c>
      <c r="D276" s="491">
        <v>0</v>
      </c>
      <c r="E276" s="491">
        <v>0</v>
      </c>
      <c r="F276" s="491">
        <v>0</v>
      </c>
      <c r="G276" s="491">
        <f t="shared" si="4"/>
        <v>1</v>
      </c>
    </row>
    <row r="277" spans="1:7" ht="12.75">
      <c r="A277" s="134" t="s">
        <v>477</v>
      </c>
      <c r="B277" s="134">
        <v>800</v>
      </c>
      <c r="C277" s="491">
        <v>0</v>
      </c>
      <c r="D277" s="491">
        <v>7</v>
      </c>
      <c r="E277" s="491">
        <v>0</v>
      </c>
      <c r="F277" s="491">
        <v>0</v>
      </c>
      <c r="G277" s="491">
        <f t="shared" si="4"/>
        <v>7</v>
      </c>
    </row>
    <row r="278" spans="1:7" ht="12.75">
      <c r="A278" s="134" t="s">
        <v>477</v>
      </c>
      <c r="B278" s="134">
        <v>811</v>
      </c>
      <c r="C278" s="491">
        <v>2</v>
      </c>
      <c r="D278" s="491">
        <v>13</v>
      </c>
      <c r="E278" s="491">
        <v>0</v>
      </c>
      <c r="F278" s="491">
        <v>0</v>
      </c>
      <c r="G278" s="491">
        <f t="shared" si="4"/>
        <v>15</v>
      </c>
    </row>
    <row r="279" spans="1:7" ht="12.75">
      <c r="A279" s="134" t="s">
        <v>477</v>
      </c>
      <c r="B279" s="134">
        <v>812</v>
      </c>
      <c r="C279" s="491">
        <v>158</v>
      </c>
      <c r="D279" s="491">
        <v>516</v>
      </c>
      <c r="E279" s="491">
        <v>0</v>
      </c>
      <c r="F279" s="491">
        <v>0</v>
      </c>
      <c r="G279" s="491">
        <f t="shared" si="4"/>
        <v>674</v>
      </c>
    </row>
    <row r="280" spans="1:7" ht="12.75">
      <c r="A280" s="134" t="s">
        <v>488</v>
      </c>
      <c r="B280" s="134">
        <v>100</v>
      </c>
      <c r="C280" s="491">
        <v>769</v>
      </c>
      <c r="D280" s="491">
        <v>20</v>
      </c>
      <c r="E280" s="491">
        <v>33</v>
      </c>
      <c r="F280" s="491">
        <v>1</v>
      </c>
      <c r="G280" s="491">
        <f t="shared" si="4"/>
        <v>823</v>
      </c>
    </row>
    <row r="281" spans="1:7" ht="12.75">
      <c r="A281" s="134" t="s">
        <v>488</v>
      </c>
      <c r="B281" s="134">
        <v>101</v>
      </c>
      <c r="C281" s="491">
        <v>2557</v>
      </c>
      <c r="D281" s="491">
        <v>34</v>
      </c>
      <c r="E281" s="491">
        <v>0</v>
      </c>
      <c r="F281" s="491">
        <v>0</v>
      </c>
      <c r="G281" s="491">
        <f t="shared" si="4"/>
        <v>2591</v>
      </c>
    </row>
    <row r="282" spans="1:7" ht="12.75">
      <c r="A282" s="134" t="s">
        <v>488</v>
      </c>
      <c r="B282" s="134">
        <v>103</v>
      </c>
      <c r="C282" s="491">
        <v>6</v>
      </c>
      <c r="D282" s="491">
        <v>1</v>
      </c>
      <c r="E282" s="491">
        <v>0</v>
      </c>
      <c r="F282" s="491">
        <v>0</v>
      </c>
      <c r="G282" s="491">
        <f t="shared" si="4"/>
        <v>7</v>
      </c>
    </row>
    <row r="283" spans="1:7" ht="12.75">
      <c r="A283" s="134" t="s">
        <v>488</v>
      </c>
      <c r="B283" s="134">
        <v>104</v>
      </c>
      <c r="C283" s="491">
        <v>677</v>
      </c>
      <c r="D283" s="491">
        <v>12</v>
      </c>
      <c r="E283" s="491">
        <v>1</v>
      </c>
      <c r="F283" s="491">
        <v>0</v>
      </c>
      <c r="G283" s="491">
        <f t="shared" si="4"/>
        <v>690</v>
      </c>
    </row>
    <row r="284" spans="1:7" ht="12.75">
      <c r="A284" s="134" t="s">
        <v>488</v>
      </c>
      <c r="B284" s="134">
        <v>106</v>
      </c>
      <c r="C284" s="491">
        <v>0</v>
      </c>
      <c r="D284" s="491">
        <v>1</v>
      </c>
      <c r="E284" s="491">
        <v>0</v>
      </c>
      <c r="F284" s="491">
        <v>0</v>
      </c>
      <c r="G284" s="491">
        <f t="shared" si="4"/>
        <v>1</v>
      </c>
    </row>
    <row r="285" spans="1:7" ht="12.75">
      <c r="A285" s="134" t="s">
        <v>488</v>
      </c>
      <c r="B285" s="134">
        <v>107</v>
      </c>
      <c r="C285" s="491">
        <v>0</v>
      </c>
      <c r="D285" s="491">
        <v>2</v>
      </c>
      <c r="E285" s="491">
        <v>0</v>
      </c>
      <c r="F285" s="491">
        <v>0</v>
      </c>
      <c r="G285" s="491">
        <f t="shared" si="4"/>
        <v>2</v>
      </c>
    </row>
    <row r="286" spans="1:7" ht="12.75">
      <c r="A286" s="134" t="s">
        <v>488</v>
      </c>
      <c r="B286" s="134">
        <v>110</v>
      </c>
      <c r="C286" s="491">
        <v>116</v>
      </c>
      <c r="D286" s="491">
        <v>25</v>
      </c>
      <c r="E286" s="491">
        <v>0</v>
      </c>
      <c r="F286" s="491">
        <v>0</v>
      </c>
      <c r="G286" s="491">
        <f t="shared" si="4"/>
        <v>141</v>
      </c>
    </row>
    <row r="287" spans="1:7" ht="12.75">
      <c r="A287" s="134" t="s">
        <v>488</v>
      </c>
      <c r="B287" s="134">
        <v>120</v>
      </c>
      <c r="C287" s="491">
        <v>184</v>
      </c>
      <c r="D287" s="491">
        <v>4</v>
      </c>
      <c r="E287" s="491">
        <v>1</v>
      </c>
      <c r="F287" s="491">
        <v>0</v>
      </c>
      <c r="G287" s="491">
        <f t="shared" si="4"/>
        <v>189</v>
      </c>
    </row>
    <row r="288" spans="1:7" ht="12.75">
      <c r="A288" s="134" t="s">
        <v>488</v>
      </c>
      <c r="B288" s="134">
        <v>130</v>
      </c>
      <c r="C288" s="491">
        <v>27</v>
      </c>
      <c r="D288" s="491">
        <v>15</v>
      </c>
      <c r="E288" s="491">
        <v>1</v>
      </c>
      <c r="F288" s="491">
        <v>0</v>
      </c>
      <c r="G288" s="491">
        <f t="shared" si="4"/>
        <v>43</v>
      </c>
    </row>
    <row r="289" spans="1:7" ht="12.75">
      <c r="A289" s="134" t="s">
        <v>488</v>
      </c>
      <c r="B289" s="134">
        <v>140</v>
      </c>
      <c r="C289" s="491">
        <v>42</v>
      </c>
      <c r="D289" s="491">
        <v>11</v>
      </c>
      <c r="E289" s="491">
        <v>1</v>
      </c>
      <c r="F289" s="491">
        <v>0</v>
      </c>
      <c r="G289" s="491">
        <f t="shared" si="4"/>
        <v>54</v>
      </c>
    </row>
    <row r="290" spans="1:7" ht="12.75">
      <c r="A290" s="134" t="s">
        <v>488</v>
      </c>
      <c r="B290" s="134">
        <v>141</v>
      </c>
      <c r="C290" s="491">
        <v>162</v>
      </c>
      <c r="D290" s="491">
        <v>0</v>
      </c>
      <c r="E290" s="491">
        <v>0</v>
      </c>
      <c r="F290" s="491">
        <v>0</v>
      </c>
      <c r="G290" s="491">
        <f t="shared" si="4"/>
        <v>162</v>
      </c>
    </row>
    <row r="291" spans="1:7" ht="12.75">
      <c r="A291" s="134" t="s">
        <v>488</v>
      </c>
      <c r="B291" s="134">
        <v>143</v>
      </c>
      <c r="C291" s="491">
        <v>20</v>
      </c>
      <c r="D291" s="491">
        <v>1</v>
      </c>
      <c r="E291" s="491">
        <v>0</v>
      </c>
      <c r="F291" s="491">
        <v>0</v>
      </c>
      <c r="G291" s="491">
        <f t="shared" si="4"/>
        <v>21</v>
      </c>
    </row>
    <row r="292" spans="1:7" ht="12.75">
      <c r="A292" s="134" t="s">
        <v>488</v>
      </c>
      <c r="B292" s="134">
        <v>144</v>
      </c>
      <c r="C292" s="491">
        <v>2</v>
      </c>
      <c r="D292" s="491">
        <v>0</v>
      </c>
      <c r="E292" s="491">
        <v>0</v>
      </c>
      <c r="F292" s="491">
        <v>0</v>
      </c>
      <c r="G292" s="491">
        <f t="shared" si="4"/>
        <v>2</v>
      </c>
    </row>
    <row r="293" spans="1:7" ht="12.75">
      <c r="A293" s="134" t="s">
        <v>488</v>
      </c>
      <c r="B293" s="134">
        <v>150</v>
      </c>
      <c r="C293" s="491">
        <v>1</v>
      </c>
      <c r="D293" s="491">
        <v>0</v>
      </c>
      <c r="E293" s="491">
        <v>0</v>
      </c>
      <c r="F293" s="491">
        <v>0</v>
      </c>
      <c r="G293" s="491">
        <f t="shared" si="4"/>
        <v>1</v>
      </c>
    </row>
    <row r="294" spans="1:7" ht="12.75">
      <c r="A294" s="134" t="s">
        <v>488</v>
      </c>
      <c r="B294" s="134">
        <v>160</v>
      </c>
      <c r="C294" s="491">
        <v>443</v>
      </c>
      <c r="D294" s="491">
        <v>65</v>
      </c>
      <c r="E294" s="491">
        <v>0</v>
      </c>
      <c r="F294" s="491">
        <v>0</v>
      </c>
      <c r="G294" s="491">
        <f t="shared" si="4"/>
        <v>508</v>
      </c>
    </row>
    <row r="295" spans="1:7" ht="12.75">
      <c r="A295" s="134" t="s">
        <v>488</v>
      </c>
      <c r="B295" s="134">
        <v>171</v>
      </c>
      <c r="C295" s="491">
        <v>1</v>
      </c>
      <c r="D295" s="491">
        <v>1</v>
      </c>
      <c r="E295" s="491">
        <v>0</v>
      </c>
      <c r="F295" s="491">
        <v>0</v>
      </c>
      <c r="G295" s="491">
        <f t="shared" si="4"/>
        <v>2</v>
      </c>
    </row>
    <row r="296" spans="1:7" ht="12.75">
      <c r="A296" s="134" t="s">
        <v>488</v>
      </c>
      <c r="B296" s="134">
        <v>180</v>
      </c>
      <c r="C296" s="491">
        <v>1</v>
      </c>
      <c r="D296" s="491">
        <v>0</v>
      </c>
      <c r="E296" s="491">
        <v>0</v>
      </c>
      <c r="F296" s="491">
        <v>0</v>
      </c>
      <c r="G296" s="491">
        <f t="shared" si="4"/>
        <v>1</v>
      </c>
    </row>
    <row r="297" spans="1:7" ht="12.75">
      <c r="A297" s="134" t="s">
        <v>488</v>
      </c>
      <c r="B297" s="134">
        <v>190</v>
      </c>
      <c r="C297" s="491">
        <v>2383</v>
      </c>
      <c r="D297" s="491">
        <v>56</v>
      </c>
      <c r="E297" s="491">
        <v>4</v>
      </c>
      <c r="F297" s="491">
        <v>0</v>
      </c>
      <c r="G297" s="491">
        <f t="shared" si="4"/>
        <v>2443</v>
      </c>
    </row>
    <row r="298" spans="1:7" ht="12.75">
      <c r="A298" s="134" t="s">
        <v>488</v>
      </c>
      <c r="B298" s="134">
        <v>191</v>
      </c>
      <c r="C298" s="491">
        <v>70968</v>
      </c>
      <c r="D298" s="491">
        <v>3999</v>
      </c>
      <c r="E298" s="491">
        <v>225</v>
      </c>
      <c r="F298" s="491">
        <v>79</v>
      </c>
      <c r="G298" s="491">
        <f t="shared" si="4"/>
        <v>75271</v>
      </c>
    </row>
    <row r="299" spans="1:7" ht="12.75">
      <c r="A299" s="134" t="s">
        <v>488</v>
      </c>
      <c r="B299" s="134">
        <v>211</v>
      </c>
      <c r="C299" s="491">
        <v>17</v>
      </c>
      <c r="D299" s="491">
        <v>0</v>
      </c>
      <c r="E299" s="491">
        <v>0</v>
      </c>
      <c r="F299" s="491">
        <v>0</v>
      </c>
      <c r="G299" s="491">
        <f t="shared" si="4"/>
        <v>17</v>
      </c>
    </row>
    <row r="300" spans="1:7" ht="12.75">
      <c r="A300" s="134" t="s">
        <v>488</v>
      </c>
      <c r="B300" s="134">
        <v>214</v>
      </c>
      <c r="C300" s="491">
        <v>2</v>
      </c>
      <c r="D300" s="491">
        <v>2</v>
      </c>
      <c r="E300" s="491">
        <v>0</v>
      </c>
      <c r="F300" s="491">
        <v>0</v>
      </c>
      <c r="G300" s="491">
        <f t="shared" si="4"/>
        <v>4</v>
      </c>
    </row>
    <row r="301" spans="1:7" ht="12.75">
      <c r="A301" s="134" t="s">
        <v>488</v>
      </c>
      <c r="B301" s="134">
        <v>215</v>
      </c>
      <c r="C301" s="491">
        <v>1</v>
      </c>
      <c r="D301" s="491">
        <v>1</v>
      </c>
      <c r="E301" s="491">
        <v>0</v>
      </c>
      <c r="F301" s="491">
        <v>0</v>
      </c>
      <c r="G301" s="491">
        <f t="shared" si="4"/>
        <v>2</v>
      </c>
    </row>
    <row r="302" spans="1:7" ht="12.75">
      <c r="A302" s="134" t="s">
        <v>488</v>
      </c>
      <c r="B302" s="134">
        <v>216</v>
      </c>
      <c r="C302" s="491">
        <v>0</v>
      </c>
      <c r="D302" s="491">
        <v>1</v>
      </c>
      <c r="E302" s="491">
        <v>0</v>
      </c>
      <c r="F302" s="491">
        <v>0</v>
      </c>
      <c r="G302" s="491">
        <f t="shared" si="4"/>
        <v>1</v>
      </c>
    </row>
    <row r="303" spans="1:7" ht="12.75">
      <c r="A303" s="134" t="s">
        <v>488</v>
      </c>
      <c r="B303" s="134">
        <v>257</v>
      </c>
      <c r="C303" s="491">
        <v>1</v>
      </c>
      <c r="D303" s="491">
        <v>0</v>
      </c>
      <c r="E303" s="491">
        <v>0</v>
      </c>
      <c r="F303" s="491">
        <v>0</v>
      </c>
      <c r="G303" s="491">
        <f t="shared" si="4"/>
        <v>1</v>
      </c>
    </row>
    <row r="304" spans="1:7" ht="12.75">
      <c r="A304" s="134" t="s">
        <v>488</v>
      </c>
      <c r="B304" s="134">
        <v>262</v>
      </c>
      <c r="C304" s="491">
        <v>0</v>
      </c>
      <c r="D304" s="491">
        <v>1</v>
      </c>
      <c r="E304" s="491">
        <v>0</v>
      </c>
      <c r="F304" s="491">
        <v>0</v>
      </c>
      <c r="G304" s="491">
        <f t="shared" si="4"/>
        <v>1</v>
      </c>
    </row>
    <row r="305" spans="1:7" ht="12.75">
      <c r="A305" s="134" t="s">
        <v>488</v>
      </c>
      <c r="B305" s="134">
        <v>300</v>
      </c>
      <c r="C305" s="491">
        <v>91</v>
      </c>
      <c r="D305" s="491">
        <v>9</v>
      </c>
      <c r="E305" s="491">
        <v>0</v>
      </c>
      <c r="F305" s="491">
        <v>0</v>
      </c>
      <c r="G305" s="491">
        <f t="shared" si="4"/>
        <v>100</v>
      </c>
    </row>
    <row r="306" spans="1:7" ht="12.75">
      <c r="A306" s="134" t="s">
        <v>488</v>
      </c>
      <c r="B306" s="134">
        <v>301</v>
      </c>
      <c r="C306" s="491">
        <v>2016</v>
      </c>
      <c r="D306" s="491">
        <v>80</v>
      </c>
      <c r="E306" s="491">
        <v>0</v>
      </c>
      <c r="F306" s="491">
        <v>0</v>
      </c>
      <c r="G306" s="491">
        <f t="shared" si="4"/>
        <v>2096</v>
      </c>
    </row>
    <row r="307" spans="1:7" ht="12.75">
      <c r="A307" s="134" t="s">
        <v>488</v>
      </c>
      <c r="B307" s="134">
        <v>302</v>
      </c>
      <c r="C307" s="491">
        <v>1</v>
      </c>
      <c r="D307" s="491">
        <v>0</v>
      </c>
      <c r="E307" s="491">
        <v>0</v>
      </c>
      <c r="F307" s="491">
        <v>0</v>
      </c>
      <c r="G307" s="491">
        <f t="shared" si="4"/>
        <v>1</v>
      </c>
    </row>
    <row r="308" spans="1:7" ht="12.75">
      <c r="A308" s="134" t="s">
        <v>488</v>
      </c>
      <c r="B308" s="134">
        <v>303</v>
      </c>
      <c r="C308" s="491">
        <v>7</v>
      </c>
      <c r="D308" s="491">
        <v>1</v>
      </c>
      <c r="E308" s="491">
        <v>0</v>
      </c>
      <c r="F308" s="491">
        <v>0</v>
      </c>
      <c r="G308" s="491">
        <f t="shared" si="4"/>
        <v>8</v>
      </c>
    </row>
    <row r="309" spans="1:7" ht="12.75">
      <c r="A309" s="134" t="s">
        <v>488</v>
      </c>
      <c r="B309" s="134">
        <v>307</v>
      </c>
      <c r="C309" s="491">
        <v>4</v>
      </c>
      <c r="D309" s="491">
        <v>0</v>
      </c>
      <c r="E309" s="491">
        <v>0</v>
      </c>
      <c r="F309" s="491">
        <v>0</v>
      </c>
      <c r="G309" s="491">
        <f t="shared" si="4"/>
        <v>4</v>
      </c>
    </row>
    <row r="310" spans="1:7" ht="12.75">
      <c r="A310" s="134" t="s">
        <v>488</v>
      </c>
      <c r="B310" s="134">
        <v>310</v>
      </c>
      <c r="C310" s="491">
        <v>1</v>
      </c>
      <c r="D310" s="491">
        <v>0</v>
      </c>
      <c r="E310" s="491">
        <v>0</v>
      </c>
      <c r="F310" s="491">
        <v>0</v>
      </c>
      <c r="G310" s="491">
        <f t="shared" si="4"/>
        <v>1</v>
      </c>
    </row>
    <row r="311" spans="1:7" ht="12.75">
      <c r="A311" s="134" t="s">
        <v>488</v>
      </c>
      <c r="B311" s="134">
        <v>314</v>
      </c>
      <c r="C311" s="491">
        <v>3</v>
      </c>
      <c r="D311" s="491">
        <v>1</v>
      </c>
      <c r="E311" s="491">
        <v>49</v>
      </c>
      <c r="F311" s="491">
        <v>0</v>
      </c>
      <c r="G311" s="491">
        <f t="shared" si="4"/>
        <v>53</v>
      </c>
    </row>
    <row r="312" spans="1:7" ht="12.75">
      <c r="A312" s="134" t="s">
        <v>488</v>
      </c>
      <c r="B312" s="134">
        <v>315</v>
      </c>
      <c r="C312" s="491">
        <v>1</v>
      </c>
      <c r="D312" s="491">
        <v>0</v>
      </c>
      <c r="E312" s="491">
        <v>0</v>
      </c>
      <c r="F312" s="491">
        <v>0</v>
      </c>
      <c r="G312" s="491">
        <f t="shared" si="4"/>
        <v>1</v>
      </c>
    </row>
    <row r="313" spans="1:7" ht="12.75">
      <c r="A313" s="134" t="s">
        <v>488</v>
      </c>
      <c r="B313" s="134">
        <v>320</v>
      </c>
      <c r="C313" s="491">
        <v>11</v>
      </c>
      <c r="D313" s="491">
        <v>31</v>
      </c>
      <c r="E313" s="491">
        <v>0</v>
      </c>
      <c r="F313" s="491">
        <v>0</v>
      </c>
      <c r="G313" s="491">
        <f t="shared" si="4"/>
        <v>42</v>
      </c>
    </row>
    <row r="314" spans="1:7" ht="12.75">
      <c r="A314" s="134" t="s">
        <v>488</v>
      </c>
      <c r="B314" s="134">
        <v>321</v>
      </c>
      <c r="C314" s="491">
        <v>3</v>
      </c>
      <c r="D314" s="491">
        <v>0</v>
      </c>
      <c r="E314" s="491">
        <v>0</v>
      </c>
      <c r="F314" s="491">
        <v>0</v>
      </c>
      <c r="G314" s="491">
        <f t="shared" si="4"/>
        <v>3</v>
      </c>
    </row>
    <row r="315" spans="1:7" ht="12.75">
      <c r="A315" s="134" t="s">
        <v>488</v>
      </c>
      <c r="B315" s="134">
        <v>330</v>
      </c>
      <c r="C315" s="491">
        <v>18</v>
      </c>
      <c r="D315" s="491">
        <v>3</v>
      </c>
      <c r="E315" s="491">
        <v>0</v>
      </c>
      <c r="F315" s="491">
        <v>0</v>
      </c>
      <c r="G315" s="491">
        <f t="shared" si="4"/>
        <v>21</v>
      </c>
    </row>
    <row r="316" spans="1:7" ht="12.75">
      <c r="A316" s="134" t="s">
        <v>488</v>
      </c>
      <c r="B316" s="134">
        <v>340</v>
      </c>
      <c r="C316" s="491">
        <v>8</v>
      </c>
      <c r="D316" s="491">
        <v>7</v>
      </c>
      <c r="E316" s="491">
        <v>0</v>
      </c>
      <c r="F316" s="491">
        <v>0</v>
      </c>
      <c r="G316" s="491">
        <f t="shared" si="4"/>
        <v>15</v>
      </c>
    </row>
    <row r="317" spans="1:7" ht="12.75">
      <c r="A317" s="134" t="s">
        <v>488</v>
      </c>
      <c r="B317" s="134">
        <v>341</v>
      </c>
      <c r="C317" s="491">
        <v>0</v>
      </c>
      <c r="D317" s="491">
        <v>1</v>
      </c>
      <c r="E317" s="491">
        <v>0</v>
      </c>
      <c r="F317" s="491">
        <v>0</v>
      </c>
      <c r="G317" s="491">
        <f t="shared" si="4"/>
        <v>1</v>
      </c>
    </row>
    <row r="318" spans="1:7" ht="12.75">
      <c r="A318" s="134" t="s">
        <v>488</v>
      </c>
      <c r="B318" s="134">
        <v>350</v>
      </c>
      <c r="C318" s="491">
        <v>1</v>
      </c>
      <c r="D318" s="491">
        <v>0</v>
      </c>
      <c r="E318" s="491">
        <v>0</v>
      </c>
      <c r="F318" s="491">
        <v>0</v>
      </c>
      <c r="G318" s="491">
        <f t="shared" si="4"/>
        <v>1</v>
      </c>
    </row>
    <row r="319" spans="1:7" ht="12.75">
      <c r="A319" s="134" t="s">
        <v>488</v>
      </c>
      <c r="B319" s="134">
        <v>370</v>
      </c>
      <c r="C319" s="491">
        <v>4</v>
      </c>
      <c r="D319" s="491">
        <v>2</v>
      </c>
      <c r="E319" s="491">
        <v>0</v>
      </c>
      <c r="F319" s="491">
        <v>0</v>
      </c>
      <c r="G319" s="491">
        <f t="shared" si="4"/>
        <v>6</v>
      </c>
    </row>
    <row r="320" spans="1:7" ht="12.75">
      <c r="A320" s="134" t="s">
        <v>488</v>
      </c>
      <c r="B320" s="134">
        <v>400</v>
      </c>
      <c r="C320" s="491">
        <v>19</v>
      </c>
      <c r="D320" s="491">
        <v>3</v>
      </c>
      <c r="E320" s="491">
        <v>0</v>
      </c>
      <c r="F320" s="491">
        <v>0</v>
      </c>
      <c r="G320" s="491">
        <f t="shared" si="4"/>
        <v>22</v>
      </c>
    </row>
    <row r="321" spans="1:7" ht="12.75">
      <c r="A321" s="134" t="s">
        <v>488</v>
      </c>
      <c r="B321" s="134">
        <v>410</v>
      </c>
      <c r="C321" s="491">
        <v>26</v>
      </c>
      <c r="D321" s="491">
        <v>7</v>
      </c>
      <c r="E321" s="491">
        <v>0</v>
      </c>
      <c r="F321" s="491">
        <v>0</v>
      </c>
      <c r="G321" s="491">
        <f t="shared" si="4"/>
        <v>33</v>
      </c>
    </row>
    <row r="322" spans="1:7" ht="12.75">
      <c r="A322" s="134" t="s">
        <v>488</v>
      </c>
      <c r="B322" s="134">
        <v>420</v>
      </c>
      <c r="C322" s="491">
        <v>7</v>
      </c>
      <c r="D322" s="491">
        <v>5</v>
      </c>
      <c r="E322" s="491">
        <v>0</v>
      </c>
      <c r="F322" s="491">
        <v>0</v>
      </c>
      <c r="G322" s="491">
        <f t="shared" si="4"/>
        <v>12</v>
      </c>
    </row>
    <row r="323" spans="1:7" ht="12.75">
      <c r="A323" s="134" t="s">
        <v>488</v>
      </c>
      <c r="B323" s="134">
        <v>430</v>
      </c>
      <c r="C323" s="491">
        <v>881</v>
      </c>
      <c r="D323" s="491">
        <v>57</v>
      </c>
      <c r="E323" s="491">
        <v>0</v>
      </c>
      <c r="F323" s="491">
        <v>0</v>
      </c>
      <c r="G323" s="491">
        <f t="shared" si="4"/>
        <v>938</v>
      </c>
    </row>
    <row r="324" spans="1:7" ht="12.75">
      <c r="A324" s="134" t="s">
        <v>488</v>
      </c>
      <c r="B324" s="134">
        <v>501</v>
      </c>
      <c r="C324" s="491">
        <v>15</v>
      </c>
      <c r="D324" s="491">
        <v>3</v>
      </c>
      <c r="E324" s="491">
        <v>0</v>
      </c>
      <c r="F324" s="491">
        <v>0</v>
      </c>
      <c r="G324" s="491">
        <f t="shared" ref="G324:G387" si="5">SUM(C324:F324)</f>
        <v>18</v>
      </c>
    </row>
    <row r="325" spans="1:7" ht="12.75">
      <c r="A325" s="134" t="s">
        <v>488</v>
      </c>
      <c r="B325" s="134">
        <v>502</v>
      </c>
      <c r="C325" s="491">
        <v>4034</v>
      </c>
      <c r="D325" s="491">
        <v>52</v>
      </c>
      <c r="E325" s="491">
        <v>0</v>
      </c>
      <c r="F325" s="491">
        <v>0</v>
      </c>
      <c r="G325" s="491">
        <f t="shared" si="5"/>
        <v>4086</v>
      </c>
    </row>
    <row r="326" spans="1:7" ht="12.75">
      <c r="A326" s="134" t="s">
        <v>488</v>
      </c>
      <c r="B326" s="134">
        <v>503</v>
      </c>
      <c r="C326" s="491">
        <v>25</v>
      </c>
      <c r="D326" s="491">
        <v>0</v>
      </c>
      <c r="E326" s="491">
        <v>0</v>
      </c>
      <c r="F326" s="491">
        <v>0</v>
      </c>
      <c r="G326" s="491">
        <f t="shared" si="5"/>
        <v>25</v>
      </c>
    </row>
    <row r="327" spans="1:7" ht="12.75">
      <c r="A327" s="134" t="s">
        <v>488</v>
      </c>
      <c r="B327" s="134">
        <v>560</v>
      </c>
      <c r="C327" s="491">
        <v>5</v>
      </c>
      <c r="D327" s="491">
        <v>12</v>
      </c>
      <c r="E327" s="491">
        <v>0</v>
      </c>
      <c r="F327" s="491">
        <v>0</v>
      </c>
      <c r="G327" s="491">
        <f t="shared" si="5"/>
        <v>17</v>
      </c>
    </row>
    <row r="328" spans="1:7" ht="12.75">
      <c r="A328" s="134" t="s">
        <v>488</v>
      </c>
      <c r="B328" s="134">
        <v>650</v>
      </c>
      <c r="C328" s="491">
        <v>12107</v>
      </c>
      <c r="D328" s="491">
        <v>340</v>
      </c>
      <c r="E328" s="491">
        <v>0</v>
      </c>
      <c r="F328" s="491">
        <v>0</v>
      </c>
      <c r="G328" s="491">
        <f t="shared" si="5"/>
        <v>12447</v>
      </c>
    </row>
    <row r="329" spans="1:7" ht="12.75">
      <c r="A329" s="134" t="s">
        <v>488</v>
      </c>
      <c r="B329" s="134">
        <v>651</v>
      </c>
      <c r="C329" s="491">
        <v>5</v>
      </c>
      <c r="D329" s="491">
        <v>0</v>
      </c>
      <c r="E329" s="491">
        <v>0</v>
      </c>
      <c r="F329" s="491">
        <v>0</v>
      </c>
      <c r="G329" s="491">
        <f t="shared" si="5"/>
        <v>5</v>
      </c>
    </row>
    <row r="330" spans="1:7" ht="12.75">
      <c r="A330" s="134" t="s">
        <v>488</v>
      </c>
      <c r="B330" s="134">
        <v>654</v>
      </c>
      <c r="C330" s="491">
        <v>5</v>
      </c>
      <c r="D330" s="491">
        <v>7</v>
      </c>
      <c r="E330" s="491">
        <v>0</v>
      </c>
      <c r="F330" s="491">
        <v>0</v>
      </c>
      <c r="G330" s="491">
        <f t="shared" si="5"/>
        <v>12</v>
      </c>
    </row>
    <row r="331" spans="1:7" ht="12.75">
      <c r="A331" s="134" t="s">
        <v>488</v>
      </c>
      <c r="B331" s="134">
        <v>710</v>
      </c>
      <c r="C331" s="491">
        <v>1</v>
      </c>
      <c r="D331" s="491">
        <v>0</v>
      </c>
      <c r="E331" s="491">
        <v>0</v>
      </c>
      <c r="F331" s="491">
        <v>0</v>
      </c>
      <c r="G331" s="491">
        <f t="shared" si="5"/>
        <v>1</v>
      </c>
    </row>
    <row r="332" spans="1:7" ht="12.75">
      <c r="A332" s="134" t="s">
        <v>488</v>
      </c>
      <c r="B332" s="134">
        <v>722</v>
      </c>
      <c r="C332" s="491">
        <v>74</v>
      </c>
      <c r="D332" s="491">
        <v>0</v>
      </c>
      <c r="E332" s="491">
        <v>0</v>
      </c>
      <c r="F332" s="491">
        <v>0</v>
      </c>
      <c r="G332" s="491">
        <f t="shared" si="5"/>
        <v>74</v>
      </c>
    </row>
    <row r="333" spans="1:7" ht="12.75">
      <c r="A333" s="134" t="s">
        <v>488</v>
      </c>
      <c r="B333" s="134">
        <v>800</v>
      </c>
      <c r="C333" s="491">
        <v>3</v>
      </c>
      <c r="D333" s="491">
        <v>0</v>
      </c>
      <c r="E333" s="491">
        <v>0</v>
      </c>
      <c r="F333" s="491">
        <v>0</v>
      </c>
      <c r="G333" s="491">
        <f t="shared" si="5"/>
        <v>3</v>
      </c>
    </row>
    <row r="334" spans="1:7" ht="12.75">
      <c r="A334" s="134" t="s">
        <v>82</v>
      </c>
      <c r="B334" s="134">
        <v>101</v>
      </c>
      <c r="C334" s="491">
        <v>19</v>
      </c>
      <c r="D334" s="491">
        <v>0</v>
      </c>
      <c r="E334" s="491">
        <v>0</v>
      </c>
      <c r="F334" s="491">
        <v>0</v>
      </c>
      <c r="G334" s="491">
        <f t="shared" si="5"/>
        <v>19</v>
      </c>
    </row>
    <row r="335" spans="1:7" ht="12.75">
      <c r="A335" s="134" t="s">
        <v>82</v>
      </c>
      <c r="B335" s="134">
        <v>110</v>
      </c>
      <c r="C335" s="491">
        <v>5</v>
      </c>
      <c r="D335" s="491">
        <v>1</v>
      </c>
      <c r="E335" s="491">
        <v>0</v>
      </c>
      <c r="F335" s="491">
        <v>0</v>
      </c>
      <c r="G335" s="491">
        <f t="shared" si="5"/>
        <v>6</v>
      </c>
    </row>
    <row r="336" spans="1:7" ht="12.75">
      <c r="A336" s="134" t="s">
        <v>82</v>
      </c>
      <c r="B336" s="134">
        <v>191</v>
      </c>
      <c r="C336" s="491">
        <v>40</v>
      </c>
      <c r="D336" s="491">
        <v>2</v>
      </c>
      <c r="E336" s="491">
        <v>0</v>
      </c>
      <c r="F336" s="491">
        <v>0</v>
      </c>
      <c r="G336" s="491">
        <f t="shared" si="5"/>
        <v>42</v>
      </c>
    </row>
    <row r="337" spans="1:7" ht="12.75">
      <c r="A337" s="134" t="s">
        <v>82</v>
      </c>
      <c r="B337" s="134">
        <v>214</v>
      </c>
      <c r="C337" s="491">
        <v>2</v>
      </c>
      <c r="D337" s="491">
        <v>2</v>
      </c>
      <c r="E337" s="491">
        <v>0</v>
      </c>
      <c r="F337" s="491">
        <v>0</v>
      </c>
      <c r="G337" s="491">
        <f t="shared" si="5"/>
        <v>4</v>
      </c>
    </row>
    <row r="338" spans="1:7" ht="12.75">
      <c r="A338" s="134" t="s">
        <v>82</v>
      </c>
      <c r="B338" s="134">
        <v>251</v>
      </c>
      <c r="C338" s="491">
        <v>0</v>
      </c>
      <c r="D338" s="491">
        <v>1</v>
      </c>
      <c r="E338" s="491">
        <v>0</v>
      </c>
      <c r="F338" s="491">
        <v>0</v>
      </c>
      <c r="G338" s="491">
        <f t="shared" si="5"/>
        <v>1</v>
      </c>
    </row>
    <row r="339" spans="1:7" ht="12.75">
      <c r="A339" s="134" t="s">
        <v>82</v>
      </c>
      <c r="B339" s="134">
        <v>255</v>
      </c>
      <c r="C339" s="491">
        <v>0</v>
      </c>
      <c r="D339" s="491">
        <v>0</v>
      </c>
      <c r="E339" s="491">
        <v>0</v>
      </c>
      <c r="F339" s="491">
        <v>1</v>
      </c>
      <c r="G339" s="491">
        <f t="shared" si="5"/>
        <v>1</v>
      </c>
    </row>
    <row r="340" spans="1:7" ht="12.75">
      <c r="A340" s="134" t="s">
        <v>82</v>
      </c>
      <c r="B340" s="134">
        <v>258</v>
      </c>
      <c r="C340" s="491">
        <v>1</v>
      </c>
      <c r="D340" s="491">
        <v>0</v>
      </c>
      <c r="E340" s="491">
        <v>0</v>
      </c>
      <c r="F340" s="491">
        <v>0</v>
      </c>
      <c r="G340" s="491">
        <f t="shared" si="5"/>
        <v>1</v>
      </c>
    </row>
    <row r="341" spans="1:7" ht="12.75">
      <c r="A341" s="134" t="s">
        <v>82</v>
      </c>
      <c r="B341" s="134">
        <v>323</v>
      </c>
      <c r="C341" s="491">
        <v>19</v>
      </c>
      <c r="D341" s="491">
        <v>0</v>
      </c>
      <c r="E341" s="491">
        <v>0</v>
      </c>
      <c r="F341" s="491">
        <v>0</v>
      </c>
      <c r="G341" s="491">
        <f t="shared" si="5"/>
        <v>19</v>
      </c>
    </row>
    <row r="342" spans="1:7" ht="12.75">
      <c r="A342" s="134" t="s">
        <v>82</v>
      </c>
      <c r="B342" s="134">
        <v>401</v>
      </c>
      <c r="C342" s="491">
        <v>0</v>
      </c>
      <c r="D342" s="491">
        <v>8</v>
      </c>
      <c r="E342" s="491">
        <v>0</v>
      </c>
      <c r="F342" s="491">
        <v>0</v>
      </c>
      <c r="G342" s="491">
        <f t="shared" si="5"/>
        <v>8</v>
      </c>
    </row>
    <row r="343" spans="1:7" ht="12.75">
      <c r="A343" s="134" t="s">
        <v>82</v>
      </c>
      <c r="B343" s="134">
        <v>420</v>
      </c>
      <c r="C343" s="491">
        <v>1</v>
      </c>
      <c r="D343" s="491">
        <v>0</v>
      </c>
      <c r="E343" s="491">
        <v>0</v>
      </c>
      <c r="F343" s="491">
        <v>0</v>
      </c>
      <c r="G343" s="491">
        <f t="shared" si="5"/>
        <v>1</v>
      </c>
    </row>
    <row r="344" spans="1:7" ht="12.75">
      <c r="A344" s="134" t="s">
        <v>82</v>
      </c>
      <c r="B344" s="134">
        <v>502</v>
      </c>
      <c r="C344" s="491">
        <v>940</v>
      </c>
      <c r="D344" s="491">
        <v>0</v>
      </c>
      <c r="E344" s="491">
        <v>0</v>
      </c>
      <c r="F344" s="491">
        <v>0</v>
      </c>
      <c r="G344" s="491">
        <f t="shared" si="5"/>
        <v>940</v>
      </c>
    </row>
    <row r="345" spans="1:7" ht="12.75">
      <c r="A345" s="134" t="s">
        <v>82</v>
      </c>
      <c r="B345" s="134">
        <v>653</v>
      </c>
      <c r="C345" s="491">
        <v>1</v>
      </c>
      <c r="D345" s="491">
        <v>0</v>
      </c>
      <c r="E345" s="491">
        <v>0</v>
      </c>
      <c r="F345" s="491">
        <v>0</v>
      </c>
      <c r="G345" s="491">
        <f t="shared" si="5"/>
        <v>1</v>
      </c>
    </row>
    <row r="346" spans="1:7" ht="12.75">
      <c r="A346" s="134" t="s">
        <v>83</v>
      </c>
      <c r="B346" s="134">
        <v>191</v>
      </c>
      <c r="C346" s="491">
        <v>38</v>
      </c>
      <c r="D346" s="491">
        <v>0</v>
      </c>
      <c r="E346" s="491">
        <v>0</v>
      </c>
      <c r="F346" s="491">
        <v>0</v>
      </c>
      <c r="G346" s="491">
        <f t="shared" si="5"/>
        <v>38</v>
      </c>
    </row>
    <row r="347" spans="1:7" ht="12.75">
      <c r="A347" s="134" t="s">
        <v>482</v>
      </c>
      <c r="B347" s="134">
        <v>100</v>
      </c>
      <c r="C347" s="491">
        <v>1</v>
      </c>
      <c r="D347" s="491">
        <v>0</v>
      </c>
      <c r="E347" s="491">
        <v>0</v>
      </c>
      <c r="F347" s="491">
        <v>0</v>
      </c>
      <c r="G347" s="491">
        <f t="shared" si="5"/>
        <v>1</v>
      </c>
    </row>
    <row r="348" spans="1:7" ht="12.75">
      <c r="A348" s="134" t="s">
        <v>482</v>
      </c>
      <c r="B348" s="134">
        <v>101</v>
      </c>
      <c r="C348" s="491">
        <v>1214</v>
      </c>
      <c r="D348" s="491">
        <v>24</v>
      </c>
      <c r="E348" s="491">
        <v>0</v>
      </c>
      <c r="F348" s="491">
        <v>0</v>
      </c>
      <c r="G348" s="491">
        <f t="shared" si="5"/>
        <v>1238</v>
      </c>
    </row>
    <row r="349" spans="1:7" ht="12.75">
      <c r="A349" s="134" t="s">
        <v>482</v>
      </c>
      <c r="B349" s="134">
        <v>104</v>
      </c>
      <c r="C349" s="491">
        <v>380</v>
      </c>
      <c r="D349" s="491">
        <v>24</v>
      </c>
      <c r="E349" s="491">
        <v>0</v>
      </c>
      <c r="F349" s="491">
        <v>0</v>
      </c>
      <c r="G349" s="491">
        <f t="shared" si="5"/>
        <v>404</v>
      </c>
    </row>
    <row r="350" spans="1:7" ht="12.75">
      <c r="A350" s="134" t="s">
        <v>482</v>
      </c>
      <c r="B350" s="134">
        <v>110</v>
      </c>
      <c r="C350" s="491">
        <v>61</v>
      </c>
      <c r="D350" s="491">
        <v>207</v>
      </c>
      <c r="E350" s="491">
        <v>0</v>
      </c>
      <c r="F350" s="491">
        <v>0</v>
      </c>
      <c r="G350" s="491">
        <f t="shared" si="5"/>
        <v>268</v>
      </c>
    </row>
    <row r="351" spans="1:7" ht="12.75">
      <c r="A351" s="134" t="s">
        <v>482</v>
      </c>
      <c r="B351" s="134">
        <v>120</v>
      </c>
      <c r="C351" s="491">
        <v>1</v>
      </c>
      <c r="D351" s="491">
        <v>0</v>
      </c>
      <c r="E351" s="491">
        <v>0</v>
      </c>
      <c r="F351" s="491">
        <v>0</v>
      </c>
      <c r="G351" s="491">
        <f t="shared" si="5"/>
        <v>1</v>
      </c>
    </row>
    <row r="352" spans="1:7" ht="12.75">
      <c r="A352" s="134" t="s">
        <v>482</v>
      </c>
      <c r="B352" s="134">
        <v>140</v>
      </c>
      <c r="C352" s="491">
        <v>4</v>
      </c>
      <c r="D352" s="491">
        <v>0</v>
      </c>
      <c r="E352" s="491">
        <v>0</v>
      </c>
      <c r="F352" s="491">
        <v>0</v>
      </c>
      <c r="G352" s="491">
        <f t="shared" si="5"/>
        <v>4</v>
      </c>
    </row>
    <row r="353" spans="1:7" ht="12.75">
      <c r="A353" s="134" t="s">
        <v>482</v>
      </c>
      <c r="B353" s="134">
        <v>141</v>
      </c>
      <c r="C353" s="491">
        <v>15</v>
      </c>
      <c r="D353" s="491">
        <v>0</v>
      </c>
      <c r="E353" s="491">
        <v>0</v>
      </c>
      <c r="F353" s="491">
        <v>0</v>
      </c>
      <c r="G353" s="491">
        <f t="shared" si="5"/>
        <v>15</v>
      </c>
    </row>
    <row r="354" spans="1:7" ht="12.75">
      <c r="A354" s="134" t="s">
        <v>482</v>
      </c>
      <c r="B354" s="134">
        <v>144</v>
      </c>
      <c r="C354" s="491">
        <v>9</v>
      </c>
      <c r="D354" s="491">
        <v>0</v>
      </c>
      <c r="E354" s="491">
        <v>0</v>
      </c>
      <c r="F354" s="491">
        <v>0</v>
      </c>
      <c r="G354" s="491">
        <f t="shared" si="5"/>
        <v>9</v>
      </c>
    </row>
    <row r="355" spans="1:7" ht="12.75">
      <c r="A355" s="134" t="s">
        <v>482</v>
      </c>
      <c r="B355" s="134">
        <v>190</v>
      </c>
      <c r="C355" s="491">
        <v>13</v>
      </c>
      <c r="D355" s="491">
        <v>0</v>
      </c>
      <c r="E355" s="491">
        <v>0</v>
      </c>
      <c r="F355" s="491">
        <v>0</v>
      </c>
      <c r="G355" s="491">
        <f t="shared" si="5"/>
        <v>13</v>
      </c>
    </row>
    <row r="356" spans="1:7" ht="12.75">
      <c r="A356" s="134" t="s">
        <v>482</v>
      </c>
      <c r="B356" s="134">
        <v>191</v>
      </c>
      <c r="C356" s="491">
        <v>3389</v>
      </c>
      <c r="D356" s="491">
        <v>98</v>
      </c>
      <c r="E356" s="491">
        <v>2</v>
      </c>
      <c r="F356" s="491">
        <v>0</v>
      </c>
      <c r="G356" s="491">
        <f t="shared" si="5"/>
        <v>3489</v>
      </c>
    </row>
    <row r="357" spans="1:7" ht="12.75">
      <c r="A357" s="134" t="s">
        <v>482</v>
      </c>
      <c r="B357" s="134">
        <v>211</v>
      </c>
      <c r="C357" s="491">
        <v>1</v>
      </c>
      <c r="D357" s="491">
        <v>0</v>
      </c>
      <c r="E357" s="491">
        <v>0</v>
      </c>
      <c r="F357" s="491">
        <v>0</v>
      </c>
      <c r="G357" s="491">
        <f t="shared" si="5"/>
        <v>1</v>
      </c>
    </row>
    <row r="358" spans="1:7" ht="12.75">
      <c r="A358" s="134" t="s">
        <v>482</v>
      </c>
      <c r="B358" s="134">
        <v>258</v>
      </c>
      <c r="C358" s="491">
        <v>0</v>
      </c>
      <c r="D358" s="491">
        <v>0</v>
      </c>
      <c r="E358" s="491">
        <v>4</v>
      </c>
      <c r="F358" s="491">
        <v>1</v>
      </c>
      <c r="G358" s="491">
        <f t="shared" si="5"/>
        <v>5</v>
      </c>
    </row>
    <row r="359" spans="1:7" ht="12.75">
      <c r="A359" s="134" t="s">
        <v>482</v>
      </c>
      <c r="B359" s="134">
        <v>262</v>
      </c>
      <c r="C359" s="491">
        <v>1</v>
      </c>
      <c r="D359" s="491">
        <v>0</v>
      </c>
      <c r="E359" s="491">
        <v>2</v>
      </c>
      <c r="F359" s="491">
        <v>0</v>
      </c>
      <c r="G359" s="491">
        <f t="shared" si="5"/>
        <v>3</v>
      </c>
    </row>
    <row r="360" spans="1:7" ht="12.75">
      <c r="A360" s="134" t="s">
        <v>482</v>
      </c>
      <c r="B360" s="134">
        <v>300</v>
      </c>
      <c r="C360" s="491">
        <v>0</v>
      </c>
      <c r="D360" s="491">
        <v>1</v>
      </c>
      <c r="E360" s="491">
        <v>1</v>
      </c>
      <c r="F360" s="491">
        <v>0</v>
      </c>
      <c r="G360" s="491">
        <f t="shared" si="5"/>
        <v>2</v>
      </c>
    </row>
    <row r="361" spans="1:7" ht="12.75">
      <c r="A361" s="134" t="s">
        <v>482</v>
      </c>
      <c r="B361" s="134">
        <v>301</v>
      </c>
      <c r="C361" s="491">
        <v>4</v>
      </c>
      <c r="D361" s="491">
        <v>0</v>
      </c>
      <c r="E361" s="491">
        <v>0</v>
      </c>
      <c r="F361" s="491">
        <v>0</v>
      </c>
      <c r="G361" s="491">
        <f t="shared" si="5"/>
        <v>4</v>
      </c>
    </row>
    <row r="362" spans="1:7" ht="12.75">
      <c r="A362" s="134" t="s">
        <v>482</v>
      </c>
      <c r="B362" s="134">
        <v>314</v>
      </c>
      <c r="C362" s="491">
        <v>2</v>
      </c>
      <c r="D362" s="491">
        <v>0</v>
      </c>
      <c r="E362" s="491">
        <v>0</v>
      </c>
      <c r="F362" s="491">
        <v>0</v>
      </c>
      <c r="G362" s="491">
        <f t="shared" si="5"/>
        <v>2</v>
      </c>
    </row>
    <row r="363" spans="1:7" ht="12.75">
      <c r="A363" s="134" t="s">
        <v>482</v>
      </c>
      <c r="B363" s="134">
        <v>315</v>
      </c>
      <c r="C363" s="491">
        <v>3</v>
      </c>
      <c r="D363" s="491">
        <v>1</v>
      </c>
      <c r="E363" s="491">
        <v>0</v>
      </c>
      <c r="F363" s="491">
        <v>0</v>
      </c>
      <c r="G363" s="491">
        <f t="shared" si="5"/>
        <v>4</v>
      </c>
    </row>
    <row r="364" spans="1:7" ht="12.75">
      <c r="A364" s="134" t="s">
        <v>482</v>
      </c>
      <c r="B364" s="134">
        <v>320</v>
      </c>
      <c r="C364" s="491">
        <v>1</v>
      </c>
      <c r="D364" s="491">
        <v>1</v>
      </c>
      <c r="E364" s="491">
        <v>0</v>
      </c>
      <c r="F364" s="491">
        <v>0</v>
      </c>
      <c r="G364" s="491">
        <f t="shared" si="5"/>
        <v>2</v>
      </c>
    </row>
    <row r="365" spans="1:7" ht="12.75">
      <c r="A365" s="134" t="s">
        <v>482</v>
      </c>
      <c r="B365" s="134">
        <v>323</v>
      </c>
      <c r="C365" s="491">
        <v>26</v>
      </c>
      <c r="D365" s="491">
        <v>1</v>
      </c>
      <c r="E365" s="491">
        <v>0</v>
      </c>
      <c r="F365" s="491">
        <v>0</v>
      </c>
      <c r="G365" s="491">
        <f t="shared" si="5"/>
        <v>27</v>
      </c>
    </row>
    <row r="366" spans="1:7" ht="12.75">
      <c r="A366" s="134" t="s">
        <v>482</v>
      </c>
      <c r="B366" s="134">
        <v>400</v>
      </c>
      <c r="C366" s="491">
        <v>0</v>
      </c>
      <c r="D366" s="491">
        <v>1</v>
      </c>
      <c r="E366" s="491">
        <v>0</v>
      </c>
      <c r="F366" s="491">
        <v>0</v>
      </c>
      <c r="G366" s="491">
        <f t="shared" si="5"/>
        <v>1</v>
      </c>
    </row>
    <row r="367" spans="1:7" ht="12.75">
      <c r="A367" s="134" t="s">
        <v>482</v>
      </c>
      <c r="B367" s="134">
        <v>410</v>
      </c>
      <c r="C367" s="491">
        <v>7</v>
      </c>
      <c r="D367" s="491">
        <v>3</v>
      </c>
      <c r="E367" s="491">
        <v>0</v>
      </c>
      <c r="F367" s="491">
        <v>0</v>
      </c>
      <c r="G367" s="491">
        <f t="shared" si="5"/>
        <v>10</v>
      </c>
    </row>
    <row r="368" spans="1:7" ht="12.75">
      <c r="A368" s="134" t="s">
        <v>482</v>
      </c>
      <c r="B368" s="134">
        <v>420</v>
      </c>
      <c r="C368" s="491">
        <v>0</v>
      </c>
      <c r="D368" s="491">
        <v>1</v>
      </c>
      <c r="E368" s="491">
        <v>0</v>
      </c>
      <c r="F368" s="491">
        <v>0</v>
      </c>
      <c r="G368" s="491">
        <f t="shared" si="5"/>
        <v>1</v>
      </c>
    </row>
    <row r="369" spans="1:7" ht="12.75">
      <c r="A369" s="134" t="s">
        <v>482</v>
      </c>
      <c r="B369" s="134">
        <v>502</v>
      </c>
      <c r="C369" s="491">
        <v>957</v>
      </c>
      <c r="D369" s="491">
        <v>3</v>
      </c>
      <c r="E369" s="491">
        <v>0</v>
      </c>
      <c r="F369" s="491">
        <v>1</v>
      </c>
      <c r="G369" s="491">
        <f t="shared" si="5"/>
        <v>961</v>
      </c>
    </row>
    <row r="370" spans="1:7" ht="12.75">
      <c r="A370" s="134" t="s">
        <v>482</v>
      </c>
      <c r="B370" s="134">
        <v>503</v>
      </c>
      <c r="C370" s="491">
        <v>1</v>
      </c>
      <c r="D370" s="491">
        <v>0</v>
      </c>
      <c r="E370" s="491">
        <v>0</v>
      </c>
      <c r="F370" s="491">
        <v>0</v>
      </c>
      <c r="G370" s="491">
        <f t="shared" si="5"/>
        <v>1</v>
      </c>
    </row>
    <row r="371" spans="1:7" ht="12.75">
      <c r="A371" s="134" t="s">
        <v>482</v>
      </c>
      <c r="B371" s="134">
        <v>650</v>
      </c>
      <c r="C371" s="491">
        <v>5274</v>
      </c>
      <c r="D371" s="491">
        <v>690</v>
      </c>
      <c r="E371" s="491">
        <v>0</v>
      </c>
      <c r="F371" s="491">
        <v>0</v>
      </c>
      <c r="G371" s="491">
        <f t="shared" si="5"/>
        <v>5964</v>
      </c>
    </row>
    <row r="372" spans="1:7" ht="12.75">
      <c r="A372" s="134" t="s">
        <v>482</v>
      </c>
      <c r="B372" s="134">
        <v>653</v>
      </c>
      <c r="C372" s="491">
        <v>0</v>
      </c>
      <c r="D372" s="491">
        <v>3</v>
      </c>
      <c r="E372" s="491">
        <v>0</v>
      </c>
      <c r="F372" s="491">
        <v>0</v>
      </c>
      <c r="G372" s="491">
        <f t="shared" si="5"/>
        <v>3</v>
      </c>
    </row>
    <row r="373" spans="1:7" ht="12.75">
      <c r="A373" s="134" t="s">
        <v>482</v>
      </c>
      <c r="B373" s="134">
        <v>800</v>
      </c>
      <c r="C373" s="491">
        <v>1</v>
      </c>
      <c r="D373" s="491">
        <v>0</v>
      </c>
      <c r="E373" s="491">
        <v>0</v>
      </c>
      <c r="F373" s="491">
        <v>0</v>
      </c>
      <c r="G373" s="491">
        <f t="shared" si="5"/>
        <v>1</v>
      </c>
    </row>
    <row r="374" spans="1:7" ht="12.75">
      <c r="A374" s="134" t="s">
        <v>482</v>
      </c>
      <c r="B374" s="134">
        <v>812</v>
      </c>
      <c r="C374" s="491">
        <v>2</v>
      </c>
      <c r="D374" s="491">
        <v>1</v>
      </c>
      <c r="E374" s="491">
        <v>0</v>
      </c>
      <c r="F374" s="491">
        <v>0</v>
      </c>
      <c r="G374" s="491">
        <f t="shared" si="5"/>
        <v>3</v>
      </c>
    </row>
    <row r="375" spans="1:7" ht="12.75">
      <c r="A375" s="134" t="s">
        <v>84</v>
      </c>
      <c r="B375" s="134">
        <v>107</v>
      </c>
      <c r="C375" s="491">
        <v>2</v>
      </c>
      <c r="D375" s="491">
        <v>0</v>
      </c>
      <c r="E375" s="491">
        <v>0</v>
      </c>
      <c r="F375" s="491">
        <v>0</v>
      </c>
      <c r="G375" s="491">
        <f t="shared" si="5"/>
        <v>2</v>
      </c>
    </row>
    <row r="376" spans="1:7" ht="12.75">
      <c r="A376" s="134" t="s">
        <v>84</v>
      </c>
      <c r="B376" s="134">
        <v>191</v>
      </c>
      <c r="C376" s="491">
        <v>4</v>
      </c>
      <c r="D376" s="491">
        <v>0</v>
      </c>
      <c r="E376" s="491">
        <v>0</v>
      </c>
      <c r="F376" s="491">
        <v>0</v>
      </c>
      <c r="G376" s="491">
        <f t="shared" si="5"/>
        <v>4</v>
      </c>
    </row>
    <row r="377" spans="1:7" ht="12.75">
      <c r="A377" s="134" t="s">
        <v>663</v>
      </c>
      <c r="B377" s="134">
        <v>130</v>
      </c>
      <c r="C377" s="491">
        <v>2</v>
      </c>
      <c r="D377" s="491">
        <v>0</v>
      </c>
      <c r="E377" s="491">
        <v>0</v>
      </c>
      <c r="F377" s="491">
        <v>0</v>
      </c>
      <c r="G377" s="491">
        <f t="shared" si="5"/>
        <v>2</v>
      </c>
    </row>
    <row r="378" spans="1:7" ht="12.75">
      <c r="A378" s="134" t="s">
        <v>664</v>
      </c>
      <c r="B378" s="134">
        <v>110</v>
      </c>
      <c r="C378" s="491">
        <v>1</v>
      </c>
      <c r="D378" s="491">
        <v>0</v>
      </c>
      <c r="E378" s="491">
        <v>0</v>
      </c>
      <c r="F378" s="491">
        <v>0</v>
      </c>
      <c r="G378" s="491">
        <f t="shared" si="5"/>
        <v>1</v>
      </c>
    </row>
    <row r="379" spans="1:7" ht="12.75">
      <c r="A379" s="134" t="s">
        <v>664</v>
      </c>
      <c r="B379" s="134">
        <v>130</v>
      </c>
      <c r="C379" s="491">
        <v>13</v>
      </c>
      <c r="D379" s="491">
        <v>2</v>
      </c>
      <c r="E379" s="491">
        <v>1</v>
      </c>
      <c r="F379" s="491">
        <v>0</v>
      </c>
      <c r="G379" s="491">
        <f t="shared" si="5"/>
        <v>16</v>
      </c>
    </row>
    <row r="380" spans="1:7" ht="12.75">
      <c r="A380" s="134" t="s">
        <v>664</v>
      </c>
      <c r="B380" s="134">
        <v>144</v>
      </c>
      <c r="C380" s="491">
        <v>0</v>
      </c>
      <c r="D380" s="491">
        <v>1</v>
      </c>
      <c r="E380" s="491">
        <v>0</v>
      </c>
      <c r="F380" s="491">
        <v>0</v>
      </c>
      <c r="G380" s="491">
        <f t="shared" si="5"/>
        <v>1</v>
      </c>
    </row>
    <row r="381" spans="1:7" ht="12.75">
      <c r="A381" s="134" t="s">
        <v>664</v>
      </c>
      <c r="B381" s="134">
        <v>191</v>
      </c>
      <c r="C381" s="491">
        <v>1</v>
      </c>
      <c r="D381" s="491">
        <v>0</v>
      </c>
      <c r="E381" s="491">
        <v>0</v>
      </c>
      <c r="F381" s="491">
        <v>0</v>
      </c>
      <c r="G381" s="491">
        <f t="shared" si="5"/>
        <v>1</v>
      </c>
    </row>
    <row r="382" spans="1:7" ht="12.75">
      <c r="A382" s="134" t="s">
        <v>664</v>
      </c>
      <c r="B382" s="134">
        <v>320</v>
      </c>
      <c r="C382" s="491">
        <v>1</v>
      </c>
      <c r="D382" s="491">
        <v>0</v>
      </c>
      <c r="E382" s="491">
        <v>0</v>
      </c>
      <c r="F382" s="491">
        <v>0</v>
      </c>
      <c r="G382" s="491">
        <f t="shared" si="5"/>
        <v>1</v>
      </c>
    </row>
    <row r="383" spans="1:7" ht="12.75">
      <c r="A383" s="134" t="s">
        <v>665</v>
      </c>
      <c r="B383" s="134">
        <v>100</v>
      </c>
      <c r="C383" s="491">
        <v>1</v>
      </c>
      <c r="D383" s="491">
        <v>0</v>
      </c>
      <c r="E383" s="491">
        <v>0</v>
      </c>
      <c r="F383" s="491">
        <v>0</v>
      </c>
      <c r="G383" s="491">
        <f t="shared" si="5"/>
        <v>1</v>
      </c>
    </row>
    <row r="384" spans="1:7" ht="12.75">
      <c r="A384" s="134" t="s">
        <v>665</v>
      </c>
      <c r="B384" s="134">
        <v>101</v>
      </c>
      <c r="C384" s="491">
        <v>3</v>
      </c>
      <c r="D384" s="491">
        <v>0</v>
      </c>
      <c r="E384" s="491">
        <v>0</v>
      </c>
      <c r="F384" s="491">
        <v>0</v>
      </c>
      <c r="G384" s="491">
        <f t="shared" si="5"/>
        <v>3</v>
      </c>
    </row>
    <row r="385" spans="1:7" ht="12.75">
      <c r="A385" s="134" t="s">
        <v>665</v>
      </c>
      <c r="B385" s="134">
        <v>130</v>
      </c>
      <c r="C385" s="491">
        <v>525</v>
      </c>
      <c r="D385" s="491">
        <v>221</v>
      </c>
      <c r="E385" s="491">
        <v>1</v>
      </c>
      <c r="F385" s="491">
        <v>0</v>
      </c>
      <c r="G385" s="491">
        <f t="shared" si="5"/>
        <v>747</v>
      </c>
    </row>
    <row r="386" spans="1:7" ht="12.75">
      <c r="A386" s="134" t="s">
        <v>665</v>
      </c>
      <c r="B386" s="134">
        <v>216</v>
      </c>
      <c r="C386" s="491">
        <v>1</v>
      </c>
      <c r="D386" s="491">
        <v>0</v>
      </c>
      <c r="E386" s="491">
        <v>0</v>
      </c>
      <c r="F386" s="491">
        <v>0</v>
      </c>
      <c r="G386" s="491">
        <f t="shared" si="5"/>
        <v>1</v>
      </c>
    </row>
    <row r="387" spans="1:7" ht="12.75">
      <c r="A387" s="134" t="s">
        <v>665</v>
      </c>
      <c r="B387" s="134">
        <v>303</v>
      </c>
      <c r="C387" s="491">
        <v>4</v>
      </c>
      <c r="D387" s="491">
        <v>0</v>
      </c>
      <c r="E387" s="491">
        <v>0</v>
      </c>
      <c r="F387" s="491">
        <v>0</v>
      </c>
      <c r="G387" s="491">
        <f t="shared" si="5"/>
        <v>4</v>
      </c>
    </row>
    <row r="388" spans="1:7" ht="12.75">
      <c r="A388" s="134" t="s">
        <v>665</v>
      </c>
      <c r="B388" s="134">
        <v>307</v>
      </c>
      <c r="C388" s="491">
        <v>1</v>
      </c>
      <c r="D388" s="491">
        <v>0</v>
      </c>
      <c r="E388" s="491">
        <v>0</v>
      </c>
      <c r="F388" s="491">
        <v>0</v>
      </c>
      <c r="G388" s="491">
        <f t="shared" ref="G388:G451" si="6">SUM(C388:F388)</f>
        <v>1</v>
      </c>
    </row>
    <row r="389" spans="1:7" ht="12.75">
      <c r="A389" s="134" t="s">
        <v>665</v>
      </c>
      <c r="B389" s="134">
        <v>370</v>
      </c>
      <c r="C389" s="491">
        <v>3</v>
      </c>
      <c r="D389" s="491">
        <v>0</v>
      </c>
      <c r="E389" s="491">
        <v>0</v>
      </c>
      <c r="F389" s="491">
        <v>0</v>
      </c>
      <c r="G389" s="491">
        <f t="shared" si="6"/>
        <v>3</v>
      </c>
    </row>
    <row r="390" spans="1:7" ht="12.75">
      <c r="A390" s="134" t="s">
        <v>665</v>
      </c>
      <c r="B390" s="134">
        <v>800</v>
      </c>
      <c r="C390" s="491">
        <v>2</v>
      </c>
      <c r="D390" s="491">
        <v>0</v>
      </c>
      <c r="E390" s="491">
        <v>0</v>
      </c>
      <c r="F390" s="491">
        <v>0</v>
      </c>
      <c r="G390" s="491">
        <f t="shared" si="6"/>
        <v>2</v>
      </c>
    </row>
    <row r="391" spans="1:7" ht="12.75">
      <c r="A391" s="134" t="s">
        <v>666</v>
      </c>
      <c r="B391" s="134">
        <v>100</v>
      </c>
      <c r="C391" s="491">
        <v>1</v>
      </c>
      <c r="D391" s="491">
        <v>2</v>
      </c>
      <c r="E391" s="491">
        <v>0</v>
      </c>
      <c r="F391" s="491">
        <v>0</v>
      </c>
      <c r="G391" s="491">
        <f t="shared" si="6"/>
        <v>3</v>
      </c>
    </row>
    <row r="392" spans="1:7" ht="12.75">
      <c r="A392" s="134" t="s">
        <v>666</v>
      </c>
      <c r="B392" s="134">
        <v>101</v>
      </c>
      <c r="C392" s="491">
        <v>2</v>
      </c>
      <c r="D392" s="491">
        <v>0</v>
      </c>
      <c r="E392" s="491">
        <v>0</v>
      </c>
      <c r="F392" s="491">
        <v>0</v>
      </c>
      <c r="G392" s="491">
        <f t="shared" si="6"/>
        <v>2</v>
      </c>
    </row>
    <row r="393" spans="1:7" ht="12.75">
      <c r="A393" s="134" t="s">
        <v>666</v>
      </c>
      <c r="B393" s="134">
        <v>103</v>
      </c>
      <c r="C393" s="491">
        <v>1</v>
      </c>
      <c r="D393" s="491">
        <v>0</v>
      </c>
      <c r="E393" s="491">
        <v>0</v>
      </c>
      <c r="F393" s="491">
        <v>0</v>
      </c>
      <c r="G393" s="491">
        <f t="shared" si="6"/>
        <v>1</v>
      </c>
    </row>
    <row r="394" spans="1:7" ht="12.75">
      <c r="A394" s="134" t="s">
        <v>666</v>
      </c>
      <c r="B394" s="134">
        <v>104</v>
      </c>
      <c r="C394" s="491">
        <v>2</v>
      </c>
      <c r="D394" s="491">
        <v>1</v>
      </c>
      <c r="E394" s="491">
        <v>0</v>
      </c>
      <c r="F394" s="491">
        <v>0</v>
      </c>
      <c r="G394" s="491">
        <f t="shared" si="6"/>
        <v>3</v>
      </c>
    </row>
    <row r="395" spans="1:7" ht="12.75">
      <c r="A395" s="134" t="s">
        <v>666</v>
      </c>
      <c r="B395" s="134">
        <v>110</v>
      </c>
      <c r="C395" s="491">
        <v>2</v>
      </c>
      <c r="D395" s="491">
        <v>3</v>
      </c>
      <c r="E395" s="491">
        <v>0</v>
      </c>
      <c r="F395" s="491">
        <v>0</v>
      </c>
      <c r="G395" s="491">
        <f t="shared" si="6"/>
        <v>5</v>
      </c>
    </row>
    <row r="396" spans="1:7" ht="12.75">
      <c r="A396" s="134" t="s">
        <v>666</v>
      </c>
      <c r="B396" s="134">
        <v>120</v>
      </c>
      <c r="C396" s="491">
        <v>2</v>
      </c>
      <c r="D396" s="491">
        <v>1</v>
      </c>
      <c r="E396" s="491">
        <v>0</v>
      </c>
      <c r="F396" s="491">
        <v>0</v>
      </c>
      <c r="G396" s="491">
        <f t="shared" si="6"/>
        <v>3</v>
      </c>
    </row>
    <row r="397" spans="1:7" ht="12.75">
      <c r="A397" s="134" t="s">
        <v>666</v>
      </c>
      <c r="B397" s="134">
        <v>130</v>
      </c>
      <c r="C397" s="491">
        <v>29675</v>
      </c>
      <c r="D397" s="491">
        <v>15532</v>
      </c>
      <c r="E397" s="491">
        <v>598</v>
      </c>
      <c r="F397" s="491">
        <v>719</v>
      </c>
      <c r="G397" s="491">
        <f t="shared" si="6"/>
        <v>46524</v>
      </c>
    </row>
    <row r="398" spans="1:7" ht="12.75">
      <c r="A398" s="134" t="s">
        <v>666</v>
      </c>
      <c r="B398" s="134">
        <v>140</v>
      </c>
      <c r="C398" s="491">
        <v>1</v>
      </c>
      <c r="D398" s="491">
        <v>3</v>
      </c>
      <c r="E398" s="491">
        <v>0</v>
      </c>
      <c r="F398" s="491">
        <v>0</v>
      </c>
      <c r="G398" s="491">
        <f t="shared" si="6"/>
        <v>4</v>
      </c>
    </row>
    <row r="399" spans="1:7" ht="12.75">
      <c r="A399" s="134" t="s">
        <v>666</v>
      </c>
      <c r="B399" s="134">
        <v>143</v>
      </c>
      <c r="C399" s="491">
        <v>3</v>
      </c>
      <c r="D399" s="491">
        <v>0</v>
      </c>
      <c r="E399" s="491">
        <v>0</v>
      </c>
      <c r="F399" s="491">
        <v>0</v>
      </c>
      <c r="G399" s="491">
        <f t="shared" si="6"/>
        <v>3</v>
      </c>
    </row>
    <row r="400" spans="1:7" ht="12.75">
      <c r="A400" s="134" t="s">
        <v>666</v>
      </c>
      <c r="B400" s="134">
        <v>160</v>
      </c>
      <c r="C400" s="491">
        <v>2</v>
      </c>
      <c r="D400" s="491">
        <v>0</v>
      </c>
      <c r="E400" s="491">
        <v>0</v>
      </c>
      <c r="F400" s="491">
        <v>0</v>
      </c>
      <c r="G400" s="491">
        <f t="shared" si="6"/>
        <v>2</v>
      </c>
    </row>
    <row r="401" spans="1:7" ht="12.75">
      <c r="A401" s="134" t="s">
        <v>666</v>
      </c>
      <c r="B401" s="134">
        <v>171</v>
      </c>
      <c r="C401" s="491">
        <v>1</v>
      </c>
      <c r="D401" s="491">
        <v>0</v>
      </c>
      <c r="E401" s="491">
        <v>0</v>
      </c>
      <c r="F401" s="491">
        <v>0</v>
      </c>
      <c r="G401" s="491">
        <f t="shared" si="6"/>
        <v>1</v>
      </c>
    </row>
    <row r="402" spans="1:7" ht="12.75">
      <c r="A402" s="134" t="s">
        <v>666</v>
      </c>
      <c r="B402" s="134">
        <v>190</v>
      </c>
      <c r="C402" s="491">
        <v>0</v>
      </c>
      <c r="D402" s="491">
        <v>3</v>
      </c>
      <c r="E402" s="491">
        <v>0</v>
      </c>
      <c r="F402" s="491">
        <v>0</v>
      </c>
      <c r="G402" s="491">
        <f t="shared" si="6"/>
        <v>3</v>
      </c>
    </row>
    <row r="403" spans="1:7" ht="12.75">
      <c r="A403" s="134" t="s">
        <v>666</v>
      </c>
      <c r="B403" s="134">
        <v>191</v>
      </c>
      <c r="C403" s="491">
        <v>4</v>
      </c>
      <c r="D403" s="491">
        <v>0</v>
      </c>
      <c r="E403" s="491">
        <v>0</v>
      </c>
      <c r="F403" s="491">
        <v>0</v>
      </c>
      <c r="G403" s="491">
        <f t="shared" si="6"/>
        <v>4</v>
      </c>
    </row>
    <row r="404" spans="1:7" ht="12.75">
      <c r="A404" s="134" t="s">
        <v>666</v>
      </c>
      <c r="B404" s="134">
        <v>211</v>
      </c>
      <c r="C404" s="491">
        <v>0</v>
      </c>
      <c r="D404" s="491">
        <v>1</v>
      </c>
      <c r="E404" s="491">
        <v>0</v>
      </c>
      <c r="F404" s="491">
        <v>0</v>
      </c>
      <c r="G404" s="491">
        <f t="shared" si="6"/>
        <v>1</v>
      </c>
    </row>
    <row r="405" spans="1:7" ht="12.75">
      <c r="A405" s="134" t="s">
        <v>666</v>
      </c>
      <c r="B405" s="134">
        <v>214</v>
      </c>
      <c r="C405" s="491">
        <v>1</v>
      </c>
      <c r="D405" s="491">
        <v>0</v>
      </c>
      <c r="E405" s="491">
        <v>0</v>
      </c>
      <c r="F405" s="491">
        <v>0</v>
      </c>
      <c r="G405" s="491">
        <f t="shared" si="6"/>
        <v>1</v>
      </c>
    </row>
    <row r="406" spans="1:7" ht="12.75">
      <c r="A406" s="134" t="s">
        <v>666</v>
      </c>
      <c r="B406" s="134">
        <v>216</v>
      </c>
      <c r="C406" s="491">
        <v>10</v>
      </c>
      <c r="D406" s="491">
        <v>4</v>
      </c>
      <c r="E406" s="491">
        <v>1</v>
      </c>
      <c r="F406" s="491">
        <v>0</v>
      </c>
      <c r="G406" s="491">
        <f t="shared" si="6"/>
        <v>15</v>
      </c>
    </row>
    <row r="407" spans="1:7" ht="12.75">
      <c r="A407" s="134" t="s">
        <v>666</v>
      </c>
      <c r="B407" s="134">
        <v>257</v>
      </c>
      <c r="C407" s="491">
        <v>1</v>
      </c>
      <c r="D407" s="491">
        <v>0</v>
      </c>
      <c r="E407" s="491">
        <v>0</v>
      </c>
      <c r="F407" s="491">
        <v>0</v>
      </c>
      <c r="G407" s="491">
        <f t="shared" si="6"/>
        <v>1</v>
      </c>
    </row>
    <row r="408" spans="1:7" ht="12.75">
      <c r="A408" s="134" t="s">
        <v>666</v>
      </c>
      <c r="B408" s="134">
        <v>300</v>
      </c>
      <c r="C408" s="491">
        <v>3</v>
      </c>
      <c r="D408" s="491">
        <v>5</v>
      </c>
      <c r="E408" s="491">
        <v>0</v>
      </c>
      <c r="F408" s="491">
        <v>0</v>
      </c>
      <c r="G408" s="491">
        <f t="shared" si="6"/>
        <v>8</v>
      </c>
    </row>
    <row r="409" spans="1:7" ht="12.75">
      <c r="A409" s="134" t="s">
        <v>666</v>
      </c>
      <c r="B409" s="134">
        <v>301</v>
      </c>
      <c r="C409" s="491">
        <v>3</v>
      </c>
      <c r="D409" s="491">
        <v>1</v>
      </c>
      <c r="E409" s="491">
        <v>0</v>
      </c>
      <c r="F409" s="491">
        <v>0</v>
      </c>
      <c r="G409" s="491">
        <f t="shared" si="6"/>
        <v>4</v>
      </c>
    </row>
    <row r="410" spans="1:7" ht="12.75">
      <c r="A410" s="134" t="s">
        <v>666</v>
      </c>
      <c r="B410" s="134">
        <v>303</v>
      </c>
      <c r="C410" s="491">
        <v>2</v>
      </c>
      <c r="D410" s="491">
        <v>0</v>
      </c>
      <c r="E410" s="491">
        <v>0</v>
      </c>
      <c r="F410" s="491">
        <v>0</v>
      </c>
      <c r="G410" s="491">
        <f t="shared" si="6"/>
        <v>2</v>
      </c>
    </row>
    <row r="411" spans="1:7" ht="12.75">
      <c r="A411" s="134" t="s">
        <v>666</v>
      </c>
      <c r="B411" s="134">
        <v>304</v>
      </c>
      <c r="C411" s="491">
        <v>2</v>
      </c>
      <c r="D411" s="491">
        <v>0</v>
      </c>
      <c r="E411" s="491">
        <v>0</v>
      </c>
      <c r="F411" s="491">
        <v>0</v>
      </c>
      <c r="G411" s="491">
        <f t="shared" si="6"/>
        <v>2</v>
      </c>
    </row>
    <row r="412" spans="1:7" ht="12.75">
      <c r="A412" s="134" t="s">
        <v>666</v>
      </c>
      <c r="B412" s="134">
        <v>310</v>
      </c>
      <c r="C412" s="491">
        <v>2</v>
      </c>
      <c r="D412" s="491">
        <v>0</v>
      </c>
      <c r="E412" s="491">
        <v>0</v>
      </c>
      <c r="F412" s="491">
        <v>0</v>
      </c>
      <c r="G412" s="491">
        <f t="shared" si="6"/>
        <v>2</v>
      </c>
    </row>
    <row r="413" spans="1:7" ht="12.75">
      <c r="A413" s="134" t="s">
        <v>666</v>
      </c>
      <c r="B413" s="134">
        <v>320</v>
      </c>
      <c r="C413" s="491">
        <v>7</v>
      </c>
      <c r="D413" s="491">
        <v>2</v>
      </c>
      <c r="E413" s="491">
        <v>0</v>
      </c>
      <c r="F413" s="491">
        <v>0</v>
      </c>
      <c r="G413" s="491">
        <f t="shared" si="6"/>
        <v>9</v>
      </c>
    </row>
    <row r="414" spans="1:7" ht="12.75">
      <c r="A414" s="134" t="s">
        <v>666</v>
      </c>
      <c r="B414" s="134">
        <v>324</v>
      </c>
      <c r="C414" s="491">
        <v>1</v>
      </c>
      <c r="D414" s="491">
        <v>0</v>
      </c>
      <c r="E414" s="491">
        <v>0</v>
      </c>
      <c r="F414" s="491">
        <v>0</v>
      </c>
      <c r="G414" s="491">
        <f t="shared" si="6"/>
        <v>1</v>
      </c>
    </row>
    <row r="415" spans="1:7" ht="12.75">
      <c r="A415" s="134" t="s">
        <v>666</v>
      </c>
      <c r="B415" s="134">
        <v>330</v>
      </c>
      <c r="C415" s="491">
        <v>1</v>
      </c>
      <c r="D415" s="491">
        <v>0</v>
      </c>
      <c r="E415" s="491">
        <v>0</v>
      </c>
      <c r="F415" s="491">
        <v>0</v>
      </c>
      <c r="G415" s="491">
        <f t="shared" si="6"/>
        <v>1</v>
      </c>
    </row>
    <row r="416" spans="1:7" ht="12.75">
      <c r="A416" s="134" t="s">
        <v>666</v>
      </c>
      <c r="B416" s="134">
        <v>340</v>
      </c>
      <c r="C416" s="491">
        <v>1</v>
      </c>
      <c r="D416" s="491">
        <v>0</v>
      </c>
      <c r="E416" s="491">
        <v>0</v>
      </c>
      <c r="F416" s="491">
        <v>0</v>
      </c>
      <c r="G416" s="491">
        <f t="shared" si="6"/>
        <v>1</v>
      </c>
    </row>
    <row r="417" spans="1:7" ht="12.75">
      <c r="A417" s="134" t="s">
        <v>666</v>
      </c>
      <c r="B417" s="134">
        <v>370</v>
      </c>
      <c r="C417" s="491">
        <v>1</v>
      </c>
      <c r="D417" s="491">
        <v>0</v>
      </c>
      <c r="E417" s="491">
        <v>0</v>
      </c>
      <c r="F417" s="491">
        <v>0</v>
      </c>
      <c r="G417" s="491">
        <f t="shared" si="6"/>
        <v>1</v>
      </c>
    </row>
    <row r="418" spans="1:7" ht="12.75">
      <c r="A418" s="134" t="s">
        <v>666</v>
      </c>
      <c r="B418" s="134">
        <v>410</v>
      </c>
      <c r="C418" s="491">
        <v>1</v>
      </c>
      <c r="D418" s="491">
        <v>0</v>
      </c>
      <c r="E418" s="491">
        <v>0</v>
      </c>
      <c r="F418" s="491">
        <v>0</v>
      </c>
      <c r="G418" s="491">
        <f t="shared" si="6"/>
        <v>1</v>
      </c>
    </row>
    <row r="419" spans="1:7" ht="12.75">
      <c r="A419" s="134" t="s">
        <v>666</v>
      </c>
      <c r="B419" s="134">
        <v>420</v>
      </c>
      <c r="C419" s="491">
        <v>0</v>
      </c>
      <c r="D419" s="491">
        <v>2</v>
      </c>
      <c r="E419" s="491">
        <v>0</v>
      </c>
      <c r="F419" s="491">
        <v>0</v>
      </c>
      <c r="G419" s="491">
        <f t="shared" si="6"/>
        <v>2</v>
      </c>
    </row>
    <row r="420" spans="1:7" ht="12.75">
      <c r="A420" s="134" t="s">
        <v>666</v>
      </c>
      <c r="B420" s="134">
        <v>430</v>
      </c>
      <c r="C420" s="491">
        <v>2</v>
      </c>
      <c r="D420" s="491">
        <v>0</v>
      </c>
      <c r="E420" s="491">
        <v>0</v>
      </c>
      <c r="F420" s="491">
        <v>0</v>
      </c>
      <c r="G420" s="491">
        <f t="shared" si="6"/>
        <v>2</v>
      </c>
    </row>
    <row r="421" spans="1:7" ht="12.75">
      <c r="A421" s="134" t="s">
        <v>666</v>
      </c>
      <c r="B421" s="134">
        <v>450</v>
      </c>
      <c r="C421" s="491">
        <v>0</v>
      </c>
      <c r="D421" s="491">
        <v>1</v>
      </c>
      <c r="E421" s="491">
        <v>0</v>
      </c>
      <c r="F421" s="491">
        <v>0</v>
      </c>
      <c r="G421" s="491">
        <f t="shared" si="6"/>
        <v>1</v>
      </c>
    </row>
    <row r="422" spans="1:7" ht="12.75">
      <c r="A422" s="134" t="s">
        <v>666</v>
      </c>
      <c r="B422" s="134">
        <v>460</v>
      </c>
      <c r="C422" s="491">
        <v>92</v>
      </c>
      <c r="D422" s="491">
        <v>13</v>
      </c>
      <c r="E422" s="491">
        <v>1</v>
      </c>
      <c r="F422" s="491">
        <v>0</v>
      </c>
      <c r="G422" s="491">
        <f t="shared" si="6"/>
        <v>106</v>
      </c>
    </row>
    <row r="423" spans="1:7" ht="12.75">
      <c r="A423" s="134" t="s">
        <v>666</v>
      </c>
      <c r="B423" s="134">
        <v>502</v>
      </c>
      <c r="C423" s="491">
        <v>1</v>
      </c>
      <c r="D423" s="491">
        <v>1</v>
      </c>
      <c r="E423" s="491">
        <v>0</v>
      </c>
      <c r="F423" s="491">
        <v>0</v>
      </c>
      <c r="G423" s="491">
        <f t="shared" si="6"/>
        <v>2</v>
      </c>
    </row>
    <row r="424" spans="1:7" ht="12.75">
      <c r="A424" s="134" t="s">
        <v>666</v>
      </c>
      <c r="B424" s="134">
        <v>560</v>
      </c>
      <c r="C424" s="491">
        <v>0</v>
      </c>
      <c r="D424" s="491">
        <v>3</v>
      </c>
      <c r="E424" s="491">
        <v>0</v>
      </c>
      <c r="F424" s="491">
        <v>0</v>
      </c>
      <c r="G424" s="491">
        <f t="shared" si="6"/>
        <v>3</v>
      </c>
    </row>
    <row r="425" spans="1:7" ht="12.75">
      <c r="A425" s="134" t="s">
        <v>666</v>
      </c>
      <c r="B425" s="134">
        <v>654</v>
      </c>
      <c r="C425" s="491">
        <v>1</v>
      </c>
      <c r="D425" s="491">
        <v>1</v>
      </c>
      <c r="E425" s="491">
        <v>0</v>
      </c>
      <c r="F425" s="491">
        <v>0</v>
      </c>
      <c r="G425" s="491">
        <f t="shared" si="6"/>
        <v>2</v>
      </c>
    </row>
    <row r="426" spans="1:7" ht="12.75">
      <c r="A426" s="134" t="s">
        <v>666</v>
      </c>
      <c r="B426" s="134">
        <v>655</v>
      </c>
      <c r="C426" s="491">
        <v>21</v>
      </c>
      <c r="D426" s="491">
        <v>21</v>
      </c>
      <c r="E426" s="491">
        <v>0</v>
      </c>
      <c r="F426" s="491">
        <v>0</v>
      </c>
      <c r="G426" s="491">
        <f t="shared" si="6"/>
        <v>42</v>
      </c>
    </row>
    <row r="427" spans="1:7" ht="12.75">
      <c r="A427" s="134" t="s">
        <v>666</v>
      </c>
      <c r="B427" s="134">
        <v>800</v>
      </c>
      <c r="C427" s="491">
        <v>5</v>
      </c>
      <c r="D427" s="491">
        <v>0</v>
      </c>
      <c r="E427" s="491">
        <v>0</v>
      </c>
      <c r="F427" s="491">
        <v>0</v>
      </c>
      <c r="G427" s="491">
        <f t="shared" si="6"/>
        <v>5</v>
      </c>
    </row>
    <row r="428" spans="1:7" ht="12.75">
      <c r="A428" s="134" t="s">
        <v>667</v>
      </c>
      <c r="B428" s="134">
        <v>130</v>
      </c>
      <c r="C428" s="491">
        <v>7</v>
      </c>
      <c r="D428" s="491">
        <v>2</v>
      </c>
      <c r="E428" s="491">
        <v>0</v>
      </c>
      <c r="F428" s="491">
        <v>0</v>
      </c>
      <c r="G428" s="491">
        <f t="shared" si="6"/>
        <v>9</v>
      </c>
    </row>
    <row r="429" spans="1:7" ht="12.75">
      <c r="A429" s="134" t="s">
        <v>667</v>
      </c>
      <c r="B429" s="134">
        <v>140</v>
      </c>
      <c r="C429" s="491">
        <v>1</v>
      </c>
      <c r="D429" s="491">
        <v>0</v>
      </c>
      <c r="E429" s="491">
        <v>0</v>
      </c>
      <c r="F429" s="491">
        <v>0</v>
      </c>
      <c r="G429" s="491">
        <f t="shared" si="6"/>
        <v>1</v>
      </c>
    </row>
    <row r="430" spans="1:7" ht="12.75">
      <c r="A430" s="134" t="s">
        <v>667</v>
      </c>
      <c r="B430" s="134">
        <v>143</v>
      </c>
      <c r="C430" s="491">
        <v>2</v>
      </c>
      <c r="D430" s="491">
        <v>0</v>
      </c>
      <c r="E430" s="491">
        <v>0</v>
      </c>
      <c r="F430" s="491">
        <v>0</v>
      </c>
      <c r="G430" s="491">
        <f t="shared" si="6"/>
        <v>2</v>
      </c>
    </row>
    <row r="431" spans="1:7" ht="12.75">
      <c r="A431" s="134" t="s">
        <v>667</v>
      </c>
      <c r="B431" s="134">
        <v>160</v>
      </c>
      <c r="C431" s="491">
        <v>3</v>
      </c>
      <c r="D431" s="491">
        <v>0</v>
      </c>
      <c r="E431" s="491">
        <v>0</v>
      </c>
      <c r="F431" s="491">
        <v>0</v>
      </c>
      <c r="G431" s="491">
        <f t="shared" si="6"/>
        <v>3</v>
      </c>
    </row>
    <row r="432" spans="1:7" ht="12.75">
      <c r="A432" s="134" t="s">
        <v>667</v>
      </c>
      <c r="B432" s="134">
        <v>330</v>
      </c>
      <c r="C432" s="491">
        <v>0</v>
      </c>
      <c r="D432" s="491">
        <v>1</v>
      </c>
      <c r="E432" s="491">
        <v>0</v>
      </c>
      <c r="F432" s="491">
        <v>0</v>
      </c>
      <c r="G432" s="491">
        <f t="shared" si="6"/>
        <v>1</v>
      </c>
    </row>
    <row r="433" spans="1:7" ht="12.75">
      <c r="A433" s="134" t="s">
        <v>85</v>
      </c>
      <c r="B433" s="134">
        <v>130</v>
      </c>
      <c r="C433" s="491">
        <v>11</v>
      </c>
      <c r="D433" s="491">
        <v>21</v>
      </c>
      <c r="E433" s="491">
        <v>0</v>
      </c>
      <c r="F433" s="491">
        <v>1</v>
      </c>
      <c r="G433" s="491">
        <f t="shared" si="6"/>
        <v>33</v>
      </c>
    </row>
    <row r="434" spans="1:7" ht="12.75">
      <c r="A434" s="134" t="s">
        <v>85</v>
      </c>
      <c r="B434" s="134">
        <v>140</v>
      </c>
      <c r="C434" s="491">
        <v>0</v>
      </c>
      <c r="D434" s="491">
        <v>1</v>
      </c>
      <c r="E434" s="491">
        <v>0</v>
      </c>
      <c r="F434" s="491">
        <v>0</v>
      </c>
      <c r="G434" s="491">
        <f t="shared" si="6"/>
        <v>1</v>
      </c>
    </row>
    <row r="435" spans="1:7" ht="12.75">
      <c r="A435" s="134" t="s">
        <v>85</v>
      </c>
      <c r="B435" s="134">
        <v>143</v>
      </c>
      <c r="C435" s="491">
        <v>2</v>
      </c>
      <c r="D435" s="491">
        <v>0</v>
      </c>
      <c r="E435" s="491">
        <v>0</v>
      </c>
      <c r="F435" s="491">
        <v>0</v>
      </c>
      <c r="G435" s="491">
        <f t="shared" si="6"/>
        <v>2</v>
      </c>
    </row>
    <row r="436" spans="1:7" ht="12.75">
      <c r="A436" s="134" t="s">
        <v>85</v>
      </c>
      <c r="B436" s="134">
        <v>216</v>
      </c>
      <c r="C436" s="491">
        <v>1</v>
      </c>
      <c r="D436" s="491">
        <v>3</v>
      </c>
      <c r="E436" s="491">
        <v>0</v>
      </c>
      <c r="F436" s="491">
        <v>0</v>
      </c>
      <c r="G436" s="491">
        <f t="shared" si="6"/>
        <v>4</v>
      </c>
    </row>
    <row r="437" spans="1:7" ht="12.75">
      <c r="A437" s="134" t="s">
        <v>668</v>
      </c>
      <c r="B437" s="134">
        <v>100</v>
      </c>
      <c r="C437" s="491">
        <v>6</v>
      </c>
      <c r="D437" s="491">
        <v>3</v>
      </c>
      <c r="E437" s="491">
        <v>4</v>
      </c>
      <c r="F437" s="491">
        <v>0</v>
      </c>
      <c r="G437" s="491">
        <f t="shared" si="6"/>
        <v>13</v>
      </c>
    </row>
    <row r="438" spans="1:7" ht="12.75">
      <c r="A438" s="134" t="s">
        <v>668</v>
      </c>
      <c r="B438" s="134">
        <v>110</v>
      </c>
      <c r="C438" s="491">
        <v>5</v>
      </c>
      <c r="D438" s="491">
        <v>5</v>
      </c>
      <c r="E438" s="491">
        <v>0</v>
      </c>
      <c r="F438" s="491">
        <v>0</v>
      </c>
      <c r="G438" s="491">
        <f t="shared" si="6"/>
        <v>10</v>
      </c>
    </row>
    <row r="439" spans="1:7" ht="12.75">
      <c r="A439" s="134" t="s">
        <v>668</v>
      </c>
      <c r="B439" s="134">
        <v>120</v>
      </c>
      <c r="C439" s="491">
        <v>2</v>
      </c>
      <c r="D439" s="491">
        <v>1</v>
      </c>
      <c r="E439" s="491">
        <v>0</v>
      </c>
      <c r="F439" s="491">
        <v>0</v>
      </c>
      <c r="G439" s="491">
        <f t="shared" si="6"/>
        <v>3</v>
      </c>
    </row>
    <row r="440" spans="1:7" ht="12.75">
      <c r="A440" s="134" t="s">
        <v>668</v>
      </c>
      <c r="B440" s="134">
        <v>130</v>
      </c>
      <c r="C440" s="491">
        <v>631</v>
      </c>
      <c r="D440" s="491">
        <v>414</v>
      </c>
      <c r="E440" s="491">
        <v>7</v>
      </c>
      <c r="F440" s="491">
        <v>16</v>
      </c>
      <c r="G440" s="491">
        <f t="shared" si="6"/>
        <v>1068</v>
      </c>
    </row>
    <row r="441" spans="1:7" ht="12.75">
      <c r="A441" s="134" t="s">
        <v>668</v>
      </c>
      <c r="B441" s="134">
        <v>140</v>
      </c>
      <c r="C441" s="491">
        <v>11</v>
      </c>
      <c r="D441" s="491">
        <v>0</v>
      </c>
      <c r="E441" s="491">
        <v>0</v>
      </c>
      <c r="F441" s="491">
        <v>0</v>
      </c>
      <c r="G441" s="491">
        <f t="shared" si="6"/>
        <v>11</v>
      </c>
    </row>
    <row r="442" spans="1:7" ht="12.75">
      <c r="A442" s="134" t="s">
        <v>668</v>
      </c>
      <c r="B442" s="134">
        <v>143</v>
      </c>
      <c r="C442" s="491">
        <v>1</v>
      </c>
      <c r="D442" s="491">
        <v>0</v>
      </c>
      <c r="E442" s="491">
        <v>0</v>
      </c>
      <c r="F442" s="491">
        <v>0</v>
      </c>
      <c r="G442" s="491">
        <f t="shared" si="6"/>
        <v>1</v>
      </c>
    </row>
    <row r="443" spans="1:7" ht="12.75">
      <c r="A443" s="134" t="s">
        <v>668</v>
      </c>
      <c r="B443" s="134">
        <v>144</v>
      </c>
      <c r="C443" s="491">
        <v>4</v>
      </c>
      <c r="D443" s="491">
        <v>2</v>
      </c>
      <c r="E443" s="491">
        <v>0</v>
      </c>
      <c r="F443" s="491">
        <v>0</v>
      </c>
      <c r="G443" s="491">
        <f t="shared" si="6"/>
        <v>6</v>
      </c>
    </row>
    <row r="444" spans="1:7" ht="12.75">
      <c r="A444" s="134" t="s">
        <v>668</v>
      </c>
      <c r="B444" s="134">
        <v>160</v>
      </c>
      <c r="C444" s="491">
        <v>41</v>
      </c>
      <c r="D444" s="491">
        <v>1</v>
      </c>
      <c r="E444" s="491">
        <v>6</v>
      </c>
      <c r="F444" s="491">
        <v>0</v>
      </c>
      <c r="G444" s="491">
        <f t="shared" si="6"/>
        <v>48</v>
      </c>
    </row>
    <row r="445" spans="1:7" ht="12.75">
      <c r="A445" s="134" t="s">
        <v>668</v>
      </c>
      <c r="B445" s="134">
        <v>219</v>
      </c>
      <c r="C445" s="491">
        <v>1</v>
      </c>
      <c r="D445" s="491">
        <v>0</v>
      </c>
      <c r="E445" s="491">
        <v>0</v>
      </c>
      <c r="F445" s="491">
        <v>0</v>
      </c>
      <c r="G445" s="491">
        <f t="shared" si="6"/>
        <v>1</v>
      </c>
    </row>
    <row r="446" spans="1:7" ht="12.75">
      <c r="A446" s="134" t="s">
        <v>668</v>
      </c>
      <c r="B446" s="134">
        <v>300</v>
      </c>
      <c r="C446" s="491">
        <v>0</v>
      </c>
      <c r="D446" s="491">
        <v>1</v>
      </c>
      <c r="E446" s="491">
        <v>0</v>
      </c>
      <c r="F446" s="491">
        <v>0</v>
      </c>
      <c r="G446" s="491">
        <f t="shared" si="6"/>
        <v>1</v>
      </c>
    </row>
    <row r="447" spans="1:7" ht="12.75">
      <c r="A447" s="134" t="s">
        <v>668</v>
      </c>
      <c r="B447" s="134">
        <v>320</v>
      </c>
      <c r="C447" s="491">
        <v>1</v>
      </c>
      <c r="D447" s="491">
        <v>2</v>
      </c>
      <c r="E447" s="491">
        <v>0</v>
      </c>
      <c r="F447" s="491">
        <v>0</v>
      </c>
      <c r="G447" s="491">
        <f t="shared" si="6"/>
        <v>3</v>
      </c>
    </row>
    <row r="448" spans="1:7" ht="12.75">
      <c r="A448" s="134" t="s">
        <v>668</v>
      </c>
      <c r="B448" s="134">
        <v>330</v>
      </c>
      <c r="C448" s="491">
        <v>50</v>
      </c>
      <c r="D448" s="491">
        <v>5</v>
      </c>
      <c r="E448" s="491">
        <v>0</v>
      </c>
      <c r="F448" s="491">
        <v>0</v>
      </c>
      <c r="G448" s="491">
        <f t="shared" si="6"/>
        <v>55</v>
      </c>
    </row>
    <row r="449" spans="1:7" ht="12.75">
      <c r="A449" s="134" t="s">
        <v>668</v>
      </c>
      <c r="B449" s="134">
        <v>460</v>
      </c>
      <c r="C449" s="491">
        <v>1</v>
      </c>
      <c r="D449" s="491">
        <v>0</v>
      </c>
      <c r="E449" s="491">
        <v>0</v>
      </c>
      <c r="F449" s="491">
        <v>0</v>
      </c>
      <c r="G449" s="491">
        <f t="shared" si="6"/>
        <v>1</v>
      </c>
    </row>
    <row r="450" spans="1:7" ht="12.75">
      <c r="A450" s="134" t="s">
        <v>668</v>
      </c>
      <c r="B450" s="134">
        <v>502</v>
      </c>
      <c r="C450" s="491">
        <v>0</v>
      </c>
      <c r="D450" s="491">
        <v>1</v>
      </c>
      <c r="E450" s="491">
        <v>0</v>
      </c>
      <c r="F450" s="491">
        <v>0</v>
      </c>
      <c r="G450" s="491">
        <f t="shared" si="6"/>
        <v>1</v>
      </c>
    </row>
    <row r="451" spans="1:7" ht="12.75">
      <c r="A451" s="134" t="s">
        <v>668</v>
      </c>
      <c r="B451" s="134">
        <v>655</v>
      </c>
      <c r="C451" s="491">
        <v>0</v>
      </c>
      <c r="D451" s="491">
        <v>1</v>
      </c>
      <c r="E451" s="491">
        <v>0</v>
      </c>
      <c r="F451" s="491">
        <v>0</v>
      </c>
      <c r="G451" s="491">
        <f t="shared" si="6"/>
        <v>1</v>
      </c>
    </row>
    <row r="452" spans="1:7" ht="12.75">
      <c r="A452" s="134" t="s">
        <v>485</v>
      </c>
      <c r="B452" s="134">
        <v>100</v>
      </c>
      <c r="C452" s="491">
        <v>0</v>
      </c>
      <c r="D452" s="491">
        <v>1</v>
      </c>
      <c r="E452" s="491">
        <v>0</v>
      </c>
      <c r="F452" s="491">
        <v>0</v>
      </c>
      <c r="G452" s="491">
        <f t="shared" ref="G452:G515" si="7">SUM(C452:F452)</f>
        <v>1</v>
      </c>
    </row>
    <row r="453" spans="1:7" ht="12.75">
      <c r="A453" s="134" t="s">
        <v>485</v>
      </c>
      <c r="B453" s="134">
        <v>110</v>
      </c>
      <c r="C453" s="491">
        <v>0</v>
      </c>
      <c r="D453" s="491">
        <v>1</v>
      </c>
      <c r="E453" s="491">
        <v>0</v>
      </c>
      <c r="F453" s="491">
        <v>0</v>
      </c>
      <c r="G453" s="491">
        <f t="shared" si="7"/>
        <v>1</v>
      </c>
    </row>
    <row r="454" spans="1:7" ht="12.75">
      <c r="A454" s="134" t="s">
        <v>485</v>
      </c>
      <c r="B454" s="134">
        <v>120</v>
      </c>
      <c r="C454" s="491">
        <v>0</v>
      </c>
      <c r="D454" s="491">
        <v>5</v>
      </c>
      <c r="E454" s="491">
        <v>0</v>
      </c>
      <c r="F454" s="491">
        <v>0</v>
      </c>
      <c r="G454" s="491">
        <f t="shared" si="7"/>
        <v>5</v>
      </c>
    </row>
    <row r="455" spans="1:7" ht="12.75">
      <c r="A455" s="134" t="s">
        <v>485</v>
      </c>
      <c r="B455" s="134">
        <v>130</v>
      </c>
      <c r="C455" s="491">
        <v>216</v>
      </c>
      <c r="D455" s="491">
        <v>209</v>
      </c>
      <c r="E455" s="491">
        <v>7</v>
      </c>
      <c r="F455" s="491">
        <v>13</v>
      </c>
      <c r="G455" s="491">
        <f t="shared" si="7"/>
        <v>445</v>
      </c>
    </row>
    <row r="456" spans="1:7" ht="12.75">
      <c r="A456" s="134" t="s">
        <v>485</v>
      </c>
      <c r="B456" s="134">
        <v>140</v>
      </c>
      <c r="C456" s="491">
        <v>0</v>
      </c>
      <c r="D456" s="491">
        <v>3</v>
      </c>
      <c r="E456" s="491">
        <v>0</v>
      </c>
      <c r="F456" s="491">
        <v>0</v>
      </c>
      <c r="G456" s="491">
        <f t="shared" si="7"/>
        <v>3</v>
      </c>
    </row>
    <row r="457" spans="1:7" ht="12.75">
      <c r="A457" s="134" t="s">
        <v>485</v>
      </c>
      <c r="B457" s="134">
        <v>143</v>
      </c>
      <c r="C457" s="491">
        <v>3</v>
      </c>
      <c r="D457" s="491">
        <v>0</v>
      </c>
      <c r="E457" s="491">
        <v>0</v>
      </c>
      <c r="F457" s="491">
        <v>0</v>
      </c>
      <c r="G457" s="491">
        <f t="shared" si="7"/>
        <v>3</v>
      </c>
    </row>
    <row r="458" spans="1:7" ht="12.75">
      <c r="A458" s="134" t="s">
        <v>485</v>
      </c>
      <c r="B458" s="134">
        <v>144</v>
      </c>
      <c r="C458" s="491">
        <v>3</v>
      </c>
      <c r="D458" s="491">
        <v>6</v>
      </c>
      <c r="E458" s="491">
        <v>0</v>
      </c>
      <c r="F458" s="491">
        <v>0</v>
      </c>
      <c r="G458" s="491">
        <f t="shared" si="7"/>
        <v>9</v>
      </c>
    </row>
    <row r="459" spans="1:7" ht="12.75">
      <c r="A459" s="134" t="s">
        <v>485</v>
      </c>
      <c r="B459" s="134">
        <v>160</v>
      </c>
      <c r="C459" s="491">
        <v>0</v>
      </c>
      <c r="D459" s="491">
        <v>3</v>
      </c>
      <c r="E459" s="491">
        <v>0</v>
      </c>
      <c r="F459" s="491">
        <v>0</v>
      </c>
      <c r="G459" s="491">
        <f t="shared" si="7"/>
        <v>3</v>
      </c>
    </row>
    <row r="460" spans="1:7" ht="12.75">
      <c r="A460" s="134" t="s">
        <v>485</v>
      </c>
      <c r="B460" s="134">
        <v>215</v>
      </c>
      <c r="C460" s="491">
        <v>0</v>
      </c>
      <c r="D460" s="491">
        <v>1</v>
      </c>
      <c r="E460" s="491">
        <v>0</v>
      </c>
      <c r="F460" s="491">
        <v>0</v>
      </c>
      <c r="G460" s="491">
        <f t="shared" si="7"/>
        <v>1</v>
      </c>
    </row>
    <row r="461" spans="1:7" ht="12.75">
      <c r="A461" s="134" t="s">
        <v>485</v>
      </c>
      <c r="B461" s="134">
        <v>216</v>
      </c>
      <c r="C461" s="491">
        <v>61</v>
      </c>
      <c r="D461" s="491">
        <v>25</v>
      </c>
      <c r="E461" s="491">
        <v>1</v>
      </c>
      <c r="F461" s="491">
        <v>1</v>
      </c>
      <c r="G461" s="491">
        <f t="shared" si="7"/>
        <v>88</v>
      </c>
    </row>
    <row r="462" spans="1:7" ht="12.75">
      <c r="A462" s="134" t="s">
        <v>485</v>
      </c>
      <c r="B462" s="134">
        <v>217</v>
      </c>
      <c r="C462" s="491">
        <v>1</v>
      </c>
      <c r="D462" s="491">
        <v>1</v>
      </c>
      <c r="E462" s="491">
        <v>0</v>
      </c>
      <c r="F462" s="491">
        <v>0</v>
      </c>
      <c r="G462" s="491">
        <f t="shared" si="7"/>
        <v>2</v>
      </c>
    </row>
    <row r="463" spans="1:7" ht="12.75">
      <c r="A463" s="134" t="s">
        <v>485</v>
      </c>
      <c r="B463" s="134">
        <v>251</v>
      </c>
      <c r="C463" s="491">
        <v>0</v>
      </c>
      <c r="D463" s="491">
        <v>1</v>
      </c>
      <c r="E463" s="491">
        <v>0</v>
      </c>
      <c r="F463" s="491">
        <v>0</v>
      </c>
      <c r="G463" s="491">
        <f t="shared" si="7"/>
        <v>1</v>
      </c>
    </row>
    <row r="464" spans="1:7" ht="12.75">
      <c r="A464" s="134" t="s">
        <v>485</v>
      </c>
      <c r="B464" s="134">
        <v>252</v>
      </c>
      <c r="C464" s="491">
        <v>0</v>
      </c>
      <c r="D464" s="491">
        <v>1</v>
      </c>
      <c r="E464" s="491">
        <v>0</v>
      </c>
      <c r="F464" s="491">
        <v>0</v>
      </c>
      <c r="G464" s="491">
        <f t="shared" si="7"/>
        <v>1</v>
      </c>
    </row>
    <row r="465" spans="1:7" ht="12.75">
      <c r="A465" s="134" t="s">
        <v>485</v>
      </c>
      <c r="B465" s="134">
        <v>253</v>
      </c>
      <c r="C465" s="491">
        <v>0</v>
      </c>
      <c r="D465" s="491">
        <v>1</v>
      </c>
      <c r="E465" s="491">
        <v>0</v>
      </c>
      <c r="F465" s="491">
        <v>0</v>
      </c>
      <c r="G465" s="491">
        <f t="shared" si="7"/>
        <v>1</v>
      </c>
    </row>
    <row r="466" spans="1:7" ht="12.75">
      <c r="A466" s="134" t="s">
        <v>485</v>
      </c>
      <c r="B466" s="134">
        <v>257</v>
      </c>
      <c r="C466" s="491">
        <v>4</v>
      </c>
      <c r="D466" s="491">
        <v>4</v>
      </c>
      <c r="E466" s="491">
        <v>0</v>
      </c>
      <c r="F466" s="491">
        <v>0</v>
      </c>
      <c r="G466" s="491">
        <f t="shared" si="7"/>
        <v>8</v>
      </c>
    </row>
    <row r="467" spans="1:7" ht="12.75">
      <c r="A467" s="134" t="s">
        <v>485</v>
      </c>
      <c r="B467" s="134">
        <v>258</v>
      </c>
      <c r="C467" s="491">
        <v>1</v>
      </c>
      <c r="D467" s="491">
        <v>1</v>
      </c>
      <c r="E467" s="491">
        <v>0</v>
      </c>
      <c r="F467" s="491">
        <v>0</v>
      </c>
      <c r="G467" s="491">
        <f t="shared" si="7"/>
        <v>2</v>
      </c>
    </row>
    <row r="468" spans="1:7" ht="12.75">
      <c r="A468" s="134" t="s">
        <v>485</v>
      </c>
      <c r="B468" s="134">
        <v>310</v>
      </c>
      <c r="C468" s="491">
        <v>0</v>
      </c>
      <c r="D468" s="491">
        <v>3</v>
      </c>
      <c r="E468" s="491">
        <v>0</v>
      </c>
      <c r="F468" s="491">
        <v>0</v>
      </c>
      <c r="G468" s="491">
        <f t="shared" si="7"/>
        <v>3</v>
      </c>
    </row>
    <row r="469" spans="1:7" ht="12.75">
      <c r="A469" s="134" t="s">
        <v>485</v>
      </c>
      <c r="B469" s="134">
        <v>330</v>
      </c>
      <c r="C469" s="491">
        <v>11</v>
      </c>
      <c r="D469" s="491">
        <v>3</v>
      </c>
      <c r="E469" s="491">
        <v>0</v>
      </c>
      <c r="F469" s="491">
        <v>0</v>
      </c>
      <c r="G469" s="491">
        <f t="shared" si="7"/>
        <v>14</v>
      </c>
    </row>
    <row r="470" spans="1:7" ht="12.75">
      <c r="A470" s="134" t="s">
        <v>485</v>
      </c>
      <c r="B470" s="134">
        <v>420</v>
      </c>
      <c r="C470" s="491">
        <v>1</v>
      </c>
      <c r="D470" s="491">
        <v>2</v>
      </c>
      <c r="E470" s="491">
        <v>0</v>
      </c>
      <c r="F470" s="491">
        <v>0</v>
      </c>
      <c r="G470" s="491">
        <f t="shared" si="7"/>
        <v>3</v>
      </c>
    </row>
    <row r="471" spans="1:7" ht="12.75">
      <c r="A471" s="134" t="s">
        <v>485</v>
      </c>
      <c r="B471" s="134">
        <v>502</v>
      </c>
      <c r="C471" s="491">
        <v>0</v>
      </c>
      <c r="D471" s="491">
        <v>1</v>
      </c>
      <c r="E471" s="491">
        <v>0</v>
      </c>
      <c r="F471" s="491">
        <v>0</v>
      </c>
      <c r="G471" s="491">
        <f t="shared" si="7"/>
        <v>1</v>
      </c>
    </row>
    <row r="472" spans="1:7" ht="12.75">
      <c r="A472" s="134" t="s">
        <v>485</v>
      </c>
      <c r="B472" s="134">
        <v>650</v>
      </c>
      <c r="C472" s="491">
        <v>0</v>
      </c>
      <c r="D472" s="491">
        <v>1</v>
      </c>
      <c r="E472" s="491">
        <v>0</v>
      </c>
      <c r="F472" s="491">
        <v>0</v>
      </c>
      <c r="G472" s="491">
        <f t="shared" si="7"/>
        <v>1</v>
      </c>
    </row>
    <row r="473" spans="1:7" ht="12.75">
      <c r="A473" s="134" t="s">
        <v>485</v>
      </c>
      <c r="B473" s="134">
        <v>655</v>
      </c>
      <c r="C473" s="491">
        <v>7</v>
      </c>
      <c r="D473" s="491">
        <v>4</v>
      </c>
      <c r="E473" s="491">
        <v>0</v>
      </c>
      <c r="F473" s="491">
        <v>0</v>
      </c>
      <c r="G473" s="491">
        <f t="shared" si="7"/>
        <v>11</v>
      </c>
    </row>
    <row r="474" spans="1:7" ht="12.75">
      <c r="A474" s="134" t="s">
        <v>669</v>
      </c>
      <c r="B474" s="134">
        <v>100</v>
      </c>
      <c r="C474" s="491">
        <v>3</v>
      </c>
      <c r="D474" s="491">
        <v>10</v>
      </c>
      <c r="E474" s="491">
        <v>2</v>
      </c>
      <c r="F474" s="491">
        <v>0</v>
      </c>
      <c r="G474" s="491">
        <f t="shared" si="7"/>
        <v>15</v>
      </c>
    </row>
    <row r="475" spans="1:7" ht="12.75">
      <c r="A475" s="134" t="s">
        <v>669</v>
      </c>
      <c r="B475" s="134">
        <v>101</v>
      </c>
      <c r="C475" s="491">
        <v>13</v>
      </c>
      <c r="D475" s="491">
        <v>9</v>
      </c>
      <c r="E475" s="491">
        <v>0</v>
      </c>
      <c r="F475" s="491">
        <v>1</v>
      </c>
      <c r="G475" s="491">
        <f t="shared" si="7"/>
        <v>23</v>
      </c>
    </row>
    <row r="476" spans="1:7" ht="12.75">
      <c r="A476" s="134" t="s">
        <v>669</v>
      </c>
      <c r="B476" s="134">
        <v>102</v>
      </c>
      <c r="C476" s="491">
        <v>0</v>
      </c>
      <c r="D476" s="491">
        <v>2</v>
      </c>
      <c r="E476" s="491">
        <v>0</v>
      </c>
      <c r="F476" s="491">
        <v>0</v>
      </c>
      <c r="G476" s="491">
        <f t="shared" si="7"/>
        <v>2</v>
      </c>
    </row>
    <row r="477" spans="1:7" ht="12.75">
      <c r="A477" s="134" t="s">
        <v>669</v>
      </c>
      <c r="B477" s="134">
        <v>103</v>
      </c>
      <c r="C477" s="491">
        <v>0</v>
      </c>
      <c r="D477" s="491">
        <v>1</v>
      </c>
      <c r="E477" s="491">
        <v>0</v>
      </c>
      <c r="F477" s="491">
        <v>0</v>
      </c>
      <c r="G477" s="491">
        <f t="shared" si="7"/>
        <v>1</v>
      </c>
    </row>
    <row r="478" spans="1:7" ht="12.75">
      <c r="A478" s="134" t="s">
        <v>669</v>
      </c>
      <c r="B478" s="134">
        <v>104</v>
      </c>
      <c r="C478" s="491">
        <v>1</v>
      </c>
      <c r="D478" s="491">
        <v>1</v>
      </c>
      <c r="E478" s="491">
        <v>0</v>
      </c>
      <c r="F478" s="491">
        <v>0</v>
      </c>
      <c r="G478" s="491">
        <f t="shared" si="7"/>
        <v>2</v>
      </c>
    </row>
    <row r="479" spans="1:7" ht="12.75">
      <c r="A479" s="134" t="s">
        <v>669</v>
      </c>
      <c r="B479" s="134">
        <v>107</v>
      </c>
      <c r="C479" s="491">
        <v>0</v>
      </c>
      <c r="D479" s="491">
        <v>3</v>
      </c>
      <c r="E479" s="491">
        <v>0</v>
      </c>
      <c r="F479" s="491">
        <v>0</v>
      </c>
      <c r="G479" s="491">
        <f t="shared" si="7"/>
        <v>3</v>
      </c>
    </row>
    <row r="480" spans="1:7" ht="12.75">
      <c r="A480" s="134" t="s">
        <v>669</v>
      </c>
      <c r="B480" s="134">
        <v>110</v>
      </c>
      <c r="C480" s="491">
        <v>9</v>
      </c>
      <c r="D480" s="491">
        <v>4</v>
      </c>
      <c r="E480" s="491">
        <v>0</v>
      </c>
      <c r="F480" s="491">
        <v>0</v>
      </c>
      <c r="G480" s="491">
        <f t="shared" si="7"/>
        <v>13</v>
      </c>
    </row>
    <row r="481" spans="1:7" ht="12.75">
      <c r="A481" s="134" t="s">
        <v>669</v>
      </c>
      <c r="B481" s="134">
        <v>120</v>
      </c>
      <c r="C481" s="491">
        <v>21</v>
      </c>
      <c r="D481" s="491">
        <v>18</v>
      </c>
      <c r="E481" s="491">
        <v>0</v>
      </c>
      <c r="F481" s="491">
        <v>0</v>
      </c>
      <c r="G481" s="491">
        <f t="shared" si="7"/>
        <v>39</v>
      </c>
    </row>
    <row r="482" spans="1:7" ht="12.75">
      <c r="A482" s="134" t="s">
        <v>669</v>
      </c>
      <c r="B482" s="134">
        <v>130</v>
      </c>
      <c r="C482" s="491">
        <v>19238</v>
      </c>
      <c r="D482" s="491">
        <v>6838</v>
      </c>
      <c r="E482" s="491">
        <v>674</v>
      </c>
      <c r="F482" s="491">
        <v>262</v>
      </c>
      <c r="G482" s="491">
        <f t="shared" si="7"/>
        <v>27012</v>
      </c>
    </row>
    <row r="483" spans="1:7" ht="12.75">
      <c r="A483" s="134" t="s">
        <v>669</v>
      </c>
      <c r="B483" s="134">
        <v>140</v>
      </c>
      <c r="C483" s="491">
        <v>34</v>
      </c>
      <c r="D483" s="491">
        <v>9</v>
      </c>
      <c r="E483" s="491">
        <v>0</v>
      </c>
      <c r="F483" s="491">
        <v>0</v>
      </c>
      <c r="G483" s="491">
        <f t="shared" si="7"/>
        <v>43</v>
      </c>
    </row>
    <row r="484" spans="1:7" ht="12.75">
      <c r="A484" s="134" t="s">
        <v>669</v>
      </c>
      <c r="B484" s="134">
        <v>141</v>
      </c>
      <c r="C484" s="491">
        <v>1</v>
      </c>
      <c r="D484" s="491">
        <v>0</v>
      </c>
      <c r="E484" s="491">
        <v>0</v>
      </c>
      <c r="F484" s="491">
        <v>0</v>
      </c>
      <c r="G484" s="491">
        <f t="shared" si="7"/>
        <v>1</v>
      </c>
    </row>
    <row r="485" spans="1:7" ht="12.75">
      <c r="A485" s="134" t="s">
        <v>669</v>
      </c>
      <c r="B485" s="134">
        <v>144</v>
      </c>
      <c r="C485" s="491">
        <v>52</v>
      </c>
      <c r="D485" s="491">
        <v>50</v>
      </c>
      <c r="E485" s="491">
        <v>0</v>
      </c>
      <c r="F485" s="491">
        <v>0</v>
      </c>
      <c r="G485" s="491">
        <f t="shared" si="7"/>
        <v>102</v>
      </c>
    </row>
    <row r="486" spans="1:7" ht="12.75">
      <c r="A486" s="134" t="s">
        <v>669</v>
      </c>
      <c r="B486" s="134">
        <v>150</v>
      </c>
      <c r="C486" s="491">
        <v>0</v>
      </c>
      <c r="D486" s="491">
        <v>2</v>
      </c>
      <c r="E486" s="491">
        <v>0</v>
      </c>
      <c r="F486" s="491">
        <v>0</v>
      </c>
      <c r="G486" s="491">
        <f t="shared" si="7"/>
        <v>2</v>
      </c>
    </row>
    <row r="487" spans="1:7" ht="12.75">
      <c r="A487" s="134" t="s">
        <v>669</v>
      </c>
      <c r="B487" s="134">
        <v>160</v>
      </c>
      <c r="C487" s="491">
        <v>103</v>
      </c>
      <c r="D487" s="491">
        <v>27</v>
      </c>
      <c r="E487" s="491">
        <v>11</v>
      </c>
      <c r="F487" s="491">
        <v>0</v>
      </c>
      <c r="G487" s="491">
        <f t="shared" si="7"/>
        <v>141</v>
      </c>
    </row>
    <row r="488" spans="1:7" ht="12.75">
      <c r="A488" s="134" t="s">
        <v>669</v>
      </c>
      <c r="B488" s="134">
        <v>173</v>
      </c>
      <c r="C488" s="491">
        <v>0</v>
      </c>
      <c r="D488" s="491">
        <v>1</v>
      </c>
      <c r="E488" s="491">
        <v>0</v>
      </c>
      <c r="F488" s="491">
        <v>0</v>
      </c>
      <c r="G488" s="491">
        <f t="shared" si="7"/>
        <v>1</v>
      </c>
    </row>
    <row r="489" spans="1:7" ht="12.75">
      <c r="A489" s="134" t="s">
        <v>669</v>
      </c>
      <c r="B489" s="134">
        <v>180</v>
      </c>
      <c r="C489" s="491">
        <v>1</v>
      </c>
      <c r="D489" s="491">
        <v>1</v>
      </c>
      <c r="E489" s="491">
        <v>0</v>
      </c>
      <c r="F489" s="491">
        <v>0</v>
      </c>
      <c r="G489" s="491">
        <f t="shared" si="7"/>
        <v>2</v>
      </c>
    </row>
    <row r="490" spans="1:7" ht="12.75">
      <c r="A490" s="134" t="s">
        <v>669</v>
      </c>
      <c r="B490" s="134">
        <v>190</v>
      </c>
      <c r="C490" s="491">
        <v>0</v>
      </c>
      <c r="D490" s="491">
        <v>1</v>
      </c>
      <c r="E490" s="491">
        <v>0</v>
      </c>
      <c r="F490" s="491">
        <v>0</v>
      </c>
      <c r="G490" s="491">
        <f t="shared" si="7"/>
        <v>1</v>
      </c>
    </row>
    <row r="491" spans="1:7" ht="12.75">
      <c r="A491" s="134" t="s">
        <v>669</v>
      </c>
      <c r="B491" s="134">
        <v>191</v>
      </c>
      <c r="C491" s="491">
        <v>0</v>
      </c>
      <c r="D491" s="491">
        <v>2</v>
      </c>
      <c r="E491" s="491">
        <v>0</v>
      </c>
      <c r="F491" s="491">
        <v>0</v>
      </c>
      <c r="G491" s="491">
        <f t="shared" si="7"/>
        <v>2</v>
      </c>
    </row>
    <row r="492" spans="1:7" ht="12.75">
      <c r="A492" s="134" t="s">
        <v>669</v>
      </c>
      <c r="B492" s="134">
        <v>216</v>
      </c>
      <c r="C492" s="491">
        <v>9</v>
      </c>
      <c r="D492" s="491">
        <v>2</v>
      </c>
      <c r="E492" s="491">
        <v>0</v>
      </c>
      <c r="F492" s="491">
        <v>0</v>
      </c>
      <c r="G492" s="491">
        <f t="shared" si="7"/>
        <v>11</v>
      </c>
    </row>
    <row r="493" spans="1:7" ht="12.75">
      <c r="A493" s="134" t="s">
        <v>669</v>
      </c>
      <c r="B493" s="134">
        <v>300</v>
      </c>
      <c r="C493" s="491">
        <v>3</v>
      </c>
      <c r="D493" s="491">
        <v>11</v>
      </c>
      <c r="E493" s="491">
        <v>0</v>
      </c>
      <c r="F493" s="491">
        <v>0</v>
      </c>
      <c r="G493" s="491">
        <f t="shared" si="7"/>
        <v>14</v>
      </c>
    </row>
    <row r="494" spans="1:7" ht="12.75">
      <c r="A494" s="134" t="s">
        <v>669</v>
      </c>
      <c r="B494" s="134">
        <v>301</v>
      </c>
      <c r="C494" s="491">
        <v>3</v>
      </c>
      <c r="D494" s="491">
        <v>2</v>
      </c>
      <c r="E494" s="491">
        <v>0</v>
      </c>
      <c r="F494" s="491">
        <v>0</v>
      </c>
      <c r="G494" s="491">
        <f t="shared" si="7"/>
        <v>5</v>
      </c>
    </row>
    <row r="495" spans="1:7" ht="12.75">
      <c r="A495" s="134" t="s">
        <v>669</v>
      </c>
      <c r="B495" s="134">
        <v>302</v>
      </c>
      <c r="C495" s="491">
        <v>0</v>
      </c>
      <c r="D495" s="491">
        <v>3</v>
      </c>
      <c r="E495" s="491">
        <v>0</v>
      </c>
      <c r="F495" s="491">
        <v>0</v>
      </c>
      <c r="G495" s="491">
        <f t="shared" si="7"/>
        <v>3</v>
      </c>
    </row>
    <row r="496" spans="1:7" ht="12.75">
      <c r="A496" s="134" t="s">
        <v>669</v>
      </c>
      <c r="B496" s="134">
        <v>303</v>
      </c>
      <c r="C496" s="491">
        <v>0</v>
      </c>
      <c r="D496" s="491">
        <v>7</v>
      </c>
      <c r="E496" s="491">
        <v>0</v>
      </c>
      <c r="F496" s="491">
        <v>0</v>
      </c>
      <c r="G496" s="491">
        <f t="shared" si="7"/>
        <v>7</v>
      </c>
    </row>
    <row r="497" spans="1:7" ht="12.75">
      <c r="A497" s="134" t="s">
        <v>669</v>
      </c>
      <c r="B497" s="134">
        <v>304</v>
      </c>
      <c r="C497" s="491">
        <v>25</v>
      </c>
      <c r="D497" s="491">
        <v>0</v>
      </c>
      <c r="E497" s="491">
        <v>0</v>
      </c>
      <c r="F497" s="491">
        <v>0</v>
      </c>
      <c r="G497" s="491">
        <f t="shared" si="7"/>
        <v>25</v>
      </c>
    </row>
    <row r="498" spans="1:7" ht="12.75">
      <c r="A498" s="134" t="s">
        <v>669</v>
      </c>
      <c r="B498" s="134">
        <v>306</v>
      </c>
      <c r="C498" s="491">
        <v>0</v>
      </c>
      <c r="D498" s="491">
        <v>5</v>
      </c>
      <c r="E498" s="491">
        <v>0</v>
      </c>
      <c r="F498" s="491">
        <v>0</v>
      </c>
      <c r="G498" s="491">
        <f t="shared" si="7"/>
        <v>5</v>
      </c>
    </row>
    <row r="499" spans="1:7" ht="12.75">
      <c r="A499" s="134" t="s">
        <v>669</v>
      </c>
      <c r="B499" s="134">
        <v>307</v>
      </c>
      <c r="C499" s="491">
        <v>1</v>
      </c>
      <c r="D499" s="491">
        <v>2</v>
      </c>
      <c r="E499" s="491">
        <v>0</v>
      </c>
      <c r="F499" s="491">
        <v>0</v>
      </c>
      <c r="G499" s="491">
        <f t="shared" si="7"/>
        <v>3</v>
      </c>
    </row>
    <row r="500" spans="1:7" ht="12.75">
      <c r="A500" s="134" t="s">
        <v>669</v>
      </c>
      <c r="B500" s="134">
        <v>310</v>
      </c>
      <c r="C500" s="491">
        <v>1</v>
      </c>
      <c r="D500" s="491">
        <v>4</v>
      </c>
      <c r="E500" s="491">
        <v>0</v>
      </c>
      <c r="F500" s="491">
        <v>0</v>
      </c>
      <c r="G500" s="491">
        <f t="shared" si="7"/>
        <v>5</v>
      </c>
    </row>
    <row r="501" spans="1:7" ht="12.75">
      <c r="A501" s="134" t="s">
        <v>669</v>
      </c>
      <c r="B501" s="134">
        <v>314</v>
      </c>
      <c r="C501" s="491">
        <v>0</v>
      </c>
      <c r="D501" s="491">
        <v>1</v>
      </c>
      <c r="E501" s="491">
        <v>0</v>
      </c>
      <c r="F501" s="491">
        <v>0</v>
      </c>
      <c r="G501" s="491">
        <f t="shared" si="7"/>
        <v>1</v>
      </c>
    </row>
    <row r="502" spans="1:7" ht="12.75">
      <c r="A502" s="134" t="s">
        <v>669</v>
      </c>
      <c r="B502" s="134">
        <v>324</v>
      </c>
      <c r="C502" s="491">
        <v>0</v>
      </c>
      <c r="D502" s="491">
        <v>2</v>
      </c>
      <c r="E502" s="491">
        <v>0</v>
      </c>
      <c r="F502" s="491">
        <v>0</v>
      </c>
      <c r="G502" s="491">
        <f t="shared" si="7"/>
        <v>2</v>
      </c>
    </row>
    <row r="503" spans="1:7" ht="12.75">
      <c r="A503" s="134" t="s">
        <v>669</v>
      </c>
      <c r="B503" s="134">
        <v>330</v>
      </c>
      <c r="C503" s="491">
        <v>344</v>
      </c>
      <c r="D503" s="491">
        <v>98</v>
      </c>
      <c r="E503" s="491">
        <v>0</v>
      </c>
      <c r="F503" s="491">
        <v>0</v>
      </c>
      <c r="G503" s="491">
        <f t="shared" si="7"/>
        <v>442</v>
      </c>
    </row>
    <row r="504" spans="1:7" ht="12.75">
      <c r="A504" s="134" t="s">
        <v>669</v>
      </c>
      <c r="B504" s="134">
        <v>340</v>
      </c>
      <c r="C504" s="491">
        <v>0</v>
      </c>
      <c r="D504" s="491">
        <v>4</v>
      </c>
      <c r="E504" s="491">
        <v>0</v>
      </c>
      <c r="F504" s="491">
        <v>0</v>
      </c>
      <c r="G504" s="491">
        <f t="shared" si="7"/>
        <v>4</v>
      </c>
    </row>
    <row r="505" spans="1:7" ht="12.75">
      <c r="A505" s="134" t="s">
        <v>669</v>
      </c>
      <c r="B505" s="134">
        <v>341</v>
      </c>
      <c r="C505" s="491">
        <v>0</v>
      </c>
      <c r="D505" s="491">
        <v>1</v>
      </c>
      <c r="E505" s="491">
        <v>0</v>
      </c>
      <c r="F505" s="491">
        <v>0</v>
      </c>
      <c r="G505" s="491">
        <f t="shared" si="7"/>
        <v>1</v>
      </c>
    </row>
    <row r="506" spans="1:7" ht="12.75">
      <c r="A506" s="134" t="s">
        <v>669</v>
      </c>
      <c r="B506" s="134">
        <v>361</v>
      </c>
      <c r="C506" s="491">
        <v>0</v>
      </c>
      <c r="D506" s="491">
        <v>2</v>
      </c>
      <c r="E506" s="491">
        <v>0</v>
      </c>
      <c r="F506" s="491">
        <v>0</v>
      </c>
      <c r="G506" s="491">
        <f t="shared" si="7"/>
        <v>2</v>
      </c>
    </row>
    <row r="507" spans="1:7" ht="12.75">
      <c r="A507" s="134" t="s">
        <v>669</v>
      </c>
      <c r="B507" s="134">
        <v>370</v>
      </c>
      <c r="C507" s="491">
        <v>0</v>
      </c>
      <c r="D507" s="491">
        <v>1</v>
      </c>
      <c r="E507" s="491">
        <v>0</v>
      </c>
      <c r="F507" s="491">
        <v>0</v>
      </c>
      <c r="G507" s="491">
        <f t="shared" si="7"/>
        <v>1</v>
      </c>
    </row>
    <row r="508" spans="1:7" ht="12.75">
      <c r="A508" s="134" t="s">
        <v>669</v>
      </c>
      <c r="B508" s="134">
        <v>400</v>
      </c>
      <c r="C508" s="491">
        <v>615</v>
      </c>
      <c r="D508" s="491">
        <v>46</v>
      </c>
      <c r="E508" s="491">
        <v>0</v>
      </c>
      <c r="F508" s="491">
        <v>0</v>
      </c>
      <c r="G508" s="491">
        <f t="shared" si="7"/>
        <v>661</v>
      </c>
    </row>
    <row r="509" spans="1:7" ht="12.75">
      <c r="A509" s="134" t="s">
        <v>669</v>
      </c>
      <c r="B509" s="134">
        <v>410</v>
      </c>
      <c r="C509" s="491">
        <v>1</v>
      </c>
      <c r="D509" s="491">
        <v>6</v>
      </c>
      <c r="E509" s="491">
        <v>0</v>
      </c>
      <c r="F509" s="491">
        <v>0</v>
      </c>
      <c r="G509" s="491">
        <f t="shared" si="7"/>
        <v>7</v>
      </c>
    </row>
    <row r="510" spans="1:7" ht="12.75">
      <c r="A510" s="134" t="s">
        <v>669</v>
      </c>
      <c r="B510" s="134">
        <v>460</v>
      </c>
      <c r="C510" s="491">
        <v>77</v>
      </c>
      <c r="D510" s="491">
        <v>10</v>
      </c>
      <c r="E510" s="491">
        <v>11</v>
      </c>
      <c r="F510" s="491">
        <v>1</v>
      </c>
      <c r="G510" s="491">
        <f t="shared" si="7"/>
        <v>99</v>
      </c>
    </row>
    <row r="511" spans="1:7" ht="12.75">
      <c r="A511" s="134" t="s">
        <v>669</v>
      </c>
      <c r="B511" s="134">
        <v>501</v>
      </c>
      <c r="C511" s="491">
        <v>1</v>
      </c>
      <c r="D511" s="491">
        <v>3</v>
      </c>
      <c r="E511" s="491">
        <v>0</v>
      </c>
      <c r="F511" s="491">
        <v>0</v>
      </c>
      <c r="G511" s="491">
        <f t="shared" si="7"/>
        <v>4</v>
      </c>
    </row>
    <row r="512" spans="1:7" ht="12.75">
      <c r="A512" s="134" t="s">
        <v>669</v>
      </c>
      <c r="B512" s="134">
        <v>502</v>
      </c>
      <c r="C512" s="491">
        <v>3</v>
      </c>
      <c r="D512" s="491">
        <v>9</v>
      </c>
      <c r="E512" s="491">
        <v>0</v>
      </c>
      <c r="F512" s="491">
        <v>0</v>
      </c>
      <c r="G512" s="491">
        <f t="shared" si="7"/>
        <v>12</v>
      </c>
    </row>
    <row r="513" spans="1:7" ht="12.75">
      <c r="A513" s="134" t="s">
        <v>669</v>
      </c>
      <c r="B513" s="134">
        <v>503</v>
      </c>
      <c r="C513" s="491">
        <v>0</v>
      </c>
      <c r="D513" s="491">
        <v>1</v>
      </c>
      <c r="E513" s="491">
        <v>0</v>
      </c>
      <c r="F513" s="491">
        <v>0</v>
      </c>
      <c r="G513" s="491">
        <f t="shared" si="7"/>
        <v>1</v>
      </c>
    </row>
    <row r="514" spans="1:7" ht="12.75">
      <c r="A514" s="134" t="s">
        <v>669</v>
      </c>
      <c r="B514" s="134">
        <v>560</v>
      </c>
      <c r="C514" s="491">
        <v>1</v>
      </c>
      <c r="D514" s="491">
        <v>2</v>
      </c>
      <c r="E514" s="491">
        <v>0</v>
      </c>
      <c r="F514" s="491">
        <v>0</v>
      </c>
      <c r="G514" s="491">
        <f t="shared" si="7"/>
        <v>3</v>
      </c>
    </row>
    <row r="515" spans="1:7" ht="12.75">
      <c r="A515" s="134" t="s">
        <v>669</v>
      </c>
      <c r="B515" s="134">
        <v>650</v>
      </c>
      <c r="C515" s="491">
        <v>0</v>
      </c>
      <c r="D515" s="491">
        <v>7</v>
      </c>
      <c r="E515" s="491">
        <v>0</v>
      </c>
      <c r="F515" s="491">
        <v>0</v>
      </c>
      <c r="G515" s="491">
        <f t="shared" si="7"/>
        <v>7</v>
      </c>
    </row>
    <row r="516" spans="1:7" ht="12.75">
      <c r="A516" s="134" t="s">
        <v>669</v>
      </c>
      <c r="B516" s="134">
        <v>651</v>
      </c>
      <c r="C516" s="491">
        <v>1</v>
      </c>
      <c r="D516" s="491">
        <v>0</v>
      </c>
      <c r="E516" s="491">
        <v>0</v>
      </c>
      <c r="F516" s="491">
        <v>0</v>
      </c>
      <c r="G516" s="491">
        <f t="shared" ref="G516:G579" si="8">SUM(C516:F516)</f>
        <v>1</v>
      </c>
    </row>
    <row r="517" spans="1:7" ht="12.75">
      <c r="A517" s="134" t="s">
        <v>669</v>
      </c>
      <c r="B517" s="134">
        <v>654</v>
      </c>
      <c r="C517" s="491">
        <v>1</v>
      </c>
      <c r="D517" s="491">
        <v>1</v>
      </c>
      <c r="E517" s="491">
        <v>0</v>
      </c>
      <c r="F517" s="491">
        <v>0</v>
      </c>
      <c r="G517" s="491">
        <f t="shared" si="8"/>
        <v>2</v>
      </c>
    </row>
    <row r="518" spans="1:7" ht="12.75">
      <c r="A518" s="134" t="s">
        <v>669</v>
      </c>
      <c r="B518" s="134">
        <v>655</v>
      </c>
      <c r="C518" s="491">
        <v>10</v>
      </c>
      <c r="D518" s="491">
        <v>2</v>
      </c>
      <c r="E518" s="491">
        <v>0</v>
      </c>
      <c r="F518" s="491">
        <v>0</v>
      </c>
      <c r="G518" s="491">
        <f t="shared" si="8"/>
        <v>12</v>
      </c>
    </row>
    <row r="519" spans="1:7" ht="12.75">
      <c r="A519" s="134" t="s">
        <v>669</v>
      </c>
      <c r="B519" s="134">
        <v>662</v>
      </c>
      <c r="C519" s="491">
        <v>14</v>
      </c>
      <c r="D519" s="491">
        <v>0</v>
      </c>
      <c r="E519" s="491">
        <v>0</v>
      </c>
      <c r="F519" s="491">
        <v>0</v>
      </c>
      <c r="G519" s="491">
        <f t="shared" si="8"/>
        <v>14</v>
      </c>
    </row>
    <row r="520" spans="1:7" ht="12.75">
      <c r="A520" s="134" t="s">
        <v>669</v>
      </c>
      <c r="B520" s="134">
        <v>800</v>
      </c>
      <c r="C520" s="491">
        <v>0</v>
      </c>
      <c r="D520" s="491">
        <v>1</v>
      </c>
      <c r="E520" s="491">
        <v>0</v>
      </c>
      <c r="F520" s="491">
        <v>0</v>
      </c>
      <c r="G520" s="491">
        <f t="shared" si="8"/>
        <v>1</v>
      </c>
    </row>
    <row r="521" spans="1:7" ht="12.75">
      <c r="A521" s="134" t="s">
        <v>670</v>
      </c>
      <c r="B521" s="134">
        <v>120</v>
      </c>
      <c r="C521" s="491">
        <v>0</v>
      </c>
      <c r="D521" s="491">
        <v>1</v>
      </c>
      <c r="E521" s="491">
        <v>0</v>
      </c>
      <c r="F521" s="491">
        <v>0</v>
      </c>
      <c r="G521" s="491">
        <f t="shared" si="8"/>
        <v>1</v>
      </c>
    </row>
    <row r="522" spans="1:7" ht="12.75">
      <c r="A522" s="134" t="s">
        <v>670</v>
      </c>
      <c r="B522" s="134">
        <v>130</v>
      </c>
      <c r="C522" s="491">
        <v>1</v>
      </c>
      <c r="D522" s="491">
        <v>0</v>
      </c>
      <c r="E522" s="491">
        <v>0</v>
      </c>
      <c r="F522" s="491">
        <v>0</v>
      </c>
      <c r="G522" s="491">
        <f t="shared" si="8"/>
        <v>1</v>
      </c>
    </row>
    <row r="523" spans="1:7" ht="12.75">
      <c r="A523" s="134" t="s">
        <v>670</v>
      </c>
      <c r="B523" s="134">
        <v>143</v>
      </c>
      <c r="C523" s="491">
        <v>1</v>
      </c>
      <c r="D523" s="491">
        <v>0</v>
      </c>
      <c r="E523" s="491">
        <v>0</v>
      </c>
      <c r="F523" s="491">
        <v>0</v>
      </c>
      <c r="G523" s="491">
        <f t="shared" si="8"/>
        <v>1</v>
      </c>
    </row>
    <row r="524" spans="1:7" ht="12.75">
      <c r="A524" s="134" t="s">
        <v>671</v>
      </c>
      <c r="B524" s="134">
        <v>120</v>
      </c>
      <c r="C524" s="491">
        <v>0</v>
      </c>
      <c r="D524" s="491">
        <v>1</v>
      </c>
      <c r="E524" s="491">
        <v>0</v>
      </c>
      <c r="F524" s="491">
        <v>1</v>
      </c>
      <c r="G524" s="491">
        <f t="shared" si="8"/>
        <v>2</v>
      </c>
    </row>
    <row r="525" spans="1:7" ht="12.75">
      <c r="A525" s="134" t="s">
        <v>671</v>
      </c>
      <c r="B525" s="134">
        <v>130</v>
      </c>
      <c r="C525" s="491">
        <v>16</v>
      </c>
      <c r="D525" s="491">
        <v>2</v>
      </c>
      <c r="E525" s="491">
        <v>1</v>
      </c>
      <c r="F525" s="491">
        <v>0</v>
      </c>
      <c r="G525" s="491">
        <f t="shared" si="8"/>
        <v>19</v>
      </c>
    </row>
    <row r="526" spans="1:7" ht="12.75">
      <c r="A526" s="134" t="s">
        <v>671</v>
      </c>
      <c r="B526" s="134">
        <v>144</v>
      </c>
      <c r="C526" s="491">
        <v>7</v>
      </c>
      <c r="D526" s="491">
        <v>0</v>
      </c>
      <c r="E526" s="491">
        <v>0</v>
      </c>
      <c r="F526" s="491">
        <v>0</v>
      </c>
      <c r="G526" s="491">
        <f t="shared" si="8"/>
        <v>7</v>
      </c>
    </row>
    <row r="527" spans="1:7" ht="12.75">
      <c r="A527" s="134" t="s">
        <v>86</v>
      </c>
      <c r="B527" s="134">
        <v>120</v>
      </c>
      <c r="C527" s="491">
        <v>4</v>
      </c>
      <c r="D527" s="491">
        <v>1</v>
      </c>
      <c r="E527" s="491">
        <v>0</v>
      </c>
      <c r="F527" s="491">
        <v>0</v>
      </c>
      <c r="G527" s="491">
        <f t="shared" si="8"/>
        <v>5</v>
      </c>
    </row>
    <row r="528" spans="1:7" ht="12.75">
      <c r="A528" s="134" t="s">
        <v>86</v>
      </c>
      <c r="B528" s="134">
        <v>130</v>
      </c>
      <c r="C528" s="491">
        <v>173</v>
      </c>
      <c r="D528" s="491">
        <v>4</v>
      </c>
      <c r="E528" s="491">
        <v>0</v>
      </c>
      <c r="F528" s="491">
        <v>0</v>
      </c>
      <c r="G528" s="491">
        <f t="shared" si="8"/>
        <v>177</v>
      </c>
    </row>
    <row r="529" spans="1:7" ht="12.75">
      <c r="A529" s="134" t="s">
        <v>86</v>
      </c>
      <c r="B529" s="134">
        <v>140</v>
      </c>
      <c r="C529" s="491">
        <v>1</v>
      </c>
      <c r="D529" s="491">
        <v>0</v>
      </c>
      <c r="E529" s="491">
        <v>0</v>
      </c>
      <c r="F529" s="491">
        <v>0</v>
      </c>
      <c r="G529" s="491">
        <f t="shared" si="8"/>
        <v>1</v>
      </c>
    </row>
    <row r="530" spans="1:7" ht="12.75">
      <c r="A530" s="134" t="s">
        <v>86</v>
      </c>
      <c r="B530" s="134">
        <v>144</v>
      </c>
      <c r="C530" s="491">
        <v>0</v>
      </c>
      <c r="D530" s="491">
        <v>1</v>
      </c>
      <c r="E530" s="491">
        <v>0</v>
      </c>
      <c r="F530" s="491">
        <v>0</v>
      </c>
      <c r="G530" s="491">
        <f t="shared" si="8"/>
        <v>1</v>
      </c>
    </row>
    <row r="531" spans="1:7" ht="12.75">
      <c r="A531" s="134" t="s">
        <v>86</v>
      </c>
      <c r="B531" s="134">
        <v>216</v>
      </c>
      <c r="C531" s="491">
        <v>47</v>
      </c>
      <c r="D531" s="491">
        <v>3</v>
      </c>
      <c r="E531" s="491">
        <v>0</v>
      </c>
      <c r="F531" s="491">
        <v>0</v>
      </c>
      <c r="G531" s="491">
        <f t="shared" si="8"/>
        <v>50</v>
      </c>
    </row>
    <row r="532" spans="1:7" ht="12.75">
      <c r="A532" s="134" t="s">
        <v>86</v>
      </c>
      <c r="B532" s="134">
        <v>257</v>
      </c>
      <c r="C532" s="491">
        <v>1</v>
      </c>
      <c r="D532" s="491">
        <v>0</v>
      </c>
      <c r="E532" s="491">
        <v>0</v>
      </c>
      <c r="F532" s="491">
        <v>0</v>
      </c>
      <c r="G532" s="491">
        <f t="shared" si="8"/>
        <v>1</v>
      </c>
    </row>
    <row r="533" spans="1:7" ht="12.75">
      <c r="A533" s="134" t="s">
        <v>672</v>
      </c>
      <c r="B533" s="134">
        <v>101</v>
      </c>
      <c r="C533" s="491">
        <v>4</v>
      </c>
      <c r="D533" s="491">
        <v>0</v>
      </c>
      <c r="E533" s="491">
        <v>0</v>
      </c>
      <c r="F533" s="491">
        <v>0</v>
      </c>
      <c r="G533" s="491">
        <f t="shared" si="8"/>
        <v>4</v>
      </c>
    </row>
    <row r="534" spans="1:7" ht="12.75">
      <c r="A534" s="134" t="s">
        <v>672</v>
      </c>
      <c r="B534" s="134">
        <v>110</v>
      </c>
      <c r="C534" s="491">
        <v>1</v>
      </c>
      <c r="D534" s="491">
        <v>0</v>
      </c>
      <c r="E534" s="491">
        <v>0</v>
      </c>
      <c r="F534" s="491">
        <v>0</v>
      </c>
      <c r="G534" s="491">
        <f t="shared" si="8"/>
        <v>1</v>
      </c>
    </row>
    <row r="535" spans="1:7" ht="12.75">
      <c r="A535" s="134" t="s">
        <v>672</v>
      </c>
      <c r="B535" s="134">
        <v>120</v>
      </c>
      <c r="C535" s="491">
        <v>5</v>
      </c>
      <c r="D535" s="491">
        <v>4</v>
      </c>
      <c r="E535" s="491">
        <v>0</v>
      </c>
      <c r="F535" s="491">
        <v>0</v>
      </c>
      <c r="G535" s="491">
        <f t="shared" si="8"/>
        <v>9</v>
      </c>
    </row>
    <row r="536" spans="1:7" ht="12.75">
      <c r="A536" s="134" t="s">
        <v>672</v>
      </c>
      <c r="B536" s="134">
        <v>130</v>
      </c>
      <c r="C536" s="491">
        <v>1539</v>
      </c>
      <c r="D536" s="491">
        <v>105</v>
      </c>
      <c r="E536" s="491">
        <v>4</v>
      </c>
      <c r="F536" s="491">
        <v>5</v>
      </c>
      <c r="G536" s="491">
        <f t="shared" si="8"/>
        <v>1653</v>
      </c>
    </row>
    <row r="537" spans="1:7" ht="12.75">
      <c r="A537" s="134" t="s">
        <v>672</v>
      </c>
      <c r="B537" s="134">
        <v>140</v>
      </c>
      <c r="C537" s="491">
        <v>158</v>
      </c>
      <c r="D537" s="491">
        <v>18</v>
      </c>
      <c r="E537" s="491">
        <v>2</v>
      </c>
      <c r="F537" s="491">
        <v>0</v>
      </c>
      <c r="G537" s="491">
        <f t="shared" si="8"/>
        <v>178</v>
      </c>
    </row>
    <row r="538" spans="1:7" ht="12.75">
      <c r="A538" s="134" t="s">
        <v>672</v>
      </c>
      <c r="B538" s="134">
        <v>144</v>
      </c>
      <c r="C538" s="491">
        <v>312</v>
      </c>
      <c r="D538" s="491">
        <v>15</v>
      </c>
      <c r="E538" s="491">
        <v>0</v>
      </c>
      <c r="F538" s="491">
        <v>0</v>
      </c>
      <c r="G538" s="491">
        <f t="shared" si="8"/>
        <v>327</v>
      </c>
    </row>
    <row r="539" spans="1:7" ht="12.75">
      <c r="A539" s="134" t="s">
        <v>672</v>
      </c>
      <c r="B539" s="134">
        <v>216</v>
      </c>
      <c r="C539" s="491">
        <v>1</v>
      </c>
      <c r="D539" s="491">
        <v>0</v>
      </c>
      <c r="E539" s="491">
        <v>0</v>
      </c>
      <c r="F539" s="491">
        <v>0</v>
      </c>
      <c r="G539" s="491">
        <f t="shared" si="8"/>
        <v>1</v>
      </c>
    </row>
    <row r="540" spans="1:7" ht="12.75">
      <c r="A540" s="134" t="s">
        <v>672</v>
      </c>
      <c r="B540" s="134">
        <v>301</v>
      </c>
      <c r="C540" s="491">
        <v>0</v>
      </c>
      <c r="D540" s="491">
        <v>1</v>
      </c>
      <c r="E540" s="491">
        <v>0</v>
      </c>
      <c r="F540" s="491">
        <v>0</v>
      </c>
      <c r="G540" s="491">
        <f t="shared" si="8"/>
        <v>1</v>
      </c>
    </row>
    <row r="541" spans="1:7" ht="12.75">
      <c r="A541" s="134" t="s">
        <v>672</v>
      </c>
      <c r="B541" s="134">
        <v>330</v>
      </c>
      <c r="C541" s="491">
        <v>3</v>
      </c>
      <c r="D541" s="491">
        <v>2</v>
      </c>
      <c r="E541" s="491">
        <v>0</v>
      </c>
      <c r="F541" s="491">
        <v>0</v>
      </c>
      <c r="G541" s="491">
        <f t="shared" si="8"/>
        <v>5</v>
      </c>
    </row>
    <row r="542" spans="1:7" ht="12.75">
      <c r="A542" s="134" t="s">
        <v>672</v>
      </c>
      <c r="B542" s="134">
        <v>361</v>
      </c>
      <c r="C542" s="491">
        <v>1</v>
      </c>
      <c r="D542" s="491">
        <v>0</v>
      </c>
      <c r="E542" s="491">
        <v>0</v>
      </c>
      <c r="F542" s="491">
        <v>0</v>
      </c>
      <c r="G542" s="491">
        <f t="shared" si="8"/>
        <v>1</v>
      </c>
    </row>
    <row r="543" spans="1:7" ht="12.75">
      <c r="A543" s="134" t="s">
        <v>672</v>
      </c>
      <c r="B543" s="134">
        <v>410</v>
      </c>
      <c r="C543" s="491">
        <v>3</v>
      </c>
      <c r="D543" s="491">
        <v>4</v>
      </c>
      <c r="E543" s="491">
        <v>0</v>
      </c>
      <c r="F543" s="491">
        <v>0</v>
      </c>
      <c r="G543" s="491">
        <f t="shared" si="8"/>
        <v>7</v>
      </c>
    </row>
    <row r="544" spans="1:7" ht="12.75">
      <c r="A544" s="134" t="s">
        <v>672</v>
      </c>
      <c r="B544" s="134">
        <v>460</v>
      </c>
      <c r="C544" s="491">
        <v>1</v>
      </c>
      <c r="D544" s="491">
        <v>0</v>
      </c>
      <c r="E544" s="491">
        <v>0</v>
      </c>
      <c r="F544" s="491">
        <v>0</v>
      </c>
      <c r="G544" s="491">
        <f t="shared" si="8"/>
        <v>1</v>
      </c>
    </row>
    <row r="545" spans="1:7" ht="12.75">
      <c r="A545" s="134" t="s">
        <v>672</v>
      </c>
      <c r="B545" s="134">
        <v>650</v>
      </c>
      <c r="C545" s="491">
        <v>0</v>
      </c>
      <c r="D545" s="491">
        <v>1</v>
      </c>
      <c r="E545" s="491">
        <v>0</v>
      </c>
      <c r="F545" s="491">
        <v>0</v>
      </c>
      <c r="G545" s="491">
        <f t="shared" si="8"/>
        <v>1</v>
      </c>
    </row>
    <row r="546" spans="1:7" ht="12.75">
      <c r="A546" s="134" t="s">
        <v>509</v>
      </c>
      <c r="B546" s="134">
        <v>100</v>
      </c>
      <c r="C546" s="491">
        <v>0</v>
      </c>
      <c r="D546" s="491">
        <v>1</v>
      </c>
      <c r="E546" s="491">
        <v>0</v>
      </c>
      <c r="F546" s="491">
        <v>0</v>
      </c>
      <c r="G546" s="491">
        <f t="shared" si="8"/>
        <v>1</v>
      </c>
    </row>
    <row r="547" spans="1:7" ht="12.75">
      <c r="A547" s="134" t="s">
        <v>509</v>
      </c>
      <c r="B547" s="134">
        <v>120</v>
      </c>
      <c r="C547" s="491">
        <v>6</v>
      </c>
      <c r="D547" s="491">
        <v>0</v>
      </c>
      <c r="E547" s="491">
        <v>0</v>
      </c>
      <c r="F547" s="491">
        <v>0</v>
      </c>
      <c r="G547" s="491">
        <f t="shared" si="8"/>
        <v>6</v>
      </c>
    </row>
    <row r="548" spans="1:7" ht="12.75">
      <c r="A548" s="134" t="s">
        <v>509</v>
      </c>
      <c r="B548" s="134">
        <v>130</v>
      </c>
      <c r="C548" s="491">
        <v>65</v>
      </c>
      <c r="D548" s="491">
        <v>56</v>
      </c>
      <c r="E548" s="491">
        <v>6</v>
      </c>
      <c r="F548" s="491">
        <v>1</v>
      </c>
      <c r="G548" s="491">
        <f t="shared" si="8"/>
        <v>128</v>
      </c>
    </row>
    <row r="549" spans="1:7" ht="12.75">
      <c r="A549" s="134" t="s">
        <v>509</v>
      </c>
      <c r="B549" s="134">
        <v>143</v>
      </c>
      <c r="C549" s="491">
        <v>1</v>
      </c>
      <c r="D549" s="491">
        <v>0</v>
      </c>
      <c r="E549" s="491">
        <v>0</v>
      </c>
      <c r="F549" s="491">
        <v>0</v>
      </c>
      <c r="G549" s="491">
        <f t="shared" si="8"/>
        <v>1</v>
      </c>
    </row>
    <row r="550" spans="1:7" ht="12.75">
      <c r="A550" s="134" t="s">
        <v>509</v>
      </c>
      <c r="B550" s="134">
        <v>216</v>
      </c>
      <c r="C550" s="491">
        <v>15</v>
      </c>
      <c r="D550" s="491">
        <v>17</v>
      </c>
      <c r="E550" s="491">
        <v>0</v>
      </c>
      <c r="F550" s="491">
        <v>1</v>
      </c>
      <c r="G550" s="491">
        <f t="shared" si="8"/>
        <v>33</v>
      </c>
    </row>
    <row r="551" spans="1:7" ht="12.75">
      <c r="A551" s="134" t="s">
        <v>509</v>
      </c>
      <c r="B551" s="134">
        <v>251</v>
      </c>
      <c r="C551" s="491">
        <v>1</v>
      </c>
      <c r="D551" s="491">
        <v>0</v>
      </c>
      <c r="E551" s="491">
        <v>0</v>
      </c>
      <c r="F551" s="491">
        <v>0</v>
      </c>
      <c r="G551" s="491">
        <f t="shared" si="8"/>
        <v>1</v>
      </c>
    </row>
    <row r="552" spans="1:7" ht="12.75">
      <c r="A552" s="134" t="s">
        <v>509</v>
      </c>
      <c r="B552" s="134">
        <v>313</v>
      </c>
      <c r="C552" s="491">
        <v>0</v>
      </c>
      <c r="D552" s="491">
        <v>1</v>
      </c>
      <c r="E552" s="491">
        <v>0</v>
      </c>
      <c r="F552" s="491">
        <v>0</v>
      </c>
      <c r="G552" s="491">
        <f t="shared" si="8"/>
        <v>1</v>
      </c>
    </row>
    <row r="553" spans="1:7" ht="12.75">
      <c r="A553" s="134" t="s">
        <v>509</v>
      </c>
      <c r="B553" s="134">
        <v>420</v>
      </c>
      <c r="C553" s="491">
        <v>0</v>
      </c>
      <c r="D553" s="491">
        <v>2</v>
      </c>
      <c r="E553" s="491">
        <v>0</v>
      </c>
      <c r="F553" s="491">
        <v>1</v>
      </c>
      <c r="G553" s="491">
        <f t="shared" si="8"/>
        <v>3</v>
      </c>
    </row>
    <row r="554" spans="1:7" ht="12.75">
      <c r="A554" s="134" t="s">
        <v>509</v>
      </c>
      <c r="B554" s="134">
        <v>655</v>
      </c>
      <c r="C554" s="491">
        <v>0</v>
      </c>
      <c r="D554" s="491">
        <v>0</v>
      </c>
      <c r="E554" s="491">
        <v>1</v>
      </c>
      <c r="F554" s="491">
        <v>0</v>
      </c>
      <c r="G554" s="491">
        <f t="shared" si="8"/>
        <v>1</v>
      </c>
    </row>
    <row r="555" spans="1:7" ht="12.75">
      <c r="A555" s="134" t="s">
        <v>673</v>
      </c>
      <c r="B555" s="134">
        <v>100</v>
      </c>
      <c r="C555" s="491">
        <v>0</v>
      </c>
      <c r="D555" s="491">
        <v>6</v>
      </c>
      <c r="E555" s="491">
        <v>0</v>
      </c>
      <c r="F555" s="491">
        <v>0</v>
      </c>
      <c r="G555" s="491">
        <f t="shared" si="8"/>
        <v>6</v>
      </c>
    </row>
    <row r="556" spans="1:7" ht="12.75">
      <c r="A556" s="134" t="s">
        <v>673</v>
      </c>
      <c r="B556" s="134">
        <v>101</v>
      </c>
      <c r="C556" s="491">
        <v>1</v>
      </c>
      <c r="D556" s="491">
        <v>0</v>
      </c>
      <c r="E556" s="491">
        <v>0</v>
      </c>
      <c r="F556" s="491">
        <v>0</v>
      </c>
      <c r="G556" s="491">
        <f t="shared" si="8"/>
        <v>1</v>
      </c>
    </row>
    <row r="557" spans="1:7" ht="12.75">
      <c r="A557" s="134" t="s">
        <v>673</v>
      </c>
      <c r="B557" s="134">
        <v>103</v>
      </c>
      <c r="C557" s="491">
        <v>0</v>
      </c>
      <c r="D557" s="491">
        <v>1</v>
      </c>
      <c r="E557" s="491">
        <v>0</v>
      </c>
      <c r="F557" s="491">
        <v>0</v>
      </c>
      <c r="G557" s="491">
        <f t="shared" si="8"/>
        <v>1</v>
      </c>
    </row>
    <row r="558" spans="1:7" ht="12.75">
      <c r="A558" s="134" t="s">
        <v>673</v>
      </c>
      <c r="B558" s="134">
        <v>104</v>
      </c>
      <c r="C558" s="491">
        <v>0</v>
      </c>
      <c r="D558" s="491">
        <v>1</v>
      </c>
      <c r="E558" s="491">
        <v>0</v>
      </c>
      <c r="F558" s="491">
        <v>0</v>
      </c>
      <c r="G558" s="491">
        <f t="shared" si="8"/>
        <v>1</v>
      </c>
    </row>
    <row r="559" spans="1:7" ht="12.75">
      <c r="A559" s="134" t="s">
        <v>673</v>
      </c>
      <c r="B559" s="134">
        <v>110</v>
      </c>
      <c r="C559" s="491">
        <v>1</v>
      </c>
      <c r="D559" s="491">
        <v>1</v>
      </c>
      <c r="E559" s="491">
        <v>0</v>
      </c>
      <c r="F559" s="491">
        <v>0</v>
      </c>
      <c r="G559" s="491">
        <f t="shared" si="8"/>
        <v>2</v>
      </c>
    </row>
    <row r="560" spans="1:7" ht="12.75">
      <c r="A560" s="134" t="s">
        <v>673</v>
      </c>
      <c r="B560" s="134">
        <v>120</v>
      </c>
      <c r="C560" s="491">
        <v>104</v>
      </c>
      <c r="D560" s="491">
        <v>73</v>
      </c>
      <c r="E560" s="491">
        <v>0</v>
      </c>
      <c r="F560" s="491">
        <v>0</v>
      </c>
      <c r="G560" s="491">
        <f t="shared" si="8"/>
        <v>177</v>
      </c>
    </row>
    <row r="561" spans="1:7" ht="12.75">
      <c r="A561" s="134" t="s">
        <v>673</v>
      </c>
      <c r="B561" s="134">
        <v>130</v>
      </c>
      <c r="C561" s="491">
        <v>6126</v>
      </c>
      <c r="D561" s="491">
        <v>6570</v>
      </c>
      <c r="E561" s="491">
        <v>225</v>
      </c>
      <c r="F561" s="491">
        <v>158</v>
      </c>
      <c r="G561" s="491">
        <f t="shared" si="8"/>
        <v>13079</v>
      </c>
    </row>
    <row r="562" spans="1:7" ht="12.75">
      <c r="A562" s="134" t="s">
        <v>673</v>
      </c>
      <c r="B562" s="134">
        <v>160</v>
      </c>
      <c r="C562" s="491">
        <v>4</v>
      </c>
      <c r="D562" s="491">
        <v>25</v>
      </c>
      <c r="E562" s="491">
        <v>0</v>
      </c>
      <c r="F562" s="491">
        <v>0</v>
      </c>
      <c r="G562" s="491">
        <f t="shared" si="8"/>
        <v>29</v>
      </c>
    </row>
    <row r="563" spans="1:7" ht="12.75">
      <c r="A563" s="134" t="s">
        <v>673</v>
      </c>
      <c r="B563" s="134">
        <v>190</v>
      </c>
      <c r="C563" s="491">
        <v>0</v>
      </c>
      <c r="D563" s="491">
        <v>1</v>
      </c>
      <c r="E563" s="491">
        <v>0</v>
      </c>
      <c r="F563" s="491">
        <v>0</v>
      </c>
      <c r="G563" s="491">
        <f t="shared" si="8"/>
        <v>1</v>
      </c>
    </row>
    <row r="564" spans="1:7" ht="12.75">
      <c r="A564" s="134" t="s">
        <v>673</v>
      </c>
      <c r="B564" s="134">
        <v>216</v>
      </c>
      <c r="C564" s="491">
        <v>3</v>
      </c>
      <c r="D564" s="491">
        <v>0</v>
      </c>
      <c r="E564" s="491">
        <v>0</v>
      </c>
      <c r="F564" s="491">
        <v>0</v>
      </c>
      <c r="G564" s="491">
        <f t="shared" si="8"/>
        <v>3</v>
      </c>
    </row>
    <row r="565" spans="1:7" ht="12.75">
      <c r="A565" s="134" t="s">
        <v>673</v>
      </c>
      <c r="B565" s="134">
        <v>304</v>
      </c>
      <c r="C565" s="491">
        <v>1</v>
      </c>
      <c r="D565" s="491">
        <v>0</v>
      </c>
      <c r="E565" s="491">
        <v>0</v>
      </c>
      <c r="F565" s="491">
        <v>0</v>
      </c>
      <c r="G565" s="491">
        <f t="shared" si="8"/>
        <v>1</v>
      </c>
    </row>
    <row r="566" spans="1:7" ht="12.75">
      <c r="A566" s="134" t="s">
        <v>673</v>
      </c>
      <c r="B566" s="134">
        <v>320</v>
      </c>
      <c r="C566" s="491">
        <v>1</v>
      </c>
      <c r="D566" s="491">
        <v>0</v>
      </c>
      <c r="E566" s="491">
        <v>0</v>
      </c>
      <c r="F566" s="491">
        <v>0</v>
      </c>
      <c r="G566" s="491">
        <f t="shared" si="8"/>
        <v>1</v>
      </c>
    </row>
    <row r="567" spans="1:7" ht="12.75">
      <c r="A567" s="134" t="s">
        <v>673</v>
      </c>
      <c r="B567" s="134">
        <v>330</v>
      </c>
      <c r="C567" s="491">
        <v>2</v>
      </c>
      <c r="D567" s="491">
        <v>1</v>
      </c>
      <c r="E567" s="491">
        <v>0</v>
      </c>
      <c r="F567" s="491">
        <v>0</v>
      </c>
      <c r="G567" s="491">
        <f t="shared" si="8"/>
        <v>3</v>
      </c>
    </row>
    <row r="568" spans="1:7" ht="12.75">
      <c r="A568" s="134" t="s">
        <v>673</v>
      </c>
      <c r="B568" s="134">
        <v>361</v>
      </c>
      <c r="C568" s="491">
        <v>1</v>
      </c>
      <c r="D568" s="491">
        <v>0</v>
      </c>
      <c r="E568" s="491">
        <v>0</v>
      </c>
      <c r="F568" s="491">
        <v>0</v>
      </c>
      <c r="G568" s="491">
        <f t="shared" si="8"/>
        <v>1</v>
      </c>
    </row>
    <row r="569" spans="1:7" ht="12.75">
      <c r="A569" s="134" t="s">
        <v>673</v>
      </c>
      <c r="B569" s="134">
        <v>400</v>
      </c>
      <c r="C569" s="491">
        <v>14</v>
      </c>
      <c r="D569" s="491">
        <v>0</v>
      </c>
      <c r="E569" s="491">
        <v>0</v>
      </c>
      <c r="F569" s="491">
        <v>0</v>
      </c>
      <c r="G569" s="491">
        <f t="shared" si="8"/>
        <v>14</v>
      </c>
    </row>
    <row r="570" spans="1:7" ht="12.75">
      <c r="A570" s="134" t="s">
        <v>673</v>
      </c>
      <c r="B570" s="134">
        <v>410</v>
      </c>
      <c r="C570" s="491">
        <v>4</v>
      </c>
      <c r="D570" s="491">
        <v>0</v>
      </c>
      <c r="E570" s="491">
        <v>0</v>
      </c>
      <c r="F570" s="491">
        <v>0</v>
      </c>
      <c r="G570" s="491">
        <f t="shared" si="8"/>
        <v>4</v>
      </c>
    </row>
    <row r="571" spans="1:7" ht="12.75">
      <c r="A571" s="134" t="s">
        <v>673</v>
      </c>
      <c r="B571" s="134">
        <v>460</v>
      </c>
      <c r="C571" s="491">
        <v>20</v>
      </c>
      <c r="D571" s="491">
        <v>13</v>
      </c>
      <c r="E571" s="491">
        <v>2</v>
      </c>
      <c r="F571" s="491">
        <v>0</v>
      </c>
      <c r="G571" s="491">
        <f t="shared" si="8"/>
        <v>35</v>
      </c>
    </row>
    <row r="572" spans="1:7" ht="12.75">
      <c r="A572" s="134" t="s">
        <v>673</v>
      </c>
      <c r="B572" s="134">
        <v>655</v>
      </c>
      <c r="C572" s="491">
        <v>7</v>
      </c>
      <c r="D572" s="491">
        <v>13</v>
      </c>
      <c r="E572" s="491">
        <v>0</v>
      </c>
      <c r="F572" s="491">
        <v>0</v>
      </c>
      <c r="G572" s="491">
        <f t="shared" si="8"/>
        <v>20</v>
      </c>
    </row>
    <row r="573" spans="1:7" ht="12.75">
      <c r="A573" s="134" t="s">
        <v>673</v>
      </c>
      <c r="B573" s="134">
        <v>658</v>
      </c>
      <c r="C573" s="491">
        <v>1</v>
      </c>
      <c r="D573" s="491">
        <v>0</v>
      </c>
      <c r="E573" s="491">
        <v>0</v>
      </c>
      <c r="F573" s="491">
        <v>0</v>
      </c>
      <c r="G573" s="491">
        <f t="shared" si="8"/>
        <v>1</v>
      </c>
    </row>
    <row r="574" spans="1:7" ht="12.75">
      <c r="A574" s="134" t="s">
        <v>673</v>
      </c>
      <c r="B574" s="134">
        <v>662</v>
      </c>
      <c r="C574" s="491">
        <v>2</v>
      </c>
      <c r="D574" s="491">
        <v>0</v>
      </c>
      <c r="E574" s="491">
        <v>0</v>
      </c>
      <c r="F574" s="491">
        <v>0</v>
      </c>
      <c r="G574" s="491">
        <f t="shared" si="8"/>
        <v>2</v>
      </c>
    </row>
    <row r="575" spans="1:7" ht="12.75">
      <c r="A575" s="134" t="s">
        <v>673</v>
      </c>
      <c r="B575" s="134">
        <v>822</v>
      </c>
      <c r="C575" s="491">
        <v>1</v>
      </c>
      <c r="D575" s="491">
        <v>0</v>
      </c>
      <c r="E575" s="491">
        <v>0</v>
      </c>
      <c r="F575" s="491">
        <v>0</v>
      </c>
      <c r="G575" s="491">
        <f t="shared" si="8"/>
        <v>1</v>
      </c>
    </row>
    <row r="576" spans="1:7" ht="12.75">
      <c r="A576" s="134" t="s">
        <v>674</v>
      </c>
      <c r="B576" s="134">
        <v>100</v>
      </c>
      <c r="C576" s="491">
        <v>1</v>
      </c>
      <c r="D576" s="491">
        <v>1</v>
      </c>
      <c r="E576" s="491">
        <v>0</v>
      </c>
      <c r="F576" s="491">
        <v>0</v>
      </c>
      <c r="G576" s="491">
        <f t="shared" si="8"/>
        <v>2</v>
      </c>
    </row>
    <row r="577" spans="1:7" ht="12.75">
      <c r="A577" s="134" t="s">
        <v>674</v>
      </c>
      <c r="B577" s="134">
        <v>101</v>
      </c>
      <c r="C577" s="491">
        <v>0</v>
      </c>
      <c r="D577" s="491">
        <v>1</v>
      </c>
      <c r="E577" s="491">
        <v>0</v>
      </c>
      <c r="F577" s="491">
        <v>0</v>
      </c>
      <c r="G577" s="491">
        <f t="shared" si="8"/>
        <v>1</v>
      </c>
    </row>
    <row r="578" spans="1:7" ht="12.75">
      <c r="A578" s="134" t="s">
        <v>674</v>
      </c>
      <c r="B578" s="134">
        <v>110</v>
      </c>
      <c r="C578" s="491">
        <v>1</v>
      </c>
      <c r="D578" s="491">
        <v>1</v>
      </c>
      <c r="E578" s="491">
        <v>0</v>
      </c>
      <c r="F578" s="491">
        <v>0</v>
      </c>
      <c r="G578" s="491">
        <f t="shared" si="8"/>
        <v>2</v>
      </c>
    </row>
    <row r="579" spans="1:7" ht="12.75">
      <c r="A579" s="134" t="s">
        <v>674</v>
      </c>
      <c r="B579" s="134">
        <v>120</v>
      </c>
      <c r="C579" s="491">
        <v>1</v>
      </c>
      <c r="D579" s="491">
        <v>0</v>
      </c>
      <c r="E579" s="491">
        <v>0</v>
      </c>
      <c r="F579" s="491">
        <v>0</v>
      </c>
      <c r="G579" s="491">
        <f t="shared" si="8"/>
        <v>1</v>
      </c>
    </row>
    <row r="580" spans="1:7" ht="12.75">
      <c r="A580" s="134" t="s">
        <v>674</v>
      </c>
      <c r="B580" s="134">
        <v>130</v>
      </c>
      <c r="C580" s="491">
        <v>44</v>
      </c>
      <c r="D580" s="491">
        <v>16</v>
      </c>
      <c r="E580" s="491">
        <v>20</v>
      </c>
      <c r="F580" s="491">
        <v>14</v>
      </c>
      <c r="G580" s="491">
        <f t="shared" ref="G580:G643" si="9">SUM(C580:F580)</f>
        <v>94</v>
      </c>
    </row>
    <row r="581" spans="1:7" ht="12.75">
      <c r="A581" s="134" t="s">
        <v>674</v>
      </c>
      <c r="B581" s="134">
        <v>330</v>
      </c>
      <c r="C581" s="491">
        <v>4</v>
      </c>
      <c r="D581" s="491">
        <v>1</v>
      </c>
      <c r="E581" s="491">
        <v>0</v>
      </c>
      <c r="F581" s="491">
        <v>0</v>
      </c>
      <c r="G581" s="491">
        <f t="shared" si="9"/>
        <v>5</v>
      </c>
    </row>
    <row r="582" spans="1:7" ht="12.75">
      <c r="A582" s="134" t="s">
        <v>674</v>
      </c>
      <c r="B582" s="134">
        <v>502</v>
      </c>
      <c r="C582" s="491">
        <v>1</v>
      </c>
      <c r="D582" s="491">
        <v>3</v>
      </c>
      <c r="E582" s="491">
        <v>0</v>
      </c>
      <c r="F582" s="491">
        <v>0</v>
      </c>
      <c r="G582" s="491">
        <f t="shared" si="9"/>
        <v>4</v>
      </c>
    </row>
    <row r="583" spans="1:7" ht="12.75">
      <c r="A583" s="134" t="s">
        <v>674</v>
      </c>
      <c r="B583" s="134">
        <v>503</v>
      </c>
      <c r="C583" s="491">
        <v>0</v>
      </c>
      <c r="D583" s="491">
        <v>1</v>
      </c>
      <c r="E583" s="491">
        <v>0</v>
      </c>
      <c r="F583" s="491">
        <v>0</v>
      </c>
      <c r="G583" s="491">
        <f t="shared" si="9"/>
        <v>1</v>
      </c>
    </row>
    <row r="584" spans="1:7" ht="12.75">
      <c r="A584" s="134" t="s">
        <v>674</v>
      </c>
      <c r="B584" s="134">
        <v>655</v>
      </c>
      <c r="C584" s="491">
        <v>1</v>
      </c>
      <c r="D584" s="491">
        <v>0</v>
      </c>
      <c r="E584" s="491">
        <v>0</v>
      </c>
      <c r="F584" s="491">
        <v>0</v>
      </c>
      <c r="G584" s="491">
        <f t="shared" si="9"/>
        <v>1</v>
      </c>
    </row>
    <row r="585" spans="1:7" ht="12.75">
      <c r="A585" s="134" t="s">
        <v>675</v>
      </c>
      <c r="B585" s="134">
        <v>100</v>
      </c>
      <c r="C585" s="491">
        <v>1</v>
      </c>
      <c r="D585" s="491">
        <v>4</v>
      </c>
      <c r="E585" s="491">
        <v>0</v>
      </c>
      <c r="F585" s="491">
        <v>0</v>
      </c>
      <c r="G585" s="491">
        <f t="shared" si="9"/>
        <v>5</v>
      </c>
    </row>
    <row r="586" spans="1:7" ht="12.75">
      <c r="A586" s="134" t="s">
        <v>675</v>
      </c>
      <c r="B586" s="134">
        <v>101</v>
      </c>
      <c r="C586" s="491">
        <v>2</v>
      </c>
      <c r="D586" s="491">
        <v>0</v>
      </c>
      <c r="E586" s="491">
        <v>0</v>
      </c>
      <c r="F586" s="491">
        <v>0</v>
      </c>
      <c r="G586" s="491">
        <f t="shared" si="9"/>
        <v>2</v>
      </c>
    </row>
    <row r="587" spans="1:7" ht="12.75">
      <c r="A587" s="134" t="s">
        <v>675</v>
      </c>
      <c r="B587" s="134">
        <v>104</v>
      </c>
      <c r="C587" s="491">
        <v>0</v>
      </c>
      <c r="D587" s="491">
        <v>2</v>
      </c>
      <c r="E587" s="491">
        <v>0</v>
      </c>
      <c r="F587" s="491">
        <v>0</v>
      </c>
      <c r="G587" s="491">
        <f t="shared" si="9"/>
        <v>2</v>
      </c>
    </row>
    <row r="588" spans="1:7" ht="12.75">
      <c r="A588" s="134" t="s">
        <v>675</v>
      </c>
      <c r="B588" s="134">
        <v>110</v>
      </c>
      <c r="C588" s="491">
        <v>6</v>
      </c>
      <c r="D588" s="491">
        <v>12</v>
      </c>
      <c r="E588" s="491">
        <v>0</v>
      </c>
      <c r="F588" s="491">
        <v>0</v>
      </c>
      <c r="G588" s="491">
        <f t="shared" si="9"/>
        <v>18</v>
      </c>
    </row>
    <row r="589" spans="1:7" ht="12.75">
      <c r="A589" s="134" t="s">
        <v>675</v>
      </c>
      <c r="B589" s="134">
        <v>120</v>
      </c>
      <c r="C589" s="491">
        <v>3</v>
      </c>
      <c r="D589" s="491">
        <v>1</v>
      </c>
      <c r="E589" s="491">
        <v>0</v>
      </c>
      <c r="F589" s="491">
        <v>0</v>
      </c>
      <c r="G589" s="491">
        <f t="shared" si="9"/>
        <v>4</v>
      </c>
    </row>
    <row r="590" spans="1:7" ht="12.75">
      <c r="A590" s="134" t="s">
        <v>675</v>
      </c>
      <c r="B590" s="134">
        <v>130</v>
      </c>
      <c r="C590" s="491">
        <v>7507</v>
      </c>
      <c r="D590" s="491">
        <v>5107</v>
      </c>
      <c r="E590" s="491">
        <v>777</v>
      </c>
      <c r="F590" s="491">
        <v>170</v>
      </c>
      <c r="G590" s="491">
        <f t="shared" si="9"/>
        <v>13561</v>
      </c>
    </row>
    <row r="591" spans="1:7" ht="12.75">
      <c r="A591" s="134" t="s">
        <v>675</v>
      </c>
      <c r="B591" s="134">
        <v>140</v>
      </c>
      <c r="C591" s="491">
        <v>1</v>
      </c>
      <c r="D591" s="491">
        <v>0</v>
      </c>
      <c r="E591" s="491">
        <v>0</v>
      </c>
      <c r="F591" s="491">
        <v>0</v>
      </c>
      <c r="G591" s="491">
        <f t="shared" si="9"/>
        <v>1</v>
      </c>
    </row>
    <row r="592" spans="1:7" ht="12.75">
      <c r="A592" s="134" t="s">
        <v>675</v>
      </c>
      <c r="B592" s="134">
        <v>160</v>
      </c>
      <c r="C592" s="491">
        <v>0</v>
      </c>
      <c r="D592" s="491">
        <v>1</v>
      </c>
      <c r="E592" s="491">
        <v>0</v>
      </c>
      <c r="F592" s="491">
        <v>0</v>
      </c>
      <c r="G592" s="491">
        <f t="shared" si="9"/>
        <v>1</v>
      </c>
    </row>
    <row r="593" spans="1:7" ht="12.75">
      <c r="A593" s="134" t="s">
        <v>675</v>
      </c>
      <c r="B593" s="134">
        <v>180</v>
      </c>
      <c r="C593" s="491">
        <v>1</v>
      </c>
      <c r="D593" s="491">
        <v>8</v>
      </c>
      <c r="E593" s="491">
        <v>0</v>
      </c>
      <c r="F593" s="491">
        <v>0</v>
      </c>
      <c r="G593" s="491">
        <f t="shared" si="9"/>
        <v>9</v>
      </c>
    </row>
    <row r="594" spans="1:7" ht="12.75">
      <c r="A594" s="134" t="s">
        <v>675</v>
      </c>
      <c r="B594" s="134">
        <v>216</v>
      </c>
      <c r="C594" s="491">
        <v>38</v>
      </c>
      <c r="D594" s="491">
        <v>3</v>
      </c>
      <c r="E594" s="491">
        <v>0</v>
      </c>
      <c r="F594" s="491">
        <v>1</v>
      </c>
      <c r="G594" s="491">
        <f t="shared" si="9"/>
        <v>42</v>
      </c>
    </row>
    <row r="595" spans="1:7" ht="12.75">
      <c r="A595" s="134" t="s">
        <v>675</v>
      </c>
      <c r="B595" s="134">
        <v>217</v>
      </c>
      <c r="C595" s="491">
        <v>0</v>
      </c>
      <c r="D595" s="491">
        <v>1</v>
      </c>
      <c r="E595" s="491">
        <v>0</v>
      </c>
      <c r="F595" s="491">
        <v>0</v>
      </c>
      <c r="G595" s="491">
        <f t="shared" si="9"/>
        <v>1</v>
      </c>
    </row>
    <row r="596" spans="1:7" ht="12.75">
      <c r="A596" s="134" t="s">
        <v>675</v>
      </c>
      <c r="B596" s="134">
        <v>300</v>
      </c>
      <c r="C596" s="491">
        <v>1</v>
      </c>
      <c r="D596" s="491">
        <v>2</v>
      </c>
      <c r="E596" s="491">
        <v>0</v>
      </c>
      <c r="F596" s="491">
        <v>0</v>
      </c>
      <c r="G596" s="491">
        <f t="shared" si="9"/>
        <v>3</v>
      </c>
    </row>
    <row r="597" spans="1:7" ht="12.75">
      <c r="A597" s="134" t="s">
        <v>675</v>
      </c>
      <c r="B597" s="134">
        <v>301</v>
      </c>
      <c r="C597" s="491">
        <v>0</v>
      </c>
      <c r="D597" s="491">
        <v>1</v>
      </c>
      <c r="E597" s="491">
        <v>0</v>
      </c>
      <c r="F597" s="491">
        <v>0</v>
      </c>
      <c r="G597" s="491">
        <f t="shared" si="9"/>
        <v>1</v>
      </c>
    </row>
    <row r="598" spans="1:7" ht="12.75">
      <c r="A598" s="134" t="s">
        <v>675</v>
      </c>
      <c r="B598" s="134">
        <v>302</v>
      </c>
      <c r="C598" s="491">
        <v>0</v>
      </c>
      <c r="D598" s="491">
        <v>1</v>
      </c>
      <c r="E598" s="491">
        <v>0</v>
      </c>
      <c r="F598" s="491">
        <v>0</v>
      </c>
      <c r="G598" s="491">
        <f t="shared" si="9"/>
        <v>1</v>
      </c>
    </row>
    <row r="599" spans="1:7" ht="12.75">
      <c r="A599" s="134" t="s">
        <v>675</v>
      </c>
      <c r="B599" s="134">
        <v>303</v>
      </c>
      <c r="C599" s="491">
        <v>1</v>
      </c>
      <c r="D599" s="491">
        <v>1</v>
      </c>
      <c r="E599" s="491">
        <v>0</v>
      </c>
      <c r="F599" s="491">
        <v>0</v>
      </c>
      <c r="G599" s="491">
        <f t="shared" si="9"/>
        <v>2</v>
      </c>
    </row>
    <row r="600" spans="1:7" ht="12.75">
      <c r="A600" s="134" t="s">
        <v>675</v>
      </c>
      <c r="B600" s="134">
        <v>304</v>
      </c>
      <c r="C600" s="491">
        <v>26</v>
      </c>
      <c r="D600" s="491">
        <v>4</v>
      </c>
      <c r="E600" s="491">
        <v>0</v>
      </c>
      <c r="F600" s="491">
        <v>0</v>
      </c>
      <c r="G600" s="491">
        <f t="shared" si="9"/>
        <v>30</v>
      </c>
    </row>
    <row r="601" spans="1:7" ht="12.75">
      <c r="A601" s="134" t="s">
        <v>675</v>
      </c>
      <c r="B601" s="134">
        <v>320</v>
      </c>
      <c r="C601" s="491">
        <v>2</v>
      </c>
      <c r="D601" s="491">
        <v>3</v>
      </c>
      <c r="E601" s="491">
        <v>0</v>
      </c>
      <c r="F601" s="491">
        <v>0</v>
      </c>
      <c r="G601" s="491">
        <f t="shared" si="9"/>
        <v>5</v>
      </c>
    </row>
    <row r="602" spans="1:7" ht="12.75">
      <c r="A602" s="134" t="s">
        <v>675</v>
      </c>
      <c r="B602" s="134">
        <v>324</v>
      </c>
      <c r="C602" s="491">
        <v>1</v>
      </c>
      <c r="D602" s="491">
        <v>0</v>
      </c>
      <c r="E602" s="491">
        <v>0</v>
      </c>
      <c r="F602" s="491">
        <v>0</v>
      </c>
      <c r="G602" s="491">
        <f t="shared" si="9"/>
        <v>1</v>
      </c>
    </row>
    <row r="603" spans="1:7" ht="12.75">
      <c r="A603" s="134" t="s">
        <v>675</v>
      </c>
      <c r="B603" s="134">
        <v>330</v>
      </c>
      <c r="C603" s="491">
        <v>8</v>
      </c>
      <c r="D603" s="491">
        <v>2</v>
      </c>
      <c r="E603" s="491">
        <v>0</v>
      </c>
      <c r="F603" s="491">
        <v>0</v>
      </c>
      <c r="G603" s="491">
        <f t="shared" si="9"/>
        <v>10</v>
      </c>
    </row>
    <row r="604" spans="1:7" ht="12.75">
      <c r="A604" s="134" t="s">
        <v>675</v>
      </c>
      <c r="B604" s="134">
        <v>340</v>
      </c>
      <c r="C604" s="491">
        <v>0</v>
      </c>
      <c r="D604" s="491">
        <v>1</v>
      </c>
      <c r="E604" s="491">
        <v>0</v>
      </c>
      <c r="F604" s="491">
        <v>0</v>
      </c>
      <c r="G604" s="491">
        <f t="shared" si="9"/>
        <v>1</v>
      </c>
    </row>
    <row r="605" spans="1:7" ht="12.75">
      <c r="A605" s="134" t="s">
        <v>675</v>
      </c>
      <c r="B605" s="134">
        <v>410</v>
      </c>
      <c r="C605" s="491">
        <v>2</v>
      </c>
      <c r="D605" s="491">
        <v>0</v>
      </c>
      <c r="E605" s="491">
        <v>0</v>
      </c>
      <c r="F605" s="491">
        <v>0</v>
      </c>
      <c r="G605" s="491">
        <f t="shared" si="9"/>
        <v>2</v>
      </c>
    </row>
    <row r="606" spans="1:7" ht="12.75">
      <c r="A606" s="134" t="s">
        <v>675</v>
      </c>
      <c r="B606" s="134">
        <v>420</v>
      </c>
      <c r="C606" s="491">
        <v>0</v>
      </c>
      <c r="D606" s="491">
        <v>1</v>
      </c>
      <c r="E606" s="491">
        <v>0</v>
      </c>
      <c r="F606" s="491">
        <v>0</v>
      </c>
      <c r="G606" s="491">
        <f t="shared" si="9"/>
        <v>1</v>
      </c>
    </row>
    <row r="607" spans="1:7" ht="12.75">
      <c r="A607" s="134" t="s">
        <v>675</v>
      </c>
      <c r="B607" s="134">
        <v>460</v>
      </c>
      <c r="C607" s="491">
        <v>95</v>
      </c>
      <c r="D607" s="491">
        <v>1</v>
      </c>
      <c r="E607" s="491">
        <v>2</v>
      </c>
      <c r="F607" s="491">
        <v>0</v>
      </c>
      <c r="G607" s="491">
        <f t="shared" si="9"/>
        <v>98</v>
      </c>
    </row>
    <row r="608" spans="1:7" ht="12.75">
      <c r="A608" s="134" t="s">
        <v>675</v>
      </c>
      <c r="B608" s="134">
        <v>501</v>
      </c>
      <c r="C608" s="491">
        <v>0</v>
      </c>
      <c r="D608" s="491">
        <v>2</v>
      </c>
      <c r="E608" s="491">
        <v>0</v>
      </c>
      <c r="F608" s="491">
        <v>0</v>
      </c>
      <c r="G608" s="491">
        <f t="shared" si="9"/>
        <v>2</v>
      </c>
    </row>
    <row r="609" spans="1:7" ht="12.75">
      <c r="A609" s="134" t="s">
        <v>675</v>
      </c>
      <c r="B609" s="134">
        <v>502</v>
      </c>
      <c r="C609" s="491">
        <v>0</v>
      </c>
      <c r="D609" s="491">
        <v>4</v>
      </c>
      <c r="E609" s="491">
        <v>0</v>
      </c>
      <c r="F609" s="491">
        <v>0</v>
      </c>
      <c r="G609" s="491">
        <f t="shared" si="9"/>
        <v>4</v>
      </c>
    </row>
    <row r="610" spans="1:7" ht="12.75">
      <c r="A610" s="134" t="s">
        <v>675</v>
      </c>
      <c r="B610" s="134">
        <v>560</v>
      </c>
      <c r="C610" s="491">
        <v>1</v>
      </c>
      <c r="D610" s="491">
        <v>2</v>
      </c>
      <c r="E610" s="491">
        <v>0</v>
      </c>
      <c r="F610" s="491">
        <v>0</v>
      </c>
      <c r="G610" s="491">
        <f t="shared" si="9"/>
        <v>3</v>
      </c>
    </row>
    <row r="611" spans="1:7" ht="12.75">
      <c r="A611" s="134" t="s">
        <v>675</v>
      </c>
      <c r="B611" s="134">
        <v>651</v>
      </c>
      <c r="C611" s="491">
        <v>2</v>
      </c>
      <c r="D611" s="491">
        <v>0</v>
      </c>
      <c r="E611" s="491">
        <v>0</v>
      </c>
      <c r="F611" s="491">
        <v>0</v>
      </c>
      <c r="G611" s="491">
        <f t="shared" si="9"/>
        <v>2</v>
      </c>
    </row>
    <row r="612" spans="1:7" ht="12.75">
      <c r="A612" s="134" t="s">
        <v>675</v>
      </c>
      <c r="B612" s="134">
        <v>653</v>
      </c>
      <c r="C612" s="491">
        <v>1</v>
      </c>
      <c r="D612" s="491">
        <v>0</v>
      </c>
      <c r="E612" s="491">
        <v>0</v>
      </c>
      <c r="F612" s="491">
        <v>0</v>
      </c>
      <c r="G612" s="491">
        <f t="shared" si="9"/>
        <v>1</v>
      </c>
    </row>
    <row r="613" spans="1:7" ht="12.75">
      <c r="A613" s="134" t="s">
        <v>675</v>
      </c>
      <c r="B613" s="134">
        <v>655</v>
      </c>
      <c r="C613" s="491">
        <v>30</v>
      </c>
      <c r="D613" s="491">
        <v>7</v>
      </c>
      <c r="E613" s="491">
        <v>0</v>
      </c>
      <c r="F613" s="491">
        <v>0</v>
      </c>
      <c r="G613" s="491">
        <f t="shared" si="9"/>
        <v>37</v>
      </c>
    </row>
    <row r="614" spans="1:7" ht="12.75">
      <c r="A614" s="134" t="s">
        <v>675</v>
      </c>
      <c r="B614" s="134">
        <v>658</v>
      </c>
      <c r="C614" s="491">
        <v>1</v>
      </c>
      <c r="D614" s="491">
        <v>0</v>
      </c>
      <c r="E614" s="491">
        <v>0</v>
      </c>
      <c r="F614" s="491">
        <v>0</v>
      </c>
      <c r="G614" s="491">
        <f t="shared" si="9"/>
        <v>1</v>
      </c>
    </row>
    <row r="615" spans="1:7" ht="12.75">
      <c r="A615" s="134" t="s">
        <v>675</v>
      </c>
      <c r="B615" s="134">
        <v>662</v>
      </c>
      <c r="C615" s="491">
        <v>655</v>
      </c>
      <c r="D615" s="491">
        <v>5</v>
      </c>
      <c r="E615" s="491">
        <v>2</v>
      </c>
      <c r="F615" s="491">
        <v>0</v>
      </c>
      <c r="G615" s="491">
        <f t="shared" si="9"/>
        <v>662</v>
      </c>
    </row>
    <row r="616" spans="1:7" ht="12.75">
      <c r="A616" s="134" t="s">
        <v>675</v>
      </c>
      <c r="B616" s="134">
        <v>800</v>
      </c>
      <c r="C616" s="491">
        <v>1</v>
      </c>
      <c r="D616" s="491">
        <v>0</v>
      </c>
      <c r="E616" s="491">
        <v>0</v>
      </c>
      <c r="F616" s="491">
        <v>0</v>
      </c>
      <c r="G616" s="491">
        <f t="shared" si="9"/>
        <v>1</v>
      </c>
    </row>
    <row r="617" spans="1:7" ht="12.75">
      <c r="A617" s="134" t="s">
        <v>87</v>
      </c>
      <c r="B617" s="134">
        <v>130</v>
      </c>
      <c r="C617" s="491">
        <v>21</v>
      </c>
      <c r="D617" s="491">
        <v>3</v>
      </c>
      <c r="E617" s="491">
        <v>18</v>
      </c>
      <c r="F617" s="491">
        <v>0</v>
      </c>
      <c r="G617" s="491">
        <f t="shared" si="9"/>
        <v>42</v>
      </c>
    </row>
    <row r="618" spans="1:7" ht="12.75">
      <c r="A618" s="134" t="s">
        <v>88</v>
      </c>
      <c r="B618" s="134">
        <v>130</v>
      </c>
      <c r="C618" s="491">
        <v>3</v>
      </c>
      <c r="D618" s="491">
        <v>0</v>
      </c>
      <c r="E618" s="491">
        <v>6</v>
      </c>
      <c r="F618" s="491">
        <v>0</v>
      </c>
      <c r="G618" s="491">
        <f t="shared" si="9"/>
        <v>9</v>
      </c>
    </row>
    <row r="619" spans="1:7" ht="12.75">
      <c r="A619" s="134" t="s">
        <v>89</v>
      </c>
      <c r="B619" s="134">
        <v>130</v>
      </c>
      <c r="C619" s="491">
        <v>19</v>
      </c>
      <c r="D619" s="491">
        <v>2</v>
      </c>
      <c r="E619" s="491">
        <v>0</v>
      </c>
      <c r="F619" s="491">
        <v>0</v>
      </c>
      <c r="G619" s="491">
        <f t="shared" si="9"/>
        <v>21</v>
      </c>
    </row>
    <row r="620" spans="1:7" ht="12.75">
      <c r="A620" s="134" t="s">
        <v>89</v>
      </c>
      <c r="B620" s="134">
        <v>655</v>
      </c>
      <c r="C620" s="491">
        <v>1</v>
      </c>
      <c r="D620" s="491">
        <v>0</v>
      </c>
      <c r="E620" s="491">
        <v>0</v>
      </c>
      <c r="F620" s="491">
        <v>0</v>
      </c>
      <c r="G620" s="491">
        <f t="shared" si="9"/>
        <v>1</v>
      </c>
    </row>
    <row r="621" spans="1:7" ht="12.75">
      <c r="A621" s="134" t="s">
        <v>676</v>
      </c>
      <c r="B621" s="134">
        <v>103</v>
      </c>
      <c r="C621" s="491">
        <v>0</v>
      </c>
      <c r="D621" s="491">
        <v>1</v>
      </c>
      <c r="E621" s="491">
        <v>0</v>
      </c>
      <c r="F621" s="491">
        <v>0</v>
      </c>
      <c r="G621" s="491">
        <f t="shared" si="9"/>
        <v>1</v>
      </c>
    </row>
    <row r="622" spans="1:7" ht="12.75">
      <c r="A622" s="134" t="s">
        <v>676</v>
      </c>
      <c r="B622" s="134">
        <v>106</v>
      </c>
      <c r="C622" s="491">
        <v>0</v>
      </c>
      <c r="D622" s="491">
        <v>1</v>
      </c>
      <c r="E622" s="491">
        <v>0</v>
      </c>
      <c r="F622" s="491">
        <v>0</v>
      </c>
      <c r="G622" s="491">
        <f t="shared" si="9"/>
        <v>1</v>
      </c>
    </row>
    <row r="623" spans="1:7" ht="12.75">
      <c r="A623" s="134" t="s">
        <v>676</v>
      </c>
      <c r="B623" s="134">
        <v>120</v>
      </c>
      <c r="C623" s="491">
        <v>1</v>
      </c>
      <c r="D623" s="491">
        <v>0</v>
      </c>
      <c r="E623" s="491">
        <v>0</v>
      </c>
      <c r="F623" s="491">
        <v>0</v>
      </c>
      <c r="G623" s="491">
        <f t="shared" si="9"/>
        <v>1</v>
      </c>
    </row>
    <row r="624" spans="1:7" ht="12.75">
      <c r="A624" s="134" t="s">
        <v>676</v>
      </c>
      <c r="B624" s="134">
        <v>130</v>
      </c>
      <c r="C624" s="491">
        <v>722</v>
      </c>
      <c r="D624" s="491">
        <v>45</v>
      </c>
      <c r="E624" s="491">
        <v>0</v>
      </c>
      <c r="F624" s="491">
        <v>2</v>
      </c>
      <c r="G624" s="491">
        <f t="shared" si="9"/>
        <v>769</v>
      </c>
    </row>
    <row r="625" spans="1:7" ht="12.75">
      <c r="A625" s="134" t="s">
        <v>676</v>
      </c>
      <c r="B625" s="134">
        <v>301</v>
      </c>
      <c r="C625" s="491">
        <v>1</v>
      </c>
      <c r="D625" s="491">
        <v>0</v>
      </c>
      <c r="E625" s="491">
        <v>0</v>
      </c>
      <c r="F625" s="491">
        <v>0</v>
      </c>
      <c r="G625" s="491">
        <f t="shared" si="9"/>
        <v>1</v>
      </c>
    </row>
    <row r="626" spans="1:7" ht="12.75">
      <c r="A626" s="134" t="s">
        <v>676</v>
      </c>
      <c r="B626" s="134">
        <v>307</v>
      </c>
      <c r="C626" s="491">
        <v>0</v>
      </c>
      <c r="D626" s="491">
        <v>0</v>
      </c>
      <c r="E626" s="491">
        <v>1</v>
      </c>
      <c r="F626" s="491">
        <v>0</v>
      </c>
      <c r="G626" s="491">
        <f t="shared" si="9"/>
        <v>1</v>
      </c>
    </row>
    <row r="627" spans="1:7" ht="12.75">
      <c r="A627" s="134" t="s">
        <v>676</v>
      </c>
      <c r="B627" s="134">
        <v>410</v>
      </c>
      <c r="C627" s="491">
        <v>0</v>
      </c>
      <c r="D627" s="491">
        <v>1</v>
      </c>
      <c r="E627" s="491">
        <v>0</v>
      </c>
      <c r="F627" s="491">
        <v>0</v>
      </c>
      <c r="G627" s="491">
        <f t="shared" si="9"/>
        <v>1</v>
      </c>
    </row>
    <row r="628" spans="1:7" ht="12.75">
      <c r="A628" s="134" t="s">
        <v>676</v>
      </c>
      <c r="B628" s="134">
        <v>501</v>
      </c>
      <c r="C628" s="491">
        <v>0</v>
      </c>
      <c r="D628" s="491">
        <v>1</v>
      </c>
      <c r="E628" s="491">
        <v>0</v>
      </c>
      <c r="F628" s="491">
        <v>0</v>
      </c>
      <c r="G628" s="491">
        <f t="shared" si="9"/>
        <v>1</v>
      </c>
    </row>
    <row r="629" spans="1:7" ht="12.75">
      <c r="A629" s="134" t="s">
        <v>676</v>
      </c>
      <c r="B629" s="134">
        <v>502</v>
      </c>
      <c r="C629" s="491">
        <v>0</v>
      </c>
      <c r="D629" s="491">
        <v>1</v>
      </c>
      <c r="E629" s="491">
        <v>0</v>
      </c>
      <c r="F629" s="491">
        <v>0</v>
      </c>
      <c r="G629" s="491">
        <f t="shared" si="9"/>
        <v>1</v>
      </c>
    </row>
    <row r="630" spans="1:7" ht="12.75">
      <c r="A630" s="134" t="s">
        <v>676</v>
      </c>
      <c r="B630" s="134">
        <v>560</v>
      </c>
      <c r="C630" s="491">
        <v>1</v>
      </c>
      <c r="D630" s="491">
        <v>0</v>
      </c>
      <c r="E630" s="491">
        <v>0</v>
      </c>
      <c r="F630" s="491">
        <v>0</v>
      </c>
      <c r="G630" s="491">
        <f t="shared" si="9"/>
        <v>1</v>
      </c>
    </row>
    <row r="631" spans="1:7" ht="12.75">
      <c r="A631" s="134" t="s">
        <v>676</v>
      </c>
      <c r="B631" s="134">
        <v>655</v>
      </c>
      <c r="C631" s="491">
        <v>9</v>
      </c>
      <c r="D631" s="491">
        <v>1</v>
      </c>
      <c r="E631" s="491">
        <v>0</v>
      </c>
      <c r="F631" s="491">
        <v>0</v>
      </c>
      <c r="G631" s="491">
        <f t="shared" si="9"/>
        <v>10</v>
      </c>
    </row>
    <row r="632" spans="1:7" ht="12.75">
      <c r="A632" s="134" t="s">
        <v>90</v>
      </c>
      <c r="B632" s="134">
        <v>100</v>
      </c>
      <c r="C632" s="491">
        <v>0</v>
      </c>
      <c r="D632" s="491">
        <v>1</v>
      </c>
      <c r="E632" s="491">
        <v>0</v>
      </c>
      <c r="F632" s="491">
        <v>0</v>
      </c>
      <c r="G632" s="491">
        <f t="shared" si="9"/>
        <v>1</v>
      </c>
    </row>
    <row r="633" spans="1:7" ht="12.75">
      <c r="A633" s="134" t="s">
        <v>90</v>
      </c>
      <c r="B633" s="134">
        <v>101</v>
      </c>
      <c r="C633" s="491">
        <v>2</v>
      </c>
      <c r="D633" s="491">
        <v>0</v>
      </c>
      <c r="E633" s="491">
        <v>0</v>
      </c>
      <c r="F633" s="491">
        <v>0</v>
      </c>
      <c r="G633" s="491">
        <f t="shared" si="9"/>
        <v>2</v>
      </c>
    </row>
    <row r="634" spans="1:7" ht="12.75">
      <c r="A634" s="134" t="s">
        <v>90</v>
      </c>
      <c r="B634" s="134">
        <v>103</v>
      </c>
      <c r="C634" s="491">
        <v>0</v>
      </c>
      <c r="D634" s="491">
        <v>1</v>
      </c>
      <c r="E634" s="491">
        <v>0</v>
      </c>
      <c r="F634" s="491">
        <v>0</v>
      </c>
      <c r="G634" s="491">
        <f t="shared" si="9"/>
        <v>1</v>
      </c>
    </row>
    <row r="635" spans="1:7" ht="12.75">
      <c r="A635" s="134" t="s">
        <v>90</v>
      </c>
      <c r="B635" s="134">
        <v>130</v>
      </c>
      <c r="C635" s="491">
        <v>12</v>
      </c>
      <c r="D635" s="491">
        <v>6</v>
      </c>
      <c r="E635" s="491">
        <v>0</v>
      </c>
      <c r="F635" s="491">
        <v>0</v>
      </c>
      <c r="G635" s="491">
        <f t="shared" si="9"/>
        <v>18</v>
      </c>
    </row>
    <row r="636" spans="1:7" ht="12.75">
      <c r="A636" s="134" t="s">
        <v>90</v>
      </c>
      <c r="B636" s="134">
        <v>303</v>
      </c>
      <c r="C636" s="491">
        <v>4</v>
      </c>
      <c r="D636" s="491">
        <v>0</v>
      </c>
      <c r="E636" s="491">
        <v>0</v>
      </c>
      <c r="F636" s="491">
        <v>0</v>
      </c>
      <c r="G636" s="491">
        <f t="shared" si="9"/>
        <v>4</v>
      </c>
    </row>
    <row r="637" spans="1:7" ht="12.75">
      <c r="A637" s="134" t="s">
        <v>90</v>
      </c>
      <c r="B637" s="134">
        <v>307</v>
      </c>
      <c r="C637" s="491">
        <v>0</v>
      </c>
      <c r="D637" s="491">
        <v>2</v>
      </c>
      <c r="E637" s="491">
        <v>0</v>
      </c>
      <c r="F637" s="491">
        <v>0</v>
      </c>
      <c r="G637" s="491">
        <f t="shared" si="9"/>
        <v>2</v>
      </c>
    </row>
    <row r="638" spans="1:7" ht="12.75">
      <c r="A638" s="134" t="s">
        <v>90</v>
      </c>
      <c r="B638" s="134">
        <v>320</v>
      </c>
      <c r="C638" s="491">
        <v>0</v>
      </c>
      <c r="D638" s="491">
        <v>1</v>
      </c>
      <c r="E638" s="491">
        <v>0</v>
      </c>
      <c r="F638" s="491">
        <v>0</v>
      </c>
      <c r="G638" s="491">
        <f t="shared" si="9"/>
        <v>1</v>
      </c>
    </row>
    <row r="639" spans="1:7" ht="12.75">
      <c r="A639" s="134" t="s">
        <v>90</v>
      </c>
      <c r="B639" s="134">
        <v>329</v>
      </c>
      <c r="C639" s="491">
        <v>0</v>
      </c>
      <c r="D639" s="491">
        <v>0</v>
      </c>
      <c r="E639" s="491">
        <v>0</v>
      </c>
      <c r="F639" s="491">
        <v>1</v>
      </c>
      <c r="G639" s="491">
        <f t="shared" si="9"/>
        <v>1</v>
      </c>
    </row>
    <row r="640" spans="1:7" ht="12.75">
      <c r="A640" s="134" t="s">
        <v>90</v>
      </c>
      <c r="B640" s="134">
        <v>340</v>
      </c>
      <c r="C640" s="491">
        <v>0</v>
      </c>
      <c r="D640" s="491">
        <v>2</v>
      </c>
      <c r="E640" s="491">
        <v>0</v>
      </c>
      <c r="F640" s="491">
        <v>0</v>
      </c>
      <c r="G640" s="491">
        <f t="shared" si="9"/>
        <v>2</v>
      </c>
    </row>
    <row r="641" spans="1:7" ht="12.75">
      <c r="A641" s="134" t="s">
        <v>90</v>
      </c>
      <c r="B641" s="134">
        <v>370</v>
      </c>
      <c r="C641" s="491">
        <v>1</v>
      </c>
      <c r="D641" s="491">
        <v>0</v>
      </c>
      <c r="E641" s="491">
        <v>0</v>
      </c>
      <c r="F641" s="491">
        <v>0</v>
      </c>
      <c r="G641" s="491">
        <f t="shared" si="9"/>
        <v>1</v>
      </c>
    </row>
    <row r="642" spans="1:7" ht="12.75">
      <c r="A642" s="134" t="s">
        <v>91</v>
      </c>
      <c r="B642" s="134">
        <v>216</v>
      </c>
      <c r="C642" s="491">
        <v>1</v>
      </c>
      <c r="D642" s="491">
        <v>0</v>
      </c>
      <c r="E642" s="491">
        <v>0</v>
      </c>
      <c r="F642" s="491">
        <v>0</v>
      </c>
      <c r="G642" s="491">
        <f t="shared" si="9"/>
        <v>1</v>
      </c>
    </row>
    <row r="643" spans="1:7" ht="12.75">
      <c r="A643" s="134" t="s">
        <v>677</v>
      </c>
      <c r="B643" s="134">
        <v>100</v>
      </c>
      <c r="C643" s="491">
        <v>3</v>
      </c>
      <c r="D643" s="491">
        <v>4</v>
      </c>
      <c r="E643" s="491">
        <v>0</v>
      </c>
      <c r="F643" s="491">
        <v>0</v>
      </c>
      <c r="G643" s="491">
        <f t="shared" si="9"/>
        <v>7</v>
      </c>
    </row>
    <row r="644" spans="1:7" ht="12.75">
      <c r="A644" s="134" t="s">
        <v>677</v>
      </c>
      <c r="B644" s="134">
        <v>101</v>
      </c>
      <c r="C644" s="491">
        <v>6</v>
      </c>
      <c r="D644" s="491">
        <v>1</v>
      </c>
      <c r="E644" s="491">
        <v>0</v>
      </c>
      <c r="F644" s="491">
        <v>0</v>
      </c>
      <c r="G644" s="491">
        <f t="shared" ref="G644:G707" si="10">SUM(C644:F644)</f>
        <v>7</v>
      </c>
    </row>
    <row r="645" spans="1:7" ht="12.75">
      <c r="A645" s="134" t="s">
        <v>677</v>
      </c>
      <c r="B645" s="134">
        <v>103</v>
      </c>
      <c r="C645" s="491">
        <v>2</v>
      </c>
      <c r="D645" s="491">
        <v>0</v>
      </c>
      <c r="E645" s="491">
        <v>0</v>
      </c>
      <c r="F645" s="491">
        <v>0</v>
      </c>
      <c r="G645" s="491">
        <f t="shared" si="10"/>
        <v>2</v>
      </c>
    </row>
    <row r="646" spans="1:7" ht="12.75">
      <c r="A646" s="134" t="s">
        <v>677</v>
      </c>
      <c r="B646" s="134">
        <v>107</v>
      </c>
      <c r="C646" s="491">
        <v>1</v>
      </c>
      <c r="D646" s="491">
        <v>1</v>
      </c>
      <c r="E646" s="491">
        <v>0</v>
      </c>
      <c r="F646" s="491">
        <v>0</v>
      </c>
      <c r="G646" s="491">
        <f t="shared" si="10"/>
        <v>2</v>
      </c>
    </row>
    <row r="647" spans="1:7" ht="12.75">
      <c r="A647" s="134" t="s">
        <v>677</v>
      </c>
      <c r="B647" s="134">
        <v>110</v>
      </c>
      <c r="C647" s="491">
        <v>7</v>
      </c>
      <c r="D647" s="491">
        <v>4</v>
      </c>
      <c r="E647" s="491">
        <v>0</v>
      </c>
      <c r="F647" s="491">
        <v>0</v>
      </c>
      <c r="G647" s="491">
        <f t="shared" si="10"/>
        <v>11</v>
      </c>
    </row>
    <row r="648" spans="1:7" ht="12.75">
      <c r="A648" s="134" t="s">
        <v>677</v>
      </c>
      <c r="B648" s="134">
        <v>120</v>
      </c>
      <c r="C648" s="491">
        <v>8</v>
      </c>
      <c r="D648" s="491">
        <v>7</v>
      </c>
      <c r="E648" s="491">
        <v>0</v>
      </c>
      <c r="F648" s="491">
        <v>0</v>
      </c>
      <c r="G648" s="491">
        <f t="shared" si="10"/>
        <v>15</v>
      </c>
    </row>
    <row r="649" spans="1:7" ht="12.75">
      <c r="A649" s="134" t="s">
        <v>677</v>
      </c>
      <c r="B649" s="134">
        <v>130</v>
      </c>
      <c r="C649" s="491">
        <v>916</v>
      </c>
      <c r="D649" s="491">
        <v>644</v>
      </c>
      <c r="E649" s="491">
        <v>1</v>
      </c>
      <c r="F649" s="491">
        <v>0</v>
      </c>
      <c r="G649" s="491">
        <f t="shared" si="10"/>
        <v>1561</v>
      </c>
    </row>
    <row r="650" spans="1:7" ht="12.75">
      <c r="A650" s="134" t="s">
        <v>677</v>
      </c>
      <c r="B650" s="134">
        <v>140</v>
      </c>
      <c r="C650" s="491">
        <v>0</v>
      </c>
      <c r="D650" s="491">
        <v>1</v>
      </c>
      <c r="E650" s="491">
        <v>0</v>
      </c>
      <c r="F650" s="491">
        <v>0</v>
      </c>
      <c r="G650" s="491">
        <f t="shared" si="10"/>
        <v>1</v>
      </c>
    </row>
    <row r="651" spans="1:7" ht="12.75">
      <c r="A651" s="134" t="s">
        <v>677</v>
      </c>
      <c r="B651" s="134">
        <v>143</v>
      </c>
      <c r="C651" s="491">
        <v>1</v>
      </c>
      <c r="D651" s="491">
        <v>0</v>
      </c>
      <c r="E651" s="491">
        <v>0</v>
      </c>
      <c r="F651" s="491">
        <v>0</v>
      </c>
      <c r="G651" s="491">
        <f t="shared" si="10"/>
        <v>1</v>
      </c>
    </row>
    <row r="652" spans="1:7" ht="12.75">
      <c r="A652" s="134" t="s">
        <v>677</v>
      </c>
      <c r="B652" s="134">
        <v>144</v>
      </c>
      <c r="C652" s="491">
        <v>1</v>
      </c>
      <c r="D652" s="491">
        <v>1</v>
      </c>
      <c r="E652" s="491">
        <v>0</v>
      </c>
      <c r="F652" s="491">
        <v>0</v>
      </c>
      <c r="G652" s="491">
        <f t="shared" si="10"/>
        <v>2</v>
      </c>
    </row>
    <row r="653" spans="1:7" ht="12.75">
      <c r="A653" s="134" t="s">
        <v>677</v>
      </c>
      <c r="B653" s="134">
        <v>190</v>
      </c>
      <c r="C653" s="491">
        <v>1</v>
      </c>
      <c r="D653" s="491">
        <v>0</v>
      </c>
      <c r="E653" s="491">
        <v>0</v>
      </c>
      <c r="F653" s="491">
        <v>0</v>
      </c>
      <c r="G653" s="491">
        <f t="shared" si="10"/>
        <v>1</v>
      </c>
    </row>
    <row r="654" spans="1:7" ht="12.75">
      <c r="A654" s="134" t="s">
        <v>677</v>
      </c>
      <c r="B654" s="134">
        <v>191</v>
      </c>
      <c r="C654" s="491">
        <v>5</v>
      </c>
      <c r="D654" s="491">
        <v>1</v>
      </c>
      <c r="E654" s="491">
        <v>0</v>
      </c>
      <c r="F654" s="491">
        <v>0</v>
      </c>
      <c r="G654" s="491">
        <f t="shared" si="10"/>
        <v>6</v>
      </c>
    </row>
    <row r="655" spans="1:7" ht="12.75">
      <c r="A655" s="134" t="s">
        <v>677</v>
      </c>
      <c r="B655" s="134">
        <v>215</v>
      </c>
      <c r="C655" s="491">
        <v>2</v>
      </c>
      <c r="D655" s="491">
        <v>1</v>
      </c>
      <c r="E655" s="491">
        <v>0</v>
      </c>
      <c r="F655" s="491">
        <v>0</v>
      </c>
      <c r="G655" s="491">
        <f t="shared" si="10"/>
        <v>3</v>
      </c>
    </row>
    <row r="656" spans="1:7" ht="12.75">
      <c r="A656" s="134" t="s">
        <v>677</v>
      </c>
      <c r="B656" s="134">
        <v>219</v>
      </c>
      <c r="C656" s="491">
        <v>1</v>
      </c>
      <c r="D656" s="491">
        <v>0</v>
      </c>
      <c r="E656" s="491">
        <v>0</v>
      </c>
      <c r="F656" s="491">
        <v>0</v>
      </c>
      <c r="G656" s="491">
        <f t="shared" si="10"/>
        <v>1</v>
      </c>
    </row>
    <row r="657" spans="1:7" ht="12.75">
      <c r="A657" s="134" t="s">
        <v>677</v>
      </c>
      <c r="B657" s="134">
        <v>257</v>
      </c>
      <c r="C657" s="491">
        <v>1</v>
      </c>
      <c r="D657" s="491">
        <v>0</v>
      </c>
      <c r="E657" s="491">
        <v>0</v>
      </c>
      <c r="F657" s="491">
        <v>0</v>
      </c>
      <c r="G657" s="491">
        <f t="shared" si="10"/>
        <v>1</v>
      </c>
    </row>
    <row r="658" spans="1:7" ht="12.75">
      <c r="A658" s="134" t="s">
        <v>677</v>
      </c>
      <c r="B658" s="134">
        <v>300</v>
      </c>
      <c r="C658" s="491">
        <v>2</v>
      </c>
      <c r="D658" s="491">
        <v>0</v>
      </c>
      <c r="E658" s="491">
        <v>0</v>
      </c>
      <c r="F658" s="491">
        <v>0</v>
      </c>
      <c r="G658" s="491">
        <f t="shared" si="10"/>
        <v>2</v>
      </c>
    </row>
    <row r="659" spans="1:7" ht="12.75">
      <c r="A659" s="134" t="s">
        <v>677</v>
      </c>
      <c r="B659" s="134">
        <v>301</v>
      </c>
      <c r="C659" s="491">
        <v>1</v>
      </c>
      <c r="D659" s="491">
        <v>1</v>
      </c>
      <c r="E659" s="491">
        <v>0</v>
      </c>
      <c r="F659" s="491">
        <v>0</v>
      </c>
      <c r="G659" s="491">
        <f t="shared" si="10"/>
        <v>2</v>
      </c>
    </row>
    <row r="660" spans="1:7" ht="12.75">
      <c r="A660" s="134" t="s">
        <v>677</v>
      </c>
      <c r="B660" s="134">
        <v>303</v>
      </c>
      <c r="C660" s="491">
        <v>1</v>
      </c>
      <c r="D660" s="491">
        <v>1</v>
      </c>
      <c r="E660" s="491">
        <v>0</v>
      </c>
      <c r="F660" s="491">
        <v>0</v>
      </c>
      <c r="G660" s="491">
        <f t="shared" si="10"/>
        <v>2</v>
      </c>
    </row>
    <row r="661" spans="1:7" ht="12.75">
      <c r="A661" s="134" t="s">
        <v>677</v>
      </c>
      <c r="B661" s="134">
        <v>314</v>
      </c>
      <c r="C661" s="491">
        <v>1</v>
      </c>
      <c r="D661" s="491">
        <v>0</v>
      </c>
      <c r="E661" s="491">
        <v>0</v>
      </c>
      <c r="F661" s="491">
        <v>0</v>
      </c>
      <c r="G661" s="491">
        <f t="shared" si="10"/>
        <v>1</v>
      </c>
    </row>
    <row r="662" spans="1:7" ht="12.75">
      <c r="A662" s="134" t="s">
        <v>677</v>
      </c>
      <c r="B662" s="134">
        <v>320</v>
      </c>
      <c r="C662" s="491">
        <v>1</v>
      </c>
      <c r="D662" s="491">
        <v>1</v>
      </c>
      <c r="E662" s="491">
        <v>0</v>
      </c>
      <c r="F662" s="491">
        <v>0</v>
      </c>
      <c r="G662" s="491">
        <f t="shared" si="10"/>
        <v>2</v>
      </c>
    </row>
    <row r="663" spans="1:7" ht="12.75">
      <c r="A663" s="134" t="s">
        <v>677</v>
      </c>
      <c r="B663" s="134">
        <v>321</v>
      </c>
      <c r="C663" s="491">
        <v>1</v>
      </c>
      <c r="D663" s="491">
        <v>0</v>
      </c>
      <c r="E663" s="491">
        <v>0</v>
      </c>
      <c r="F663" s="491">
        <v>0</v>
      </c>
      <c r="G663" s="491">
        <f t="shared" si="10"/>
        <v>1</v>
      </c>
    </row>
    <row r="664" spans="1:7" ht="12.75">
      <c r="A664" s="134" t="s">
        <v>677</v>
      </c>
      <c r="B664" s="134">
        <v>330</v>
      </c>
      <c r="C664" s="491">
        <v>4</v>
      </c>
      <c r="D664" s="491">
        <v>1</v>
      </c>
      <c r="E664" s="491">
        <v>0</v>
      </c>
      <c r="F664" s="491">
        <v>0</v>
      </c>
      <c r="G664" s="491">
        <f t="shared" si="10"/>
        <v>5</v>
      </c>
    </row>
    <row r="665" spans="1:7" ht="12.75">
      <c r="A665" s="134" t="s">
        <v>677</v>
      </c>
      <c r="B665" s="134">
        <v>340</v>
      </c>
      <c r="C665" s="491">
        <v>3</v>
      </c>
      <c r="D665" s="491">
        <v>1</v>
      </c>
      <c r="E665" s="491">
        <v>0</v>
      </c>
      <c r="F665" s="491">
        <v>0</v>
      </c>
      <c r="G665" s="491">
        <f t="shared" si="10"/>
        <v>4</v>
      </c>
    </row>
    <row r="666" spans="1:7" ht="12.75">
      <c r="A666" s="134" t="s">
        <v>677</v>
      </c>
      <c r="B666" s="134">
        <v>400</v>
      </c>
      <c r="C666" s="491">
        <v>1</v>
      </c>
      <c r="D666" s="491">
        <v>0</v>
      </c>
      <c r="E666" s="491">
        <v>0</v>
      </c>
      <c r="F666" s="491">
        <v>0</v>
      </c>
      <c r="G666" s="491">
        <f t="shared" si="10"/>
        <v>1</v>
      </c>
    </row>
    <row r="667" spans="1:7" ht="12.75">
      <c r="A667" s="134" t="s">
        <v>677</v>
      </c>
      <c r="B667" s="134">
        <v>410</v>
      </c>
      <c r="C667" s="491">
        <v>1</v>
      </c>
      <c r="D667" s="491">
        <v>0</v>
      </c>
      <c r="E667" s="491">
        <v>0</v>
      </c>
      <c r="F667" s="491">
        <v>0</v>
      </c>
      <c r="G667" s="491">
        <f t="shared" si="10"/>
        <v>1</v>
      </c>
    </row>
    <row r="668" spans="1:7" ht="12.75">
      <c r="A668" s="134" t="s">
        <v>677</v>
      </c>
      <c r="B668" s="134">
        <v>420</v>
      </c>
      <c r="C668" s="491">
        <v>4</v>
      </c>
      <c r="D668" s="491">
        <v>2</v>
      </c>
      <c r="E668" s="491">
        <v>0</v>
      </c>
      <c r="F668" s="491">
        <v>0</v>
      </c>
      <c r="G668" s="491">
        <f t="shared" si="10"/>
        <v>6</v>
      </c>
    </row>
    <row r="669" spans="1:7" ht="12.75">
      <c r="A669" s="134" t="s">
        <v>677</v>
      </c>
      <c r="B669" s="134">
        <v>421</v>
      </c>
      <c r="C669" s="491">
        <v>0</v>
      </c>
      <c r="D669" s="491">
        <v>1</v>
      </c>
      <c r="E669" s="491">
        <v>1</v>
      </c>
      <c r="F669" s="491">
        <v>0</v>
      </c>
      <c r="G669" s="491">
        <f t="shared" si="10"/>
        <v>2</v>
      </c>
    </row>
    <row r="670" spans="1:7" ht="12.75">
      <c r="A670" s="134" t="s">
        <v>677</v>
      </c>
      <c r="B670" s="134">
        <v>501</v>
      </c>
      <c r="C670" s="491">
        <v>2</v>
      </c>
      <c r="D670" s="491">
        <v>0</v>
      </c>
      <c r="E670" s="491">
        <v>0</v>
      </c>
      <c r="F670" s="491">
        <v>0</v>
      </c>
      <c r="G670" s="491">
        <f t="shared" si="10"/>
        <v>2</v>
      </c>
    </row>
    <row r="671" spans="1:7" ht="12.75">
      <c r="A671" s="134" t="s">
        <v>677</v>
      </c>
      <c r="B671" s="134">
        <v>560</v>
      </c>
      <c r="C671" s="491">
        <v>3</v>
      </c>
      <c r="D671" s="491">
        <v>2</v>
      </c>
      <c r="E671" s="491">
        <v>0</v>
      </c>
      <c r="F671" s="491">
        <v>0</v>
      </c>
      <c r="G671" s="491">
        <f t="shared" si="10"/>
        <v>5</v>
      </c>
    </row>
    <row r="672" spans="1:7" ht="12.75">
      <c r="A672" s="134" t="s">
        <v>677</v>
      </c>
      <c r="B672" s="134">
        <v>650</v>
      </c>
      <c r="C672" s="491">
        <v>0</v>
      </c>
      <c r="D672" s="491">
        <v>1</v>
      </c>
      <c r="E672" s="491">
        <v>0</v>
      </c>
      <c r="F672" s="491">
        <v>0</v>
      </c>
      <c r="G672" s="491">
        <f t="shared" si="10"/>
        <v>1</v>
      </c>
    </row>
    <row r="673" spans="1:7" ht="12.75">
      <c r="A673" s="134" t="s">
        <v>677</v>
      </c>
      <c r="B673" s="134">
        <v>654</v>
      </c>
      <c r="C673" s="491">
        <v>3</v>
      </c>
      <c r="D673" s="491">
        <v>0</v>
      </c>
      <c r="E673" s="491">
        <v>0</v>
      </c>
      <c r="F673" s="491">
        <v>0</v>
      </c>
      <c r="G673" s="491">
        <f t="shared" si="10"/>
        <v>3</v>
      </c>
    </row>
    <row r="674" spans="1:7" ht="12.75">
      <c r="A674" s="134" t="s">
        <v>677</v>
      </c>
      <c r="B674" s="134">
        <v>655</v>
      </c>
      <c r="C674" s="491">
        <v>2</v>
      </c>
      <c r="D674" s="491">
        <v>0</v>
      </c>
      <c r="E674" s="491">
        <v>0</v>
      </c>
      <c r="F674" s="491">
        <v>0</v>
      </c>
      <c r="G674" s="491">
        <f t="shared" si="10"/>
        <v>2</v>
      </c>
    </row>
    <row r="675" spans="1:7" ht="12.75">
      <c r="A675" s="134" t="s">
        <v>677</v>
      </c>
      <c r="B675" s="134">
        <v>800</v>
      </c>
      <c r="C675" s="491">
        <v>2</v>
      </c>
      <c r="D675" s="491">
        <v>0</v>
      </c>
      <c r="E675" s="491">
        <v>0</v>
      </c>
      <c r="F675" s="491">
        <v>0</v>
      </c>
      <c r="G675" s="491">
        <f t="shared" si="10"/>
        <v>2</v>
      </c>
    </row>
    <row r="676" spans="1:7" ht="12.75">
      <c r="A676" s="134" t="s">
        <v>677</v>
      </c>
      <c r="B676" s="134">
        <v>840</v>
      </c>
      <c r="C676" s="491">
        <v>2</v>
      </c>
      <c r="D676" s="491">
        <v>0</v>
      </c>
      <c r="E676" s="491">
        <v>0</v>
      </c>
      <c r="F676" s="491">
        <v>0</v>
      </c>
      <c r="G676" s="491">
        <f t="shared" si="10"/>
        <v>2</v>
      </c>
    </row>
    <row r="677" spans="1:7" ht="12.75">
      <c r="A677" s="134" t="s">
        <v>678</v>
      </c>
      <c r="B677" s="134">
        <v>101</v>
      </c>
      <c r="C677" s="491">
        <v>1</v>
      </c>
      <c r="D677" s="491">
        <v>1</v>
      </c>
      <c r="E677" s="491">
        <v>0</v>
      </c>
      <c r="F677" s="491">
        <v>0</v>
      </c>
      <c r="G677" s="491">
        <f t="shared" si="10"/>
        <v>2</v>
      </c>
    </row>
    <row r="678" spans="1:7" ht="12.75">
      <c r="A678" s="134" t="s">
        <v>678</v>
      </c>
      <c r="B678" s="134">
        <v>103</v>
      </c>
      <c r="C678" s="491">
        <v>2</v>
      </c>
      <c r="D678" s="491">
        <v>1</v>
      </c>
      <c r="E678" s="491">
        <v>0</v>
      </c>
      <c r="F678" s="491">
        <v>0</v>
      </c>
      <c r="G678" s="491">
        <f t="shared" si="10"/>
        <v>3</v>
      </c>
    </row>
    <row r="679" spans="1:7" ht="12.75">
      <c r="A679" s="134" t="s">
        <v>678</v>
      </c>
      <c r="B679" s="134">
        <v>107</v>
      </c>
      <c r="C679" s="491">
        <v>1</v>
      </c>
      <c r="D679" s="491">
        <v>0</v>
      </c>
      <c r="E679" s="491">
        <v>0</v>
      </c>
      <c r="F679" s="491">
        <v>0</v>
      </c>
      <c r="G679" s="491">
        <f t="shared" si="10"/>
        <v>1</v>
      </c>
    </row>
    <row r="680" spans="1:7" ht="12.75">
      <c r="A680" s="134" t="s">
        <v>678</v>
      </c>
      <c r="B680" s="134">
        <v>110</v>
      </c>
      <c r="C680" s="491">
        <v>2</v>
      </c>
      <c r="D680" s="491">
        <v>1</v>
      </c>
      <c r="E680" s="491">
        <v>0</v>
      </c>
      <c r="F680" s="491">
        <v>0</v>
      </c>
      <c r="G680" s="491">
        <f t="shared" si="10"/>
        <v>3</v>
      </c>
    </row>
    <row r="681" spans="1:7" ht="12.75">
      <c r="A681" s="134" t="s">
        <v>678</v>
      </c>
      <c r="B681" s="134">
        <v>130</v>
      </c>
      <c r="C681" s="491">
        <v>3377</v>
      </c>
      <c r="D681" s="491">
        <v>732</v>
      </c>
      <c r="E681" s="491">
        <v>38</v>
      </c>
      <c r="F681" s="491">
        <v>17</v>
      </c>
      <c r="G681" s="491">
        <f t="shared" si="10"/>
        <v>4164</v>
      </c>
    </row>
    <row r="682" spans="1:7" ht="12.75">
      <c r="A682" s="134" t="s">
        <v>678</v>
      </c>
      <c r="B682" s="134">
        <v>140</v>
      </c>
      <c r="C682" s="491">
        <v>1</v>
      </c>
      <c r="D682" s="491">
        <v>0</v>
      </c>
      <c r="E682" s="491">
        <v>0</v>
      </c>
      <c r="F682" s="491">
        <v>0</v>
      </c>
      <c r="G682" s="491">
        <f t="shared" si="10"/>
        <v>1</v>
      </c>
    </row>
    <row r="683" spans="1:7" ht="12.75">
      <c r="A683" s="134" t="s">
        <v>678</v>
      </c>
      <c r="B683" s="134">
        <v>144</v>
      </c>
      <c r="C683" s="491">
        <v>1</v>
      </c>
      <c r="D683" s="491">
        <v>0</v>
      </c>
      <c r="E683" s="491">
        <v>0</v>
      </c>
      <c r="F683" s="491">
        <v>0</v>
      </c>
      <c r="G683" s="491">
        <f t="shared" si="10"/>
        <v>1</v>
      </c>
    </row>
    <row r="684" spans="1:7" ht="12.75">
      <c r="A684" s="134" t="s">
        <v>678</v>
      </c>
      <c r="B684" s="134">
        <v>160</v>
      </c>
      <c r="C684" s="491">
        <v>4</v>
      </c>
      <c r="D684" s="491">
        <v>0</v>
      </c>
      <c r="E684" s="491">
        <v>0</v>
      </c>
      <c r="F684" s="491">
        <v>0</v>
      </c>
      <c r="G684" s="491">
        <f t="shared" si="10"/>
        <v>4</v>
      </c>
    </row>
    <row r="685" spans="1:7" ht="12.75">
      <c r="A685" s="134" t="s">
        <v>678</v>
      </c>
      <c r="B685" s="134">
        <v>161</v>
      </c>
      <c r="C685" s="491">
        <v>1</v>
      </c>
      <c r="D685" s="491">
        <v>0</v>
      </c>
      <c r="E685" s="491">
        <v>0</v>
      </c>
      <c r="F685" s="491">
        <v>0</v>
      </c>
      <c r="G685" s="491">
        <f t="shared" si="10"/>
        <v>1</v>
      </c>
    </row>
    <row r="686" spans="1:7" ht="12.75">
      <c r="A686" s="134" t="s">
        <v>678</v>
      </c>
      <c r="B686" s="134">
        <v>190</v>
      </c>
      <c r="C686" s="491">
        <v>2</v>
      </c>
      <c r="D686" s="491">
        <v>0</v>
      </c>
      <c r="E686" s="491">
        <v>0</v>
      </c>
      <c r="F686" s="491">
        <v>0</v>
      </c>
      <c r="G686" s="491">
        <f t="shared" si="10"/>
        <v>2</v>
      </c>
    </row>
    <row r="687" spans="1:7" ht="12.75">
      <c r="A687" s="134" t="s">
        <v>678</v>
      </c>
      <c r="B687" s="134">
        <v>216</v>
      </c>
      <c r="C687" s="491">
        <v>1</v>
      </c>
      <c r="D687" s="491">
        <v>1</v>
      </c>
      <c r="E687" s="491">
        <v>0</v>
      </c>
      <c r="F687" s="491">
        <v>0</v>
      </c>
      <c r="G687" s="491">
        <f t="shared" si="10"/>
        <v>2</v>
      </c>
    </row>
    <row r="688" spans="1:7" ht="12.75">
      <c r="A688" s="134" t="s">
        <v>678</v>
      </c>
      <c r="B688" s="134">
        <v>258</v>
      </c>
      <c r="C688" s="491">
        <v>0</v>
      </c>
      <c r="D688" s="491">
        <v>1</v>
      </c>
      <c r="E688" s="491">
        <v>0</v>
      </c>
      <c r="F688" s="491">
        <v>0</v>
      </c>
      <c r="G688" s="491">
        <f t="shared" si="10"/>
        <v>1</v>
      </c>
    </row>
    <row r="689" spans="1:7" ht="12.75">
      <c r="A689" s="134" t="s">
        <v>678</v>
      </c>
      <c r="B689" s="134">
        <v>300</v>
      </c>
      <c r="C689" s="491">
        <v>0</v>
      </c>
      <c r="D689" s="491">
        <v>1</v>
      </c>
      <c r="E689" s="491">
        <v>0</v>
      </c>
      <c r="F689" s="491">
        <v>0</v>
      </c>
      <c r="G689" s="491">
        <f t="shared" si="10"/>
        <v>1</v>
      </c>
    </row>
    <row r="690" spans="1:7" ht="12.75">
      <c r="A690" s="134" t="s">
        <v>678</v>
      </c>
      <c r="B690" s="134">
        <v>302</v>
      </c>
      <c r="C690" s="491">
        <v>0</v>
      </c>
      <c r="D690" s="491">
        <v>1</v>
      </c>
      <c r="E690" s="491">
        <v>0</v>
      </c>
      <c r="F690" s="491">
        <v>0</v>
      </c>
      <c r="G690" s="491">
        <f t="shared" si="10"/>
        <v>1</v>
      </c>
    </row>
    <row r="691" spans="1:7" ht="12.75">
      <c r="A691" s="134" t="s">
        <v>678</v>
      </c>
      <c r="B691" s="134">
        <v>303</v>
      </c>
      <c r="C691" s="491">
        <v>3</v>
      </c>
      <c r="D691" s="491">
        <v>0</v>
      </c>
      <c r="E691" s="491">
        <v>0</v>
      </c>
      <c r="F691" s="491">
        <v>0</v>
      </c>
      <c r="G691" s="491">
        <f t="shared" si="10"/>
        <v>3</v>
      </c>
    </row>
    <row r="692" spans="1:7" ht="12.75">
      <c r="A692" s="134" t="s">
        <v>678</v>
      </c>
      <c r="B692" s="134">
        <v>307</v>
      </c>
      <c r="C692" s="491">
        <v>2</v>
      </c>
      <c r="D692" s="491">
        <v>0</v>
      </c>
      <c r="E692" s="491">
        <v>0</v>
      </c>
      <c r="F692" s="491">
        <v>0</v>
      </c>
      <c r="G692" s="491">
        <f t="shared" si="10"/>
        <v>2</v>
      </c>
    </row>
    <row r="693" spans="1:7" ht="12.75">
      <c r="A693" s="134" t="s">
        <v>678</v>
      </c>
      <c r="B693" s="134">
        <v>340</v>
      </c>
      <c r="C693" s="491">
        <v>3</v>
      </c>
      <c r="D693" s="491">
        <v>0</v>
      </c>
      <c r="E693" s="491">
        <v>0</v>
      </c>
      <c r="F693" s="491">
        <v>0</v>
      </c>
      <c r="G693" s="491">
        <f t="shared" si="10"/>
        <v>3</v>
      </c>
    </row>
    <row r="694" spans="1:7" ht="12.75">
      <c r="A694" s="134" t="s">
        <v>678</v>
      </c>
      <c r="B694" s="134">
        <v>350</v>
      </c>
      <c r="C694" s="491">
        <v>1</v>
      </c>
      <c r="D694" s="491">
        <v>2</v>
      </c>
      <c r="E694" s="491">
        <v>0</v>
      </c>
      <c r="F694" s="491">
        <v>0</v>
      </c>
      <c r="G694" s="491">
        <f t="shared" si="10"/>
        <v>3</v>
      </c>
    </row>
    <row r="695" spans="1:7" ht="12.75">
      <c r="A695" s="134" t="s">
        <v>678</v>
      </c>
      <c r="B695" s="134">
        <v>361</v>
      </c>
      <c r="C695" s="491">
        <v>2</v>
      </c>
      <c r="D695" s="491">
        <v>0</v>
      </c>
      <c r="E695" s="491">
        <v>0</v>
      </c>
      <c r="F695" s="491">
        <v>0</v>
      </c>
      <c r="G695" s="491">
        <f t="shared" si="10"/>
        <v>2</v>
      </c>
    </row>
    <row r="696" spans="1:7" ht="12.75">
      <c r="A696" s="134" t="s">
        <v>678</v>
      </c>
      <c r="B696" s="134">
        <v>370</v>
      </c>
      <c r="C696" s="491">
        <v>1</v>
      </c>
      <c r="D696" s="491">
        <v>0</v>
      </c>
      <c r="E696" s="491">
        <v>0</v>
      </c>
      <c r="F696" s="491">
        <v>0</v>
      </c>
      <c r="G696" s="491">
        <f t="shared" si="10"/>
        <v>1</v>
      </c>
    </row>
    <row r="697" spans="1:7" ht="12.75">
      <c r="A697" s="134" t="s">
        <v>678</v>
      </c>
      <c r="B697" s="134">
        <v>420</v>
      </c>
      <c r="C697" s="491">
        <v>3</v>
      </c>
      <c r="D697" s="491">
        <v>4</v>
      </c>
      <c r="E697" s="491">
        <v>0</v>
      </c>
      <c r="F697" s="491">
        <v>0</v>
      </c>
      <c r="G697" s="491">
        <f t="shared" si="10"/>
        <v>7</v>
      </c>
    </row>
    <row r="698" spans="1:7" ht="12.75">
      <c r="A698" s="134" t="s">
        <v>678</v>
      </c>
      <c r="B698" s="134">
        <v>501</v>
      </c>
      <c r="C698" s="491">
        <v>9</v>
      </c>
      <c r="D698" s="491">
        <v>4</v>
      </c>
      <c r="E698" s="491">
        <v>0</v>
      </c>
      <c r="F698" s="491">
        <v>1</v>
      </c>
      <c r="G698" s="491">
        <f t="shared" si="10"/>
        <v>14</v>
      </c>
    </row>
    <row r="699" spans="1:7" ht="12.75">
      <c r="A699" s="134" t="s">
        <v>678</v>
      </c>
      <c r="B699" s="134">
        <v>502</v>
      </c>
      <c r="C699" s="491">
        <v>2</v>
      </c>
      <c r="D699" s="491">
        <v>0</v>
      </c>
      <c r="E699" s="491">
        <v>0</v>
      </c>
      <c r="F699" s="491">
        <v>1</v>
      </c>
      <c r="G699" s="491">
        <f t="shared" si="10"/>
        <v>3</v>
      </c>
    </row>
    <row r="700" spans="1:7" ht="12.75">
      <c r="A700" s="134" t="s">
        <v>678</v>
      </c>
      <c r="B700" s="134">
        <v>503</v>
      </c>
      <c r="C700" s="491">
        <v>0</v>
      </c>
      <c r="D700" s="491">
        <v>1</v>
      </c>
      <c r="E700" s="491">
        <v>0</v>
      </c>
      <c r="F700" s="491">
        <v>0</v>
      </c>
      <c r="G700" s="491">
        <f t="shared" si="10"/>
        <v>1</v>
      </c>
    </row>
    <row r="701" spans="1:7" ht="12.75">
      <c r="A701" s="134" t="s">
        <v>678</v>
      </c>
      <c r="B701" s="134">
        <v>560</v>
      </c>
      <c r="C701" s="491">
        <v>4</v>
      </c>
      <c r="D701" s="491">
        <v>1</v>
      </c>
      <c r="E701" s="491">
        <v>0</v>
      </c>
      <c r="F701" s="491">
        <v>0</v>
      </c>
      <c r="G701" s="491">
        <f t="shared" si="10"/>
        <v>5</v>
      </c>
    </row>
    <row r="702" spans="1:7" ht="12.75">
      <c r="A702" s="134" t="s">
        <v>678</v>
      </c>
      <c r="B702" s="134">
        <v>655</v>
      </c>
      <c r="C702" s="491">
        <v>1</v>
      </c>
      <c r="D702" s="491">
        <v>1</v>
      </c>
      <c r="E702" s="491">
        <v>0</v>
      </c>
      <c r="F702" s="491">
        <v>0</v>
      </c>
      <c r="G702" s="491">
        <f t="shared" si="10"/>
        <v>2</v>
      </c>
    </row>
    <row r="703" spans="1:7" ht="12.75">
      <c r="A703" s="134" t="s">
        <v>678</v>
      </c>
      <c r="B703" s="134">
        <v>711</v>
      </c>
      <c r="C703" s="491">
        <v>2</v>
      </c>
      <c r="D703" s="491">
        <v>1</v>
      </c>
      <c r="E703" s="491">
        <v>0</v>
      </c>
      <c r="F703" s="491">
        <v>0</v>
      </c>
      <c r="G703" s="491">
        <f t="shared" si="10"/>
        <v>3</v>
      </c>
    </row>
    <row r="704" spans="1:7" ht="12.75">
      <c r="A704" s="134" t="s">
        <v>678</v>
      </c>
      <c r="B704" s="134">
        <v>800</v>
      </c>
      <c r="C704" s="491">
        <v>1</v>
      </c>
      <c r="D704" s="491">
        <v>0</v>
      </c>
      <c r="E704" s="491">
        <v>0</v>
      </c>
      <c r="F704" s="491">
        <v>0</v>
      </c>
      <c r="G704" s="491">
        <f t="shared" si="10"/>
        <v>1</v>
      </c>
    </row>
    <row r="705" spans="1:7" ht="12.75">
      <c r="A705" s="134" t="s">
        <v>679</v>
      </c>
      <c r="B705" s="134">
        <v>100</v>
      </c>
      <c r="C705" s="491">
        <v>1</v>
      </c>
      <c r="D705" s="491">
        <v>0</v>
      </c>
      <c r="E705" s="491">
        <v>0</v>
      </c>
      <c r="F705" s="491">
        <v>0</v>
      </c>
      <c r="G705" s="491">
        <f t="shared" si="10"/>
        <v>1</v>
      </c>
    </row>
    <row r="706" spans="1:7" ht="12.75">
      <c r="A706" s="134" t="s">
        <v>679</v>
      </c>
      <c r="B706" s="134">
        <v>101</v>
      </c>
      <c r="C706" s="491">
        <v>0</v>
      </c>
      <c r="D706" s="491">
        <v>1</v>
      </c>
      <c r="E706" s="491">
        <v>0</v>
      </c>
      <c r="F706" s="491">
        <v>0</v>
      </c>
      <c r="G706" s="491">
        <f t="shared" si="10"/>
        <v>1</v>
      </c>
    </row>
    <row r="707" spans="1:7" ht="12.75">
      <c r="A707" s="134" t="s">
        <v>679</v>
      </c>
      <c r="B707" s="134">
        <v>104</v>
      </c>
      <c r="C707" s="491">
        <v>1</v>
      </c>
      <c r="D707" s="491">
        <v>1</v>
      </c>
      <c r="E707" s="491">
        <v>0</v>
      </c>
      <c r="F707" s="491">
        <v>0</v>
      </c>
      <c r="G707" s="491">
        <f t="shared" si="10"/>
        <v>2</v>
      </c>
    </row>
    <row r="708" spans="1:7" ht="12.75">
      <c r="A708" s="134" t="s">
        <v>679</v>
      </c>
      <c r="B708" s="134">
        <v>110</v>
      </c>
      <c r="C708" s="491">
        <v>6</v>
      </c>
      <c r="D708" s="491">
        <v>1</v>
      </c>
      <c r="E708" s="491">
        <v>0</v>
      </c>
      <c r="F708" s="491">
        <v>0</v>
      </c>
      <c r="G708" s="491">
        <f t="shared" ref="G708:G771" si="11">SUM(C708:F708)</f>
        <v>7</v>
      </c>
    </row>
    <row r="709" spans="1:7" ht="12.75">
      <c r="A709" s="134" t="s">
        <v>679</v>
      </c>
      <c r="B709" s="134">
        <v>120</v>
      </c>
      <c r="C709" s="491">
        <v>1</v>
      </c>
      <c r="D709" s="491">
        <v>0</v>
      </c>
      <c r="E709" s="491">
        <v>0</v>
      </c>
      <c r="F709" s="491">
        <v>0</v>
      </c>
      <c r="G709" s="491">
        <f t="shared" si="11"/>
        <v>1</v>
      </c>
    </row>
    <row r="710" spans="1:7" ht="12.75">
      <c r="A710" s="134" t="s">
        <v>679</v>
      </c>
      <c r="B710" s="134">
        <v>130</v>
      </c>
      <c r="C710" s="491">
        <v>17728</v>
      </c>
      <c r="D710" s="491">
        <v>1819</v>
      </c>
      <c r="E710" s="491">
        <v>341</v>
      </c>
      <c r="F710" s="491">
        <v>56</v>
      </c>
      <c r="G710" s="491">
        <f t="shared" si="11"/>
        <v>19944</v>
      </c>
    </row>
    <row r="711" spans="1:7" ht="12.75">
      <c r="A711" s="134" t="s">
        <v>679</v>
      </c>
      <c r="B711" s="134">
        <v>140</v>
      </c>
      <c r="C711" s="491">
        <v>2</v>
      </c>
      <c r="D711" s="491">
        <v>0</v>
      </c>
      <c r="E711" s="491">
        <v>0</v>
      </c>
      <c r="F711" s="491">
        <v>0</v>
      </c>
      <c r="G711" s="491">
        <f t="shared" si="11"/>
        <v>2</v>
      </c>
    </row>
    <row r="712" spans="1:7" ht="12.75">
      <c r="A712" s="134" t="s">
        <v>679</v>
      </c>
      <c r="B712" s="134">
        <v>143</v>
      </c>
      <c r="C712" s="491">
        <v>3</v>
      </c>
      <c r="D712" s="491">
        <v>0</v>
      </c>
      <c r="E712" s="491">
        <v>0</v>
      </c>
      <c r="F712" s="491">
        <v>0</v>
      </c>
      <c r="G712" s="491">
        <f t="shared" si="11"/>
        <v>3</v>
      </c>
    </row>
    <row r="713" spans="1:7" ht="12.75">
      <c r="A713" s="134" t="s">
        <v>679</v>
      </c>
      <c r="B713" s="134">
        <v>191</v>
      </c>
      <c r="C713" s="491">
        <v>0</v>
      </c>
      <c r="D713" s="491">
        <v>2</v>
      </c>
      <c r="E713" s="491">
        <v>0</v>
      </c>
      <c r="F713" s="491">
        <v>0</v>
      </c>
      <c r="G713" s="491">
        <f t="shared" si="11"/>
        <v>2</v>
      </c>
    </row>
    <row r="714" spans="1:7" ht="12.75">
      <c r="A714" s="134" t="s">
        <v>679</v>
      </c>
      <c r="B714" s="134">
        <v>216</v>
      </c>
      <c r="C714" s="491">
        <v>6</v>
      </c>
      <c r="D714" s="491">
        <v>0</v>
      </c>
      <c r="E714" s="491">
        <v>0</v>
      </c>
      <c r="F714" s="491">
        <v>0</v>
      </c>
      <c r="G714" s="491">
        <f t="shared" si="11"/>
        <v>6</v>
      </c>
    </row>
    <row r="715" spans="1:7" ht="12.75">
      <c r="A715" s="134" t="s">
        <v>679</v>
      </c>
      <c r="B715" s="134">
        <v>252</v>
      </c>
      <c r="C715" s="491">
        <v>1</v>
      </c>
      <c r="D715" s="491">
        <v>0</v>
      </c>
      <c r="E715" s="491">
        <v>0</v>
      </c>
      <c r="F715" s="491">
        <v>0</v>
      </c>
      <c r="G715" s="491">
        <f t="shared" si="11"/>
        <v>1</v>
      </c>
    </row>
    <row r="716" spans="1:7" ht="12.75">
      <c r="A716" s="134" t="s">
        <v>679</v>
      </c>
      <c r="B716" s="134">
        <v>264</v>
      </c>
      <c r="C716" s="491">
        <v>1</v>
      </c>
      <c r="D716" s="491">
        <v>0</v>
      </c>
      <c r="E716" s="491">
        <v>0</v>
      </c>
      <c r="F716" s="491">
        <v>0</v>
      </c>
      <c r="G716" s="491">
        <f t="shared" si="11"/>
        <v>1</v>
      </c>
    </row>
    <row r="717" spans="1:7" ht="12.75">
      <c r="A717" s="134" t="s">
        <v>679</v>
      </c>
      <c r="B717" s="134">
        <v>300</v>
      </c>
      <c r="C717" s="491">
        <v>1</v>
      </c>
      <c r="D717" s="491">
        <v>1</v>
      </c>
      <c r="E717" s="491">
        <v>0</v>
      </c>
      <c r="F717" s="491">
        <v>0</v>
      </c>
      <c r="G717" s="491">
        <f t="shared" si="11"/>
        <v>2</v>
      </c>
    </row>
    <row r="718" spans="1:7" ht="12.75">
      <c r="A718" s="134" t="s">
        <v>679</v>
      </c>
      <c r="B718" s="134">
        <v>301</v>
      </c>
      <c r="C718" s="491">
        <v>2</v>
      </c>
      <c r="D718" s="491">
        <v>1</v>
      </c>
      <c r="E718" s="491">
        <v>0</v>
      </c>
      <c r="F718" s="491">
        <v>0</v>
      </c>
      <c r="G718" s="491">
        <f t="shared" si="11"/>
        <v>3</v>
      </c>
    </row>
    <row r="719" spans="1:7" ht="12.75">
      <c r="A719" s="134" t="s">
        <v>679</v>
      </c>
      <c r="B719" s="134">
        <v>303</v>
      </c>
      <c r="C719" s="491">
        <v>3</v>
      </c>
      <c r="D719" s="491">
        <v>0</v>
      </c>
      <c r="E719" s="491">
        <v>0</v>
      </c>
      <c r="F719" s="491">
        <v>0</v>
      </c>
      <c r="G719" s="491">
        <f t="shared" si="11"/>
        <v>3</v>
      </c>
    </row>
    <row r="720" spans="1:7" ht="12.75">
      <c r="A720" s="134" t="s">
        <v>679</v>
      </c>
      <c r="B720" s="134">
        <v>307</v>
      </c>
      <c r="C720" s="491">
        <v>1</v>
      </c>
      <c r="D720" s="491">
        <v>0</v>
      </c>
      <c r="E720" s="491">
        <v>0</v>
      </c>
      <c r="F720" s="491">
        <v>0</v>
      </c>
      <c r="G720" s="491">
        <f t="shared" si="11"/>
        <v>1</v>
      </c>
    </row>
    <row r="721" spans="1:7" ht="12.75">
      <c r="A721" s="134" t="s">
        <v>679</v>
      </c>
      <c r="B721" s="134">
        <v>320</v>
      </c>
      <c r="C721" s="491">
        <v>2</v>
      </c>
      <c r="D721" s="491">
        <v>1</v>
      </c>
      <c r="E721" s="491">
        <v>0</v>
      </c>
      <c r="F721" s="491">
        <v>0</v>
      </c>
      <c r="G721" s="491">
        <f t="shared" si="11"/>
        <v>3</v>
      </c>
    </row>
    <row r="722" spans="1:7" ht="12.75">
      <c r="A722" s="134" t="s">
        <v>679</v>
      </c>
      <c r="B722" s="134">
        <v>330</v>
      </c>
      <c r="C722" s="491">
        <v>2</v>
      </c>
      <c r="D722" s="491">
        <v>1</v>
      </c>
      <c r="E722" s="491">
        <v>0</v>
      </c>
      <c r="F722" s="491">
        <v>0</v>
      </c>
      <c r="G722" s="491">
        <f t="shared" si="11"/>
        <v>3</v>
      </c>
    </row>
    <row r="723" spans="1:7" ht="12.75">
      <c r="A723" s="134" t="s">
        <v>679</v>
      </c>
      <c r="B723" s="134">
        <v>340</v>
      </c>
      <c r="C723" s="491">
        <v>1</v>
      </c>
      <c r="D723" s="491">
        <v>0</v>
      </c>
      <c r="E723" s="491">
        <v>0</v>
      </c>
      <c r="F723" s="491">
        <v>0</v>
      </c>
      <c r="G723" s="491">
        <f t="shared" si="11"/>
        <v>1</v>
      </c>
    </row>
    <row r="724" spans="1:7" ht="12.75">
      <c r="A724" s="134" t="s">
        <v>679</v>
      </c>
      <c r="B724" s="134">
        <v>410</v>
      </c>
      <c r="C724" s="491">
        <v>0</v>
      </c>
      <c r="D724" s="491">
        <v>1</v>
      </c>
      <c r="E724" s="491">
        <v>0</v>
      </c>
      <c r="F724" s="491">
        <v>0</v>
      </c>
      <c r="G724" s="491">
        <f t="shared" si="11"/>
        <v>1</v>
      </c>
    </row>
    <row r="725" spans="1:7" ht="12.75">
      <c r="A725" s="134" t="s">
        <v>679</v>
      </c>
      <c r="B725" s="134">
        <v>460</v>
      </c>
      <c r="C725" s="491">
        <v>20</v>
      </c>
      <c r="D725" s="491">
        <v>0</v>
      </c>
      <c r="E725" s="491">
        <v>0</v>
      </c>
      <c r="F725" s="491">
        <v>0</v>
      </c>
      <c r="G725" s="491">
        <f t="shared" si="11"/>
        <v>20</v>
      </c>
    </row>
    <row r="726" spans="1:7" ht="12.75">
      <c r="A726" s="134" t="s">
        <v>679</v>
      </c>
      <c r="B726" s="134">
        <v>501</v>
      </c>
      <c r="C726" s="491">
        <v>3</v>
      </c>
      <c r="D726" s="491">
        <v>0</v>
      </c>
      <c r="E726" s="491">
        <v>1</v>
      </c>
      <c r="F726" s="491">
        <v>1</v>
      </c>
      <c r="G726" s="491">
        <f t="shared" si="11"/>
        <v>5</v>
      </c>
    </row>
    <row r="727" spans="1:7" ht="12.75">
      <c r="A727" s="134" t="s">
        <v>679</v>
      </c>
      <c r="B727" s="134">
        <v>502</v>
      </c>
      <c r="C727" s="491">
        <v>0</v>
      </c>
      <c r="D727" s="491">
        <v>2</v>
      </c>
      <c r="E727" s="491">
        <v>0</v>
      </c>
      <c r="F727" s="491">
        <v>0</v>
      </c>
      <c r="G727" s="491">
        <f t="shared" si="11"/>
        <v>2</v>
      </c>
    </row>
    <row r="728" spans="1:7" ht="12.75">
      <c r="A728" s="134" t="s">
        <v>679</v>
      </c>
      <c r="B728" s="134">
        <v>650</v>
      </c>
      <c r="C728" s="491">
        <v>1</v>
      </c>
      <c r="D728" s="491">
        <v>3</v>
      </c>
      <c r="E728" s="491">
        <v>0</v>
      </c>
      <c r="F728" s="491">
        <v>0</v>
      </c>
      <c r="G728" s="491">
        <f t="shared" si="11"/>
        <v>4</v>
      </c>
    </row>
    <row r="729" spans="1:7" ht="12.75">
      <c r="A729" s="134" t="s">
        <v>679</v>
      </c>
      <c r="B729" s="134">
        <v>655</v>
      </c>
      <c r="C729" s="491">
        <v>10</v>
      </c>
      <c r="D729" s="491">
        <v>2</v>
      </c>
      <c r="E729" s="491">
        <v>0</v>
      </c>
      <c r="F729" s="491">
        <v>0</v>
      </c>
      <c r="G729" s="491">
        <f t="shared" si="11"/>
        <v>12</v>
      </c>
    </row>
    <row r="730" spans="1:7" ht="12.75">
      <c r="A730" s="134" t="s">
        <v>679</v>
      </c>
      <c r="B730" s="134">
        <v>800</v>
      </c>
      <c r="C730" s="491">
        <v>1</v>
      </c>
      <c r="D730" s="491">
        <v>1</v>
      </c>
      <c r="E730" s="491">
        <v>0</v>
      </c>
      <c r="F730" s="491">
        <v>0</v>
      </c>
      <c r="G730" s="491">
        <f t="shared" si="11"/>
        <v>2</v>
      </c>
    </row>
    <row r="731" spans="1:7" ht="12.75">
      <c r="A731" s="134" t="s">
        <v>680</v>
      </c>
      <c r="B731" s="134">
        <v>130</v>
      </c>
      <c r="C731" s="491">
        <v>4</v>
      </c>
      <c r="D731" s="491">
        <v>2</v>
      </c>
      <c r="E731" s="491">
        <v>0</v>
      </c>
      <c r="F731" s="491">
        <v>0</v>
      </c>
      <c r="G731" s="491">
        <f t="shared" si="11"/>
        <v>6</v>
      </c>
    </row>
    <row r="732" spans="1:7" ht="12.75">
      <c r="A732" s="134" t="s">
        <v>681</v>
      </c>
      <c r="B732" s="134">
        <v>101</v>
      </c>
      <c r="C732" s="491">
        <v>1</v>
      </c>
      <c r="D732" s="491">
        <v>0</v>
      </c>
      <c r="E732" s="491">
        <v>0</v>
      </c>
      <c r="F732" s="491">
        <v>0</v>
      </c>
      <c r="G732" s="491">
        <f t="shared" si="11"/>
        <v>1</v>
      </c>
    </row>
    <row r="733" spans="1:7" ht="12.75">
      <c r="A733" s="134" t="s">
        <v>681</v>
      </c>
      <c r="B733" s="134">
        <v>107</v>
      </c>
      <c r="C733" s="491">
        <v>1</v>
      </c>
      <c r="D733" s="491">
        <v>0</v>
      </c>
      <c r="E733" s="491">
        <v>0</v>
      </c>
      <c r="F733" s="491">
        <v>0</v>
      </c>
      <c r="G733" s="491">
        <f t="shared" si="11"/>
        <v>1</v>
      </c>
    </row>
    <row r="734" spans="1:7" ht="12.75">
      <c r="A734" s="134" t="s">
        <v>681</v>
      </c>
      <c r="B734" s="134">
        <v>110</v>
      </c>
      <c r="C734" s="491">
        <v>0</v>
      </c>
      <c r="D734" s="491">
        <v>1</v>
      </c>
      <c r="E734" s="491">
        <v>0</v>
      </c>
      <c r="F734" s="491">
        <v>0</v>
      </c>
      <c r="G734" s="491">
        <f t="shared" si="11"/>
        <v>1</v>
      </c>
    </row>
    <row r="735" spans="1:7" ht="12.75">
      <c r="A735" s="134" t="s">
        <v>681</v>
      </c>
      <c r="B735" s="134">
        <v>130</v>
      </c>
      <c r="C735" s="491">
        <v>1734</v>
      </c>
      <c r="D735" s="491">
        <v>1460</v>
      </c>
      <c r="E735" s="491">
        <v>168</v>
      </c>
      <c r="F735" s="491">
        <v>68</v>
      </c>
      <c r="G735" s="491">
        <f t="shared" si="11"/>
        <v>3430</v>
      </c>
    </row>
    <row r="736" spans="1:7" ht="12.75">
      <c r="A736" s="134" t="s">
        <v>681</v>
      </c>
      <c r="B736" s="134">
        <v>190</v>
      </c>
      <c r="C736" s="491">
        <v>0</v>
      </c>
      <c r="D736" s="491">
        <v>1</v>
      </c>
      <c r="E736" s="491">
        <v>0</v>
      </c>
      <c r="F736" s="491">
        <v>0</v>
      </c>
      <c r="G736" s="491">
        <f t="shared" si="11"/>
        <v>1</v>
      </c>
    </row>
    <row r="737" spans="1:7" ht="12.75">
      <c r="A737" s="134" t="s">
        <v>681</v>
      </c>
      <c r="B737" s="134">
        <v>191</v>
      </c>
      <c r="C737" s="491">
        <v>4</v>
      </c>
      <c r="D737" s="491">
        <v>0</v>
      </c>
      <c r="E737" s="491">
        <v>0</v>
      </c>
      <c r="F737" s="491">
        <v>0</v>
      </c>
      <c r="G737" s="491">
        <f t="shared" si="11"/>
        <v>4</v>
      </c>
    </row>
    <row r="738" spans="1:7" ht="12.75">
      <c r="A738" s="134" t="s">
        <v>681</v>
      </c>
      <c r="B738" s="134">
        <v>214</v>
      </c>
      <c r="C738" s="491">
        <v>1</v>
      </c>
      <c r="D738" s="491">
        <v>0</v>
      </c>
      <c r="E738" s="491">
        <v>0</v>
      </c>
      <c r="F738" s="491">
        <v>0</v>
      </c>
      <c r="G738" s="491">
        <f t="shared" si="11"/>
        <v>1</v>
      </c>
    </row>
    <row r="739" spans="1:7" ht="12.75">
      <c r="A739" s="134" t="s">
        <v>681</v>
      </c>
      <c r="B739" s="134">
        <v>216</v>
      </c>
      <c r="C739" s="491">
        <v>58</v>
      </c>
      <c r="D739" s="491">
        <v>27</v>
      </c>
      <c r="E739" s="491">
        <v>0</v>
      </c>
      <c r="F739" s="491">
        <v>0</v>
      </c>
      <c r="G739" s="491">
        <f t="shared" si="11"/>
        <v>85</v>
      </c>
    </row>
    <row r="740" spans="1:7" ht="12.75">
      <c r="A740" s="134" t="s">
        <v>681</v>
      </c>
      <c r="B740" s="134">
        <v>301</v>
      </c>
      <c r="C740" s="491">
        <v>0</v>
      </c>
      <c r="D740" s="491">
        <v>1</v>
      </c>
      <c r="E740" s="491">
        <v>0</v>
      </c>
      <c r="F740" s="491">
        <v>0</v>
      </c>
      <c r="G740" s="491">
        <f t="shared" si="11"/>
        <v>1</v>
      </c>
    </row>
    <row r="741" spans="1:7" ht="12.75">
      <c r="A741" s="134" t="s">
        <v>681</v>
      </c>
      <c r="B741" s="134">
        <v>340</v>
      </c>
      <c r="C741" s="491">
        <v>0</v>
      </c>
      <c r="D741" s="491">
        <v>1</v>
      </c>
      <c r="E741" s="491">
        <v>0</v>
      </c>
      <c r="F741" s="491">
        <v>0</v>
      </c>
      <c r="G741" s="491">
        <f t="shared" si="11"/>
        <v>1</v>
      </c>
    </row>
    <row r="742" spans="1:7" ht="12.75">
      <c r="A742" s="134" t="s">
        <v>681</v>
      </c>
      <c r="B742" s="134">
        <v>400</v>
      </c>
      <c r="C742" s="491">
        <v>4</v>
      </c>
      <c r="D742" s="491">
        <v>19</v>
      </c>
      <c r="E742" s="491">
        <v>0</v>
      </c>
      <c r="F742" s="491">
        <v>0</v>
      </c>
      <c r="G742" s="491">
        <f t="shared" si="11"/>
        <v>23</v>
      </c>
    </row>
    <row r="743" spans="1:7" ht="12.75">
      <c r="A743" s="134" t="s">
        <v>681</v>
      </c>
      <c r="B743" s="134">
        <v>460</v>
      </c>
      <c r="C743" s="491">
        <v>52</v>
      </c>
      <c r="D743" s="491">
        <v>26</v>
      </c>
      <c r="E743" s="491">
        <v>0</v>
      </c>
      <c r="F743" s="491">
        <v>0</v>
      </c>
      <c r="G743" s="491">
        <f t="shared" si="11"/>
        <v>78</v>
      </c>
    </row>
    <row r="744" spans="1:7" ht="12.75">
      <c r="A744" s="134" t="s">
        <v>681</v>
      </c>
      <c r="B744" s="134">
        <v>501</v>
      </c>
      <c r="C744" s="491">
        <v>1</v>
      </c>
      <c r="D744" s="491">
        <v>1</v>
      </c>
      <c r="E744" s="491">
        <v>0</v>
      </c>
      <c r="F744" s="491">
        <v>0</v>
      </c>
      <c r="G744" s="491">
        <f t="shared" si="11"/>
        <v>2</v>
      </c>
    </row>
    <row r="745" spans="1:7" ht="12.75">
      <c r="A745" s="134" t="s">
        <v>681</v>
      </c>
      <c r="B745" s="134">
        <v>502</v>
      </c>
      <c r="C745" s="491">
        <v>0</v>
      </c>
      <c r="D745" s="491">
        <v>1</v>
      </c>
      <c r="E745" s="491">
        <v>0</v>
      </c>
      <c r="F745" s="491">
        <v>0</v>
      </c>
      <c r="G745" s="491">
        <f t="shared" si="11"/>
        <v>1</v>
      </c>
    </row>
    <row r="746" spans="1:7" ht="12.75">
      <c r="A746" s="134" t="s">
        <v>681</v>
      </c>
      <c r="B746" s="134">
        <v>503</v>
      </c>
      <c r="C746" s="491">
        <v>1</v>
      </c>
      <c r="D746" s="491">
        <v>0</v>
      </c>
      <c r="E746" s="491">
        <v>0</v>
      </c>
      <c r="F746" s="491">
        <v>0</v>
      </c>
      <c r="G746" s="491">
        <f t="shared" si="11"/>
        <v>1</v>
      </c>
    </row>
    <row r="747" spans="1:7" ht="12.75">
      <c r="A747" s="134" t="s">
        <v>681</v>
      </c>
      <c r="B747" s="134">
        <v>560</v>
      </c>
      <c r="C747" s="491">
        <v>0</v>
      </c>
      <c r="D747" s="491">
        <v>1</v>
      </c>
      <c r="E747" s="491">
        <v>0</v>
      </c>
      <c r="F747" s="491">
        <v>0</v>
      </c>
      <c r="G747" s="491">
        <f t="shared" si="11"/>
        <v>1</v>
      </c>
    </row>
    <row r="748" spans="1:7" ht="12.75">
      <c r="A748" s="134" t="s">
        <v>681</v>
      </c>
      <c r="B748" s="134">
        <v>662</v>
      </c>
      <c r="C748" s="491">
        <v>1</v>
      </c>
      <c r="D748" s="491">
        <v>1</v>
      </c>
      <c r="E748" s="491">
        <v>0</v>
      </c>
      <c r="F748" s="491">
        <v>0</v>
      </c>
      <c r="G748" s="491">
        <f t="shared" si="11"/>
        <v>2</v>
      </c>
    </row>
    <row r="749" spans="1:7" ht="12.75">
      <c r="A749" s="134" t="s">
        <v>682</v>
      </c>
      <c r="B749" s="134">
        <v>100</v>
      </c>
      <c r="C749" s="491">
        <v>1</v>
      </c>
      <c r="D749" s="491">
        <v>5</v>
      </c>
      <c r="E749" s="491">
        <v>0</v>
      </c>
      <c r="F749" s="491">
        <v>0</v>
      </c>
      <c r="G749" s="491">
        <f t="shared" si="11"/>
        <v>6</v>
      </c>
    </row>
    <row r="750" spans="1:7" ht="12.75">
      <c r="A750" s="134" t="s">
        <v>682</v>
      </c>
      <c r="B750" s="134">
        <v>101</v>
      </c>
      <c r="C750" s="491">
        <v>8</v>
      </c>
      <c r="D750" s="491">
        <v>0</v>
      </c>
      <c r="E750" s="491">
        <v>1</v>
      </c>
      <c r="F750" s="491">
        <v>0</v>
      </c>
      <c r="G750" s="491">
        <f t="shared" si="11"/>
        <v>9</v>
      </c>
    </row>
    <row r="751" spans="1:7" ht="12.75">
      <c r="A751" s="134" t="s">
        <v>682</v>
      </c>
      <c r="B751" s="134">
        <v>103</v>
      </c>
      <c r="C751" s="491">
        <v>2</v>
      </c>
      <c r="D751" s="491">
        <v>0</v>
      </c>
      <c r="E751" s="491">
        <v>0</v>
      </c>
      <c r="F751" s="491">
        <v>0</v>
      </c>
      <c r="G751" s="491">
        <f t="shared" si="11"/>
        <v>2</v>
      </c>
    </row>
    <row r="752" spans="1:7" ht="12.75">
      <c r="A752" s="134" t="s">
        <v>682</v>
      </c>
      <c r="B752" s="134">
        <v>104</v>
      </c>
      <c r="C752" s="491">
        <v>7</v>
      </c>
      <c r="D752" s="491">
        <v>2</v>
      </c>
      <c r="E752" s="491">
        <v>0</v>
      </c>
      <c r="F752" s="491">
        <v>0</v>
      </c>
      <c r="G752" s="491">
        <f t="shared" si="11"/>
        <v>9</v>
      </c>
    </row>
    <row r="753" spans="1:7" ht="12.75">
      <c r="A753" s="134" t="s">
        <v>682</v>
      </c>
      <c r="B753" s="134">
        <v>107</v>
      </c>
      <c r="C753" s="491">
        <v>1</v>
      </c>
      <c r="D753" s="491">
        <v>0</v>
      </c>
      <c r="E753" s="491">
        <v>0</v>
      </c>
      <c r="F753" s="491">
        <v>0</v>
      </c>
      <c r="G753" s="491">
        <f t="shared" si="11"/>
        <v>1</v>
      </c>
    </row>
    <row r="754" spans="1:7" ht="12.75">
      <c r="A754" s="134" t="s">
        <v>682</v>
      </c>
      <c r="B754" s="134">
        <v>110</v>
      </c>
      <c r="C754" s="491">
        <v>6</v>
      </c>
      <c r="D754" s="491">
        <v>3</v>
      </c>
      <c r="E754" s="491">
        <v>1</v>
      </c>
      <c r="F754" s="491">
        <v>0</v>
      </c>
      <c r="G754" s="491">
        <f t="shared" si="11"/>
        <v>10</v>
      </c>
    </row>
    <row r="755" spans="1:7" ht="12.75">
      <c r="A755" s="134" t="s">
        <v>682</v>
      </c>
      <c r="B755" s="134">
        <v>120</v>
      </c>
      <c r="C755" s="491">
        <v>8</v>
      </c>
      <c r="D755" s="491">
        <v>6</v>
      </c>
      <c r="E755" s="491">
        <v>1</v>
      </c>
      <c r="F755" s="491">
        <v>2</v>
      </c>
      <c r="G755" s="491">
        <f t="shared" si="11"/>
        <v>17</v>
      </c>
    </row>
    <row r="756" spans="1:7" ht="12.75">
      <c r="A756" s="134" t="s">
        <v>682</v>
      </c>
      <c r="B756" s="134">
        <v>130</v>
      </c>
      <c r="C756" s="491">
        <v>76471</v>
      </c>
      <c r="D756" s="491">
        <v>24062</v>
      </c>
      <c r="E756" s="491">
        <v>3386</v>
      </c>
      <c r="F756" s="491">
        <v>861</v>
      </c>
      <c r="G756" s="491">
        <f t="shared" si="11"/>
        <v>104780</v>
      </c>
    </row>
    <row r="757" spans="1:7" ht="12.75">
      <c r="A757" s="134" t="s">
        <v>682</v>
      </c>
      <c r="B757" s="134">
        <v>140</v>
      </c>
      <c r="C757" s="491">
        <v>5</v>
      </c>
      <c r="D757" s="491">
        <v>2</v>
      </c>
      <c r="E757" s="491">
        <v>0</v>
      </c>
      <c r="F757" s="491">
        <v>0</v>
      </c>
      <c r="G757" s="491">
        <f t="shared" si="11"/>
        <v>7</v>
      </c>
    </row>
    <row r="758" spans="1:7" ht="12.75">
      <c r="A758" s="134" t="s">
        <v>682</v>
      </c>
      <c r="B758" s="134">
        <v>141</v>
      </c>
      <c r="C758" s="491">
        <v>0</v>
      </c>
      <c r="D758" s="491">
        <v>1</v>
      </c>
      <c r="E758" s="491">
        <v>0</v>
      </c>
      <c r="F758" s="491">
        <v>0</v>
      </c>
      <c r="G758" s="491">
        <f t="shared" si="11"/>
        <v>1</v>
      </c>
    </row>
    <row r="759" spans="1:7" ht="12.75">
      <c r="A759" s="134" t="s">
        <v>682</v>
      </c>
      <c r="B759" s="134">
        <v>143</v>
      </c>
      <c r="C759" s="491">
        <v>4</v>
      </c>
      <c r="D759" s="491">
        <v>0</v>
      </c>
      <c r="E759" s="491">
        <v>1</v>
      </c>
      <c r="F759" s="491">
        <v>0</v>
      </c>
      <c r="G759" s="491">
        <f t="shared" si="11"/>
        <v>5</v>
      </c>
    </row>
    <row r="760" spans="1:7" ht="12.75">
      <c r="A760" s="134" t="s">
        <v>682</v>
      </c>
      <c r="B760" s="134">
        <v>150</v>
      </c>
      <c r="C760" s="491">
        <v>1</v>
      </c>
      <c r="D760" s="491">
        <v>0</v>
      </c>
      <c r="E760" s="491">
        <v>0</v>
      </c>
      <c r="F760" s="491">
        <v>0</v>
      </c>
      <c r="G760" s="491">
        <f t="shared" si="11"/>
        <v>1</v>
      </c>
    </row>
    <row r="761" spans="1:7" ht="12.75">
      <c r="A761" s="134" t="s">
        <v>682</v>
      </c>
      <c r="B761" s="134">
        <v>160</v>
      </c>
      <c r="C761" s="491">
        <v>1</v>
      </c>
      <c r="D761" s="491">
        <v>0</v>
      </c>
      <c r="E761" s="491">
        <v>0</v>
      </c>
      <c r="F761" s="491">
        <v>0</v>
      </c>
      <c r="G761" s="491">
        <f t="shared" si="11"/>
        <v>1</v>
      </c>
    </row>
    <row r="762" spans="1:7" ht="12.75">
      <c r="A762" s="134" t="s">
        <v>682</v>
      </c>
      <c r="B762" s="134">
        <v>180</v>
      </c>
      <c r="C762" s="491">
        <v>0</v>
      </c>
      <c r="D762" s="491">
        <v>3</v>
      </c>
      <c r="E762" s="491">
        <v>0</v>
      </c>
      <c r="F762" s="491">
        <v>0</v>
      </c>
      <c r="G762" s="491">
        <f t="shared" si="11"/>
        <v>3</v>
      </c>
    </row>
    <row r="763" spans="1:7" ht="12.75">
      <c r="A763" s="134" t="s">
        <v>682</v>
      </c>
      <c r="B763" s="134">
        <v>190</v>
      </c>
      <c r="C763" s="491">
        <v>0</v>
      </c>
      <c r="D763" s="491">
        <v>24</v>
      </c>
      <c r="E763" s="491">
        <v>0</v>
      </c>
      <c r="F763" s="491">
        <v>0</v>
      </c>
      <c r="G763" s="491">
        <f t="shared" si="11"/>
        <v>24</v>
      </c>
    </row>
    <row r="764" spans="1:7" ht="12.75">
      <c r="A764" s="134" t="s">
        <v>682</v>
      </c>
      <c r="B764" s="134">
        <v>191</v>
      </c>
      <c r="C764" s="491">
        <v>1</v>
      </c>
      <c r="D764" s="491">
        <v>3</v>
      </c>
      <c r="E764" s="491">
        <v>0</v>
      </c>
      <c r="F764" s="491">
        <v>0</v>
      </c>
      <c r="G764" s="491">
        <f t="shared" si="11"/>
        <v>4</v>
      </c>
    </row>
    <row r="765" spans="1:7" ht="12.75">
      <c r="A765" s="134" t="s">
        <v>682</v>
      </c>
      <c r="B765" s="134">
        <v>214</v>
      </c>
      <c r="C765" s="491">
        <v>3</v>
      </c>
      <c r="D765" s="491">
        <v>1</v>
      </c>
      <c r="E765" s="491">
        <v>0</v>
      </c>
      <c r="F765" s="491">
        <v>0</v>
      </c>
      <c r="G765" s="491">
        <f t="shared" si="11"/>
        <v>4</v>
      </c>
    </row>
    <row r="766" spans="1:7" ht="12.75">
      <c r="A766" s="134" t="s">
        <v>682</v>
      </c>
      <c r="B766" s="134">
        <v>216</v>
      </c>
      <c r="C766" s="491">
        <v>768</v>
      </c>
      <c r="D766" s="491">
        <v>374</v>
      </c>
      <c r="E766" s="491">
        <v>9</v>
      </c>
      <c r="F766" s="491">
        <v>0</v>
      </c>
      <c r="G766" s="491">
        <f t="shared" si="11"/>
        <v>1151</v>
      </c>
    </row>
    <row r="767" spans="1:7" ht="12.75">
      <c r="A767" s="134" t="s">
        <v>682</v>
      </c>
      <c r="B767" s="134">
        <v>300</v>
      </c>
      <c r="C767" s="491">
        <v>4</v>
      </c>
      <c r="D767" s="491">
        <v>2</v>
      </c>
      <c r="E767" s="491">
        <v>0</v>
      </c>
      <c r="F767" s="491">
        <v>0</v>
      </c>
      <c r="G767" s="491">
        <f t="shared" si="11"/>
        <v>6</v>
      </c>
    </row>
    <row r="768" spans="1:7" ht="12.75">
      <c r="A768" s="134" t="s">
        <v>682</v>
      </c>
      <c r="B768" s="134">
        <v>301</v>
      </c>
      <c r="C768" s="491">
        <v>6</v>
      </c>
      <c r="D768" s="491">
        <v>0</v>
      </c>
      <c r="E768" s="491">
        <v>0</v>
      </c>
      <c r="F768" s="491">
        <v>0</v>
      </c>
      <c r="G768" s="491">
        <f t="shared" si="11"/>
        <v>6</v>
      </c>
    </row>
    <row r="769" spans="1:7" ht="12.75">
      <c r="A769" s="134" t="s">
        <v>682</v>
      </c>
      <c r="B769" s="134">
        <v>302</v>
      </c>
      <c r="C769" s="491">
        <v>3</v>
      </c>
      <c r="D769" s="491">
        <v>1</v>
      </c>
      <c r="E769" s="491">
        <v>0</v>
      </c>
      <c r="F769" s="491">
        <v>0</v>
      </c>
      <c r="G769" s="491">
        <f t="shared" si="11"/>
        <v>4</v>
      </c>
    </row>
    <row r="770" spans="1:7" ht="12.75">
      <c r="A770" s="134" t="s">
        <v>682</v>
      </c>
      <c r="B770" s="134">
        <v>303</v>
      </c>
      <c r="C770" s="491">
        <v>7</v>
      </c>
      <c r="D770" s="491">
        <v>0</v>
      </c>
      <c r="E770" s="491">
        <v>0</v>
      </c>
      <c r="F770" s="491">
        <v>0</v>
      </c>
      <c r="G770" s="491">
        <f t="shared" si="11"/>
        <v>7</v>
      </c>
    </row>
    <row r="771" spans="1:7" ht="12.75">
      <c r="A771" s="134" t="s">
        <v>682</v>
      </c>
      <c r="B771" s="134">
        <v>304</v>
      </c>
      <c r="C771" s="491">
        <v>608</v>
      </c>
      <c r="D771" s="491">
        <v>8</v>
      </c>
      <c r="E771" s="491">
        <v>0</v>
      </c>
      <c r="F771" s="491">
        <v>0</v>
      </c>
      <c r="G771" s="491">
        <f t="shared" si="11"/>
        <v>616</v>
      </c>
    </row>
    <row r="772" spans="1:7" ht="12.75">
      <c r="A772" s="134" t="s">
        <v>682</v>
      </c>
      <c r="B772" s="134">
        <v>306</v>
      </c>
      <c r="C772" s="491">
        <v>1</v>
      </c>
      <c r="D772" s="491">
        <v>0</v>
      </c>
      <c r="E772" s="491">
        <v>1</v>
      </c>
      <c r="F772" s="491">
        <v>0</v>
      </c>
      <c r="G772" s="491">
        <f t="shared" ref="G772:G835" si="12">SUM(C772:F772)</f>
        <v>2</v>
      </c>
    </row>
    <row r="773" spans="1:7" ht="12.75">
      <c r="A773" s="134" t="s">
        <v>682</v>
      </c>
      <c r="B773" s="134">
        <v>307</v>
      </c>
      <c r="C773" s="491">
        <v>6</v>
      </c>
      <c r="D773" s="491">
        <v>0</v>
      </c>
      <c r="E773" s="491">
        <v>0</v>
      </c>
      <c r="F773" s="491">
        <v>0</v>
      </c>
      <c r="G773" s="491">
        <f t="shared" si="12"/>
        <v>6</v>
      </c>
    </row>
    <row r="774" spans="1:7" ht="12.75">
      <c r="A774" s="134" t="s">
        <v>682</v>
      </c>
      <c r="B774" s="134">
        <v>310</v>
      </c>
      <c r="C774" s="491">
        <v>3</v>
      </c>
      <c r="D774" s="491">
        <v>3</v>
      </c>
      <c r="E774" s="491">
        <v>0</v>
      </c>
      <c r="F774" s="491">
        <v>0</v>
      </c>
      <c r="G774" s="491">
        <f t="shared" si="12"/>
        <v>6</v>
      </c>
    </row>
    <row r="775" spans="1:7" ht="12.75">
      <c r="A775" s="134" t="s">
        <v>682</v>
      </c>
      <c r="B775" s="134">
        <v>311</v>
      </c>
      <c r="C775" s="491">
        <v>1</v>
      </c>
      <c r="D775" s="491">
        <v>0</v>
      </c>
      <c r="E775" s="491">
        <v>1</v>
      </c>
      <c r="F775" s="491">
        <v>0</v>
      </c>
      <c r="G775" s="491">
        <f t="shared" si="12"/>
        <v>2</v>
      </c>
    </row>
    <row r="776" spans="1:7" ht="12.75">
      <c r="A776" s="134" t="s">
        <v>682</v>
      </c>
      <c r="B776" s="134">
        <v>314</v>
      </c>
      <c r="C776" s="491">
        <v>2</v>
      </c>
      <c r="D776" s="491">
        <v>1</v>
      </c>
      <c r="E776" s="491">
        <v>0</v>
      </c>
      <c r="F776" s="491">
        <v>0</v>
      </c>
      <c r="G776" s="491">
        <f t="shared" si="12"/>
        <v>3</v>
      </c>
    </row>
    <row r="777" spans="1:7" ht="12.75">
      <c r="A777" s="134" t="s">
        <v>682</v>
      </c>
      <c r="B777" s="134">
        <v>320</v>
      </c>
      <c r="C777" s="491">
        <v>14</v>
      </c>
      <c r="D777" s="491">
        <v>7</v>
      </c>
      <c r="E777" s="491">
        <v>0</v>
      </c>
      <c r="F777" s="491">
        <v>0</v>
      </c>
      <c r="G777" s="491">
        <f t="shared" si="12"/>
        <v>21</v>
      </c>
    </row>
    <row r="778" spans="1:7" ht="12.75">
      <c r="A778" s="134" t="s">
        <v>682</v>
      </c>
      <c r="B778" s="134">
        <v>324</v>
      </c>
      <c r="C778" s="491">
        <v>1</v>
      </c>
      <c r="D778" s="491">
        <v>1</v>
      </c>
      <c r="E778" s="491">
        <v>0</v>
      </c>
      <c r="F778" s="491">
        <v>0</v>
      </c>
      <c r="G778" s="491">
        <f t="shared" si="12"/>
        <v>2</v>
      </c>
    </row>
    <row r="779" spans="1:7" ht="12.75">
      <c r="A779" s="134" t="s">
        <v>682</v>
      </c>
      <c r="B779" s="134">
        <v>329</v>
      </c>
      <c r="C779" s="491">
        <v>0</v>
      </c>
      <c r="D779" s="491">
        <v>1</v>
      </c>
      <c r="E779" s="491">
        <v>0</v>
      </c>
      <c r="F779" s="491">
        <v>0</v>
      </c>
      <c r="G779" s="491">
        <f t="shared" si="12"/>
        <v>1</v>
      </c>
    </row>
    <row r="780" spans="1:7" ht="12.75">
      <c r="A780" s="134" t="s">
        <v>682</v>
      </c>
      <c r="B780" s="134">
        <v>330</v>
      </c>
      <c r="C780" s="491">
        <v>4</v>
      </c>
      <c r="D780" s="491">
        <v>3</v>
      </c>
      <c r="E780" s="491">
        <v>0</v>
      </c>
      <c r="F780" s="491">
        <v>0</v>
      </c>
      <c r="G780" s="491">
        <f t="shared" si="12"/>
        <v>7</v>
      </c>
    </row>
    <row r="781" spans="1:7" ht="12.75">
      <c r="A781" s="134" t="s">
        <v>682</v>
      </c>
      <c r="B781" s="134">
        <v>340</v>
      </c>
      <c r="C781" s="491">
        <v>4</v>
      </c>
      <c r="D781" s="491">
        <v>3</v>
      </c>
      <c r="E781" s="491">
        <v>0</v>
      </c>
      <c r="F781" s="491">
        <v>0</v>
      </c>
      <c r="G781" s="491">
        <f t="shared" si="12"/>
        <v>7</v>
      </c>
    </row>
    <row r="782" spans="1:7" ht="12.75">
      <c r="A782" s="134" t="s">
        <v>682</v>
      </c>
      <c r="B782" s="134">
        <v>361</v>
      </c>
      <c r="C782" s="491">
        <v>23</v>
      </c>
      <c r="D782" s="491">
        <v>2</v>
      </c>
      <c r="E782" s="491">
        <v>0</v>
      </c>
      <c r="F782" s="491">
        <v>0</v>
      </c>
      <c r="G782" s="491">
        <f t="shared" si="12"/>
        <v>25</v>
      </c>
    </row>
    <row r="783" spans="1:7" ht="12.75">
      <c r="A783" s="134" t="s">
        <v>682</v>
      </c>
      <c r="B783" s="134">
        <v>370</v>
      </c>
      <c r="C783" s="491">
        <v>3</v>
      </c>
      <c r="D783" s="491">
        <v>0</v>
      </c>
      <c r="E783" s="491">
        <v>0</v>
      </c>
      <c r="F783" s="491">
        <v>0</v>
      </c>
      <c r="G783" s="491">
        <f t="shared" si="12"/>
        <v>3</v>
      </c>
    </row>
    <row r="784" spans="1:7" ht="12.75">
      <c r="A784" s="134" t="s">
        <v>682</v>
      </c>
      <c r="B784" s="134">
        <v>371</v>
      </c>
      <c r="C784" s="491">
        <v>1</v>
      </c>
      <c r="D784" s="491">
        <v>0</v>
      </c>
      <c r="E784" s="491">
        <v>0</v>
      </c>
      <c r="F784" s="491">
        <v>0</v>
      </c>
      <c r="G784" s="491">
        <f t="shared" si="12"/>
        <v>1</v>
      </c>
    </row>
    <row r="785" spans="1:7" ht="12.75">
      <c r="A785" s="134" t="s">
        <v>682</v>
      </c>
      <c r="B785" s="134">
        <v>400</v>
      </c>
      <c r="C785" s="491">
        <v>78</v>
      </c>
      <c r="D785" s="491">
        <v>120</v>
      </c>
      <c r="E785" s="491">
        <v>4</v>
      </c>
      <c r="F785" s="491">
        <v>0</v>
      </c>
      <c r="G785" s="491">
        <f t="shared" si="12"/>
        <v>202</v>
      </c>
    </row>
    <row r="786" spans="1:7" ht="12.75">
      <c r="A786" s="134" t="s">
        <v>682</v>
      </c>
      <c r="B786" s="134">
        <v>410</v>
      </c>
      <c r="C786" s="491">
        <v>7</v>
      </c>
      <c r="D786" s="491">
        <v>0</v>
      </c>
      <c r="E786" s="491">
        <v>0</v>
      </c>
      <c r="F786" s="491">
        <v>0</v>
      </c>
      <c r="G786" s="491">
        <f t="shared" si="12"/>
        <v>7</v>
      </c>
    </row>
    <row r="787" spans="1:7" ht="12.75">
      <c r="A787" s="134" t="s">
        <v>682</v>
      </c>
      <c r="B787" s="134">
        <v>420</v>
      </c>
      <c r="C787" s="491">
        <v>3</v>
      </c>
      <c r="D787" s="491">
        <v>0</v>
      </c>
      <c r="E787" s="491">
        <v>0</v>
      </c>
      <c r="F787" s="491">
        <v>0</v>
      </c>
      <c r="G787" s="491">
        <f t="shared" si="12"/>
        <v>3</v>
      </c>
    </row>
    <row r="788" spans="1:7" ht="12.75">
      <c r="A788" s="134" t="s">
        <v>682</v>
      </c>
      <c r="B788" s="134">
        <v>430</v>
      </c>
      <c r="C788" s="491">
        <v>0</v>
      </c>
      <c r="D788" s="491">
        <v>1</v>
      </c>
      <c r="E788" s="491">
        <v>0</v>
      </c>
      <c r="F788" s="491">
        <v>0</v>
      </c>
      <c r="G788" s="491">
        <f t="shared" si="12"/>
        <v>1</v>
      </c>
    </row>
    <row r="789" spans="1:7" ht="12.75">
      <c r="A789" s="134" t="s">
        <v>682</v>
      </c>
      <c r="B789" s="134">
        <v>460</v>
      </c>
      <c r="C789" s="491">
        <v>10499</v>
      </c>
      <c r="D789" s="491">
        <v>1137</v>
      </c>
      <c r="E789" s="491">
        <v>5</v>
      </c>
      <c r="F789" s="491">
        <v>0</v>
      </c>
      <c r="G789" s="491">
        <f t="shared" si="12"/>
        <v>11641</v>
      </c>
    </row>
    <row r="790" spans="1:7" ht="12.75">
      <c r="A790" s="134" t="s">
        <v>682</v>
      </c>
      <c r="B790" s="134">
        <v>501</v>
      </c>
      <c r="C790" s="491">
        <v>2</v>
      </c>
      <c r="D790" s="491">
        <v>3</v>
      </c>
      <c r="E790" s="491">
        <v>0</v>
      </c>
      <c r="F790" s="491">
        <v>0</v>
      </c>
      <c r="G790" s="491">
        <f t="shared" si="12"/>
        <v>5</v>
      </c>
    </row>
    <row r="791" spans="1:7" ht="12.75">
      <c r="A791" s="134" t="s">
        <v>682</v>
      </c>
      <c r="B791" s="134">
        <v>502</v>
      </c>
      <c r="C791" s="491">
        <v>2</v>
      </c>
      <c r="D791" s="491">
        <v>4</v>
      </c>
      <c r="E791" s="491">
        <v>0</v>
      </c>
      <c r="F791" s="491">
        <v>0</v>
      </c>
      <c r="G791" s="491">
        <f t="shared" si="12"/>
        <v>6</v>
      </c>
    </row>
    <row r="792" spans="1:7" ht="12.75">
      <c r="A792" s="134" t="s">
        <v>682</v>
      </c>
      <c r="B792" s="134">
        <v>560</v>
      </c>
      <c r="C792" s="491">
        <v>2</v>
      </c>
      <c r="D792" s="491">
        <v>3</v>
      </c>
      <c r="E792" s="491">
        <v>0</v>
      </c>
      <c r="F792" s="491">
        <v>0</v>
      </c>
      <c r="G792" s="491">
        <f t="shared" si="12"/>
        <v>5</v>
      </c>
    </row>
    <row r="793" spans="1:7" ht="12.75">
      <c r="A793" s="134" t="s">
        <v>682</v>
      </c>
      <c r="B793" s="134">
        <v>654</v>
      </c>
      <c r="C793" s="491">
        <v>2</v>
      </c>
      <c r="D793" s="491">
        <v>0</v>
      </c>
      <c r="E793" s="491">
        <v>0</v>
      </c>
      <c r="F793" s="491">
        <v>0</v>
      </c>
      <c r="G793" s="491">
        <f t="shared" si="12"/>
        <v>2</v>
      </c>
    </row>
    <row r="794" spans="1:7" ht="12.75">
      <c r="A794" s="134" t="s">
        <v>682</v>
      </c>
      <c r="B794" s="134">
        <v>655</v>
      </c>
      <c r="C794" s="491">
        <v>179</v>
      </c>
      <c r="D794" s="491">
        <v>19</v>
      </c>
      <c r="E794" s="491">
        <v>0</v>
      </c>
      <c r="F794" s="491">
        <v>0</v>
      </c>
      <c r="G794" s="491">
        <f t="shared" si="12"/>
        <v>198</v>
      </c>
    </row>
    <row r="795" spans="1:7" ht="12.75">
      <c r="A795" s="134" t="s">
        <v>682</v>
      </c>
      <c r="B795" s="134">
        <v>658</v>
      </c>
      <c r="C795" s="491">
        <v>2</v>
      </c>
      <c r="D795" s="491">
        <v>0</v>
      </c>
      <c r="E795" s="491">
        <v>0</v>
      </c>
      <c r="F795" s="491">
        <v>0</v>
      </c>
      <c r="G795" s="491">
        <f t="shared" si="12"/>
        <v>2</v>
      </c>
    </row>
    <row r="796" spans="1:7" ht="12.75">
      <c r="A796" s="134" t="s">
        <v>682</v>
      </c>
      <c r="B796" s="134">
        <v>662</v>
      </c>
      <c r="C796" s="491">
        <v>30</v>
      </c>
      <c r="D796" s="491">
        <v>124</v>
      </c>
      <c r="E796" s="491">
        <v>0</v>
      </c>
      <c r="F796" s="491">
        <v>0</v>
      </c>
      <c r="G796" s="491">
        <f t="shared" si="12"/>
        <v>154</v>
      </c>
    </row>
    <row r="797" spans="1:7" ht="12.75">
      <c r="A797" s="134" t="s">
        <v>682</v>
      </c>
      <c r="B797" s="134">
        <v>800</v>
      </c>
      <c r="C797" s="491">
        <v>6</v>
      </c>
      <c r="D797" s="491">
        <v>0</v>
      </c>
      <c r="E797" s="491">
        <v>0</v>
      </c>
      <c r="F797" s="491">
        <v>0</v>
      </c>
      <c r="G797" s="491">
        <f t="shared" si="12"/>
        <v>6</v>
      </c>
    </row>
    <row r="798" spans="1:7" ht="12.75">
      <c r="A798" s="134" t="s">
        <v>682</v>
      </c>
      <c r="B798" s="134">
        <v>840</v>
      </c>
      <c r="C798" s="491">
        <v>0</v>
      </c>
      <c r="D798" s="491">
        <v>1</v>
      </c>
      <c r="E798" s="491">
        <v>0</v>
      </c>
      <c r="F798" s="491">
        <v>0</v>
      </c>
      <c r="G798" s="491">
        <f t="shared" si="12"/>
        <v>1</v>
      </c>
    </row>
    <row r="799" spans="1:7" ht="12.75">
      <c r="A799" s="134" t="s">
        <v>492</v>
      </c>
      <c r="B799" s="134">
        <v>100</v>
      </c>
      <c r="C799" s="491">
        <v>14</v>
      </c>
      <c r="D799" s="491">
        <v>11</v>
      </c>
      <c r="E799" s="491">
        <v>0</v>
      </c>
      <c r="F799" s="491">
        <v>0</v>
      </c>
      <c r="G799" s="491">
        <f t="shared" si="12"/>
        <v>25</v>
      </c>
    </row>
    <row r="800" spans="1:7" ht="12.75">
      <c r="A800" s="134" t="s">
        <v>492</v>
      </c>
      <c r="B800" s="134">
        <v>101</v>
      </c>
      <c r="C800" s="491">
        <v>19</v>
      </c>
      <c r="D800" s="491">
        <v>10</v>
      </c>
      <c r="E800" s="491">
        <v>3</v>
      </c>
      <c r="F800" s="491">
        <v>0</v>
      </c>
      <c r="G800" s="491">
        <f t="shared" si="12"/>
        <v>32</v>
      </c>
    </row>
    <row r="801" spans="1:7" ht="12.75">
      <c r="A801" s="134" t="s">
        <v>492</v>
      </c>
      <c r="B801" s="134">
        <v>102</v>
      </c>
      <c r="C801" s="491">
        <v>1</v>
      </c>
      <c r="D801" s="491">
        <v>0</v>
      </c>
      <c r="E801" s="491">
        <v>0</v>
      </c>
      <c r="F801" s="491">
        <v>0</v>
      </c>
      <c r="G801" s="491">
        <f t="shared" si="12"/>
        <v>1</v>
      </c>
    </row>
    <row r="802" spans="1:7" ht="12.75">
      <c r="A802" s="134" t="s">
        <v>492</v>
      </c>
      <c r="B802" s="134">
        <v>103</v>
      </c>
      <c r="C802" s="491">
        <v>4</v>
      </c>
      <c r="D802" s="491">
        <v>4</v>
      </c>
      <c r="E802" s="491">
        <v>0</v>
      </c>
      <c r="F802" s="491">
        <v>0</v>
      </c>
      <c r="G802" s="491">
        <f t="shared" si="12"/>
        <v>8</v>
      </c>
    </row>
    <row r="803" spans="1:7" ht="12.75">
      <c r="A803" s="134" t="s">
        <v>492</v>
      </c>
      <c r="B803" s="134">
        <v>104</v>
      </c>
      <c r="C803" s="491">
        <v>13</v>
      </c>
      <c r="D803" s="491">
        <v>7</v>
      </c>
      <c r="E803" s="491">
        <v>0</v>
      </c>
      <c r="F803" s="491">
        <v>0</v>
      </c>
      <c r="G803" s="491">
        <f t="shared" si="12"/>
        <v>20</v>
      </c>
    </row>
    <row r="804" spans="1:7" ht="12.75">
      <c r="A804" s="134" t="s">
        <v>492</v>
      </c>
      <c r="B804" s="134">
        <v>107</v>
      </c>
      <c r="C804" s="491">
        <v>7</v>
      </c>
      <c r="D804" s="491">
        <v>5</v>
      </c>
      <c r="E804" s="491">
        <v>0</v>
      </c>
      <c r="F804" s="491">
        <v>0</v>
      </c>
      <c r="G804" s="491">
        <f t="shared" si="12"/>
        <v>12</v>
      </c>
    </row>
    <row r="805" spans="1:7" ht="12.75">
      <c r="A805" s="134" t="s">
        <v>492</v>
      </c>
      <c r="B805" s="134">
        <v>110</v>
      </c>
      <c r="C805" s="491">
        <v>55</v>
      </c>
      <c r="D805" s="491">
        <v>29</v>
      </c>
      <c r="E805" s="491">
        <v>2</v>
      </c>
      <c r="F805" s="491">
        <v>0</v>
      </c>
      <c r="G805" s="491">
        <f t="shared" si="12"/>
        <v>86</v>
      </c>
    </row>
    <row r="806" spans="1:7" ht="12.75">
      <c r="A806" s="134" t="s">
        <v>492</v>
      </c>
      <c r="B806" s="134">
        <v>120</v>
      </c>
      <c r="C806" s="491">
        <v>36</v>
      </c>
      <c r="D806" s="491">
        <v>21</v>
      </c>
      <c r="E806" s="491">
        <v>7</v>
      </c>
      <c r="F806" s="491">
        <v>2</v>
      </c>
      <c r="G806" s="491">
        <f t="shared" si="12"/>
        <v>66</v>
      </c>
    </row>
    <row r="807" spans="1:7" ht="12.75">
      <c r="A807" s="134" t="s">
        <v>492</v>
      </c>
      <c r="B807" s="134">
        <v>130</v>
      </c>
      <c r="C807" s="491">
        <v>816339</v>
      </c>
      <c r="D807" s="491">
        <v>168906</v>
      </c>
      <c r="E807" s="491">
        <v>58459</v>
      </c>
      <c r="F807" s="491">
        <v>10820</v>
      </c>
      <c r="G807" s="491">
        <f t="shared" si="12"/>
        <v>1054524</v>
      </c>
    </row>
    <row r="808" spans="1:7" ht="12.75">
      <c r="A808" s="134" t="s">
        <v>492</v>
      </c>
      <c r="B808" s="134">
        <v>140</v>
      </c>
      <c r="C808" s="491">
        <v>7</v>
      </c>
      <c r="D808" s="491">
        <v>14</v>
      </c>
      <c r="E808" s="491">
        <v>0</v>
      </c>
      <c r="F808" s="491">
        <v>0</v>
      </c>
      <c r="G808" s="491">
        <f t="shared" si="12"/>
        <v>21</v>
      </c>
    </row>
    <row r="809" spans="1:7" ht="12.75">
      <c r="A809" s="134" t="s">
        <v>492</v>
      </c>
      <c r="B809" s="134">
        <v>141</v>
      </c>
      <c r="C809" s="491">
        <v>5</v>
      </c>
      <c r="D809" s="491">
        <v>0</v>
      </c>
      <c r="E809" s="491">
        <v>0</v>
      </c>
      <c r="F809" s="491">
        <v>0</v>
      </c>
      <c r="G809" s="491">
        <f t="shared" si="12"/>
        <v>5</v>
      </c>
    </row>
    <row r="810" spans="1:7" ht="12.75">
      <c r="A810" s="134" t="s">
        <v>492</v>
      </c>
      <c r="B810" s="134">
        <v>143</v>
      </c>
      <c r="C810" s="491">
        <v>25</v>
      </c>
      <c r="D810" s="491">
        <v>0</v>
      </c>
      <c r="E810" s="491">
        <v>0</v>
      </c>
      <c r="F810" s="491">
        <v>0</v>
      </c>
      <c r="G810" s="491">
        <f t="shared" si="12"/>
        <v>25</v>
      </c>
    </row>
    <row r="811" spans="1:7" ht="12.75">
      <c r="A811" s="134" t="s">
        <v>492</v>
      </c>
      <c r="B811" s="134">
        <v>144</v>
      </c>
      <c r="C811" s="491">
        <v>3</v>
      </c>
      <c r="D811" s="491">
        <v>3</v>
      </c>
      <c r="E811" s="491">
        <v>0</v>
      </c>
      <c r="F811" s="491">
        <v>0</v>
      </c>
      <c r="G811" s="491">
        <f t="shared" si="12"/>
        <v>6</v>
      </c>
    </row>
    <row r="812" spans="1:7" ht="12.75">
      <c r="A812" s="134" t="s">
        <v>492</v>
      </c>
      <c r="B812" s="134">
        <v>150</v>
      </c>
      <c r="C812" s="491">
        <v>2</v>
      </c>
      <c r="D812" s="491">
        <v>3</v>
      </c>
      <c r="E812" s="491">
        <v>0</v>
      </c>
      <c r="F812" s="491">
        <v>0</v>
      </c>
      <c r="G812" s="491">
        <f t="shared" si="12"/>
        <v>5</v>
      </c>
    </row>
    <row r="813" spans="1:7" ht="12.75">
      <c r="A813" s="134" t="s">
        <v>492</v>
      </c>
      <c r="B813" s="134">
        <v>160</v>
      </c>
      <c r="C813" s="491">
        <v>7</v>
      </c>
      <c r="D813" s="491">
        <v>0</v>
      </c>
      <c r="E813" s="491">
        <v>0</v>
      </c>
      <c r="F813" s="491">
        <v>0</v>
      </c>
      <c r="G813" s="491">
        <f t="shared" si="12"/>
        <v>7</v>
      </c>
    </row>
    <row r="814" spans="1:7" ht="12.75">
      <c r="A814" s="134" t="s">
        <v>492</v>
      </c>
      <c r="B814" s="134">
        <v>171</v>
      </c>
      <c r="C814" s="491">
        <v>3</v>
      </c>
      <c r="D814" s="491">
        <v>4</v>
      </c>
      <c r="E814" s="491">
        <v>0</v>
      </c>
      <c r="F814" s="491">
        <v>0</v>
      </c>
      <c r="G814" s="491">
        <f t="shared" si="12"/>
        <v>7</v>
      </c>
    </row>
    <row r="815" spans="1:7" ht="12.75">
      <c r="A815" s="134" t="s">
        <v>492</v>
      </c>
      <c r="B815" s="134">
        <v>180</v>
      </c>
      <c r="C815" s="491">
        <v>5</v>
      </c>
      <c r="D815" s="491">
        <v>2</v>
      </c>
      <c r="E815" s="491">
        <v>0</v>
      </c>
      <c r="F815" s="491">
        <v>0</v>
      </c>
      <c r="G815" s="491">
        <f t="shared" si="12"/>
        <v>7</v>
      </c>
    </row>
    <row r="816" spans="1:7" ht="12.75">
      <c r="A816" s="134" t="s">
        <v>492</v>
      </c>
      <c r="B816" s="134">
        <v>190</v>
      </c>
      <c r="C816" s="491">
        <v>4</v>
      </c>
      <c r="D816" s="491">
        <v>455</v>
      </c>
      <c r="E816" s="491">
        <v>0</v>
      </c>
      <c r="F816" s="491">
        <v>0</v>
      </c>
      <c r="G816" s="491">
        <f t="shared" si="12"/>
        <v>459</v>
      </c>
    </row>
    <row r="817" spans="1:7" ht="12.75">
      <c r="A817" s="134" t="s">
        <v>492</v>
      </c>
      <c r="B817" s="134">
        <v>191</v>
      </c>
      <c r="C817" s="491">
        <v>22</v>
      </c>
      <c r="D817" s="491">
        <v>3</v>
      </c>
      <c r="E817" s="491">
        <v>0</v>
      </c>
      <c r="F817" s="491">
        <v>0</v>
      </c>
      <c r="G817" s="491">
        <f t="shared" si="12"/>
        <v>25</v>
      </c>
    </row>
    <row r="818" spans="1:7" ht="12.75">
      <c r="A818" s="134" t="s">
        <v>492</v>
      </c>
      <c r="B818" s="134">
        <v>211</v>
      </c>
      <c r="C818" s="491">
        <v>1</v>
      </c>
      <c r="D818" s="491">
        <v>0</v>
      </c>
      <c r="E818" s="491">
        <v>0</v>
      </c>
      <c r="F818" s="491">
        <v>0</v>
      </c>
      <c r="G818" s="491">
        <f t="shared" si="12"/>
        <v>1</v>
      </c>
    </row>
    <row r="819" spans="1:7" ht="12.75">
      <c r="A819" s="134" t="s">
        <v>492</v>
      </c>
      <c r="B819" s="134">
        <v>214</v>
      </c>
      <c r="C819" s="491">
        <v>2</v>
      </c>
      <c r="D819" s="491">
        <v>3</v>
      </c>
      <c r="E819" s="491">
        <v>0</v>
      </c>
      <c r="F819" s="491">
        <v>0</v>
      </c>
      <c r="G819" s="491">
        <f t="shared" si="12"/>
        <v>5</v>
      </c>
    </row>
    <row r="820" spans="1:7" ht="12.75">
      <c r="A820" s="134" t="s">
        <v>492</v>
      </c>
      <c r="B820" s="134">
        <v>215</v>
      </c>
      <c r="C820" s="491">
        <v>2</v>
      </c>
      <c r="D820" s="491">
        <v>0</v>
      </c>
      <c r="E820" s="491">
        <v>0</v>
      </c>
      <c r="F820" s="491">
        <v>0</v>
      </c>
      <c r="G820" s="491">
        <f t="shared" si="12"/>
        <v>2</v>
      </c>
    </row>
    <row r="821" spans="1:7" ht="12.75">
      <c r="A821" s="134" t="s">
        <v>492</v>
      </c>
      <c r="B821" s="134">
        <v>216</v>
      </c>
      <c r="C821" s="491">
        <v>4201</v>
      </c>
      <c r="D821" s="491">
        <v>1136</v>
      </c>
      <c r="E821" s="491">
        <v>775</v>
      </c>
      <c r="F821" s="491">
        <v>342</v>
      </c>
      <c r="G821" s="491">
        <f t="shared" si="12"/>
        <v>6454</v>
      </c>
    </row>
    <row r="822" spans="1:7" ht="12.75">
      <c r="A822" s="134" t="s">
        <v>492</v>
      </c>
      <c r="B822" s="134">
        <v>217</v>
      </c>
      <c r="C822" s="491">
        <v>1</v>
      </c>
      <c r="D822" s="491">
        <v>1</v>
      </c>
      <c r="E822" s="491">
        <v>0</v>
      </c>
      <c r="F822" s="491">
        <v>0</v>
      </c>
      <c r="G822" s="491">
        <f t="shared" si="12"/>
        <v>2</v>
      </c>
    </row>
    <row r="823" spans="1:7" ht="12.75">
      <c r="A823" s="134" t="s">
        <v>492</v>
      </c>
      <c r="B823" s="134">
        <v>255</v>
      </c>
      <c r="C823" s="491">
        <v>1</v>
      </c>
      <c r="D823" s="491">
        <v>0</v>
      </c>
      <c r="E823" s="491">
        <v>0</v>
      </c>
      <c r="F823" s="491">
        <v>0</v>
      </c>
      <c r="G823" s="491">
        <f t="shared" si="12"/>
        <v>1</v>
      </c>
    </row>
    <row r="824" spans="1:7" ht="12.75">
      <c r="A824" s="134" t="s">
        <v>492</v>
      </c>
      <c r="B824" s="134">
        <v>257</v>
      </c>
      <c r="C824" s="491">
        <v>6</v>
      </c>
      <c r="D824" s="491">
        <v>0</v>
      </c>
      <c r="E824" s="491">
        <v>0</v>
      </c>
      <c r="F824" s="491">
        <v>0</v>
      </c>
      <c r="G824" s="491">
        <f t="shared" si="12"/>
        <v>6</v>
      </c>
    </row>
    <row r="825" spans="1:7" ht="12.75">
      <c r="A825" s="134" t="s">
        <v>492</v>
      </c>
      <c r="B825" s="134">
        <v>258</v>
      </c>
      <c r="C825" s="491">
        <v>0</v>
      </c>
      <c r="D825" s="491">
        <v>0</v>
      </c>
      <c r="E825" s="491">
        <v>1</v>
      </c>
      <c r="F825" s="491">
        <v>0</v>
      </c>
      <c r="G825" s="491">
        <f t="shared" si="12"/>
        <v>1</v>
      </c>
    </row>
    <row r="826" spans="1:7" ht="12.75">
      <c r="A826" s="134" t="s">
        <v>492</v>
      </c>
      <c r="B826" s="134">
        <v>260</v>
      </c>
      <c r="C826" s="491">
        <v>2</v>
      </c>
      <c r="D826" s="491">
        <v>0</v>
      </c>
      <c r="E826" s="491">
        <v>0</v>
      </c>
      <c r="F826" s="491">
        <v>0</v>
      </c>
      <c r="G826" s="491">
        <f t="shared" si="12"/>
        <v>2</v>
      </c>
    </row>
    <row r="827" spans="1:7" ht="12.75">
      <c r="A827" s="134" t="s">
        <v>492</v>
      </c>
      <c r="B827" s="134">
        <v>262</v>
      </c>
      <c r="C827" s="491">
        <v>1</v>
      </c>
      <c r="D827" s="491">
        <v>0</v>
      </c>
      <c r="E827" s="491">
        <v>0</v>
      </c>
      <c r="F827" s="491">
        <v>0</v>
      </c>
      <c r="G827" s="491">
        <f t="shared" si="12"/>
        <v>1</v>
      </c>
    </row>
    <row r="828" spans="1:7" ht="12.75">
      <c r="A828" s="134" t="s">
        <v>492</v>
      </c>
      <c r="B828" s="134">
        <v>263</v>
      </c>
      <c r="C828" s="491">
        <v>2</v>
      </c>
      <c r="D828" s="491">
        <v>0</v>
      </c>
      <c r="E828" s="491">
        <v>0</v>
      </c>
      <c r="F828" s="491">
        <v>0</v>
      </c>
      <c r="G828" s="491">
        <f t="shared" si="12"/>
        <v>2</v>
      </c>
    </row>
    <row r="829" spans="1:7" ht="12.75">
      <c r="A829" s="134" t="s">
        <v>492</v>
      </c>
      <c r="B829" s="134">
        <v>291</v>
      </c>
      <c r="C829" s="491">
        <v>1</v>
      </c>
      <c r="D829" s="491">
        <v>1</v>
      </c>
      <c r="E829" s="491">
        <v>0</v>
      </c>
      <c r="F829" s="491">
        <v>0</v>
      </c>
      <c r="G829" s="491">
        <f t="shared" si="12"/>
        <v>2</v>
      </c>
    </row>
    <row r="830" spans="1:7" ht="12.75">
      <c r="A830" s="134" t="s">
        <v>492</v>
      </c>
      <c r="B830" s="134">
        <v>300</v>
      </c>
      <c r="C830" s="491">
        <v>38</v>
      </c>
      <c r="D830" s="491">
        <v>18</v>
      </c>
      <c r="E830" s="491">
        <v>0</v>
      </c>
      <c r="F830" s="491">
        <v>1</v>
      </c>
      <c r="G830" s="491">
        <f t="shared" si="12"/>
        <v>57</v>
      </c>
    </row>
    <row r="831" spans="1:7" ht="12.75">
      <c r="A831" s="134" t="s">
        <v>492</v>
      </c>
      <c r="B831" s="134">
        <v>301</v>
      </c>
      <c r="C831" s="491">
        <v>24</v>
      </c>
      <c r="D831" s="491">
        <v>10</v>
      </c>
      <c r="E831" s="491">
        <v>0</v>
      </c>
      <c r="F831" s="491">
        <v>0</v>
      </c>
      <c r="G831" s="491">
        <f t="shared" si="12"/>
        <v>34</v>
      </c>
    </row>
    <row r="832" spans="1:7" ht="12.75">
      <c r="A832" s="134" t="s">
        <v>492</v>
      </c>
      <c r="B832" s="134">
        <v>302</v>
      </c>
      <c r="C832" s="491">
        <v>17</v>
      </c>
      <c r="D832" s="491">
        <v>8</v>
      </c>
      <c r="E832" s="491">
        <v>0</v>
      </c>
      <c r="F832" s="491">
        <v>0</v>
      </c>
      <c r="G832" s="491">
        <f t="shared" si="12"/>
        <v>25</v>
      </c>
    </row>
    <row r="833" spans="1:7" ht="12.75">
      <c r="A833" s="134" t="s">
        <v>492</v>
      </c>
      <c r="B833" s="134">
        <v>303</v>
      </c>
      <c r="C833" s="491">
        <v>42</v>
      </c>
      <c r="D833" s="491">
        <v>5</v>
      </c>
      <c r="E833" s="491">
        <v>0</v>
      </c>
      <c r="F833" s="491">
        <v>0</v>
      </c>
      <c r="G833" s="491">
        <f t="shared" si="12"/>
        <v>47</v>
      </c>
    </row>
    <row r="834" spans="1:7" ht="12.75">
      <c r="A834" s="134" t="s">
        <v>492</v>
      </c>
      <c r="B834" s="134">
        <v>304</v>
      </c>
      <c r="C834" s="491">
        <v>8773</v>
      </c>
      <c r="D834" s="491">
        <v>475</v>
      </c>
      <c r="E834" s="491">
        <v>2</v>
      </c>
      <c r="F834" s="491">
        <v>0</v>
      </c>
      <c r="G834" s="491">
        <f t="shared" si="12"/>
        <v>9250</v>
      </c>
    </row>
    <row r="835" spans="1:7" ht="12.75">
      <c r="A835" s="134" t="s">
        <v>492</v>
      </c>
      <c r="B835" s="134">
        <v>306</v>
      </c>
      <c r="C835" s="491">
        <v>0</v>
      </c>
      <c r="D835" s="491">
        <v>1</v>
      </c>
      <c r="E835" s="491">
        <v>0</v>
      </c>
      <c r="F835" s="491">
        <v>0</v>
      </c>
      <c r="G835" s="491">
        <f t="shared" si="12"/>
        <v>1</v>
      </c>
    </row>
    <row r="836" spans="1:7" ht="12.75">
      <c r="A836" s="134" t="s">
        <v>492</v>
      </c>
      <c r="B836" s="134">
        <v>307</v>
      </c>
      <c r="C836" s="491">
        <v>206</v>
      </c>
      <c r="D836" s="491">
        <v>59</v>
      </c>
      <c r="E836" s="491">
        <v>4</v>
      </c>
      <c r="F836" s="491">
        <v>4</v>
      </c>
      <c r="G836" s="491">
        <f t="shared" ref="G836:G899" si="13">SUM(C836:F836)</f>
        <v>273</v>
      </c>
    </row>
    <row r="837" spans="1:7" ht="12.75">
      <c r="A837" s="134" t="s">
        <v>492</v>
      </c>
      <c r="B837" s="134">
        <v>310</v>
      </c>
      <c r="C837" s="491">
        <v>5</v>
      </c>
      <c r="D837" s="491">
        <v>5</v>
      </c>
      <c r="E837" s="491">
        <v>0</v>
      </c>
      <c r="F837" s="491">
        <v>0</v>
      </c>
      <c r="G837" s="491">
        <f t="shared" si="13"/>
        <v>10</v>
      </c>
    </row>
    <row r="838" spans="1:7" ht="12.75">
      <c r="A838" s="134" t="s">
        <v>492</v>
      </c>
      <c r="B838" s="134">
        <v>311</v>
      </c>
      <c r="C838" s="491">
        <v>1</v>
      </c>
      <c r="D838" s="491">
        <v>1</v>
      </c>
      <c r="E838" s="491">
        <v>0</v>
      </c>
      <c r="F838" s="491">
        <v>0</v>
      </c>
      <c r="G838" s="491">
        <f t="shared" si="13"/>
        <v>2</v>
      </c>
    </row>
    <row r="839" spans="1:7" ht="12.75">
      <c r="A839" s="134" t="s">
        <v>492</v>
      </c>
      <c r="B839" s="134">
        <v>314</v>
      </c>
      <c r="C839" s="491">
        <v>7</v>
      </c>
      <c r="D839" s="491">
        <v>1</v>
      </c>
      <c r="E839" s="491">
        <v>0</v>
      </c>
      <c r="F839" s="491">
        <v>0</v>
      </c>
      <c r="G839" s="491">
        <f t="shared" si="13"/>
        <v>8</v>
      </c>
    </row>
    <row r="840" spans="1:7" ht="12.75">
      <c r="A840" s="134" t="s">
        <v>492</v>
      </c>
      <c r="B840" s="134">
        <v>316</v>
      </c>
      <c r="C840" s="491">
        <v>1</v>
      </c>
      <c r="D840" s="491">
        <v>0</v>
      </c>
      <c r="E840" s="491">
        <v>0</v>
      </c>
      <c r="F840" s="491">
        <v>0</v>
      </c>
      <c r="G840" s="491">
        <f t="shared" si="13"/>
        <v>1</v>
      </c>
    </row>
    <row r="841" spans="1:7" ht="12.75">
      <c r="A841" s="134" t="s">
        <v>492</v>
      </c>
      <c r="B841" s="134">
        <v>320</v>
      </c>
      <c r="C841" s="491">
        <v>43</v>
      </c>
      <c r="D841" s="491">
        <v>35</v>
      </c>
      <c r="E841" s="491">
        <v>1</v>
      </c>
      <c r="F841" s="491">
        <v>0</v>
      </c>
      <c r="G841" s="491">
        <f t="shared" si="13"/>
        <v>79</v>
      </c>
    </row>
    <row r="842" spans="1:7" ht="12.75">
      <c r="A842" s="134" t="s">
        <v>492</v>
      </c>
      <c r="B842" s="134">
        <v>321</v>
      </c>
      <c r="C842" s="491">
        <v>1</v>
      </c>
      <c r="D842" s="491">
        <v>8</v>
      </c>
      <c r="E842" s="491">
        <v>0</v>
      </c>
      <c r="F842" s="491">
        <v>0</v>
      </c>
      <c r="G842" s="491">
        <f t="shared" si="13"/>
        <v>9</v>
      </c>
    </row>
    <row r="843" spans="1:7" ht="12.75">
      <c r="A843" s="134" t="s">
        <v>492</v>
      </c>
      <c r="B843" s="134">
        <v>324</v>
      </c>
      <c r="C843" s="491">
        <v>10</v>
      </c>
      <c r="D843" s="491">
        <v>0</v>
      </c>
      <c r="E843" s="491">
        <v>0</v>
      </c>
      <c r="F843" s="491">
        <v>0</v>
      </c>
      <c r="G843" s="491">
        <f t="shared" si="13"/>
        <v>10</v>
      </c>
    </row>
    <row r="844" spans="1:7" ht="12.75">
      <c r="A844" s="134" t="s">
        <v>492</v>
      </c>
      <c r="B844" s="134">
        <v>328</v>
      </c>
      <c r="C844" s="491">
        <v>0</v>
      </c>
      <c r="D844" s="491">
        <v>1</v>
      </c>
      <c r="E844" s="491">
        <v>0</v>
      </c>
      <c r="F844" s="491">
        <v>0</v>
      </c>
      <c r="G844" s="491">
        <f t="shared" si="13"/>
        <v>1</v>
      </c>
    </row>
    <row r="845" spans="1:7" ht="12.75">
      <c r="A845" s="134" t="s">
        <v>492</v>
      </c>
      <c r="B845" s="134">
        <v>329</v>
      </c>
      <c r="C845" s="491">
        <v>0</v>
      </c>
      <c r="D845" s="491">
        <v>4</v>
      </c>
      <c r="E845" s="491">
        <v>0</v>
      </c>
      <c r="F845" s="491">
        <v>0</v>
      </c>
      <c r="G845" s="491">
        <f t="shared" si="13"/>
        <v>4</v>
      </c>
    </row>
    <row r="846" spans="1:7" ht="12.75">
      <c r="A846" s="134" t="s">
        <v>492</v>
      </c>
      <c r="B846" s="134">
        <v>330</v>
      </c>
      <c r="C846" s="491">
        <v>49</v>
      </c>
      <c r="D846" s="491">
        <v>8</v>
      </c>
      <c r="E846" s="491">
        <v>0</v>
      </c>
      <c r="F846" s="491">
        <v>0</v>
      </c>
      <c r="G846" s="491">
        <f t="shared" si="13"/>
        <v>57</v>
      </c>
    </row>
    <row r="847" spans="1:7" ht="12.75">
      <c r="A847" s="134" t="s">
        <v>492</v>
      </c>
      <c r="B847" s="134">
        <v>340</v>
      </c>
      <c r="C847" s="491">
        <v>25</v>
      </c>
      <c r="D847" s="491">
        <v>16</v>
      </c>
      <c r="E847" s="491">
        <v>1</v>
      </c>
      <c r="F847" s="491">
        <v>0</v>
      </c>
      <c r="G847" s="491">
        <f t="shared" si="13"/>
        <v>42</v>
      </c>
    </row>
    <row r="848" spans="1:7" ht="12.75">
      <c r="A848" s="134" t="s">
        <v>492</v>
      </c>
      <c r="B848" s="134">
        <v>341</v>
      </c>
      <c r="C848" s="491">
        <v>1</v>
      </c>
      <c r="D848" s="491">
        <v>0</v>
      </c>
      <c r="E848" s="491">
        <v>0</v>
      </c>
      <c r="F848" s="491">
        <v>0</v>
      </c>
      <c r="G848" s="491">
        <f t="shared" si="13"/>
        <v>1</v>
      </c>
    </row>
    <row r="849" spans="1:7" ht="12.75">
      <c r="A849" s="134" t="s">
        <v>492</v>
      </c>
      <c r="B849" s="134">
        <v>343</v>
      </c>
      <c r="C849" s="491">
        <v>2</v>
      </c>
      <c r="D849" s="491">
        <v>0</v>
      </c>
      <c r="E849" s="491">
        <v>0</v>
      </c>
      <c r="F849" s="491">
        <v>0</v>
      </c>
      <c r="G849" s="491">
        <f t="shared" si="13"/>
        <v>2</v>
      </c>
    </row>
    <row r="850" spans="1:7" ht="12.75">
      <c r="A850" s="134" t="s">
        <v>492</v>
      </c>
      <c r="B850" s="134">
        <v>350</v>
      </c>
      <c r="C850" s="491">
        <v>6</v>
      </c>
      <c r="D850" s="491">
        <v>0</v>
      </c>
      <c r="E850" s="491">
        <v>0</v>
      </c>
      <c r="F850" s="491">
        <v>0</v>
      </c>
      <c r="G850" s="491">
        <f t="shared" si="13"/>
        <v>6</v>
      </c>
    </row>
    <row r="851" spans="1:7" ht="12.75">
      <c r="A851" s="134" t="s">
        <v>492</v>
      </c>
      <c r="B851" s="134">
        <v>361</v>
      </c>
      <c r="C851" s="491">
        <v>10</v>
      </c>
      <c r="D851" s="491">
        <v>2</v>
      </c>
      <c r="E851" s="491">
        <v>1</v>
      </c>
      <c r="F851" s="491">
        <v>0</v>
      </c>
      <c r="G851" s="491">
        <f t="shared" si="13"/>
        <v>13</v>
      </c>
    </row>
    <row r="852" spans="1:7" ht="12.75">
      <c r="A852" s="134" t="s">
        <v>492</v>
      </c>
      <c r="B852" s="134">
        <v>370</v>
      </c>
      <c r="C852" s="491">
        <v>13</v>
      </c>
      <c r="D852" s="491">
        <v>1</v>
      </c>
      <c r="E852" s="491">
        <v>0</v>
      </c>
      <c r="F852" s="491">
        <v>0</v>
      </c>
      <c r="G852" s="491">
        <f t="shared" si="13"/>
        <v>14</v>
      </c>
    </row>
    <row r="853" spans="1:7" ht="12.75">
      <c r="A853" s="134" t="s">
        <v>492</v>
      </c>
      <c r="B853" s="134">
        <v>400</v>
      </c>
      <c r="C853" s="491">
        <v>233</v>
      </c>
      <c r="D853" s="491">
        <v>154</v>
      </c>
      <c r="E853" s="491">
        <v>6</v>
      </c>
      <c r="F853" s="491">
        <v>0</v>
      </c>
      <c r="G853" s="491">
        <f t="shared" si="13"/>
        <v>393</v>
      </c>
    </row>
    <row r="854" spans="1:7" ht="12.75">
      <c r="A854" s="134" t="s">
        <v>492</v>
      </c>
      <c r="B854" s="134">
        <v>401</v>
      </c>
      <c r="C854" s="491">
        <v>5</v>
      </c>
      <c r="D854" s="491">
        <v>78</v>
      </c>
      <c r="E854" s="491">
        <v>0</v>
      </c>
      <c r="F854" s="491">
        <v>0</v>
      </c>
      <c r="G854" s="491">
        <f t="shared" si="13"/>
        <v>83</v>
      </c>
    </row>
    <row r="855" spans="1:7" ht="12.75">
      <c r="A855" s="134" t="s">
        <v>492</v>
      </c>
      <c r="B855" s="134">
        <v>410</v>
      </c>
      <c r="C855" s="491">
        <v>25</v>
      </c>
      <c r="D855" s="491">
        <v>15</v>
      </c>
      <c r="E855" s="491">
        <v>0</v>
      </c>
      <c r="F855" s="491">
        <v>0</v>
      </c>
      <c r="G855" s="491">
        <f t="shared" si="13"/>
        <v>40</v>
      </c>
    </row>
    <row r="856" spans="1:7" ht="12.75">
      <c r="A856" s="134" t="s">
        <v>492</v>
      </c>
      <c r="B856" s="134">
        <v>420</v>
      </c>
      <c r="C856" s="491">
        <v>25</v>
      </c>
      <c r="D856" s="491">
        <v>16</v>
      </c>
      <c r="E856" s="491">
        <v>0</v>
      </c>
      <c r="F856" s="491">
        <v>0</v>
      </c>
      <c r="G856" s="491">
        <f t="shared" si="13"/>
        <v>41</v>
      </c>
    </row>
    <row r="857" spans="1:7" ht="12.75">
      <c r="A857" s="134" t="s">
        <v>492</v>
      </c>
      <c r="B857" s="134">
        <v>421</v>
      </c>
      <c r="C857" s="491">
        <v>0</v>
      </c>
      <c r="D857" s="491">
        <v>0</v>
      </c>
      <c r="E857" s="491">
        <v>0</v>
      </c>
      <c r="F857" s="491">
        <v>1</v>
      </c>
      <c r="G857" s="491">
        <f t="shared" si="13"/>
        <v>1</v>
      </c>
    </row>
    <row r="858" spans="1:7" ht="12.75">
      <c r="A858" s="134" t="s">
        <v>492</v>
      </c>
      <c r="B858" s="134">
        <v>422</v>
      </c>
      <c r="C858" s="491">
        <v>2</v>
      </c>
      <c r="D858" s="491">
        <v>0</v>
      </c>
      <c r="E858" s="491">
        <v>0</v>
      </c>
      <c r="F858" s="491">
        <v>0</v>
      </c>
      <c r="G858" s="491">
        <f t="shared" si="13"/>
        <v>2</v>
      </c>
    </row>
    <row r="859" spans="1:7" ht="12.75">
      <c r="A859" s="134" t="s">
        <v>492</v>
      </c>
      <c r="B859" s="134">
        <v>430</v>
      </c>
      <c r="C859" s="491">
        <v>5</v>
      </c>
      <c r="D859" s="491">
        <v>5</v>
      </c>
      <c r="E859" s="491">
        <v>0</v>
      </c>
      <c r="F859" s="491">
        <v>0</v>
      </c>
      <c r="G859" s="491">
        <f t="shared" si="13"/>
        <v>10</v>
      </c>
    </row>
    <row r="860" spans="1:7" ht="12.75">
      <c r="A860" s="134" t="s">
        <v>492</v>
      </c>
      <c r="B860" s="134">
        <v>450</v>
      </c>
      <c r="C860" s="491">
        <v>3</v>
      </c>
      <c r="D860" s="491">
        <v>18</v>
      </c>
      <c r="E860" s="491">
        <v>0</v>
      </c>
      <c r="F860" s="491">
        <v>0</v>
      </c>
      <c r="G860" s="491">
        <f t="shared" si="13"/>
        <v>21</v>
      </c>
    </row>
    <row r="861" spans="1:7" ht="12.75">
      <c r="A861" s="134" t="s">
        <v>492</v>
      </c>
      <c r="B861" s="134">
        <v>460</v>
      </c>
      <c r="C861" s="491">
        <v>15910</v>
      </c>
      <c r="D861" s="491">
        <v>2594</v>
      </c>
      <c r="E861" s="491">
        <v>139</v>
      </c>
      <c r="F861" s="491">
        <v>13</v>
      </c>
      <c r="G861" s="491">
        <f t="shared" si="13"/>
        <v>18656</v>
      </c>
    </row>
    <row r="862" spans="1:7" ht="12.75">
      <c r="A862" s="134" t="s">
        <v>492</v>
      </c>
      <c r="B862" s="134">
        <v>501</v>
      </c>
      <c r="C862" s="491">
        <v>20</v>
      </c>
      <c r="D862" s="491">
        <v>8</v>
      </c>
      <c r="E862" s="491">
        <v>0</v>
      </c>
      <c r="F862" s="491">
        <v>0</v>
      </c>
      <c r="G862" s="491">
        <f t="shared" si="13"/>
        <v>28</v>
      </c>
    </row>
    <row r="863" spans="1:7" ht="12.75">
      <c r="A863" s="134" t="s">
        <v>492</v>
      </c>
      <c r="B863" s="134">
        <v>502</v>
      </c>
      <c r="C863" s="491">
        <v>20</v>
      </c>
      <c r="D863" s="491">
        <v>17</v>
      </c>
      <c r="E863" s="491">
        <v>1</v>
      </c>
      <c r="F863" s="491">
        <v>0</v>
      </c>
      <c r="G863" s="491">
        <f t="shared" si="13"/>
        <v>38</v>
      </c>
    </row>
    <row r="864" spans="1:7" ht="12.75">
      <c r="A864" s="134" t="s">
        <v>492</v>
      </c>
      <c r="B864" s="134">
        <v>503</v>
      </c>
      <c r="C864" s="491">
        <v>1</v>
      </c>
      <c r="D864" s="491">
        <v>2</v>
      </c>
      <c r="E864" s="491">
        <v>0</v>
      </c>
      <c r="F864" s="491">
        <v>0</v>
      </c>
      <c r="G864" s="491">
        <f t="shared" si="13"/>
        <v>3</v>
      </c>
    </row>
    <row r="865" spans="1:7" ht="12.75">
      <c r="A865" s="134" t="s">
        <v>492</v>
      </c>
      <c r="B865" s="134">
        <v>560</v>
      </c>
      <c r="C865" s="491">
        <v>5</v>
      </c>
      <c r="D865" s="491">
        <v>23</v>
      </c>
      <c r="E865" s="491">
        <v>0</v>
      </c>
      <c r="F865" s="491">
        <v>0</v>
      </c>
      <c r="G865" s="491">
        <f t="shared" si="13"/>
        <v>28</v>
      </c>
    </row>
    <row r="866" spans="1:7" ht="12.75">
      <c r="A866" s="134" t="s">
        <v>492</v>
      </c>
      <c r="B866" s="134">
        <v>650</v>
      </c>
      <c r="C866" s="491">
        <v>6</v>
      </c>
      <c r="D866" s="491">
        <v>3</v>
      </c>
      <c r="E866" s="491">
        <v>0</v>
      </c>
      <c r="F866" s="491">
        <v>0</v>
      </c>
      <c r="G866" s="491">
        <f t="shared" si="13"/>
        <v>9</v>
      </c>
    </row>
    <row r="867" spans="1:7" ht="12.75">
      <c r="A867" s="134" t="s">
        <v>492</v>
      </c>
      <c r="B867" s="134">
        <v>653</v>
      </c>
      <c r="C867" s="491">
        <v>19</v>
      </c>
      <c r="D867" s="491">
        <v>2</v>
      </c>
      <c r="E867" s="491">
        <v>0</v>
      </c>
      <c r="F867" s="491">
        <v>0</v>
      </c>
      <c r="G867" s="491">
        <f t="shared" si="13"/>
        <v>21</v>
      </c>
    </row>
    <row r="868" spans="1:7" ht="12.75">
      <c r="A868" s="134" t="s">
        <v>492</v>
      </c>
      <c r="B868" s="134">
        <v>654</v>
      </c>
      <c r="C868" s="491">
        <v>14</v>
      </c>
      <c r="D868" s="491">
        <v>11</v>
      </c>
      <c r="E868" s="491">
        <v>0</v>
      </c>
      <c r="F868" s="491">
        <v>0</v>
      </c>
      <c r="G868" s="491">
        <f t="shared" si="13"/>
        <v>25</v>
      </c>
    </row>
    <row r="869" spans="1:7" ht="12.75">
      <c r="A869" s="134" t="s">
        <v>492</v>
      </c>
      <c r="B869" s="134">
        <v>655</v>
      </c>
      <c r="C869" s="491">
        <v>6372</v>
      </c>
      <c r="D869" s="491">
        <v>2048</v>
      </c>
      <c r="E869" s="491">
        <v>32</v>
      </c>
      <c r="F869" s="491">
        <v>17</v>
      </c>
      <c r="G869" s="491">
        <f t="shared" si="13"/>
        <v>8469</v>
      </c>
    </row>
    <row r="870" spans="1:7" ht="12.75">
      <c r="A870" s="134" t="s">
        <v>492</v>
      </c>
      <c r="B870" s="134">
        <v>658</v>
      </c>
      <c r="C870" s="491">
        <v>9</v>
      </c>
      <c r="D870" s="491">
        <v>2</v>
      </c>
      <c r="E870" s="491">
        <v>0</v>
      </c>
      <c r="F870" s="491">
        <v>0</v>
      </c>
      <c r="G870" s="491">
        <f t="shared" si="13"/>
        <v>11</v>
      </c>
    </row>
    <row r="871" spans="1:7" ht="12.75">
      <c r="A871" s="134" t="s">
        <v>492</v>
      </c>
      <c r="B871" s="134">
        <v>662</v>
      </c>
      <c r="C871" s="491">
        <v>850</v>
      </c>
      <c r="D871" s="491">
        <v>1150</v>
      </c>
      <c r="E871" s="491">
        <v>1</v>
      </c>
      <c r="F871" s="491">
        <v>0</v>
      </c>
      <c r="G871" s="491">
        <f t="shared" si="13"/>
        <v>2001</v>
      </c>
    </row>
    <row r="872" spans="1:7" ht="12.75">
      <c r="A872" s="134" t="s">
        <v>492</v>
      </c>
      <c r="B872" s="134">
        <v>800</v>
      </c>
      <c r="C872" s="491">
        <v>25</v>
      </c>
      <c r="D872" s="491">
        <v>1</v>
      </c>
      <c r="E872" s="491">
        <v>5</v>
      </c>
      <c r="F872" s="491">
        <v>0</v>
      </c>
      <c r="G872" s="491">
        <f t="shared" si="13"/>
        <v>31</v>
      </c>
    </row>
    <row r="873" spans="1:7" ht="12.75">
      <c r="A873" s="134" t="s">
        <v>492</v>
      </c>
      <c r="B873" s="134">
        <v>822</v>
      </c>
      <c r="C873" s="491">
        <v>1</v>
      </c>
      <c r="D873" s="491">
        <v>0</v>
      </c>
      <c r="E873" s="491">
        <v>0</v>
      </c>
      <c r="F873" s="491">
        <v>0</v>
      </c>
      <c r="G873" s="491">
        <f t="shared" si="13"/>
        <v>1</v>
      </c>
    </row>
    <row r="874" spans="1:7" ht="12.75">
      <c r="A874" s="134" t="s">
        <v>492</v>
      </c>
      <c r="B874" s="134">
        <v>840</v>
      </c>
      <c r="C874" s="491">
        <v>0</v>
      </c>
      <c r="D874" s="491">
        <v>3</v>
      </c>
      <c r="E874" s="491">
        <v>0</v>
      </c>
      <c r="F874" s="491">
        <v>0</v>
      </c>
      <c r="G874" s="491">
        <f t="shared" si="13"/>
        <v>3</v>
      </c>
    </row>
    <row r="875" spans="1:7" ht="12.75">
      <c r="A875" s="134" t="s">
        <v>1050</v>
      </c>
      <c r="B875" s="134">
        <v>103</v>
      </c>
      <c r="C875" s="491">
        <v>1</v>
      </c>
      <c r="D875" s="491">
        <v>0</v>
      </c>
      <c r="E875" s="491">
        <v>0</v>
      </c>
      <c r="F875" s="491">
        <v>0</v>
      </c>
      <c r="G875" s="491">
        <f t="shared" si="13"/>
        <v>1</v>
      </c>
    </row>
    <row r="876" spans="1:7" ht="12.75">
      <c r="A876" s="134" t="s">
        <v>1050</v>
      </c>
      <c r="B876" s="134">
        <v>120</v>
      </c>
      <c r="C876" s="491">
        <v>1</v>
      </c>
      <c r="D876" s="491">
        <v>0</v>
      </c>
      <c r="E876" s="491">
        <v>0</v>
      </c>
      <c r="F876" s="491">
        <v>0</v>
      </c>
      <c r="G876" s="491">
        <f t="shared" si="13"/>
        <v>1</v>
      </c>
    </row>
    <row r="877" spans="1:7" ht="12.75">
      <c r="A877" s="134" t="s">
        <v>1050</v>
      </c>
      <c r="B877" s="134">
        <v>160</v>
      </c>
      <c r="C877" s="491">
        <v>0</v>
      </c>
      <c r="D877" s="491">
        <v>1</v>
      </c>
      <c r="E877" s="491">
        <v>0</v>
      </c>
      <c r="F877" s="491">
        <v>0</v>
      </c>
      <c r="G877" s="491">
        <f t="shared" si="13"/>
        <v>1</v>
      </c>
    </row>
    <row r="878" spans="1:7" ht="12.75">
      <c r="A878" s="134" t="s">
        <v>683</v>
      </c>
      <c r="B878" s="134">
        <v>120</v>
      </c>
      <c r="C878" s="491">
        <v>2</v>
      </c>
      <c r="D878" s="491">
        <v>2</v>
      </c>
      <c r="E878" s="491">
        <v>0</v>
      </c>
      <c r="F878" s="491">
        <v>0</v>
      </c>
      <c r="G878" s="491">
        <f t="shared" si="13"/>
        <v>4</v>
      </c>
    </row>
    <row r="879" spans="1:7" ht="12.75">
      <c r="A879" s="134" t="s">
        <v>683</v>
      </c>
      <c r="B879" s="134">
        <v>140</v>
      </c>
      <c r="C879" s="491">
        <v>1</v>
      </c>
      <c r="D879" s="491">
        <v>0</v>
      </c>
      <c r="E879" s="491">
        <v>0</v>
      </c>
      <c r="F879" s="491">
        <v>0</v>
      </c>
      <c r="G879" s="491">
        <f t="shared" si="13"/>
        <v>1</v>
      </c>
    </row>
    <row r="880" spans="1:7" ht="12.75">
      <c r="A880" s="134" t="s">
        <v>683</v>
      </c>
      <c r="B880" s="134">
        <v>317</v>
      </c>
      <c r="C880" s="491">
        <v>0</v>
      </c>
      <c r="D880" s="491">
        <v>1</v>
      </c>
      <c r="E880" s="491">
        <v>0</v>
      </c>
      <c r="F880" s="491">
        <v>0</v>
      </c>
      <c r="G880" s="491">
        <f t="shared" si="13"/>
        <v>1</v>
      </c>
    </row>
    <row r="881" spans="1:7" ht="12.75">
      <c r="A881" s="134" t="s">
        <v>684</v>
      </c>
      <c r="B881" s="134">
        <v>120</v>
      </c>
      <c r="C881" s="491">
        <v>31</v>
      </c>
      <c r="D881" s="491">
        <v>152</v>
      </c>
      <c r="E881" s="491">
        <v>1</v>
      </c>
      <c r="F881" s="491">
        <v>7</v>
      </c>
      <c r="G881" s="491">
        <f t="shared" si="13"/>
        <v>191</v>
      </c>
    </row>
    <row r="882" spans="1:7" ht="12.75">
      <c r="A882" s="134" t="s">
        <v>684</v>
      </c>
      <c r="B882" s="134">
        <v>140</v>
      </c>
      <c r="C882" s="491">
        <v>2</v>
      </c>
      <c r="D882" s="491">
        <v>0</v>
      </c>
      <c r="E882" s="491">
        <v>0</v>
      </c>
      <c r="F882" s="491">
        <v>0</v>
      </c>
      <c r="G882" s="491">
        <f t="shared" si="13"/>
        <v>2</v>
      </c>
    </row>
    <row r="883" spans="1:7" ht="12.75">
      <c r="A883" s="134" t="s">
        <v>684</v>
      </c>
      <c r="B883" s="134">
        <v>144</v>
      </c>
      <c r="C883" s="491">
        <v>1</v>
      </c>
      <c r="D883" s="491">
        <v>1</v>
      </c>
      <c r="E883" s="491">
        <v>0</v>
      </c>
      <c r="F883" s="491">
        <v>0</v>
      </c>
      <c r="G883" s="491">
        <f t="shared" si="13"/>
        <v>2</v>
      </c>
    </row>
    <row r="884" spans="1:7" ht="12.75">
      <c r="A884" s="134" t="s">
        <v>685</v>
      </c>
      <c r="B884" s="134">
        <v>120</v>
      </c>
      <c r="C884" s="491">
        <v>2</v>
      </c>
      <c r="D884" s="491">
        <v>2</v>
      </c>
      <c r="E884" s="491">
        <v>0</v>
      </c>
      <c r="F884" s="491">
        <v>0</v>
      </c>
      <c r="G884" s="491">
        <f t="shared" si="13"/>
        <v>4</v>
      </c>
    </row>
    <row r="885" spans="1:7" ht="12.75">
      <c r="A885" s="134" t="s">
        <v>685</v>
      </c>
      <c r="B885" s="134">
        <v>215</v>
      </c>
      <c r="C885" s="491">
        <v>0</v>
      </c>
      <c r="D885" s="491">
        <v>1</v>
      </c>
      <c r="E885" s="491">
        <v>0</v>
      </c>
      <c r="F885" s="491">
        <v>0</v>
      </c>
      <c r="G885" s="491">
        <f t="shared" si="13"/>
        <v>1</v>
      </c>
    </row>
    <row r="886" spans="1:7" ht="12.75">
      <c r="A886" s="134" t="s">
        <v>685</v>
      </c>
      <c r="B886" s="134">
        <v>420</v>
      </c>
      <c r="C886" s="491">
        <v>1</v>
      </c>
      <c r="D886" s="491">
        <v>0</v>
      </c>
      <c r="E886" s="491">
        <v>0</v>
      </c>
      <c r="F886" s="491">
        <v>0</v>
      </c>
      <c r="G886" s="491">
        <f t="shared" si="13"/>
        <v>1</v>
      </c>
    </row>
    <row r="887" spans="1:7" ht="12.75">
      <c r="A887" s="134" t="s">
        <v>686</v>
      </c>
      <c r="B887" s="134">
        <v>100</v>
      </c>
      <c r="C887" s="491">
        <v>6</v>
      </c>
      <c r="D887" s="491">
        <v>5</v>
      </c>
      <c r="E887" s="491">
        <v>0</v>
      </c>
      <c r="F887" s="491">
        <v>0</v>
      </c>
      <c r="G887" s="491">
        <f t="shared" si="13"/>
        <v>11</v>
      </c>
    </row>
    <row r="888" spans="1:7" ht="12.75">
      <c r="A888" s="134" t="s">
        <v>686</v>
      </c>
      <c r="B888" s="134">
        <v>103</v>
      </c>
      <c r="C888" s="491">
        <v>66</v>
      </c>
      <c r="D888" s="491">
        <v>10</v>
      </c>
      <c r="E888" s="491">
        <v>7</v>
      </c>
      <c r="F888" s="491">
        <v>31</v>
      </c>
      <c r="G888" s="491">
        <f t="shared" si="13"/>
        <v>114</v>
      </c>
    </row>
    <row r="889" spans="1:7" ht="12.75">
      <c r="A889" s="134" t="s">
        <v>686</v>
      </c>
      <c r="B889" s="134">
        <v>107</v>
      </c>
      <c r="C889" s="491">
        <v>0</v>
      </c>
      <c r="D889" s="491">
        <v>1</v>
      </c>
      <c r="E889" s="491">
        <v>0</v>
      </c>
      <c r="F889" s="491">
        <v>0</v>
      </c>
      <c r="G889" s="491">
        <f t="shared" si="13"/>
        <v>1</v>
      </c>
    </row>
    <row r="890" spans="1:7" ht="12.75">
      <c r="A890" s="134" t="s">
        <v>686</v>
      </c>
      <c r="B890" s="134">
        <v>120</v>
      </c>
      <c r="C890" s="491">
        <v>491</v>
      </c>
      <c r="D890" s="491">
        <v>1058</v>
      </c>
      <c r="E890" s="491">
        <v>33</v>
      </c>
      <c r="F890" s="491">
        <v>28</v>
      </c>
      <c r="G890" s="491">
        <f t="shared" si="13"/>
        <v>1610</v>
      </c>
    </row>
    <row r="891" spans="1:7" ht="12.75">
      <c r="A891" s="134" t="s">
        <v>686</v>
      </c>
      <c r="B891" s="134">
        <v>130</v>
      </c>
      <c r="C891" s="491">
        <v>2</v>
      </c>
      <c r="D891" s="491">
        <v>1</v>
      </c>
      <c r="E891" s="491">
        <v>0</v>
      </c>
      <c r="F891" s="491">
        <v>0</v>
      </c>
      <c r="G891" s="491">
        <f t="shared" si="13"/>
        <v>3</v>
      </c>
    </row>
    <row r="892" spans="1:7" ht="12.75">
      <c r="A892" s="134" t="s">
        <v>686</v>
      </c>
      <c r="B892" s="134">
        <v>140</v>
      </c>
      <c r="C892" s="491">
        <v>32</v>
      </c>
      <c r="D892" s="491">
        <v>44</v>
      </c>
      <c r="E892" s="491">
        <v>11</v>
      </c>
      <c r="F892" s="491">
        <v>3</v>
      </c>
      <c r="G892" s="491">
        <f t="shared" si="13"/>
        <v>90</v>
      </c>
    </row>
    <row r="893" spans="1:7" ht="12.75">
      <c r="A893" s="134" t="s">
        <v>686</v>
      </c>
      <c r="B893" s="134">
        <v>141</v>
      </c>
      <c r="C893" s="491">
        <v>1</v>
      </c>
      <c r="D893" s="491">
        <v>0</v>
      </c>
      <c r="E893" s="491">
        <v>0</v>
      </c>
      <c r="F893" s="491">
        <v>0</v>
      </c>
      <c r="G893" s="491">
        <f t="shared" si="13"/>
        <v>1</v>
      </c>
    </row>
    <row r="894" spans="1:7" ht="12.75">
      <c r="A894" s="134" t="s">
        <v>686</v>
      </c>
      <c r="B894" s="134">
        <v>144</v>
      </c>
      <c r="C894" s="491">
        <v>36</v>
      </c>
      <c r="D894" s="491">
        <v>11</v>
      </c>
      <c r="E894" s="491">
        <v>17</v>
      </c>
      <c r="F894" s="491">
        <v>0</v>
      </c>
      <c r="G894" s="491">
        <f t="shared" si="13"/>
        <v>64</v>
      </c>
    </row>
    <row r="895" spans="1:7" ht="12.75">
      <c r="A895" s="134" t="s">
        <v>686</v>
      </c>
      <c r="B895" s="134">
        <v>160</v>
      </c>
      <c r="C895" s="491">
        <v>0</v>
      </c>
      <c r="D895" s="491">
        <v>1</v>
      </c>
      <c r="E895" s="491">
        <v>1</v>
      </c>
      <c r="F895" s="491">
        <v>0</v>
      </c>
      <c r="G895" s="491">
        <f t="shared" si="13"/>
        <v>2</v>
      </c>
    </row>
    <row r="896" spans="1:7" ht="12.75">
      <c r="A896" s="134" t="s">
        <v>686</v>
      </c>
      <c r="B896" s="134">
        <v>173</v>
      </c>
      <c r="C896" s="491">
        <v>0</v>
      </c>
      <c r="D896" s="491">
        <v>1</v>
      </c>
      <c r="E896" s="491">
        <v>0</v>
      </c>
      <c r="F896" s="491">
        <v>0</v>
      </c>
      <c r="G896" s="491">
        <f t="shared" si="13"/>
        <v>1</v>
      </c>
    </row>
    <row r="897" spans="1:7" ht="12.75">
      <c r="A897" s="134" t="s">
        <v>686</v>
      </c>
      <c r="B897" s="134">
        <v>215</v>
      </c>
      <c r="C897" s="491">
        <v>1</v>
      </c>
      <c r="D897" s="491">
        <v>2</v>
      </c>
      <c r="E897" s="491">
        <v>0</v>
      </c>
      <c r="F897" s="491">
        <v>0</v>
      </c>
      <c r="G897" s="491">
        <f t="shared" si="13"/>
        <v>3</v>
      </c>
    </row>
    <row r="898" spans="1:7" ht="12.75">
      <c r="A898" s="134" t="s">
        <v>686</v>
      </c>
      <c r="B898" s="134">
        <v>300</v>
      </c>
      <c r="C898" s="491">
        <v>0</v>
      </c>
      <c r="D898" s="491">
        <v>2</v>
      </c>
      <c r="E898" s="491">
        <v>0</v>
      </c>
      <c r="F898" s="491">
        <v>1</v>
      </c>
      <c r="G898" s="491">
        <f t="shared" si="13"/>
        <v>3</v>
      </c>
    </row>
    <row r="899" spans="1:7" ht="12.75">
      <c r="A899" s="134" t="s">
        <v>686</v>
      </c>
      <c r="B899" s="134">
        <v>305</v>
      </c>
      <c r="C899" s="491">
        <v>1</v>
      </c>
      <c r="D899" s="491">
        <v>0</v>
      </c>
      <c r="E899" s="491">
        <v>0</v>
      </c>
      <c r="F899" s="491">
        <v>0</v>
      </c>
      <c r="G899" s="491">
        <f t="shared" si="13"/>
        <v>1</v>
      </c>
    </row>
    <row r="900" spans="1:7" ht="12.75">
      <c r="A900" s="134" t="s">
        <v>686</v>
      </c>
      <c r="B900" s="134">
        <v>330</v>
      </c>
      <c r="C900" s="491">
        <v>8</v>
      </c>
      <c r="D900" s="491">
        <v>2</v>
      </c>
      <c r="E900" s="491">
        <v>0</v>
      </c>
      <c r="F900" s="491">
        <v>0</v>
      </c>
      <c r="G900" s="491">
        <f t="shared" ref="G900:G963" si="14">SUM(C900:F900)</f>
        <v>10</v>
      </c>
    </row>
    <row r="901" spans="1:7" ht="12.75">
      <c r="A901" s="134" t="s">
        <v>686</v>
      </c>
      <c r="B901" s="134">
        <v>340</v>
      </c>
      <c r="C901" s="491">
        <v>2</v>
      </c>
      <c r="D901" s="491">
        <v>2</v>
      </c>
      <c r="E901" s="491">
        <v>0</v>
      </c>
      <c r="F901" s="491">
        <v>0</v>
      </c>
      <c r="G901" s="491">
        <f t="shared" si="14"/>
        <v>4</v>
      </c>
    </row>
    <row r="902" spans="1:7" ht="12.75">
      <c r="A902" s="134" t="s">
        <v>686</v>
      </c>
      <c r="B902" s="134">
        <v>341</v>
      </c>
      <c r="C902" s="491">
        <v>1</v>
      </c>
      <c r="D902" s="491">
        <v>0</v>
      </c>
      <c r="E902" s="491">
        <v>0</v>
      </c>
      <c r="F902" s="491">
        <v>0</v>
      </c>
      <c r="G902" s="491">
        <f t="shared" si="14"/>
        <v>1</v>
      </c>
    </row>
    <row r="903" spans="1:7" ht="12.75">
      <c r="A903" s="134" t="s">
        <v>686</v>
      </c>
      <c r="B903" s="134">
        <v>370</v>
      </c>
      <c r="C903" s="491">
        <v>1</v>
      </c>
      <c r="D903" s="491">
        <v>0</v>
      </c>
      <c r="E903" s="491">
        <v>0</v>
      </c>
      <c r="F903" s="491">
        <v>0</v>
      </c>
      <c r="G903" s="491">
        <f t="shared" si="14"/>
        <v>1</v>
      </c>
    </row>
    <row r="904" spans="1:7" ht="12.75">
      <c r="A904" s="134" t="s">
        <v>686</v>
      </c>
      <c r="B904" s="134">
        <v>800</v>
      </c>
      <c r="C904" s="491">
        <v>1</v>
      </c>
      <c r="D904" s="491">
        <v>2</v>
      </c>
      <c r="E904" s="491">
        <v>3</v>
      </c>
      <c r="F904" s="491">
        <v>0</v>
      </c>
      <c r="G904" s="491">
        <f t="shared" si="14"/>
        <v>6</v>
      </c>
    </row>
    <row r="905" spans="1:7" ht="12.75">
      <c r="A905" s="134" t="s">
        <v>686</v>
      </c>
      <c r="B905" s="134">
        <v>811</v>
      </c>
      <c r="C905" s="491">
        <v>76</v>
      </c>
      <c r="D905" s="491">
        <v>171</v>
      </c>
      <c r="E905" s="491">
        <v>0</v>
      </c>
      <c r="F905" s="491">
        <v>4</v>
      </c>
      <c r="G905" s="491">
        <f t="shared" si="14"/>
        <v>251</v>
      </c>
    </row>
    <row r="906" spans="1:7" ht="12.75">
      <c r="A906" s="134" t="s">
        <v>686</v>
      </c>
      <c r="B906" s="134">
        <v>812</v>
      </c>
      <c r="C906" s="491">
        <v>1</v>
      </c>
      <c r="D906" s="491">
        <v>136</v>
      </c>
      <c r="E906" s="491">
        <v>0</v>
      </c>
      <c r="F906" s="491">
        <v>0</v>
      </c>
      <c r="G906" s="491">
        <f t="shared" si="14"/>
        <v>137</v>
      </c>
    </row>
    <row r="907" spans="1:7" ht="12.75">
      <c r="A907" s="134" t="s">
        <v>686</v>
      </c>
      <c r="B907" s="134">
        <v>822</v>
      </c>
      <c r="C907" s="491">
        <v>14</v>
      </c>
      <c r="D907" s="491">
        <v>0</v>
      </c>
      <c r="E907" s="491">
        <v>0</v>
      </c>
      <c r="F907" s="491">
        <v>0</v>
      </c>
      <c r="G907" s="491">
        <f t="shared" si="14"/>
        <v>14</v>
      </c>
    </row>
    <row r="908" spans="1:7" ht="12.75">
      <c r="A908" s="134" t="s">
        <v>687</v>
      </c>
      <c r="B908" s="134">
        <v>103</v>
      </c>
      <c r="C908" s="491">
        <v>1</v>
      </c>
      <c r="D908" s="491">
        <v>0</v>
      </c>
      <c r="E908" s="491">
        <v>0</v>
      </c>
      <c r="F908" s="491">
        <v>0</v>
      </c>
      <c r="G908" s="491">
        <f t="shared" si="14"/>
        <v>1</v>
      </c>
    </row>
    <row r="909" spans="1:7" ht="12.75">
      <c r="A909" s="134" t="s">
        <v>687</v>
      </c>
      <c r="B909" s="134">
        <v>120</v>
      </c>
      <c r="C909" s="491">
        <v>14</v>
      </c>
      <c r="D909" s="491">
        <v>24</v>
      </c>
      <c r="E909" s="491">
        <v>1</v>
      </c>
      <c r="F909" s="491">
        <v>0</v>
      </c>
      <c r="G909" s="491">
        <f t="shared" si="14"/>
        <v>39</v>
      </c>
    </row>
    <row r="910" spans="1:7" ht="12.75">
      <c r="A910" s="134" t="s">
        <v>687</v>
      </c>
      <c r="B910" s="134">
        <v>140</v>
      </c>
      <c r="C910" s="491">
        <v>1</v>
      </c>
      <c r="D910" s="491">
        <v>1</v>
      </c>
      <c r="E910" s="491">
        <v>0</v>
      </c>
      <c r="F910" s="491">
        <v>0</v>
      </c>
      <c r="G910" s="491">
        <f t="shared" si="14"/>
        <v>2</v>
      </c>
    </row>
    <row r="911" spans="1:7" ht="12.75">
      <c r="A911" s="134" t="s">
        <v>687</v>
      </c>
      <c r="B911" s="134">
        <v>215</v>
      </c>
      <c r="C911" s="491">
        <v>0</v>
      </c>
      <c r="D911" s="491">
        <v>1</v>
      </c>
      <c r="E911" s="491">
        <v>0</v>
      </c>
      <c r="F911" s="491">
        <v>0</v>
      </c>
      <c r="G911" s="491">
        <f t="shared" si="14"/>
        <v>1</v>
      </c>
    </row>
    <row r="912" spans="1:7" ht="12.75">
      <c r="A912" s="134" t="s">
        <v>687</v>
      </c>
      <c r="B912" s="134">
        <v>300</v>
      </c>
      <c r="C912" s="491">
        <v>0</v>
      </c>
      <c r="D912" s="491">
        <v>0</v>
      </c>
      <c r="E912" s="491">
        <v>0</v>
      </c>
      <c r="F912" s="491">
        <v>1</v>
      </c>
      <c r="G912" s="491">
        <f t="shared" si="14"/>
        <v>1</v>
      </c>
    </row>
    <row r="913" spans="1:7" ht="12.75">
      <c r="A913" s="134" t="s">
        <v>687</v>
      </c>
      <c r="B913" s="134">
        <v>303</v>
      </c>
      <c r="C913" s="491">
        <v>0</v>
      </c>
      <c r="D913" s="491">
        <v>1</v>
      </c>
      <c r="E913" s="491">
        <v>0</v>
      </c>
      <c r="F913" s="491">
        <v>0</v>
      </c>
      <c r="G913" s="491">
        <f t="shared" si="14"/>
        <v>1</v>
      </c>
    </row>
    <row r="914" spans="1:7" ht="12.75">
      <c r="A914" s="134" t="s">
        <v>687</v>
      </c>
      <c r="B914" s="134">
        <v>340</v>
      </c>
      <c r="C914" s="491">
        <v>0</v>
      </c>
      <c r="D914" s="491">
        <v>0</v>
      </c>
      <c r="E914" s="491">
        <v>0</v>
      </c>
      <c r="F914" s="491">
        <v>3</v>
      </c>
      <c r="G914" s="491">
        <f t="shared" si="14"/>
        <v>3</v>
      </c>
    </row>
    <row r="915" spans="1:7" ht="12.75">
      <c r="A915" s="134" t="s">
        <v>687</v>
      </c>
      <c r="B915" s="134">
        <v>811</v>
      </c>
      <c r="C915" s="491">
        <v>5</v>
      </c>
      <c r="D915" s="491">
        <v>3</v>
      </c>
      <c r="E915" s="491">
        <v>0</v>
      </c>
      <c r="F915" s="491">
        <v>0</v>
      </c>
      <c r="G915" s="491">
        <f t="shared" si="14"/>
        <v>8</v>
      </c>
    </row>
    <row r="916" spans="1:7" ht="12.75">
      <c r="A916" s="134" t="s">
        <v>687</v>
      </c>
      <c r="B916" s="134">
        <v>812</v>
      </c>
      <c r="C916" s="491">
        <v>0</v>
      </c>
      <c r="D916" s="491">
        <v>2</v>
      </c>
      <c r="E916" s="491">
        <v>0</v>
      </c>
      <c r="F916" s="491">
        <v>0</v>
      </c>
      <c r="G916" s="491">
        <f t="shared" si="14"/>
        <v>2</v>
      </c>
    </row>
    <row r="917" spans="1:7" ht="12.75">
      <c r="A917" s="134" t="s">
        <v>688</v>
      </c>
      <c r="B917" s="134">
        <v>120</v>
      </c>
      <c r="C917" s="491">
        <v>2</v>
      </c>
      <c r="D917" s="491">
        <v>6</v>
      </c>
      <c r="E917" s="491">
        <v>0</v>
      </c>
      <c r="F917" s="491">
        <v>0</v>
      </c>
      <c r="G917" s="491">
        <f t="shared" si="14"/>
        <v>8</v>
      </c>
    </row>
    <row r="918" spans="1:7" ht="12.75">
      <c r="A918" s="134" t="s">
        <v>688</v>
      </c>
      <c r="B918" s="134">
        <v>144</v>
      </c>
      <c r="C918" s="491">
        <v>0</v>
      </c>
      <c r="D918" s="491">
        <v>1</v>
      </c>
      <c r="E918" s="491">
        <v>0</v>
      </c>
      <c r="F918" s="491">
        <v>0</v>
      </c>
      <c r="G918" s="491">
        <f t="shared" si="14"/>
        <v>1</v>
      </c>
    </row>
    <row r="919" spans="1:7" ht="12.75">
      <c r="A919" s="134" t="s">
        <v>688</v>
      </c>
      <c r="B919" s="134">
        <v>150</v>
      </c>
      <c r="C919" s="491">
        <v>0</v>
      </c>
      <c r="D919" s="491">
        <v>1</v>
      </c>
      <c r="E919" s="491">
        <v>0</v>
      </c>
      <c r="F919" s="491">
        <v>0</v>
      </c>
      <c r="G919" s="491">
        <f t="shared" si="14"/>
        <v>1</v>
      </c>
    </row>
    <row r="920" spans="1:7" ht="12.75">
      <c r="A920" s="134" t="s">
        <v>688</v>
      </c>
      <c r="B920" s="134">
        <v>340</v>
      </c>
      <c r="C920" s="491">
        <v>1</v>
      </c>
      <c r="D920" s="491">
        <v>0</v>
      </c>
      <c r="E920" s="491">
        <v>0</v>
      </c>
      <c r="F920" s="491">
        <v>0</v>
      </c>
      <c r="G920" s="491">
        <f t="shared" si="14"/>
        <v>1</v>
      </c>
    </row>
    <row r="921" spans="1:7" ht="12.75">
      <c r="A921" s="134" t="s">
        <v>689</v>
      </c>
      <c r="B921" s="134">
        <v>110</v>
      </c>
      <c r="C921" s="491">
        <v>1</v>
      </c>
      <c r="D921" s="491">
        <v>0</v>
      </c>
      <c r="E921" s="491">
        <v>0</v>
      </c>
      <c r="F921" s="491">
        <v>0</v>
      </c>
      <c r="G921" s="491">
        <f t="shared" si="14"/>
        <v>1</v>
      </c>
    </row>
    <row r="922" spans="1:7" ht="12.75">
      <c r="A922" s="134" t="s">
        <v>689</v>
      </c>
      <c r="B922" s="134">
        <v>120</v>
      </c>
      <c r="C922" s="491">
        <v>4</v>
      </c>
      <c r="D922" s="491">
        <v>3</v>
      </c>
      <c r="E922" s="491">
        <v>0</v>
      </c>
      <c r="F922" s="491">
        <v>0</v>
      </c>
      <c r="G922" s="491">
        <f t="shared" si="14"/>
        <v>7</v>
      </c>
    </row>
    <row r="923" spans="1:7" ht="12.75">
      <c r="A923" s="134" t="s">
        <v>690</v>
      </c>
      <c r="B923" s="134">
        <v>120</v>
      </c>
      <c r="C923" s="491">
        <v>89</v>
      </c>
      <c r="D923" s="491">
        <v>190</v>
      </c>
      <c r="E923" s="491">
        <v>1</v>
      </c>
      <c r="F923" s="491">
        <v>4</v>
      </c>
      <c r="G923" s="491">
        <f t="shared" si="14"/>
        <v>284</v>
      </c>
    </row>
    <row r="924" spans="1:7" ht="12.75">
      <c r="A924" s="134" t="s">
        <v>690</v>
      </c>
      <c r="B924" s="134">
        <v>144</v>
      </c>
      <c r="C924" s="491">
        <v>2</v>
      </c>
      <c r="D924" s="491">
        <v>0</v>
      </c>
      <c r="E924" s="491">
        <v>0</v>
      </c>
      <c r="F924" s="491">
        <v>0</v>
      </c>
      <c r="G924" s="491">
        <f t="shared" si="14"/>
        <v>2</v>
      </c>
    </row>
    <row r="925" spans="1:7" ht="12.75">
      <c r="A925" s="134" t="s">
        <v>690</v>
      </c>
      <c r="B925" s="134">
        <v>215</v>
      </c>
      <c r="C925" s="491">
        <v>0</v>
      </c>
      <c r="D925" s="491">
        <v>1</v>
      </c>
      <c r="E925" s="491">
        <v>0</v>
      </c>
      <c r="F925" s="491">
        <v>0</v>
      </c>
      <c r="G925" s="491">
        <f t="shared" si="14"/>
        <v>1</v>
      </c>
    </row>
    <row r="926" spans="1:7" ht="12.75">
      <c r="A926" s="134" t="s">
        <v>690</v>
      </c>
      <c r="B926" s="134">
        <v>300</v>
      </c>
      <c r="C926" s="491">
        <v>0</v>
      </c>
      <c r="D926" s="491">
        <v>1</v>
      </c>
      <c r="E926" s="491">
        <v>0</v>
      </c>
      <c r="F926" s="491">
        <v>0</v>
      </c>
      <c r="G926" s="491">
        <f t="shared" si="14"/>
        <v>1</v>
      </c>
    </row>
    <row r="927" spans="1:7" ht="12.75">
      <c r="A927" s="134" t="s">
        <v>690</v>
      </c>
      <c r="B927" s="134">
        <v>340</v>
      </c>
      <c r="C927" s="491">
        <v>0</v>
      </c>
      <c r="D927" s="491">
        <v>1</v>
      </c>
      <c r="E927" s="491">
        <v>0</v>
      </c>
      <c r="F927" s="491">
        <v>0</v>
      </c>
      <c r="G927" s="491">
        <f t="shared" si="14"/>
        <v>1</v>
      </c>
    </row>
    <row r="928" spans="1:7" ht="12.75">
      <c r="A928" s="134" t="s">
        <v>691</v>
      </c>
      <c r="B928" s="134">
        <v>100</v>
      </c>
      <c r="C928" s="491">
        <v>4</v>
      </c>
      <c r="D928" s="491">
        <v>5</v>
      </c>
      <c r="E928" s="491">
        <v>0</v>
      </c>
      <c r="F928" s="491">
        <v>5</v>
      </c>
      <c r="G928" s="491">
        <f t="shared" si="14"/>
        <v>14</v>
      </c>
    </row>
    <row r="929" spans="1:7" ht="12.75">
      <c r="A929" s="134" t="s">
        <v>691</v>
      </c>
      <c r="B929" s="134">
        <v>101</v>
      </c>
      <c r="C929" s="491">
        <v>1</v>
      </c>
      <c r="D929" s="491">
        <v>5</v>
      </c>
      <c r="E929" s="491">
        <v>0</v>
      </c>
      <c r="F929" s="491">
        <v>0</v>
      </c>
      <c r="G929" s="491">
        <f t="shared" si="14"/>
        <v>6</v>
      </c>
    </row>
    <row r="930" spans="1:7" ht="12.75">
      <c r="A930" s="134" t="s">
        <v>691</v>
      </c>
      <c r="B930" s="134">
        <v>103</v>
      </c>
      <c r="C930" s="491">
        <v>2</v>
      </c>
      <c r="D930" s="491">
        <v>0</v>
      </c>
      <c r="E930" s="491">
        <v>0</v>
      </c>
      <c r="F930" s="491">
        <v>0</v>
      </c>
      <c r="G930" s="491">
        <f t="shared" si="14"/>
        <v>2</v>
      </c>
    </row>
    <row r="931" spans="1:7" ht="12.75">
      <c r="A931" s="134" t="s">
        <v>691</v>
      </c>
      <c r="B931" s="134">
        <v>104</v>
      </c>
      <c r="C931" s="491">
        <v>0</v>
      </c>
      <c r="D931" s="491">
        <v>1</v>
      </c>
      <c r="E931" s="491">
        <v>0</v>
      </c>
      <c r="F931" s="491">
        <v>0</v>
      </c>
      <c r="G931" s="491">
        <f t="shared" si="14"/>
        <v>1</v>
      </c>
    </row>
    <row r="932" spans="1:7" ht="12.75">
      <c r="A932" s="134" t="s">
        <v>691</v>
      </c>
      <c r="B932" s="134">
        <v>110</v>
      </c>
      <c r="C932" s="491">
        <v>3</v>
      </c>
      <c r="D932" s="491">
        <v>2</v>
      </c>
      <c r="E932" s="491">
        <v>2</v>
      </c>
      <c r="F932" s="491">
        <v>0</v>
      </c>
      <c r="G932" s="491">
        <f t="shared" si="14"/>
        <v>7</v>
      </c>
    </row>
    <row r="933" spans="1:7" ht="12.75">
      <c r="A933" s="134" t="s">
        <v>691</v>
      </c>
      <c r="B933" s="134">
        <v>120</v>
      </c>
      <c r="C933" s="491">
        <v>3337</v>
      </c>
      <c r="D933" s="491">
        <v>8376</v>
      </c>
      <c r="E933" s="491">
        <v>33</v>
      </c>
      <c r="F933" s="491">
        <v>88</v>
      </c>
      <c r="G933" s="491">
        <f t="shared" si="14"/>
        <v>11834</v>
      </c>
    </row>
    <row r="934" spans="1:7" ht="12.75">
      <c r="A934" s="134" t="s">
        <v>691</v>
      </c>
      <c r="B934" s="134">
        <v>130</v>
      </c>
      <c r="C934" s="491">
        <v>4</v>
      </c>
      <c r="D934" s="491">
        <v>4</v>
      </c>
      <c r="E934" s="491">
        <v>0</v>
      </c>
      <c r="F934" s="491">
        <v>0</v>
      </c>
      <c r="G934" s="491">
        <f t="shared" si="14"/>
        <v>8</v>
      </c>
    </row>
    <row r="935" spans="1:7" ht="12.75">
      <c r="A935" s="134" t="s">
        <v>691</v>
      </c>
      <c r="B935" s="134">
        <v>140</v>
      </c>
      <c r="C935" s="491">
        <v>3</v>
      </c>
      <c r="D935" s="491">
        <v>2</v>
      </c>
      <c r="E935" s="491">
        <v>0</v>
      </c>
      <c r="F935" s="491">
        <v>2</v>
      </c>
      <c r="G935" s="491">
        <f t="shared" si="14"/>
        <v>7</v>
      </c>
    </row>
    <row r="936" spans="1:7" ht="12.75">
      <c r="A936" s="134" t="s">
        <v>691</v>
      </c>
      <c r="B936" s="134">
        <v>144</v>
      </c>
      <c r="C936" s="491">
        <v>10</v>
      </c>
      <c r="D936" s="491">
        <v>1</v>
      </c>
      <c r="E936" s="491">
        <v>1</v>
      </c>
      <c r="F936" s="491">
        <v>0</v>
      </c>
      <c r="G936" s="491">
        <f t="shared" si="14"/>
        <v>12</v>
      </c>
    </row>
    <row r="937" spans="1:7" ht="12.75">
      <c r="A937" s="134" t="s">
        <v>691</v>
      </c>
      <c r="B937" s="134">
        <v>160</v>
      </c>
      <c r="C937" s="491">
        <v>0</v>
      </c>
      <c r="D937" s="491">
        <v>3</v>
      </c>
      <c r="E937" s="491">
        <v>0</v>
      </c>
      <c r="F937" s="491">
        <v>0</v>
      </c>
      <c r="G937" s="491">
        <f t="shared" si="14"/>
        <v>3</v>
      </c>
    </row>
    <row r="938" spans="1:7" ht="12.75">
      <c r="A938" s="134" t="s">
        <v>691</v>
      </c>
      <c r="B938" s="134">
        <v>180</v>
      </c>
      <c r="C938" s="491">
        <v>0</v>
      </c>
      <c r="D938" s="491">
        <v>1</v>
      </c>
      <c r="E938" s="491">
        <v>0</v>
      </c>
      <c r="F938" s="491">
        <v>0</v>
      </c>
      <c r="G938" s="491">
        <f t="shared" si="14"/>
        <v>1</v>
      </c>
    </row>
    <row r="939" spans="1:7" ht="12.75">
      <c r="A939" s="134" t="s">
        <v>691</v>
      </c>
      <c r="B939" s="134">
        <v>215</v>
      </c>
      <c r="C939" s="491">
        <v>7</v>
      </c>
      <c r="D939" s="491">
        <v>5</v>
      </c>
      <c r="E939" s="491">
        <v>0</v>
      </c>
      <c r="F939" s="491">
        <v>0</v>
      </c>
      <c r="G939" s="491">
        <f t="shared" si="14"/>
        <v>12</v>
      </c>
    </row>
    <row r="940" spans="1:7" ht="12.75">
      <c r="A940" s="134" t="s">
        <v>691</v>
      </c>
      <c r="B940" s="134">
        <v>300</v>
      </c>
      <c r="C940" s="491">
        <v>2</v>
      </c>
      <c r="D940" s="491">
        <v>0</v>
      </c>
      <c r="E940" s="491">
        <v>0</v>
      </c>
      <c r="F940" s="491">
        <v>0</v>
      </c>
      <c r="G940" s="491">
        <f t="shared" si="14"/>
        <v>2</v>
      </c>
    </row>
    <row r="941" spans="1:7" ht="12.75">
      <c r="A941" s="134" t="s">
        <v>691</v>
      </c>
      <c r="B941" s="134">
        <v>301</v>
      </c>
      <c r="C941" s="491">
        <v>3</v>
      </c>
      <c r="D941" s="491">
        <v>0</v>
      </c>
      <c r="E941" s="491">
        <v>0</v>
      </c>
      <c r="F941" s="491">
        <v>0</v>
      </c>
      <c r="G941" s="491">
        <f t="shared" si="14"/>
        <v>3</v>
      </c>
    </row>
    <row r="942" spans="1:7" ht="12.75">
      <c r="A942" s="134" t="s">
        <v>691</v>
      </c>
      <c r="B942" s="134">
        <v>303</v>
      </c>
      <c r="C942" s="491">
        <v>0</v>
      </c>
      <c r="D942" s="491">
        <v>3</v>
      </c>
      <c r="E942" s="491">
        <v>0</v>
      </c>
      <c r="F942" s="491">
        <v>0</v>
      </c>
      <c r="G942" s="491">
        <f t="shared" si="14"/>
        <v>3</v>
      </c>
    </row>
    <row r="943" spans="1:7" ht="12.75">
      <c r="A943" s="134" t="s">
        <v>691</v>
      </c>
      <c r="B943" s="134">
        <v>307</v>
      </c>
      <c r="C943" s="491">
        <v>3</v>
      </c>
      <c r="D943" s="491">
        <v>2</v>
      </c>
      <c r="E943" s="491">
        <v>0</v>
      </c>
      <c r="F943" s="491">
        <v>0</v>
      </c>
      <c r="G943" s="491">
        <f t="shared" si="14"/>
        <v>5</v>
      </c>
    </row>
    <row r="944" spans="1:7" ht="12.75">
      <c r="A944" s="134" t="s">
        <v>691</v>
      </c>
      <c r="B944" s="134">
        <v>309</v>
      </c>
      <c r="C944" s="491">
        <v>1</v>
      </c>
      <c r="D944" s="491">
        <v>0</v>
      </c>
      <c r="E944" s="491">
        <v>0</v>
      </c>
      <c r="F944" s="491">
        <v>0</v>
      </c>
      <c r="G944" s="491">
        <f t="shared" si="14"/>
        <v>1</v>
      </c>
    </row>
    <row r="945" spans="1:7" ht="12.75">
      <c r="A945" s="134" t="s">
        <v>691</v>
      </c>
      <c r="B945" s="134">
        <v>310</v>
      </c>
      <c r="C945" s="491">
        <v>1</v>
      </c>
      <c r="D945" s="491">
        <v>2</v>
      </c>
      <c r="E945" s="491">
        <v>0</v>
      </c>
      <c r="F945" s="491">
        <v>0</v>
      </c>
      <c r="G945" s="491">
        <f t="shared" si="14"/>
        <v>3</v>
      </c>
    </row>
    <row r="946" spans="1:7" ht="12.75">
      <c r="A946" s="134" t="s">
        <v>691</v>
      </c>
      <c r="B946" s="134">
        <v>314</v>
      </c>
      <c r="C946" s="491">
        <v>1</v>
      </c>
      <c r="D946" s="491">
        <v>2</v>
      </c>
      <c r="E946" s="491">
        <v>0</v>
      </c>
      <c r="F946" s="491">
        <v>0</v>
      </c>
      <c r="G946" s="491">
        <f t="shared" si="14"/>
        <v>3</v>
      </c>
    </row>
    <row r="947" spans="1:7" ht="12.75">
      <c r="A947" s="134" t="s">
        <v>691</v>
      </c>
      <c r="B947" s="134">
        <v>318</v>
      </c>
      <c r="C947" s="491">
        <v>0</v>
      </c>
      <c r="D947" s="491">
        <v>1</v>
      </c>
      <c r="E947" s="491">
        <v>0</v>
      </c>
      <c r="F947" s="491">
        <v>0</v>
      </c>
      <c r="G947" s="491">
        <f t="shared" si="14"/>
        <v>1</v>
      </c>
    </row>
    <row r="948" spans="1:7" ht="12.75">
      <c r="A948" s="134" t="s">
        <v>691</v>
      </c>
      <c r="B948" s="134">
        <v>320</v>
      </c>
      <c r="C948" s="491">
        <v>2</v>
      </c>
      <c r="D948" s="491">
        <v>3</v>
      </c>
      <c r="E948" s="491">
        <v>1</v>
      </c>
      <c r="F948" s="491">
        <v>0</v>
      </c>
      <c r="G948" s="491">
        <f t="shared" si="14"/>
        <v>6</v>
      </c>
    </row>
    <row r="949" spans="1:7" ht="12.75">
      <c r="A949" s="134" t="s">
        <v>691</v>
      </c>
      <c r="B949" s="134">
        <v>324</v>
      </c>
      <c r="C949" s="491">
        <v>1</v>
      </c>
      <c r="D949" s="491">
        <v>0</v>
      </c>
      <c r="E949" s="491">
        <v>0</v>
      </c>
      <c r="F949" s="491">
        <v>0</v>
      </c>
      <c r="G949" s="491">
        <f t="shared" si="14"/>
        <v>1</v>
      </c>
    </row>
    <row r="950" spans="1:7" ht="12.75">
      <c r="A950" s="134" t="s">
        <v>691</v>
      </c>
      <c r="B950" s="134">
        <v>330</v>
      </c>
      <c r="C950" s="491">
        <v>6</v>
      </c>
      <c r="D950" s="491">
        <v>2</v>
      </c>
      <c r="E950" s="491">
        <v>0</v>
      </c>
      <c r="F950" s="491">
        <v>0</v>
      </c>
      <c r="G950" s="491">
        <f t="shared" si="14"/>
        <v>8</v>
      </c>
    </row>
    <row r="951" spans="1:7" ht="12.75">
      <c r="A951" s="134" t="s">
        <v>691</v>
      </c>
      <c r="B951" s="134">
        <v>340</v>
      </c>
      <c r="C951" s="491">
        <v>0</v>
      </c>
      <c r="D951" s="491">
        <v>2</v>
      </c>
      <c r="E951" s="491">
        <v>0</v>
      </c>
      <c r="F951" s="491">
        <v>0</v>
      </c>
      <c r="G951" s="491">
        <f t="shared" si="14"/>
        <v>2</v>
      </c>
    </row>
    <row r="952" spans="1:7" ht="12.75">
      <c r="A952" s="134" t="s">
        <v>691</v>
      </c>
      <c r="B952" s="134">
        <v>341</v>
      </c>
      <c r="C952" s="491">
        <v>2</v>
      </c>
      <c r="D952" s="491">
        <v>1</v>
      </c>
      <c r="E952" s="491">
        <v>0</v>
      </c>
      <c r="F952" s="491">
        <v>0</v>
      </c>
      <c r="G952" s="491">
        <f t="shared" si="14"/>
        <v>3</v>
      </c>
    </row>
    <row r="953" spans="1:7" ht="12.75">
      <c r="A953" s="134" t="s">
        <v>691</v>
      </c>
      <c r="B953" s="134">
        <v>361</v>
      </c>
      <c r="C953" s="491">
        <v>0</v>
      </c>
      <c r="D953" s="491">
        <v>1</v>
      </c>
      <c r="E953" s="491">
        <v>0</v>
      </c>
      <c r="F953" s="491">
        <v>0</v>
      </c>
      <c r="G953" s="491">
        <f t="shared" si="14"/>
        <v>1</v>
      </c>
    </row>
    <row r="954" spans="1:7" ht="12.75">
      <c r="A954" s="134" t="s">
        <v>691</v>
      </c>
      <c r="B954" s="134">
        <v>370</v>
      </c>
      <c r="C954" s="491">
        <v>1</v>
      </c>
      <c r="D954" s="491">
        <v>1</v>
      </c>
      <c r="E954" s="491">
        <v>0</v>
      </c>
      <c r="F954" s="491">
        <v>0</v>
      </c>
      <c r="G954" s="491">
        <f t="shared" si="14"/>
        <v>2</v>
      </c>
    </row>
    <row r="955" spans="1:7" ht="12.75">
      <c r="A955" s="134" t="s">
        <v>691</v>
      </c>
      <c r="B955" s="134">
        <v>400</v>
      </c>
      <c r="C955" s="491">
        <v>0</v>
      </c>
      <c r="D955" s="491">
        <v>2</v>
      </c>
      <c r="E955" s="491">
        <v>0</v>
      </c>
      <c r="F955" s="491">
        <v>0</v>
      </c>
      <c r="G955" s="491">
        <f t="shared" si="14"/>
        <v>2</v>
      </c>
    </row>
    <row r="956" spans="1:7" ht="12.75">
      <c r="A956" s="134" t="s">
        <v>691</v>
      </c>
      <c r="B956" s="134">
        <v>410</v>
      </c>
      <c r="C956" s="491">
        <v>1</v>
      </c>
      <c r="D956" s="491">
        <v>1</v>
      </c>
      <c r="E956" s="491">
        <v>1</v>
      </c>
      <c r="F956" s="491">
        <v>0</v>
      </c>
      <c r="G956" s="491">
        <f t="shared" si="14"/>
        <v>3</v>
      </c>
    </row>
    <row r="957" spans="1:7" ht="12.75">
      <c r="A957" s="134" t="s">
        <v>691</v>
      </c>
      <c r="B957" s="134">
        <v>501</v>
      </c>
      <c r="C957" s="491">
        <v>1</v>
      </c>
      <c r="D957" s="491">
        <v>4</v>
      </c>
      <c r="E957" s="491">
        <v>0</v>
      </c>
      <c r="F957" s="491">
        <v>0</v>
      </c>
      <c r="G957" s="491">
        <f t="shared" si="14"/>
        <v>5</v>
      </c>
    </row>
    <row r="958" spans="1:7" ht="12.75">
      <c r="A958" s="134" t="s">
        <v>691</v>
      </c>
      <c r="B958" s="134">
        <v>502</v>
      </c>
      <c r="C958" s="491">
        <v>2</v>
      </c>
      <c r="D958" s="491">
        <v>2</v>
      </c>
      <c r="E958" s="491">
        <v>0</v>
      </c>
      <c r="F958" s="491">
        <v>0</v>
      </c>
      <c r="G958" s="491">
        <f t="shared" si="14"/>
        <v>4</v>
      </c>
    </row>
    <row r="959" spans="1:7" ht="12.75">
      <c r="A959" s="134" t="s">
        <v>691</v>
      </c>
      <c r="B959" s="134">
        <v>650</v>
      </c>
      <c r="C959" s="491">
        <v>0</v>
      </c>
      <c r="D959" s="491">
        <v>3</v>
      </c>
      <c r="E959" s="491">
        <v>0</v>
      </c>
      <c r="F959" s="491">
        <v>0</v>
      </c>
      <c r="G959" s="491">
        <f t="shared" si="14"/>
        <v>3</v>
      </c>
    </row>
    <row r="960" spans="1:7" ht="12.75">
      <c r="A960" s="134" t="s">
        <v>691</v>
      </c>
      <c r="B960" s="134">
        <v>653</v>
      </c>
      <c r="C960" s="491">
        <v>1</v>
      </c>
      <c r="D960" s="491">
        <v>0</v>
      </c>
      <c r="E960" s="491">
        <v>0</v>
      </c>
      <c r="F960" s="491">
        <v>0</v>
      </c>
      <c r="G960" s="491">
        <f t="shared" si="14"/>
        <v>1</v>
      </c>
    </row>
    <row r="961" spans="1:7" ht="12.75">
      <c r="A961" s="134" t="s">
        <v>691</v>
      </c>
      <c r="B961" s="134">
        <v>654</v>
      </c>
      <c r="C961" s="491">
        <v>0</v>
      </c>
      <c r="D961" s="491">
        <v>1</v>
      </c>
      <c r="E961" s="491">
        <v>0</v>
      </c>
      <c r="F961" s="491">
        <v>0</v>
      </c>
      <c r="G961" s="491">
        <f t="shared" si="14"/>
        <v>1</v>
      </c>
    </row>
    <row r="962" spans="1:7" ht="12.75">
      <c r="A962" s="134" t="s">
        <v>691</v>
      </c>
      <c r="B962" s="134">
        <v>800</v>
      </c>
      <c r="C962" s="491">
        <v>1</v>
      </c>
      <c r="D962" s="491">
        <v>1</v>
      </c>
      <c r="E962" s="491">
        <v>0</v>
      </c>
      <c r="F962" s="491">
        <v>0</v>
      </c>
      <c r="G962" s="491">
        <f t="shared" si="14"/>
        <v>2</v>
      </c>
    </row>
    <row r="963" spans="1:7" ht="12.75">
      <c r="A963" s="134" t="s">
        <v>691</v>
      </c>
      <c r="B963" s="134">
        <v>840</v>
      </c>
      <c r="C963" s="491">
        <v>1</v>
      </c>
      <c r="D963" s="491">
        <v>0</v>
      </c>
      <c r="E963" s="491">
        <v>0</v>
      </c>
      <c r="F963" s="491">
        <v>0</v>
      </c>
      <c r="G963" s="491">
        <f t="shared" si="14"/>
        <v>1</v>
      </c>
    </row>
    <row r="964" spans="1:7" ht="12.75">
      <c r="A964" s="134" t="s">
        <v>692</v>
      </c>
      <c r="B964" s="134">
        <v>100</v>
      </c>
      <c r="C964" s="491">
        <v>2</v>
      </c>
      <c r="D964" s="491">
        <v>1</v>
      </c>
      <c r="E964" s="491">
        <v>0</v>
      </c>
      <c r="F964" s="491">
        <v>0</v>
      </c>
      <c r="G964" s="491">
        <f t="shared" ref="G964:G1027" si="15">SUM(C964:F964)</f>
        <v>3</v>
      </c>
    </row>
    <row r="965" spans="1:7" ht="12.75">
      <c r="A965" s="134" t="s">
        <v>692</v>
      </c>
      <c r="B965" s="134">
        <v>120</v>
      </c>
      <c r="C965" s="491">
        <v>1339</v>
      </c>
      <c r="D965" s="491">
        <v>3884</v>
      </c>
      <c r="E965" s="491">
        <v>9</v>
      </c>
      <c r="F965" s="491">
        <v>32</v>
      </c>
      <c r="G965" s="491">
        <f t="shared" si="15"/>
        <v>5264</v>
      </c>
    </row>
    <row r="966" spans="1:7" ht="12.75">
      <c r="A966" s="134" t="s">
        <v>692</v>
      </c>
      <c r="B966" s="134">
        <v>140</v>
      </c>
      <c r="C966" s="491">
        <v>0</v>
      </c>
      <c r="D966" s="491">
        <v>5</v>
      </c>
      <c r="E966" s="491">
        <v>0</v>
      </c>
      <c r="F966" s="491">
        <v>0</v>
      </c>
      <c r="G966" s="491">
        <f t="shared" si="15"/>
        <v>5</v>
      </c>
    </row>
    <row r="967" spans="1:7" ht="12.75">
      <c r="A967" s="134" t="s">
        <v>692</v>
      </c>
      <c r="B967" s="134">
        <v>143</v>
      </c>
      <c r="C967" s="491">
        <v>1</v>
      </c>
      <c r="D967" s="491">
        <v>1</v>
      </c>
      <c r="E967" s="491">
        <v>0</v>
      </c>
      <c r="F967" s="491">
        <v>0</v>
      </c>
      <c r="G967" s="491">
        <f t="shared" si="15"/>
        <v>2</v>
      </c>
    </row>
    <row r="968" spans="1:7" ht="12.75">
      <c r="A968" s="134" t="s">
        <v>692</v>
      </c>
      <c r="B968" s="134">
        <v>144</v>
      </c>
      <c r="C968" s="491">
        <v>1</v>
      </c>
      <c r="D968" s="491">
        <v>1</v>
      </c>
      <c r="E968" s="491">
        <v>0</v>
      </c>
      <c r="F968" s="491">
        <v>0</v>
      </c>
      <c r="G968" s="491">
        <f t="shared" si="15"/>
        <v>2</v>
      </c>
    </row>
    <row r="969" spans="1:7" ht="12.75">
      <c r="A969" s="134" t="s">
        <v>692</v>
      </c>
      <c r="B969" s="134">
        <v>180</v>
      </c>
      <c r="C969" s="491">
        <v>0</v>
      </c>
      <c r="D969" s="491">
        <v>1</v>
      </c>
      <c r="E969" s="491">
        <v>0</v>
      </c>
      <c r="F969" s="491">
        <v>0</v>
      </c>
      <c r="G969" s="491">
        <f t="shared" si="15"/>
        <v>1</v>
      </c>
    </row>
    <row r="970" spans="1:7" ht="12.75">
      <c r="A970" s="134" t="s">
        <v>692</v>
      </c>
      <c r="B970" s="134">
        <v>215</v>
      </c>
      <c r="C970" s="491">
        <v>249</v>
      </c>
      <c r="D970" s="491">
        <v>750</v>
      </c>
      <c r="E970" s="491">
        <v>1</v>
      </c>
      <c r="F970" s="491">
        <v>4</v>
      </c>
      <c r="G970" s="491">
        <f t="shared" si="15"/>
        <v>1004</v>
      </c>
    </row>
    <row r="971" spans="1:7" ht="12.75">
      <c r="A971" s="134" t="s">
        <v>692</v>
      </c>
      <c r="B971" s="134">
        <v>216</v>
      </c>
      <c r="C971" s="491">
        <v>0</v>
      </c>
      <c r="D971" s="491">
        <v>1</v>
      </c>
      <c r="E971" s="491">
        <v>0</v>
      </c>
      <c r="F971" s="491">
        <v>0</v>
      </c>
      <c r="G971" s="491">
        <f t="shared" si="15"/>
        <v>1</v>
      </c>
    </row>
    <row r="972" spans="1:7" ht="12.75">
      <c r="A972" s="134" t="s">
        <v>692</v>
      </c>
      <c r="B972" s="134">
        <v>252</v>
      </c>
      <c r="C972" s="491">
        <v>2</v>
      </c>
      <c r="D972" s="491">
        <v>0</v>
      </c>
      <c r="E972" s="491">
        <v>0</v>
      </c>
      <c r="F972" s="491">
        <v>0</v>
      </c>
      <c r="G972" s="491">
        <f t="shared" si="15"/>
        <v>2</v>
      </c>
    </row>
    <row r="973" spans="1:7" ht="12.75">
      <c r="A973" s="134" t="s">
        <v>692</v>
      </c>
      <c r="B973" s="134">
        <v>254</v>
      </c>
      <c r="C973" s="491">
        <v>0</v>
      </c>
      <c r="D973" s="491">
        <v>3</v>
      </c>
      <c r="E973" s="491">
        <v>0</v>
      </c>
      <c r="F973" s="491">
        <v>0</v>
      </c>
      <c r="G973" s="491">
        <f t="shared" si="15"/>
        <v>3</v>
      </c>
    </row>
    <row r="974" spans="1:7" ht="12.75">
      <c r="A974" s="134" t="s">
        <v>692</v>
      </c>
      <c r="B974" s="134">
        <v>310</v>
      </c>
      <c r="C974" s="491">
        <v>3</v>
      </c>
      <c r="D974" s="491">
        <v>20</v>
      </c>
      <c r="E974" s="491">
        <v>0</v>
      </c>
      <c r="F974" s="491">
        <v>0</v>
      </c>
      <c r="G974" s="491">
        <f t="shared" si="15"/>
        <v>23</v>
      </c>
    </row>
    <row r="975" spans="1:7" ht="12.75">
      <c r="A975" s="134" t="s">
        <v>692</v>
      </c>
      <c r="B975" s="134">
        <v>318</v>
      </c>
      <c r="C975" s="491">
        <v>0</v>
      </c>
      <c r="D975" s="491">
        <v>2</v>
      </c>
      <c r="E975" s="491">
        <v>0</v>
      </c>
      <c r="F975" s="491">
        <v>0</v>
      </c>
      <c r="G975" s="491">
        <f t="shared" si="15"/>
        <v>2</v>
      </c>
    </row>
    <row r="976" spans="1:7" ht="12.75">
      <c r="A976" s="134" t="s">
        <v>692</v>
      </c>
      <c r="B976" s="134">
        <v>330</v>
      </c>
      <c r="C976" s="491">
        <v>0</v>
      </c>
      <c r="D976" s="491">
        <v>1</v>
      </c>
      <c r="E976" s="491">
        <v>0</v>
      </c>
      <c r="F976" s="491">
        <v>0</v>
      </c>
      <c r="G976" s="491">
        <f t="shared" si="15"/>
        <v>1</v>
      </c>
    </row>
    <row r="977" spans="1:7" ht="12.75">
      <c r="A977" s="134" t="s">
        <v>692</v>
      </c>
      <c r="B977" s="134">
        <v>420</v>
      </c>
      <c r="C977" s="491">
        <v>2</v>
      </c>
      <c r="D977" s="491">
        <v>4</v>
      </c>
      <c r="E977" s="491">
        <v>0</v>
      </c>
      <c r="F977" s="491">
        <v>0</v>
      </c>
      <c r="G977" s="491">
        <f t="shared" si="15"/>
        <v>6</v>
      </c>
    </row>
    <row r="978" spans="1:7" ht="12.75">
      <c r="A978" s="134" t="s">
        <v>692</v>
      </c>
      <c r="B978" s="134">
        <v>655</v>
      </c>
      <c r="C978" s="491">
        <v>0</v>
      </c>
      <c r="D978" s="491">
        <v>1</v>
      </c>
      <c r="E978" s="491">
        <v>0</v>
      </c>
      <c r="F978" s="491">
        <v>0</v>
      </c>
      <c r="G978" s="491">
        <f t="shared" si="15"/>
        <v>1</v>
      </c>
    </row>
    <row r="979" spans="1:7" ht="12.75">
      <c r="A979" s="134" t="s">
        <v>692</v>
      </c>
      <c r="B979" s="134">
        <v>840</v>
      </c>
      <c r="C979" s="491">
        <v>0</v>
      </c>
      <c r="D979" s="491">
        <v>1</v>
      </c>
      <c r="E979" s="491">
        <v>0</v>
      </c>
      <c r="F979" s="491">
        <v>0</v>
      </c>
      <c r="G979" s="491">
        <f t="shared" si="15"/>
        <v>1</v>
      </c>
    </row>
    <row r="980" spans="1:7" ht="12.75">
      <c r="A980" s="134" t="s">
        <v>693</v>
      </c>
      <c r="B980" s="134">
        <v>120</v>
      </c>
      <c r="C980" s="491">
        <v>85</v>
      </c>
      <c r="D980" s="491">
        <v>84</v>
      </c>
      <c r="E980" s="491">
        <v>0</v>
      </c>
      <c r="F980" s="491">
        <v>0</v>
      </c>
      <c r="G980" s="491">
        <f t="shared" si="15"/>
        <v>169</v>
      </c>
    </row>
    <row r="981" spans="1:7" ht="12.75">
      <c r="A981" s="134" t="s">
        <v>693</v>
      </c>
      <c r="B981" s="134">
        <v>502</v>
      </c>
      <c r="C981" s="491">
        <v>0</v>
      </c>
      <c r="D981" s="491">
        <v>1</v>
      </c>
      <c r="E981" s="491">
        <v>0</v>
      </c>
      <c r="F981" s="491">
        <v>0</v>
      </c>
      <c r="G981" s="491">
        <f t="shared" si="15"/>
        <v>1</v>
      </c>
    </row>
    <row r="982" spans="1:7" ht="12.75">
      <c r="A982" s="134" t="s">
        <v>694</v>
      </c>
      <c r="B982" s="134">
        <v>104</v>
      </c>
      <c r="C982" s="491">
        <v>0</v>
      </c>
      <c r="D982" s="491">
        <v>1</v>
      </c>
      <c r="E982" s="491">
        <v>0</v>
      </c>
      <c r="F982" s="491">
        <v>0</v>
      </c>
      <c r="G982" s="491">
        <f t="shared" si="15"/>
        <v>1</v>
      </c>
    </row>
    <row r="983" spans="1:7" ht="12.75">
      <c r="A983" s="134" t="s">
        <v>694</v>
      </c>
      <c r="B983" s="134">
        <v>120</v>
      </c>
      <c r="C983" s="491">
        <v>252</v>
      </c>
      <c r="D983" s="491">
        <v>47</v>
      </c>
      <c r="E983" s="491">
        <v>0</v>
      </c>
      <c r="F983" s="491">
        <v>0</v>
      </c>
      <c r="G983" s="491">
        <f t="shared" si="15"/>
        <v>299</v>
      </c>
    </row>
    <row r="984" spans="1:7" ht="12.75">
      <c r="A984" s="134" t="s">
        <v>694</v>
      </c>
      <c r="B984" s="134">
        <v>140</v>
      </c>
      <c r="C984" s="491">
        <v>0</v>
      </c>
      <c r="D984" s="491">
        <v>2</v>
      </c>
      <c r="E984" s="491">
        <v>0</v>
      </c>
      <c r="F984" s="491">
        <v>0</v>
      </c>
      <c r="G984" s="491">
        <f t="shared" si="15"/>
        <v>2</v>
      </c>
    </row>
    <row r="985" spans="1:7" ht="12.75">
      <c r="A985" s="134" t="s">
        <v>694</v>
      </c>
      <c r="B985" s="134">
        <v>215</v>
      </c>
      <c r="C985" s="491">
        <v>0</v>
      </c>
      <c r="D985" s="491">
        <v>1</v>
      </c>
      <c r="E985" s="491">
        <v>0</v>
      </c>
      <c r="F985" s="491">
        <v>0</v>
      </c>
      <c r="G985" s="491">
        <f t="shared" si="15"/>
        <v>1</v>
      </c>
    </row>
    <row r="986" spans="1:7" ht="12.75">
      <c r="A986" s="134" t="s">
        <v>694</v>
      </c>
      <c r="B986" s="134">
        <v>304</v>
      </c>
      <c r="C986" s="491">
        <v>1</v>
      </c>
      <c r="D986" s="491">
        <v>0</v>
      </c>
      <c r="E986" s="491">
        <v>0</v>
      </c>
      <c r="F986" s="491">
        <v>0</v>
      </c>
      <c r="G986" s="491">
        <f t="shared" si="15"/>
        <v>1</v>
      </c>
    </row>
    <row r="987" spans="1:7" ht="12.75">
      <c r="A987" s="134" t="s">
        <v>694</v>
      </c>
      <c r="B987" s="134">
        <v>330</v>
      </c>
      <c r="C987" s="491">
        <v>4</v>
      </c>
      <c r="D987" s="491">
        <v>0</v>
      </c>
      <c r="E987" s="491">
        <v>0</v>
      </c>
      <c r="F987" s="491">
        <v>0</v>
      </c>
      <c r="G987" s="491">
        <f t="shared" si="15"/>
        <v>4</v>
      </c>
    </row>
    <row r="988" spans="1:7" ht="12.75">
      <c r="A988" s="134" t="s">
        <v>694</v>
      </c>
      <c r="B988" s="134">
        <v>340</v>
      </c>
      <c r="C988" s="491">
        <v>2</v>
      </c>
      <c r="D988" s="491">
        <v>1</v>
      </c>
      <c r="E988" s="491">
        <v>0</v>
      </c>
      <c r="F988" s="491">
        <v>0</v>
      </c>
      <c r="G988" s="491">
        <f t="shared" si="15"/>
        <v>3</v>
      </c>
    </row>
    <row r="989" spans="1:7" ht="12.75">
      <c r="A989" s="134" t="s">
        <v>694</v>
      </c>
      <c r="B989" s="134">
        <v>420</v>
      </c>
      <c r="C989" s="491">
        <v>2</v>
      </c>
      <c r="D989" s="491">
        <v>0</v>
      </c>
      <c r="E989" s="491">
        <v>1</v>
      </c>
      <c r="F989" s="491">
        <v>0</v>
      </c>
      <c r="G989" s="491">
        <f t="shared" si="15"/>
        <v>3</v>
      </c>
    </row>
    <row r="990" spans="1:7" ht="12.75">
      <c r="A990" s="134" t="s">
        <v>695</v>
      </c>
      <c r="B990" s="134">
        <v>100</v>
      </c>
      <c r="C990" s="491">
        <v>1</v>
      </c>
      <c r="D990" s="491">
        <v>3</v>
      </c>
      <c r="E990" s="491">
        <v>0</v>
      </c>
      <c r="F990" s="491">
        <v>0</v>
      </c>
      <c r="G990" s="491">
        <f t="shared" si="15"/>
        <v>4</v>
      </c>
    </row>
    <row r="991" spans="1:7" ht="12.75">
      <c r="A991" s="134" t="s">
        <v>695</v>
      </c>
      <c r="B991" s="134">
        <v>104</v>
      </c>
      <c r="C991" s="491">
        <v>0</v>
      </c>
      <c r="D991" s="491">
        <v>1</v>
      </c>
      <c r="E991" s="491">
        <v>0</v>
      </c>
      <c r="F991" s="491">
        <v>0</v>
      </c>
      <c r="G991" s="491">
        <f t="shared" si="15"/>
        <v>1</v>
      </c>
    </row>
    <row r="992" spans="1:7" ht="12.75">
      <c r="A992" s="134" t="s">
        <v>695</v>
      </c>
      <c r="B992" s="134">
        <v>110</v>
      </c>
      <c r="C992" s="491">
        <v>2</v>
      </c>
      <c r="D992" s="491">
        <v>0</v>
      </c>
      <c r="E992" s="491">
        <v>0</v>
      </c>
      <c r="F992" s="491">
        <v>0</v>
      </c>
      <c r="G992" s="491">
        <f t="shared" si="15"/>
        <v>2</v>
      </c>
    </row>
    <row r="993" spans="1:7" ht="12.75">
      <c r="A993" s="134" t="s">
        <v>695</v>
      </c>
      <c r="B993" s="134">
        <v>120</v>
      </c>
      <c r="C993" s="491">
        <v>115</v>
      </c>
      <c r="D993" s="491">
        <v>176</v>
      </c>
      <c r="E993" s="491">
        <v>1</v>
      </c>
      <c r="F993" s="491">
        <v>3</v>
      </c>
      <c r="G993" s="491">
        <f t="shared" si="15"/>
        <v>295</v>
      </c>
    </row>
    <row r="994" spans="1:7" ht="12.75">
      <c r="A994" s="134" t="s">
        <v>695</v>
      </c>
      <c r="B994" s="134">
        <v>130</v>
      </c>
      <c r="C994" s="491">
        <v>7</v>
      </c>
      <c r="D994" s="491">
        <v>0</v>
      </c>
      <c r="E994" s="491">
        <v>0</v>
      </c>
      <c r="F994" s="491">
        <v>0</v>
      </c>
      <c r="G994" s="491">
        <f t="shared" si="15"/>
        <v>7</v>
      </c>
    </row>
    <row r="995" spans="1:7" ht="12.75">
      <c r="A995" s="134" t="s">
        <v>695</v>
      </c>
      <c r="B995" s="134">
        <v>140</v>
      </c>
      <c r="C995" s="491">
        <v>77</v>
      </c>
      <c r="D995" s="491">
        <v>24</v>
      </c>
      <c r="E995" s="491">
        <v>3</v>
      </c>
      <c r="F995" s="491">
        <v>0</v>
      </c>
      <c r="G995" s="491">
        <f t="shared" si="15"/>
        <v>104</v>
      </c>
    </row>
    <row r="996" spans="1:7" ht="12.75">
      <c r="A996" s="134" t="s">
        <v>695</v>
      </c>
      <c r="B996" s="134">
        <v>143</v>
      </c>
      <c r="C996" s="491">
        <v>1</v>
      </c>
      <c r="D996" s="491">
        <v>0</v>
      </c>
      <c r="E996" s="491">
        <v>0</v>
      </c>
      <c r="F996" s="491">
        <v>0</v>
      </c>
      <c r="G996" s="491">
        <f t="shared" si="15"/>
        <v>1</v>
      </c>
    </row>
    <row r="997" spans="1:7" ht="12.75">
      <c r="A997" s="134" t="s">
        <v>695</v>
      </c>
      <c r="B997" s="134">
        <v>144</v>
      </c>
      <c r="C997" s="491">
        <v>136</v>
      </c>
      <c r="D997" s="491">
        <v>32</v>
      </c>
      <c r="E997" s="491">
        <v>1</v>
      </c>
      <c r="F997" s="491">
        <v>0</v>
      </c>
      <c r="G997" s="491">
        <f t="shared" si="15"/>
        <v>169</v>
      </c>
    </row>
    <row r="998" spans="1:7" ht="12.75">
      <c r="A998" s="134" t="s">
        <v>695</v>
      </c>
      <c r="B998" s="134">
        <v>160</v>
      </c>
      <c r="C998" s="491">
        <v>266</v>
      </c>
      <c r="D998" s="491">
        <v>28</v>
      </c>
      <c r="E998" s="491">
        <v>58</v>
      </c>
      <c r="F998" s="491">
        <v>1</v>
      </c>
      <c r="G998" s="491">
        <f t="shared" si="15"/>
        <v>353</v>
      </c>
    </row>
    <row r="999" spans="1:7" ht="12.75">
      <c r="A999" s="134" t="s">
        <v>695</v>
      </c>
      <c r="B999" s="134">
        <v>191</v>
      </c>
      <c r="C999" s="491">
        <v>2</v>
      </c>
      <c r="D999" s="491">
        <v>0</v>
      </c>
      <c r="E999" s="491">
        <v>0</v>
      </c>
      <c r="F999" s="491">
        <v>0</v>
      </c>
      <c r="G999" s="491">
        <f t="shared" si="15"/>
        <v>2</v>
      </c>
    </row>
    <row r="1000" spans="1:7" ht="12.75">
      <c r="A1000" s="134" t="s">
        <v>695</v>
      </c>
      <c r="B1000" s="134">
        <v>214</v>
      </c>
      <c r="C1000" s="491">
        <v>0</v>
      </c>
      <c r="D1000" s="491">
        <v>1</v>
      </c>
      <c r="E1000" s="491">
        <v>0</v>
      </c>
      <c r="F1000" s="491">
        <v>0</v>
      </c>
      <c r="G1000" s="491">
        <f t="shared" si="15"/>
        <v>1</v>
      </c>
    </row>
    <row r="1001" spans="1:7" ht="12.75">
      <c r="A1001" s="134" t="s">
        <v>695</v>
      </c>
      <c r="B1001" s="134">
        <v>215</v>
      </c>
      <c r="C1001" s="491">
        <v>1</v>
      </c>
      <c r="D1001" s="491">
        <v>0</v>
      </c>
      <c r="E1001" s="491">
        <v>0</v>
      </c>
      <c r="F1001" s="491">
        <v>0</v>
      </c>
      <c r="G1001" s="491">
        <f t="shared" si="15"/>
        <v>1</v>
      </c>
    </row>
    <row r="1002" spans="1:7" ht="12.75">
      <c r="A1002" s="134" t="s">
        <v>695</v>
      </c>
      <c r="B1002" s="134">
        <v>219</v>
      </c>
      <c r="C1002" s="491">
        <v>7</v>
      </c>
      <c r="D1002" s="491">
        <v>0</v>
      </c>
      <c r="E1002" s="491">
        <v>0</v>
      </c>
      <c r="F1002" s="491">
        <v>0</v>
      </c>
      <c r="G1002" s="491">
        <f t="shared" si="15"/>
        <v>7</v>
      </c>
    </row>
    <row r="1003" spans="1:7" ht="12.75">
      <c r="A1003" s="134" t="s">
        <v>695</v>
      </c>
      <c r="B1003" s="134">
        <v>257</v>
      </c>
      <c r="C1003" s="491">
        <v>5</v>
      </c>
      <c r="D1003" s="491">
        <v>3</v>
      </c>
      <c r="E1003" s="491">
        <v>0</v>
      </c>
      <c r="F1003" s="491">
        <v>0</v>
      </c>
      <c r="G1003" s="491">
        <f t="shared" si="15"/>
        <v>8</v>
      </c>
    </row>
    <row r="1004" spans="1:7" ht="12.75">
      <c r="A1004" s="134" t="s">
        <v>695</v>
      </c>
      <c r="B1004" s="134">
        <v>300</v>
      </c>
      <c r="C1004" s="491">
        <v>0</v>
      </c>
      <c r="D1004" s="491">
        <v>1</v>
      </c>
      <c r="E1004" s="491">
        <v>0</v>
      </c>
      <c r="F1004" s="491">
        <v>0</v>
      </c>
      <c r="G1004" s="491">
        <f t="shared" si="15"/>
        <v>1</v>
      </c>
    </row>
    <row r="1005" spans="1:7" ht="12.75">
      <c r="A1005" s="134" t="s">
        <v>695</v>
      </c>
      <c r="B1005" s="134">
        <v>301</v>
      </c>
      <c r="C1005" s="491">
        <v>2</v>
      </c>
      <c r="D1005" s="491">
        <v>1</v>
      </c>
      <c r="E1005" s="491">
        <v>0</v>
      </c>
      <c r="F1005" s="491">
        <v>0</v>
      </c>
      <c r="G1005" s="491">
        <f t="shared" si="15"/>
        <v>3</v>
      </c>
    </row>
    <row r="1006" spans="1:7" ht="12.75">
      <c r="A1006" s="134" t="s">
        <v>695</v>
      </c>
      <c r="B1006" s="134">
        <v>320</v>
      </c>
      <c r="C1006" s="491">
        <v>0</v>
      </c>
      <c r="D1006" s="491">
        <v>1</v>
      </c>
      <c r="E1006" s="491">
        <v>0</v>
      </c>
      <c r="F1006" s="491">
        <v>0</v>
      </c>
      <c r="G1006" s="491">
        <f t="shared" si="15"/>
        <v>1</v>
      </c>
    </row>
    <row r="1007" spans="1:7" ht="12.75">
      <c r="A1007" s="134" t="s">
        <v>695</v>
      </c>
      <c r="B1007" s="134">
        <v>330</v>
      </c>
      <c r="C1007" s="491">
        <v>1234</v>
      </c>
      <c r="D1007" s="491">
        <v>244</v>
      </c>
      <c r="E1007" s="491">
        <v>3</v>
      </c>
      <c r="F1007" s="491">
        <v>1</v>
      </c>
      <c r="G1007" s="491">
        <f t="shared" si="15"/>
        <v>1482</v>
      </c>
    </row>
    <row r="1008" spans="1:7" ht="12.75">
      <c r="A1008" s="134" t="s">
        <v>695</v>
      </c>
      <c r="B1008" s="134">
        <v>340</v>
      </c>
      <c r="C1008" s="491">
        <v>1</v>
      </c>
      <c r="D1008" s="491">
        <v>0</v>
      </c>
      <c r="E1008" s="491">
        <v>0</v>
      </c>
      <c r="F1008" s="491">
        <v>0</v>
      </c>
      <c r="G1008" s="491">
        <f t="shared" si="15"/>
        <v>1</v>
      </c>
    </row>
    <row r="1009" spans="1:7" ht="12.75">
      <c r="A1009" s="134" t="s">
        <v>695</v>
      </c>
      <c r="B1009" s="134">
        <v>400</v>
      </c>
      <c r="C1009" s="491">
        <v>0</v>
      </c>
      <c r="D1009" s="491">
        <v>1</v>
      </c>
      <c r="E1009" s="491">
        <v>0</v>
      </c>
      <c r="F1009" s="491">
        <v>0</v>
      </c>
      <c r="G1009" s="491">
        <f t="shared" si="15"/>
        <v>1</v>
      </c>
    </row>
    <row r="1010" spans="1:7" ht="12.75">
      <c r="A1010" s="134" t="s">
        <v>695</v>
      </c>
      <c r="B1010" s="134">
        <v>410</v>
      </c>
      <c r="C1010" s="491">
        <v>1</v>
      </c>
      <c r="D1010" s="491">
        <v>0</v>
      </c>
      <c r="E1010" s="491">
        <v>0</v>
      </c>
      <c r="F1010" s="491">
        <v>0</v>
      </c>
      <c r="G1010" s="491">
        <f t="shared" si="15"/>
        <v>1</v>
      </c>
    </row>
    <row r="1011" spans="1:7" ht="12.75">
      <c r="A1011" s="134" t="s">
        <v>695</v>
      </c>
      <c r="B1011" s="134">
        <v>420</v>
      </c>
      <c r="C1011" s="491">
        <v>1</v>
      </c>
      <c r="D1011" s="491">
        <v>3</v>
      </c>
      <c r="E1011" s="491">
        <v>0</v>
      </c>
      <c r="F1011" s="491">
        <v>0</v>
      </c>
      <c r="G1011" s="491">
        <f t="shared" si="15"/>
        <v>4</v>
      </c>
    </row>
    <row r="1012" spans="1:7" ht="12.75">
      <c r="A1012" s="134" t="s">
        <v>695</v>
      </c>
      <c r="B1012" s="134">
        <v>501</v>
      </c>
      <c r="C1012" s="491">
        <v>1</v>
      </c>
      <c r="D1012" s="491">
        <v>0</v>
      </c>
      <c r="E1012" s="491">
        <v>0</v>
      </c>
      <c r="F1012" s="491">
        <v>0</v>
      </c>
      <c r="G1012" s="491">
        <f t="shared" si="15"/>
        <v>1</v>
      </c>
    </row>
    <row r="1013" spans="1:7" ht="12.75">
      <c r="A1013" s="134" t="s">
        <v>695</v>
      </c>
      <c r="B1013" s="134">
        <v>502</v>
      </c>
      <c r="C1013" s="491">
        <v>0</v>
      </c>
      <c r="D1013" s="491">
        <v>1</v>
      </c>
      <c r="E1013" s="491">
        <v>0</v>
      </c>
      <c r="F1013" s="491">
        <v>0</v>
      </c>
      <c r="G1013" s="491">
        <f t="shared" si="15"/>
        <v>1</v>
      </c>
    </row>
    <row r="1014" spans="1:7" ht="12.75">
      <c r="A1014" s="134" t="s">
        <v>695</v>
      </c>
      <c r="B1014" s="134">
        <v>560</v>
      </c>
      <c r="C1014" s="491">
        <v>0</v>
      </c>
      <c r="D1014" s="491">
        <v>4</v>
      </c>
      <c r="E1014" s="491">
        <v>0</v>
      </c>
      <c r="F1014" s="491">
        <v>0</v>
      </c>
      <c r="G1014" s="491">
        <f t="shared" si="15"/>
        <v>4</v>
      </c>
    </row>
    <row r="1015" spans="1:7" ht="12.75">
      <c r="A1015" s="134" t="s">
        <v>695</v>
      </c>
      <c r="B1015" s="134">
        <v>800</v>
      </c>
      <c r="C1015" s="491">
        <v>1</v>
      </c>
      <c r="D1015" s="491">
        <v>0</v>
      </c>
      <c r="E1015" s="491">
        <v>1</v>
      </c>
      <c r="F1015" s="491">
        <v>0</v>
      </c>
      <c r="G1015" s="491">
        <f t="shared" si="15"/>
        <v>2</v>
      </c>
    </row>
    <row r="1016" spans="1:7" ht="12.75">
      <c r="A1016" s="134" t="s">
        <v>696</v>
      </c>
      <c r="B1016" s="134">
        <v>120</v>
      </c>
      <c r="C1016" s="491">
        <v>0</v>
      </c>
      <c r="D1016" s="491">
        <v>1</v>
      </c>
      <c r="E1016" s="491">
        <v>0</v>
      </c>
      <c r="F1016" s="491">
        <v>0</v>
      </c>
      <c r="G1016" s="491">
        <f t="shared" si="15"/>
        <v>1</v>
      </c>
    </row>
    <row r="1017" spans="1:7" ht="12.75">
      <c r="A1017" s="134" t="s">
        <v>696</v>
      </c>
      <c r="B1017" s="134">
        <v>160</v>
      </c>
      <c r="C1017" s="491">
        <v>12</v>
      </c>
      <c r="D1017" s="491">
        <v>0</v>
      </c>
      <c r="E1017" s="491">
        <v>0</v>
      </c>
      <c r="F1017" s="491">
        <v>0</v>
      </c>
      <c r="G1017" s="491">
        <f t="shared" si="15"/>
        <v>12</v>
      </c>
    </row>
    <row r="1018" spans="1:7" ht="12.75">
      <c r="A1018" s="134" t="s">
        <v>696</v>
      </c>
      <c r="B1018" s="134">
        <v>330</v>
      </c>
      <c r="C1018" s="491">
        <v>1</v>
      </c>
      <c r="D1018" s="491">
        <v>0</v>
      </c>
      <c r="E1018" s="491">
        <v>0</v>
      </c>
      <c r="F1018" s="491">
        <v>0</v>
      </c>
      <c r="G1018" s="491">
        <f t="shared" si="15"/>
        <v>1</v>
      </c>
    </row>
    <row r="1019" spans="1:7" ht="12.75">
      <c r="A1019" s="134" t="s">
        <v>696</v>
      </c>
      <c r="B1019" s="134">
        <v>340</v>
      </c>
      <c r="C1019" s="491">
        <v>0</v>
      </c>
      <c r="D1019" s="491">
        <v>0</v>
      </c>
      <c r="E1019" s="491">
        <v>0</v>
      </c>
      <c r="F1019" s="491">
        <v>1</v>
      </c>
      <c r="G1019" s="491">
        <f t="shared" si="15"/>
        <v>1</v>
      </c>
    </row>
    <row r="1020" spans="1:7" ht="12.75">
      <c r="A1020" s="134" t="s">
        <v>697</v>
      </c>
      <c r="B1020" s="134">
        <v>120</v>
      </c>
      <c r="C1020" s="491">
        <v>10</v>
      </c>
      <c r="D1020" s="491">
        <v>25</v>
      </c>
      <c r="E1020" s="491">
        <v>0</v>
      </c>
      <c r="F1020" s="491">
        <v>0</v>
      </c>
      <c r="G1020" s="491">
        <f t="shared" si="15"/>
        <v>35</v>
      </c>
    </row>
    <row r="1021" spans="1:7" ht="12.75">
      <c r="A1021" s="134" t="s">
        <v>697</v>
      </c>
      <c r="B1021" s="134">
        <v>330</v>
      </c>
      <c r="C1021" s="491">
        <v>20</v>
      </c>
      <c r="D1021" s="491">
        <v>0</v>
      </c>
      <c r="E1021" s="491">
        <v>0</v>
      </c>
      <c r="F1021" s="491">
        <v>0</v>
      </c>
      <c r="G1021" s="491">
        <f t="shared" si="15"/>
        <v>20</v>
      </c>
    </row>
    <row r="1022" spans="1:7" ht="12.75">
      <c r="A1022" s="134" t="s">
        <v>697</v>
      </c>
      <c r="B1022" s="134">
        <v>340</v>
      </c>
      <c r="C1022" s="491">
        <v>0</v>
      </c>
      <c r="D1022" s="491">
        <v>2</v>
      </c>
      <c r="E1022" s="491">
        <v>0</v>
      </c>
      <c r="F1022" s="491">
        <v>0</v>
      </c>
      <c r="G1022" s="491">
        <f t="shared" si="15"/>
        <v>2</v>
      </c>
    </row>
    <row r="1023" spans="1:7" ht="12.75">
      <c r="A1023" s="134" t="s">
        <v>698</v>
      </c>
      <c r="B1023" s="134">
        <v>120</v>
      </c>
      <c r="C1023" s="491">
        <v>26</v>
      </c>
      <c r="D1023" s="491">
        <v>67</v>
      </c>
      <c r="E1023" s="491">
        <v>1</v>
      </c>
      <c r="F1023" s="491">
        <v>0</v>
      </c>
      <c r="G1023" s="491">
        <f t="shared" si="15"/>
        <v>94</v>
      </c>
    </row>
    <row r="1024" spans="1:7" ht="12.75">
      <c r="A1024" s="134" t="s">
        <v>698</v>
      </c>
      <c r="B1024" s="134">
        <v>130</v>
      </c>
      <c r="C1024" s="491">
        <v>2</v>
      </c>
      <c r="D1024" s="491">
        <v>0</v>
      </c>
      <c r="E1024" s="491">
        <v>0</v>
      </c>
      <c r="F1024" s="491">
        <v>0</v>
      </c>
      <c r="G1024" s="491">
        <f t="shared" si="15"/>
        <v>2</v>
      </c>
    </row>
    <row r="1025" spans="1:7" ht="12.75">
      <c r="A1025" s="134" t="s">
        <v>698</v>
      </c>
      <c r="B1025" s="134">
        <v>140</v>
      </c>
      <c r="C1025" s="491">
        <v>2</v>
      </c>
      <c r="D1025" s="491">
        <v>0</v>
      </c>
      <c r="E1025" s="491">
        <v>0</v>
      </c>
      <c r="F1025" s="491">
        <v>0</v>
      </c>
      <c r="G1025" s="491">
        <f t="shared" si="15"/>
        <v>2</v>
      </c>
    </row>
    <row r="1026" spans="1:7" ht="12.75">
      <c r="A1026" s="134" t="s">
        <v>698</v>
      </c>
      <c r="B1026" s="134">
        <v>144</v>
      </c>
      <c r="C1026" s="491">
        <v>1</v>
      </c>
      <c r="D1026" s="491">
        <v>0</v>
      </c>
      <c r="E1026" s="491">
        <v>0</v>
      </c>
      <c r="F1026" s="491">
        <v>0</v>
      </c>
      <c r="G1026" s="491">
        <f t="shared" si="15"/>
        <v>1</v>
      </c>
    </row>
    <row r="1027" spans="1:7" ht="12.75">
      <c r="A1027" s="134" t="s">
        <v>698</v>
      </c>
      <c r="B1027" s="134">
        <v>160</v>
      </c>
      <c r="C1027" s="491">
        <v>19</v>
      </c>
      <c r="D1027" s="491">
        <v>8</v>
      </c>
      <c r="E1027" s="491">
        <v>0</v>
      </c>
      <c r="F1027" s="491">
        <v>0</v>
      </c>
      <c r="G1027" s="491">
        <f t="shared" si="15"/>
        <v>27</v>
      </c>
    </row>
    <row r="1028" spans="1:7" ht="12.75">
      <c r="A1028" s="134" t="s">
        <v>698</v>
      </c>
      <c r="B1028" s="134">
        <v>215</v>
      </c>
      <c r="C1028" s="491">
        <v>1</v>
      </c>
      <c r="D1028" s="491">
        <v>0</v>
      </c>
      <c r="E1028" s="491">
        <v>0</v>
      </c>
      <c r="F1028" s="491">
        <v>0</v>
      </c>
      <c r="G1028" s="491">
        <f t="shared" ref="G1028:G1091" si="16">SUM(C1028:F1028)</f>
        <v>1</v>
      </c>
    </row>
    <row r="1029" spans="1:7" ht="12.75">
      <c r="A1029" s="134" t="s">
        <v>698</v>
      </c>
      <c r="B1029" s="134">
        <v>257</v>
      </c>
      <c r="C1029" s="491">
        <v>11</v>
      </c>
      <c r="D1029" s="491">
        <v>6</v>
      </c>
      <c r="E1029" s="491">
        <v>0</v>
      </c>
      <c r="F1029" s="491">
        <v>0</v>
      </c>
      <c r="G1029" s="491">
        <f t="shared" si="16"/>
        <v>17</v>
      </c>
    </row>
    <row r="1030" spans="1:7" ht="12.75">
      <c r="A1030" s="134" t="s">
        <v>698</v>
      </c>
      <c r="B1030" s="134">
        <v>300</v>
      </c>
      <c r="C1030" s="491">
        <v>1</v>
      </c>
      <c r="D1030" s="491">
        <v>0</v>
      </c>
      <c r="E1030" s="491">
        <v>0</v>
      </c>
      <c r="F1030" s="491">
        <v>0</v>
      </c>
      <c r="G1030" s="491">
        <f t="shared" si="16"/>
        <v>1</v>
      </c>
    </row>
    <row r="1031" spans="1:7" ht="12.75">
      <c r="A1031" s="134" t="s">
        <v>698</v>
      </c>
      <c r="B1031" s="134">
        <v>302</v>
      </c>
      <c r="C1031" s="491">
        <v>0</v>
      </c>
      <c r="D1031" s="491">
        <v>2</v>
      </c>
      <c r="E1031" s="491">
        <v>0</v>
      </c>
      <c r="F1031" s="491">
        <v>0</v>
      </c>
      <c r="G1031" s="491">
        <f t="shared" si="16"/>
        <v>2</v>
      </c>
    </row>
    <row r="1032" spans="1:7" ht="12.75">
      <c r="A1032" s="134" t="s">
        <v>698</v>
      </c>
      <c r="B1032" s="134">
        <v>304</v>
      </c>
      <c r="C1032" s="491">
        <v>2</v>
      </c>
      <c r="D1032" s="491">
        <v>0</v>
      </c>
      <c r="E1032" s="491">
        <v>0</v>
      </c>
      <c r="F1032" s="491">
        <v>0</v>
      </c>
      <c r="G1032" s="491">
        <f t="shared" si="16"/>
        <v>2</v>
      </c>
    </row>
    <row r="1033" spans="1:7" ht="12.75">
      <c r="A1033" s="134" t="s">
        <v>698</v>
      </c>
      <c r="B1033" s="134">
        <v>307</v>
      </c>
      <c r="C1033" s="491">
        <v>0</v>
      </c>
      <c r="D1033" s="491">
        <v>1</v>
      </c>
      <c r="E1033" s="491">
        <v>0</v>
      </c>
      <c r="F1033" s="491">
        <v>0</v>
      </c>
      <c r="G1033" s="491">
        <f t="shared" si="16"/>
        <v>1</v>
      </c>
    </row>
    <row r="1034" spans="1:7" ht="12.75">
      <c r="A1034" s="134" t="s">
        <v>698</v>
      </c>
      <c r="B1034" s="134">
        <v>320</v>
      </c>
      <c r="C1034" s="491">
        <v>1</v>
      </c>
      <c r="D1034" s="491">
        <v>1</v>
      </c>
      <c r="E1034" s="491">
        <v>0</v>
      </c>
      <c r="F1034" s="491">
        <v>0</v>
      </c>
      <c r="G1034" s="491">
        <f t="shared" si="16"/>
        <v>2</v>
      </c>
    </row>
    <row r="1035" spans="1:7" ht="12.75">
      <c r="A1035" s="134" t="s">
        <v>698</v>
      </c>
      <c r="B1035" s="134">
        <v>330</v>
      </c>
      <c r="C1035" s="491">
        <v>230</v>
      </c>
      <c r="D1035" s="491">
        <v>17</v>
      </c>
      <c r="E1035" s="491">
        <v>0</v>
      </c>
      <c r="F1035" s="491">
        <v>0</v>
      </c>
      <c r="G1035" s="491">
        <f t="shared" si="16"/>
        <v>247</v>
      </c>
    </row>
    <row r="1036" spans="1:7" ht="12.75">
      <c r="A1036" s="134" t="s">
        <v>698</v>
      </c>
      <c r="B1036" s="134">
        <v>340</v>
      </c>
      <c r="C1036" s="491">
        <v>0</v>
      </c>
      <c r="D1036" s="491">
        <v>2</v>
      </c>
      <c r="E1036" s="491">
        <v>3</v>
      </c>
      <c r="F1036" s="491">
        <v>0</v>
      </c>
      <c r="G1036" s="491">
        <f t="shared" si="16"/>
        <v>5</v>
      </c>
    </row>
    <row r="1037" spans="1:7" ht="12.75">
      <c r="A1037" s="134" t="s">
        <v>698</v>
      </c>
      <c r="B1037" s="134">
        <v>501</v>
      </c>
      <c r="C1037" s="491">
        <v>2</v>
      </c>
      <c r="D1037" s="491">
        <v>1</v>
      </c>
      <c r="E1037" s="491">
        <v>0</v>
      </c>
      <c r="F1037" s="491">
        <v>0</v>
      </c>
      <c r="G1037" s="491">
        <f t="shared" si="16"/>
        <v>3</v>
      </c>
    </row>
    <row r="1038" spans="1:7" ht="12.75">
      <c r="A1038" s="134" t="s">
        <v>698</v>
      </c>
      <c r="B1038" s="134">
        <v>560</v>
      </c>
      <c r="C1038" s="491">
        <v>0</v>
      </c>
      <c r="D1038" s="491">
        <v>1</v>
      </c>
      <c r="E1038" s="491">
        <v>0</v>
      </c>
      <c r="F1038" s="491">
        <v>0</v>
      </c>
      <c r="G1038" s="491">
        <f t="shared" si="16"/>
        <v>1</v>
      </c>
    </row>
    <row r="1039" spans="1:7" ht="12.75">
      <c r="A1039" s="134" t="s">
        <v>698</v>
      </c>
      <c r="B1039" s="134">
        <v>650</v>
      </c>
      <c r="C1039" s="491">
        <v>0</v>
      </c>
      <c r="D1039" s="491">
        <v>1</v>
      </c>
      <c r="E1039" s="491">
        <v>0</v>
      </c>
      <c r="F1039" s="491">
        <v>0</v>
      </c>
      <c r="G1039" s="491">
        <f t="shared" si="16"/>
        <v>1</v>
      </c>
    </row>
    <row r="1040" spans="1:7" ht="12.75">
      <c r="A1040" s="134" t="s">
        <v>698</v>
      </c>
      <c r="B1040" s="134">
        <v>800</v>
      </c>
      <c r="C1040" s="491">
        <v>1</v>
      </c>
      <c r="D1040" s="491">
        <v>0</v>
      </c>
      <c r="E1040" s="491">
        <v>1</v>
      </c>
      <c r="F1040" s="491">
        <v>0</v>
      </c>
      <c r="G1040" s="491">
        <f t="shared" si="16"/>
        <v>2</v>
      </c>
    </row>
    <row r="1041" spans="1:7" ht="12.75">
      <c r="A1041" s="134" t="s">
        <v>698</v>
      </c>
      <c r="B1041" s="134">
        <v>822</v>
      </c>
      <c r="C1041" s="491">
        <v>1</v>
      </c>
      <c r="D1041" s="491">
        <v>0</v>
      </c>
      <c r="E1041" s="491">
        <v>0</v>
      </c>
      <c r="F1041" s="491">
        <v>0</v>
      </c>
      <c r="G1041" s="491">
        <f t="shared" si="16"/>
        <v>1</v>
      </c>
    </row>
    <row r="1042" spans="1:7" ht="12.75">
      <c r="A1042" s="134" t="s">
        <v>699</v>
      </c>
      <c r="B1042" s="134">
        <v>120</v>
      </c>
      <c r="C1042" s="491">
        <v>680</v>
      </c>
      <c r="D1042" s="491">
        <v>1186</v>
      </c>
      <c r="E1042" s="491">
        <v>46</v>
      </c>
      <c r="F1042" s="491">
        <v>3</v>
      </c>
      <c r="G1042" s="491">
        <f t="shared" si="16"/>
        <v>1915</v>
      </c>
    </row>
    <row r="1043" spans="1:7" ht="12.75">
      <c r="A1043" s="134" t="s">
        <v>699</v>
      </c>
      <c r="B1043" s="134">
        <v>140</v>
      </c>
      <c r="C1043" s="491">
        <v>8</v>
      </c>
      <c r="D1043" s="491">
        <v>0</v>
      </c>
      <c r="E1043" s="491">
        <v>0</v>
      </c>
      <c r="F1043" s="491">
        <v>0</v>
      </c>
      <c r="G1043" s="491">
        <f t="shared" si="16"/>
        <v>8</v>
      </c>
    </row>
    <row r="1044" spans="1:7" ht="12.75">
      <c r="A1044" s="134" t="s">
        <v>699</v>
      </c>
      <c r="B1044" s="134">
        <v>144</v>
      </c>
      <c r="C1044" s="491">
        <v>34</v>
      </c>
      <c r="D1044" s="491">
        <v>2</v>
      </c>
      <c r="E1044" s="491">
        <v>0</v>
      </c>
      <c r="F1044" s="491">
        <v>0</v>
      </c>
      <c r="G1044" s="491">
        <f t="shared" si="16"/>
        <v>36</v>
      </c>
    </row>
    <row r="1045" spans="1:7" ht="12.75">
      <c r="A1045" s="134" t="s">
        <v>699</v>
      </c>
      <c r="B1045" s="134">
        <v>160</v>
      </c>
      <c r="C1045" s="491">
        <v>4</v>
      </c>
      <c r="D1045" s="491">
        <v>0</v>
      </c>
      <c r="E1045" s="491">
        <v>0</v>
      </c>
      <c r="F1045" s="491">
        <v>0</v>
      </c>
      <c r="G1045" s="491">
        <f t="shared" si="16"/>
        <v>4</v>
      </c>
    </row>
    <row r="1046" spans="1:7" ht="12.75">
      <c r="A1046" s="134" t="s">
        <v>699</v>
      </c>
      <c r="B1046" s="134">
        <v>215</v>
      </c>
      <c r="C1046" s="491">
        <v>0</v>
      </c>
      <c r="D1046" s="491">
        <v>1</v>
      </c>
      <c r="E1046" s="491">
        <v>0</v>
      </c>
      <c r="F1046" s="491">
        <v>0</v>
      </c>
      <c r="G1046" s="491">
        <f t="shared" si="16"/>
        <v>1</v>
      </c>
    </row>
    <row r="1047" spans="1:7" ht="12.75">
      <c r="A1047" s="134" t="s">
        <v>699</v>
      </c>
      <c r="B1047" s="134">
        <v>300</v>
      </c>
      <c r="C1047" s="491">
        <v>1</v>
      </c>
      <c r="D1047" s="491">
        <v>0</v>
      </c>
      <c r="E1047" s="491">
        <v>0</v>
      </c>
      <c r="F1047" s="491">
        <v>0</v>
      </c>
      <c r="G1047" s="491">
        <f t="shared" si="16"/>
        <v>1</v>
      </c>
    </row>
    <row r="1048" spans="1:7" ht="12.75">
      <c r="A1048" s="134" t="s">
        <v>699</v>
      </c>
      <c r="B1048" s="134">
        <v>330</v>
      </c>
      <c r="C1048" s="491">
        <v>29</v>
      </c>
      <c r="D1048" s="491">
        <v>1</v>
      </c>
      <c r="E1048" s="491">
        <v>0</v>
      </c>
      <c r="F1048" s="491">
        <v>0</v>
      </c>
      <c r="G1048" s="491">
        <f t="shared" si="16"/>
        <v>30</v>
      </c>
    </row>
    <row r="1049" spans="1:7" ht="12.75">
      <c r="A1049" s="134" t="s">
        <v>699</v>
      </c>
      <c r="B1049" s="134">
        <v>343</v>
      </c>
      <c r="C1049" s="491">
        <v>2</v>
      </c>
      <c r="D1049" s="491">
        <v>0</v>
      </c>
      <c r="E1049" s="491">
        <v>0</v>
      </c>
      <c r="F1049" s="491">
        <v>0</v>
      </c>
      <c r="G1049" s="491">
        <f t="shared" si="16"/>
        <v>2</v>
      </c>
    </row>
    <row r="1050" spans="1:7" ht="12.75">
      <c r="A1050" s="134" t="s">
        <v>700</v>
      </c>
      <c r="B1050" s="134">
        <v>100</v>
      </c>
      <c r="C1050" s="491">
        <v>3</v>
      </c>
      <c r="D1050" s="491">
        <v>0</v>
      </c>
      <c r="E1050" s="491">
        <v>0</v>
      </c>
      <c r="F1050" s="491">
        <v>0</v>
      </c>
      <c r="G1050" s="491">
        <f t="shared" si="16"/>
        <v>3</v>
      </c>
    </row>
    <row r="1051" spans="1:7" ht="12.75">
      <c r="A1051" s="134" t="s">
        <v>700</v>
      </c>
      <c r="B1051" s="134">
        <v>110</v>
      </c>
      <c r="C1051" s="491">
        <v>6</v>
      </c>
      <c r="D1051" s="491">
        <v>2</v>
      </c>
      <c r="E1051" s="491">
        <v>0</v>
      </c>
      <c r="F1051" s="491">
        <v>0</v>
      </c>
      <c r="G1051" s="491">
        <f t="shared" si="16"/>
        <v>8</v>
      </c>
    </row>
    <row r="1052" spans="1:7" ht="12.75">
      <c r="A1052" s="134" t="s">
        <v>700</v>
      </c>
      <c r="B1052" s="134">
        <v>120</v>
      </c>
      <c r="C1052" s="491">
        <v>4867</v>
      </c>
      <c r="D1052" s="491">
        <v>7477</v>
      </c>
      <c r="E1052" s="491">
        <v>214</v>
      </c>
      <c r="F1052" s="491">
        <v>71</v>
      </c>
      <c r="G1052" s="491">
        <f t="shared" si="16"/>
        <v>12629</v>
      </c>
    </row>
    <row r="1053" spans="1:7" ht="12.75">
      <c r="A1053" s="134" t="s">
        <v>700</v>
      </c>
      <c r="B1053" s="134">
        <v>130</v>
      </c>
      <c r="C1053" s="491">
        <v>107</v>
      </c>
      <c r="D1053" s="491">
        <v>35</v>
      </c>
      <c r="E1053" s="491">
        <v>1</v>
      </c>
      <c r="F1053" s="491">
        <v>2</v>
      </c>
      <c r="G1053" s="491">
        <f t="shared" si="16"/>
        <v>145</v>
      </c>
    </row>
    <row r="1054" spans="1:7" ht="12.75">
      <c r="A1054" s="134" t="s">
        <v>700</v>
      </c>
      <c r="B1054" s="134">
        <v>140</v>
      </c>
      <c r="C1054" s="491">
        <v>51</v>
      </c>
      <c r="D1054" s="491">
        <v>18</v>
      </c>
      <c r="E1054" s="491">
        <v>2</v>
      </c>
      <c r="F1054" s="491">
        <v>0</v>
      </c>
      <c r="G1054" s="491">
        <f t="shared" si="16"/>
        <v>71</v>
      </c>
    </row>
    <row r="1055" spans="1:7" ht="12.75">
      <c r="A1055" s="134" t="s">
        <v>700</v>
      </c>
      <c r="B1055" s="134">
        <v>141</v>
      </c>
      <c r="C1055" s="491">
        <v>0</v>
      </c>
      <c r="D1055" s="491">
        <v>1</v>
      </c>
      <c r="E1055" s="491">
        <v>0</v>
      </c>
      <c r="F1055" s="491">
        <v>0</v>
      </c>
      <c r="G1055" s="491">
        <f t="shared" si="16"/>
        <v>1</v>
      </c>
    </row>
    <row r="1056" spans="1:7" ht="12.75">
      <c r="A1056" s="134" t="s">
        <v>700</v>
      </c>
      <c r="B1056" s="134">
        <v>144</v>
      </c>
      <c r="C1056" s="491">
        <v>91</v>
      </c>
      <c r="D1056" s="491">
        <v>56</v>
      </c>
      <c r="E1056" s="491">
        <v>0</v>
      </c>
      <c r="F1056" s="491">
        <v>2</v>
      </c>
      <c r="G1056" s="491">
        <f t="shared" si="16"/>
        <v>149</v>
      </c>
    </row>
    <row r="1057" spans="1:7" ht="12.75">
      <c r="A1057" s="134" t="s">
        <v>700</v>
      </c>
      <c r="B1057" s="134">
        <v>150</v>
      </c>
      <c r="C1057" s="491">
        <v>1</v>
      </c>
      <c r="D1057" s="491">
        <v>0</v>
      </c>
      <c r="E1057" s="491">
        <v>0</v>
      </c>
      <c r="F1057" s="491">
        <v>0</v>
      </c>
      <c r="G1057" s="491">
        <f t="shared" si="16"/>
        <v>1</v>
      </c>
    </row>
    <row r="1058" spans="1:7" ht="12.75">
      <c r="A1058" s="134" t="s">
        <v>700</v>
      </c>
      <c r="B1058" s="134">
        <v>160</v>
      </c>
      <c r="C1058" s="491">
        <v>108</v>
      </c>
      <c r="D1058" s="491">
        <v>3</v>
      </c>
      <c r="E1058" s="491">
        <v>14</v>
      </c>
      <c r="F1058" s="491">
        <v>0</v>
      </c>
      <c r="G1058" s="491">
        <f t="shared" si="16"/>
        <v>125</v>
      </c>
    </row>
    <row r="1059" spans="1:7" ht="12.75">
      <c r="A1059" s="134" t="s">
        <v>700</v>
      </c>
      <c r="B1059" s="134">
        <v>180</v>
      </c>
      <c r="C1059" s="491">
        <v>1</v>
      </c>
      <c r="D1059" s="491">
        <v>0</v>
      </c>
      <c r="E1059" s="491">
        <v>0</v>
      </c>
      <c r="F1059" s="491">
        <v>0</v>
      </c>
      <c r="G1059" s="491">
        <f t="shared" si="16"/>
        <v>1</v>
      </c>
    </row>
    <row r="1060" spans="1:7" ht="12.75">
      <c r="A1060" s="134" t="s">
        <v>700</v>
      </c>
      <c r="B1060" s="134">
        <v>191</v>
      </c>
      <c r="C1060" s="491">
        <v>2</v>
      </c>
      <c r="D1060" s="491">
        <v>0</v>
      </c>
      <c r="E1060" s="491">
        <v>0</v>
      </c>
      <c r="F1060" s="491">
        <v>0</v>
      </c>
      <c r="G1060" s="491">
        <f t="shared" si="16"/>
        <v>2</v>
      </c>
    </row>
    <row r="1061" spans="1:7" ht="12.75">
      <c r="A1061" s="134" t="s">
        <v>700</v>
      </c>
      <c r="B1061" s="134">
        <v>215</v>
      </c>
      <c r="C1061" s="491">
        <v>2</v>
      </c>
      <c r="D1061" s="491">
        <v>1</v>
      </c>
      <c r="E1061" s="491">
        <v>0</v>
      </c>
      <c r="F1061" s="491">
        <v>0</v>
      </c>
      <c r="G1061" s="491">
        <f t="shared" si="16"/>
        <v>3</v>
      </c>
    </row>
    <row r="1062" spans="1:7" ht="12.75">
      <c r="A1062" s="134" t="s">
        <v>700</v>
      </c>
      <c r="B1062" s="134">
        <v>300</v>
      </c>
      <c r="C1062" s="491">
        <v>1</v>
      </c>
      <c r="D1062" s="491">
        <v>0</v>
      </c>
      <c r="E1062" s="491">
        <v>0</v>
      </c>
      <c r="F1062" s="491">
        <v>0</v>
      </c>
      <c r="G1062" s="491">
        <f t="shared" si="16"/>
        <v>1</v>
      </c>
    </row>
    <row r="1063" spans="1:7" ht="12.75">
      <c r="A1063" s="134" t="s">
        <v>700</v>
      </c>
      <c r="B1063" s="134">
        <v>301</v>
      </c>
      <c r="C1063" s="491">
        <v>1</v>
      </c>
      <c r="D1063" s="491">
        <v>1</v>
      </c>
      <c r="E1063" s="491">
        <v>0</v>
      </c>
      <c r="F1063" s="491">
        <v>0</v>
      </c>
      <c r="G1063" s="491">
        <f t="shared" si="16"/>
        <v>2</v>
      </c>
    </row>
    <row r="1064" spans="1:7" ht="12.75">
      <c r="A1064" s="134" t="s">
        <v>700</v>
      </c>
      <c r="B1064" s="134">
        <v>304</v>
      </c>
      <c r="C1064" s="491">
        <v>2</v>
      </c>
      <c r="D1064" s="491">
        <v>1</v>
      </c>
      <c r="E1064" s="491">
        <v>0</v>
      </c>
      <c r="F1064" s="491">
        <v>0</v>
      </c>
      <c r="G1064" s="491">
        <f t="shared" si="16"/>
        <v>3</v>
      </c>
    </row>
    <row r="1065" spans="1:7" ht="12.75">
      <c r="A1065" s="134" t="s">
        <v>700</v>
      </c>
      <c r="B1065" s="134">
        <v>307</v>
      </c>
      <c r="C1065" s="491">
        <v>3</v>
      </c>
      <c r="D1065" s="491">
        <v>1</v>
      </c>
      <c r="E1065" s="491">
        <v>0</v>
      </c>
      <c r="F1065" s="491">
        <v>0</v>
      </c>
      <c r="G1065" s="491">
        <f t="shared" si="16"/>
        <v>4</v>
      </c>
    </row>
    <row r="1066" spans="1:7" ht="12.75">
      <c r="A1066" s="134" t="s">
        <v>700</v>
      </c>
      <c r="B1066" s="134">
        <v>310</v>
      </c>
      <c r="C1066" s="491">
        <v>8</v>
      </c>
      <c r="D1066" s="491">
        <v>8</v>
      </c>
      <c r="E1066" s="491">
        <v>0</v>
      </c>
      <c r="F1066" s="491">
        <v>0</v>
      </c>
      <c r="G1066" s="491">
        <f t="shared" si="16"/>
        <v>16</v>
      </c>
    </row>
    <row r="1067" spans="1:7" ht="12.75">
      <c r="A1067" s="134" t="s">
        <v>700</v>
      </c>
      <c r="B1067" s="134">
        <v>320</v>
      </c>
      <c r="C1067" s="491">
        <v>1</v>
      </c>
      <c r="D1067" s="491">
        <v>0</v>
      </c>
      <c r="E1067" s="491">
        <v>0</v>
      </c>
      <c r="F1067" s="491">
        <v>0</v>
      </c>
      <c r="G1067" s="491">
        <f t="shared" si="16"/>
        <v>1</v>
      </c>
    </row>
    <row r="1068" spans="1:7" ht="12.75">
      <c r="A1068" s="134" t="s">
        <v>700</v>
      </c>
      <c r="B1068" s="134">
        <v>324</v>
      </c>
      <c r="C1068" s="491">
        <v>1</v>
      </c>
      <c r="D1068" s="491">
        <v>0</v>
      </c>
      <c r="E1068" s="491">
        <v>0</v>
      </c>
      <c r="F1068" s="491">
        <v>0</v>
      </c>
      <c r="G1068" s="491">
        <f t="shared" si="16"/>
        <v>1</v>
      </c>
    </row>
    <row r="1069" spans="1:7" ht="12.75">
      <c r="A1069" s="134" t="s">
        <v>700</v>
      </c>
      <c r="B1069" s="134">
        <v>330</v>
      </c>
      <c r="C1069" s="491">
        <v>77</v>
      </c>
      <c r="D1069" s="491">
        <v>7</v>
      </c>
      <c r="E1069" s="491">
        <v>1</v>
      </c>
      <c r="F1069" s="491">
        <v>0</v>
      </c>
      <c r="G1069" s="491">
        <f t="shared" si="16"/>
        <v>85</v>
      </c>
    </row>
    <row r="1070" spans="1:7" ht="12.75">
      <c r="A1070" s="134" t="s">
        <v>700</v>
      </c>
      <c r="B1070" s="134">
        <v>340</v>
      </c>
      <c r="C1070" s="491">
        <v>2</v>
      </c>
      <c r="D1070" s="491">
        <v>0</v>
      </c>
      <c r="E1070" s="491">
        <v>0</v>
      </c>
      <c r="F1070" s="491">
        <v>0</v>
      </c>
      <c r="G1070" s="491">
        <f t="shared" si="16"/>
        <v>2</v>
      </c>
    </row>
    <row r="1071" spans="1:7" ht="12.75">
      <c r="A1071" s="134" t="s">
        <v>700</v>
      </c>
      <c r="B1071" s="134">
        <v>370</v>
      </c>
      <c r="C1071" s="491">
        <v>1</v>
      </c>
      <c r="D1071" s="491">
        <v>0</v>
      </c>
      <c r="E1071" s="491">
        <v>0</v>
      </c>
      <c r="F1071" s="491">
        <v>0</v>
      </c>
      <c r="G1071" s="491">
        <f t="shared" si="16"/>
        <v>1</v>
      </c>
    </row>
    <row r="1072" spans="1:7" ht="12.75">
      <c r="A1072" s="134" t="s">
        <v>700</v>
      </c>
      <c r="B1072" s="134">
        <v>400</v>
      </c>
      <c r="C1072" s="491">
        <v>1</v>
      </c>
      <c r="D1072" s="491">
        <v>0</v>
      </c>
      <c r="E1072" s="491">
        <v>0</v>
      </c>
      <c r="F1072" s="491">
        <v>0</v>
      </c>
      <c r="G1072" s="491">
        <f t="shared" si="16"/>
        <v>1</v>
      </c>
    </row>
    <row r="1073" spans="1:7" ht="12.75">
      <c r="A1073" s="134" t="s">
        <v>700</v>
      </c>
      <c r="B1073" s="134">
        <v>657</v>
      </c>
      <c r="C1073" s="491">
        <v>2</v>
      </c>
      <c r="D1073" s="491">
        <v>0</v>
      </c>
      <c r="E1073" s="491">
        <v>0</v>
      </c>
      <c r="F1073" s="491">
        <v>0</v>
      </c>
      <c r="G1073" s="491">
        <f t="shared" si="16"/>
        <v>2</v>
      </c>
    </row>
    <row r="1074" spans="1:7" ht="12.75">
      <c r="A1074" s="134" t="s">
        <v>700</v>
      </c>
      <c r="B1074" s="134">
        <v>800</v>
      </c>
      <c r="C1074" s="491">
        <v>2</v>
      </c>
      <c r="D1074" s="491">
        <v>0</v>
      </c>
      <c r="E1074" s="491">
        <v>0</v>
      </c>
      <c r="F1074" s="491">
        <v>0</v>
      </c>
      <c r="G1074" s="491">
        <f t="shared" si="16"/>
        <v>2</v>
      </c>
    </row>
    <row r="1075" spans="1:7" ht="12.75">
      <c r="A1075" s="134" t="s">
        <v>701</v>
      </c>
      <c r="B1075" s="134">
        <v>120</v>
      </c>
      <c r="C1075" s="491">
        <v>380</v>
      </c>
      <c r="D1075" s="491">
        <v>924</v>
      </c>
      <c r="E1075" s="491">
        <v>1</v>
      </c>
      <c r="F1075" s="491">
        <v>3</v>
      </c>
      <c r="G1075" s="491">
        <f t="shared" si="16"/>
        <v>1308</v>
      </c>
    </row>
    <row r="1076" spans="1:7" ht="12.75">
      <c r="A1076" s="134" t="s">
        <v>701</v>
      </c>
      <c r="B1076" s="134">
        <v>130</v>
      </c>
      <c r="C1076" s="491">
        <v>0</v>
      </c>
      <c r="D1076" s="491">
        <v>1</v>
      </c>
      <c r="E1076" s="491">
        <v>0</v>
      </c>
      <c r="F1076" s="491">
        <v>0</v>
      </c>
      <c r="G1076" s="491">
        <f t="shared" si="16"/>
        <v>1</v>
      </c>
    </row>
    <row r="1077" spans="1:7" ht="12.75">
      <c r="A1077" s="134" t="s">
        <v>701</v>
      </c>
      <c r="B1077" s="134">
        <v>140</v>
      </c>
      <c r="C1077" s="491">
        <v>2</v>
      </c>
      <c r="D1077" s="491">
        <v>2</v>
      </c>
      <c r="E1077" s="491">
        <v>0</v>
      </c>
      <c r="F1077" s="491">
        <v>0</v>
      </c>
      <c r="G1077" s="491">
        <f t="shared" si="16"/>
        <v>4</v>
      </c>
    </row>
    <row r="1078" spans="1:7" ht="12.75">
      <c r="A1078" s="134" t="s">
        <v>701</v>
      </c>
      <c r="B1078" s="134">
        <v>144</v>
      </c>
      <c r="C1078" s="491">
        <v>3</v>
      </c>
      <c r="D1078" s="491">
        <v>4</v>
      </c>
      <c r="E1078" s="491">
        <v>0</v>
      </c>
      <c r="F1078" s="491">
        <v>0</v>
      </c>
      <c r="G1078" s="491">
        <f t="shared" si="16"/>
        <v>7</v>
      </c>
    </row>
    <row r="1079" spans="1:7" ht="12.75">
      <c r="A1079" s="134" t="s">
        <v>701</v>
      </c>
      <c r="B1079" s="134">
        <v>215</v>
      </c>
      <c r="C1079" s="491">
        <v>39</v>
      </c>
      <c r="D1079" s="491">
        <v>61</v>
      </c>
      <c r="E1079" s="491">
        <v>1</v>
      </c>
      <c r="F1079" s="491">
        <v>0</v>
      </c>
      <c r="G1079" s="491">
        <f t="shared" si="16"/>
        <v>101</v>
      </c>
    </row>
    <row r="1080" spans="1:7" ht="12.75">
      <c r="A1080" s="134" t="s">
        <v>701</v>
      </c>
      <c r="B1080" s="134">
        <v>219</v>
      </c>
      <c r="C1080" s="491">
        <v>2</v>
      </c>
      <c r="D1080" s="491">
        <v>0</v>
      </c>
      <c r="E1080" s="491">
        <v>0</v>
      </c>
      <c r="F1080" s="491">
        <v>0</v>
      </c>
      <c r="G1080" s="491">
        <f t="shared" si="16"/>
        <v>2</v>
      </c>
    </row>
    <row r="1081" spans="1:7" ht="12.75">
      <c r="A1081" s="134" t="s">
        <v>701</v>
      </c>
      <c r="B1081" s="134">
        <v>420</v>
      </c>
      <c r="C1081" s="491">
        <v>1</v>
      </c>
      <c r="D1081" s="491">
        <v>0</v>
      </c>
      <c r="E1081" s="491">
        <v>0</v>
      </c>
      <c r="F1081" s="491">
        <v>0</v>
      </c>
      <c r="G1081" s="491">
        <f t="shared" si="16"/>
        <v>1</v>
      </c>
    </row>
    <row r="1082" spans="1:7" ht="12.75">
      <c r="A1082" s="134" t="s">
        <v>702</v>
      </c>
      <c r="B1082" s="134">
        <v>110</v>
      </c>
      <c r="C1082" s="491">
        <v>0</v>
      </c>
      <c r="D1082" s="491">
        <v>1</v>
      </c>
      <c r="E1082" s="491">
        <v>1</v>
      </c>
      <c r="F1082" s="491">
        <v>0</v>
      </c>
      <c r="G1082" s="491">
        <f t="shared" si="16"/>
        <v>2</v>
      </c>
    </row>
    <row r="1083" spans="1:7" ht="12.75">
      <c r="A1083" s="134" t="s">
        <v>702</v>
      </c>
      <c r="B1083" s="134">
        <v>120</v>
      </c>
      <c r="C1083" s="491">
        <v>514</v>
      </c>
      <c r="D1083" s="491">
        <v>496</v>
      </c>
      <c r="E1083" s="491">
        <v>2</v>
      </c>
      <c r="F1083" s="491">
        <v>2</v>
      </c>
      <c r="G1083" s="491">
        <f t="shared" si="16"/>
        <v>1014</v>
      </c>
    </row>
    <row r="1084" spans="1:7" ht="12.75">
      <c r="A1084" s="134" t="s">
        <v>702</v>
      </c>
      <c r="B1084" s="134">
        <v>144</v>
      </c>
      <c r="C1084" s="491">
        <v>7</v>
      </c>
      <c r="D1084" s="491">
        <v>0</v>
      </c>
      <c r="E1084" s="491">
        <v>0</v>
      </c>
      <c r="F1084" s="491">
        <v>0</v>
      </c>
      <c r="G1084" s="491">
        <f t="shared" si="16"/>
        <v>7</v>
      </c>
    </row>
    <row r="1085" spans="1:7" ht="12.75">
      <c r="A1085" s="134" t="s">
        <v>702</v>
      </c>
      <c r="B1085" s="134">
        <v>215</v>
      </c>
      <c r="C1085" s="491">
        <v>0</v>
      </c>
      <c r="D1085" s="491">
        <v>2</v>
      </c>
      <c r="E1085" s="491">
        <v>0</v>
      </c>
      <c r="F1085" s="491">
        <v>0</v>
      </c>
      <c r="G1085" s="491">
        <f t="shared" si="16"/>
        <v>2</v>
      </c>
    </row>
    <row r="1086" spans="1:7" ht="12.75">
      <c r="A1086" s="134" t="s">
        <v>702</v>
      </c>
      <c r="B1086" s="134">
        <v>304</v>
      </c>
      <c r="C1086" s="491">
        <v>1</v>
      </c>
      <c r="D1086" s="491">
        <v>0</v>
      </c>
      <c r="E1086" s="491">
        <v>0</v>
      </c>
      <c r="F1086" s="491">
        <v>0</v>
      </c>
      <c r="G1086" s="491">
        <f t="shared" si="16"/>
        <v>1</v>
      </c>
    </row>
    <row r="1087" spans="1:7" ht="12.75">
      <c r="A1087" s="134" t="s">
        <v>702</v>
      </c>
      <c r="B1087" s="134">
        <v>320</v>
      </c>
      <c r="C1087" s="491">
        <v>0</v>
      </c>
      <c r="D1087" s="491">
        <v>1</v>
      </c>
      <c r="E1087" s="491">
        <v>0</v>
      </c>
      <c r="F1087" s="491">
        <v>0</v>
      </c>
      <c r="G1087" s="491">
        <f t="shared" si="16"/>
        <v>1</v>
      </c>
    </row>
    <row r="1088" spans="1:7" ht="12.75">
      <c r="A1088" s="134" t="s">
        <v>702</v>
      </c>
      <c r="B1088" s="134">
        <v>330</v>
      </c>
      <c r="C1088" s="491">
        <v>0</v>
      </c>
      <c r="D1088" s="491">
        <v>1</v>
      </c>
      <c r="E1088" s="491">
        <v>0</v>
      </c>
      <c r="F1088" s="491">
        <v>0</v>
      </c>
      <c r="G1088" s="491">
        <f t="shared" si="16"/>
        <v>1</v>
      </c>
    </row>
    <row r="1089" spans="1:7" ht="12.75">
      <c r="A1089" s="134" t="s">
        <v>702</v>
      </c>
      <c r="B1089" s="134">
        <v>400</v>
      </c>
      <c r="C1089" s="491">
        <v>0</v>
      </c>
      <c r="D1089" s="491">
        <v>1</v>
      </c>
      <c r="E1089" s="491">
        <v>0</v>
      </c>
      <c r="F1089" s="491">
        <v>0</v>
      </c>
      <c r="G1089" s="491">
        <f t="shared" si="16"/>
        <v>1</v>
      </c>
    </row>
    <row r="1090" spans="1:7" ht="12.75">
      <c r="A1090" s="134" t="s">
        <v>702</v>
      </c>
      <c r="B1090" s="134">
        <v>502</v>
      </c>
      <c r="C1090" s="491">
        <v>0</v>
      </c>
      <c r="D1090" s="491">
        <v>1</v>
      </c>
      <c r="E1090" s="491">
        <v>0</v>
      </c>
      <c r="F1090" s="491">
        <v>0</v>
      </c>
      <c r="G1090" s="491">
        <f t="shared" si="16"/>
        <v>1</v>
      </c>
    </row>
    <row r="1091" spans="1:7" ht="12.75">
      <c r="A1091" s="134" t="s">
        <v>702</v>
      </c>
      <c r="B1091" s="134">
        <v>560</v>
      </c>
      <c r="C1091" s="491">
        <v>0</v>
      </c>
      <c r="D1091" s="491">
        <v>1</v>
      </c>
      <c r="E1091" s="491">
        <v>0</v>
      </c>
      <c r="F1091" s="491">
        <v>0</v>
      </c>
      <c r="G1091" s="491">
        <f t="shared" si="16"/>
        <v>1</v>
      </c>
    </row>
    <row r="1092" spans="1:7" ht="12.75">
      <c r="A1092" s="134" t="s">
        <v>702</v>
      </c>
      <c r="B1092" s="134">
        <v>650</v>
      </c>
      <c r="C1092" s="491">
        <v>0</v>
      </c>
      <c r="D1092" s="491">
        <v>1</v>
      </c>
      <c r="E1092" s="491">
        <v>0</v>
      </c>
      <c r="F1092" s="491">
        <v>0</v>
      </c>
      <c r="G1092" s="491">
        <f t="shared" ref="G1092:G1155" si="17">SUM(C1092:F1092)</f>
        <v>1</v>
      </c>
    </row>
    <row r="1093" spans="1:7" ht="12.75">
      <c r="A1093" s="134" t="s">
        <v>703</v>
      </c>
      <c r="B1093" s="134">
        <v>110</v>
      </c>
      <c r="C1093" s="491">
        <v>0</v>
      </c>
      <c r="D1093" s="491">
        <v>1</v>
      </c>
      <c r="E1093" s="491">
        <v>0</v>
      </c>
      <c r="F1093" s="491">
        <v>0</v>
      </c>
      <c r="G1093" s="491">
        <f t="shared" si="17"/>
        <v>1</v>
      </c>
    </row>
    <row r="1094" spans="1:7" ht="12.75">
      <c r="A1094" s="134" t="s">
        <v>703</v>
      </c>
      <c r="B1094" s="134">
        <v>120</v>
      </c>
      <c r="C1094" s="491">
        <v>90</v>
      </c>
      <c r="D1094" s="491">
        <v>624</v>
      </c>
      <c r="E1094" s="491">
        <v>0</v>
      </c>
      <c r="F1094" s="491">
        <v>5</v>
      </c>
      <c r="G1094" s="491">
        <f t="shared" si="17"/>
        <v>719</v>
      </c>
    </row>
    <row r="1095" spans="1:7" ht="12.75">
      <c r="A1095" s="134" t="s">
        <v>703</v>
      </c>
      <c r="B1095" s="134">
        <v>144</v>
      </c>
      <c r="C1095" s="491">
        <v>2</v>
      </c>
      <c r="D1095" s="491">
        <v>0</v>
      </c>
      <c r="E1095" s="491">
        <v>0</v>
      </c>
      <c r="F1095" s="491">
        <v>0</v>
      </c>
      <c r="G1095" s="491">
        <f t="shared" si="17"/>
        <v>2</v>
      </c>
    </row>
    <row r="1096" spans="1:7" ht="12.75">
      <c r="A1096" s="134" t="s">
        <v>703</v>
      </c>
      <c r="B1096" s="134">
        <v>214</v>
      </c>
      <c r="C1096" s="491">
        <v>0</v>
      </c>
      <c r="D1096" s="491">
        <v>1</v>
      </c>
      <c r="E1096" s="491">
        <v>0</v>
      </c>
      <c r="F1096" s="491">
        <v>0</v>
      </c>
      <c r="G1096" s="491">
        <f t="shared" si="17"/>
        <v>1</v>
      </c>
    </row>
    <row r="1097" spans="1:7" ht="12.75">
      <c r="A1097" s="134" t="s">
        <v>703</v>
      </c>
      <c r="B1097" s="134">
        <v>215</v>
      </c>
      <c r="C1097" s="491">
        <v>21</v>
      </c>
      <c r="D1097" s="491">
        <v>72</v>
      </c>
      <c r="E1097" s="491">
        <v>1</v>
      </c>
      <c r="F1097" s="491">
        <v>0</v>
      </c>
      <c r="G1097" s="491">
        <f t="shared" si="17"/>
        <v>94</v>
      </c>
    </row>
    <row r="1098" spans="1:7" ht="12.75">
      <c r="A1098" s="134" t="s">
        <v>703</v>
      </c>
      <c r="B1098" s="134">
        <v>254</v>
      </c>
      <c r="C1098" s="491">
        <v>0</v>
      </c>
      <c r="D1098" s="491">
        <v>1</v>
      </c>
      <c r="E1098" s="491">
        <v>0</v>
      </c>
      <c r="F1098" s="491">
        <v>0</v>
      </c>
      <c r="G1098" s="491">
        <f t="shared" si="17"/>
        <v>1</v>
      </c>
    </row>
    <row r="1099" spans="1:7" ht="12.75">
      <c r="A1099" s="134" t="s">
        <v>703</v>
      </c>
      <c r="B1099" s="134">
        <v>330</v>
      </c>
      <c r="C1099" s="491">
        <v>0</v>
      </c>
      <c r="D1099" s="491">
        <v>1</v>
      </c>
      <c r="E1099" s="491">
        <v>0</v>
      </c>
      <c r="F1099" s="491">
        <v>0</v>
      </c>
      <c r="G1099" s="491">
        <f t="shared" si="17"/>
        <v>1</v>
      </c>
    </row>
    <row r="1100" spans="1:7" ht="12.75">
      <c r="A1100" s="134" t="s">
        <v>704</v>
      </c>
      <c r="B1100" s="134">
        <v>140</v>
      </c>
      <c r="C1100" s="491">
        <v>2</v>
      </c>
      <c r="D1100" s="491">
        <v>0</v>
      </c>
      <c r="E1100" s="491">
        <v>0</v>
      </c>
      <c r="F1100" s="491">
        <v>0</v>
      </c>
      <c r="G1100" s="491">
        <f t="shared" si="17"/>
        <v>2</v>
      </c>
    </row>
    <row r="1101" spans="1:7" ht="12.75">
      <c r="A1101" s="134" t="s">
        <v>704</v>
      </c>
      <c r="B1101" s="134">
        <v>143</v>
      </c>
      <c r="C1101" s="491">
        <v>1</v>
      </c>
      <c r="D1101" s="491">
        <v>0</v>
      </c>
      <c r="E1101" s="491">
        <v>0</v>
      </c>
      <c r="F1101" s="491">
        <v>0</v>
      </c>
      <c r="G1101" s="491">
        <f t="shared" si="17"/>
        <v>1</v>
      </c>
    </row>
    <row r="1102" spans="1:7" ht="12.75">
      <c r="A1102" s="134" t="s">
        <v>705</v>
      </c>
      <c r="B1102" s="134">
        <v>120</v>
      </c>
      <c r="C1102" s="491">
        <v>1</v>
      </c>
      <c r="D1102" s="491">
        <v>1</v>
      </c>
      <c r="E1102" s="491">
        <v>0</v>
      </c>
      <c r="F1102" s="491">
        <v>0</v>
      </c>
      <c r="G1102" s="491">
        <f t="shared" si="17"/>
        <v>2</v>
      </c>
    </row>
    <row r="1103" spans="1:7" ht="12.75">
      <c r="A1103" s="134" t="s">
        <v>705</v>
      </c>
      <c r="B1103" s="134">
        <v>140</v>
      </c>
      <c r="C1103" s="491">
        <v>2</v>
      </c>
      <c r="D1103" s="491">
        <v>0</v>
      </c>
      <c r="E1103" s="491">
        <v>0</v>
      </c>
      <c r="F1103" s="491">
        <v>0</v>
      </c>
      <c r="G1103" s="491">
        <f t="shared" si="17"/>
        <v>2</v>
      </c>
    </row>
    <row r="1104" spans="1:7" ht="12.75">
      <c r="A1104" s="134" t="s">
        <v>705</v>
      </c>
      <c r="B1104" s="134">
        <v>141</v>
      </c>
      <c r="C1104" s="491">
        <v>1</v>
      </c>
      <c r="D1104" s="491">
        <v>0</v>
      </c>
      <c r="E1104" s="491">
        <v>0</v>
      </c>
      <c r="F1104" s="491">
        <v>0</v>
      </c>
      <c r="G1104" s="491">
        <f t="shared" si="17"/>
        <v>1</v>
      </c>
    </row>
    <row r="1105" spans="1:7" ht="12.75">
      <c r="A1105" s="134" t="s">
        <v>705</v>
      </c>
      <c r="B1105" s="134">
        <v>144</v>
      </c>
      <c r="C1105" s="491">
        <v>1</v>
      </c>
      <c r="D1105" s="491">
        <v>0</v>
      </c>
      <c r="E1105" s="491">
        <v>0</v>
      </c>
      <c r="F1105" s="491">
        <v>0</v>
      </c>
      <c r="G1105" s="491">
        <f t="shared" si="17"/>
        <v>1</v>
      </c>
    </row>
    <row r="1106" spans="1:7" ht="12.75">
      <c r="A1106" s="134" t="s">
        <v>706</v>
      </c>
      <c r="B1106" s="134">
        <v>100</v>
      </c>
      <c r="C1106" s="491">
        <v>0</v>
      </c>
      <c r="D1106" s="491">
        <v>2</v>
      </c>
      <c r="E1106" s="491">
        <v>0</v>
      </c>
      <c r="F1106" s="491">
        <v>0</v>
      </c>
      <c r="G1106" s="491">
        <f t="shared" si="17"/>
        <v>2</v>
      </c>
    </row>
    <row r="1107" spans="1:7" ht="12.75">
      <c r="A1107" s="134" t="s">
        <v>706</v>
      </c>
      <c r="B1107" s="134">
        <v>101</v>
      </c>
      <c r="C1107" s="491">
        <v>1</v>
      </c>
      <c r="D1107" s="491">
        <v>0</v>
      </c>
      <c r="E1107" s="491">
        <v>0</v>
      </c>
      <c r="F1107" s="491">
        <v>0</v>
      </c>
      <c r="G1107" s="491">
        <f t="shared" si="17"/>
        <v>1</v>
      </c>
    </row>
    <row r="1108" spans="1:7" ht="12.75">
      <c r="A1108" s="134" t="s">
        <v>706</v>
      </c>
      <c r="B1108" s="134">
        <v>107</v>
      </c>
      <c r="C1108" s="491">
        <v>0</v>
      </c>
      <c r="D1108" s="491">
        <v>1</v>
      </c>
      <c r="E1108" s="491">
        <v>0</v>
      </c>
      <c r="F1108" s="491">
        <v>0</v>
      </c>
      <c r="G1108" s="491">
        <f t="shared" si="17"/>
        <v>1</v>
      </c>
    </row>
    <row r="1109" spans="1:7" ht="12.75">
      <c r="A1109" s="134" t="s">
        <v>706</v>
      </c>
      <c r="B1109" s="134">
        <v>120</v>
      </c>
      <c r="C1109" s="491">
        <v>203</v>
      </c>
      <c r="D1109" s="491">
        <v>98</v>
      </c>
      <c r="E1109" s="491">
        <v>7</v>
      </c>
      <c r="F1109" s="491">
        <v>2</v>
      </c>
      <c r="G1109" s="491">
        <f t="shared" si="17"/>
        <v>310</v>
      </c>
    </row>
    <row r="1110" spans="1:7" ht="12.75">
      <c r="A1110" s="134" t="s">
        <v>706</v>
      </c>
      <c r="B1110" s="134">
        <v>130</v>
      </c>
      <c r="C1110" s="491">
        <v>8</v>
      </c>
      <c r="D1110" s="491">
        <v>3</v>
      </c>
      <c r="E1110" s="491">
        <v>3</v>
      </c>
      <c r="F1110" s="491">
        <v>0</v>
      </c>
      <c r="G1110" s="491">
        <f t="shared" si="17"/>
        <v>14</v>
      </c>
    </row>
    <row r="1111" spans="1:7" ht="12.75">
      <c r="A1111" s="134" t="s">
        <v>706</v>
      </c>
      <c r="B1111" s="134">
        <v>140</v>
      </c>
      <c r="C1111" s="491">
        <v>24</v>
      </c>
      <c r="D1111" s="491">
        <v>0</v>
      </c>
      <c r="E1111" s="491">
        <v>0</v>
      </c>
      <c r="F1111" s="491">
        <v>1</v>
      </c>
      <c r="G1111" s="491">
        <f t="shared" si="17"/>
        <v>25</v>
      </c>
    </row>
    <row r="1112" spans="1:7" ht="12.75">
      <c r="A1112" s="134" t="s">
        <v>706</v>
      </c>
      <c r="B1112" s="134">
        <v>141</v>
      </c>
      <c r="C1112" s="491">
        <v>1</v>
      </c>
      <c r="D1112" s="491">
        <v>0</v>
      </c>
      <c r="E1112" s="491">
        <v>0</v>
      </c>
      <c r="F1112" s="491">
        <v>0</v>
      </c>
      <c r="G1112" s="491">
        <f t="shared" si="17"/>
        <v>1</v>
      </c>
    </row>
    <row r="1113" spans="1:7" ht="12.75">
      <c r="A1113" s="134" t="s">
        <v>706</v>
      </c>
      <c r="B1113" s="134">
        <v>144</v>
      </c>
      <c r="C1113" s="491">
        <v>1</v>
      </c>
      <c r="D1113" s="491">
        <v>0</v>
      </c>
      <c r="E1113" s="491">
        <v>0</v>
      </c>
      <c r="F1113" s="491">
        <v>0</v>
      </c>
      <c r="G1113" s="491">
        <f t="shared" si="17"/>
        <v>1</v>
      </c>
    </row>
    <row r="1114" spans="1:7" ht="12.75">
      <c r="A1114" s="134" t="s">
        <v>706</v>
      </c>
      <c r="B1114" s="134">
        <v>191</v>
      </c>
      <c r="C1114" s="491">
        <v>0</v>
      </c>
      <c r="D1114" s="491">
        <v>1</v>
      </c>
      <c r="E1114" s="491">
        <v>0</v>
      </c>
      <c r="F1114" s="491">
        <v>0</v>
      </c>
      <c r="G1114" s="491">
        <f t="shared" si="17"/>
        <v>1</v>
      </c>
    </row>
    <row r="1115" spans="1:7" ht="12.75">
      <c r="A1115" s="134" t="s">
        <v>706</v>
      </c>
      <c r="B1115" s="134">
        <v>215</v>
      </c>
      <c r="C1115" s="491">
        <v>1</v>
      </c>
      <c r="D1115" s="491">
        <v>2</v>
      </c>
      <c r="E1115" s="491">
        <v>0</v>
      </c>
      <c r="F1115" s="491">
        <v>0</v>
      </c>
      <c r="G1115" s="491">
        <f t="shared" si="17"/>
        <v>3</v>
      </c>
    </row>
    <row r="1116" spans="1:7" ht="12.75">
      <c r="A1116" s="134" t="s">
        <v>706</v>
      </c>
      <c r="B1116" s="134">
        <v>320</v>
      </c>
      <c r="C1116" s="491">
        <v>0</v>
      </c>
      <c r="D1116" s="491">
        <v>1</v>
      </c>
      <c r="E1116" s="491">
        <v>0</v>
      </c>
      <c r="F1116" s="491">
        <v>0</v>
      </c>
      <c r="G1116" s="491">
        <f t="shared" si="17"/>
        <v>1</v>
      </c>
    </row>
    <row r="1117" spans="1:7" ht="12.75">
      <c r="A1117" s="134" t="s">
        <v>706</v>
      </c>
      <c r="B1117" s="134">
        <v>340</v>
      </c>
      <c r="C1117" s="491">
        <v>0</v>
      </c>
      <c r="D1117" s="491">
        <v>1</v>
      </c>
      <c r="E1117" s="491">
        <v>0</v>
      </c>
      <c r="F1117" s="491">
        <v>0</v>
      </c>
      <c r="G1117" s="491">
        <f t="shared" si="17"/>
        <v>1</v>
      </c>
    </row>
    <row r="1118" spans="1:7" ht="12.75">
      <c r="A1118" s="134" t="s">
        <v>706</v>
      </c>
      <c r="B1118" s="134">
        <v>502</v>
      </c>
      <c r="C1118" s="491">
        <v>0</v>
      </c>
      <c r="D1118" s="491">
        <v>1</v>
      </c>
      <c r="E1118" s="491">
        <v>0</v>
      </c>
      <c r="F1118" s="491">
        <v>1</v>
      </c>
      <c r="G1118" s="491">
        <f t="shared" si="17"/>
        <v>2</v>
      </c>
    </row>
    <row r="1119" spans="1:7" ht="12.75">
      <c r="A1119" s="134" t="s">
        <v>706</v>
      </c>
      <c r="B1119" s="134">
        <v>560</v>
      </c>
      <c r="C1119" s="491">
        <v>0</v>
      </c>
      <c r="D1119" s="491">
        <v>2</v>
      </c>
      <c r="E1119" s="491">
        <v>0</v>
      </c>
      <c r="F1119" s="491">
        <v>0</v>
      </c>
      <c r="G1119" s="491">
        <f t="shared" si="17"/>
        <v>2</v>
      </c>
    </row>
    <row r="1120" spans="1:7" ht="12.75">
      <c r="A1120" s="134" t="s">
        <v>706</v>
      </c>
      <c r="B1120" s="134">
        <v>662</v>
      </c>
      <c r="C1120" s="491">
        <v>1</v>
      </c>
      <c r="D1120" s="491">
        <v>0</v>
      </c>
      <c r="E1120" s="491">
        <v>0</v>
      </c>
      <c r="F1120" s="491">
        <v>0</v>
      </c>
      <c r="G1120" s="491">
        <f t="shared" si="17"/>
        <v>1</v>
      </c>
    </row>
    <row r="1121" spans="1:7" ht="12.75">
      <c r="A1121" s="134" t="s">
        <v>707</v>
      </c>
      <c r="B1121" s="134">
        <v>100</v>
      </c>
      <c r="C1121" s="491">
        <v>3</v>
      </c>
      <c r="D1121" s="491">
        <v>0</v>
      </c>
      <c r="E1121" s="491">
        <v>0</v>
      </c>
      <c r="F1121" s="491">
        <v>0</v>
      </c>
      <c r="G1121" s="491">
        <f t="shared" si="17"/>
        <v>3</v>
      </c>
    </row>
    <row r="1122" spans="1:7" ht="12.75">
      <c r="A1122" s="134" t="s">
        <v>707</v>
      </c>
      <c r="B1122" s="134">
        <v>101</v>
      </c>
      <c r="C1122" s="491">
        <v>4</v>
      </c>
      <c r="D1122" s="491">
        <v>2</v>
      </c>
      <c r="E1122" s="491">
        <v>1</v>
      </c>
      <c r="F1122" s="491">
        <v>0</v>
      </c>
      <c r="G1122" s="491">
        <f t="shared" si="17"/>
        <v>7</v>
      </c>
    </row>
    <row r="1123" spans="1:7" ht="12.75">
      <c r="A1123" s="134" t="s">
        <v>707</v>
      </c>
      <c r="B1123" s="134">
        <v>103</v>
      </c>
      <c r="C1123" s="491">
        <v>2</v>
      </c>
      <c r="D1123" s="491">
        <v>1</v>
      </c>
      <c r="E1123" s="491">
        <v>0</v>
      </c>
      <c r="F1123" s="491">
        <v>0</v>
      </c>
      <c r="G1123" s="491">
        <f t="shared" si="17"/>
        <v>3</v>
      </c>
    </row>
    <row r="1124" spans="1:7" ht="12.75">
      <c r="A1124" s="134" t="s">
        <v>707</v>
      </c>
      <c r="B1124" s="134">
        <v>104</v>
      </c>
      <c r="C1124" s="491">
        <v>2</v>
      </c>
      <c r="D1124" s="491">
        <v>7</v>
      </c>
      <c r="E1124" s="491">
        <v>1</v>
      </c>
      <c r="F1124" s="491">
        <v>0</v>
      </c>
      <c r="G1124" s="491">
        <f t="shared" si="17"/>
        <v>10</v>
      </c>
    </row>
    <row r="1125" spans="1:7" ht="12.75">
      <c r="A1125" s="134" t="s">
        <v>707</v>
      </c>
      <c r="B1125" s="134">
        <v>107</v>
      </c>
      <c r="C1125" s="491">
        <v>0</v>
      </c>
      <c r="D1125" s="491">
        <v>1</v>
      </c>
      <c r="E1125" s="491">
        <v>0</v>
      </c>
      <c r="F1125" s="491">
        <v>0</v>
      </c>
      <c r="G1125" s="491">
        <f t="shared" si="17"/>
        <v>1</v>
      </c>
    </row>
    <row r="1126" spans="1:7" ht="12.75">
      <c r="A1126" s="134" t="s">
        <v>707</v>
      </c>
      <c r="B1126" s="134">
        <v>110</v>
      </c>
      <c r="C1126" s="491">
        <v>17</v>
      </c>
      <c r="D1126" s="491">
        <v>6</v>
      </c>
      <c r="E1126" s="491">
        <v>1</v>
      </c>
      <c r="F1126" s="491">
        <v>2</v>
      </c>
      <c r="G1126" s="491">
        <f t="shared" si="17"/>
        <v>26</v>
      </c>
    </row>
    <row r="1127" spans="1:7" ht="12.75">
      <c r="A1127" s="134" t="s">
        <v>707</v>
      </c>
      <c r="B1127" s="134">
        <v>120</v>
      </c>
      <c r="C1127" s="491">
        <v>4404</v>
      </c>
      <c r="D1127" s="491">
        <v>5424</v>
      </c>
      <c r="E1127" s="491">
        <v>140</v>
      </c>
      <c r="F1127" s="491">
        <v>122</v>
      </c>
      <c r="G1127" s="491">
        <f t="shared" si="17"/>
        <v>10090</v>
      </c>
    </row>
    <row r="1128" spans="1:7" ht="12.75">
      <c r="A1128" s="134" t="s">
        <v>707</v>
      </c>
      <c r="B1128" s="134">
        <v>130</v>
      </c>
      <c r="C1128" s="491">
        <v>84</v>
      </c>
      <c r="D1128" s="491">
        <v>14</v>
      </c>
      <c r="E1128" s="491">
        <v>3</v>
      </c>
      <c r="F1128" s="491">
        <v>0</v>
      </c>
      <c r="G1128" s="491">
        <f t="shared" si="17"/>
        <v>101</v>
      </c>
    </row>
    <row r="1129" spans="1:7" ht="12.75">
      <c r="A1129" s="134" t="s">
        <v>707</v>
      </c>
      <c r="B1129" s="134">
        <v>140</v>
      </c>
      <c r="C1129" s="491">
        <v>185</v>
      </c>
      <c r="D1129" s="491">
        <v>23</v>
      </c>
      <c r="E1129" s="491">
        <v>0</v>
      </c>
      <c r="F1129" s="491">
        <v>0</v>
      </c>
      <c r="G1129" s="491">
        <f t="shared" si="17"/>
        <v>208</v>
      </c>
    </row>
    <row r="1130" spans="1:7" ht="12.75">
      <c r="A1130" s="134" t="s">
        <v>707</v>
      </c>
      <c r="B1130" s="134">
        <v>141</v>
      </c>
      <c r="C1130" s="491">
        <v>1</v>
      </c>
      <c r="D1130" s="491">
        <v>0</v>
      </c>
      <c r="E1130" s="491">
        <v>0</v>
      </c>
      <c r="F1130" s="491">
        <v>0</v>
      </c>
      <c r="G1130" s="491">
        <f t="shared" si="17"/>
        <v>1</v>
      </c>
    </row>
    <row r="1131" spans="1:7" ht="12.75">
      <c r="A1131" s="134" t="s">
        <v>707</v>
      </c>
      <c r="B1131" s="134">
        <v>143</v>
      </c>
      <c r="C1131" s="491">
        <v>6</v>
      </c>
      <c r="D1131" s="491">
        <v>7</v>
      </c>
      <c r="E1131" s="491">
        <v>2</v>
      </c>
      <c r="F1131" s="491">
        <v>0</v>
      </c>
      <c r="G1131" s="491">
        <f t="shared" si="17"/>
        <v>15</v>
      </c>
    </row>
    <row r="1132" spans="1:7" ht="12.75">
      <c r="A1132" s="134" t="s">
        <v>707</v>
      </c>
      <c r="B1132" s="134">
        <v>144</v>
      </c>
      <c r="C1132" s="491">
        <v>0</v>
      </c>
      <c r="D1132" s="491">
        <v>2</v>
      </c>
      <c r="E1132" s="491">
        <v>0</v>
      </c>
      <c r="F1132" s="491">
        <v>0</v>
      </c>
      <c r="G1132" s="491">
        <f t="shared" si="17"/>
        <v>2</v>
      </c>
    </row>
    <row r="1133" spans="1:7" ht="12.75">
      <c r="A1133" s="134" t="s">
        <v>707</v>
      </c>
      <c r="B1133" s="134">
        <v>171</v>
      </c>
      <c r="C1133" s="491">
        <v>0</v>
      </c>
      <c r="D1133" s="491">
        <v>1</v>
      </c>
      <c r="E1133" s="491">
        <v>0</v>
      </c>
      <c r="F1133" s="491">
        <v>0</v>
      </c>
      <c r="G1133" s="491">
        <f t="shared" si="17"/>
        <v>1</v>
      </c>
    </row>
    <row r="1134" spans="1:7" ht="12.75">
      <c r="A1134" s="134" t="s">
        <v>707</v>
      </c>
      <c r="B1134" s="134">
        <v>190</v>
      </c>
      <c r="C1134" s="491">
        <v>1</v>
      </c>
      <c r="D1134" s="491">
        <v>1</v>
      </c>
      <c r="E1134" s="491">
        <v>1</v>
      </c>
      <c r="F1134" s="491">
        <v>0</v>
      </c>
      <c r="G1134" s="491">
        <f t="shared" si="17"/>
        <v>3</v>
      </c>
    </row>
    <row r="1135" spans="1:7" ht="12.75">
      <c r="A1135" s="134" t="s">
        <v>707</v>
      </c>
      <c r="B1135" s="134">
        <v>191</v>
      </c>
      <c r="C1135" s="491">
        <v>6</v>
      </c>
      <c r="D1135" s="491">
        <v>1</v>
      </c>
      <c r="E1135" s="491">
        <v>4</v>
      </c>
      <c r="F1135" s="491">
        <v>0</v>
      </c>
      <c r="G1135" s="491">
        <f t="shared" si="17"/>
        <v>11</v>
      </c>
    </row>
    <row r="1136" spans="1:7" ht="12.75">
      <c r="A1136" s="134" t="s">
        <v>707</v>
      </c>
      <c r="B1136" s="134">
        <v>211</v>
      </c>
      <c r="C1136" s="491">
        <v>4</v>
      </c>
      <c r="D1136" s="491">
        <v>0</v>
      </c>
      <c r="E1136" s="491">
        <v>0</v>
      </c>
      <c r="F1136" s="491">
        <v>0</v>
      </c>
      <c r="G1136" s="491">
        <f t="shared" si="17"/>
        <v>4</v>
      </c>
    </row>
    <row r="1137" spans="1:7" ht="12.75">
      <c r="A1137" s="134" t="s">
        <v>707</v>
      </c>
      <c r="B1137" s="134">
        <v>214</v>
      </c>
      <c r="C1137" s="491">
        <v>1</v>
      </c>
      <c r="D1137" s="491">
        <v>3</v>
      </c>
      <c r="E1137" s="491">
        <v>0</v>
      </c>
      <c r="F1137" s="491">
        <v>0</v>
      </c>
      <c r="G1137" s="491">
        <f t="shared" si="17"/>
        <v>4</v>
      </c>
    </row>
    <row r="1138" spans="1:7" ht="12.75">
      <c r="A1138" s="134" t="s">
        <v>707</v>
      </c>
      <c r="B1138" s="134">
        <v>215</v>
      </c>
      <c r="C1138" s="491">
        <v>35</v>
      </c>
      <c r="D1138" s="491">
        <v>67</v>
      </c>
      <c r="E1138" s="491">
        <v>6</v>
      </c>
      <c r="F1138" s="491">
        <v>8</v>
      </c>
      <c r="G1138" s="491">
        <f t="shared" si="17"/>
        <v>116</v>
      </c>
    </row>
    <row r="1139" spans="1:7" ht="12.75">
      <c r="A1139" s="134" t="s">
        <v>707</v>
      </c>
      <c r="B1139" s="134">
        <v>216</v>
      </c>
      <c r="C1139" s="491">
        <v>0</v>
      </c>
      <c r="D1139" s="491">
        <v>1</v>
      </c>
      <c r="E1139" s="491">
        <v>0</v>
      </c>
      <c r="F1139" s="491">
        <v>0</v>
      </c>
      <c r="G1139" s="491">
        <f t="shared" si="17"/>
        <v>1</v>
      </c>
    </row>
    <row r="1140" spans="1:7" ht="12.75">
      <c r="A1140" s="134" t="s">
        <v>707</v>
      </c>
      <c r="B1140" s="134">
        <v>257</v>
      </c>
      <c r="C1140" s="491">
        <v>2</v>
      </c>
      <c r="D1140" s="491">
        <v>0</v>
      </c>
      <c r="E1140" s="491">
        <v>1</v>
      </c>
      <c r="F1140" s="491">
        <v>0</v>
      </c>
      <c r="G1140" s="491">
        <f t="shared" si="17"/>
        <v>3</v>
      </c>
    </row>
    <row r="1141" spans="1:7" ht="12.75">
      <c r="A1141" s="134" t="s">
        <v>707</v>
      </c>
      <c r="B1141" s="134">
        <v>263</v>
      </c>
      <c r="C1141" s="491">
        <v>1</v>
      </c>
      <c r="D1141" s="491">
        <v>0</v>
      </c>
      <c r="E1141" s="491">
        <v>0</v>
      </c>
      <c r="F1141" s="491">
        <v>0</v>
      </c>
      <c r="G1141" s="491">
        <f t="shared" si="17"/>
        <v>1</v>
      </c>
    </row>
    <row r="1142" spans="1:7" ht="12.75">
      <c r="A1142" s="134" t="s">
        <v>707</v>
      </c>
      <c r="B1142" s="134">
        <v>300</v>
      </c>
      <c r="C1142" s="491">
        <v>7</v>
      </c>
      <c r="D1142" s="491">
        <v>7</v>
      </c>
      <c r="E1142" s="491">
        <v>1</v>
      </c>
      <c r="F1142" s="491">
        <v>0</v>
      </c>
      <c r="G1142" s="491">
        <f t="shared" si="17"/>
        <v>15</v>
      </c>
    </row>
    <row r="1143" spans="1:7" ht="12.75">
      <c r="A1143" s="134" t="s">
        <v>707</v>
      </c>
      <c r="B1143" s="134">
        <v>301</v>
      </c>
      <c r="C1143" s="491">
        <v>3</v>
      </c>
      <c r="D1143" s="491">
        <v>4</v>
      </c>
      <c r="E1143" s="491">
        <v>2</v>
      </c>
      <c r="F1143" s="491">
        <v>0</v>
      </c>
      <c r="G1143" s="491">
        <f t="shared" si="17"/>
        <v>9</v>
      </c>
    </row>
    <row r="1144" spans="1:7" ht="12.75">
      <c r="A1144" s="134" t="s">
        <v>707</v>
      </c>
      <c r="B1144" s="134">
        <v>303</v>
      </c>
      <c r="C1144" s="491">
        <v>10</v>
      </c>
      <c r="D1144" s="491">
        <v>2</v>
      </c>
      <c r="E1144" s="491">
        <v>0</v>
      </c>
      <c r="F1144" s="491">
        <v>0</v>
      </c>
      <c r="G1144" s="491">
        <f t="shared" si="17"/>
        <v>12</v>
      </c>
    </row>
    <row r="1145" spans="1:7" ht="12.75">
      <c r="A1145" s="134" t="s">
        <v>707</v>
      </c>
      <c r="B1145" s="134">
        <v>307</v>
      </c>
      <c r="C1145" s="491">
        <v>1</v>
      </c>
      <c r="D1145" s="491">
        <v>1</v>
      </c>
      <c r="E1145" s="491">
        <v>0</v>
      </c>
      <c r="F1145" s="491">
        <v>0</v>
      </c>
      <c r="G1145" s="491">
        <f t="shared" si="17"/>
        <v>2</v>
      </c>
    </row>
    <row r="1146" spans="1:7" ht="12.75">
      <c r="A1146" s="134" t="s">
        <v>707</v>
      </c>
      <c r="B1146" s="134">
        <v>310</v>
      </c>
      <c r="C1146" s="491">
        <v>1</v>
      </c>
      <c r="D1146" s="491">
        <v>2</v>
      </c>
      <c r="E1146" s="491">
        <v>0</v>
      </c>
      <c r="F1146" s="491">
        <v>0</v>
      </c>
      <c r="G1146" s="491">
        <f t="shared" si="17"/>
        <v>3</v>
      </c>
    </row>
    <row r="1147" spans="1:7" ht="12.75">
      <c r="A1147" s="134" t="s">
        <v>707</v>
      </c>
      <c r="B1147" s="134">
        <v>314</v>
      </c>
      <c r="C1147" s="491">
        <v>3</v>
      </c>
      <c r="D1147" s="491">
        <v>3</v>
      </c>
      <c r="E1147" s="491">
        <v>0</v>
      </c>
      <c r="F1147" s="491">
        <v>1</v>
      </c>
      <c r="G1147" s="491">
        <f t="shared" si="17"/>
        <v>7</v>
      </c>
    </row>
    <row r="1148" spans="1:7" ht="12.75">
      <c r="A1148" s="134" t="s">
        <v>707</v>
      </c>
      <c r="B1148" s="134">
        <v>320</v>
      </c>
      <c r="C1148" s="491">
        <v>15</v>
      </c>
      <c r="D1148" s="491">
        <v>17</v>
      </c>
      <c r="E1148" s="491">
        <v>6</v>
      </c>
      <c r="F1148" s="491">
        <v>3</v>
      </c>
      <c r="G1148" s="491">
        <f t="shared" si="17"/>
        <v>41</v>
      </c>
    </row>
    <row r="1149" spans="1:7" ht="12.75">
      <c r="A1149" s="134" t="s">
        <v>707</v>
      </c>
      <c r="B1149" s="134">
        <v>330</v>
      </c>
      <c r="C1149" s="491">
        <v>19</v>
      </c>
      <c r="D1149" s="491">
        <v>1</v>
      </c>
      <c r="E1149" s="491">
        <v>1</v>
      </c>
      <c r="F1149" s="491">
        <v>0</v>
      </c>
      <c r="G1149" s="491">
        <f t="shared" si="17"/>
        <v>21</v>
      </c>
    </row>
    <row r="1150" spans="1:7" ht="12.75">
      <c r="A1150" s="134" t="s">
        <v>707</v>
      </c>
      <c r="B1150" s="134">
        <v>340</v>
      </c>
      <c r="C1150" s="491">
        <v>7</v>
      </c>
      <c r="D1150" s="491">
        <v>8</v>
      </c>
      <c r="E1150" s="491">
        <v>1</v>
      </c>
      <c r="F1150" s="491">
        <v>1</v>
      </c>
      <c r="G1150" s="491">
        <f t="shared" si="17"/>
        <v>17</v>
      </c>
    </row>
    <row r="1151" spans="1:7" ht="12.75">
      <c r="A1151" s="134" t="s">
        <v>707</v>
      </c>
      <c r="B1151" s="134">
        <v>361</v>
      </c>
      <c r="C1151" s="491">
        <v>4</v>
      </c>
      <c r="D1151" s="491">
        <v>3</v>
      </c>
      <c r="E1151" s="491">
        <v>0</v>
      </c>
      <c r="F1151" s="491">
        <v>0</v>
      </c>
      <c r="G1151" s="491">
        <f t="shared" si="17"/>
        <v>7</v>
      </c>
    </row>
    <row r="1152" spans="1:7" ht="12.75">
      <c r="A1152" s="134" t="s">
        <v>707</v>
      </c>
      <c r="B1152" s="134">
        <v>370</v>
      </c>
      <c r="C1152" s="491">
        <v>7</v>
      </c>
      <c r="D1152" s="491">
        <v>0</v>
      </c>
      <c r="E1152" s="491">
        <v>9</v>
      </c>
      <c r="F1152" s="491">
        <v>0</v>
      </c>
      <c r="G1152" s="491">
        <f t="shared" si="17"/>
        <v>16</v>
      </c>
    </row>
    <row r="1153" spans="1:7" ht="12.75">
      <c r="A1153" s="134" t="s">
        <v>707</v>
      </c>
      <c r="B1153" s="134">
        <v>400</v>
      </c>
      <c r="C1153" s="491">
        <v>1</v>
      </c>
      <c r="D1153" s="491">
        <v>4</v>
      </c>
      <c r="E1153" s="491">
        <v>0</v>
      </c>
      <c r="F1153" s="491">
        <v>0</v>
      </c>
      <c r="G1153" s="491">
        <f t="shared" si="17"/>
        <v>5</v>
      </c>
    </row>
    <row r="1154" spans="1:7" ht="12.75">
      <c r="A1154" s="134" t="s">
        <v>707</v>
      </c>
      <c r="B1154" s="134">
        <v>410</v>
      </c>
      <c r="C1154" s="491">
        <v>4</v>
      </c>
      <c r="D1154" s="491">
        <v>2</v>
      </c>
      <c r="E1154" s="491">
        <v>0</v>
      </c>
      <c r="F1154" s="491">
        <v>0</v>
      </c>
      <c r="G1154" s="491">
        <f t="shared" si="17"/>
        <v>6</v>
      </c>
    </row>
    <row r="1155" spans="1:7" ht="12.75">
      <c r="A1155" s="134" t="s">
        <v>707</v>
      </c>
      <c r="B1155" s="134">
        <v>420</v>
      </c>
      <c r="C1155" s="491">
        <v>11</v>
      </c>
      <c r="D1155" s="491">
        <v>3</v>
      </c>
      <c r="E1155" s="491">
        <v>0</v>
      </c>
      <c r="F1155" s="491">
        <v>3</v>
      </c>
      <c r="G1155" s="491">
        <f t="shared" si="17"/>
        <v>17</v>
      </c>
    </row>
    <row r="1156" spans="1:7" ht="12.75">
      <c r="A1156" s="134" t="s">
        <v>707</v>
      </c>
      <c r="B1156" s="134">
        <v>501</v>
      </c>
      <c r="C1156" s="491">
        <v>5</v>
      </c>
      <c r="D1156" s="491">
        <v>4</v>
      </c>
      <c r="E1156" s="491">
        <v>2</v>
      </c>
      <c r="F1156" s="491">
        <v>0</v>
      </c>
      <c r="G1156" s="491">
        <f t="shared" ref="G1156:G1219" si="18">SUM(C1156:F1156)</f>
        <v>11</v>
      </c>
    </row>
    <row r="1157" spans="1:7" ht="12.75">
      <c r="A1157" s="134" t="s">
        <v>707</v>
      </c>
      <c r="B1157" s="134">
        <v>502</v>
      </c>
      <c r="C1157" s="491">
        <v>9</v>
      </c>
      <c r="D1157" s="491">
        <v>12</v>
      </c>
      <c r="E1157" s="491">
        <v>1</v>
      </c>
      <c r="F1157" s="491">
        <v>3</v>
      </c>
      <c r="G1157" s="491">
        <f t="shared" si="18"/>
        <v>25</v>
      </c>
    </row>
    <row r="1158" spans="1:7" ht="12.75">
      <c r="A1158" s="134" t="s">
        <v>707</v>
      </c>
      <c r="B1158" s="134">
        <v>560</v>
      </c>
      <c r="C1158" s="491">
        <v>0</v>
      </c>
      <c r="D1158" s="491">
        <v>6</v>
      </c>
      <c r="E1158" s="491">
        <v>0</v>
      </c>
      <c r="F1158" s="491">
        <v>0</v>
      </c>
      <c r="G1158" s="491">
        <f t="shared" si="18"/>
        <v>6</v>
      </c>
    </row>
    <row r="1159" spans="1:7" ht="12.75">
      <c r="A1159" s="134" t="s">
        <v>707</v>
      </c>
      <c r="B1159" s="134">
        <v>654</v>
      </c>
      <c r="C1159" s="491">
        <v>0</v>
      </c>
      <c r="D1159" s="491">
        <v>2</v>
      </c>
      <c r="E1159" s="491">
        <v>0</v>
      </c>
      <c r="F1159" s="491">
        <v>1</v>
      </c>
      <c r="G1159" s="491">
        <f t="shared" si="18"/>
        <v>3</v>
      </c>
    </row>
    <row r="1160" spans="1:7" ht="12.75">
      <c r="A1160" s="134" t="s">
        <v>707</v>
      </c>
      <c r="B1160" s="134">
        <v>800</v>
      </c>
      <c r="C1160" s="491">
        <v>18</v>
      </c>
      <c r="D1160" s="491">
        <v>0</v>
      </c>
      <c r="E1160" s="491">
        <v>0</v>
      </c>
      <c r="F1160" s="491">
        <v>1</v>
      </c>
      <c r="G1160" s="491">
        <f t="shared" si="18"/>
        <v>19</v>
      </c>
    </row>
    <row r="1161" spans="1:7" ht="12.75">
      <c r="A1161" s="134" t="s">
        <v>708</v>
      </c>
      <c r="B1161" s="134">
        <v>120</v>
      </c>
      <c r="C1161" s="491">
        <v>0</v>
      </c>
      <c r="D1161" s="491">
        <v>1</v>
      </c>
      <c r="E1161" s="491">
        <v>0</v>
      </c>
      <c r="F1161" s="491">
        <v>0</v>
      </c>
      <c r="G1161" s="491">
        <f t="shared" si="18"/>
        <v>1</v>
      </c>
    </row>
    <row r="1162" spans="1:7" ht="12.75">
      <c r="A1162" s="134" t="s">
        <v>708</v>
      </c>
      <c r="B1162" s="134">
        <v>330</v>
      </c>
      <c r="C1162" s="491">
        <v>2</v>
      </c>
      <c r="D1162" s="491">
        <v>1</v>
      </c>
      <c r="E1162" s="491">
        <v>0</v>
      </c>
      <c r="F1162" s="491">
        <v>0</v>
      </c>
      <c r="G1162" s="491">
        <f t="shared" si="18"/>
        <v>3</v>
      </c>
    </row>
    <row r="1163" spans="1:7" ht="12.75">
      <c r="A1163" s="134" t="s">
        <v>709</v>
      </c>
      <c r="B1163" s="134">
        <v>120</v>
      </c>
      <c r="C1163" s="491">
        <v>5</v>
      </c>
      <c r="D1163" s="491">
        <v>11</v>
      </c>
      <c r="E1163" s="491">
        <v>0</v>
      </c>
      <c r="F1163" s="491">
        <v>0</v>
      </c>
      <c r="G1163" s="491">
        <f t="shared" si="18"/>
        <v>16</v>
      </c>
    </row>
    <row r="1164" spans="1:7" ht="12.75">
      <c r="A1164" s="134" t="s">
        <v>709</v>
      </c>
      <c r="B1164" s="134">
        <v>140</v>
      </c>
      <c r="C1164" s="491">
        <v>3</v>
      </c>
      <c r="D1164" s="491">
        <v>0</v>
      </c>
      <c r="E1164" s="491">
        <v>0</v>
      </c>
      <c r="F1164" s="491">
        <v>0</v>
      </c>
      <c r="G1164" s="491">
        <f t="shared" si="18"/>
        <v>3</v>
      </c>
    </row>
    <row r="1165" spans="1:7" ht="12.75">
      <c r="A1165" s="134" t="s">
        <v>709</v>
      </c>
      <c r="B1165" s="134">
        <v>141</v>
      </c>
      <c r="C1165" s="491">
        <v>1</v>
      </c>
      <c r="D1165" s="491">
        <v>0</v>
      </c>
      <c r="E1165" s="491">
        <v>0</v>
      </c>
      <c r="F1165" s="491">
        <v>0</v>
      </c>
      <c r="G1165" s="491">
        <f t="shared" si="18"/>
        <v>1</v>
      </c>
    </row>
    <row r="1166" spans="1:7" ht="12.75">
      <c r="A1166" s="134" t="s">
        <v>709</v>
      </c>
      <c r="B1166" s="134">
        <v>215</v>
      </c>
      <c r="C1166" s="491">
        <v>0</v>
      </c>
      <c r="D1166" s="491">
        <v>0</v>
      </c>
      <c r="E1166" s="491">
        <v>1</v>
      </c>
      <c r="F1166" s="491">
        <v>0</v>
      </c>
      <c r="G1166" s="491">
        <f t="shared" si="18"/>
        <v>1</v>
      </c>
    </row>
    <row r="1167" spans="1:7" ht="12.75">
      <c r="A1167" s="134" t="s">
        <v>709</v>
      </c>
      <c r="B1167" s="134">
        <v>330</v>
      </c>
      <c r="C1167" s="491">
        <v>7</v>
      </c>
      <c r="D1167" s="491">
        <v>0</v>
      </c>
      <c r="E1167" s="491">
        <v>0</v>
      </c>
      <c r="F1167" s="491">
        <v>0</v>
      </c>
      <c r="G1167" s="491">
        <f t="shared" si="18"/>
        <v>7</v>
      </c>
    </row>
    <row r="1168" spans="1:7" ht="12.75">
      <c r="A1168" s="134" t="s">
        <v>710</v>
      </c>
      <c r="B1168" s="134">
        <v>120</v>
      </c>
      <c r="C1168" s="491">
        <v>3</v>
      </c>
      <c r="D1168" s="491">
        <v>1</v>
      </c>
      <c r="E1168" s="491">
        <v>0</v>
      </c>
      <c r="F1168" s="491">
        <v>0</v>
      </c>
      <c r="G1168" s="491">
        <f t="shared" si="18"/>
        <v>4</v>
      </c>
    </row>
    <row r="1169" spans="1:7" ht="12.75">
      <c r="A1169" s="134" t="s">
        <v>710</v>
      </c>
      <c r="B1169" s="134">
        <v>143</v>
      </c>
      <c r="C1169" s="491">
        <v>1</v>
      </c>
      <c r="D1169" s="491">
        <v>0</v>
      </c>
      <c r="E1169" s="491">
        <v>0</v>
      </c>
      <c r="F1169" s="491">
        <v>0</v>
      </c>
      <c r="G1169" s="491">
        <f t="shared" si="18"/>
        <v>1</v>
      </c>
    </row>
    <row r="1170" spans="1:7" ht="12.75">
      <c r="A1170" s="134" t="s">
        <v>710</v>
      </c>
      <c r="B1170" s="134">
        <v>501</v>
      </c>
      <c r="C1170" s="491">
        <v>1</v>
      </c>
      <c r="D1170" s="491">
        <v>0</v>
      </c>
      <c r="E1170" s="491">
        <v>0</v>
      </c>
      <c r="F1170" s="491">
        <v>0</v>
      </c>
      <c r="G1170" s="491">
        <f t="shared" si="18"/>
        <v>1</v>
      </c>
    </row>
    <row r="1171" spans="1:7" ht="12.75">
      <c r="A1171" s="134" t="s">
        <v>711</v>
      </c>
      <c r="B1171" s="134">
        <v>120</v>
      </c>
      <c r="C1171" s="491">
        <v>1</v>
      </c>
      <c r="D1171" s="491">
        <v>0</v>
      </c>
      <c r="E1171" s="491">
        <v>0</v>
      </c>
      <c r="F1171" s="491">
        <v>0</v>
      </c>
      <c r="G1171" s="491">
        <f t="shared" si="18"/>
        <v>1</v>
      </c>
    </row>
    <row r="1172" spans="1:7" ht="12.75">
      <c r="A1172" s="134" t="s">
        <v>711</v>
      </c>
      <c r="B1172" s="134">
        <v>140</v>
      </c>
      <c r="C1172" s="491">
        <v>1</v>
      </c>
      <c r="D1172" s="491">
        <v>0</v>
      </c>
      <c r="E1172" s="491">
        <v>0</v>
      </c>
      <c r="F1172" s="491">
        <v>0</v>
      </c>
      <c r="G1172" s="491">
        <f t="shared" si="18"/>
        <v>1</v>
      </c>
    </row>
    <row r="1173" spans="1:7" ht="12.75">
      <c r="A1173" s="134" t="s">
        <v>711</v>
      </c>
      <c r="B1173" s="134">
        <v>143</v>
      </c>
      <c r="C1173" s="491">
        <v>4</v>
      </c>
      <c r="D1173" s="491">
        <v>0</v>
      </c>
      <c r="E1173" s="491">
        <v>0</v>
      </c>
      <c r="F1173" s="491">
        <v>0</v>
      </c>
      <c r="G1173" s="491">
        <f t="shared" si="18"/>
        <v>4</v>
      </c>
    </row>
    <row r="1174" spans="1:7" ht="12.75">
      <c r="A1174" s="134" t="s">
        <v>712</v>
      </c>
      <c r="B1174" s="134">
        <v>120</v>
      </c>
      <c r="C1174" s="491">
        <v>0</v>
      </c>
      <c r="D1174" s="491">
        <v>2</v>
      </c>
      <c r="E1174" s="491">
        <v>0</v>
      </c>
      <c r="F1174" s="491">
        <v>0</v>
      </c>
      <c r="G1174" s="491">
        <f t="shared" si="18"/>
        <v>2</v>
      </c>
    </row>
    <row r="1175" spans="1:7" ht="12.75">
      <c r="A1175" s="134" t="s">
        <v>712</v>
      </c>
      <c r="B1175" s="134">
        <v>219</v>
      </c>
      <c r="C1175" s="491">
        <v>1</v>
      </c>
      <c r="D1175" s="491">
        <v>0</v>
      </c>
      <c r="E1175" s="491">
        <v>0</v>
      </c>
      <c r="F1175" s="491">
        <v>0</v>
      </c>
      <c r="G1175" s="491">
        <f t="shared" si="18"/>
        <v>1</v>
      </c>
    </row>
    <row r="1176" spans="1:7" ht="12.75">
      <c r="A1176" s="134" t="s">
        <v>713</v>
      </c>
      <c r="B1176" s="134">
        <v>100</v>
      </c>
      <c r="C1176" s="491">
        <v>0</v>
      </c>
      <c r="D1176" s="491">
        <v>2</v>
      </c>
      <c r="E1176" s="491">
        <v>0</v>
      </c>
      <c r="F1176" s="491">
        <v>0</v>
      </c>
      <c r="G1176" s="491">
        <f t="shared" si="18"/>
        <v>2</v>
      </c>
    </row>
    <row r="1177" spans="1:7" ht="12.75">
      <c r="A1177" s="134" t="s">
        <v>713</v>
      </c>
      <c r="B1177" s="134">
        <v>101</v>
      </c>
      <c r="C1177" s="491">
        <v>1</v>
      </c>
      <c r="D1177" s="491">
        <v>0</v>
      </c>
      <c r="E1177" s="491">
        <v>0</v>
      </c>
      <c r="F1177" s="491">
        <v>0</v>
      </c>
      <c r="G1177" s="491">
        <f t="shared" si="18"/>
        <v>1</v>
      </c>
    </row>
    <row r="1178" spans="1:7" ht="12.75">
      <c r="A1178" s="134" t="s">
        <v>713</v>
      </c>
      <c r="B1178" s="134">
        <v>104</v>
      </c>
      <c r="C1178" s="491">
        <v>0</v>
      </c>
      <c r="D1178" s="491">
        <v>2</v>
      </c>
      <c r="E1178" s="491">
        <v>0</v>
      </c>
      <c r="F1178" s="491">
        <v>0</v>
      </c>
      <c r="G1178" s="491">
        <f t="shared" si="18"/>
        <v>2</v>
      </c>
    </row>
    <row r="1179" spans="1:7" ht="12.75">
      <c r="A1179" s="134" t="s">
        <v>713</v>
      </c>
      <c r="B1179" s="134">
        <v>110</v>
      </c>
      <c r="C1179" s="491">
        <v>1</v>
      </c>
      <c r="D1179" s="491">
        <v>2</v>
      </c>
      <c r="E1179" s="491">
        <v>0</v>
      </c>
      <c r="F1179" s="491">
        <v>0</v>
      </c>
      <c r="G1179" s="491">
        <f t="shared" si="18"/>
        <v>3</v>
      </c>
    </row>
    <row r="1180" spans="1:7" ht="12.75">
      <c r="A1180" s="134" t="s">
        <v>713</v>
      </c>
      <c r="B1180" s="134">
        <v>120</v>
      </c>
      <c r="C1180" s="491">
        <v>1404</v>
      </c>
      <c r="D1180" s="491">
        <v>487</v>
      </c>
      <c r="E1180" s="491">
        <v>7</v>
      </c>
      <c r="F1180" s="491">
        <v>10</v>
      </c>
      <c r="G1180" s="491">
        <f t="shared" si="18"/>
        <v>1908</v>
      </c>
    </row>
    <row r="1181" spans="1:7" ht="12.75">
      <c r="A1181" s="134" t="s">
        <v>713</v>
      </c>
      <c r="B1181" s="134">
        <v>130</v>
      </c>
      <c r="C1181" s="491">
        <v>0</v>
      </c>
      <c r="D1181" s="491">
        <v>4</v>
      </c>
      <c r="E1181" s="491">
        <v>0</v>
      </c>
      <c r="F1181" s="491">
        <v>0</v>
      </c>
      <c r="G1181" s="491">
        <f t="shared" si="18"/>
        <v>4</v>
      </c>
    </row>
    <row r="1182" spans="1:7" ht="12.75">
      <c r="A1182" s="134" t="s">
        <v>713</v>
      </c>
      <c r="B1182" s="134">
        <v>140</v>
      </c>
      <c r="C1182" s="491">
        <v>43</v>
      </c>
      <c r="D1182" s="491">
        <v>7</v>
      </c>
      <c r="E1182" s="491">
        <v>2</v>
      </c>
      <c r="F1182" s="491">
        <v>0</v>
      </c>
      <c r="G1182" s="491">
        <f t="shared" si="18"/>
        <v>52</v>
      </c>
    </row>
    <row r="1183" spans="1:7" ht="12.75">
      <c r="A1183" s="134" t="s">
        <v>713</v>
      </c>
      <c r="B1183" s="134">
        <v>144</v>
      </c>
      <c r="C1183" s="491">
        <v>51</v>
      </c>
      <c r="D1183" s="491">
        <v>20</v>
      </c>
      <c r="E1183" s="491">
        <v>0</v>
      </c>
      <c r="F1183" s="491">
        <v>0</v>
      </c>
      <c r="G1183" s="491">
        <f t="shared" si="18"/>
        <v>71</v>
      </c>
    </row>
    <row r="1184" spans="1:7" ht="12.75">
      <c r="A1184" s="134" t="s">
        <v>713</v>
      </c>
      <c r="B1184" s="134">
        <v>160</v>
      </c>
      <c r="C1184" s="491">
        <v>159</v>
      </c>
      <c r="D1184" s="491">
        <v>14</v>
      </c>
      <c r="E1184" s="491">
        <v>62</v>
      </c>
      <c r="F1184" s="491">
        <v>0</v>
      </c>
      <c r="G1184" s="491">
        <f t="shared" si="18"/>
        <v>235</v>
      </c>
    </row>
    <row r="1185" spans="1:7" ht="12.75">
      <c r="A1185" s="134" t="s">
        <v>713</v>
      </c>
      <c r="B1185" s="134">
        <v>190</v>
      </c>
      <c r="C1185" s="491">
        <v>0</v>
      </c>
      <c r="D1185" s="491">
        <v>1</v>
      </c>
      <c r="E1185" s="491">
        <v>0</v>
      </c>
      <c r="F1185" s="491">
        <v>0</v>
      </c>
      <c r="G1185" s="491">
        <f t="shared" si="18"/>
        <v>1</v>
      </c>
    </row>
    <row r="1186" spans="1:7" ht="12.75">
      <c r="A1186" s="134" t="s">
        <v>713</v>
      </c>
      <c r="B1186" s="134">
        <v>215</v>
      </c>
      <c r="C1186" s="491">
        <v>5</v>
      </c>
      <c r="D1186" s="491">
        <v>1</v>
      </c>
      <c r="E1186" s="491">
        <v>0</v>
      </c>
      <c r="F1186" s="491">
        <v>0</v>
      </c>
      <c r="G1186" s="491">
        <f t="shared" si="18"/>
        <v>6</v>
      </c>
    </row>
    <row r="1187" spans="1:7" ht="12.75">
      <c r="A1187" s="134" t="s">
        <v>713</v>
      </c>
      <c r="B1187" s="134">
        <v>300</v>
      </c>
      <c r="C1187" s="491">
        <v>0</v>
      </c>
      <c r="D1187" s="491">
        <v>1</v>
      </c>
      <c r="E1187" s="491">
        <v>0</v>
      </c>
      <c r="F1187" s="491">
        <v>0</v>
      </c>
      <c r="G1187" s="491">
        <f t="shared" si="18"/>
        <v>1</v>
      </c>
    </row>
    <row r="1188" spans="1:7" ht="12.75">
      <c r="A1188" s="134" t="s">
        <v>713</v>
      </c>
      <c r="B1188" s="134">
        <v>301</v>
      </c>
      <c r="C1188" s="491">
        <v>1</v>
      </c>
      <c r="D1188" s="491">
        <v>0</v>
      </c>
      <c r="E1188" s="491">
        <v>0</v>
      </c>
      <c r="F1188" s="491">
        <v>0</v>
      </c>
      <c r="G1188" s="491">
        <f t="shared" si="18"/>
        <v>1</v>
      </c>
    </row>
    <row r="1189" spans="1:7" ht="12.75">
      <c r="A1189" s="134" t="s">
        <v>713</v>
      </c>
      <c r="B1189" s="134">
        <v>303</v>
      </c>
      <c r="C1189" s="491">
        <v>3</v>
      </c>
      <c r="D1189" s="491">
        <v>0</v>
      </c>
      <c r="E1189" s="491">
        <v>0</v>
      </c>
      <c r="F1189" s="491">
        <v>0</v>
      </c>
      <c r="G1189" s="491">
        <f t="shared" si="18"/>
        <v>3</v>
      </c>
    </row>
    <row r="1190" spans="1:7" ht="12.75">
      <c r="A1190" s="134" t="s">
        <v>713</v>
      </c>
      <c r="B1190" s="134">
        <v>310</v>
      </c>
      <c r="C1190" s="491">
        <v>13</v>
      </c>
      <c r="D1190" s="491">
        <v>263</v>
      </c>
      <c r="E1190" s="491">
        <v>0</v>
      </c>
      <c r="F1190" s="491">
        <v>0</v>
      </c>
      <c r="G1190" s="491">
        <f t="shared" si="18"/>
        <v>276</v>
      </c>
    </row>
    <row r="1191" spans="1:7" ht="12.75">
      <c r="A1191" s="134" t="s">
        <v>713</v>
      </c>
      <c r="B1191" s="134">
        <v>330</v>
      </c>
      <c r="C1191" s="491">
        <v>777</v>
      </c>
      <c r="D1191" s="491">
        <v>162</v>
      </c>
      <c r="E1191" s="491">
        <v>0</v>
      </c>
      <c r="F1191" s="491">
        <v>1</v>
      </c>
      <c r="G1191" s="491">
        <f t="shared" si="18"/>
        <v>940</v>
      </c>
    </row>
    <row r="1192" spans="1:7" ht="12.75">
      <c r="A1192" s="134" t="s">
        <v>713</v>
      </c>
      <c r="B1192" s="134">
        <v>370</v>
      </c>
      <c r="C1192" s="491">
        <v>1</v>
      </c>
      <c r="D1192" s="491">
        <v>0</v>
      </c>
      <c r="E1192" s="491">
        <v>0</v>
      </c>
      <c r="F1192" s="491">
        <v>0</v>
      </c>
      <c r="G1192" s="491">
        <f t="shared" si="18"/>
        <v>1</v>
      </c>
    </row>
    <row r="1193" spans="1:7" ht="12.75">
      <c r="A1193" s="134" t="s">
        <v>713</v>
      </c>
      <c r="B1193" s="134">
        <v>410</v>
      </c>
      <c r="C1193" s="491">
        <v>1</v>
      </c>
      <c r="D1193" s="491">
        <v>0</v>
      </c>
      <c r="E1193" s="491">
        <v>0</v>
      </c>
      <c r="F1193" s="491">
        <v>0</v>
      </c>
      <c r="G1193" s="491">
        <f t="shared" si="18"/>
        <v>1</v>
      </c>
    </row>
    <row r="1194" spans="1:7" ht="12.75">
      <c r="A1194" s="134" t="s">
        <v>713</v>
      </c>
      <c r="B1194" s="134">
        <v>502</v>
      </c>
      <c r="C1194" s="491">
        <v>2</v>
      </c>
      <c r="D1194" s="491">
        <v>1</v>
      </c>
      <c r="E1194" s="491">
        <v>0</v>
      </c>
      <c r="F1194" s="491">
        <v>0</v>
      </c>
      <c r="G1194" s="491">
        <f t="shared" si="18"/>
        <v>3</v>
      </c>
    </row>
    <row r="1195" spans="1:7" ht="12.75">
      <c r="A1195" s="134" t="s">
        <v>713</v>
      </c>
      <c r="B1195" s="134">
        <v>800</v>
      </c>
      <c r="C1195" s="491">
        <v>2</v>
      </c>
      <c r="D1195" s="491">
        <v>0</v>
      </c>
      <c r="E1195" s="491">
        <v>0</v>
      </c>
      <c r="F1195" s="491">
        <v>0</v>
      </c>
      <c r="G1195" s="491">
        <f t="shared" si="18"/>
        <v>2</v>
      </c>
    </row>
    <row r="1196" spans="1:7" ht="12.75">
      <c r="A1196" s="134" t="s">
        <v>714</v>
      </c>
      <c r="B1196" s="134">
        <v>120</v>
      </c>
      <c r="C1196" s="491">
        <v>111</v>
      </c>
      <c r="D1196" s="491">
        <v>62</v>
      </c>
      <c r="E1196" s="491">
        <v>1</v>
      </c>
      <c r="F1196" s="491">
        <v>0</v>
      </c>
      <c r="G1196" s="491">
        <f t="shared" si="18"/>
        <v>174</v>
      </c>
    </row>
    <row r="1197" spans="1:7" ht="12.75">
      <c r="A1197" s="134" t="s">
        <v>714</v>
      </c>
      <c r="B1197" s="134">
        <v>130</v>
      </c>
      <c r="C1197" s="491">
        <v>3</v>
      </c>
      <c r="D1197" s="491">
        <v>0</v>
      </c>
      <c r="E1197" s="491">
        <v>0</v>
      </c>
      <c r="F1197" s="491">
        <v>0</v>
      </c>
      <c r="G1197" s="491">
        <f t="shared" si="18"/>
        <v>3</v>
      </c>
    </row>
    <row r="1198" spans="1:7" ht="12.75">
      <c r="A1198" s="134" t="s">
        <v>714</v>
      </c>
      <c r="B1198" s="134">
        <v>143</v>
      </c>
      <c r="C1198" s="491">
        <v>2</v>
      </c>
      <c r="D1198" s="491">
        <v>0</v>
      </c>
      <c r="E1198" s="491">
        <v>0</v>
      </c>
      <c r="F1198" s="491">
        <v>0</v>
      </c>
      <c r="G1198" s="491">
        <f t="shared" si="18"/>
        <v>2</v>
      </c>
    </row>
    <row r="1199" spans="1:7" ht="12.75">
      <c r="A1199" s="134" t="s">
        <v>714</v>
      </c>
      <c r="B1199" s="134">
        <v>144</v>
      </c>
      <c r="C1199" s="491">
        <v>1</v>
      </c>
      <c r="D1199" s="491">
        <v>0</v>
      </c>
      <c r="E1199" s="491">
        <v>0</v>
      </c>
      <c r="F1199" s="491">
        <v>0</v>
      </c>
      <c r="G1199" s="491">
        <f t="shared" si="18"/>
        <v>1</v>
      </c>
    </row>
    <row r="1200" spans="1:7" ht="12.75">
      <c r="A1200" s="134" t="s">
        <v>714</v>
      </c>
      <c r="B1200" s="134">
        <v>160</v>
      </c>
      <c r="C1200" s="491">
        <v>2</v>
      </c>
      <c r="D1200" s="491">
        <v>2</v>
      </c>
      <c r="E1200" s="491">
        <v>1</v>
      </c>
      <c r="F1200" s="491">
        <v>0</v>
      </c>
      <c r="G1200" s="491">
        <f t="shared" si="18"/>
        <v>5</v>
      </c>
    </row>
    <row r="1201" spans="1:7" ht="12.75">
      <c r="A1201" s="134" t="s">
        <v>714</v>
      </c>
      <c r="B1201" s="134">
        <v>215</v>
      </c>
      <c r="C1201" s="491">
        <v>27</v>
      </c>
      <c r="D1201" s="491">
        <v>12</v>
      </c>
      <c r="E1201" s="491">
        <v>1</v>
      </c>
      <c r="F1201" s="491">
        <v>0</v>
      </c>
      <c r="G1201" s="491">
        <f t="shared" si="18"/>
        <v>40</v>
      </c>
    </row>
    <row r="1202" spans="1:7" ht="12.75">
      <c r="A1202" s="134" t="s">
        <v>714</v>
      </c>
      <c r="B1202" s="134">
        <v>257</v>
      </c>
      <c r="C1202" s="491">
        <v>4</v>
      </c>
      <c r="D1202" s="491">
        <v>1</v>
      </c>
      <c r="E1202" s="491">
        <v>0</v>
      </c>
      <c r="F1202" s="491">
        <v>0</v>
      </c>
      <c r="G1202" s="491">
        <f t="shared" si="18"/>
        <v>5</v>
      </c>
    </row>
    <row r="1203" spans="1:7" ht="12.75">
      <c r="A1203" s="134" t="s">
        <v>714</v>
      </c>
      <c r="B1203" s="134">
        <v>263</v>
      </c>
      <c r="C1203" s="491">
        <v>1</v>
      </c>
      <c r="D1203" s="491">
        <v>0</v>
      </c>
      <c r="E1203" s="491">
        <v>0</v>
      </c>
      <c r="F1203" s="491">
        <v>0</v>
      </c>
      <c r="G1203" s="491">
        <f t="shared" si="18"/>
        <v>1</v>
      </c>
    </row>
    <row r="1204" spans="1:7" ht="12.75">
      <c r="A1204" s="134" t="s">
        <v>714</v>
      </c>
      <c r="B1204" s="134">
        <v>290</v>
      </c>
      <c r="C1204" s="491">
        <v>1</v>
      </c>
      <c r="D1204" s="491">
        <v>0</v>
      </c>
      <c r="E1204" s="491">
        <v>0</v>
      </c>
      <c r="F1204" s="491">
        <v>0</v>
      </c>
      <c r="G1204" s="491">
        <f t="shared" si="18"/>
        <v>1</v>
      </c>
    </row>
    <row r="1205" spans="1:7" ht="12.75">
      <c r="A1205" s="134" t="s">
        <v>714</v>
      </c>
      <c r="B1205" s="134">
        <v>330</v>
      </c>
      <c r="C1205" s="491">
        <v>3</v>
      </c>
      <c r="D1205" s="491">
        <v>0</v>
      </c>
      <c r="E1205" s="491">
        <v>0</v>
      </c>
      <c r="F1205" s="491">
        <v>0</v>
      </c>
      <c r="G1205" s="491">
        <f t="shared" si="18"/>
        <v>3</v>
      </c>
    </row>
    <row r="1206" spans="1:7" ht="12.75">
      <c r="A1206" s="134" t="s">
        <v>714</v>
      </c>
      <c r="B1206" s="134">
        <v>501</v>
      </c>
      <c r="C1206" s="491">
        <v>1</v>
      </c>
      <c r="D1206" s="491">
        <v>0</v>
      </c>
      <c r="E1206" s="491">
        <v>0</v>
      </c>
      <c r="F1206" s="491">
        <v>0</v>
      </c>
      <c r="G1206" s="491">
        <f t="shared" si="18"/>
        <v>1</v>
      </c>
    </row>
    <row r="1207" spans="1:7" ht="12.75">
      <c r="A1207" s="134" t="s">
        <v>715</v>
      </c>
      <c r="B1207" s="134">
        <v>100</v>
      </c>
      <c r="C1207" s="491">
        <v>1</v>
      </c>
      <c r="D1207" s="491">
        <v>0</v>
      </c>
      <c r="E1207" s="491">
        <v>0</v>
      </c>
      <c r="F1207" s="491">
        <v>0</v>
      </c>
      <c r="G1207" s="491">
        <f t="shared" si="18"/>
        <v>1</v>
      </c>
    </row>
    <row r="1208" spans="1:7" ht="12.75">
      <c r="A1208" s="134" t="s">
        <v>715</v>
      </c>
      <c r="B1208" s="134">
        <v>106</v>
      </c>
      <c r="C1208" s="491">
        <v>2</v>
      </c>
      <c r="D1208" s="491">
        <v>0</v>
      </c>
      <c r="E1208" s="491">
        <v>0</v>
      </c>
      <c r="F1208" s="491">
        <v>0</v>
      </c>
      <c r="G1208" s="491">
        <f t="shared" si="18"/>
        <v>2</v>
      </c>
    </row>
    <row r="1209" spans="1:7" ht="12.75">
      <c r="A1209" s="134" t="s">
        <v>715</v>
      </c>
      <c r="B1209" s="134">
        <v>120</v>
      </c>
      <c r="C1209" s="491">
        <v>542</v>
      </c>
      <c r="D1209" s="491">
        <v>151</v>
      </c>
      <c r="E1209" s="491">
        <v>3</v>
      </c>
      <c r="F1209" s="491">
        <v>3</v>
      </c>
      <c r="G1209" s="491">
        <f t="shared" si="18"/>
        <v>699</v>
      </c>
    </row>
    <row r="1210" spans="1:7" ht="12.75">
      <c r="A1210" s="134" t="s">
        <v>715</v>
      </c>
      <c r="B1210" s="134">
        <v>140</v>
      </c>
      <c r="C1210" s="491">
        <v>5</v>
      </c>
      <c r="D1210" s="491">
        <v>1</v>
      </c>
      <c r="E1210" s="491">
        <v>0</v>
      </c>
      <c r="F1210" s="491">
        <v>0</v>
      </c>
      <c r="G1210" s="491">
        <f t="shared" si="18"/>
        <v>6</v>
      </c>
    </row>
    <row r="1211" spans="1:7" ht="12.75">
      <c r="A1211" s="134" t="s">
        <v>715</v>
      </c>
      <c r="B1211" s="134">
        <v>144</v>
      </c>
      <c r="C1211" s="491">
        <v>1</v>
      </c>
      <c r="D1211" s="491">
        <v>0</v>
      </c>
      <c r="E1211" s="491">
        <v>0</v>
      </c>
      <c r="F1211" s="491">
        <v>0</v>
      </c>
      <c r="G1211" s="491">
        <f t="shared" si="18"/>
        <v>1</v>
      </c>
    </row>
    <row r="1212" spans="1:7" ht="12.75">
      <c r="A1212" s="134" t="s">
        <v>715</v>
      </c>
      <c r="B1212" s="134">
        <v>215</v>
      </c>
      <c r="C1212" s="491">
        <v>3</v>
      </c>
      <c r="D1212" s="491">
        <v>1</v>
      </c>
      <c r="E1212" s="491">
        <v>0</v>
      </c>
      <c r="F1212" s="491">
        <v>0</v>
      </c>
      <c r="G1212" s="491">
        <f t="shared" si="18"/>
        <v>4</v>
      </c>
    </row>
    <row r="1213" spans="1:7" ht="12.75">
      <c r="A1213" s="134" t="s">
        <v>715</v>
      </c>
      <c r="B1213" s="134">
        <v>310</v>
      </c>
      <c r="C1213" s="491">
        <v>1</v>
      </c>
      <c r="D1213" s="491">
        <v>1</v>
      </c>
      <c r="E1213" s="491">
        <v>0</v>
      </c>
      <c r="F1213" s="491">
        <v>0</v>
      </c>
      <c r="G1213" s="491">
        <f t="shared" si="18"/>
        <v>2</v>
      </c>
    </row>
    <row r="1214" spans="1:7" ht="12.75">
      <c r="A1214" s="134" t="s">
        <v>715</v>
      </c>
      <c r="B1214" s="134">
        <v>800</v>
      </c>
      <c r="C1214" s="491">
        <v>0</v>
      </c>
      <c r="D1214" s="491">
        <v>0</v>
      </c>
      <c r="E1214" s="491">
        <v>1</v>
      </c>
      <c r="F1214" s="491">
        <v>0</v>
      </c>
      <c r="G1214" s="491">
        <f t="shared" si="18"/>
        <v>1</v>
      </c>
    </row>
    <row r="1215" spans="1:7" ht="12.75">
      <c r="A1215" s="134" t="s">
        <v>716</v>
      </c>
      <c r="B1215" s="134">
        <v>120</v>
      </c>
      <c r="C1215" s="491">
        <v>29</v>
      </c>
      <c r="D1215" s="491">
        <v>14</v>
      </c>
      <c r="E1215" s="491">
        <v>0</v>
      </c>
      <c r="F1215" s="491">
        <v>0</v>
      </c>
      <c r="G1215" s="491">
        <f t="shared" si="18"/>
        <v>43</v>
      </c>
    </row>
    <row r="1216" spans="1:7" ht="12.75">
      <c r="A1216" s="134" t="s">
        <v>716</v>
      </c>
      <c r="B1216" s="134">
        <v>215</v>
      </c>
      <c r="C1216" s="491">
        <v>1</v>
      </c>
      <c r="D1216" s="491">
        <v>0</v>
      </c>
      <c r="E1216" s="491">
        <v>0</v>
      </c>
      <c r="F1216" s="491">
        <v>0</v>
      </c>
      <c r="G1216" s="491">
        <f t="shared" si="18"/>
        <v>1</v>
      </c>
    </row>
    <row r="1217" spans="1:7" ht="12.75">
      <c r="A1217" s="134" t="s">
        <v>717</v>
      </c>
      <c r="B1217" s="134">
        <v>100</v>
      </c>
      <c r="C1217" s="491">
        <v>50</v>
      </c>
      <c r="D1217" s="491">
        <v>28</v>
      </c>
      <c r="E1217" s="491">
        <v>0</v>
      </c>
      <c r="F1217" s="491">
        <v>2</v>
      </c>
      <c r="G1217" s="491">
        <f t="shared" si="18"/>
        <v>80</v>
      </c>
    </row>
    <row r="1218" spans="1:7" ht="12.75">
      <c r="A1218" s="134" t="s">
        <v>717</v>
      </c>
      <c r="B1218" s="134">
        <v>101</v>
      </c>
      <c r="C1218" s="491">
        <v>84</v>
      </c>
      <c r="D1218" s="491">
        <v>61</v>
      </c>
      <c r="E1218" s="491">
        <v>0</v>
      </c>
      <c r="F1218" s="491">
        <v>1</v>
      </c>
      <c r="G1218" s="491">
        <f t="shared" si="18"/>
        <v>146</v>
      </c>
    </row>
    <row r="1219" spans="1:7" ht="12.75">
      <c r="A1219" s="134" t="s">
        <v>717</v>
      </c>
      <c r="B1219" s="134">
        <v>102</v>
      </c>
      <c r="C1219" s="491">
        <v>0</v>
      </c>
      <c r="D1219" s="491">
        <v>1</v>
      </c>
      <c r="E1219" s="491">
        <v>0</v>
      </c>
      <c r="F1219" s="491">
        <v>0</v>
      </c>
      <c r="G1219" s="491">
        <f t="shared" si="18"/>
        <v>1</v>
      </c>
    </row>
    <row r="1220" spans="1:7" ht="12.75">
      <c r="A1220" s="134" t="s">
        <v>717</v>
      </c>
      <c r="B1220" s="134">
        <v>103</v>
      </c>
      <c r="C1220" s="491">
        <v>10</v>
      </c>
      <c r="D1220" s="491">
        <v>15</v>
      </c>
      <c r="E1220" s="491">
        <v>2</v>
      </c>
      <c r="F1220" s="491">
        <v>0</v>
      </c>
      <c r="G1220" s="491">
        <f t="shared" ref="G1220:G1283" si="19">SUM(C1220:F1220)</f>
        <v>27</v>
      </c>
    </row>
    <row r="1221" spans="1:7" ht="12.75">
      <c r="A1221" s="134" t="s">
        <v>717</v>
      </c>
      <c r="B1221" s="134">
        <v>104</v>
      </c>
      <c r="C1221" s="491">
        <v>9</v>
      </c>
      <c r="D1221" s="491">
        <v>22</v>
      </c>
      <c r="E1221" s="491">
        <v>1</v>
      </c>
      <c r="F1221" s="491">
        <v>0</v>
      </c>
      <c r="G1221" s="491">
        <f t="shared" si="19"/>
        <v>32</v>
      </c>
    </row>
    <row r="1222" spans="1:7" ht="12.75">
      <c r="A1222" s="134" t="s">
        <v>717</v>
      </c>
      <c r="B1222" s="134">
        <v>106</v>
      </c>
      <c r="C1222" s="491">
        <v>2</v>
      </c>
      <c r="D1222" s="491">
        <v>7</v>
      </c>
      <c r="E1222" s="491">
        <v>0</v>
      </c>
      <c r="F1222" s="491">
        <v>0</v>
      </c>
      <c r="G1222" s="491">
        <f t="shared" si="19"/>
        <v>9</v>
      </c>
    </row>
    <row r="1223" spans="1:7" ht="12.75">
      <c r="A1223" s="134" t="s">
        <v>717</v>
      </c>
      <c r="B1223" s="134">
        <v>107</v>
      </c>
      <c r="C1223" s="491">
        <v>2</v>
      </c>
      <c r="D1223" s="491">
        <v>7</v>
      </c>
      <c r="E1223" s="491">
        <v>0</v>
      </c>
      <c r="F1223" s="491">
        <v>0</v>
      </c>
      <c r="G1223" s="491">
        <f t="shared" si="19"/>
        <v>9</v>
      </c>
    </row>
    <row r="1224" spans="1:7" ht="12.75">
      <c r="A1224" s="134" t="s">
        <v>717</v>
      </c>
      <c r="B1224" s="134">
        <v>108</v>
      </c>
      <c r="C1224" s="491">
        <v>1</v>
      </c>
      <c r="D1224" s="491">
        <v>0</v>
      </c>
      <c r="E1224" s="491">
        <v>0</v>
      </c>
      <c r="F1224" s="491">
        <v>0</v>
      </c>
      <c r="G1224" s="491">
        <f t="shared" si="19"/>
        <v>1</v>
      </c>
    </row>
    <row r="1225" spans="1:7" ht="12.75">
      <c r="A1225" s="134" t="s">
        <v>717</v>
      </c>
      <c r="B1225" s="134">
        <v>110</v>
      </c>
      <c r="C1225" s="491">
        <v>74</v>
      </c>
      <c r="D1225" s="491">
        <v>61</v>
      </c>
      <c r="E1225" s="491">
        <v>1</v>
      </c>
      <c r="F1225" s="491">
        <v>2</v>
      </c>
      <c r="G1225" s="491">
        <f t="shared" si="19"/>
        <v>138</v>
      </c>
    </row>
    <row r="1226" spans="1:7" ht="12.75">
      <c r="A1226" s="134" t="s">
        <v>717</v>
      </c>
      <c r="B1226" s="134">
        <v>120</v>
      </c>
      <c r="C1226" s="491">
        <v>249463</v>
      </c>
      <c r="D1226" s="491">
        <v>87528</v>
      </c>
      <c r="E1226" s="491">
        <v>1782</v>
      </c>
      <c r="F1226" s="491">
        <v>1287</v>
      </c>
      <c r="G1226" s="491">
        <f t="shared" si="19"/>
        <v>340060</v>
      </c>
    </row>
    <row r="1227" spans="1:7" ht="12.75">
      <c r="A1227" s="134" t="s">
        <v>717</v>
      </c>
      <c r="B1227" s="134">
        <v>130</v>
      </c>
      <c r="C1227" s="491">
        <v>102</v>
      </c>
      <c r="D1227" s="491">
        <v>34</v>
      </c>
      <c r="E1227" s="491">
        <v>2</v>
      </c>
      <c r="F1227" s="491">
        <v>2</v>
      </c>
      <c r="G1227" s="491">
        <f t="shared" si="19"/>
        <v>140</v>
      </c>
    </row>
    <row r="1228" spans="1:7" ht="12.75">
      <c r="A1228" s="134" t="s">
        <v>717</v>
      </c>
      <c r="B1228" s="134">
        <v>140</v>
      </c>
      <c r="C1228" s="491">
        <v>21</v>
      </c>
      <c r="D1228" s="491">
        <v>23</v>
      </c>
      <c r="E1228" s="491">
        <v>1</v>
      </c>
      <c r="F1228" s="491">
        <v>0</v>
      </c>
      <c r="G1228" s="491">
        <f t="shared" si="19"/>
        <v>45</v>
      </c>
    </row>
    <row r="1229" spans="1:7" ht="12.75">
      <c r="A1229" s="134" t="s">
        <v>717</v>
      </c>
      <c r="B1229" s="134">
        <v>143</v>
      </c>
      <c r="C1229" s="491">
        <v>7</v>
      </c>
      <c r="D1229" s="491">
        <v>1</v>
      </c>
      <c r="E1229" s="491">
        <v>0</v>
      </c>
      <c r="F1229" s="491">
        <v>0</v>
      </c>
      <c r="G1229" s="491">
        <f t="shared" si="19"/>
        <v>8</v>
      </c>
    </row>
    <row r="1230" spans="1:7" ht="12.75">
      <c r="A1230" s="134" t="s">
        <v>717</v>
      </c>
      <c r="B1230" s="134">
        <v>144</v>
      </c>
      <c r="C1230" s="491">
        <v>10</v>
      </c>
      <c r="D1230" s="491">
        <v>13</v>
      </c>
      <c r="E1230" s="491">
        <v>0</v>
      </c>
      <c r="F1230" s="491">
        <v>0</v>
      </c>
      <c r="G1230" s="491">
        <f t="shared" si="19"/>
        <v>23</v>
      </c>
    </row>
    <row r="1231" spans="1:7" ht="12.75">
      <c r="A1231" s="134" t="s">
        <v>717</v>
      </c>
      <c r="B1231" s="134">
        <v>150</v>
      </c>
      <c r="C1231" s="491">
        <v>1</v>
      </c>
      <c r="D1231" s="491">
        <v>8</v>
      </c>
      <c r="E1231" s="491">
        <v>1</v>
      </c>
      <c r="F1231" s="491">
        <v>0</v>
      </c>
      <c r="G1231" s="491">
        <f t="shared" si="19"/>
        <v>10</v>
      </c>
    </row>
    <row r="1232" spans="1:7" ht="12.75">
      <c r="A1232" s="134" t="s">
        <v>717</v>
      </c>
      <c r="B1232" s="134">
        <v>160</v>
      </c>
      <c r="C1232" s="491">
        <v>10</v>
      </c>
      <c r="D1232" s="491">
        <v>15</v>
      </c>
      <c r="E1232" s="491">
        <v>0</v>
      </c>
      <c r="F1232" s="491">
        <v>0</v>
      </c>
      <c r="G1232" s="491">
        <f t="shared" si="19"/>
        <v>25</v>
      </c>
    </row>
    <row r="1233" spans="1:7" ht="12.75">
      <c r="A1233" s="134" t="s">
        <v>717</v>
      </c>
      <c r="B1233" s="134">
        <v>172</v>
      </c>
      <c r="C1233" s="491">
        <v>0</v>
      </c>
      <c r="D1233" s="491">
        <v>2</v>
      </c>
      <c r="E1233" s="491">
        <v>0</v>
      </c>
      <c r="F1233" s="491">
        <v>0</v>
      </c>
      <c r="G1233" s="491">
        <f t="shared" si="19"/>
        <v>2</v>
      </c>
    </row>
    <row r="1234" spans="1:7" ht="12.75">
      <c r="A1234" s="134" t="s">
        <v>717</v>
      </c>
      <c r="B1234" s="134">
        <v>180</v>
      </c>
      <c r="C1234" s="491">
        <v>2</v>
      </c>
      <c r="D1234" s="491">
        <v>3</v>
      </c>
      <c r="E1234" s="491">
        <v>0</v>
      </c>
      <c r="F1234" s="491">
        <v>0</v>
      </c>
      <c r="G1234" s="491">
        <f t="shared" si="19"/>
        <v>5</v>
      </c>
    </row>
    <row r="1235" spans="1:7" ht="12.75">
      <c r="A1235" s="134" t="s">
        <v>717</v>
      </c>
      <c r="B1235" s="134">
        <v>190</v>
      </c>
      <c r="C1235" s="491">
        <v>2</v>
      </c>
      <c r="D1235" s="491">
        <v>2</v>
      </c>
      <c r="E1235" s="491">
        <v>0</v>
      </c>
      <c r="F1235" s="491">
        <v>0</v>
      </c>
      <c r="G1235" s="491">
        <f t="shared" si="19"/>
        <v>4</v>
      </c>
    </row>
    <row r="1236" spans="1:7" ht="12.75">
      <c r="A1236" s="134" t="s">
        <v>717</v>
      </c>
      <c r="B1236" s="134">
        <v>191</v>
      </c>
      <c r="C1236" s="491">
        <v>41</v>
      </c>
      <c r="D1236" s="491">
        <v>7</v>
      </c>
      <c r="E1236" s="491">
        <v>2</v>
      </c>
      <c r="F1236" s="491">
        <v>0</v>
      </c>
      <c r="G1236" s="491">
        <f t="shared" si="19"/>
        <v>50</v>
      </c>
    </row>
    <row r="1237" spans="1:7" ht="12.75">
      <c r="A1237" s="134" t="s">
        <v>717</v>
      </c>
      <c r="B1237" s="134">
        <v>215</v>
      </c>
      <c r="C1237" s="491">
        <v>374</v>
      </c>
      <c r="D1237" s="491">
        <v>49</v>
      </c>
      <c r="E1237" s="491">
        <v>0</v>
      </c>
      <c r="F1237" s="491">
        <v>0</v>
      </c>
      <c r="G1237" s="491">
        <f t="shared" si="19"/>
        <v>423</v>
      </c>
    </row>
    <row r="1238" spans="1:7" ht="12.75">
      <c r="A1238" s="134" t="s">
        <v>717</v>
      </c>
      <c r="B1238" s="134">
        <v>254</v>
      </c>
      <c r="C1238" s="491">
        <v>1</v>
      </c>
      <c r="D1238" s="491">
        <v>0</v>
      </c>
      <c r="E1238" s="491">
        <v>0</v>
      </c>
      <c r="F1238" s="491">
        <v>0</v>
      </c>
      <c r="G1238" s="491">
        <f t="shared" si="19"/>
        <v>1</v>
      </c>
    </row>
    <row r="1239" spans="1:7" ht="12.75">
      <c r="A1239" s="134" t="s">
        <v>717</v>
      </c>
      <c r="B1239" s="134">
        <v>262</v>
      </c>
      <c r="C1239" s="491">
        <v>1</v>
      </c>
      <c r="D1239" s="491">
        <v>0</v>
      </c>
      <c r="E1239" s="491">
        <v>0</v>
      </c>
      <c r="F1239" s="491">
        <v>0</v>
      </c>
      <c r="G1239" s="491">
        <f t="shared" si="19"/>
        <v>1</v>
      </c>
    </row>
    <row r="1240" spans="1:7" ht="12.75">
      <c r="A1240" s="134" t="s">
        <v>717</v>
      </c>
      <c r="B1240" s="134">
        <v>290</v>
      </c>
      <c r="C1240" s="491">
        <v>1</v>
      </c>
      <c r="D1240" s="491">
        <v>0</v>
      </c>
      <c r="E1240" s="491">
        <v>0</v>
      </c>
      <c r="F1240" s="491">
        <v>0</v>
      </c>
      <c r="G1240" s="491">
        <f t="shared" si="19"/>
        <v>1</v>
      </c>
    </row>
    <row r="1241" spans="1:7" ht="12.75">
      <c r="A1241" s="134" t="s">
        <v>717</v>
      </c>
      <c r="B1241" s="134">
        <v>300</v>
      </c>
      <c r="C1241" s="491">
        <v>14</v>
      </c>
      <c r="D1241" s="491">
        <v>17</v>
      </c>
      <c r="E1241" s="491">
        <v>0</v>
      </c>
      <c r="F1241" s="491">
        <v>0</v>
      </c>
      <c r="G1241" s="491">
        <f t="shared" si="19"/>
        <v>31</v>
      </c>
    </row>
    <row r="1242" spans="1:7" ht="12.75">
      <c r="A1242" s="134" t="s">
        <v>717</v>
      </c>
      <c r="B1242" s="134">
        <v>301</v>
      </c>
      <c r="C1242" s="491">
        <v>24</v>
      </c>
      <c r="D1242" s="491">
        <v>20</v>
      </c>
      <c r="E1242" s="491">
        <v>1</v>
      </c>
      <c r="F1242" s="491">
        <v>0</v>
      </c>
      <c r="G1242" s="491">
        <f t="shared" si="19"/>
        <v>45</v>
      </c>
    </row>
    <row r="1243" spans="1:7" ht="12.75">
      <c r="A1243" s="134" t="s">
        <v>717</v>
      </c>
      <c r="B1243" s="134">
        <v>302</v>
      </c>
      <c r="C1243" s="491">
        <v>3</v>
      </c>
      <c r="D1243" s="491">
        <v>6</v>
      </c>
      <c r="E1243" s="491">
        <v>0</v>
      </c>
      <c r="F1243" s="491">
        <v>0</v>
      </c>
      <c r="G1243" s="491">
        <f t="shared" si="19"/>
        <v>9</v>
      </c>
    </row>
    <row r="1244" spans="1:7" ht="12.75">
      <c r="A1244" s="134" t="s">
        <v>717</v>
      </c>
      <c r="B1244" s="134">
        <v>303</v>
      </c>
      <c r="C1244" s="491">
        <v>26</v>
      </c>
      <c r="D1244" s="491">
        <v>10</v>
      </c>
      <c r="E1244" s="491">
        <v>0</v>
      </c>
      <c r="F1244" s="491">
        <v>0</v>
      </c>
      <c r="G1244" s="491">
        <f t="shared" si="19"/>
        <v>36</v>
      </c>
    </row>
    <row r="1245" spans="1:7" ht="12.75">
      <c r="A1245" s="134" t="s">
        <v>717</v>
      </c>
      <c r="B1245" s="134">
        <v>304</v>
      </c>
      <c r="C1245" s="491">
        <v>1</v>
      </c>
      <c r="D1245" s="491">
        <v>0</v>
      </c>
      <c r="E1245" s="491">
        <v>0</v>
      </c>
      <c r="F1245" s="491">
        <v>0</v>
      </c>
      <c r="G1245" s="491">
        <f t="shared" si="19"/>
        <v>1</v>
      </c>
    </row>
    <row r="1246" spans="1:7" ht="12.75">
      <c r="A1246" s="134" t="s">
        <v>717</v>
      </c>
      <c r="B1246" s="134">
        <v>305</v>
      </c>
      <c r="C1246" s="491">
        <v>2</v>
      </c>
      <c r="D1246" s="491">
        <v>0</v>
      </c>
      <c r="E1246" s="491">
        <v>0</v>
      </c>
      <c r="F1246" s="491">
        <v>0</v>
      </c>
      <c r="G1246" s="491">
        <f t="shared" si="19"/>
        <v>2</v>
      </c>
    </row>
    <row r="1247" spans="1:7" ht="12.75">
      <c r="A1247" s="134" t="s">
        <v>717</v>
      </c>
      <c r="B1247" s="134">
        <v>306</v>
      </c>
      <c r="C1247" s="491">
        <v>0</v>
      </c>
      <c r="D1247" s="491">
        <v>7</v>
      </c>
      <c r="E1247" s="491">
        <v>0</v>
      </c>
      <c r="F1247" s="491">
        <v>0</v>
      </c>
      <c r="G1247" s="491">
        <f t="shared" si="19"/>
        <v>7</v>
      </c>
    </row>
    <row r="1248" spans="1:7" ht="12.75">
      <c r="A1248" s="134" t="s">
        <v>717</v>
      </c>
      <c r="B1248" s="134">
        <v>307</v>
      </c>
      <c r="C1248" s="491">
        <v>8</v>
      </c>
      <c r="D1248" s="491">
        <v>7</v>
      </c>
      <c r="E1248" s="491">
        <v>0</v>
      </c>
      <c r="F1248" s="491">
        <v>0</v>
      </c>
      <c r="G1248" s="491">
        <f t="shared" si="19"/>
        <v>15</v>
      </c>
    </row>
    <row r="1249" spans="1:7" ht="12.75">
      <c r="A1249" s="134" t="s">
        <v>717</v>
      </c>
      <c r="B1249" s="134">
        <v>310</v>
      </c>
      <c r="C1249" s="491">
        <v>238</v>
      </c>
      <c r="D1249" s="491">
        <v>529</v>
      </c>
      <c r="E1249" s="491">
        <v>0</v>
      </c>
      <c r="F1249" s="491">
        <v>0</v>
      </c>
      <c r="G1249" s="491">
        <f t="shared" si="19"/>
        <v>767</v>
      </c>
    </row>
    <row r="1250" spans="1:7" ht="12.75">
      <c r="A1250" s="134" t="s">
        <v>717</v>
      </c>
      <c r="B1250" s="134">
        <v>311</v>
      </c>
      <c r="C1250" s="491">
        <v>0</v>
      </c>
      <c r="D1250" s="491">
        <v>1</v>
      </c>
      <c r="E1250" s="491">
        <v>0</v>
      </c>
      <c r="F1250" s="491">
        <v>0</v>
      </c>
      <c r="G1250" s="491">
        <f t="shared" si="19"/>
        <v>1</v>
      </c>
    </row>
    <row r="1251" spans="1:7" ht="12.75">
      <c r="A1251" s="134" t="s">
        <v>717</v>
      </c>
      <c r="B1251" s="134">
        <v>314</v>
      </c>
      <c r="C1251" s="491">
        <v>3</v>
      </c>
      <c r="D1251" s="491">
        <v>6</v>
      </c>
      <c r="E1251" s="491">
        <v>1</v>
      </c>
      <c r="F1251" s="491">
        <v>0</v>
      </c>
      <c r="G1251" s="491">
        <f t="shared" si="19"/>
        <v>10</v>
      </c>
    </row>
    <row r="1252" spans="1:7" ht="12.75">
      <c r="A1252" s="134" t="s">
        <v>717</v>
      </c>
      <c r="B1252" s="134">
        <v>318</v>
      </c>
      <c r="C1252" s="491">
        <v>3</v>
      </c>
      <c r="D1252" s="491">
        <v>49</v>
      </c>
      <c r="E1252" s="491">
        <v>0</v>
      </c>
      <c r="F1252" s="491">
        <v>0</v>
      </c>
      <c r="G1252" s="491">
        <f t="shared" si="19"/>
        <v>52</v>
      </c>
    </row>
    <row r="1253" spans="1:7" ht="12.75">
      <c r="A1253" s="134" t="s">
        <v>717</v>
      </c>
      <c r="B1253" s="134">
        <v>320</v>
      </c>
      <c r="C1253" s="491">
        <v>67</v>
      </c>
      <c r="D1253" s="491">
        <v>61</v>
      </c>
      <c r="E1253" s="491">
        <v>2</v>
      </c>
      <c r="F1253" s="491">
        <v>1</v>
      </c>
      <c r="G1253" s="491">
        <f t="shared" si="19"/>
        <v>131</v>
      </c>
    </row>
    <row r="1254" spans="1:7" ht="12.75">
      <c r="A1254" s="134" t="s">
        <v>717</v>
      </c>
      <c r="B1254" s="134">
        <v>324</v>
      </c>
      <c r="C1254" s="491">
        <v>5</v>
      </c>
      <c r="D1254" s="491">
        <v>3</v>
      </c>
      <c r="E1254" s="491">
        <v>0</v>
      </c>
      <c r="F1254" s="491">
        <v>0</v>
      </c>
      <c r="G1254" s="491">
        <f t="shared" si="19"/>
        <v>8</v>
      </c>
    </row>
    <row r="1255" spans="1:7" ht="12.75">
      <c r="A1255" s="134" t="s">
        <v>717</v>
      </c>
      <c r="B1255" s="134">
        <v>330</v>
      </c>
      <c r="C1255" s="491">
        <v>61</v>
      </c>
      <c r="D1255" s="491">
        <v>42</v>
      </c>
      <c r="E1255" s="491">
        <v>8</v>
      </c>
      <c r="F1255" s="491">
        <v>1</v>
      </c>
      <c r="G1255" s="491">
        <f t="shared" si="19"/>
        <v>112</v>
      </c>
    </row>
    <row r="1256" spans="1:7" ht="12.75">
      <c r="A1256" s="134" t="s">
        <v>717</v>
      </c>
      <c r="B1256" s="134">
        <v>340</v>
      </c>
      <c r="C1256" s="491">
        <v>25</v>
      </c>
      <c r="D1256" s="491">
        <v>33</v>
      </c>
      <c r="E1256" s="491">
        <v>0</v>
      </c>
      <c r="F1256" s="491">
        <v>1</v>
      </c>
      <c r="G1256" s="491">
        <f t="shared" si="19"/>
        <v>59</v>
      </c>
    </row>
    <row r="1257" spans="1:7" ht="12.75">
      <c r="A1257" s="134" t="s">
        <v>717</v>
      </c>
      <c r="B1257" s="134">
        <v>341</v>
      </c>
      <c r="C1257" s="491">
        <v>12</v>
      </c>
      <c r="D1257" s="491">
        <v>7</v>
      </c>
      <c r="E1257" s="491">
        <v>0</v>
      </c>
      <c r="F1257" s="491">
        <v>0</v>
      </c>
      <c r="G1257" s="491">
        <f t="shared" si="19"/>
        <v>19</v>
      </c>
    </row>
    <row r="1258" spans="1:7" ht="12.75">
      <c r="A1258" s="134" t="s">
        <v>717</v>
      </c>
      <c r="B1258" s="134">
        <v>350</v>
      </c>
      <c r="C1258" s="491">
        <v>0</v>
      </c>
      <c r="D1258" s="491">
        <v>5</v>
      </c>
      <c r="E1258" s="491">
        <v>0</v>
      </c>
      <c r="F1258" s="491">
        <v>0</v>
      </c>
      <c r="G1258" s="491">
        <f t="shared" si="19"/>
        <v>5</v>
      </c>
    </row>
    <row r="1259" spans="1:7" ht="12.75">
      <c r="A1259" s="134" t="s">
        <v>717</v>
      </c>
      <c r="B1259" s="134">
        <v>361</v>
      </c>
      <c r="C1259" s="491">
        <v>4</v>
      </c>
      <c r="D1259" s="491">
        <v>8</v>
      </c>
      <c r="E1259" s="491">
        <v>0</v>
      </c>
      <c r="F1259" s="491">
        <v>0</v>
      </c>
      <c r="G1259" s="491">
        <f t="shared" si="19"/>
        <v>12</v>
      </c>
    </row>
    <row r="1260" spans="1:7" ht="12.75">
      <c r="A1260" s="134" t="s">
        <v>717</v>
      </c>
      <c r="B1260" s="134">
        <v>370</v>
      </c>
      <c r="C1260" s="491">
        <v>15</v>
      </c>
      <c r="D1260" s="491">
        <v>10</v>
      </c>
      <c r="E1260" s="491">
        <v>0</v>
      </c>
      <c r="F1260" s="491">
        <v>1</v>
      </c>
      <c r="G1260" s="491">
        <f t="shared" si="19"/>
        <v>26</v>
      </c>
    </row>
    <row r="1261" spans="1:7" ht="12.75">
      <c r="A1261" s="134" t="s">
        <v>717</v>
      </c>
      <c r="B1261" s="134">
        <v>400</v>
      </c>
      <c r="C1261" s="491">
        <v>12</v>
      </c>
      <c r="D1261" s="491">
        <v>36</v>
      </c>
      <c r="E1261" s="491">
        <v>0</v>
      </c>
      <c r="F1261" s="491">
        <v>0</v>
      </c>
      <c r="G1261" s="491">
        <f t="shared" si="19"/>
        <v>48</v>
      </c>
    </row>
    <row r="1262" spans="1:7" ht="12.75">
      <c r="A1262" s="134" t="s">
        <v>717</v>
      </c>
      <c r="B1262" s="134">
        <v>410</v>
      </c>
      <c r="C1262" s="491">
        <v>13</v>
      </c>
      <c r="D1262" s="491">
        <v>24</v>
      </c>
      <c r="E1262" s="491">
        <v>0</v>
      </c>
      <c r="F1262" s="491">
        <v>0</v>
      </c>
      <c r="G1262" s="491">
        <f t="shared" si="19"/>
        <v>37</v>
      </c>
    </row>
    <row r="1263" spans="1:7" ht="12.75">
      <c r="A1263" s="134" t="s">
        <v>717</v>
      </c>
      <c r="B1263" s="134">
        <v>430</v>
      </c>
      <c r="C1263" s="491">
        <v>2</v>
      </c>
      <c r="D1263" s="491">
        <v>3</v>
      </c>
      <c r="E1263" s="491">
        <v>0</v>
      </c>
      <c r="F1263" s="491">
        <v>0</v>
      </c>
      <c r="G1263" s="491">
        <f t="shared" si="19"/>
        <v>5</v>
      </c>
    </row>
    <row r="1264" spans="1:7" ht="12.75">
      <c r="A1264" s="134" t="s">
        <v>717</v>
      </c>
      <c r="B1264" s="134">
        <v>501</v>
      </c>
      <c r="C1264" s="491">
        <v>24</v>
      </c>
      <c r="D1264" s="491">
        <v>34</v>
      </c>
      <c r="E1264" s="491">
        <v>1</v>
      </c>
      <c r="F1264" s="491">
        <v>1</v>
      </c>
      <c r="G1264" s="491">
        <f t="shared" si="19"/>
        <v>60</v>
      </c>
    </row>
    <row r="1265" spans="1:7" ht="12.75">
      <c r="A1265" s="134" t="s">
        <v>717</v>
      </c>
      <c r="B1265" s="134">
        <v>502</v>
      </c>
      <c r="C1265" s="491">
        <v>28</v>
      </c>
      <c r="D1265" s="491">
        <v>50</v>
      </c>
      <c r="E1265" s="491">
        <v>0</v>
      </c>
      <c r="F1265" s="491">
        <v>1</v>
      </c>
      <c r="G1265" s="491">
        <f t="shared" si="19"/>
        <v>79</v>
      </c>
    </row>
    <row r="1266" spans="1:7" ht="12.75">
      <c r="A1266" s="134" t="s">
        <v>717</v>
      </c>
      <c r="B1266" s="134">
        <v>503</v>
      </c>
      <c r="C1266" s="491">
        <v>2</v>
      </c>
      <c r="D1266" s="491">
        <v>1</v>
      </c>
      <c r="E1266" s="491">
        <v>0</v>
      </c>
      <c r="F1266" s="491">
        <v>0</v>
      </c>
      <c r="G1266" s="491">
        <f t="shared" si="19"/>
        <v>3</v>
      </c>
    </row>
    <row r="1267" spans="1:7" ht="12.75">
      <c r="A1267" s="134" t="s">
        <v>717</v>
      </c>
      <c r="B1267" s="134">
        <v>560</v>
      </c>
      <c r="C1267" s="491">
        <v>2</v>
      </c>
      <c r="D1267" s="491">
        <v>31</v>
      </c>
      <c r="E1267" s="491">
        <v>1</v>
      </c>
      <c r="F1267" s="491">
        <v>1</v>
      </c>
      <c r="G1267" s="491">
        <f t="shared" si="19"/>
        <v>35</v>
      </c>
    </row>
    <row r="1268" spans="1:7" ht="12.75">
      <c r="A1268" s="134" t="s">
        <v>717</v>
      </c>
      <c r="B1268" s="134">
        <v>650</v>
      </c>
      <c r="C1268" s="491">
        <v>8</v>
      </c>
      <c r="D1268" s="491">
        <v>36</v>
      </c>
      <c r="E1268" s="491">
        <v>0</v>
      </c>
      <c r="F1268" s="491">
        <v>0</v>
      </c>
      <c r="G1268" s="491">
        <f t="shared" si="19"/>
        <v>44</v>
      </c>
    </row>
    <row r="1269" spans="1:7" ht="12.75">
      <c r="A1269" s="134" t="s">
        <v>717</v>
      </c>
      <c r="B1269" s="134">
        <v>652</v>
      </c>
      <c r="C1269" s="491">
        <v>11</v>
      </c>
      <c r="D1269" s="491">
        <v>0</v>
      </c>
      <c r="E1269" s="491">
        <v>0</v>
      </c>
      <c r="F1269" s="491">
        <v>0</v>
      </c>
      <c r="G1269" s="491">
        <f t="shared" si="19"/>
        <v>11</v>
      </c>
    </row>
    <row r="1270" spans="1:7" ht="12.75">
      <c r="A1270" s="134" t="s">
        <v>717</v>
      </c>
      <c r="B1270" s="134">
        <v>653</v>
      </c>
      <c r="C1270" s="491">
        <v>24</v>
      </c>
      <c r="D1270" s="491">
        <v>45</v>
      </c>
      <c r="E1270" s="491">
        <v>0</v>
      </c>
      <c r="F1270" s="491">
        <v>0</v>
      </c>
      <c r="G1270" s="491">
        <f t="shared" si="19"/>
        <v>69</v>
      </c>
    </row>
    <row r="1271" spans="1:7" ht="12.75">
      <c r="A1271" s="134" t="s">
        <v>717</v>
      </c>
      <c r="B1271" s="134">
        <v>654</v>
      </c>
      <c r="C1271" s="491">
        <v>5</v>
      </c>
      <c r="D1271" s="491">
        <v>7</v>
      </c>
      <c r="E1271" s="491">
        <v>0</v>
      </c>
      <c r="F1271" s="491">
        <v>0</v>
      </c>
      <c r="G1271" s="491">
        <f t="shared" si="19"/>
        <v>12</v>
      </c>
    </row>
    <row r="1272" spans="1:7" ht="12.75">
      <c r="A1272" s="134" t="s">
        <v>717</v>
      </c>
      <c r="B1272" s="134">
        <v>655</v>
      </c>
      <c r="C1272" s="491">
        <v>0</v>
      </c>
      <c r="D1272" s="491">
        <v>1</v>
      </c>
      <c r="E1272" s="491">
        <v>0</v>
      </c>
      <c r="F1272" s="491">
        <v>0</v>
      </c>
      <c r="G1272" s="491">
        <f t="shared" si="19"/>
        <v>1</v>
      </c>
    </row>
    <row r="1273" spans="1:7" ht="12.75">
      <c r="A1273" s="134" t="s">
        <v>717</v>
      </c>
      <c r="B1273" s="134">
        <v>800</v>
      </c>
      <c r="C1273" s="491">
        <v>37</v>
      </c>
      <c r="D1273" s="491">
        <v>1</v>
      </c>
      <c r="E1273" s="491">
        <v>24</v>
      </c>
      <c r="F1273" s="491">
        <v>0</v>
      </c>
      <c r="G1273" s="491">
        <f t="shared" si="19"/>
        <v>62</v>
      </c>
    </row>
    <row r="1274" spans="1:7" ht="12.75">
      <c r="A1274" s="134" t="s">
        <v>717</v>
      </c>
      <c r="B1274" s="134">
        <v>840</v>
      </c>
      <c r="C1274" s="491">
        <v>513</v>
      </c>
      <c r="D1274" s="491">
        <v>144</v>
      </c>
      <c r="E1274" s="491">
        <v>0</v>
      </c>
      <c r="F1274" s="491">
        <v>0</v>
      </c>
      <c r="G1274" s="491">
        <f t="shared" si="19"/>
        <v>657</v>
      </c>
    </row>
    <row r="1275" spans="1:7" ht="12.75">
      <c r="A1275" s="134" t="s">
        <v>718</v>
      </c>
      <c r="B1275" s="134">
        <v>100</v>
      </c>
      <c r="C1275" s="491">
        <v>5</v>
      </c>
      <c r="D1275" s="491">
        <v>6</v>
      </c>
      <c r="E1275" s="491">
        <v>0</v>
      </c>
      <c r="F1275" s="491">
        <v>0</v>
      </c>
      <c r="G1275" s="491">
        <f t="shared" si="19"/>
        <v>11</v>
      </c>
    </row>
    <row r="1276" spans="1:7" ht="12.75">
      <c r="A1276" s="134" t="s">
        <v>718</v>
      </c>
      <c r="B1276" s="134">
        <v>101</v>
      </c>
      <c r="C1276" s="491">
        <v>13</v>
      </c>
      <c r="D1276" s="491">
        <v>4</v>
      </c>
      <c r="E1276" s="491">
        <v>0</v>
      </c>
      <c r="F1276" s="491">
        <v>0</v>
      </c>
      <c r="G1276" s="491">
        <f t="shared" si="19"/>
        <v>17</v>
      </c>
    </row>
    <row r="1277" spans="1:7" ht="12.75">
      <c r="A1277" s="134" t="s">
        <v>718</v>
      </c>
      <c r="B1277" s="134">
        <v>107</v>
      </c>
      <c r="C1277" s="491">
        <v>0</v>
      </c>
      <c r="D1277" s="491">
        <v>1</v>
      </c>
      <c r="E1277" s="491">
        <v>0</v>
      </c>
      <c r="F1277" s="491">
        <v>0</v>
      </c>
      <c r="G1277" s="491">
        <f t="shared" si="19"/>
        <v>1</v>
      </c>
    </row>
    <row r="1278" spans="1:7" ht="12.75">
      <c r="A1278" s="134" t="s">
        <v>718</v>
      </c>
      <c r="B1278" s="134">
        <v>110</v>
      </c>
      <c r="C1278" s="491">
        <v>7</v>
      </c>
      <c r="D1278" s="491">
        <v>5</v>
      </c>
      <c r="E1278" s="491">
        <v>0</v>
      </c>
      <c r="F1278" s="491">
        <v>0</v>
      </c>
      <c r="G1278" s="491">
        <f t="shared" si="19"/>
        <v>12</v>
      </c>
    </row>
    <row r="1279" spans="1:7" ht="12.75">
      <c r="A1279" s="134" t="s">
        <v>718</v>
      </c>
      <c r="B1279" s="134">
        <v>120</v>
      </c>
      <c r="C1279" s="491">
        <v>22186</v>
      </c>
      <c r="D1279" s="491">
        <v>13774</v>
      </c>
      <c r="E1279" s="491">
        <v>393</v>
      </c>
      <c r="F1279" s="491">
        <v>279</v>
      </c>
      <c r="G1279" s="491">
        <f t="shared" si="19"/>
        <v>36632</v>
      </c>
    </row>
    <row r="1280" spans="1:7" ht="12.75">
      <c r="A1280" s="134" t="s">
        <v>718</v>
      </c>
      <c r="B1280" s="134">
        <v>130</v>
      </c>
      <c r="C1280" s="491">
        <v>21</v>
      </c>
      <c r="D1280" s="491">
        <v>10</v>
      </c>
      <c r="E1280" s="491">
        <v>0</v>
      </c>
      <c r="F1280" s="491">
        <v>0</v>
      </c>
      <c r="G1280" s="491">
        <f t="shared" si="19"/>
        <v>31</v>
      </c>
    </row>
    <row r="1281" spans="1:7" ht="12.75">
      <c r="A1281" s="134" t="s">
        <v>718</v>
      </c>
      <c r="B1281" s="134">
        <v>143</v>
      </c>
      <c r="C1281" s="491">
        <v>10</v>
      </c>
      <c r="D1281" s="491">
        <v>8</v>
      </c>
      <c r="E1281" s="491">
        <v>1</v>
      </c>
      <c r="F1281" s="491">
        <v>0</v>
      </c>
      <c r="G1281" s="491">
        <f t="shared" si="19"/>
        <v>19</v>
      </c>
    </row>
    <row r="1282" spans="1:7" ht="12.75">
      <c r="A1282" s="134" t="s">
        <v>718</v>
      </c>
      <c r="B1282" s="134">
        <v>150</v>
      </c>
      <c r="C1282" s="491">
        <v>0</v>
      </c>
      <c r="D1282" s="491">
        <v>1</v>
      </c>
      <c r="E1282" s="491">
        <v>0</v>
      </c>
      <c r="F1282" s="491">
        <v>0</v>
      </c>
      <c r="G1282" s="491">
        <f t="shared" si="19"/>
        <v>1</v>
      </c>
    </row>
    <row r="1283" spans="1:7" ht="12.75">
      <c r="A1283" s="134" t="s">
        <v>718</v>
      </c>
      <c r="B1283" s="134">
        <v>160</v>
      </c>
      <c r="C1283" s="491">
        <v>0</v>
      </c>
      <c r="D1283" s="491">
        <v>2</v>
      </c>
      <c r="E1283" s="491">
        <v>0</v>
      </c>
      <c r="F1283" s="491">
        <v>0</v>
      </c>
      <c r="G1283" s="491">
        <f t="shared" si="19"/>
        <v>2</v>
      </c>
    </row>
    <row r="1284" spans="1:7" ht="12.75">
      <c r="A1284" s="134" t="s">
        <v>718</v>
      </c>
      <c r="B1284" s="134">
        <v>171</v>
      </c>
      <c r="C1284" s="491">
        <v>3</v>
      </c>
      <c r="D1284" s="491">
        <v>1</v>
      </c>
      <c r="E1284" s="491">
        <v>0</v>
      </c>
      <c r="F1284" s="491">
        <v>0</v>
      </c>
      <c r="G1284" s="491">
        <f t="shared" ref="G1284:G1347" si="20">SUM(C1284:F1284)</f>
        <v>4</v>
      </c>
    </row>
    <row r="1285" spans="1:7" ht="12.75">
      <c r="A1285" s="134" t="s">
        <v>718</v>
      </c>
      <c r="B1285" s="134">
        <v>180</v>
      </c>
      <c r="C1285" s="491">
        <v>0</v>
      </c>
      <c r="D1285" s="491">
        <v>2</v>
      </c>
      <c r="E1285" s="491">
        <v>0</v>
      </c>
      <c r="F1285" s="491">
        <v>0</v>
      </c>
      <c r="G1285" s="491">
        <f t="shared" si="20"/>
        <v>2</v>
      </c>
    </row>
    <row r="1286" spans="1:7" ht="12.75">
      <c r="A1286" s="134" t="s">
        <v>718</v>
      </c>
      <c r="B1286" s="134">
        <v>190</v>
      </c>
      <c r="C1286" s="491">
        <v>1</v>
      </c>
      <c r="D1286" s="491">
        <v>0</v>
      </c>
      <c r="E1286" s="491">
        <v>0</v>
      </c>
      <c r="F1286" s="491">
        <v>0</v>
      </c>
      <c r="G1286" s="491">
        <f t="shared" si="20"/>
        <v>1</v>
      </c>
    </row>
    <row r="1287" spans="1:7" ht="12.75">
      <c r="A1287" s="134" t="s">
        <v>718</v>
      </c>
      <c r="B1287" s="134">
        <v>211</v>
      </c>
      <c r="C1287" s="491">
        <v>1</v>
      </c>
      <c r="D1287" s="491">
        <v>3</v>
      </c>
      <c r="E1287" s="491">
        <v>0</v>
      </c>
      <c r="F1287" s="491">
        <v>0</v>
      </c>
      <c r="G1287" s="491">
        <f t="shared" si="20"/>
        <v>4</v>
      </c>
    </row>
    <row r="1288" spans="1:7" ht="12.75">
      <c r="A1288" s="134" t="s">
        <v>718</v>
      </c>
      <c r="B1288" s="134">
        <v>214</v>
      </c>
      <c r="C1288" s="491">
        <v>7</v>
      </c>
      <c r="D1288" s="491">
        <v>5</v>
      </c>
      <c r="E1288" s="491">
        <v>0</v>
      </c>
      <c r="F1288" s="491">
        <v>0</v>
      </c>
      <c r="G1288" s="491">
        <f t="shared" si="20"/>
        <v>12</v>
      </c>
    </row>
    <row r="1289" spans="1:7" ht="12.75">
      <c r="A1289" s="134" t="s">
        <v>718</v>
      </c>
      <c r="B1289" s="134">
        <v>215</v>
      </c>
      <c r="C1289" s="491">
        <v>3219</v>
      </c>
      <c r="D1289" s="491">
        <v>2266</v>
      </c>
      <c r="E1289" s="491">
        <v>32</v>
      </c>
      <c r="F1289" s="491">
        <v>28</v>
      </c>
      <c r="G1289" s="491">
        <f t="shared" si="20"/>
        <v>5545</v>
      </c>
    </row>
    <row r="1290" spans="1:7" ht="12.75">
      <c r="A1290" s="134" t="s">
        <v>718</v>
      </c>
      <c r="B1290" s="134">
        <v>216</v>
      </c>
      <c r="C1290" s="491">
        <v>1</v>
      </c>
      <c r="D1290" s="491">
        <v>4</v>
      </c>
      <c r="E1290" s="491">
        <v>0</v>
      </c>
      <c r="F1290" s="491">
        <v>0</v>
      </c>
      <c r="G1290" s="491">
        <f t="shared" si="20"/>
        <v>5</v>
      </c>
    </row>
    <row r="1291" spans="1:7" ht="12.75">
      <c r="A1291" s="134" t="s">
        <v>718</v>
      </c>
      <c r="B1291" s="134">
        <v>217</v>
      </c>
      <c r="C1291" s="491">
        <v>0</v>
      </c>
      <c r="D1291" s="491">
        <v>3</v>
      </c>
      <c r="E1291" s="491">
        <v>0</v>
      </c>
      <c r="F1291" s="491">
        <v>0</v>
      </c>
      <c r="G1291" s="491">
        <f t="shared" si="20"/>
        <v>3</v>
      </c>
    </row>
    <row r="1292" spans="1:7" ht="12.75">
      <c r="A1292" s="134" t="s">
        <v>718</v>
      </c>
      <c r="B1292" s="134">
        <v>219</v>
      </c>
      <c r="C1292" s="491">
        <v>9</v>
      </c>
      <c r="D1292" s="491">
        <v>0</v>
      </c>
      <c r="E1292" s="491">
        <v>0</v>
      </c>
      <c r="F1292" s="491">
        <v>0</v>
      </c>
      <c r="G1292" s="491">
        <f t="shared" si="20"/>
        <v>9</v>
      </c>
    </row>
    <row r="1293" spans="1:7" ht="12.75">
      <c r="A1293" s="134" t="s">
        <v>718</v>
      </c>
      <c r="B1293" s="134">
        <v>251</v>
      </c>
      <c r="C1293" s="491">
        <v>2</v>
      </c>
      <c r="D1293" s="491">
        <v>2</v>
      </c>
      <c r="E1293" s="491">
        <v>0</v>
      </c>
      <c r="F1293" s="491">
        <v>0</v>
      </c>
      <c r="G1293" s="491">
        <f t="shared" si="20"/>
        <v>4</v>
      </c>
    </row>
    <row r="1294" spans="1:7" ht="12.75">
      <c r="A1294" s="134" t="s">
        <v>718</v>
      </c>
      <c r="B1294" s="134">
        <v>252</v>
      </c>
      <c r="C1294" s="491">
        <v>1</v>
      </c>
      <c r="D1294" s="491">
        <v>4</v>
      </c>
      <c r="E1294" s="491">
        <v>0</v>
      </c>
      <c r="F1294" s="491">
        <v>0</v>
      </c>
      <c r="G1294" s="491">
        <f t="shared" si="20"/>
        <v>5</v>
      </c>
    </row>
    <row r="1295" spans="1:7" ht="12.75">
      <c r="A1295" s="134" t="s">
        <v>718</v>
      </c>
      <c r="B1295" s="134">
        <v>253</v>
      </c>
      <c r="C1295" s="491">
        <v>0</v>
      </c>
      <c r="D1295" s="491">
        <v>1</v>
      </c>
      <c r="E1295" s="491">
        <v>0</v>
      </c>
      <c r="F1295" s="491">
        <v>0</v>
      </c>
      <c r="G1295" s="491">
        <f t="shared" si="20"/>
        <v>1</v>
      </c>
    </row>
    <row r="1296" spans="1:7" ht="12.75">
      <c r="A1296" s="134" t="s">
        <v>718</v>
      </c>
      <c r="B1296" s="134">
        <v>254</v>
      </c>
      <c r="C1296" s="491">
        <v>41</v>
      </c>
      <c r="D1296" s="491">
        <v>39</v>
      </c>
      <c r="E1296" s="491">
        <v>2</v>
      </c>
      <c r="F1296" s="491">
        <v>0</v>
      </c>
      <c r="G1296" s="491">
        <f t="shared" si="20"/>
        <v>82</v>
      </c>
    </row>
    <row r="1297" spans="1:7" ht="12.75">
      <c r="A1297" s="134" t="s">
        <v>718</v>
      </c>
      <c r="B1297" s="134">
        <v>257</v>
      </c>
      <c r="C1297" s="491">
        <v>0</v>
      </c>
      <c r="D1297" s="491">
        <v>0</v>
      </c>
      <c r="E1297" s="491">
        <v>0</v>
      </c>
      <c r="F1297" s="491">
        <v>1</v>
      </c>
      <c r="G1297" s="491">
        <f t="shared" si="20"/>
        <v>1</v>
      </c>
    </row>
    <row r="1298" spans="1:7" ht="12.75">
      <c r="A1298" s="134" t="s">
        <v>718</v>
      </c>
      <c r="B1298" s="134">
        <v>258</v>
      </c>
      <c r="C1298" s="491">
        <v>1</v>
      </c>
      <c r="D1298" s="491">
        <v>4</v>
      </c>
      <c r="E1298" s="491">
        <v>0</v>
      </c>
      <c r="F1298" s="491">
        <v>0</v>
      </c>
      <c r="G1298" s="491">
        <f t="shared" si="20"/>
        <v>5</v>
      </c>
    </row>
    <row r="1299" spans="1:7" ht="12.75">
      <c r="A1299" s="134" t="s">
        <v>718</v>
      </c>
      <c r="B1299" s="134">
        <v>263</v>
      </c>
      <c r="C1299" s="491">
        <v>3</v>
      </c>
      <c r="D1299" s="491">
        <v>0</v>
      </c>
      <c r="E1299" s="491">
        <v>0</v>
      </c>
      <c r="F1299" s="491">
        <v>0</v>
      </c>
      <c r="G1299" s="491">
        <f t="shared" si="20"/>
        <v>3</v>
      </c>
    </row>
    <row r="1300" spans="1:7" ht="12.75">
      <c r="A1300" s="134" t="s">
        <v>718</v>
      </c>
      <c r="B1300" s="134">
        <v>290</v>
      </c>
      <c r="C1300" s="491">
        <v>12</v>
      </c>
      <c r="D1300" s="491">
        <v>6</v>
      </c>
      <c r="E1300" s="491">
        <v>0</v>
      </c>
      <c r="F1300" s="491">
        <v>0</v>
      </c>
      <c r="G1300" s="491">
        <f t="shared" si="20"/>
        <v>18</v>
      </c>
    </row>
    <row r="1301" spans="1:7" ht="12.75">
      <c r="A1301" s="134" t="s">
        <v>718</v>
      </c>
      <c r="B1301" s="134">
        <v>300</v>
      </c>
      <c r="C1301" s="491">
        <v>0</v>
      </c>
      <c r="D1301" s="491">
        <v>1</v>
      </c>
      <c r="E1301" s="491">
        <v>0</v>
      </c>
      <c r="F1301" s="491">
        <v>0</v>
      </c>
      <c r="G1301" s="491">
        <f t="shared" si="20"/>
        <v>1</v>
      </c>
    </row>
    <row r="1302" spans="1:7" ht="12.75">
      <c r="A1302" s="134" t="s">
        <v>718</v>
      </c>
      <c r="B1302" s="134">
        <v>301</v>
      </c>
      <c r="C1302" s="491">
        <v>0</v>
      </c>
      <c r="D1302" s="491">
        <v>1</v>
      </c>
      <c r="E1302" s="491">
        <v>0</v>
      </c>
      <c r="F1302" s="491">
        <v>0</v>
      </c>
      <c r="G1302" s="491">
        <f t="shared" si="20"/>
        <v>1</v>
      </c>
    </row>
    <row r="1303" spans="1:7" ht="12.75">
      <c r="A1303" s="134" t="s">
        <v>718</v>
      </c>
      <c r="B1303" s="134">
        <v>302</v>
      </c>
      <c r="C1303" s="491">
        <v>1</v>
      </c>
      <c r="D1303" s="491">
        <v>0</v>
      </c>
      <c r="E1303" s="491">
        <v>0</v>
      </c>
      <c r="F1303" s="491">
        <v>0</v>
      </c>
      <c r="G1303" s="491">
        <f t="shared" si="20"/>
        <v>1</v>
      </c>
    </row>
    <row r="1304" spans="1:7" ht="12.75">
      <c r="A1304" s="134" t="s">
        <v>718</v>
      </c>
      <c r="B1304" s="134">
        <v>303</v>
      </c>
      <c r="C1304" s="491">
        <v>0</v>
      </c>
      <c r="D1304" s="491">
        <v>1</v>
      </c>
      <c r="E1304" s="491">
        <v>0</v>
      </c>
      <c r="F1304" s="491">
        <v>0</v>
      </c>
      <c r="G1304" s="491">
        <f t="shared" si="20"/>
        <v>1</v>
      </c>
    </row>
    <row r="1305" spans="1:7" ht="12.75">
      <c r="A1305" s="134" t="s">
        <v>718</v>
      </c>
      <c r="B1305" s="134">
        <v>304</v>
      </c>
      <c r="C1305" s="491">
        <v>1</v>
      </c>
      <c r="D1305" s="491">
        <v>0</v>
      </c>
      <c r="E1305" s="491">
        <v>0</v>
      </c>
      <c r="F1305" s="491">
        <v>0</v>
      </c>
      <c r="G1305" s="491">
        <f t="shared" si="20"/>
        <v>1</v>
      </c>
    </row>
    <row r="1306" spans="1:7" ht="12.75">
      <c r="A1306" s="134" t="s">
        <v>718</v>
      </c>
      <c r="B1306" s="134">
        <v>310</v>
      </c>
      <c r="C1306" s="491">
        <v>85</v>
      </c>
      <c r="D1306" s="491">
        <v>60</v>
      </c>
      <c r="E1306" s="491">
        <v>2</v>
      </c>
      <c r="F1306" s="491">
        <v>0</v>
      </c>
      <c r="G1306" s="491">
        <f t="shared" si="20"/>
        <v>147</v>
      </c>
    </row>
    <row r="1307" spans="1:7" ht="12.75">
      <c r="A1307" s="134" t="s">
        <v>718</v>
      </c>
      <c r="B1307" s="134">
        <v>314</v>
      </c>
      <c r="C1307" s="491">
        <v>7</v>
      </c>
      <c r="D1307" s="491">
        <v>1</v>
      </c>
      <c r="E1307" s="491">
        <v>0</v>
      </c>
      <c r="F1307" s="491">
        <v>0</v>
      </c>
      <c r="G1307" s="491">
        <f t="shared" si="20"/>
        <v>8</v>
      </c>
    </row>
    <row r="1308" spans="1:7" ht="12.75">
      <c r="A1308" s="134" t="s">
        <v>718</v>
      </c>
      <c r="B1308" s="134">
        <v>318</v>
      </c>
      <c r="C1308" s="491">
        <v>0</v>
      </c>
      <c r="D1308" s="491">
        <v>8</v>
      </c>
      <c r="E1308" s="491">
        <v>0</v>
      </c>
      <c r="F1308" s="491">
        <v>0</v>
      </c>
      <c r="G1308" s="491">
        <f t="shared" si="20"/>
        <v>8</v>
      </c>
    </row>
    <row r="1309" spans="1:7" ht="12.75">
      <c r="A1309" s="134" t="s">
        <v>718</v>
      </c>
      <c r="B1309" s="134">
        <v>320</v>
      </c>
      <c r="C1309" s="491">
        <v>0</v>
      </c>
      <c r="D1309" s="491">
        <v>5</v>
      </c>
      <c r="E1309" s="491">
        <v>0</v>
      </c>
      <c r="F1309" s="491">
        <v>1</v>
      </c>
      <c r="G1309" s="491">
        <f t="shared" si="20"/>
        <v>6</v>
      </c>
    </row>
    <row r="1310" spans="1:7" ht="12.75">
      <c r="A1310" s="134" t="s">
        <v>718</v>
      </c>
      <c r="B1310" s="134">
        <v>330</v>
      </c>
      <c r="C1310" s="491">
        <v>2</v>
      </c>
      <c r="D1310" s="491">
        <v>6</v>
      </c>
      <c r="E1310" s="491">
        <v>0</v>
      </c>
      <c r="F1310" s="491">
        <v>0</v>
      </c>
      <c r="G1310" s="491">
        <f t="shared" si="20"/>
        <v>8</v>
      </c>
    </row>
    <row r="1311" spans="1:7" ht="12.75">
      <c r="A1311" s="134" t="s">
        <v>718</v>
      </c>
      <c r="B1311" s="134">
        <v>340</v>
      </c>
      <c r="C1311" s="491">
        <v>0</v>
      </c>
      <c r="D1311" s="491">
        <v>1</v>
      </c>
      <c r="E1311" s="491">
        <v>0</v>
      </c>
      <c r="F1311" s="491">
        <v>0</v>
      </c>
      <c r="G1311" s="491">
        <f t="shared" si="20"/>
        <v>1</v>
      </c>
    </row>
    <row r="1312" spans="1:7" ht="12.75">
      <c r="A1312" s="134" t="s">
        <v>718</v>
      </c>
      <c r="B1312" s="134">
        <v>400</v>
      </c>
      <c r="C1312" s="491">
        <v>1</v>
      </c>
      <c r="D1312" s="491">
        <v>0</v>
      </c>
      <c r="E1312" s="491">
        <v>0</v>
      </c>
      <c r="F1312" s="491">
        <v>0</v>
      </c>
      <c r="G1312" s="491">
        <f t="shared" si="20"/>
        <v>1</v>
      </c>
    </row>
    <row r="1313" spans="1:7" ht="12.75">
      <c r="A1313" s="134" t="s">
        <v>718</v>
      </c>
      <c r="B1313" s="134">
        <v>410</v>
      </c>
      <c r="C1313" s="491">
        <v>0</v>
      </c>
      <c r="D1313" s="491">
        <v>1</v>
      </c>
      <c r="E1313" s="491">
        <v>0</v>
      </c>
      <c r="F1313" s="491">
        <v>0</v>
      </c>
      <c r="G1313" s="491">
        <f t="shared" si="20"/>
        <v>1</v>
      </c>
    </row>
    <row r="1314" spans="1:7" ht="12.75">
      <c r="A1314" s="134" t="s">
        <v>718</v>
      </c>
      <c r="B1314" s="134">
        <v>420</v>
      </c>
      <c r="C1314" s="491">
        <v>23</v>
      </c>
      <c r="D1314" s="491">
        <v>33</v>
      </c>
      <c r="E1314" s="491">
        <v>1</v>
      </c>
      <c r="F1314" s="491">
        <v>0</v>
      </c>
      <c r="G1314" s="491">
        <f t="shared" si="20"/>
        <v>57</v>
      </c>
    </row>
    <row r="1315" spans="1:7" ht="12.75">
      <c r="A1315" s="134" t="s">
        <v>718</v>
      </c>
      <c r="B1315" s="134">
        <v>421</v>
      </c>
      <c r="C1315" s="491">
        <v>0</v>
      </c>
      <c r="D1315" s="491">
        <v>3</v>
      </c>
      <c r="E1315" s="491">
        <v>0</v>
      </c>
      <c r="F1315" s="491">
        <v>0</v>
      </c>
      <c r="G1315" s="491">
        <f t="shared" si="20"/>
        <v>3</v>
      </c>
    </row>
    <row r="1316" spans="1:7" ht="12.75">
      <c r="A1316" s="134" t="s">
        <v>718</v>
      </c>
      <c r="B1316" s="134">
        <v>422</v>
      </c>
      <c r="C1316" s="491">
        <v>0</v>
      </c>
      <c r="D1316" s="491">
        <v>3</v>
      </c>
      <c r="E1316" s="491">
        <v>0</v>
      </c>
      <c r="F1316" s="491">
        <v>0</v>
      </c>
      <c r="G1316" s="491">
        <f t="shared" si="20"/>
        <v>3</v>
      </c>
    </row>
    <row r="1317" spans="1:7" ht="12.75">
      <c r="A1317" s="134" t="s">
        <v>718</v>
      </c>
      <c r="B1317" s="134">
        <v>430</v>
      </c>
      <c r="C1317" s="491">
        <v>1</v>
      </c>
      <c r="D1317" s="491">
        <v>0</v>
      </c>
      <c r="E1317" s="491">
        <v>0</v>
      </c>
      <c r="F1317" s="491">
        <v>0</v>
      </c>
      <c r="G1317" s="491">
        <f t="shared" si="20"/>
        <v>1</v>
      </c>
    </row>
    <row r="1318" spans="1:7" ht="12.75">
      <c r="A1318" s="134" t="s">
        <v>718</v>
      </c>
      <c r="B1318" s="134">
        <v>501</v>
      </c>
      <c r="C1318" s="491">
        <v>0</v>
      </c>
      <c r="D1318" s="491">
        <v>1</v>
      </c>
      <c r="E1318" s="491">
        <v>0</v>
      </c>
      <c r="F1318" s="491">
        <v>0</v>
      </c>
      <c r="G1318" s="491">
        <f t="shared" si="20"/>
        <v>1</v>
      </c>
    </row>
    <row r="1319" spans="1:7" ht="12.75">
      <c r="A1319" s="134" t="s">
        <v>718</v>
      </c>
      <c r="B1319" s="134">
        <v>502</v>
      </c>
      <c r="C1319" s="491">
        <v>0</v>
      </c>
      <c r="D1319" s="491">
        <v>1</v>
      </c>
      <c r="E1319" s="491">
        <v>0</v>
      </c>
      <c r="F1319" s="491">
        <v>0</v>
      </c>
      <c r="G1319" s="491">
        <f t="shared" si="20"/>
        <v>1</v>
      </c>
    </row>
    <row r="1320" spans="1:7" ht="12.75">
      <c r="A1320" s="134" t="s">
        <v>718</v>
      </c>
      <c r="B1320" s="134">
        <v>560</v>
      </c>
      <c r="C1320" s="491">
        <v>1</v>
      </c>
      <c r="D1320" s="491">
        <v>1</v>
      </c>
      <c r="E1320" s="491">
        <v>0</v>
      </c>
      <c r="F1320" s="491">
        <v>0</v>
      </c>
      <c r="G1320" s="491">
        <f t="shared" si="20"/>
        <v>2</v>
      </c>
    </row>
    <row r="1321" spans="1:7" ht="12.75">
      <c r="A1321" s="134" t="s">
        <v>718</v>
      </c>
      <c r="B1321" s="134">
        <v>650</v>
      </c>
      <c r="C1321" s="491">
        <v>0</v>
      </c>
      <c r="D1321" s="491">
        <v>6</v>
      </c>
      <c r="E1321" s="491">
        <v>0</v>
      </c>
      <c r="F1321" s="491">
        <v>0</v>
      </c>
      <c r="G1321" s="491">
        <f t="shared" si="20"/>
        <v>6</v>
      </c>
    </row>
    <row r="1322" spans="1:7" ht="12.75">
      <c r="A1322" s="134" t="s">
        <v>718</v>
      </c>
      <c r="B1322" s="134">
        <v>654</v>
      </c>
      <c r="C1322" s="491">
        <v>3</v>
      </c>
      <c r="D1322" s="491">
        <v>8</v>
      </c>
      <c r="E1322" s="491">
        <v>0</v>
      </c>
      <c r="F1322" s="491">
        <v>0</v>
      </c>
      <c r="G1322" s="491">
        <f t="shared" si="20"/>
        <v>11</v>
      </c>
    </row>
    <row r="1323" spans="1:7" ht="12.75">
      <c r="A1323" s="134" t="s">
        <v>718</v>
      </c>
      <c r="B1323" s="134">
        <v>840</v>
      </c>
      <c r="C1323" s="491">
        <v>28</v>
      </c>
      <c r="D1323" s="491">
        <v>9</v>
      </c>
      <c r="E1323" s="491">
        <v>1</v>
      </c>
      <c r="F1323" s="491">
        <v>0</v>
      </c>
      <c r="G1323" s="491">
        <f t="shared" si="20"/>
        <v>38</v>
      </c>
    </row>
    <row r="1324" spans="1:7" ht="12.75">
      <c r="A1324" s="134" t="s">
        <v>719</v>
      </c>
      <c r="B1324" s="134">
        <v>100</v>
      </c>
      <c r="C1324" s="491">
        <v>15</v>
      </c>
      <c r="D1324" s="491">
        <v>18</v>
      </c>
      <c r="E1324" s="491">
        <v>0</v>
      </c>
      <c r="F1324" s="491">
        <v>0</v>
      </c>
      <c r="G1324" s="491">
        <f t="shared" si="20"/>
        <v>33</v>
      </c>
    </row>
    <row r="1325" spans="1:7" ht="12.75">
      <c r="A1325" s="134" t="s">
        <v>719</v>
      </c>
      <c r="B1325" s="134">
        <v>101</v>
      </c>
      <c r="C1325" s="491">
        <v>59</v>
      </c>
      <c r="D1325" s="491">
        <v>99</v>
      </c>
      <c r="E1325" s="491">
        <v>0</v>
      </c>
      <c r="F1325" s="491">
        <v>0</v>
      </c>
      <c r="G1325" s="491">
        <f t="shared" si="20"/>
        <v>158</v>
      </c>
    </row>
    <row r="1326" spans="1:7" ht="12.75">
      <c r="A1326" s="134" t="s">
        <v>719</v>
      </c>
      <c r="B1326" s="134">
        <v>102</v>
      </c>
      <c r="C1326" s="491">
        <v>0</v>
      </c>
      <c r="D1326" s="491">
        <v>3</v>
      </c>
      <c r="E1326" s="491">
        <v>0</v>
      </c>
      <c r="F1326" s="491">
        <v>0</v>
      </c>
      <c r="G1326" s="491">
        <f t="shared" si="20"/>
        <v>3</v>
      </c>
    </row>
    <row r="1327" spans="1:7" ht="12.75">
      <c r="A1327" s="134" t="s">
        <v>719</v>
      </c>
      <c r="B1327" s="134">
        <v>103</v>
      </c>
      <c r="C1327" s="491">
        <v>0</v>
      </c>
      <c r="D1327" s="491">
        <v>22</v>
      </c>
      <c r="E1327" s="491">
        <v>0</v>
      </c>
      <c r="F1327" s="491">
        <v>0</v>
      </c>
      <c r="G1327" s="491">
        <f t="shared" si="20"/>
        <v>22</v>
      </c>
    </row>
    <row r="1328" spans="1:7" ht="12.75">
      <c r="A1328" s="134" t="s">
        <v>719</v>
      </c>
      <c r="B1328" s="134">
        <v>104</v>
      </c>
      <c r="C1328" s="491">
        <v>0</v>
      </c>
      <c r="D1328" s="491">
        <v>49</v>
      </c>
      <c r="E1328" s="491">
        <v>0</v>
      </c>
      <c r="F1328" s="491">
        <v>0</v>
      </c>
      <c r="G1328" s="491">
        <f t="shared" si="20"/>
        <v>49</v>
      </c>
    </row>
    <row r="1329" spans="1:7" ht="12.75">
      <c r="A1329" s="134" t="s">
        <v>719</v>
      </c>
      <c r="B1329" s="134">
        <v>106</v>
      </c>
      <c r="C1329" s="491">
        <v>0</v>
      </c>
      <c r="D1329" s="491">
        <v>17</v>
      </c>
      <c r="E1329" s="491">
        <v>0</v>
      </c>
      <c r="F1329" s="491">
        <v>0</v>
      </c>
      <c r="G1329" s="491">
        <f t="shared" si="20"/>
        <v>17</v>
      </c>
    </row>
    <row r="1330" spans="1:7" ht="12.75">
      <c r="A1330" s="134" t="s">
        <v>719</v>
      </c>
      <c r="B1330" s="134">
        <v>107</v>
      </c>
      <c r="C1330" s="491">
        <v>2</v>
      </c>
      <c r="D1330" s="491">
        <v>17</v>
      </c>
      <c r="E1330" s="491">
        <v>0</v>
      </c>
      <c r="F1330" s="491">
        <v>0</v>
      </c>
      <c r="G1330" s="491">
        <f t="shared" si="20"/>
        <v>19</v>
      </c>
    </row>
    <row r="1331" spans="1:7" ht="12.75">
      <c r="A1331" s="134" t="s">
        <v>719</v>
      </c>
      <c r="B1331" s="134">
        <v>110</v>
      </c>
      <c r="C1331" s="491">
        <v>7</v>
      </c>
      <c r="D1331" s="491">
        <v>90</v>
      </c>
      <c r="E1331" s="491">
        <v>0</v>
      </c>
      <c r="F1331" s="491">
        <v>1</v>
      </c>
      <c r="G1331" s="491">
        <f t="shared" si="20"/>
        <v>98</v>
      </c>
    </row>
    <row r="1332" spans="1:7" ht="12.75">
      <c r="A1332" s="134" t="s">
        <v>719</v>
      </c>
      <c r="B1332" s="134">
        <v>120</v>
      </c>
      <c r="C1332" s="491">
        <v>39868</v>
      </c>
      <c r="D1332" s="491">
        <v>75053</v>
      </c>
      <c r="E1332" s="491">
        <v>1541</v>
      </c>
      <c r="F1332" s="491">
        <v>3199</v>
      </c>
      <c r="G1332" s="491">
        <f t="shared" si="20"/>
        <v>119661</v>
      </c>
    </row>
    <row r="1333" spans="1:7" ht="12.75">
      <c r="A1333" s="134" t="s">
        <v>719</v>
      </c>
      <c r="B1333" s="134">
        <v>130</v>
      </c>
      <c r="C1333" s="491">
        <v>13</v>
      </c>
      <c r="D1333" s="491">
        <v>11</v>
      </c>
      <c r="E1333" s="491">
        <v>1</v>
      </c>
      <c r="F1333" s="491">
        <v>1</v>
      </c>
      <c r="G1333" s="491">
        <f t="shared" si="20"/>
        <v>26</v>
      </c>
    </row>
    <row r="1334" spans="1:7" ht="12.75">
      <c r="A1334" s="134" t="s">
        <v>719</v>
      </c>
      <c r="B1334" s="134">
        <v>140</v>
      </c>
      <c r="C1334" s="491">
        <v>7</v>
      </c>
      <c r="D1334" s="491">
        <v>22</v>
      </c>
      <c r="E1334" s="491">
        <v>0</v>
      </c>
      <c r="F1334" s="491">
        <v>0</v>
      </c>
      <c r="G1334" s="491">
        <f t="shared" si="20"/>
        <v>29</v>
      </c>
    </row>
    <row r="1335" spans="1:7" ht="12.75">
      <c r="A1335" s="134" t="s">
        <v>719</v>
      </c>
      <c r="B1335" s="134">
        <v>143</v>
      </c>
      <c r="C1335" s="491">
        <v>0</v>
      </c>
      <c r="D1335" s="491">
        <v>1</v>
      </c>
      <c r="E1335" s="491">
        <v>0</v>
      </c>
      <c r="F1335" s="491">
        <v>0</v>
      </c>
      <c r="G1335" s="491">
        <f t="shared" si="20"/>
        <v>1</v>
      </c>
    </row>
    <row r="1336" spans="1:7" ht="12.75">
      <c r="A1336" s="134" t="s">
        <v>719</v>
      </c>
      <c r="B1336" s="134">
        <v>144</v>
      </c>
      <c r="C1336" s="491">
        <v>1</v>
      </c>
      <c r="D1336" s="491">
        <v>16</v>
      </c>
      <c r="E1336" s="491">
        <v>0</v>
      </c>
      <c r="F1336" s="491">
        <v>0</v>
      </c>
      <c r="G1336" s="491">
        <f t="shared" si="20"/>
        <v>17</v>
      </c>
    </row>
    <row r="1337" spans="1:7" ht="12.75">
      <c r="A1337" s="134" t="s">
        <v>719</v>
      </c>
      <c r="B1337" s="134">
        <v>150</v>
      </c>
      <c r="C1337" s="491">
        <v>6</v>
      </c>
      <c r="D1337" s="491">
        <v>34</v>
      </c>
      <c r="E1337" s="491">
        <v>0</v>
      </c>
      <c r="F1337" s="491">
        <v>0</v>
      </c>
      <c r="G1337" s="491">
        <f t="shared" si="20"/>
        <v>40</v>
      </c>
    </row>
    <row r="1338" spans="1:7" ht="12.75">
      <c r="A1338" s="134" t="s">
        <v>719</v>
      </c>
      <c r="B1338" s="134">
        <v>160</v>
      </c>
      <c r="C1338" s="491">
        <v>0</v>
      </c>
      <c r="D1338" s="491">
        <v>28</v>
      </c>
      <c r="E1338" s="491">
        <v>1</v>
      </c>
      <c r="F1338" s="491">
        <v>0</v>
      </c>
      <c r="G1338" s="491">
        <f t="shared" si="20"/>
        <v>29</v>
      </c>
    </row>
    <row r="1339" spans="1:7" ht="12.75">
      <c r="A1339" s="134" t="s">
        <v>719</v>
      </c>
      <c r="B1339" s="134">
        <v>172</v>
      </c>
      <c r="C1339" s="491">
        <v>0</v>
      </c>
      <c r="D1339" s="491">
        <v>3</v>
      </c>
      <c r="E1339" s="491">
        <v>0</v>
      </c>
      <c r="F1339" s="491">
        <v>0</v>
      </c>
      <c r="G1339" s="491">
        <f t="shared" si="20"/>
        <v>3</v>
      </c>
    </row>
    <row r="1340" spans="1:7" ht="12.75">
      <c r="A1340" s="134" t="s">
        <v>719</v>
      </c>
      <c r="B1340" s="134">
        <v>173</v>
      </c>
      <c r="C1340" s="491">
        <v>0</v>
      </c>
      <c r="D1340" s="491">
        <v>5</v>
      </c>
      <c r="E1340" s="491">
        <v>0</v>
      </c>
      <c r="F1340" s="491">
        <v>0</v>
      </c>
      <c r="G1340" s="491">
        <f t="shared" si="20"/>
        <v>5</v>
      </c>
    </row>
    <row r="1341" spans="1:7" ht="12.75">
      <c r="A1341" s="134" t="s">
        <v>719</v>
      </c>
      <c r="B1341" s="134">
        <v>180</v>
      </c>
      <c r="C1341" s="491">
        <v>0</v>
      </c>
      <c r="D1341" s="491">
        <v>1</v>
      </c>
      <c r="E1341" s="491">
        <v>0</v>
      </c>
      <c r="F1341" s="491">
        <v>0</v>
      </c>
      <c r="G1341" s="491">
        <f t="shared" si="20"/>
        <v>1</v>
      </c>
    </row>
    <row r="1342" spans="1:7" ht="12.75">
      <c r="A1342" s="134" t="s">
        <v>719</v>
      </c>
      <c r="B1342" s="134">
        <v>190</v>
      </c>
      <c r="C1342" s="491">
        <v>3</v>
      </c>
      <c r="D1342" s="491">
        <v>5</v>
      </c>
      <c r="E1342" s="491">
        <v>0</v>
      </c>
      <c r="F1342" s="491">
        <v>0</v>
      </c>
      <c r="G1342" s="491">
        <f t="shared" si="20"/>
        <v>8</v>
      </c>
    </row>
    <row r="1343" spans="1:7" ht="12.75">
      <c r="A1343" s="134" t="s">
        <v>719</v>
      </c>
      <c r="B1343" s="134">
        <v>191</v>
      </c>
      <c r="C1343" s="491">
        <v>1</v>
      </c>
      <c r="D1343" s="491">
        <v>18</v>
      </c>
      <c r="E1343" s="491">
        <v>0</v>
      </c>
      <c r="F1343" s="491">
        <v>0</v>
      </c>
      <c r="G1343" s="491">
        <f t="shared" si="20"/>
        <v>19</v>
      </c>
    </row>
    <row r="1344" spans="1:7" ht="12.75">
      <c r="A1344" s="134" t="s">
        <v>719</v>
      </c>
      <c r="B1344" s="134">
        <v>215</v>
      </c>
      <c r="C1344" s="491">
        <v>35</v>
      </c>
      <c r="D1344" s="491">
        <v>18</v>
      </c>
      <c r="E1344" s="491">
        <v>0</v>
      </c>
      <c r="F1344" s="491">
        <v>0</v>
      </c>
      <c r="G1344" s="491">
        <f t="shared" si="20"/>
        <v>53</v>
      </c>
    </row>
    <row r="1345" spans="1:7" ht="12.75">
      <c r="A1345" s="134" t="s">
        <v>719</v>
      </c>
      <c r="B1345" s="134">
        <v>251</v>
      </c>
      <c r="C1345" s="491">
        <v>0</v>
      </c>
      <c r="D1345" s="491">
        <v>1</v>
      </c>
      <c r="E1345" s="491">
        <v>0</v>
      </c>
      <c r="F1345" s="491">
        <v>0</v>
      </c>
      <c r="G1345" s="491">
        <f t="shared" si="20"/>
        <v>1</v>
      </c>
    </row>
    <row r="1346" spans="1:7" ht="12.75">
      <c r="A1346" s="134" t="s">
        <v>719</v>
      </c>
      <c r="B1346" s="134">
        <v>254</v>
      </c>
      <c r="C1346" s="491">
        <v>3</v>
      </c>
      <c r="D1346" s="491">
        <v>2</v>
      </c>
      <c r="E1346" s="491">
        <v>1</v>
      </c>
      <c r="F1346" s="491">
        <v>0</v>
      </c>
      <c r="G1346" s="491">
        <f t="shared" si="20"/>
        <v>6</v>
      </c>
    </row>
    <row r="1347" spans="1:7" ht="12.75">
      <c r="A1347" s="134" t="s">
        <v>719</v>
      </c>
      <c r="B1347" s="134">
        <v>260</v>
      </c>
      <c r="C1347" s="491">
        <v>1</v>
      </c>
      <c r="D1347" s="491">
        <v>0</v>
      </c>
      <c r="E1347" s="491">
        <v>0</v>
      </c>
      <c r="F1347" s="491">
        <v>0</v>
      </c>
      <c r="G1347" s="491">
        <f t="shared" si="20"/>
        <v>1</v>
      </c>
    </row>
    <row r="1348" spans="1:7" ht="12.75">
      <c r="A1348" s="134" t="s">
        <v>719</v>
      </c>
      <c r="B1348" s="134">
        <v>290</v>
      </c>
      <c r="C1348" s="491">
        <v>2</v>
      </c>
      <c r="D1348" s="491">
        <v>0</v>
      </c>
      <c r="E1348" s="491">
        <v>0</v>
      </c>
      <c r="F1348" s="491">
        <v>0</v>
      </c>
      <c r="G1348" s="491">
        <f t="shared" ref="G1348:G1411" si="21">SUM(C1348:F1348)</f>
        <v>2</v>
      </c>
    </row>
    <row r="1349" spans="1:7" ht="12.75">
      <c r="A1349" s="134" t="s">
        <v>719</v>
      </c>
      <c r="B1349" s="134">
        <v>300</v>
      </c>
      <c r="C1349" s="491">
        <v>1</v>
      </c>
      <c r="D1349" s="491">
        <v>17</v>
      </c>
      <c r="E1349" s="491">
        <v>0</v>
      </c>
      <c r="F1349" s="491">
        <v>0</v>
      </c>
      <c r="G1349" s="491">
        <f t="shared" si="21"/>
        <v>18</v>
      </c>
    </row>
    <row r="1350" spans="1:7" ht="12.75">
      <c r="A1350" s="134" t="s">
        <v>719</v>
      </c>
      <c r="B1350" s="134">
        <v>301</v>
      </c>
      <c r="C1350" s="491">
        <v>2</v>
      </c>
      <c r="D1350" s="491">
        <v>29</v>
      </c>
      <c r="E1350" s="491">
        <v>0</v>
      </c>
      <c r="F1350" s="491">
        <v>0</v>
      </c>
      <c r="G1350" s="491">
        <f t="shared" si="21"/>
        <v>31</v>
      </c>
    </row>
    <row r="1351" spans="1:7" ht="12.75">
      <c r="A1351" s="134" t="s">
        <v>719</v>
      </c>
      <c r="B1351" s="134">
        <v>302</v>
      </c>
      <c r="C1351" s="491">
        <v>2</v>
      </c>
      <c r="D1351" s="491">
        <v>44</v>
      </c>
      <c r="E1351" s="491">
        <v>0</v>
      </c>
      <c r="F1351" s="491">
        <v>0</v>
      </c>
      <c r="G1351" s="491">
        <f t="shared" si="21"/>
        <v>46</v>
      </c>
    </row>
    <row r="1352" spans="1:7" ht="12.75">
      <c r="A1352" s="134" t="s">
        <v>719</v>
      </c>
      <c r="B1352" s="134">
        <v>303</v>
      </c>
      <c r="C1352" s="491">
        <v>2</v>
      </c>
      <c r="D1352" s="491">
        <v>27</v>
      </c>
      <c r="E1352" s="491">
        <v>0</v>
      </c>
      <c r="F1352" s="491">
        <v>0</v>
      </c>
      <c r="G1352" s="491">
        <f t="shared" si="21"/>
        <v>29</v>
      </c>
    </row>
    <row r="1353" spans="1:7" ht="12.75">
      <c r="A1353" s="134" t="s">
        <v>719</v>
      </c>
      <c r="B1353" s="134">
        <v>304</v>
      </c>
      <c r="C1353" s="491">
        <v>0</v>
      </c>
      <c r="D1353" s="491">
        <v>1</v>
      </c>
      <c r="E1353" s="491">
        <v>0</v>
      </c>
      <c r="F1353" s="491">
        <v>0</v>
      </c>
      <c r="G1353" s="491">
        <f t="shared" si="21"/>
        <v>1</v>
      </c>
    </row>
    <row r="1354" spans="1:7" ht="12.75">
      <c r="A1354" s="134" t="s">
        <v>719</v>
      </c>
      <c r="B1354" s="134">
        <v>306</v>
      </c>
      <c r="C1354" s="491">
        <v>0</v>
      </c>
      <c r="D1354" s="491">
        <v>28</v>
      </c>
      <c r="E1354" s="491">
        <v>1</v>
      </c>
      <c r="F1354" s="491">
        <v>0</v>
      </c>
      <c r="G1354" s="491">
        <f t="shared" si="21"/>
        <v>29</v>
      </c>
    </row>
    <row r="1355" spans="1:7" ht="12.75">
      <c r="A1355" s="134" t="s">
        <v>719</v>
      </c>
      <c r="B1355" s="134">
        <v>307</v>
      </c>
      <c r="C1355" s="491">
        <v>5</v>
      </c>
      <c r="D1355" s="491">
        <v>23</v>
      </c>
      <c r="E1355" s="491">
        <v>0</v>
      </c>
      <c r="F1355" s="491">
        <v>0</v>
      </c>
      <c r="G1355" s="491">
        <f t="shared" si="21"/>
        <v>28</v>
      </c>
    </row>
    <row r="1356" spans="1:7" ht="12.75">
      <c r="A1356" s="134" t="s">
        <v>719</v>
      </c>
      <c r="B1356" s="134">
        <v>310</v>
      </c>
      <c r="C1356" s="491">
        <v>6486</v>
      </c>
      <c r="D1356" s="491">
        <v>12695</v>
      </c>
      <c r="E1356" s="491">
        <v>12</v>
      </c>
      <c r="F1356" s="491">
        <v>11</v>
      </c>
      <c r="G1356" s="491">
        <f t="shared" si="21"/>
        <v>19204</v>
      </c>
    </row>
    <row r="1357" spans="1:7" ht="12.75">
      <c r="A1357" s="134" t="s">
        <v>719</v>
      </c>
      <c r="B1357" s="134">
        <v>314</v>
      </c>
      <c r="C1357" s="491">
        <v>0</v>
      </c>
      <c r="D1357" s="491">
        <v>3</v>
      </c>
      <c r="E1357" s="491">
        <v>0</v>
      </c>
      <c r="F1357" s="491">
        <v>0</v>
      </c>
      <c r="G1357" s="491">
        <f t="shared" si="21"/>
        <v>3</v>
      </c>
    </row>
    <row r="1358" spans="1:7" ht="12.75">
      <c r="A1358" s="134" t="s">
        <v>719</v>
      </c>
      <c r="B1358" s="134">
        <v>317</v>
      </c>
      <c r="C1358" s="491">
        <v>17</v>
      </c>
      <c r="D1358" s="491">
        <v>11</v>
      </c>
      <c r="E1358" s="491">
        <v>0</v>
      </c>
      <c r="F1358" s="491">
        <v>0</v>
      </c>
      <c r="G1358" s="491">
        <f t="shared" si="21"/>
        <v>28</v>
      </c>
    </row>
    <row r="1359" spans="1:7" ht="12.75">
      <c r="A1359" s="134" t="s">
        <v>719</v>
      </c>
      <c r="B1359" s="134">
        <v>318</v>
      </c>
      <c r="C1359" s="491">
        <v>1</v>
      </c>
      <c r="D1359" s="491">
        <v>66</v>
      </c>
      <c r="E1359" s="491">
        <v>0</v>
      </c>
      <c r="F1359" s="491">
        <v>0</v>
      </c>
      <c r="G1359" s="491">
        <f t="shared" si="21"/>
        <v>67</v>
      </c>
    </row>
    <row r="1360" spans="1:7" ht="12.75">
      <c r="A1360" s="134" t="s">
        <v>719</v>
      </c>
      <c r="B1360" s="134">
        <v>320</v>
      </c>
      <c r="C1360" s="491">
        <v>8</v>
      </c>
      <c r="D1360" s="491">
        <v>105</v>
      </c>
      <c r="E1360" s="491">
        <v>0</v>
      </c>
      <c r="F1360" s="491">
        <v>0</v>
      </c>
      <c r="G1360" s="491">
        <f t="shared" si="21"/>
        <v>113</v>
      </c>
    </row>
    <row r="1361" spans="1:7" ht="12.75">
      <c r="A1361" s="134" t="s">
        <v>719</v>
      </c>
      <c r="B1361" s="134">
        <v>324</v>
      </c>
      <c r="C1361" s="491">
        <v>1</v>
      </c>
      <c r="D1361" s="491">
        <v>16</v>
      </c>
      <c r="E1361" s="491">
        <v>0</v>
      </c>
      <c r="F1361" s="491">
        <v>0</v>
      </c>
      <c r="G1361" s="491">
        <f t="shared" si="21"/>
        <v>17</v>
      </c>
    </row>
    <row r="1362" spans="1:7" ht="12.75">
      <c r="A1362" s="134" t="s">
        <v>719</v>
      </c>
      <c r="B1362" s="134">
        <v>330</v>
      </c>
      <c r="C1362" s="491">
        <v>23</v>
      </c>
      <c r="D1362" s="491">
        <v>98</v>
      </c>
      <c r="E1362" s="491">
        <v>0</v>
      </c>
      <c r="F1362" s="491">
        <v>0</v>
      </c>
      <c r="G1362" s="491">
        <f t="shared" si="21"/>
        <v>121</v>
      </c>
    </row>
    <row r="1363" spans="1:7" ht="12.75">
      <c r="A1363" s="134" t="s">
        <v>719</v>
      </c>
      <c r="B1363" s="134">
        <v>340</v>
      </c>
      <c r="C1363" s="491">
        <v>3</v>
      </c>
      <c r="D1363" s="491">
        <v>28</v>
      </c>
      <c r="E1363" s="491">
        <v>0</v>
      </c>
      <c r="F1363" s="491">
        <v>0</v>
      </c>
      <c r="G1363" s="491">
        <f t="shared" si="21"/>
        <v>31</v>
      </c>
    </row>
    <row r="1364" spans="1:7" ht="12.75">
      <c r="A1364" s="134" t="s">
        <v>719</v>
      </c>
      <c r="B1364" s="134">
        <v>341</v>
      </c>
      <c r="C1364" s="491">
        <v>15</v>
      </c>
      <c r="D1364" s="491">
        <v>22</v>
      </c>
      <c r="E1364" s="491">
        <v>0</v>
      </c>
      <c r="F1364" s="491">
        <v>0</v>
      </c>
      <c r="G1364" s="491">
        <f t="shared" si="21"/>
        <v>37</v>
      </c>
    </row>
    <row r="1365" spans="1:7" ht="12.75">
      <c r="A1365" s="134" t="s">
        <v>719</v>
      </c>
      <c r="B1365" s="134">
        <v>350</v>
      </c>
      <c r="C1365" s="491">
        <v>0</v>
      </c>
      <c r="D1365" s="491">
        <v>2</v>
      </c>
      <c r="E1365" s="491">
        <v>0</v>
      </c>
      <c r="F1365" s="491">
        <v>0</v>
      </c>
      <c r="G1365" s="491">
        <f t="shared" si="21"/>
        <v>2</v>
      </c>
    </row>
    <row r="1366" spans="1:7" ht="12.75">
      <c r="A1366" s="134" t="s">
        <v>719</v>
      </c>
      <c r="B1366" s="134">
        <v>361</v>
      </c>
      <c r="C1366" s="491">
        <v>8</v>
      </c>
      <c r="D1366" s="491">
        <v>18</v>
      </c>
      <c r="E1366" s="491">
        <v>0</v>
      </c>
      <c r="F1366" s="491">
        <v>0</v>
      </c>
      <c r="G1366" s="491">
        <f t="shared" si="21"/>
        <v>26</v>
      </c>
    </row>
    <row r="1367" spans="1:7" ht="12.75">
      <c r="A1367" s="134" t="s">
        <v>719</v>
      </c>
      <c r="B1367" s="134">
        <v>370</v>
      </c>
      <c r="C1367" s="491">
        <v>2</v>
      </c>
      <c r="D1367" s="491">
        <v>24</v>
      </c>
      <c r="E1367" s="491">
        <v>3</v>
      </c>
      <c r="F1367" s="491">
        <v>0</v>
      </c>
      <c r="G1367" s="491">
        <f t="shared" si="21"/>
        <v>29</v>
      </c>
    </row>
    <row r="1368" spans="1:7" ht="12.75">
      <c r="A1368" s="134" t="s">
        <v>719</v>
      </c>
      <c r="B1368" s="134">
        <v>400</v>
      </c>
      <c r="C1368" s="491">
        <v>2</v>
      </c>
      <c r="D1368" s="491">
        <v>78</v>
      </c>
      <c r="E1368" s="491">
        <v>0</v>
      </c>
      <c r="F1368" s="491">
        <v>0</v>
      </c>
      <c r="G1368" s="491">
        <f t="shared" si="21"/>
        <v>80</v>
      </c>
    </row>
    <row r="1369" spans="1:7" ht="12.75">
      <c r="A1369" s="134" t="s">
        <v>719</v>
      </c>
      <c r="B1369" s="134">
        <v>410</v>
      </c>
      <c r="C1369" s="491">
        <v>9</v>
      </c>
      <c r="D1369" s="491">
        <v>66</v>
      </c>
      <c r="E1369" s="491">
        <v>0</v>
      </c>
      <c r="F1369" s="491">
        <v>0</v>
      </c>
      <c r="G1369" s="491">
        <f t="shared" si="21"/>
        <v>75</v>
      </c>
    </row>
    <row r="1370" spans="1:7" ht="12.75">
      <c r="A1370" s="134" t="s">
        <v>719</v>
      </c>
      <c r="B1370" s="134">
        <v>420</v>
      </c>
      <c r="C1370" s="491">
        <v>1</v>
      </c>
      <c r="D1370" s="491">
        <v>3</v>
      </c>
      <c r="E1370" s="491">
        <v>0</v>
      </c>
      <c r="F1370" s="491">
        <v>0</v>
      </c>
      <c r="G1370" s="491">
        <f t="shared" si="21"/>
        <v>4</v>
      </c>
    </row>
    <row r="1371" spans="1:7" ht="12.75">
      <c r="A1371" s="134" t="s">
        <v>719</v>
      </c>
      <c r="B1371" s="134">
        <v>430</v>
      </c>
      <c r="C1371" s="491">
        <v>0</v>
      </c>
      <c r="D1371" s="491">
        <v>7</v>
      </c>
      <c r="E1371" s="491">
        <v>0</v>
      </c>
      <c r="F1371" s="491">
        <v>0</v>
      </c>
      <c r="G1371" s="491">
        <f t="shared" si="21"/>
        <v>7</v>
      </c>
    </row>
    <row r="1372" spans="1:7" ht="12.75">
      <c r="A1372" s="134" t="s">
        <v>719</v>
      </c>
      <c r="B1372" s="134">
        <v>501</v>
      </c>
      <c r="C1372" s="491">
        <v>2</v>
      </c>
      <c r="D1372" s="491">
        <v>45</v>
      </c>
      <c r="E1372" s="491">
        <v>0</v>
      </c>
      <c r="F1372" s="491">
        <v>0</v>
      </c>
      <c r="G1372" s="491">
        <f t="shared" si="21"/>
        <v>47</v>
      </c>
    </row>
    <row r="1373" spans="1:7" ht="12.75">
      <c r="A1373" s="134" t="s">
        <v>719</v>
      </c>
      <c r="B1373" s="134">
        <v>502</v>
      </c>
      <c r="C1373" s="491">
        <v>4</v>
      </c>
      <c r="D1373" s="491">
        <v>72</v>
      </c>
      <c r="E1373" s="491">
        <v>0</v>
      </c>
      <c r="F1373" s="491">
        <v>0</v>
      </c>
      <c r="G1373" s="491">
        <f t="shared" si="21"/>
        <v>76</v>
      </c>
    </row>
    <row r="1374" spans="1:7" ht="12.75">
      <c r="A1374" s="134" t="s">
        <v>719</v>
      </c>
      <c r="B1374" s="134">
        <v>503</v>
      </c>
      <c r="C1374" s="491">
        <v>1</v>
      </c>
      <c r="D1374" s="491">
        <v>14</v>
      </c>
      <c r="E1374" s="491">
        <v>0</v>
      </c>
      <c r="F1374" s="491">
        <v>0</v>
      </c>
      <c r="G1374" s="491">
        <f t="shared" si="21"/>
        <v>15</v>
      </c>
    </row>
    <row r="1375" spans="1:7" ht="12.75">
      <c r="A1375" s="134" t="s">
        <v>719</v>
      </c>
      <c r="B1375" s="134">
        <v>560</v>
      </c>
      <c r="C1375" s="491">
        <v>0</v>
      </c>
      <c r="D1375" s="491">
        <v>23</v>
      </c>
      <c r="E1375" s="491">
        <v>0</v>
      </c>
      <c r="F1375" s="491">
        <v>0</v>
      </c>
      <c r="G1375" s="491">
        <f t="shared" si="21"/>
        <v>23</v>
      </c>
    </row>
    <row r="1376" spans="1:7" ht="12.75">
      <c r="A1376" s="134" t="s">
        <v>719</v>
      </c>
      <c r="B1376" s="134">
        <v>650</v>
      </c>
      <c r="C1376" s="491">
        <v>4</v>
      </c>
      <c r="D1376" s="491">
        <v>148</v>
      </c>
      <c r="E1376" s="491">
        <v>0</v>
      </c>
      <c r="F1376" s="491">
        <v>0</v>
      </c>
      <c r="G1376" s="491">
        <f t="shared" si="21"/>
        <v>152</v>
      </c>
    </row>
    <row r="1377" spans="1:7" ht="12.75">
      <c r="A1377" s="134" t="s">
        <v>719</v>
      </c>
      <c r="B1377" s="134">
        <v>652</v>
      </c>
      <c r="C1377" s="491">
        <v>0</v>
      </c>
      <c r="D1377" s="491">
        <v>2</v>
      </c>
      <c r="E1377" s="491">
        <v>0</v>
      </c>
      <c r="F1377" s="491">
        <v>0</v>
      </c>
      <c r="G1377" s="491">
        <f t="shared" si="21"/>
        <v>2</v>
      </c>
    </row>
    <row r="1378" spans="1:7" ht="12.75">
      <c r="A1378" s="134" t="s">
        <v>719</v>
      </c>
      <c r="B1378" s="134">
        <v>653</v>
      </c>
      <c r="C1378" s="491">
        <v>1</v>
      </c>
      <c r="D1378" s="491">
        <v>9</v>
      </c>
      <c r="E1378" s="491">
        <v>0</v>
      </c>
      <c r="F1378" s="491">
        <v>0</v>
      </c>
      <c r="G1378" s="491">
        <f t="shared" si="21"/>
        <v>10</v>
      </c>
    </row>
    <row r="1379" spans="1:7" ht="12.75">
      <c r="A1379" s="134" t="s">
        <v>719</v>
      </c>
      <c r="B1379" s="134">
        <v>654</v>
      </c>
      <c r="C1379" s="491">
        <v>0</v>
      </c>
      <c r="D1379" s="491">
        <v>5</v>
      </c>
      <c r="E1379" s="491">
        <v>0</v>
      </c>
      <c r="F1379" s="491">
        <v>0</v>
      </c>
      <c r="G1379" s="491">
        <f t="shared" si="21"/>
        <v>5</v>
      </c>
    </row>
    <row r="1380" spans="1:7" ht="12.75">
      <c r="A1380" s="134" t="s">
        <v>719</v>
      </c>
      <c r="B1380" s="134">
        <v>800</v>
      </c>
      <c r="C1380" s="491">
        <v>5</v>
      </c>
      <c r="D1380" s="491">
        <v>1</v>
      </c>
      <c r="E1380" s="491">
        <v>1</v>
      </c>
      <c r="F1380" s="491">
        <v>3</v>
      </c>
      <c r="G1380" s="491">
        <f t="shared" si="21"/>
        <v>10</v>
      </c>
    </row>
    <row r="1381" spans="1:7" ht="12.75">
      <c r="A1381" s="134" t="s">
        <v>719</v>
      </c>
      <c r="B1381" s="134">
        <v>840</v>
      </c>
      <c r="C1381" s="491">
        <v>8347</v>
      </c>
      <c r="D1381" s="491">
        <v>28625</v>
      </c>
      <c r="E1381" s="491">
        <v>16</v>
      </c>
      <c r="F1381" s="491">
        <v>7</v>
      </c>
      <c r="G1381" s="491">
        <f t="shared" si="21"/>
        <v>36995</v>
      </c>
    </row>
    <row r="1382" spans="1:7" ht="12.75">
      <c r="A1382" s="134" t="s">
        <v>720</v>
      </c>
      <c r="B1382" s="134">
        <v>101</v>
      </c>
      <c r="C1382" s="491">
        <v>58</v>
      </c>
      <c r="D1382" s="491">
        <v>13</v>
      </c>
      <c r="E1382" s="491">
        <v>0</v>
      </c>
      <c r="F1382" s="491">
        <v>0</v>
      </c>
      <c r="G1382" s="491">
        <f t="shared" si="21"/>
        <v>71</v>
      </c>
    </row>
    <row r="1383" spans="1:7" ht="12.75">
      <c r="A1383" s="134" t="s">
        <v>720</v>
      </c>
      <c r="B1383" s="134">
        <v>104</v>
      </c>
      <c r="C1383" s="491">
        <v>0</v>
      </c>
      <c r="D1383" s="491">
        <v>1</v>
      </c>
      <c r="E1383" s="491">
        <v>0</v>
      </c>
      <c r="F1383" s="491">
        <v>0</v>
      </c>
      <c r="G1383" s="491">
        <f t="shared" si="21"/>
        <v>1</v>
      </c>
    </row>
    <row r="1384" spans="1:7" ht="12.75">
      <c r="A1384" s="134" t="s">
        <v>720</v>
      </c>
      <c r="B1384" s="134">
        <v>110</v>
      </c>
      <c r="C1384" s="491">
        <v>3</v>
      </c>
      <c r="D1384" s="491">
        <v>9</v>
      </c>
      <c r="E1384" s="491">
        <v>0</v>
      </c>
      <c r="F1384" s="491">
        <v>0</v>
      </c>
      <c r="G1384" s="491">
        <f t="shared" si="21"/>
        <v>12</v>
      </c>
    </row>
    <row r="1385" spans="1:7" ht="12.75">
      <c r="A1385" s="134" t="s">
        <v>720</v>
      </c>
      <c r="B1385" s="134">
        <v>120</v>
      </c>
      <c r="C1385" s="491">
        <v>26058</v>
      </c>
      <c r="D1385" s="491">
        <v>11608</v>
      </c>
      <c r="E1385" s="491">
        <v>1349</v>
      </c>
      <c r="F1385" s="491">
        <v>673</v>
      </c>
      <c r="G1385" s="491">
        <f t="shared" si="21"/>
        <v>39688</v>
      </c>
    </row>
    <row r="1386" spans="1:7" ht="12.75">
      <c r="A1386" s="134" t="s">
        <v>720</v>
      </c>
      <c r="B1386" s="134">
        <v>130</v>
      </c>
      <c r="C1386" s="491">
        <v>5</v>
      </c>
      <c r="D1386" s="491">
        <v>1</v>
      </c>
      <c r="E1386" s="491">
        <v>1</v>
      </c>
      <c r="F1386" s="491">
        <v>0</v>
      </c>
      <c r="G1386" s="491">
        <f t="shared" si="21"/>
        <v>7</v>
      </c>
    </row>
    <row r="1387" spans="1:7" ht="12.75">
      <c r="A1387" s="134" t="s">
        <v>720</v>
      </c>
      <c r="B1387" s="134">
        <v>140</v>
      </c>
      <c r="C1387" s="491">
        <v>1</v>
      </c>
      <c r="D1387" s="491">
        <v>7</v>
      </c>
      <c r="E1387" s="491">
        <v>0</v>
      </c>
      <c r="F1387" s="491">
        <v>0</v>
      </c>
      <c r="G1387" s="491">
        <f t="shared" si="21"/>
        <v>8</v>
      </c>
    </row>
    <row r="1388" spans="1:7" ht="12.75">
      <c r="A1388" s="134" t="s">
        <v>720</v>
      </c>
      <c r="B1388" s="134">
        <v>143</v>
      </c>
      <c r="C1388" s="491">
        <v>0</v>
      </c>
      <c r="D1388" s="491">
        <v>7</v>
      </c>
      <c r="E1388" s="491">
        <v>0</v>
      </c>
      <c r="F1388" s="491">
        <v>0</v>
      </c>
      <c r="G1388" s="491">
        <f t="shared" si="21"/>
        <v>7</v>
      </c>
    </row>
    <row r="1389" spans="1:7" ht="12.75">
      <c r="A1389" s="134" t="s">
        <v>720</v>
      </c>
      <c r="B1389" s="134">
        <v>144</v>
      </c>
      <c r="C1389" s="491">
        <v>0</v>
      </c>
      <c r="D1389" s="491">
        <v>1</v>
      </c>
      <c r="E1389" s="491">
        <v>0</v>
      </c>
      <c r="F1389" s="491">
        <v>0</v>
      </c>
      <c r="G1389" s="491">
        <f t="shared" si="21"/>
        <v>1</v>
      </c>
    </row>
    <row r="1390" spans="1:7" ht="12.75">
      <c r="A1390" s="134" t="s">
        <v>720</v>
      </c>
      <c r="B1390" s="134">
        <v>160</v>
      </c>
      <c r="C1390" s="491">
        <v>0</v>
      </c>
      <c r="D1390" s="491">
        <v>4</v>
      </c>
      <c r="E1390" s="491">
        <v>0</v>
      </c>
      <c r="F1390" s="491">
        <v>0</v>
      </c>
      <c r="G1390" s="491">
        <f t="shared" si="21"/>
        <v>4</v>
      </c>
    </row>
    <row r="1391" spans="1:7" ht="12.75">
      <c r="A1391" s="134" t="s">
        <v>720</v>
      </c>
      <c r="B1391" s="134">
        <v>171</v>
      </c>
      <c r="C1391" s="491">
        <v>0</v>
      </c>
      <c r="D1391" s="491">
        <v>7</v>
      </c>
      <c r="E1391" s="491">
        <v>0</v>
      </c>
      <c r="F1391" s="491">
        <v>0</v>
      </c>
      <c r="G1391" s="491">
        <f t="shared" si="21"/>
        <v>7</v>
      </c>
    </row>
    <row r="1392" spans="1:7" ht="12.75">
      <c r="A1392" s="134" t="s">
        <v>720</v>
      </c>
      <c r="B1392" s="134">
        <v>180</v>
      </c>
      <c r="C1392" s="491">
        <v>0</v>
      </c>
      <c r="D1392" s="491">
        <v>1</v>
      </c>
      <c r="E1392" s="491">
        <v>0</v>
      </c>
      <c r="F1392" s="491">
        <v>0</v>
      </c>
      <c r="G1392" s="491">
        <f t="shared" si="21"/>
        <v>1</v>
      </c>
    </row>
    <row r="1393" spans="1:7" ht="12.75">
      <c r="A1393" s="134" t="s">
        <v>720</v>
      </c>
      <c r="B1393" s="134">
        <v>190</v>
      </c>
      <c r="C1393" s="491">
        <v>0</v>
      </c>
      <c r="D1393" s="491">
        <v>1</v>
      </c>
      <c r="E1393" s="491">
        <v>0</v>
      </c>
      <c r="F1393" s="491">
        <v>0</v>
      </c>
      <c r="G1393" s="491">
        <f t="shared" si="21"/>
        <v>1</v>
      </c>
    </row>
    <row r="1394" spans="1:7" ht="12.75">
      <c r="A1394" s="134" t="s">
        <v>720</v>
      </c>
      <c r="B1394" s="134">
        <v>211</v>
      </c>
      <c r="C1394" s="491">
        <v>0</v>
      </c>
      <c r="D1394" s="491">
        <v>6</v>
      </c>
      <c r="E1394" s="491">
        <v>0</v>
      </c>
      <c r="F1394" s="491">
        <v>0</v>
      </c>
      <c r="G1394" s="491">
        <f t="shared" si="21"/>
        <v>6</v>
      </c>
    </row>
    <row r="1395" spans="1:7" ht="12.75">
      <c r="A1395" s="134" t="s">
        <v>720</v>
      </c>
      <c r="B1395" s="134">
        <v>214</v>
      </c>
      <c r="C1395" s="491">
        <v>1</v>
      </c>
      <c r="D1395" s="491">
        <v>0</v>
      </c>
      <c r="E1395" s="491">
        <v>0</v>
      </c>
      <c r="F1395" s="491">
        <v>0</v>
      </c>
      <c r="G1395" s="491">
        <f t="shared" si="21"/>
        <v>1</v>
      </c>
    </row>
    <row r="1396" spans="1:7" ht="12.75">
      <c r="A1396" s="134" t="s">
        <v>720</v>
      </c>
      <c r="B1396" s="134">
        <v>215</v>
      </c>
      <c r="C1396" s="491">
        <v>5923</v>
      </c>
      <c r="D1396" s="491">
        <v>2744</v>
      </c>
      <c r="E1396" s="491">
        <v>40</v>
      </c>
      <c r="F1396" s="491">
        <v>13</v>
      </c>
      <c r="G1396" s="491">
        <f t="shared" si="21"/>
        <v>8720</v>
      </c>
    </row>
    <row r="1397" spans="1:7" ht="12.75">
      <c r="A1397" s="134" t="s">
        <v>720</v>
      </c>
      <c r="B1397" s="134">
        <v>216</v>
      </c>
      <c r="C1397" s="491">
        <v>2</v>
      </c>
      <c r="D1397" s="491">
        <v>0</v>
      </c>
      <c r="E1397" s="491">
        <v>0</v>
      </c>
      <c r="F1397" s="491">
        <v>0</v>
      </c>
      <c r="G1397" s="491">
        <f t="shared" si="21"/>
        <v>2</v>
      </c>
    </row>
    <row r="1398" spans="1:7" ht="12.75">
      <c r="A1398" s="134" t="s">
        <v>720</v>
      </c>
      <c r="B1398" s="134">
        <v>217</v>
      </c>
      <c r="C1398" s="491">
        <v>1</v>
      </c>
      <c r="D1398" s="491">
        <v>0</v>
      </c>
      <c r="E1398" s="491">
        <v>0</v>
      </c>
      <c r="F1398" s="491">
        <v>0</v>
      </c>
      <c r="G1398" s="491">
        <f t="shared" si="21"/>
        <v>1</v>
      </c>
    </row>
    <row r="1399" spans="1:7" ht="12.75">
      <c r="A1399" s="134" t="s">
        <v>720</v>
      </c>
      <c r="B1399" s="134">
        <v>241</v>
      </c>
      <c r="C1399" s="491">
        <v>0</v>
      </c>
      <c r="D1399" s="491">
        <v>1</v>
      </c>
      <c r="E1399" s="491">
        <v>0</v>
      </c>
      <c r="F1399" s="491">
        <v>0</v>
      </c>
      <c r="G1399" s="491">
        <f t="shared" si="21"/>
        <v>1</v>
      </c>
    </row>
    <row r="1400" spans="1:7" ht="12.75">
      <c r="A1400" s="134" t="s">
        <v>720</v>
      </c>
      <c r="B1400" s="134">
        <v>251</v>
      </c>
      <c r="C1400" s="491">
        <v>0</v>
      </c>
      <c r="D1400" s="491">
        <v>3</v>
      </c>
      <c r="E1400" s="491">
        <v>0</v>
      </c>
      <c r="F1400" s="491">
        <v>0</v>
      </c>
      <c r="G1400" s="491">
        <f t="shared" si="21"/>
        <v>3</v>
      </c>
    </row>
    <row r="1401" spans="1:7" ht="12.75">
      <c r="A1401" s="134" t="s">
        <v>720</v>
      </c>
      <c r="B1401" s="134">
        <v>252</v>
      </c>
      <c r="C1401" s="491">
        <v>0</v>
      </c>
      <c r="D1401" s="491">
        <v>4</v>
      </c>
      <c r="E1401" s="491">
        <v>0</v>
      </c>
      <c r="F1401" s="491">
        <v>0</v>
      </c>
      <c r="G1401" s="491">
        <f t="shared" si="21"/>
        <v>4</v>
      </c>
    </row>
    <row r="1402" spans="1:7" ht="12.75">
      <c r="A1402" s="134" t="s">
        <v>720</v>
      </c>
      <c r="B1402" s="134">
        <v>253</v>
      </c>
      <c r="C1402" s="491">
        <v>0</v>
      </c>
      <c r="D1402" s="491">
        <v>5</v>
      </c>
      <c r="E1402" s="491">
        <v>0</v>
      </c>
      <c r="F1402" s="491">
        <v>0</v>
      </c>
      <c r="G1402" s="491">
        <f t="shared" si="21"/>
        <v>5</v>
      </c>
    </row>
    <row r="1403" spans="1:7" ht="12.75">
      <c r="A1403" s="134" t="s">
        <v>720</v>
      </c>
      <c r="B1403" s="134">
        <v>254</v>
      </c>
      <c r="C1403" s="491">
        <v>1489</v>
      </c>
      <c r="D1403" s="491">
        <v>1068</v>
      </c>
      <c r="E1403" s="491">
        <v>211</v>
      </c>
      <c r="F1403" s="491">
        <v>230</v>
      </c>
      <c r="G1403" s="491">
        <f t="shared" si="21"/>
        <v>2998</v>
      </c>
    </row>
    <row r="1404" spans="1:7" ht="12.75">
      <c r="A1404" s="134" t="s">
        <v>720</v>
      </c>
      <c r="B1404" s="134">
        <v>256</v>
      </c>
      <c r="C1404" s="491">
        <v>1</v>
      </c>
      <c r="D1404" s="491">
        <v>0</v>
      </c>
      <c r="E1404" s="491">
        <v>0</v>
      </c>
      <c r="F1404" s="491">
        <v>0</v>
      </c>
      <c r="G1404" s="491">
        <f t="shared" si="21"/>
        <v>1</v>
      </c>
    </row>
    <row r="1405" spans="1:7" ht="12.75">
      <c r="A1405" s="134" t="s">
        <v>720</v>
      </c>
      <c r="B1405" s="134">
        <v>258</v>
      </c>
      <c r="C1405" s="491">
        <v>0</v>
      </c>
      <c r="D1405" s="491">
        <v>6</v>
      </c>
      <c r="E1405" s="491">
        <v>0</v>
      </c>
      <c r="F1405" s="491">
        <v>0</v>
      </c>
      <c r="G1405" s="491">
        <f t="shared" si="21"/>
        <v>6</v>
      </c>
    </row>
    <row r="1406" spans="1:7" ht="12.75">
      <c r="A1406" s="134" t="s">
        <v>720</v>
      </c>
      <c r="B1406" s="134">
        <v>290</v>
      </c>
      <c r="C1406" s="491">
        <v>382</v>
      </c>
      <c r="D1406" s="491">
        <v>304</v>
      </c>
      <c r="E1406" s="491">
        <v>0</v>
      </c>
      <c r="F1406" s="491">
        <v>0</v>
      </c>
      <c r="G1406" s="491">
        <f t="shared" si="21"/>
        <v>686</v>
      </c>
    </row>
    <row r="1407" spans="1:7" ht="12.75">
      <c r="A1407" s="134" t="s">
        <v>720</v>
      </c>
      <c r="B1407" s="134">
        <v>291</v>
      </c>
      <c r="C1407" s="491">
        <v>1</v>
      </c>
      <c r="D1407" s="491">
        <v>0</v>
      </c>
      <c r="E1407" s="491">
        <v>0</v>
      </c>
      <c r="F1407" s="491">
        <v>0</v>
      </c>
      <c r="G1407" s="491">
        <f t="shared" si="21"/>
        <v>1</v>
      </c>
    </row>
    <row r="1408" spans="1:7" ht="12.75">
      <c r="A1408" s="134" t="s">
        <v>720</v>
      </c>
      <c r="B1408" s="134">
        <v>301</v>
      </c>
      <c r="C1408" s="491">
        <v>0</v>
      </c>
      <c r="D1408" s="491">
        <v>1</v>
      </c>
      <c r="E1408" s="491">
        <v>0</v>
      </c>
      <c r="F1408" s="491">
        <v>0</v>
      </c>
      <c r="G1408" s="491">
        <f t="shared" si="21"/>
        <v>1</v>
      </c>
    </row>
    <row r="1409" spans="1:7" ht="12.75">
      <c r="A1409" s="134" t="s">
        <v>720</v>
      </c>
      <c r="B1409" s="134">
        <v>310</v>
      </c>
      <c r="C1409" s="491">
        <v>1345</v>
      </c>
      <c r="D1409" s="491">
        <v>1409</v>
      </c>
      <c r="E1409" s="491">
        <v>266</v>
      </c>
      <c r="F1409" s="491">
        <v>152</v>
      </c>
      <c r="G1409" s="491">
        <f t="shared" si="21"/>
        <v>3172</v>
      </c>
    </row>
    <row r="1410" spans="1:7" ht="12.75">
      <c r="A1410" s="134" t="s">
        <v>720</v>
      </c>
      <c r="B1410" s="134">
        <v>317</v>
      </c>
      <c r="C1410" s="491">
        <v>17</v>
      </c>
      <c r="D1410" s="491">
        <v>9</v>
      </c>
      <c r="E1410" s="491">
        <v>0</v>
      </c>
      <c r="F1410" s="491">
        <v>0</v>
      </c>
      <c r="G1410" s="491">
        <f t="shared" si="21"/>
        <v>26</v>
      </c>
    </row>
    <row r="1411" spans="1:7" ht="12.75">
      <c r="A1411" s="134" t="s">
        <v>720</v>
      </c>
      <c r="B1411" s="134">
        <v>318</v>
      </c>
      <c r="C1411" s="491">
        <v>0</v>
      </c>
      <c r="D1411" s="491">
        <v>3</v>
      </c>
      <c r="E1411" s="491">
        <v>0</v>
      </c>
      <c r="F1411" s="491">
        <v>0</v>
      </c>
      <c r="G1411" s="491">
        <f t="shared" si="21"/>
        <v>3</v>
      </c>
    </row>
    <row r="1412" spans="1:7" ht="12.75">
      <c r="A1412" s="134" t="s">
        <v>720</v>
      </c>
      <c r="B1412" s="134">
        <v>320</v>
      </c>
      <c r="C1412" s="491">
        <v>0</v>
      </c>
      <c r="D1412" s="491">
        <v>6</v>
      </c>
      <c r="E1412" s="491">
        <v>0</v>
      </c>
      <c r="F1412" s="491">
        <v>0</v>
      </c>
      <c r="G1412" s="491">
        <f t="shared" ref="G1412:G1475" si="22">SUM(C1412:F1412)</f>
        <v>6</v>
      </c>
    </row>
    <row r="1413" spans="1:7" ht="12.75">
      <c r="A1413" s="134" t="s">
        <v>720</v>
      </c>
      <c r="B1413" s="134">
        <v>330</v>
      </c>
      <c r="C1413" s="491">
        <v>0</v>
      </c>
      <c r="D1413" s="491">
        <v>4</v>
      </c>
      <c r="E1413" s="491">
        <v>0</v>
      </c>
      <c r="F1413" s="491">
        <v>0</v>
      </c>
      <c r="G1413" s="491">
        <f t="shared" si="22"/>
        <v>4</v>
      </c>
    </row>
    <row r="1414" spans="1:7" ht="12.75">
      <c r="A1414" s="134" t="s">
        <v>720</v>
      </c>
      <c r="B1414" s="134">
        <v>340</v>
      </c>
      <c r="C1414" s="491">
        <v>0</v>
      </c>
      <c r="D1414" s="491">
        <v>3</v>
      </c>
      <c r="E1414" s="491">
        <v>0</v>
      </c>
      <c r="F1414" s="491">
        <v>0</v>
      </c>
      <c r="G1414" s="491">
        <f t="shared" si="22"/>
        <v>3</v>
      </c>
    </row>
    <row r="1415" spans="1:7" ht="12.75">
      <c r="A1415" s="134" t="s">
        <v>720</v>
      </c>
      <c r="B1415" s="134">
        <v>341</v>
      </c>
      <c r="C1415" s="491">
        <v>1</v>
      </c>
      <c r="D1415" s="491">
        <v>0</v>
      </c>
      <c r="E1415" s="491">
        <v>0</v>
      </c>
      <c r="F1415" s="491">
        <v>0</v>
      </c>
      <c r="G1415" s="491">
        <f t="shared" si="22"/>
        <v>1</v>
      </c>
    </row>
    <row r="1416" spans="1:7" ht="12.75">
      <c r="A1416" s="134" t="s">
        <v>720</v>
      </c>
      <c r="B1416" s="134">
        <v>361</v>
      </c>
      <c r="C1416" s="491">
        <v>1</v>
      </c>
      <c r="D1416" s="491">
        <v>0</v>
      </c>
      <c r="E1416" s="491">
        <v>0</v>
      </c>
      <c r="F1416" s="491">
        <v>0</v>
      </c>
      <c r="G1416" s="491">
        <f t="shared" si="22"/>
        <v>1</v>
      </c>
    </row>
    <row r="1417" spans="1:7" ht="12.75">
      <c r="A1417" s="134" t="s">
        <v>720</v>
      </c>
      <c r="B1417" s="134">
        <v>400</v>
      </c>
      <c r="C1417" s="491">
        <v>0</v>
      </c>
      <c r="D1417" s="491">
        <v>4</v>
      </c>
      <c r="E1417" s="491">
        <v>0</v>
      </c>
      <c r="F1417" s="491">
        <v>0</v>
      </c>
      <c r="G1417" s="491">
        <f t="shared" si="22"/>
        <v>4</v>
      </c>
    </row>
    <row r="1418" spans="1:7" ht="12.75">
      <c r="A1418" s="134" t="s">
        <v>720</v>
      </c>
      <c r="B1418" s="134">
        <v>410</v>
      </c>
      <c r="C1418" s="491">
        <v>0</v>
      </c>
      <c r="D1418" s="491">
        <v>1</v>
      </c>
      <c r="E1418" s="491">
        <v>0</v>
      </c>
      <c r="F1418" s="491">
        <v>0</v>
      </c>
      <c r="G1418" s="491">
        <f t="shared" si="22"/>
        <v>1</v>
      </c>
    </row>
    <row r="1419" spans="1:7" ht="12.75">
      <c r="A1419" s="134" t="s">
        <v>720</v>
      </c>
      <c r="B1419" s="134">
        <v>420</v>
      </c>
      <c r="C1419" s="491">
        <v>199</v>
      </c>
      <c r="D1419" s="491">
        <v>340</v>
      </c>
      <c r="E1419" s="491">
        <v>1</v>
      </c>
      <c r="F1419" s="491">
        <v>0</v>
      </c>
      <c r="G1419" s="491">
        <f t="shared" si="22"/>
        <v>540</v>
      </c>
    </row>
    <row r="1420" spans="1:7" ht="12.75">
      <c r="A1420" s="134" t="s">
        <v>720</v>
      </c>
      <c r="B1420" s="134">
        <v>421</v>
      </c>
      <c r="C1420" s="491">
        <v>0</v>
      </c>
      <c r="D1420" s="491">
        <v>2</v>
      </c>
      <c r="E1420" s="491">
        <v>0</v>
      </c>
      <c r="F1420" s="491">
        <v>0</v>
      </c>
      <c r="G1420" s="491">
        <f t="shared" si="22"/>
        <v>2</v>
      </c>
    </row>
    <row r="1421" spans="1:7" ht="12.75">
      <c r="A1421" s="134" t="s">
        <v>720</v>
      </c>
      <c r="B1421" s="134">
        <v>501</v>
      </c>
      <c r="C1421" s="491">
        <v>0</v>
      </c>
      <c r="D1421" s="491">
        <v>1</v>
      </c>
      <c r="E1421" s="491">
        <v>0</v>
      </c>
      <c r="F1421" s="491">
        <v>0</v>
      </c>
      <c r="G1421" s="491">
        <f t="shared" si="22"/>
        <v>1</v>
      </c>
    </row>
    <row r="1422" spans="1:7" ht="12.75">
      <c r="A1422" s="134" t="s">
        <v>720</v>
      </c>
      <c r="B1422" s="134">
        <v>650</v>
      </c>
      <c r="C1422" s="491">
        <v>3</v>
      </c>
      <c r="D1422" s="491">
        <v>8</v>
      </c>
      <c r="E1422" s="491">
        <v>0</v>
      </c>
      <c r="F1422" s="491">
        <v>0</v>
      </c>
      <c r="G1422" s="491">
        <f t="shared" si="22"/>
        <v>11</v>
      </c>
    </row>
    <row r="1423" spans="1:7" ht="12.75">
      <c r="A1423" s="134" t="s">
        <v>720</v>
      </c>
      <c r="B1423" s="134">
        <v>654</v>
      </c>
      <c r="C1423" s="491">
        <v>0</v>
      </c>
      <c r="D1423" s="491">
        <v>4</v>
      </c>
      <c r="E1423" s="491">
        <v>0</v>
      </c>
      <c r="F1423" s="491">
        <v>0</v>
      </c>
      <c r="G1423" s="491">
        <f t="shared" si="22"/>
        <v>4</v>
      </c>
    </row>
    <row r="1424" spans="1:7" ht="12.75">
      <c r="A1424" s="134" t="s">
        <v>720</v>
      </c>
      <c r="B1424" s="134">
        <v>655</v>
      </c>
      <c r="C1424" s="491">
        <v>1</v>
      </c>
      <c r="D1424" s="491">
        <v>0</v>
      </c>
      <c r="E1424" s="491">
        <v>0</v>
      </c>
      <c r="F1424" s="491">
        <v>0</v>
      </c>
      <c r="G1424" s="491">
        <f t="shared" si="22"/>
        <v>1</v>
      </c>
    </row>
    <row r="1425" spans="1:7" ht="12.75">
      <c r="A1425" s="134" t="s">
        <v>720</v>
      </c>
      <c r="B1425" s="134">
        <v>658</v>
      </c>
      <c r="C1425" s="491">
        <v>0</v>
      </c>
      <c r="D1425" s="491">
        <v>1</v>
      </c>
      <c r="E1425" s="491">
        <v>0</v>
      </c>
      <c r="F1425" s="491">
        <v>0</v>
      </c>
      <c r="G1425" s="491">
        <f t="shared" si="22"/>
        <v>1</v>
      </c>
    </row>
    <row r="1426" spans="1:7" ht="12.75">
      <c r="A1426" s="134" t="s">
        <v>720</v>
      </c>
      <c r="B1426" s="134">
        <v>840</v>
      </c>
      <c r="C1426" s="491">
        <v>1960</v>
      </c>
      <c r="D1426" s="491">
        <v>2386</v>
      </c>
      <c r="E1426" s="491">
        <v>1</v>
      </c>
      <c r="F1426" s="491">
        <v>0</v>
      </c>
      <c r="G1426" s="491">
        <f t="shared" si="22"/>
        <v>4347</v>
      </c>
    </row>
    <row r="1427" spans="1:7" ht="12.75">
      <c r="A1427" s="134" t="s">
        <v>721</v>
      </c>
      <c r="B1427" s="134">
        <v>100</v>
      </c>
      <c r="C1427" s="491">
        <v>2</v>
      </c>
      <c r="D1427" s="491">
        <v>0</v>
      </c>
      <c r="E1427" s="491">
        <v>0</v>
      </c>
      <c r="F1427" s="491">
        <v>0</v>
      </c>
      <c r="G1427" s="491">
        <f t="shared" si="22"/>
        <v>2</v>
      </c>
    </row>
    <row r="1428" spans="1:7" ht="12.75">
      <c r="A1428" s="134" t="s">
        <v>721</v>
      </c>
      <c r="B1428" s="134">
        <v>101</v>
      </c>
      <c r="C1428" s="491">
        <v>24</v>
      </c>
      <c r="D1428" s="491">
        <v>5</v>
      </c>
      <c r="E1428" s="491">
        <v>0</v>
      </c>
      <c r="F1428" s="491">
        <v>0</v>
      </c>
      <c r="G1428" s="491">
        <f t="shared" si="22"/>
        <v>29</v>
      </c>
    </row>
    <row r="1429" spans="1:7" ht="12.75">
      <c r="A1429" s="134" t="s">
        <v>721</v>
      </c>
      <c r="B1429" s="134">
        <v>110</v>
      </c>
      <c r="C1429" s="491">
        <v>0</v>
      </c>
      <c r="D1429" s="491">
        <v>2</v>
      </c>
      <c r="E1429" s="491">
        <v>0</v>
      </c>
      <c r="F1429" s="491">
        <v>0</v>
      </c>
      <c r="G1429" s="491">
        <f t="shared" si="22"/>
        <v>2</v>
      </c>
    </row>
    <row r="1430" spans="1:7" ht="12.75">
      <c r="A1430" s="134" t="s">
        <v>721</v>
      </c>
      <c r="B1430" s="134">
        <v>120</v>
      </c>
      <c r="C1430" s="491">
        <v>7273</v>
      </c>
      <c r="D1430" s="491">
        <v>5550</v>
      </c>
      <c r="E1430" s="491">
        <v>484</v>
      </c>
      <c r="F1430" s="491">
        <v>360</v>
      </c>
      <c r="G1430" s="491">
        <f t="shared" si="22"/>
        <v>13667</v>
      </c>
    </row>
    <row r="1431" spans="1:7" ht="12.75">
      <c r="A1431" s="134" t="s">
        <v>721</v>
      </c>
      <c r="B1431" s="134">
        <v>130</v>
      </c>
      <c r="C1431" s="491">
        <v>1</v>
      </c>
      <c r="D1431" s="491">
        <v>2</v>
      </c>
      <c r="E1431" s="491">
        <v>0</v>
      </c>
      <c r="F1431" s="491">
        <v>0</v>
      </c>
      <c r="G1431" s="491">
        <f t="shared" si="22"/>
        <v>3</v>
      </c>
    </row>
    <row r="1432" spans="1:7" ht="12.75">
      <c r="A1432" s="134" t="s">
        <v>721</v>
      </c>
      <c r="B1432" s="134">
        <v>140</v>
      </c>
      <c r="C1432" s="491">
        <v>0</v>
      </c>
      <c r="D1432" s="491">
        <v>1</v>
      </c>
      <c r="E1432" s="491">
        <v>0</v>
      </c>
      <c r="F1432" s="491">
        <v>0</v>
      </c>
      <c r="G1432" s="491">
        <f t="shared" si="22"/>
        <v>1</v>
      </c>
    </row>
    <row r="1433" spans="1:7" ht="12.75">
      <c r="A1433" s="134" t="s">
        <v>721</v>
      </c>
      <c r="B1433" s="134">
        <v>150</v>
      </c>
      <c r="C1433" s="491">
        <v>0</v>
      </c>
      <c r="D1433" s="491">
        <v>1</v>
      </c>
      <c r="E1433" s="491">
        <v>0</v>
      </c>
      <c r="F1433" s="491">
        <v>0</v>
      </c>
      <c r="G1433" s="491">
        <f t="shared" si="22"/>
        <v>1</v>
      </c>
    </row>
    <row r="1434" spans="1:7" ht="12.75">
      <c r="A1434" s="134" t="s">
        <v>721</v>
      </c>
      <c r="B1434" s="134">
        <v>160</v>
      </c>
      <c r="C1434" s="491">
        <v>0</v>
      </c>
      <c r="D1434" s="491">
        <v>3</v>
      </c>
      <c r="E1434" s="491">
        <v>0</v>
      </c>
      <c r="F1434" s="491">
        <v>0</v>
      </c>
      <c r="G1434" s="491">
        <f t="shared" si="22"/>
        <v>3</v>
      </c>
    </row>
    <row r="1435" spans="1:7" ht="12.75">
      <c r="A1435" s="134" t="s">
        <v>721</v>
      </c>
      <c r="B1435" s="134">
        <v>171</v>
      </c>
      <c r="C1435" s="491">
        <v>0</v>
      </c>
      <c r="D1435" s="491">
        <v>5</v>
      </c>
      <c r="E1435" s="491">
        <v>0</v>
      </c>
      <c r="F1435" s="491">
        <v>0</v>
      </c>
      <c r="G1435" s="491">
        <f t="shared" si="22"/>
        <v>5</v>
      </c>
    </row>
    <row r="1436" spans="1:7" ht="12.75">
      <c r="A1436" s="134" t="s">
        <v>721</v>
      </c>
      <c r="B1436" s="134">
        <v>180</v>
      </c>
      <c r="C1436" s="491">
        <v>0</v>
      </c>
      <c r="D1436" s="491">
        <v>1</v>
      </c>
      <c r="E1436" s="491">
        <v>0</v>
      </c>
      <c r="F1436" s="491">
        <v>0</v>
      </c>
      <c r="G1436" s="491">
        <f t="shared" si="22"/>
        <v>1</v>
      </c>
    </row>
    <row r="1437" spans="1:7" ht="12.75">
      <c r="A1437" s="134" t="s">
        <v>721</v>
      </c>
      <c r="B1437" s="134">
        <v>211</v>
      </c>
      <c r="C1437" s="491">
        <v>0</v>
      </c>
      <c r="D1437" s="491">
        <v>4</v>
      </c>
      <c r="E1437" s="491">
        <v>0</v>
      </c>
      <c r="F1437" s="491">
        <v>0</v>
      </c>
      <c r="G1437" s="491">
        <f t="shared" si="22"/>
        <v>4</v>
      </c>
    </row>
    <row r="1438" spans="1:7" ht="12.75">
      <c r="A1438" s="134" t="s">
        <v>721</v>
      </c>
      <c r="B1438" s="134">
        <v>214</v>
      </c>
      <c r="C1438" s="491">
        <v>1</v>
      </c>
      <c r="D1438" s="491">
        <v>0</v>
      </c>
      <c r="E1438" s="491">
        <v>0</v>
      </c>
      <c r="F1438" s="491">
        <v>0</v>
      </c>
      <c r="G1438" s="491">
        <f t="shared" si="22"/>
        <v>1</v>
      </c>
    </row>
    <row r="1439" spans="1:7" ht="12.75">
      <c r="A1439" s="134" t="s">
        <v>721</v>
      </c>
      <c r="B1439" s="134">
        <v>215</v>
      </c>
      <c r="C1439" s="491">
        <v>2160</v>
      </c>
      <c r="D1439" s="491">
        <v>1766</v>
      </c>
      <c r="E1439" s="491">
        <v>12</v>
      </c>
      <c r="F1439" s="491">
        <v>6</v>
      </c>
      <c r="G1439" s="491">
        <f t="shared" si="22"/>
        <v>3944</v>
      </c>
    </row>
    <row r="1440" spans="1:7" ht="12.75">
      <c r="A1440" s="134" t="s">
        <v>721</v>
      </c>
      <c r="B1440" s="134">
        <v>216</v>
      </c>
      <c r="C1440" s="491">
        <v>0</v>
      </c>
      <c r="D1440" s="491">
        <v>1</v>
      </c>
      <c r="E1440" s="491">
        <v>0</v>
      </c>
      <c r="F1440" s="491">
        <v>0</v>
      </c>
      <c r="G1440" s="491">
        <f t="shared" si="22"/>
        <v>1</v>
      </c>
    </row>
    <row r="1441" spans="1:7" ht="12.75">
      <c r="A1441" s="134" t="s">
        <v>721</v>
      </c>
      <c r="B1441" s="134">
        <v>251</v>
      </c>
      <c r="C1441" s="491">
        <v>0</v>
      </c>
      <c r="D1441" s="491">
        <v>3</v>
      </c>
      <c r="E1441" s="491">
        <v>0</v>
      </c>
      <c r="F1441" s="491">
        <v>0</v>
      </c>
      <c r="G1441" s="491">
        <f t="shared" si="22"/>
        <v>3</v>
      </c>
    </row>
    <row r="1442" spans="1:7" ht="12.75">
      <c r="A1442" s="134" t="s">
        <v>721</v>
      </c>
      <c r="B1442" s="134">
        <v>252</v>
      </c>
      <c r="C1442" s="491">
        <v>0</v>
      </c>
      <c r="D1442" s="491">
        <v>1</v>
      </c>
      <c r="E1442" s="491">
        <v>0</v>
      </c>
      <c r="F1442" s="491">
        <v>0</v>
      </c>
      <c r="G1442" s="491">
        <f t="shared" si="22"/>
        <v>1</v>
      </c>
    </row>
    <row r="1443" spans="1:7" ht="12.75">
      <c r="A1443" s="134" t="s">
        <v>721</v>
      </c>
      <c r="B1443" s="134">
        <v>253</v>
      </c>
      <c r="C1443" s="491">
        <v>0</v>
      </c>
      <c r="D1443" s="491">
        <v>1</v>
      </c>
      <c r="E1443" s="491">
        <v>0</v>
      </c>
      <c r="F1443" s="491">
        <v>0</v>
      </c>
      <c r="G1443" s="491">
        <f t="shared" si="22"/>
        <v>1</v>
      </c>
    </row>
    <row r="1444" spans="1:7" ht="12.75">
      <c r="A1444" s="134" t="s">
        <v>721</v>
      </c>
      <c r="B1444" s="134">
        <v>254</v>
      </c>
      <c r="C1444" s="491">
        <v>1475</v>
      </c>
      <c r="D1444" s="491">
        <v>1567</v>
      </c>
      <c r="E1444" s="491">
        <v>411</v>
      </c>
      <c r="F1444" s="491">
        <v>287</v>
      </c>
      <c r="G1444" s="491">
        <f t="shared" si="22"/>
        <v>3740</v>
      </c>
    </row>
    <row r="1445" spans="1:7" ht="12.75">
      <c r="A1445" s="134" t="s">
        <v>721</v>
      </c>
      <c r="B1445" s="134">
        <v>255</v>
      </c>
      <c r="C1445" s="491">
        <v>0</v>
      </c>
      <c r="D1445" s="491">
        <v>1</v>
      </c>
      <c r="E1445" s="491">
        <v>0</v>
      </c>
      <c r="F1445" s="491">
        <v>0</v>
      </c>
      <c r="G1445" s="491">
        <f t="shared" si="22"/>
        <v>1</v>
      </c>
    </row>
    <row r="1446" spans="1:7" ht="12.75">
      <c r="A1446" s="134" t="s">
        <v>721</v>
      </c>
      <c r="B1446" s="134">
        <v>258</v>
      </c>
      <c r="C1446" s="491">
        <v>3</v>
      </c>
      <c r="D1446" s="491">
        <v>3</v>
      </c>
      <c r="E1446" s="491">
        <v>0</v>
      </c>
      <c r="F1446" s="491">
        <v>0</v>
      </c>
      <c r="G1446" s="491">
        <f t="shared" si="22"/>
        <v>6</v>
      </c>
    </row>
    <row r="1447" spans="1:7" ht="12.75">
      <c r="A1447" s="134" t="s">
        <v>721</v>
      </c>
      <c r="B1447" s="134">
        <v>290</v>
      </c>
      <c r="C1447" s="491">
        <v>435</v>
      </c>
      <c r="D1447" s="491">
        <v>533</v>
      </c>
      <c r="E1447" s="491">
        <v>0</v>
      </c>
      <c r="F1447" s="491">
        <v>0</v>
      </c>
      <c r="G1447" s="491">
        <f t="shared" si="22"/>
        <v>968</v>
      </c>
    </row>
    <row r="1448" spans="1:7" ht="12.75">
      <c r="A1448" s="134" t="s">
        <v>721</v>
      </c>
      <c r="B1448" s="134">
        <v>306</v>
      </c>
      <c r="C1448" s="491">
        <v>0</v>
      </c>
      <c r="D1448" s="491">
        <v>0</v>
      </c>
      <c r="E1448" s="491">
        <v>0</v>
      </c>
      <c r="F1448" s="491">
        <v>1</v>
      </c>
      <c r="G1448" s="491">
        <f t="shared" si="22"/>
        <v>1</v>
      </c>
    </row>
    <row r="1449" spans="1:7" ht="12.75">
      <c r="A1449" s="134" t="s">
        <v>721</v>
      </c>
      <c r="B1449" s="134">
        <v>310</v>
      </c>
      <c r="C1449" s="491">
        <v>564</v>
      </c>
      <c r="D1449" s="491">
        <v>754</v>
      </c>
      <c r="E1449" s="491">
        <v>264</v>
      </c>
      <c r="F1449" s="491">
        <v>301</v>
      </c>
      <c r="G1449" s="491">
        <f t="shared" si="22"/>
        <v>1883</v>
      </c>
    </row>
    <row r="1450" spans="1:7" ht="12.75">
      <c r="A1450" s="134" t="s">
        <v>721</v>
      </c>
      <c r="B1450" s="134">
        <v>317</v>
      </c>
      <c r="C1450" s="491">
        <v>3</v>
      </c>
      <c r="D1450" s="491">
        <v>3</v>
      </c>
      <c r="E1450" s="491">
        <v>0</v>
      </c>
      <c r="F1450" s="491">
        <v>0</v>
      </c>
      <c r="G1450" s="491">
        <f t="shared" si="22"/>
        <v>6</v>
      </c>
    </row>
    <row r="1451" spans="1:7" ht="12.75">
      <c r="A1451" s="134" t="s">
        <v>721</v>
      </c>
      <c r="B1451" s="134">
        <v>320</v>
      </c>
      <c r="C1451" s="491">
        <v>0</v>
      </c>
      <c r="D1451" s="491">
        <v>2</v>
      </c>
      <c r="E1451" s="491">
        <v>0</v>
      </c>
      <c r="F1451" s="491">
        <v>0</v>
      </c>
      <c r="G1451" s="491">
        <f t="shared" si="22"/>
        <v>2</v>
      </c>
    </row>
    <row r="1452" spans="1:7" ht="12.75">
      <c r="A1452" s="134" t="s">
        <v>721</v>
      </c>
      <c r="B1452" s="134">
        <v>321</v>
      </c>
      <c r="C1452" s="491">
        <v>0</v>
      </c>
      <c r="D1452" s="491">
        <v>1</v>
      </c>
      <c r="E1452" s="491">
        <v>0</v>
      </c>
      <c r="F1452" s="491">
        <v>0</v>
      </c>
      <c r="G1452" s="491">
        <f t="shared" si="22"/>
        <v>1</v>
      </c>
    </row>
    <row r="1453" spans="1:7" ht="12.75">
      <c r="A1453" s="134" t="s">
        <v>721</v>
      </c>
      <c r="B1453" s="134">
        <v>330</v>
      </c>
      <c r="C1453" s="491">
        <v>0</v>
      </c>
      <c r="D1453" s="491">
        <v>4</v>
      </c>
      <c r="E1453" s="491">
        <v>0</v>
      </c>
      <c r="F1453" s="491">
        <v>0</v>
      </c>
      <c r="G1453" s="491">
        <f t="shared" si="22"/>
        <v>4</v>
      </c>
    </row>
    <row r="1454" spans="1:7" ht="12.75">
      <c r="A1454" s="134" t="s">
        <v>721</v>
      </c>
      <c r="B1454" s="134">
        <v>420</v>
      </c>
      <c r="C1454" s="491">
        <v>720</v>
      </c>
      <c r="D1454" s="491">
        <v>764</v>
      </c>
      <c r="E1454" s="491">
        <v>7</v>
      </c>
      <c r="F1454" s="491">
        <v>0</v>
      </c>
      <c r="G1454" s="491">
        <f t="shared" si="22"/>
        <v>1491</v>
      </c>
    </row>
    <row r="1455" spans="1:7" ht="12.75">
      <c r="A1455" s="134" t="s">
        <v>721</v>
      </c>
      <c r="B1455" s="134">
        <v>421</v>
      </c>
      <c r="C1455" s="491">
        <v>0</v>
      </c>
      <c r="D1455" s="491">
        <v>3</v>
      </c>
      <c r="E1455" s="491">
        <v>0</v>
      </c>
      <c r="F1455" s="491">
        <v>0</v>
      </c>
      <c r="G1455" s="491">
        <f t="shared" si="22"/>
        <v>3</v>
      </c>
    </row>
    <row r="1456" spans="1:7" ht="12.75">
      <c r="A1456" s="134" t="s">
        <v>721</v>
      </c>
      <c r="B1456" s="134">
        <v>422</v>
      </c>
      <c r="C1456" s="491">
        <v>0</v>
      </c>
      <c r="D1456" s="491">
        <v>2</v>
      </c>
      <c r="E1456" s="491">
        <v>0</v>
      </c>
      <c r="F1456" s="491">
        <v>0</v>
      </c>
      <c r="G1456" s="491">
        <f t="shared" si="22"/>
        <v>2</v>
      </c>
    </row>
    <row r="1457" spans="1:7" ht="12.75">
      <c r="A1457" s="134" t="s">
        <v>721</v>
      </c>
      <c r="B1457" s="134">
        <v>650</v>
      </c>
      <c r="C1457" s="491">
        <v>5</v>
      </c>
      <c r="D1457" s="491">
        <v>2</v>
      </c>
      <c r="E1457" s="491">
        <v>0</v>
      </c>
      <c r="F1457" s="491">
        <v>0</v>
      </c>
      <c r="G1457" s="491">
        <f t="shared" si="22"/>
        <v>7</v>
      </c>
    </row>
    <row r="1458" spans="1:7" ht="12.75">
      <c r="A1458" s="134" t="s">
        <v>721</v>
      </c>
      <c r="B1458" s="134">
        <v>653</v>
      </c>
      <c r="C1458" s="491">
        <v>1</v>
      </c>
      <c r="D1458" s="491">
        <v>0</v>
      </c>
      <c r="E1458" s="491">
        <v>0</v>
      </c>
      <c r="F1458" s="491">
        <v>0</v>
      </c>
      <c r="G1458" s="491">
        <f t="shared" si="22"/>
        <v>1</v>
      </c>
    </row>
    <row r="1459" spans="1:7" ht="12.75">
      <c r="A1459" s="134" t="s">
        <v>721</v>
      </c>
      <c r="B1459" s="134">
        <v>654</v>
      </c>
      <c r="C1459" s="491">
        <v>0</v>
      </c>
      <c r="D1459" s="491">
        <v>1</v>
      </c>
      <c r="E1459" s="491">
        <v>0</v>
      </c>
      <c r="F1459" s="491">
        <v>0</v>
      </c>
      <c r="G1459" s="491">
        <f t="shared" si="22"/>
        <v>1</v>
      </c>
    </row>
    <row r="1460" spans="1:7" ht="12.75">
      <c r="A1460" s="134" t="s">
        <v>721</v>
      </c>
      <c r="B1460" s="134">
        <v>840</v>
      </c>
      <c r="C1460" s="491">
        <v>841</v>
      </c>
      <c r="D1460" s="491">
        <v>2402</v>
      </c>
      <c r="E1460" s="491">
        <v>0</v>
      </c>
      <c r="F1460" s="491">
        <v>0</v>
      </c>
      <c r="G1460" s="491">
        <f t="shared" si="22"/>
        <v>3243</v>
      </c>
    </row>
    <row r="1461" spans="1:7" ht="12.75">
      <c r="A1461" s="134" t="s">
        <v>722</v>
      </c>
      <c r="B1461" s="134">
        <v>101</v>
      </c>
      <c r="C1461" s="491">
        <v>1</v>
      </c>
      <c r="D1461" s="491">
        <v>0</v>
      </c>
      <c r="E1461" s="491">
        <v>0</v>
      </c>
      <c r="F1461" s="491">
        <v>0</v>
      </c>
      <c r="G1461" s="491">
        <f t="shared" si="22"/>
        <v>1</v>
      </c>
    </row>
    <row r="1462" spans="1:7" ht="12.75">
      <c r="A1462" s="134" t="s">
        <v>722</v>
      </c>
      <c r="B1462" s="134">
        <v>106</v>
      </c>
      <c r="C1462" s="491">
        <v>0</v>
      </c>
      <c r="D1462" s="491">
        <v>1</v>
      </c>
      <c r="E1462" s="491">
        <v>0</v>
      </c>
      <c r="F1462" s="491">
        <v>0</v>
      </c>
      <c r="G1462" s="491">
        <f t="shared" si="22"/>
        <v>1</v>
      </c>
    </row>
    <row r="1463" spans="1:7" ht="12.75">
      <c r="A1463" s="134" t="s">
        <v>722</v>
      </c>
      <c r="B1463" s="134">
        <v>110</v>
      </c>
      <c r="C1463" s="491">
        <v>0</v>
      </c>
      <c r="D1463" s="491">
        <v>2</v>
      </c>
      <c r="E1463" s="491">
        <v>0</v>
      </c>
      <c r="F1463" s="491">
        <v>0</v>
      </c>
      <c r="G1463" s="491">
        <f t="shared" si="22"/>
        <v>2</v>
      </c>
    </row>
    <row r="1464" spans="1:7" ht="12.75">
      <c r="A1464" s="134" t="s">
        <v>722</v>
      </c>
      <c r="B1464" s="134">
        <v>120</v>
      </c>
      <c r="C1464" s="491">
        <v>5</v>
      </c>
      <c r="D1464" s="491">
        <v>8</v>
      </c>
      <c r="E1464" s="491">
        <v>0</v>
      </c>
      <c r="F1464" s="491">
        <v>0</v>
      </c>
      <c r="G1464" s="491">
        <f t="shared" si="22"/>
        <v>13</v>
      </c>
    </row>
    <row r="1465" spans="1:7" ht="12.75">
      <c r="A1465" s="134" t="s">
        <v>722</v>
      </c>
      <c r="B1465" s="134">
        <v>130</v>
      </c>
      <c r="C1465" s="491">
        <v>15</v>
      </c>
      <c r="D1465" s="491">
        <v>6</v>
      </c>
      <c r="E1465" s="491">
        <v>0</v>
      </c>
      <c r="F1465" s="491">
        <v>0</v>
      </c>
      <c r="G1465" s="491">
        <f t="shared" si="22"/>
        <v>21</v>
      </c>
    </row>
    <row r="1466" spans="1:7" ht="12.75">
      <c r="A1466" s="134" t="s">
        <v>722</v>
      </c>
      <c r="B1466" s="134">
        <v>144</v>
      </c>
      <c r="C1466" s="491">
        <v>1</v>
      </c>
      <c r="D1466" s="491">
        <v>0</v>
      </c>
      <c r="E1466" s="491">
        <v>0</v>
      </c>
      <c r="F1466" s="491">
        <v>0</v>
      </c>
      <c r="G1466" s="491">
        <f t="shared" si="22"/>
        <v>1</v>
      </c>
    </row>
    <row r="1467" spans="1:7" ht="12.75">
      <c r="A1467" s="134" t="s">
        <v>722</v>
      </c>
      <c r="B1467" s="134">
        <v>310</v>
      </c>
      <c r="C1467" s="491">
        <v>101</v>
      </c>
      <c r="D1467" s="491">
        <v>88</v>
      </c>
      <c r="E1467" s="491">
        <v>0</v>
      </c>
      <c r="F1467" s="491">
        <v>0</v>
      </c>
      <c r="G1467" s="491">
        <f t="shared" si="22"/>
        <v>189</v>
      </c>
    </row>
    <row r="1468" spans="1:7" ht="12.75">
      <c r="A1468" s="134" t="s">
        <v>722</v>
      </c>
      <c r="B1468" s="134">
        <v>311</v>
      </c>
      <c r="C1468" s="491">
        <v>0</v>
      </c>
      <c r="D1468" s="491">
        <v>1</v>
      </c>
      <c r="E1468" s="491">
        <v>0</v>
      </c>
      <c r="F1468" s="491">
        <v>0</v>
      </c>
      <c r="G1468" s="491">
        <f t="shared" si="22"/>
        <v>1</v>
      </c>
    </row>
    <row r="1469" spans="1:7" ht="12.75">
      <c r="A1469" s="134" t="s">
        <v>722</v>
      </c>
      <c r="B1469" s="134">
        <v>370</v>
      </c>
      <c r="C1469" s="491">
        <v>0</v>
      </c>
      <c r="D1469" s="491">
        <v>1</v>
      </c>
      <c r="E1469" s="491">
        <v>0</v>
      </c>
      <c r="F1469" s="491">
        <v>0</v>
      </c>
      <c r="G1469" s="491">
        <f t="shared" si="22"/>
        <v>1</v>
      </c>
    </row>
    <row r="1470" spans="1:7" ht="12.75">
      <c r="A1470" s="134" t="s">
        <v>722</v>
      </c>
      <c r="B1470" s="134">
        <v>400</v>
      </c>
      <c r="C1470" s="491">
        <v>6</v>
      </c>
      <c r="D1470" s="491">
        <v>151</v>
      </c>
      <c r="E1470" s="491">
        <v>0</v>
      </c>
      <c r="F1470" s="491">
        <v>0</v>
      </c>
      <c r="G1470" s="491">
        <f t="shared" si="22"/>
        <v>157</v>
      </c>
    </row>
    <row r="1471" spans="1:7" ht="12.75">
      <c r="A1471" s="134" t="s">
        <v>722</v>
      </c>
      <c r="B1471" s="134">
        <v>401</v>
      </c>
      <c r="C1471" s="491">
        <v>83</v>
      </c>
      <c r="D1471" s="491">
        <v>261</v>
      </c>
      <c r="E1471" s="491">
        <v>0</v>
      </c>
      <c r="F1471" s="491">
        <v>1</v>
      </c>
      <c r="G1471" s="491">
        <f t="shared" si="22"/>
        <v>345</v>
      </c>
    </row>
    <row r="1472" spans="1:7" ht="12.75">
      <c r="A1472" s="134" t="s">
        <v>722</v>
      </c>
      <c r="B1472" s="134">
        <v>410</v>
      </c>
      <c r="C1472" s="491">
        <v>0</v>
      </c>
      <c r="D1472" s="491">
        <v>4</v>
      </c>
      <c r="E1472" s="491">
        <v>0</v>
      </c>
      <c r="F1472" s="491">
        <v>0</v>
      </c>
      <c r="G1472" s="491">
        <f t="shared" si="22"/>
        <v>4</v>
      </c>
    </row>
    <row r="1473" spans="1:7" ht="12.75">
      <c r="A1473" s="134" t="s">
        <v>722</v>
      </c>
      <c r="B1473" s="134">
        <v>560</v>
      </c>
      <c r="C1473" s="491">
        <v>0</v>
      </c>
      <c r="D1473" s="491">
        <v>1</v>
      </c>
      <c r="E1473" s="491">
        <v>0</v>
      </c>
      <c r="F1473" s="491">
        <v>0</v>
      </c>
      <c r="G1473" s="491">
        <f t="shared" si="22"/>
        <v>1</v>
      </c>
    </row>
    <row r="1474" spans="1:7" ht="12.75">
      <c r="A1474" s="134" t="s">
        <v>722</v>
      </c>
      <c r="B1474" s="134">
        <v>650</v>
      </c>
      <c r="C1474" s="491">
        <v>0</v>
      </c>
      <c r="D1474" s="491">
        <v>2</v>
      </c>
      <c r="E1474" s="491">
        <v>0</v>
      </c>
      <c r="F1474" s="491">
        <v>0</v>
      </c>
      <c r="G1474" s="491">
        <f t="shared" si="22"/>
        <v>2</v>
      </c>
    </row>
    <row r="1475" spans="1:7" ht="12.75">
      <c r="A1475" s="134" t="s">
        <v>722</v>
      </c>
      <c r="B1475" s="134">
        <v>662</v>
      </c>
      <c r="C1475" s="491">
        <v>25</v>
      </c>
      <c r="D1475" s="491">
        <v>32</v>
      </c>
      <c r="E1475" s="491">
        <v>0</v>
      </c>
      <c r="F1475" s="491">
        <v>0</v>
      </c>
      <c r="G1475" s="491">
        <f t="shared" si="22"/>
        <v>57</v>
      </c>
    </row>
    <row r="1476" spans="1:7" ht="12.75">
      <c r="A1476" s="134" t="s">
        <v>722</v>
      </c>
      <c r="B1476" s="134">
        <v>800</v>
      </c>
      <c r="C1476" s="491">
        <v>0</v>
      </c>
      <c r="D1476" s="491">
        <v>0</v>
      </c>
      <c r="E1476" s="491">
        <v>1</v>
      </c>
      <c r="F1476" s="491">
        <v>0</v>
      </c>
      <c r="G1476" s="491">
        <f t="shared" ref="G1476:G1539" si="23">SUM(C1476:F1476)</f>
        <v>1</v>
      </c>
    </row>
    <row r="1477" spans="1:7" ht="12.75">
      <c r="A1477" s="134" t="s">
        <v>722</v>
      </c>
      <c r="B1477" s="134">
        <v>840</v>
      </c>
      <c r="C1477" s="491">
        <v>2</v>
      </c>
      <c r="D1477" s="491">
        <v>5</v>
      </c>
      <c r="E1477" s="491">
        <v>0</v>
      </c>
      <c r="F1477" s="491">
        <v>0</v>
      </c>
      <c r="G1477" s="491">
        <f t="shared" si="23"/>
        <v>7</v>
      </c>
    </row>
    <row r="1478" spans="1:7" ht="12.75">
      <c r="A1478" s="134" t="s">
        <v>723</v>
      </c>
      <c r="B1478" s="134">
        <v>120</v>
      </c>
      <c r="C1478" s="491">
        <v>21</v>
      </c>
      <c r="D1478" s="491">
        <v>37</v>
      </c>
      <c r="E1478" s="491">
        <v>0</v>
      </c>
      <c r="F1478" s="491">
        <v>0</v>
      </c>
      <c r="G1478" s="491">
        <f t="shared" si="23"/>
        <v>58</v>
      </c>
    </row>
    <row r="1479" spans="1:7" ht="12.75">
      <c r="A1479" s="134" t="s">
        <v>723</v>
      </c>
      <c r="B1479" s="134">
        <v>130</v>
      </c>
      <c r="C1479" s="491">
        <v>1</v>
      </c>
      <c r="D1479" s="491">
        <v>0</v>
      </c>
      <c r="E1479" s="491">
        <v>0</v>
      </c>
      <c r="F1479" s="491">
        <v>0</v>
      </c>
      <c r="G1479" s="491">
        <f t="shared" si="23"/>
        <v>1</v>
      </c>
    </row>
    <row r="1480" spans="1:7" ht="12.75">
      <c r="A1480" s="134" t="s">
        <v>723</v>
      </c>
      <c r="B1480" s="134">
        <v>140</v>
      </c>
      <c r="C1480" s="491">
        <v>0</v>
      </c>
      <c r="D1480" s="491">
        <v>1</v>
      </c>
      <c r="E1480" s="491">
        <v>0</v>
      </c>
      <c r="F1480" s="491">
        <v>0</v>
      </c>
      <c r="G1480" s="491">
        <f t="shared" si="23"/>
        <v>1</v>
      </c>
    </row>
    <row r="1481" spans="1:7" ht="12.75">
      <c r="A1481" s="134" t="s">
        <v>723</v>
      </c>
      <c r="B1481" s="134">
        <v>215</v>
      </c>
      <c r="C1481" s="491">
        <v>0</v>
      </c>
      <c r="D1481" s="491">
        <v>1</v>
      </c>
      <c r="E1481" s="491">
        <v>0</v>
      </c>
      <c r="F1481" s="491">
        <v>0</v>
      </c>
      <c r="G1481" s="491">
        <f t="shared" si="23"/>
        <v>1</v>
      </c>
    </row>
    <row r="1482" spans="1:7" ht="12.75">
      <c r="A1482" s="134" t="s">
        <v>723</v>
      </c>
      <c r="B1482" s="134">
        <v>310</v>
      </c>
      <c r="C1482" s="491">
        <v>44</v>
      </c>
      <c r="D1482" s="491">
        <v>111</v>
      </c>
      <c r="E1482" s="491">
        <v>0</v>
      </c>
      <c r="F1482" s="491">
        <v>0</v>
      </c>
      <c r="G1482" s="491">
        <f t="shared" si="23"/>
        <v>155</v>
      </c>
    </row>
    <row r="1483" spans="1:7" ht="12.75">
      <c r="A1483" s="134" t="s">
        <v>723</v>
      </c>
      <c r="B1483" s="134">
        <v>400</v>
      </c>
      <c r="C1483" s="491">
        <v>0</v>
      </c>
      <c r="D1483" s="491">
        <v>6</v>
      </c>
      <c r="E1483" s="491">
        <v>0</v>
      </c>
      <c r="F1483" s="491">
        <v>0</v>
      </c>
      <c r="G1483" s="491">
        <f t="shared" si="23"/>
        <v>6</v>
      </c>
    </row>
    <row r="1484" spans="1:7" ht="12.75">
      <c r="A1484" s="134" t="s">
        <v>723</v>
      </c>
      <c r="B1484" s="134">
        <v>401</v>
      </c>
      <c r="C1484" s="491">
        <v>2</v>
      </c>
      <c r="D1484" s="491">
        <v>87</v>
      </c>
      <c r="E1484" s="491">
        <v>0</v>
      </c>
      <c r="F1484" s="491">
        <v>0</v>
      </c>
      <c r="G1484" s="491">
        <f t="shared" si="23"/>
        <v>89</v>
      </c>
    </row>
    <row r="1485" spans="1:7" ht="12.75">
      <c r="A1485" s="134" t="s">
        <v>723</v>
      </c>
      <c r="B1485" s="134">
        <v>420</v>
      </c>
      <c r="C1485" s="491">
        <v>5</v>
      </c>
      <c r="D1485" s="491">
        <v>5</v>
      </c>
      <c r="E1485" s="491">
        <v>0</v>
      </c>
      <c r="F1485" s="491">
        <v>0</v>
      </c>
      <c r="G1485" s="491">
        <f t="shared" si="23"/>
        <v>10</v>
      </c>
    </row>
    <row r="1486" spans="1:7" ht="12.75">
      <c r="A1486" s="134" t="s">
        <v>723</v>
      </c>
      <c r="B1486" s="134">
        <v>421</v>
      </c>
      <c r="C1486" s="491">
        <v>0</v>
      </c>
      <c r="D1486" s="491">
        <v>0</v>
      </c>
      <c r="E1486" s="491">
        <v>1</v>
      </c>
      <c r="F1486" s="491">
        <v>0</v>
      </c>
      <c r="G1486" s="491">
        <f t="shared" si="23"/>
        <v>1</v>
      </c>
    </row>
    <row r="1487" spans="1:7" ht="12.75">
      <c r="A1487" s="134" t="s">
        <v>723</v>
      </c>
      <c r="B1487" s="134">
        <v>662</v>
      </c>
      <c r="C1487" s="491">
        <v>2</v>
      </c>
      <c r="D1487" s="491">
        <v>2</v>
      </c>
      <c r="E1487" s="491">
        <v>0</v>
      </c>
      <c r="F1487" s="491">
        <v>0</v>
      </c>
      <c r="G1487" s="491">
        <f t="shared" si="23"/>
        <v>4</v>
      </c>
    </row>
    <row r="1488" spans="1:7" ht="12.75">
      <c r="A1488" s="134" t="s">
        <v>723</v>
      </c>
      <c r="B1488" s="134">
        <v>840</v>
      </c>
      <c r="C1488" s="491">
        <v>45</v>
      </c>
      <c r="D1488" s="491">
        <v>415</v>
      </c>
      <c r="E1488" s="491">
        <v>0</v>
      </c>
      <c r="F1488" s="491">
        <v>0</v>
      </c>
      <c r="G1488" s="491">
        <f t="shared" si="23"/>
        <v>460</v>
      </c>
    </row>
    <row r="1489" spans="1:7" ht="12.75">
      <c r="A1489" s="134" t="s">
        <v>724</v>
      </c>
      <c r="B1489" s="134">
        <v>120</v>
      </c>
      <c r="C1489" s="491">
        <v>630</v>
      </c>
      <c r="D1489" s="491">
        <v>35</v>
      </c>
      <c r="E1489" s="491">
        <v>0</v>
      </c>
      <c r="F1489" s="491">
        <v>0</v>
      </c>
      <c r="G1489" s="491">
        <f t="shared" si="23"/>
        <v>665</v>
      </c>
    </row>
    <row r="1490" spans="1:7" ht="12.75">
      <c r="A1490" s="134" t="s">
        <v>724</v>
      </c>
      <c r="B1490" s="134">
        <v>215</v>
      </c>
      <c r="C1490" s="491">
        <v>0</v>
      </c>
      <c r="D1490" s="491">
        <v>2</v>
      </c>
      <c r="E1490" s="491">
        <v>0</v>
      </c>
      <c r="F1490" s="491">
        <v>0</v>
      </c>
      <c r="G1490" s="491">
        <f t="shared" si="23"/>
        <v>2</v>
      </c>
    </row>
    <row r="1491" spans="1:7" ht="12.75">
      <c r="A1491" s="134" t="s">
        <v>724</v>
      </c>
      <c r="B1491" s="134">
        <v>306</v>
      </c>
      <c r="C1491" s="491">
        <v>0</v>
      </c>
      <c r="D1491" s="491">
        <v>1</v>
      </c>
      <c r="E1491" s="491">
        <v>0</v>
      </c>
      <c r="F1491" s="491">
        <v>0</v>
      </c>
      <c r="G1491" s="491">
        <f t="shared" si="23"/>
        <v>1</v>
      </c>
    </row>
    <row r="1492" spans="1:7" ht="12.75">
      <c r="A1492" s="134" t="s">
        <v>724</v>
      </c>
      <c r="B1492" s="134">
        <v>310</v>
      </c>
      <c r="C1492" s="491">
        <v>37</v>
      </c>
      <c r="D1492" s="491">
        <v>18</v>
      </c>
      <c r="E1492" s="491">
        <v>0</v>
      </c>
      <c r="F1492" s="491">
        <v>0</v>
      </c>
      <c r="G1492" s="491">
        <f t="shared" si="23"/>
        <v>55</v>
      </c>
    </row>
    <row r="1493" spans="1:7" ht="12.75">
      <c r="A1493" s="134" t="s">
        <v>725</v>
      </c>
      <c r="B1493" s="134">
        <v>120</v>
      </c>
      <c r="C1493" s="491">
        <v>117</v>
      </c>
      <c r="D1493" s="491">
        <v>21</v>
      </c>
      <c r="E1493" s="491">
        <v>43</v>
      </c>
      <c r="F1493" s="491">
        <v>3</v>
      </c>
      <c r="G1493" s="491">
        <f t="shared" si="23"/>
        <v>184</v>
      </c>
    </row>
    <row r="1494" spans="1:7" ht="12.75">
      <c r="A1494" s="134" t="s">
        <v>725</v>
      </c>
      <c r="B1494" s="134">
        <v>130</v>
      </c>
      <c r="C1494" s="491">
        <v>1</v>
      </c>
      <c r="D1494" s="491">
        <v>0</v>
      </c>
      <c r="E1494" s="491">
        <v>0</v>
      </c>
      <c r="F1494" s="491">
        <v>0</v>
      </c>
      <c r="G1494" s="491">
        <f t="shared" si="23"/>
        <v>1</v>
      </c>
    </row>
    <row r="1495" spans="1:7" ht="12.75">
      <c r="A1495" s="134" t="s">
        <v>725</v>
      </c>
      <c r="B1495" s="134">
        <v>141</v>
      </c>
      <c r="C1495" s="491">
        <v>1</v>
      </c>
      <c r="D1495" s="491">
        <v>0</v>
      </c>
      <c r="E1495" s="491">
        <v>0</v>
      </c>
      <c r="F1495" s="491">
        <v>0</v>
      </c>
      <c r="G1495" s="491">
        <f t="shared" si="23"/>
        <v>1</v>
      </c>
    </row>
    <row r="1496" spans="1:7" ht="12.75">
      <c r="A1496" s="134" t="s">
        <v>725</v>
      </c>
      <c r="B1496" s="134">
        <v>254</v>
      </c>
      <c r="C1496" s="491">
        <v>50</v>
      </c>
      <c r="D1496" s="491">
        <v>9</v>
      </c>
      <c r="E1496" s="491">
        <v>0</v>
      </c>
      <c r="F1496" s="491">
        <v>0</v>
      </c>
      <c r="G1496" s="491">
        <f t="shared" si="23"/>
        <v>59</v>
      </c>
    </row>
    <row r="1497" spans="1:7" ht="12.75">
      <c r="A1497" s="134" t="s">
        <v>725</v>
      </c>
      <c r="B1497" s="134">
        <v>310</v>
      </c>
      <c r="C1497" s="491">
        <v>1710</v>
      </c>
      <c r="D1497" s="491">
        <v>186</v>
      </c>
      <c r="E1497" s="491">
        <v>0</v>
      </c>
      <c r="F1497" s="491">
        <v>0</v>
      </c>
      <c r="G1497" s="491">
        <f t="shared" si="23"/>
        <v>1896</v>
      </c>
    </row>
    <row r="1498" spans="1:7" ht="12.75">
      <c r="A1498" s="134" t="s">
        <v>725</v>
      </c>
      <c r="B1498" s="134">
        <v>330</v>
      </c>
      <c r="C1498" s="491">
        <v>1</v>
      </c>
      <c r="D1498" s="491">
        <v>0</v>
      </c>
      <c r="E1498" s="491">
        <v>0</v>
      </c>
      <c r="F1498" s="491">
        <v>0</v>
      </c>
      <c r="G1498" s="491">
        <f t="shared" si="23"/>
        <v>1</v>
      </c>
    </row>
    <row r="1499" spans="1:7" ht="12.75">
      <c r="A1499" s="134" t="s">
        <v>725</v>
      </c>
      <c r="B1499" s="134">
        <v>840</v>
      </c>
      <c r="C1499" s="491">
        <v>98</v>
      </c>
      <c r="D1499" s="491">
        <v>18</v>
      </c>
      <c r="E1499" s="491">
        <v>0</v>
      </c>
      <c r="F1499" s="491">
        <v>0</v>
      </c>
      <c r="G1499" s="491">
        <f t="shared" si="23"/>
        <v>116</v>
      </c>
    </row>
    <row r="1500" spans="1:7" ht="12.75">
      <c r="A1500" s="134" t="s">
        <v>726</v>
      </c>
      <c r="B1500" s="134">
        <v>120</v>
      </c>
      <c r="C1500" s="491">
        <v>8</v>
      </c>
      <c r="D1500" s="491">
        <v>10</v>
      </c>
      <c r="E1500" s="491">
        <v>0</v>
      </c>
      <c r="F1500" s="491">
        <v>0</v>
      </c>
      <c r="G1500" s="491">
        <f t="shared" si="23"/>
        <v>18</v>
      </c>
    </row>
    <row r="1501" spans="1:7" ht="12.75">
      <c r="A1501" s="134" t="s">
        <v>726</v>
      </c>
      <c r="B1501" s="134">
        <v>215</v>
      </c>
      <c r="C1501" s="491">
        <v>0</v>
      </c>
      <c r="D1501" s="491">
        <v>1</v>
      </c>
      <c r="E1501" s="491">
        <v>0</v>
      </c>
      <c r="F1501" s="491">
        <v>0</v>
      </c>
      <c r="G1501" s="491">
        <f t="shared" si="23"/>
        <v>1</v>
      </c>
    </row>
    <row r="1502" spans="1:7" ht="12.75">
      <c r="A1502" s="134" t="s">
        <v>727</v>
      </c>
      <c r="B1502" s="134">
        <v>100</v>
      </c>
      <c r="C1502" s="491">
        <v>2</v>
      </c>
      <c r="D1502" s="491">
        <v>1</v>
      </c>
      <c r="E1502" s="491">
        <v>0</v>
      </c>
      <c r="F1502" s="491">
        <v>0</v>
      </c>
      <c r="G1502" s="491">
        <f t="shared" si="23"/>
        <v>3</v>
      </c>
    </row>
    <row r="1503" spans="1:7" ht="12.75">
      <c r="A1503" s="134" t="s">
        <v>727</v>
      </c>
      <c r="B1503" s="134">
        <v>101</v>
      </c>
      <c r="C1503" s="491">
        <v>3</v>
      </c>
      <c r="D1503" s="491">
        <v>5</v>
      </c>
      <c r="E1503" s="491">
        <v>0</v>
      </c>
      <c r="F1503" s="491">
        <v>0</v>
      </c>
      <c r="G1503" s="491">
        <f t="shared" si="23"/>
        <v>8</v>
      </c>
    </row>
    <row r="1504" spans="1:7" ht="12.75">
      <c r="A1504" s="134" t="s">
        <v>727</v>
      </c>
      <c r="B1504" s="134">
        <v>106</v>
      </c>
      <c r="C1504" s="491">
        <v>0</v>
      </c>
      <c r="D1504" s="491">
        <v>2</v>
      </c>
      <c r="E1504" s="491">
        <v>0</v>
      </c>
      <c r="F1504" s="491">
        <v>0</v>
      </c>
      <c r="G1504" s="491">
        <f t="shared" si="23"/>
        <v>2</v>
      </c>
    </row>
    <row r="1505" spans="1:7" ht="12.75">
      <c r="A1505" s="134" t="s">
        <v>727</v>
      </c>
      <c r="B1505" s="134">
        <v>110</v>
      </c>
      <c r="C1505" s="491">
        <v>0</v>
      </c>
      <c r="D1505" s="491">
        <v>1</v>
      </c>
      <c r="E1505" s="491">
        <v>0</v>
      </c>
      <c r="F1505" s="491">
        <v>0</v>
      </c>
      <c r="G1505" s="491">
        <f t="shared" si="23"/>
        <v>1</v>
      </c>
    </row>
    <row r="1506" spans="1:7" ht="12.75">
      <c r="A1506" s="134" t="s">
        <v>727</v>
      </c>
      <c r="B1506" s="134">
        <v>120</v>
      </c>
      <c r="C1506" s="491">
        <v>1723</v>
      </c>
      <c r="D1506" s="491">
        <v>4083</v>
      </c>
      <c r="E1506" s="491">
        <v>47</v>
      </c>
      <c r="F1506" s="491">
        <v>255</v>
      </c>
      <c r="G1506" s="491">
        <f t="shared" si="23"/>
        <v>6108</v>
      </c>
    </row>
    <row r="1507" spans="1:7" ht="12.75">
      <c r="A1507" s="134" t="s">
        <v>727</v>
      </c>
      <c r="B1507" s="134">
        <v>130</v>
      </c>
      <c r="C1507" s="491">
        <v>1</v>
      </c>
      <c r="D1507" s="491">
        <v>0</v>
      </c>
      <c r="E1507" s="491">
        <v>0</v>
      </c>
      <c r="F1507" s="491">
        <v>0</v>
      </c>
      <c r="G1507" s="491">
        <f t="shared" si="23"/>
        <v>1</v>
      </c>
    </row>
    <row r="1508" spans="1:7" ht="12.75">
      <c r="A1508" s="134" t="s">
        <v>727</v>
      </c>
      <c r="B1508" s="134">
        <v>140</v>
      </c>
      <c r="C1508" s="491">
        <v>1</v>
      </c>
      <c r="D1508" s="491">
        <v>1</v>
      </c>
      <c r="E1508" s="491">
        <v>0</v>
      </c>
      <c r="F1508" s="491">
        <v>0</v>
      </c>
      <c r="G1508" s="491">
        <f t="shared" si="23"/>
        <v>2</v>
      </c>
    </row>
    <row r="1509" spans="1:7" ht="12.75">
      <c r="A1509" s="134" t="s">
        <v>727</v>
      </c>
      <c r="B1509" s="134">
        <v>143</v>
      </c>
      <c r="C1509" s="491">
        <v>0</v>
      </c>
      <c r="D1509" s="491">
        <v>1</v>
      </c>
      <c r="E1509" s="491">
        <v>0</v>
      </c>
      <c r="F1509" s="491">
        <v>0</v>
      </c>
      <c r="G1509" s="491">
        <f t="shared" si="23"/>
        <v>1</v>
      </c>
    </row>
    <row r="1510" spans="1:7" ht="12.75">
      <c r="A1510" s="134" t="s">
        <v>727</v>
      </c>
      <c r="B1510" s="134">
        <v>144</v>
      </c>
      <c r="C1510" s="491">
        <v>0</v>
      </c>
      <c r="D1510" s="491">
        <v>1</v>
      </c>
      <c r="E1510" s="491">
        <v>0</v>
      </c>
      <c r="F1510" s="491">
        <v>0</v>
      </c>
      <c r="G1510" s="491">
        <f t="shared" si="23"/>
        <v>1</v>
      </c>
    </row>
    <row r="1511" spans="1:7" ht="12.75">
      <c r="A1511" s="134" t="s">
        <v>727</v>
      </c>
      <c r="B1511" s="134">
        <v>150</v>
      </c>
      <c r="C1511" s="491">
        <v>0</v>
      </c>
      <c r="D1511" s="491">
        <v>4</v>
      </c>
      <c r="E1511" s="491">
        <v>0</v>
      </c>
      <c r="F1511" s="491">
        <v>0</v>
      </c>
      <c r="G1511" s="491">
        <f t="shared" si="23"/>
        <v>4</v>
      </c>
    </row>
    <row r="1512" spans="1:7" ht="12.75">
      <c r="A1512" s="134" t="s">
        <v>727</v>
      </c>
      <c r="B1512" s="134">
        <v>190</v>
      </c>
      <c r="C1512" s="491">
        <v>0</v>
      </c>
      <c r="D1512" s="491">
        <v>1</v>
      </c>
      <c r="E1512" s="491">
        <v>0</v>
      </c>
      <c r="F1512" s="491">
        <v>0</v>
      </c>
      <c r="G1512" s="491">
        <f t="shared" si="23"/>
        <v>1</v>
      </c>
    </row>
    <row r="1513" spans="1:7" ht="12.75">
      <c r="A1513" s="134" t="s">
        <v>727</v>
      </c>
      <c r="B1513" s="134">
        <v>215</v>
      </c>
      <c r="C1513" s="491">
        <v>34</v>
      </c>
      <c r="D1513" s="491">
        <v>41</v>
      </c>
      <c r="E1513" s="491">
        <v>0</v>
      </c>
      <c r="F1513" s="491">
        <v>0</v>
      </c>
      <c r="G1513" s="491">
        <f t="shared" si="23"/>
        <v>75</v>
      </c>
    </row>
    <row r="1514" spans="1:7" ht="12.75">
      <c r="A1514" s="134" t="s">
        <v>727</v>
      </c>
      <c r="B1514" s="134">
        <v>254</v>
      </c>
      <c r="C1514" s="491">
        <v>1</v>
      </c>
      <c r="D1514" s="491">
        <v>1</v>
      </c>
      <c r="E1514" s="491">
        <v>0</v>
      </c>
      <c r="F1514" s="491">
        <v>1</v>
      </c>
      <c r="G1514" s="491">
        <f t="shared" si="23"/>
        <v>3</v>
      </c>
    </row>
    <row r="1515" spans="1:7" ht="12.75">
      <c r="A1515" s="134" t="s">
        <v>727</v>
      </c>
      <c r="B1515" s="134">
        <v>300</v>
      </c>
      <c r="C1515" s="491">
        <v>0</v>
      </c>
      <c r="D1515" s="491">
        <v>1</v>
      </c>
      <c r="E1515" s="491">
        <v>0</v>
      </c>
      <c r="F1515" s="491">
        <v>0</v>
      </c>
      <c r="G1515" s="491">
        <f t="shared" si="23"/>
        <v>1</v>
      </c>
    </row>
    <row r="1516" spans="1:7" ht="12.75">
      <c r="A1516" s="134" t="s">
        <v>727</v>
      </c>
      <c r="B1516" s="134">
        <v>303</v>
      </c>
      <c r="C1516" s="491">
        <v>0</v>
      </c>
      <c r="D1516" s="491">
        <v>1</v>
      </c>
      <c r="E1516" s="491">
        <v>0</v>
      </c>
      <c r="F1516" s="491">
        <v>0</v>
      </c>
      <c r="G1516" s="491">
        <f t="shared" si="23"/>
        <v>1</v>
      </c>
    </row>
    <row r="1517" spans="1:7" ht="12.75">
      <c r="A1517" s="134" t="s">
        <v>727</v>
      </c>
      <c r="B1517" s="134">
        <v>307</v>
      </c>
      <c r="C1517" s="491">
        <v>0</v>
      </c>
      <c r="D1517" s="491">
        <v>2</v>
      </c>
      <c r="E1517" s="491">
        <v>0</v>
      </c>
      <c r="F1517" s="491">
        <v>0</v>
      </c>
      <c r="G1517" s="491">
        <f t="shared" si="23"/>
        <v>2</v>
      </c>
    </row>
    <row r="1518" spans="1:7" ht="12.75">
      <c r="A1518" s="134" t="s">
        <v>727</v>
      </c>
      <c r="B1518" s="134">
        <v>310</v>
      </c>
      <c r="C1518" s="491">
        <v>258</v>
      </c>
      <c r="D1518" s="491">
        <v>573</v>
      </c>
      <c r="E1518" s="491">
        <v>6</v>
      </c>
      <c r="F1518" s="491">
        <v>7</v>
      </c>
      <c r="G1518" s="491">
        <f t="shared" si="23"/>
        <v>844</v>
      </c>
    </row>
    <row r="1519" spans="1:7" ht="12.75">
      <c r="A1519" s="134" t="s">
        <v>727</v>
      </c>
      <c r="B1519" s="134">
        <v>320</v>
      </c>
      <c r="C1519" s="491">
        <v>0</v>
      </c>
      <c r="D1519" s="491">
        <v>1</v>
      </c>
      <c r="E1519" s="491">
        <v>0</v>
      </c>
      <c r="F1519" s="491">
        <v>0</v>
      </c>
      <c r="G1519" s="491">
        <f t="shared" si="23"/>
        <v>1</v>
      </c>
    </row>
    <row r="1520" spans="1:7" ht="12.75">
      <c r="A1520" s="134" t="s">
        <v>727</v>
      </c>
      <c r="B1520" s="134">
        <v>330</v>
      </c>
      <c r="C1520" s="491">
        <v>0</v>
      </c>
      <c r="D1520" s="491">
        <v>4</v>
      </c>
      <c r="E1520" s="491">
        <v>0</v>
      </c>
      <c r="F1520" s="491">
        <v>0</v>
      </c>
      <c r="G1520" s="491">
        <f t="shared" si="23"/>
        <v>4</v>
      </c>
    </row>
    <row r="1521" spans="1:7" ht="12.75">
      <c r="A1521" s="134" t="s">
        <v>727</v>
      </c>
      <c r="B1521" s="134">
        <v>340</v>
      </c>
      <c r="C1521" s="491">
        <v>0</v>
      </c>
      <c r="D1521" s="491">
        <v>2</v>
      </c>
      <c r="E1521" s="491">
        <v>0</v>
      </c>
      <c r="F1521" s="491">
        <v>0</v>
      </c>
      <c r="G1521" s="491">
        <f t="shared" si="23"/>
        <v>2</v>
      </c>
    </row>
    <row r="1522" spans="1:7" ht="12.75">
      <c r="A1522" s="134" t="s">
        <v>727</v>
      </c>
      <c r="B1522" s="134">
        <v>361</v>
      </c>
      <c r="C1522" s="491">
        <v>0</v>
      </c>
      <c r="D1522" s="491">
        <v>1</v>
      </c>
      <c r="E1522" s="491">
        <v>0</v>
      </c>
      <c r="F1522" s="491">
        <v>0</v>
      </c>
      <c r="G1522" s="491">
        <f t="shared" si="23"/>
        <v>1</v>
      </c>
    </row>
    <row r="1523" spans="1:7" ht="12.75">
      <c r="A1523" s="134" t="s">
        <v>727</v>
      </c>
      <c r="B1523" s="134">
        <v>370</v>
      </c>
      <c r="C1523" s="491">
        <v>1</v>
      </c>
      <c r="D1523" s="491">
        <v>1</v>
      </c>
      <c r="E1523" s="491">
        <v>0</v>
      </c>
      <c r="F1523" s="491">
        <v>0</v>
      </c>
      <c r="G1523" s="491">
        <f t="shared" si="23"/>
        <v>2</v>
      </c>
    </row>
    <row r="1524" spans="1:7" ht="12.75">
      <c r="A1524" s="134" t="s">
        <v>727</v>
      </c>
      <c r="B1524" s="134">
        <v>400</v>
      </c>
      <c r="C1524" s="491">
        <v>0</v>
      </c>
      <c r="D1524" s="491">
        <v>2</v>
      </c>
      <c r="E1524" s="491">
        <v>0</v>
      </c>
      <c r="F1524" s="491">
        <v>0</v>
      </c>
      <c r="G1524" s="491">
        <f t="shared" si="23"/>
        <v>2</v>
      </c>
    </row>
    <row r="1525" spans="1:7" ht="12.75">
      <c r="A1525" s="134" t="s">
        <v>727</v>
      </c>
      <c r="B1525" s="134">
        <v>410</v>
      </c>
      <c r="C1525" s="491">
        <v>0</v>
      </c>
      <c r="D1525" s="491">
        <v>3</v>
      </c>
      <c r="E1525" s="491">
        <v>0</v>
      </c>
      <c r="F1525" s="491">
        <v>0</v>
      </c>
      <c r="G1525" s="491">
        <f t="shared" si="23"/>
        <v>3</v>
      </c>
    </row>
    <row r="1526" spans="1:7" ht="12.75">
      <c r="A1526" s="134" t="s">
        <v>727</v>
      </c>
      <c r="B1526" s="134">
        <v>420</v>
      </c>
      <c r="C1526" s="491">
        <v>0</v>
      </c>
      <c r="D1526" s="491">
        <v>3</v>
      </c>
      <c r="E1526" s="491">
        <v>0</v>
      </c>
      <c r="F1526" s="491">
        <v>0</v>
      </c>
      <c r="G1526" s="491">
        <f t="shared" si="23"/>
        <v>3</v>
      </c>
    </row>
    <row r="1527" spans="1:7" ht="12.75">
      <c r="A1527" s="134" t="s">
        <v>727</v>
      </c>
      <c r="B1527" s="134">
        <v>430</v>
      </c>
      <c r="C1527" s="491">
        <v>0</v>
      </c>
      <c r="D1527" s="491">
        <v>1</v>
      </c>
      <c r="E1527" s="491">
        <v>0</v>
      </c>
      <c r="F1527" s="491">
        <v>0</v>
      </c>
      <c r="G1527" s="491">
        <f t="shared" si="23"/>
        <v>1</v>
      </c>
    </row>
    <row r="1528" spans="1:7" ht="12.75">
      <c r="A1528" s="134" t="s">
        <v>727</v>
      </c>
      <c r="B1528" s="134">
        <v>501</v>
      </c>
      <c r="C1528" s="491">
        <v>1</v>
      </c>
      <c r="D1528" s="491">
        <v>3</v>
      </c>
      <c r="E1528" s="491">
        <v>0</v>
      </c>
      <c r="F1528" s="491">
        <v>0</v>
      </c>
      <c r="G1528" s="491">
        <f t="shared" si="23"/>
        <v>4</v>
      </c>
    </row>
    <row r="1529" spans="1:7" ht="12.75">
      <c r="A1529" s="134" t="s">
        <v>727</v>
      </c>
      <c r="B1529" s="134">
        <v>502</v>
      </c>
      <c r="C1529" s="491">
        <v>1</v>
      </c>
      <c r="D1529" s="491">
        <v>3</v>
      </c>
      <c r="E1529" s="491">
        <v>0</v>
      </c>
      <c r="F1529" s="491">
        <v>0</v>
      </c>
      <c r="G1529" s="491">
        <f t="shared" si="23"/>
        <v>4</v>
      </c>
    </row>
    <row r="1530" spans="1:7" ht="12.75">
      <c r="A1530" s="134" t="s">
        <v>727</v>
      </c>
      <c r="B1530" s="134">
        <v>650</v>
      </c>
      <c r="C1530" s="491">
        <v>0</v>
      </c>
      <c r="D1530" s="491">
        <v>2</v>
      </c>
      <c r="E1530" s="491">
        <v>0</v>
      </c>
      <c r="F1530" s="491">
        <v>0</v>
      </c>
      <c r="G1530" s="491">
        <f t="shared" si="23"/>
        <v>2</v>
      </c>
    </row>
    <row r="1531" spans="1:7" ht="12.75">
      <c r="A1531" s="134" t="s">
        <v>727</v>
      </c>
      <c r="B1531" s="134">
        <v>653</v>
      </c>
      <c r="C1531" s="491">
        <v>0</v>
      </c>
      <c r="D1531" s="491">
        <v>1</v>
      </c>
      <c r="E1531" s="491">
        <v>0</v>
      </c>
      <c r="F1531" s="491">
        <v>0</v>
      </c>
      <c r="G1531" s="491">
        <f t="shared" si="23"/>
        <v>1</v>
      </c>
    </row>
    <row r="1532" spans="1:7" ht="12.75">
      <c r="A1532" s="134" t="s">
        <v>727</v>
      </c>
      <c r="B1532" s="134">
        <v>840</v>
      </c>
      <c r="C1532" s="491">
        <v>983</v>
      </c>
      <c r="D1532" s="491">
        <v>359</v>
      </c>
      <c r="E1532" s="491">
        <v>0</v>
      </c>
      <c r="F1532" s="491">
        <v>0</v>
      </c>
      <c r="G1532" s="491">
        <f t="shared" si="23"/>
        <v>1342</v>
      </c>
    </row>
    <row r="1533" spans="1:7" ht="12.75">
      <c r="A1533" s="134" t="s">
        <v>728</v>
      </c>
      <c r="B1533" s="134">
        <v>120</v>
      </c>
      <c r="C1533" s="491">
        <v>2</v>
      </c>
      <c r="D1533" s="491">
        <v>0</v>
      </c>
      <c r="E1533" s="491">
        <v>0</v>
      </c>
      <c r="F1533" s="491">
        <v>0</v>
      </c>
      <c r="G1533" s="491">
        <f t="shared" si="23"/>
        <v>2</v>
      </c>
    </row>
    <row r="1534" spans="1:7" ht="12.75">
      <c r="A1534" s="134" t="s">
        <v>728</v>
      </c>
      <c r="B1534" s="134">
        <v>502</v>
      </c>
      <c r="C1534" s="491">
        <v>2</v>
      </c>
      <c r="D1534" s="491">
        <v>0</v>
      </c>
      <c r="E1534" s="491">
        <v>0</v>
      </c>
      <c r="F1534" s="491">
        <v>0</v>
      </c>
      <c r="G1534" s="491">
        <f t="shared" si="23"/>
        <v>2</v>
      </c>
    </row>
    <row r="1535" spans="1:7" ht="12.75">
      <c r="A1535" s="134" t="s">
        <v>729</v>
      </c>
      <c r="B1535" s="134">
        <v>101</v>
      </c>
      <c r="C1535" s="491">
        <v>0</v>
      </c>
      <c r="D1535" s="491">
        <v>1</v>
      </c>
      <c r="E1535" s="491">
        <v>0</v>
      </c>
      <c r="F1535" s="491">
        <v>0</v>
      </c>
      <c r="G1535" s="491">
        <f t="shared" si="23"/>
        <v>1</v>
      </c>
    </row>
    <row r="1536" spans="1:7" ht="12.75">
      <c r="A1536" s="134" t="s">
        <v>729</v>
      </c>
      <c r="B1536" s="134">
        <v>120</v>
      </c>
      <c r="C1536" s="491">
        <v>89</v>
      </c>
      <c r="D1536" s="491">
        <v>126</v>
      </c>
      <c r="E1536" s="491">
        <v>3</v>
      </c>
      <c r="F1536" s="491">
        <v>21</v>
      </c>
      <c r="G1536" s="491">
        <f t="shared" si="23"/>
        <v>239</v>
      </c>
    </row>
    <row r="1537" spans="1:7" ht="12.75">
      <c r="A1537" s="134" t="s">
        <v>729</v>
      </c>
      <c r="B1537" s="134">
        <v>160</v>
      </c>
      <c r="C1537" s="491">
        <v>8</v>
      </c>
      <c r="D1537" s="491">
        <v>0</v>
      </c>
      <c r="E1537" s="491">
        <v>0</v>
      </c>
      <c r="F1537" s="491">
        <v>0</v>
      </c>
      <c r="G1537" s="491">
        <f t="shared" si="23"/>
        <v>8</v>
      </c>
    </row>
    <row r="1538" spans="1:7" ht="12.75">
      <c r="A1538" s="134" t="s">
        <v>729</v>
      </c>
      <c r="B1538" s="134">
        <v>310</v>
      </c>
      <c r="C1538" s="491">
        <v>15</v>
      </c>
      <c r="D1538" s="491">
        <v>37</v>
      </c>
      <c r="E1538" s="491">
        <v>3</v>
      </c>
      <c r="F1538" s="491">
        <v>4</v>
      </c>
      <c r="G1538" s="491">
        <f t="shared" si="23"/>
        <v>59</v>
      </c>
    </row>
    <row r="1539" spans="1:7" ht="12.75">
      <c r="A1539" s="134" t="s">
        <v>729</v>
      </c>
      <c r="B1539" s="134">
        <v>318</v>
      </c>
      <c r="C1539" s="491">
        <v>0</v>
      </c>
      <c r="D1539" s="491">
        <v>3</v>
      </c>
      <c r="E1539" s="491">
        <v>0</v>
      </c>
      <c r="F1539" s="491">
        <v>0</v>
      </c>
      <c r="G1539" s="491">
        <f t="shared" si="23"/>
        <v>3</v>
      </c>
    </row>
    <row r="1540" spans="1:7" ht="12.75">
      <c r="A1540" s="134" t="s">
        <v>729</v>
      </c>
      <c r="B1540" s="134">
        <v>330</v>
      </c>
      <c r="C1540" s="491">
        <v>1</v>
      </c>
      <c r="D1540" s="491">
        <v>0</v>
      </c>
      <c r="E1540" s="491">
        <v>0</v>
      </c>
      <c r="F1540" s="491">
        <v>0</v>
      </c>
      <c r="G1540" s="491">
        <f t="shared" ref="G1540:G1603" si="24">SUM(C1540:F1540)</f>
        <v>1</v>
      </c>
    </row>
    <row r="1541" spans="1:7" ht="12.75">
      <c r="A1541" s="134" t="s">
        <v>729</v>
      </c>
      <c r="B1541" s="134">
        <v>502</v>
      </c>
      <c r="C1541" s="491">
        <v>0</v>
      </c>
      <c r="D1541" s="491">
        <v>1</v>
      </c>
      <c r="E1541" s="491">
        <v>0</v>
      </c>
      <c r="F1541" s="491">
        <v>0</v>
      </c>
      <c r="G1541" s="491">
        <f t="shared" si="24"/>
        <v>1</v>
      </c>
    </row>
    <row r="1542" spans="1:7" ht="12.75">
      <c r="A1542" s="134" t="s">
        <v>729</v>
      </c>
      <c r="B1542" s="134">
        <v>840</v>
      </c>
      <c r="C1542" s="491">
        <v>0</v>
      </c>
      <c r="D1542" s="491">
        <v>1</v>
      </c>
      <c r="E1542" s="491">
        <v>0</v>
      </c>
      <c r="F1542" s="491">
        <v>0</v>
      </c>
      <c r="G1542" s="491">
        <f t="shared" si="24"/>
        <v>1</v>
      </c>
    </row>
    <row r="1543" spans="1:7" ht="12.75">
      <c r="A1543" s="134" t="s">
        <v>730</v>
      </c>
      <c r="B1543" s="134">
        <v>120</v>
      </c>
      <c r="C1543" s="491">
        <v>0</v>
      </c>
      <c r="D1543" s="491">
        <v>1</v>
      </c>
      <c r="E1543" s="491">
        <v>0</v>
      </c>
      <c r="F1543" s="491">
        <v>0</v>
      </c>
      <c r="G1543" s="491">
        <f t="shared" si="24"/>
        <v>1</v>
      </c>
    </row>
    <row r="1544" spans="1:7" ht="12.75">
      <c r="A1544" s="134" t="s">
        <v>730</v>
      </c>
      <c r="B1544" s="134">
        <v>140</v>
      </c>
      <c r="C1544" s="491">
        <v>1</v>
      </c>
      <c r="D1544" s="491">
        <v>7</v>
      </c>
      <c r="E1544" s="491">
        <v>0</v>
      </c>
      <c r="F1544" s="491">
        <v>0</v>
      </c>
      <c r="G1544" s="491">
        <f t="shared" si="24"/>
        <v>8</v>
      </c>
    </row>
    <row r="1545" spans="1:7" ht="12.75">
      <c r="A1545" s="134" t="s">
        <v>730</v>
      </c>
      <c r="B1545" s="134">
        <v>307</v>
      </c>
      <c r="C1545" s="491">
        <v>1</v>
      </c>
      <c r="D1545" s="491">
        <v>0</v>
      </c>
      <c r="E1545" s="491">
        <v>0</v>
      </c>
      <c r="F1545" s="491">
        <v>0</v>
      </c>
      <c r="G1545" s="491">
        <f t="shared" si="24"/>
        <v>1</v>
      </c>
    </row>
    <row r="1546" spans="1:7" ht="12.75">
      <c r="A1546" s="134" t="s">
        <v>730</v>
      </c>
      <c r="B1546" s="134">
        <v>310</v>
      </c>
      <c r="C1546" s="491">
        <v>1</v>
      </c>
      <c r="D1546" s="491">
        <v>0</v>
      </c>
      <c r="E1546" s="491">
        <v>0</v>
      </c>
      <c r="F1546" s="491">
        <v>2</v>
      </c>
      <c r="G1546" s="491">
        <f t="shared" si="24"/>
        <v>3</v>
      </c>
    </row>
    <row r="1547" spans="1:7" ht="12.75">
      <c r="A1547" s="134" t="s">
        <v>731</v>
      </c>
      <c r="B1547" s="134">
        <v>101</v>
      </c>
      <c r="C1547" s="491">
        <v>0</v>
      </c>
      <c r="D1547" s="491">
        <v>1</v>
      </c>
      <c r="E1547" s="491">
        <v>0</v>
      </c>
      <c r="F1547" s="491">
        <v>0</v>
      </c>
      <c r="G1547" s="491">
        <f t="shared" si="24"/>
        <v>1</v>
      </c>
    </row>
    <row r="1548" spans="1:7" ht="12.75">
      <c r="A1548" s="134" t="s">
        <v>731</v>
      </c>
      <c r="B1548" s="134">
        <v>110</v>
      </c>
      <c r="C1548" s="491">
        <v>1</v>
      </c>
      <c r="D1548" s="491">
        <v>0</v>
      </c>
      <c r="E1548" s="491">
        <v>0</v>
      </c>
      <c r="F1548" s="491">
        <v>0</v>
      </c>
      <c r="G1548" s="491">
        <f t="shared" si="24"/>
        <v>1</v>
      </c>
    </row>
    <row r="1549" spans="1:7" ht="12.75">
      <c r="A1549" s="134" t="s">
        <v>731</v>
      </c>
      <c r="B1549" s="134">
        <v>120</v>
      </c>
      <c r="C1549" s="491">
        <v>104</v>
      </c>
      <c r="D1549" s="491">
        <v>175</v>
      </c>
      <c r="E1549" s="491">
        <v>1</v>
      </c>
      <c r="F1549" s="491">
        <v>1</v>
      </c>
      <c r="G1549" s="491">
        <f t="shared" si="24"/>
        <v>281</v>
      </c>
    </row>
    <row r="1550" spans="1:7" ht="12.75">
      <c r="A1550" s="134" t="s">
        <v>731</v>
      </c>
      <c r="B1550" s="134">
        <v>140</v>
      </c>
      <c r="C1550" s="491">
        <v>3</v>
      </c>
      <c r="D1550" s="491">
        <v>0</v>
      </c>
      <c r="E1550" s="491">
        <v>0</v>
      </c>
      <c r="F1550" s="491">
        <v>0</v>
      </c>
      <c r="G1550" s="491">
        <f t="shared" si="24"/>
        <v>3</v>
      </c>
    </row>
    <row r="1551" spans="1:7" ht="12.75">
      <c r="A1551" s="134" t="s">
        <v>731</v>
      </c>
      <c r="B1551" s="134">
        <v>141</v>
      </c>
      <c r="C1551" s="491">
        <v>3</v>
      </c>
      <c r="D1551" s="491">
        <v>0</v>
      </c>
      <c r="E1551" s="491">
        <v>0</v>
      </c>
      <c r="F1551" s="491">
        <v>0</v>
      </c>
      <c r="G1551" s="491">
        <f t="shared" si="24"/>
        <v>3</v>
      </c>
    </row>
    <row r="1552" spans="1:7" ht="12.75">
      <c r="A1552" s="134" t="s">
        <v>731</v>
      </c>
      <c r="B1552" s="134">
        <v>160</v>
      </c>
      <c r="C1552" s="491">
        <v>3</v>
      </c>
      <c r="D1552" s="491">
        <v>0</v>
      </c>
      <c r="E1552" s="491">
        <v>0</v>
      </c>
      <c r="F1552" s="491">
        <v>0</v>
      </c>
      <c r="G1552" s="491">
        <f t="shared" si="24"/>
        <v>3</v>
      </c>
    </row>
    <row r="1553" spans="1:7" ht="12.75">
      <c r="A1553" s="134" t="s">
        <v>731</v>
      </c>
      <c r="B1553" s="134">
        <v>310</v>
      </c>
      <c r="C1553" s="491">
        <v>4</v>
      </c>
      <c r="D1553" s="491">
        <v>0</v>
      </c>
      <c r="E1553" s="491">
        <v>0</v>
      </c>
      <c r="F1553" s="491">
        <v>0</v>
      </c>
      <c r="G1553" s="491">
        <f t="shared" si="24"/>
        <v>4</v>
      </c>
    </row>
    <row r="1554" spans="1:7" ht="12.75">
      <c r="A1554" s="134" t="s">
        <v>731</v>
      </c>
      <c r="B1554" s="134">
        <v>320</v>
      </c>
      <c r="C1554" s="491">
        <v>0</v>
      </c>
      <c r="D1554" s="491">
        <v>1</v>
      </c>
      <c r="E1554" s="491">
        <v>0</v>
      </c>
      <c r="F1554" s="491">
        <v>0</v>
      </c>
      <c r="G1554" s="491">
        <f t="shared" si="24"/>
        <v>1</v>
      </c>
    </row>
    <row r="1555" spans="1:7" ht="12.75">
      <c r="A1555" s="134" t="s">
        <v>731</v>
      </c>
      <c r="B1555" s="134">
        <v>330</v>
      </c>
      <c r="C1555" s="491">
        <v>3</v>
      </c>
      <c r="D1555" s="491">
        <v>0</v>
      </c>
      <c r="E1555" s="491">
        <v>0</v>
      </c>
      <c r="F1555" s="491">
        <v>0</v>
      </c>
      <c r="G1555" s="491">
        <f t="shared" si="24"/>
        <v>3</v>
      </c>
    </row>
    <row r="1556" spans="1:7" ht="12.75">
      <c r="A1556" s="134" t="s">
        <v>731</v>
      </c>
      <c r="B1556" s="134">
        <v>370</v>
      </c>
      <c r="C1556" s="491">
        <v>1</v>
      </c>
      <c r="D1556" s="491">
        <v>0</v>
      </c>
      <c r="E1556" s="491">
        <v>0</v>
      </c>
      <c r="F1556" s="491">
        <v>0</v>
      </c>
      <c r="G1556" s="491">
        <f t="shared" si="24"/>
        <v>1</v>
      </c>
    </row>
    <row r="1557" spans="1:7" ht="12.75">
      <c r="A1557" s="134" t="s">
        <v>732</v>
      </c>
      <c r="B1557" s="134">
        <v>120</v>
      </c>
      <c r="C1557" s="491">
        <v>11</v>
      </c>
      <c r="D1557" s="491">
        <v>5</v>
      </c>
      <c r="E1557" s="491">
        <v>0</v>
      </c>
      <c r="F1557" s="491">
        <v>0</v>
      </c>
      <c r="G1557" s="491">
        <f t="shared" si="24"/>
        <v>16</v>
      </c>
    </row>
    <row r="1558" spans="1:7" ht="12.75">
      <c r="A1558" s="134" t="s">
        <v>732</v>
      </c>
      <c r="B1558" s="134">
        <v>215</v>
      </c>
      <c r="C1558" s="491">
        <v>0</v>
      </c>
      <c r="D1558" s="491">
        <v>2</v>
      </c>
      <c r="E1558" s="491">
        <v>1</v>
      </c>
      <c r="F1558" s="491">
        <v>0</v>
      </c>
      <c r="G1558" s="491">
        <f t="shared" si="24"/>
        <v>3</v>
      </c>
    </row>
    <row r="1559" spans="1:7" ht="12.75">
      <c r="A1559" s="134" t="s">
        <v>732</v>
      </c>
      <c r="B1559" s="134">
        <v>420</v>
      </c>
      <c r="C1559" s="491">
        <v>0</v>
      </c>
      <c r="D1559" s="491">
        <v>1</v>
      </c>
      <c r="E1559" s="491">
        <v>0</v>
      </c>
      <c r="F1559" s="491">
        <v>0</v>
      </c>
      <c r="G1559" s="491">
        <f t="shared" si="24"/>
        <v>1</v>
      </c>
    </row>
    <row r="1560" spans="1:7" ht="12.75">
      <c r="A1560" s="134" t="s">
        <v>732</v>
      </c>
      <c r="B1560" s="134">
        <v>501</v>
      </c>
      <c r="C1560" s="491">
        <v>1</v>
      </c>
      <c r="D1560" s="491">
        <v>0</v>
      </c>
      <c r="E1560" s="491">
        <v>0</v>
      </c>
      <c r="F1560" s="491">
        <v>0</v>
      </c>
      <c r="G1560" s="491">
        <f t="shared" si="24"/>
        <v>1</v>
      </c>
    </row>
    <row r="1561" spans="1:7" ht="12.75">
      <c r="A1561" s="134" t="s">
        <v>733</v>
      </c>
      <c r="B1561" s="134">
        <v>106</v>
      </c>
      <c r="C1561" s="491">
        <v>1</v>
      </c>
      <c r="D1561" s="491">
        <v>0</v>
      </c>
      <c r="E1561" s="491">
        <v>0</v>
      </c>
      <c r="F1561" s="491">
        <v>0</v>
      </c>
      <c r="G1561" s="491">
        <f t="shared" si="24"/>
        <v>1</v>
      </c>
    </row>
    <row r="1562" spans="1:7" ht="12.75">
      <c r="A1562" s="134" t="s">
        <v>733</v>
      </c>
      <c r="B1562" s="134">
        <v>110</v>
      </c>
      <c r="C1562" s="491">
        <v>0</v>
      </c>
      <c r="D1562" s="491">
        <v>1</v>
      </c>
      <c r="E1562" s="491">
        <v>0</v>
      </c>
      <c r="F1562" s="491">
        <v>0</v>
      </c>
      <c r="G1562" s="491">
        <f t="shared" si="24"/>
        <v>1</v>
      </c>
    </row>
    <row r="1563" spans="1:7" ht="12.75">
      <c r="A1563" s="134" t="s">
        <v>733</v>
      </c>
      <c r="B1563" s="134">
        <v>120</v>
      </c>
      <c r="C1563" s="491">
        <v>1354</v>
      </c>
      <c r="D1563" s="491">
        <v>1610</v>
      </c>
      <c r="E1563" s="491">
        <v>0</v>
      </c>
      <c r="F1563" s="491">
        <v>0</v>
      </c>
      <c r="G1563" s="491">
        <f t="shared" si="24"/>
        <v>2964</v>
      </c>
    </row>
    <row r="1564" spans="1:7" ht="12.75">
      <c r="A1564" s="134" t="s">
        <v>733</v>
      </c>
      <c r="B1564" s="134">
        <v>130</v>
      </c>
      <c r="C1564" s="491">
        <v>5</v>
      </c>
      <c r="D1564" s="491">
        <v>4</v>
      </c>
      <c r="E1564" s="491">
        <v>0</v>
      </c>
      <c r="F1564" s="491">
        <v>0</v>
      </c>
      <c r="G1564" s="491">
        <f t="shared" si="24"/>
        <v>9</v>
      </c>
    </row>
    <row r="1565" spans="1:7" ht="12.75">
      <c r="A1565" s="134" t="s">
        <v>733</v>
      </c>
      <c r="B1565" s="134">
        <v>140</v>
      </c>
      <c r="C1565" s="491">
        <v>12</v>
      </c>
      <c r="D1565" s="491">
        <v>0</v>
      </c>
      <c r="E1565" s="491">
        <v>0</v>
      </c>
      <c r="F1565" s="491">
        <v>0</v>
      </c>
      <c r="G1565" s="491">
        <f t="shared" si="24"/>
        <v>12</v>
      </c>
    </row>
    <row r="1566" spans="1:7" ht="12.75">
      <c r="A1566" s="134" t="s">
        <v>733</v>
      </c>
      <c r="B1566" s="134">
        <v>141</v>
      </c>
      <c r="C1566" s="491">
        <v>1</v>
      </c>
      <c r="D1566" s="491">
        <v>0</v>
      </c>
      <c r="E1566" s="491">
        <v>0</v>
      </c>
      <c r="F1566" s="491">
        <v>0</v>
      </c>
      <c r="G1566" s="491">
        <f t="shared" si="24"/>
        <v>1</v>
      </c>
    </row>
    <row r="1567" spans="1:7" ht="12.75">
      <c r="A1567" s="134" t="s">
        <v>733</v>
      </c>
      <c r="B1567" s="134">
        <v>144</v>
      </c>
      <c r="C1567" s="491">
        <v>1</v>
      </c>
      <c r="D1567" s="491">
        <v>0</v>
      </c>
      <c r="E1567" s="491">
        <v>0</v>
      </c>
      <c r="F1567" s="491">
        <v>0</v>
      </c>
      <c r="G1567" s="491">
        <f t="shared" si="24"/>
        <v>1</v>
      </c>
    </row>
    <row r="1568" spans="1:7" ht="12.75">
      <c r="A1568" s="134" t="s">
        <v>733</v>
      </c>
      <c r="B1568" s="134">
        <v>160</v>
      </c>
      <c r="C1568" s="491">
        <v>9</v>
      </c>
      <c r="D1568" s="491">
        <v>1</v>
      </c>
      <c r="E1568" s="491">
        <v>0</v>
      </c>
      <c r="F1568" s="491">
        <v>0</v>
      </c>
      <c r="G1568" s="491">
        <f t="shared" si="24"/>
        <v>10</v>
      </c>
    </row>
    <row r="1569" spans="1:7" ht="12.75">
      <c r="A1569" s="134" t="s">
        <v>733</v>
      </c>
      <c r="B1569" s="134">
        <v>310</v>
      </c>
      <c r="C1569" s="491">
        <v>10894</v>
      </c>
      <c r="D1569" s="491">
        <v>1688</v>
      </c>
      <c r="E1569" s="491">
        <v>0</v>
      </c>
      <c r="F1569" s="491">
        <v>0</v>
      </c>
      <c r="G1569" s="491">
        <f t="shared" si="24"/>
        <v>12582</v>
      </c>
    </row>
    <row r="1570" spans="1:7" ht="12.75">
      <c r="A1570" s="134" t="s">
        <v>733</v>
      </c>
      <c r="B1570" s="134">
        <v>320</v>
      </c>
      <c r="C1570" s="491">
        <v>0</v>
      </c>
      <c r="D1570" s="491">
        <v>2</v>
      </c>
      <c r="E1570" s="491">
        <v>0</v>
      </c>
      <c r="F1570" s="491">
        <v>0</v>
      </c>
      <c r="G1570" s="491">
        <f t="shared" si="24"/>
        <v>2</v>
      </c>
    </row>
    <row r="1571" spans="1:7" ht="12.75">
      <c r="A1571" s="134" t="s">
        <v>733</v>
      </c>
      <c r="B1571" s="134">
        <v>330</v>
      </c>
      <c r="C1571" s="491">
        <v>60</v>
      </c>
      <c r="D1571" s="491">
        <v>7</v>
      </c>
      <c r="E1571" s="491">
        <v>0</v>
      </c>
      <c r="F1571" s="491">
        <v>0</v>
      </c>
      <c r="G1571" s="491">
        <f t="shared" si="24"/>
        <v>67</v>
      </c>
    </row>
    <row r="1572" spans="1:7" ht="12.75">
      <c r="A1572" s="134" t="s">
        <v>733</v>
      </c>
      <c r="B1572" s="134">
        <v>340</v>
      </c>
      <c r="C1572" s="491">
        <v>1</v>
      </c>
      <c r="D1572" s="491">
        <v>0</v>
      </c>
      <c r="E1572" s="491">
        <v>0</v>
      </c>
      <c r="F1572" s="491">
        <v>0</v>
      </c>
      <c r="G1572" s="491">
        <f t="shared" si="24"/>
        <v>1</v>
      </c>
    </row>
    <row r="1573" spans="1:7" ht="12.75">
      <c r="A1573" s="134" t="s">
        <v>733</v>
      </c>
      <c r="B1573" s="134">
        <v>410</v>
      </c>
      <c r="C1573" s="491">
        <v>1</v>
      </c>
      <c r="D1573" s="491">
        <v>0</v>
      </c>
      <c r="E1573" s="491">
        <v>0</v>
      </c>
      <c r="F1573" s="491">
        <v>0</v>
      </c>
      <c r="G1573" s="491">
        <f t="shared" si="24"/>
        <v>1</v>
      </c>
    </row>
    <row r="1574" spans="1:7" ht="12.75">
      <c r="A1574" s="134" t="s">
        <v>733</v>
      </c>
      <c r="B1574" s="134">
        <v>502</v>
      </c>
      <c r="C1574" s="491">
        <v>1</v>
      </c>
      <c r="D1574" s="491">
        <v>0</v>
      </c>
      <c r="E1574" s="491">
        <v>0</v>
      </c>
      <c r="F1574" s="491">
        <v>0</v>
      </c>
      <c r="G1574" s="491">
        <f t="shared" si="24"/>
        <v>1</v>
      </c>
    </row>
    <row r="1575" spans="1:7" ht="12.75">
      <c r="A1575" s="134" t="s">
        <v>733</v>
      </c>
      <c r="B1575" s="134">
        <v>652</v>
      </c>
      <c r="C1575" s="491">
        <v>1</v>
      </c>
      <c r="D1575" s="491">
        <v>0</v>
      </c>
      <c r="E1575" s="491">
        <v>0</v>
      </c>
      <c r="F1575" s="491">
        <v>0</v>
      </c>
      <c r="G1575" s="491">
        <f t="shared" si="24"/>
        <v>1</v>
      </c>
    </row>
    <row r="1576" spans="1:7" ht="12.75">
      <c r="A1576" s="134" t="s">
        <v>733</v>
      </c>
      <c r="B1576" s="134">
        <v>800</v>
      </c>
      <c r="C1576" s="491">
        <v>1</v>
      </c>
      <c r="D1576" s="491">
        <v>0</v>
      </c>
      <c r="E1576" s="491">
        <v>0</v>
      </c>
      <c r="F1576" s="491">
        <v>0</v>
      </c>
      <c r="G1576" s="491">
        <f t="shared" si="24"/>
        <v>1</v>
      </c>
    </row>
    <row r="1577" spans="1:7" ht="12.75">
      <c r="A1577" s="134" t="s">
        <v>733</v>
      </c>
      <c r="B1577" s="134">
        <v>840</v>
      </c>
      <c r="C1577" s="491">
        <v>30427</v>
      </c>
      <c r="D1577" s="491">
        <v>8767</v>
      </c>
      <c r="E1577" s="491">
        <v>0</v>
      </c>
      <c r="F1577" s="491">
        <v>0</v>
      </c>
      <c r="G1577" s="491">
        <f t="shared" si="24"/>
        <v>39194</v>
      </c>
    </row>
    <row r="1578" spans="1:7" ht="12.75">
      <c r="A1578" s="134" t="s">
        <v>734</v>
      </c>
      <c r="B1578" s="134">
        <v>120</v>
      </c>
      <c r="C1578" s="491">
        <v>83</v>
      </c>
      <c r="D1578" s="491">
        <v>29</v>
      </c>
      <c r="E1578" s="491">
        <v>0</v>
      </c>
      <c r="F1578" s="491">
        <v>0</v>
      </c>
      <c r="G1578" s="491">
        <f t="shared" si="24"/>
        <v>112</v>
      </c>
    </row>
    <row r="1579" spans="1:7" ht="12.75">
      <c r="A1579" s="134" t="s">
        <v>734</v>
      </c>
      <c r="B1579" s="134">
        <v>143</v>
      </c>
      <c r="C1579" s="491">
        <v>1</v>
      </c>
      <c r="D1579" s="491">
        <v>0</v>
      </c>
      <c r="E1579" s="491">
        <v>0</v>
      </c>
      <c r="F1579" s="491">
        <v>0</v>
      </c>
      <c r="G1579" s="491">
        <f t="shared" si="24"/>
        <v>1</v>
      </c>
    </row>
    <row r="1580" spans="1:7" ht="12.75">
      <c r="A1580" s="134" t="s">
        <v>734</v>
      </c>
      <c r="B1580" s="134">
        <v>160</v>
      </c>
      <c r="C1580" s="491">
        <v>0</v>
      </c>
      <c r="D1580" s="491">
        <v>1</v>
      </c>
      <c r="E1580" s="491">
        <v>0</v>
      </c>
      <c r="F1580" s="491">
        <v>0</v>
      </c>
      <c r="G1580" s="491">
        <f t="shared" si="24"/>
        <v>1</v>
      </c>
    </row>
    <row r="1581" spans="1:7" ht="12.75">
      <c r="A1581" s="134" t="s">
        <v>734</v>
      </c>
      <c r="B1581" s="134">
        <v>215</v>
      </c>
      <c r="C1581" s="491">
        <v>2</v>
      </c>
      <c r="D1581" s="491">
        <v>1</v>
      </c>
      <c r="E1581" s="491">
        <v>0</v>
      </c>
      <c r="F1581" s="491">
        <v>0</v>
      </c>
      <c r="G1581" s="491">
        <f t="shared" si="24"/>
        <v>3</v>
      </c>
    </row>
    <row r="1582" spans="1:7" ht="12.75">
      <c r="A1582" s="134" t="s">
        <v>734</v>
      </c>
      <c r="B1582" s="134">
        <v>216</v>
      </c>
      <c r="C1582" s="491">
        <v>0</v>
      </c>
      <c r="D1582" s="491">
        <v>1</v>
      </c>
      <c r="E1582" s="491">
        <v>0</v>
      </c>
      <c r="F1582" s="491">
        <v>0</v>
      </c>
      <c r="G1582" s="491">
        <f t="shared" si="24"/>
        <v>1</v>
      </c>
    </row>
    <row r="1583" spans="1:7" ht="12.75">
      <c r="A1583" s="134" t="s">
        <v>734</v>
      </c>
      <c r="B1583" s="134">
        <v>219</v>
      </c>
      <c r="C1583" s="491">
        <v>1</v>
      </c>
      <c r="D1583" s="491">
        <v>0</v>
      </c>
      <c r="E1583" s="491">
        <v>0</v>
      </c>
      <c r="F1583" s="491">
        <v>0</v>
      </c>
      <c r="G1583" s="491">
        <f t="shared" si="24"/>
        <v>1</v>
      </c>
    </row>
    <row r="1584" spans="1:7" ht="12.75">
      <c r="A1584" s="134" t="s">
        <v>734</v>
      </c>
      <c r="B1584" s="134">
        <v>254</v>
      </c>
      <c r="C1584" s="491">
        <v>0</v>
      </c>
      <c r="D1584" s="491">
        <v>1</v>
      </c>
      <c r="E1584" s="491">
        <v>0</v>
      </c>
      <c r="F1584" s="491">
        <v>0</v>
      </c>
      <c r="G1584" s="491">
        <f t="shared" si="24"/>
        <v>1</v>
      </c>
    </row>
    <row r="1585" spans="1:7" ht="12.75">
      <c r="A1585" s="134" t="s">
        <v>734</v>
      </c>
      <c r="B1585" s="134">
        <v>310</v>
      </c>
      <c r="C1585" s="491">
        <v>45</v>
      </c>
      <c r="D1585" s="491">
        <v>42</v>
      </c>
      <c r="E1585" s="491">
        <v>0</v>
      </c>
      <c r="F1585" s="491">
        <v>0</v>
      </c>
      <c r="G1585" s="491">
        <f t="shared" si="24"/>
        <v>87</v>
      </c>
    </row>
    <row r="1586" spans="1:7" ht="12.75">
      <c r="A1586" s="134" t="s">
        <v>734</v>
      </c>
      <c r="B1586" s="134">
        <v>840</v>
      </c>
      <c r="C1586" s="491">
        <v>128</v>
      </c>
      <c r="D1586" s="491">
        <v>38</v>
      </c>
      <c r="E1586" s="491">
        <v>2</v>
      </c>
      <c r="F1586" s="491">
        <v>0</v>
      </c>
      <c r="G1586" s="491">
        <f t="shared" si="24"/>
        <v>168</v>
      </c>
    </row>
    <row r="1587" spans="1:7" ht="12.75">
      <c r="A1587" s="134" t="s">
        <v>735</v>
      </c>
      <c r="B1587" s="134">
        <v>100</v>
      </c>
      <c r="C1587" s="491">
        <v>1</v>
      </c>
      <c r="D1587" s="491">
        <v>1</v>
      </c>
      <c r="E1587" s="491">
        <v>0</v>
      </c>
      <c r="F1587" s="491">
        <v>1</v>
      </c>
      <c r="G1587" s="491">
        <f t="shared" si="24"/>
        <v>3</v>
      </c>
    </row>
    <row r="1588" spans="1:7" ht="12.75">
      <c r="A1588" s="134" t="s">
        <v>735</v>
      </c>
      <c r="B1588" s="134">
        <v>101</v>
      </c>
      <c r="C1588" s="491">
        <v>0</v>
      </c>
      <c r="D1588" s="491">
        <v>1</v>
      </c>
      <c r="E1588" s="491">
        <v>0</v>
      </c>
      <c r="F1588" s="491">
        <v>0</v>
      </c>
      <c r="G1588" s="491">
        <f t="shared" si="24"/>
        <v>1</v>
      </c>
    </row>
    <row r="1589" spans="1:7" ht="12.75">
      <c r="A1589" s="134" t="s">
        <v>735</v>
      </c>
      <c r="B1589" s="134">
        <v>103</v>
      </c>
      <c r="C1589" s="491">
        <v>1</v>
      </c>
      <c r="D1589" s="491">
        <v>0</v>
      </c>
      <c r="E1589" s="491">
        <v>0</v>
      </c>
      <c r="F1589" s="491">
        <v>0</v>
      </c>
      <c r="G1589" s="491">
        <f t="shared" si="24"/>
        <v>1</v>
      </c>
    </row>
    <row r="1590" spans="1:7" ht="12.75">
      <c r="A1590" s="134" t="s">
        <v>735</v>
      </c>
      <c r="B1590" s="134">
        <v>110</v>
      </c>
      <c r="C1590" s="491">
        <v>0</v>
      </c>
      <c r="D1590" s="491">
        <v>2</v>
      </c>
      <c r="E1590" s="491">
        <v>0</v>
      </c>
      <c r="F1590" s="491">
        <v>0</v>
      </c>
      <c r="G1590" s="491">
        <f t="shared" si="24"/>
        <v>2</v>
      </c>
    </row>
    <row r="1591" spans="1:7" ht="12.75">
      <c r="A1591" s="134" t="s">
        <v>735</v>
      </c>
      <c r="B1591" s="134">
        <v>120</v>
      </c>
      <c r="C1591" s="491">
        <v>22061</v>
      </c>
      <c r="D1591" s="491">
        <v>10163</v>
      </c>
      <c r="E1591" s="491">
        <v>88</v>
      </c>
      <c r="F1591" s="491">
        <v>57</v>
      </c>
      <c r="G1591" s="491">
        <f t="shared" si="24"/>
        <v>32369</v>
      </c>
    </row>
    <row r="1592" spans="1:7" ht="12.75">
      <c r="A1592" s="134" t="s">
        <v>735</v>
      </c>
      <c r="B1592" s="134">
        <v>130</v>
      </c>
      <c r="C1592" s="491">
        <v>3</v>
      </c>
      <c r="D1592" s="491">
        <v>3</v>
      </c>
      <c r="E1592" s="491">
        <v>0</v>
      </c>
      <c r="F1592" s="491">
        <v>3</v>
      </c>
      <c r="G1592" s="491">
        <f t="shared" si="24"/>
        <v>9</v>
      </c>
    </row>
    <row r="1593" spans="1:7" ht="12.75">
      <c r="A1593" s="134" t="s">
        <v>735</v>
      </c>
      <c r="B1593" s="134">
        <v>140</v>
      </c>
      <c r="C1593" s="491">
        <v>48</v>
      </c>
      <c r="D1593" s="491">
        <v>10</v>
      </c>
      <c r="E1593" s="491">
        <v>0</v>
      </c>
      <c r="F1593" s="491">
        <v>0</v>
      </c>
      <c r="G1593" s="491">
        <f t="shared" si="24"/>
        <v>58</v>
      </c>
    </row>
    <row r="1594" spans="1:7" ht="12.75">
      <c r="A1594" s="134" t="s">
        <v>735</v>
      </c>
      <c r="B1594" s="134">
        <v>143</v>
      </c>
      <c r="C1594" s="491">
        <v>1</v>
      </c>
      <c r="D1594" s="491">
        <v>0</v>
      </c>
      <c r="E1594" s="491">
        <v>0</v>
      </c>
      <c r="F1594" s="491">
        <v>0</v>
      </c>
      <c r="G1594" s="491">
        <f t="shared" si="24"/>
        <v>1</v>
      </c>
    </row>
    <row r="1595" spans="1:7" ht="12.75">
      <c r="A1595" s="134" t="s">
        <v>735</v>
      </c>
      <c r="B1595" s="134">
        <v>144</v>
      </c>
      <c r="C1595" s="491">
        <v>107</v>
      </c>
      <c r="D1595" s="491">
        <v>22</v>
      </c>
      <c r="E1595" s="491">
        <v>0</v>
      </c>
      <c r="F1595" s="491">
        <v>0</v>
      </c>
      <c r="G1595" s="491">
        <f t="shared" si="24"/>
        <v>129</v>
      </c>
    </row>
    <row r="1596" spans="1:7" ht="12.75">
      <c r="A1596" s="134" t="s">
        <v>735</v>
      </c>
      <c r="B1596" s="134">
        <v>150</v>
      </c>
      <c r="C1596" s="491">
        <v>3</v>
      </c>
      <c r="D1596" s="491">
        <v>2</v>
      </c>
      <c r="E1596" s="491">
        <v>0</v>
      </c>
      <c r="F1596" s="491">
        <v>0</v>
      </c>
      <c r="G1596" s="491">
        <f t="shared" si="24"/>
        <v>5</v>
      </c>
    </row>
    <row r="1597" spans="1:7" ht="12.75">
      <c r="A1597" s="134" t="s">
        <v>735</v>
      </c>
      <c r="B1597" s="134">
        <v>160</v>
      </c>
      <c r="C1597" s="491">
        <v>29</v>
      </c>
      <c r="D1597" s="491">
        <v>7</v>
      </c>
      <c r="E1597" s="491">
        <v>0</v>
      </c>
      <c r="F1597" s="491">
        <v>0</v>
      </c>
      <c r="G1597" s="491">
        <f t="shared" si="24"/>
        <v>36</v>
      </c>
    </row>
    <row r="1598" spans="1:7" ht="12.75">
      <c r="A1598" s="134" t="s">
        <v>735</v>
      </c>
      <c r="B1598" s="134">
        <v>190</v>
      </c>
      <c r="C1598" s="491">
        <v>1</v>
      </c>
      <c r="D1598" s="491">
        <v>0</v>
      </c>
      <c r="E1598" s="491">
        <v>0</v>
      </c>
      <c r="F1598" s="491">
        <v>0</v>
      </c>
      <c r="G1598" s="491">
        <f t="shared" si="24"/>
        <v>1</v>
      </c>
    </row>
    <row r="1599" spans="1:7" ht="12.75">
      <c r="A1599" s="134" t="s">
        <v>735</v>
      </c>
      <c r="B1599" s="134">
        <v>191</v>
      </c>
      <c r="C1599" s="491">
        <v>1</v>
      </c>
      <c r="D1599" s="491">
        <v>0</v>
      </c>
      <c r="E1599" s="491">
        <v>0</v>
      </c>
      <c r="F1599" s="491">
        <v>0</v>
      </c>
      <c r="G1599" s="491">
        <f t="shared" si="24"/>
        <v>1</v>
      </c>
    </row>
    <row r="1600" spans="1:7" ht="12.75">
      <c r="A1600" s="134" t="s">
        <v>735</v>
      </c>
      <c r="B1600" s="134">
        <v>215</v>
      </c>
      <c r="C1600" s="491">
        <v>0</v>
      </c>
      <c r="D1600" s="491">
        <v>1</v>
      </c>
      <c r="E1600" s="491">
        <v>0</v>
      </c>
      <c r="F1600" s="491">
        <v>0</v>
      </c>
      <c r="G1600" s="491">
        <f t="shared" si="24"/>
        <v>1</v>
      </c>
    </row>
    <row r="1601" spans="1:7" ht="12.75">
      <c r="A1601" s="134" t="s">
        <v>735</v>
      </c>
      <c r="B1601" s="134">
        <v>300</v>
      </c>
      <c r="C1601" s="491">
        <v>0</v>
      </c>
      <c r="D1601" s="491">
        <v>1</v>
      </c>
      <c r="E1601" s="491">
        <v>1</v>
      </c>
      <c r="F1601" s="491">
        <v>0</v>
      </c>
      <c r="G1601" s="491">
        <f t="shared" si="24"/>
        <v>2</v>
      </c>
    </row>
    <row r="1602" spans="1:7" ht="12.75">
      <c r="A1602" s="134" t="s">
        <v>735</v>
      </c>
      <c r="B1602" s="134">
        <v>301</v>
      </c>
      <c r="C1602" s="491">
        <v>5</v>
      </c>
      <c r="D1602" s="491">
        <v>2</v>
      </c>
      <c r="E1602" s="491">
        <v>0</v>
      </c>
      <c r="F1602" s="491">
        <v>0</v>
      </c>
      <c r="G1602" s="491">
        <f t="shared" si="24"/>
        <v>7</v>
      </c>
    </row>
    <row r="1603" spans="1:7" ht="12.75">
      <c r="A1603" s="134" t="s">
        <v>735</v>
      </c>
      <c r="B1603" s="134">
        <v>303</v>
      </c>
      <c r="C1603" s="491">
        <v>1</v>
      </c>
      <c r="D1603" s="491">
        <v>1</v>
      </c>
      <c r="E1603" s="491">
        <v>0</v>
      </c>
      <c r="F1603" s="491">
        <v>0</v>
      </c>
      <c r="G1603" s="491">
        <f t="shared" si="24"/>
        <v>2</v>
      </c>
    </row>
    <row r="1604" spans="1:7" ht="12.75">
      <c r="A1604" s="134" t="s">
        <v>735</v>
      </c>
      <c r="B1604" s="134">
        <v>310</v>
      </c>
      <c r="C1604" s="491">
        <v>2349</v>
      </c>
      <c r="D1604" s="491">
        <v>3146</v>
      </c>
      <c r="E1604" s="491">
        <v>0</v>
      </c>
      <c r="F1604" s="491">
        <v>0</v>
      </c>
      <c r="G1604" s="491">
        <f t="shared" ref="G1604:G1667" si="25">SUM(C1604:F1604)</f>
        <v>5495</v>
      </c>
    </row>
    <row r="1605" spans="1:7" ht="12.75">
      <c r="A1605" s="134" t="s">
        <v>735</v>
      </c>
      <c r="B1605" s="134">
        <v>318</v>
      </c>
      <c r="C1605" s="491">
        <v>0</v>
      </c>
      <c r="D1605" s="491">
        <v>1</v>
      </c>
      <c r="E1605" s="491">
        <v>0</v>
      </c>
      <c r="F1605" s="491">
        <v>0</v>
      </c>
      <c r="G1605" s="491">
        <f t="shared" si="25"/>
        <v>1</v>
      </c>
    </row>
    <row r="1606" spans="1:7" ht="12.75">
      <c r="A1606" s="134" t="s">
        <v>735</v>
      </c>
      <c r="B1606" s="134">
        <v>320</v>
      </c>
      <c r="C1606" s="491">
        <v>0</v>
      </c>
      <c r="D1606" s="491">
        <v>2</v>
      </c>
      <c r="E1606" s="491">
        <v>0</v>
      </c>
      <c r="F1606" s="491">
        <v>0</v>
      </c>
      <c r="G1606" s="491">
        <f t="shared" si="25"/>
        <v>2</v>
      </c>
    </row>
    <row r="1607" spans="1:7" ht="12.75">
      <c r="A1607" s="134" t="s">
        <v>735</v>
      </c>
      <c r="B1607" s="134">
        <v>330</v>
      </c>
      <c r="C1607" s="491">
        <v>57</v>
      </c>
      <c r="D1607" s="491">
        <v>8</v>
      </c>
      <c r="E1607" s="491">
        <v>0</v>
      </c>
      <c r="F1607" s="491">
        <v>0</v>
      </c>
      <c r="G1607" s="491">
        <f t="shared" si="25"/>
        <v>65</v>
      </c>
    </row>
    <row r="1608" spans="1:7" ht="12.75">
      <c r="A1608" s="134" t="s">
        <v>735</v>
      </c>
      <c r="B1608" s="134">
        <v>340</v>
      </c>
      <c r="C1608" s="491">
        <v>1</v>
      </c>
      <c r="D1608" s="491">
        <v>1</v>
      </c>
      <c r="E1608" s="491">
        <v>0</v>
      </c>
      <c r="F1608" s="491">
        <v>0</v>
      </c>
      <c r="G1608" s="491">
        <f t="shared" si="25"/>
        <v>2</v>
      </c>
    </row>
    <row r="1609" spans="1:7" ht="12.75">
      <c r="A1609" s="134" t="s">
        <v>735</v>
      </c>
      <c r="B1609" s="134">
        <v>361</v>
      </c>
      <c r="C1609" s="491">
        <v>1</v>
      </c>
      <c r="D1609" s="491">
        <v>0</v>
      </c>
      <c r="E1609" s="491">
        <v>0</v>
      </c>
      <c r="F1609" s="491">
        <v>0</v>
      </c>
      <c r="G1609" s="491">
        <f t="shared" si="25"/>
        <v>1</v>
      </c>
    </row>
    <row r="1610" spans="1:7" ht="12.75">
      <c r="A1610" s="134" t="s">
        <v>735</v>
      </c>
      <c r="B1610" s="134">
        <v>370</v>
      </c>
      <c r="C1610" s="491">
        <v>2</v>
      </c>
      <c r="D1610" s="491">
        <v>0</v>
      </c>
      <c r="E1610" s="491">
        <v>0</v>
      </c>
      <c r="F1610" s="491">
        <v>0</v>
      </c>
      <c r="G1610" s="491">
        <f t="shared" si="25"/>
        <v>2</v>
      </c>
    </row>
    <row r="1611" spans="1:7" ht="12.75">
      <c r="A1611" s="134" t="s">
        <v>735</v>
      </c>
      <c r="B1611" s="134">
        <v>400</v>
      </c>
      <c r="C1611" s="491">
        <v>0</v>
      </c>
      <c r="D1611" s="491">
        <v>2</v>
      </c>
      <c r="E1611" s="491">
        <v>0</v>
      </c>
      <c r="F1611" s="491">
        <v>0</v>
      </c>
      <c r="G1611" s="491">
        <f t="shared" si="25"/>
        <v>2</v>
      </c>
    </row>
    <row r="1612" spans="1:7" ht="12.75">
      <c r="A1612" s="134" t="s">
        <v>735</v>
      </c>
      <c r="B1612" s="134">
        <v>410</v>
      </c>
      <c r="C1612" s="491">
        <v>0</v>
      </c>
      <c r="D1612" s="491">
        <v>1</v>
      </c>
      <c r="E1612" s="491">
        <v>0</v>
      </c>
      <c r="F1612" s="491">
        <v>0</v>
      </c>
      <c r="G1612" s="491">
        <f t="shared" si="25"/>
        <v>1</v>
      </c>
    </row>
    <row r="1613" spans="1:7" ht="12.75">
      <c r="A1613" s="134" t="s">
        <v>735</v>
      </c>
      <c r="B1613" s="134">
        <v>420</v>
      </c>
      <c r="C1613" s="491">
        <v>0</v>
      </c>
      <c r="D1613" s="491">
        <v>1</v>
      </c>
      <c r="E1613" s="491">
        <v>0</v>
      </c>
      <c r="F1613" s="491">
        <v>0</v>
      </c>
      <c r="G1613" s="491">
        <f t="shared" si="25"/>
        <v>1</v>
      </c>
    </row>
    <row r="1614" spans="1:7" ht="12.75">
      <c r="A1614" s="134" t="s">
        <v>735</v>
      </c>
      <c r="B1614" s="134">
        <v>430</v>
      </c>
      <c r="C1614" s="491">
        <v>0</v>
      </c>
      <c r="D1614" s="491">
        <v>1</v>
      </c>
      <c r="E1614" s="491">
        <v>0</v>
      </c>
      <c r="F1614" s="491">
        <v>0</v>
      </c>
      <c r="G1614" s="491">
        <f t="shared" si="25"/>
        <v>1</v>
      </c>
    </row>
    <row r="1615" spans="1:7" ht="12.75">
      <c r="A1615" s="134" t="s">
        <v>735</v>
      </c>
      <c r="B1615" s="134">
        <v>460</v>
      </c>
      <c r="C1615" s="491">
        <v>1</v>
      </c>
      <c r="D1615" s="491">
        <v>0</v>
      </c>
      <c r="E1615" s="491">
        <v>0</v>
      </c>
      <c r="F1615" s="491">
        <v>0</v>
      </c>
      <c r="G1615" s="491">
        <f t="shared" si="25"/>
        <v>1</v>
      </c>
    </row>
    <row r="1616" spans="1:7" ht="12.75">
      <c r="A1616" s="134" t="s">
        <v>735</v>
      </c>
      <c r="B1616" s="134">
        <v>560</v>
      </c>
      <c r="C1616" s="491">
        <v>0</v>
      </c>
      <c r="D1616" s="491">
        <v>0</v>
      </c>
      <c r="E1616" s="491">
        <v>0</v>
      </c>
      <c r="F1616" s="491">
        <v>1</v>
      </c>
      <c r="G1616" s="491">
        <f t="shared" si="25"/>
        <v>1</v>
      </c>
    </row>
    <row r="1617" spans="1:7" ht="12.75">
      <c r="A1617" s="134" t="s">
        <v>735</v>
      </c>
      <c r="B1617" s="134">
        <v>657</v>
      </c>
      <c r="C1617" s="491">
        <v>1</v>
      </c>
      <c r="D1617" s="491">
        <v>0</v>
      </c>
      <c r="E1617" s="491">
        <v>0</v>
      </c>
      <c r="F1617" s="491">
        <v>0</v>
      </c>
      <c r="G1617" s="491">
        <f t="shared" si="25"/>
        <v>1</v>
      </c>
    </row>
    <row r="1618" spans="1:7" ht="12.75">
      <c r="A1618" s="134" t="s">
        <v>735</v>
      </c>
      <c r="B1618" s="134">
        <v>800</v>
      </c>
      <c r="C1618" s="491">
        <v>0</v>
      </c>
      <c r="D1618" s="491">
        <v>0</v>
      </c>
      <c r="E1618" s="491">
        <v>1</v>
      </c>
      <c r="F1618" s="491">
        <v>0</v>
      </c>
      <c r="G1618" s="491">
        <f t="shared" si="25"/>
        <v>1</v>
      </c>
    </row>
    <row r="1619" spans="1:7" ht="12.75">
      <c r="A1619" s="134" t="s">
        <v>735</v>
      </c>
      <c r="B1619" s="134">
        <v>812</v>
      </c>
      <c r="C1619" s="491">
        <v>1</v>
      </c>
      <c r="D1619" s="491">
        <v>0</v>
      </c>
      <c r="E1619" s="491">
        <v>0</v>
      </c>
      <c r="F1619" s="491">
        <v>0</v>
      </c>
      <c r="G1619" s="491">
        <f t="shared" si="25"/>
        <v>1</v>
      </c>
    </row>
    <row r="1620" spans="1:7" ht="12.75">
      <c r="A1620" s="134" t="s">
        <v>735</v>
      </c>
      <c r="B1620" s="134">
        <v>840</v>
      </c>
      <c r="C1620" s="491">
        <v>1608</v>
      </c>
      <c r="D1620" s="491">
        <v>1514</v>
      </c>
      <c r="E1620" s="491">
        <v>0</v>
      </c>
      <c r="F1620" s="491">
        <v>0</v>
      </c>
      <c r="G1620" s="491">
        <f t="shared" si="25"/>
        <v>3122</v>
      </c>
    </row>
    <row r="1621" spans="1:7" ht="12.75">
      <c r="A1621" s="134" t="s">
        <v>736</v>
      </c>
      <c r="B1621" s="134">
        <v>120</v>
      </c>
      <c r="C1621" s="491">
        <v>3824</v>
      </c>
      <c r="D1621" s="491">
        <v>2176</v>
      </c>
      <c r="E1621" s="491">
        <v>9</v>
      </c>
      <c r="F1621" s="491">
        <v>3</v>
      </c>
      <c r="G1621" s="491">
        <f t="shared" si="25"/>
        <v>6012</v>
      </c>
    </row>
    <row r="1622" spans="1:7" ht="12.75">
      <c r="A1622" s="134" t="s">
        <v>736</v>
      </c>
      <c r="B1622" s="134">
        <v>130</v>
      </c>
      <c r="C1622" s="491">
        <v>0</v>
      </c>
      <c r="D1622" s="491">
        <v>1</v>
      </c>
      <c r="E1622" s="491">
        <v>0</v>
      </c>
      <c r="F1622" s="491">
        <v>1</v>
      </c>
      <c r="G1622" s="491">
        <f t="shared" si="25"/>
        <v>2</v>
      </c>
    </row>
    <row r="1623" spans="1:7" ht="12.75">
      <c r="A1623" s="134" t="s">
        <v>736</v>
      </c>
      <c r="B1623" s="134">
        <v>140</v>
      </c>
      <c r="C1623" s="491">
        <v>7</v>
      </c>
      <c r="D1623" s="491">
        <v>1</v>
      </c>
      <c r="E1623" s="491">
        <v>0</v>
      </c>
      <c r="F1623" s="491">
        <v>0</v>
      </c>
      <c r="G1623" s="491">
        <f t="shared" si="25"/>
        <v>8</v>
      </c>
    </row>
    <row r="1624" spans="1:7" ht="12.75">
      <c r="A1624" s="134" t="s">
        <v>736</v>
      </c>
      <c r="B1624" s="134">
        <v>144</v>
      </c>
      <c r="C1624" s="491">
        <v>1</v>
      </c>
      <c r="D1624" s="491">
        <v>5</v>
      </c>
      <c r="E1624" s="491">
        <v>0</v>
      </c>
      <c r="F1624" s="491">
        <v>0</v>
      </c>
      <c r="G1624" s="491">
        <f t="shared" si="25"/>
        <v>6</v>
      </c>
    </row>
    <row r="1625" spans="1:7" ht="12.75">
      <c r="A1625" s="134" t="s">
        <v>736</v>
      </c>
      <c r="B1625" s="134">
        <v>160</v>
      </c>
      <c r="C1625" s="491">
        <v>6</v>
      </c>
      <c r="D1625" s="491">
        <v>2</v>
      </c>
      <c r="E1625" s="491">
        <v>0</v>
      </c>
      <c r="F1625" s="491">
        <v>0</v>
      </c>
      <c r="G1625" s="491">
        <f t="shared" si="25"/>
        <v>8</v>
      </c>
    </row>
    <row r="1626" spans="1:7" ht="12.75">
      <c r="A1626" s="134" t="s">
        <v>736</v>
      </c>
      <c r="B1626" s="134">
        <v>215</v>
      </c>
      <c r="C1626" s="491">
        <v>98</v>
      </c>
      <c r="D1626" s="491">
        <v>89</v>
      </c>
      <c r="E1626" s="491">
        <v>2</v>
      </c>
      <c r="F1626" s="491">
        <v>0</v>
      </c>
      <c r="G1626" s="491">
        <f t="shared" si="25"/>
        <v>189</v>
      </c>
    </row>
    <row r="1627" spans="1:7" ht="12.75">
      <c r="A1627" s="134" t="s">
        <v>736</v>
      </c>
      <c r="B1627" s="134">
        <v>219</v>
      </c>
      <c r="C1627" s="491">
        <v>6</v>
      </c>
      <c r="D1627" s="491">
        <v>2</v>
      </c>
      <c r="E1627" s="491">
        <v>0</v>
      </c>
      <c r="F1627" s="491">
        <v>0</v>
      </c>
      <c r="G1627" s="491">
        <f t="shared" si="25"/>
        <v>8</v>
      </c>
    </row>
    <row r="1628" spans="1:7" ht="12.75">
      <c r="A1628" s="134" t="s">
        <v>736</v>
      </c>
      <c r="B1628" s="134">
        <v>257</v>
      </c>
      <c r="C1628" s="491">
        <v>1</v>
      </c>
      <c r="D1628" s="491">
        <v>0</v>
      </c>
      <c r="E1628" s="491">
        <v>0</v>
      </c>
      <c r="F1628" s="491">
        <v>0</v>
      </c>
      <c r="G1628" s="491">
        <f t="shared" si="25"/>
        <v>1</v>
      </c>
    </row>
    <row r="1629" spans="1:7" ht="12.75">
      <c r="A1629" s="134" t="s">
        <v>736</v>
      </c>
      <c r="B1629" s="134">
        <v>310</v>
      </c>
      <c r="C1629" s="491">
        <v>168</v>
      </c>
      <c r="D1629" s="491">
        <v>241</v>
      </c>
      <c r="E1629" s="491">
        <v>0</v>
      </c>
      <c r="F1629" s="491">
        <v>0</v>
      </c>
      <c r="G1629" s="491">
        <f t="shared" si="25"/>
        <v>409</v>
      </c>
    </row>
    <row r="1630" spans="1:7" ht="12.75">
      <c r="A1630" s="134" t="s">
        <v>736</v>
      </c>
      <c r="B1630" s="134">
        <v>330</v>
      </c>
      <c r="C1630" s="491">
        <v>0</v>
      </c>
      <c r="D1630" s="491">
        <v>1</v>
      </c>
      <c r="E1630" s="491">
        <v>0</v>
      </c>
      <c r="F1630" s="491">
        <v>0</v>
      </c>
      <c r="G1630" s="491">
        <f t="shared" si="25"/>
        <v>1</v>
      </c>
    </row>
    <row r="1631" spans="1:7" ht="12.75">
      <c r="A1631" s="134" t="s">
        <v>736</v>
      </c>
      <c r="B1631" s="134">
        <v>340</v>
      </c>
      <c r="C1631" s="491">
        <v>1</v>
      </c>
      <c r="D1631" s="491">
        <v>0</v>
      </c>
      <c r="E1631" s="491">
        <v>0</v>
      </c>
      <c r="F1631" s="491">
        <v>0</v>
      </c>
      <c r="G1631" s="491">
        <f t="shared" si="25"/>
        <v>1</v>
      </c>
    </row>
    <row r="1632" spans="1:7" ht="12.75">
      <c r="A1632" s="134" t="s">
        <v>736</v>
      </c>
      <c r="B1632" s="134">
        <v>410</v>
      </c>
      <c r="C1632" s="491">
        <v>1</v>
      </c>
      <c r="D1632" s="491">
        <v>0</v>
      </c>
      <c r="E1632" s="491">
        <v>0</v>
      </c>
      <c r="F1632" s="491">
        <v>0</v>
      </c>
      <c r="G1632" s="491">
        <f t="shared" si="25"/>
        <v>1</v>
      </c>
    </row>
    <row r="1633" spans="1:7" ht="12.75">
      <c r="A1633" s="134" t="s">
        <v>736</v>
      </c>
      <c r="B1633" s="134">
        <v>655</v>
      </c>
      <c r="C1633" s="491">
        <v>1</v>
      </c>
      <c r="D1633" s="491">
        <v>0</v>
      </c>
      <c r="E1633" s="491">
        <v>0</v>
      </c>
      <c r="F1633" s="491">
        <v>0</v>
      </c>
      <c r="G1633" s="491">
        <f t="shared" si="25"/>
        <v>1</v>
      </c>
    </row>
    <row r="1634" spans="1:7" ht="12.75">
      <c r="A1634" s="134" t="s">
        <v>736</v>
      </c>
      <c r="B1634" s="134">
        <v>657</v>
      </c>
      <c r="C1634" s="491">
        <v>1</v>
      </c>
      <c r="D1634" s="491">
        <v>0</v>
      </c>
      <c r="E1634" s="491">
        <v>0</v>
      </c>
      <c r="F1634" s="491">
        <v>0</v>
      </c>
      <c r="G1634" s="491">
        <f t="shared" si="25"/>
        <v>1</v>
      </c>
    </row>
    <row r="1635" spans="1:7" ht="12.75">
      <c r="A1635" s="134" t="s">
        <v>736</v>
      </c>
      <c r="B1635" s="134">
        <v>840</v>
      </c>
      <c r="C1635" s="491">
        <v>34</v>
      </c>
      <c r="D1635" s="491">
        <v>37</v>
      </c>
      <c r="E1635" s="491">
        <v>0</v>
      </c>
      <c r="F1635" s="491">
        <v>0</v>
      </c>
      <c r="G1635" s="491">
        <f t="shared" si="25"/>
        <v>71</v>
      </c>
    </row>
    <row r="1636" spans="1:7" ht="12.75">
      <c r="A1636" s="134" t="s">
        <v>737</v>
      </c>
      <c r="B1636" s="134">
        <v>100</v>
      </c>
      <c r="C1636" s="491">
        <v>2</v>
      </c>
      <c r="D1636" s="491">
        <v>4</v>
      </c>
      <c r="E1636" s="491">
        <v>0</v>
      </c>
      <c r="F1636" s="491">
        <v>2</v>
      </c>
      <c r="G1636" s="491">
        <f t="shared" si="25"/>
        <v>8</v>
      </c>
    </row>
    <row r="1637" spans="1:7" ht="12.75">
      <c r="A1637" s="134" t="s">
        <v>737</v>
      </c>
      <c r="B1637" s="134">
        <v>101</v>
      </c>
      <c r="C1637" s="491">
        <v>4</v>
      </c>
      <c r="D1637" s="491">
        <v>3</v>
      </c>
      <c r="E1637" s="491">
        <v>0</v>
      </c>
      <c r="F1637" s="491">
        <v>0</v>
      </c>
      <c r="G1637" s="491">
        <f t="shared" si="25"/>
        <v>7</v>
      </c>
    </row>
    <row r="1638" spans="1:7" ht="12.75">
      <c r="A1638" s="134" t="s">
        <v>737</v>
      </c>
      <c r="B1638" s="134">
        <v>103</v>
      </c>
      <c r="C1638" s="491">
        <v>1</v>
      </c>
      <c r="D1638" s="491">
        <v>0</v>
      </c>
      <c r="E1638" s="491">
        <v>0</v>
      </c>
      <c r="F1638" s="491">
        <v>0</v>
      </c>
      <c r="G1638" s="491">
        <f t="shared" si="25"/>
        <v>1</v>
      </c>
    </row>
    <row r="1639" spans="1:7" ht="12.75">
      <c r="A1639" s="134" t="s">
        <v>737</v>
      </c>
      <c r="B1639" s="134">
        <v>104</v>
      </c>
      <c r="C1639" s="491">
        <v>0</v>
      </c>
      <c r="D1639" s="491">
        <v>0</v>
      </c>
      <c r="E1639" s="491">
        <v>1</v>
      </c>
      <c r="F1639" s="491">
        <v>1</v>
      </c>
      <c r="G1639" s="491">
        <f t="shared" si="25"/>
        <v>2</v>
      </c>
    </row>
    <row r="1640" spans="1:7" ht="12.75">
      <c r="A1640" s="134" t="s">
        <v>737</v>
      </c>
      <c r="B1640" s="134">
        <v>110</v>
      </c>
      <c r="C1640" s="491">
        <v>6</v>
      </c>
      <c r="D1640" s="491">
        <v>2</v>
      </c>
      <c r="E1640" s="491">
        <v>3</v>
      </c>
      <c r="F1640" s="491">
        <v>1</v>
      </c>
      <c r="G1640" s="491">
        <f t="shared" si="25"/>
        <v>12</v>
      </c>
    </row>
    <row r="1641" spans="1:7" ht="12.75">
      <c r="A1641" s="134" t="s">
        <v>737</v>
      </c>
      <c r="B1641" s="134">
        <v>120</v>
      </c>
      <c r="C1641" s="491">
        <v>5755</v>
      </c>
      <c r="D1641" s="491">
        <v>2880</v>
      </c>
      <c r="E1641" s="491">
        <v>475</v>
      </c>
      <c r="F1641" s="491">
        <v>306</v>
      </c>
      <c r="G1641" s="491">
        <f t="shared" si="25"/>
        <v>9416</v>
      </c>
    </row>
    <row r="1642" spans="1:7" ht="12.75">
      <c r="A1642" s="134" t="s">
        <v>737</v>
      </c>
      <c r="B1642" s="134">
        <v>130</v>
      </c>
      <c r="C1642" s="491">
        <v>14</v>
      </c>
      <c r="D1642" s="491">
        <v>1</v>
      </c>
      <c r="E1642" s="491">
        <v>0</v>
      </c>
      <c r="F1642" s="491">
        <v>2</v>
      </c>
      <c r="G1642" s="491">
        <f t="shared" si="25"/>
        <v>17</v>
      </c>
    </row>
    <row r="1643" spans="1:7" ht="12.75">
      <c r="A1643" s="134" t="s">
        <v>737</v>
      </c>
      <c r="B1643" s="134">
        <v>140</v>
      </c>
      <c r="C1643" s="491">
        <v>0</v>
      </c>
      <c r="D1643" s="491">
        <v>1</v>
      </c>
      <c r="E1643" s="491">
        <v>0</v>
      </c>
      <c r="F1643" s="491">
        <v>4</v>
      </c>
      <c r="G1643" s="491">
        <f t="shared" si="25"/>
        <v>5</v>
      </c>
    </row>
    <row r="1644" spans="1:7" ht="12.75">
      <c r="A1644" s="134" t="s">
        <v>737</v>
      </c>
      <c r="B1644" s="134">
        <v>143</v>
      </c>
      <c r="C1644" s="491">
        <v>1</v>
      </c>
      <c r="D1644" s="491">
        <v>0</v>
      </c>
      <c r="E1644" s="491">
        <v>1</v>
      </c>
      <c r="F1644" s="491">
        <v>0</v>
      </c>
      <c r="G1644" s="491">
        <f t="shared" si="25"/>
        <v>2</v>
      </c>
    </row>
    <row r="1645" spans="1:7" ht="12.75">
      <c r="A1645" s="134" t="s">
        <v>737</v>
      </c>
      <c r="B1645" s="134">
        <v>144</v>
      </c>
      <c r="C1645" s="491">
        <v>3</v>
      </c>
      <c r="D1645" s="491">
        <v>1</v>
      </c>
      <c r="E1645" s="491">
        <v>0</v>
      </c>
      <c r="F1645" s="491">
        <v>0</v>
      </c>
      <c r="G1645" s="491">
        <f t="shared" si="25"/>
        <v>4</v>
      </c>
    </row>
    <row r="1646" spans="1:7" ht="12.75">
      <c r="A1646" s="134" t="s">
        <v>737</v>
      </c>
      <c r="B1646" s="134">
        <v>215</v>
      </c>
      <c r="C1646" s="491">
        <v>20</v>
      </c>
      <c r="D1646" s="491">
        <v>5</v>
      </c>
      <c r="E1646" s="491">
        <v>0</v>
      </c>
      <c r="F1646" s="491">
        <v>0</v>
      </c>
      <c r="G1646" s="491">
        <f t="shared" si="25"/>
        <v>25</v>
      </c>
    </row>
    <row r="1647" spans="1:7" ht="12.75">
      <c r="A1647" s="134" t="s">
        <v>737</v>
      </c>
      <c r="B1647" s="134">
        <v>300</v>
      </c>
      <c r="C1647" s="491">
        <v>2</v>
      </c>
      <c r="D1647" s="491">
        <v>0</v>
      </c>
      <c r="E1647" s="491">
        <v>1</v>
      </c>
      <c r="F1647" s="491">
        <v>1</v>
      </c>
      <c r="G1647" s="491">
        <f t="shared" si="25"/>
        <v>4</v>
      </c>
    </row>
    <row r="1648" spans="1:7" ht="12.75">
      <c r="A1648" s="134" t="s">
        <v>737</v>
      </c>
      <c r="B1648" s="134">
        <v>301</v>
      </c>
      <c r="C1648" s="491">
        <v>3</v>
      </c>
      <c r="D1648" s="491">
        <v>2</v>
      </c>
      <c r="E1648" s="491">
        <v>1</v>
      </c>
      <c r="F1648" s="491">
        <v>1</v>
      </c>
      <c r="G1648" s="491">
        <f t="shared" si="25"/>
        <v>7</v>
      </c>
    </row>
    <row r="1649" spans="1:7" ht="12.75">
      <c r="A1649" s="134" t="s">
        <v>737</v>
      </c>
      <c r="B1649" s="134">
        <v>303</v>
      </c>
      <c r="C1649" s="491">
        <v>3</v>
      </c>
      <c r="D1649" s="491">
        <v>1</v>
      </c>
      <c r="E1649" s="491">
        <v>1</v>
      </c>
      <c r="F1649" s="491">
        <v>0</v>
      </c>
      <c r="G1649" s="491">
        <f t="shared" si="25"/>
        <v>5</v>
      </c>
    </row>
    <row r="1650" spans="1:7" ht="12.75">
      <c r="A1650" s="134" t="s">
        <v>737</v>
      </c>
      <c r="B1650" s="134">
        <v>307</v>
      </c>
      <c r="C1650" s="491">
        <v>0</v>
      </c>
      <c r="D1650" s="491">
        <v>0</v>
      </c>
      <c r="E1650" s="491">
        <v>2</v>
      </c>
      <c r="F1650" s="491">
        <v>0</v>
      </c>
      <c r="G1650" s="491">
        <f t="shared" si="25"/>
        <v>2</v>
      </c>
    </row>
    <row r="1651" spans="1:7" ht="12.75">
      <c r="A1651" s="134" t="s">
        <v>737</v>
      </c>
      <c r="B1651" s="134">
        <v>310</v>
      </c>
      <c r="C1651" s="491">
        <v>3339</v>
      </c>
      <c r="D1651" s="491">
        <v>2699</v>
      </c>
      <c r="E1651" s="491">
        <v>0</v>
      </c>
      <c r="F1651" s="491">
        <v>0</v>
      </c>
      <c r="G1651" s="491">
        <f t="shared" si="25"/>
        <v>6038</v>
      </c>
    </row>
    <row r="1652" spans="1:7" ht="12.75">
      <c r="A1652" s="134" t="s">
        <v>737</v>
      </c>
      <c r="B1652" s="134">
        <v>314</v>
      </c>
      <c r="C1652" s="491">
        <v>0</v>
      </c>
      <c r="D1652" s="491">
        <v>0</v>
      </c>
      <c r="E1652" s="491">
        <v>1</v>
      </c>
      <c r="F1652" s="491">
        <v>1</v>
      </c>
      <c r="G1652" s="491">
        <f t="shared" si="25"/>
        <v>2</v>
      </c>
    </row>
    <row r="1653" spans="1:7" ht="12.75">
      <c r="A1653" s="134" t="s">
        <v>737</v>
      </c>
      <c r="B1653" s="134">
        <v>319</v>
      </c>
      <c r="C1653" s="491">
        <v>1</v>
      </c>
      <c r="D1653" s="491">
        <v>0</v>
      </c>
      <c r="E1653" s="491">
        <v>0</v>
      </c>
      <c r="F1653" s="491">
        <v>0</v>
      </c>
      <c r="G1653" s="491">
        <f t="shared" si="25"/>
        <v>1</v>
      </c>
    </row>
    <row r="1654" spans="1:7" ht="12.75">
      <c r="A1654" s="134" t="s">
        <v>737</v>
      </c>
      <c r="B1654" s="134">
        <v>320</v>
      </c>
      <c r="C1654" s="491">
        <v>2</v>
      </c>
      <c r="D1654" s="491">
        <v>6</v>
      </c>
      <c r="E1654" s="491">
        <v>2</v>
      </c>
      <c r="F1654" s="491">
        <v>4</v>
      </c>
      <c r="G1654" s="491">
        <f t="shared" si="25"/>
        <v>14</v>
      </c>
    </row>
    <row r="1655" spans="1:7" ht="12.75">
      <c r="A1655" s="134" t="s">
        <v>737</v>
      </c>
      <c r="B1655" s="134">
        <v>330</v>
      </c>
      <c r="C1655" s="491">
        <v>10</v>
      </c>
      <c r="D1655" s="491">
        <v>1</v>
      </c>
      <c r="E1655" s="491">
        <v>3</v>
      </c>
      <c r="F1655" s="491">
        <v>0</v>
      </c>
      <c r="G1655" s="491">
        <f t="shared" si="25"/>
        <v>14</v>
      </c>
    </row>
    <row r="1656" spans="1:7" ht="12.75">
      <c r="A1656" s="134" t="s">
        <v>737</v>
      </c>
      <c r="B1656" s="134">
        <v>340</v>
      </c>
      <c r="C1656" s="491">
        <v>0</v>
      </c>
      <c r="D1656" s="491">
        <v>2</v>
      </c>
      <c r="E1656" s="491">
        <v>0</v>
      </c>
      <c r="F1656" s="491">
        <v>1</v>
      </c>
      <c r="G1656" s="491">
        <f t="shared" si="25"/>
        <v>3</v>
      </c>
    </row>
    <row r="1657" spans="1:7" ht="12.75">
      <c r="A1657" s="134" t="s">
        <v>737</v>
      </c>
      <c r="B1657" s="134">
        <v>341</v>
      </c>
      <c r="C1657" s="491">
        <v>4</v>
      </c>
      <c r="D1657" s="491">
        <v>0</v>
      </c>
      <c r="E1657" s="491">
        <v>0</v>
      </c>
      <c r="F1657" s="491">
        <v>0</v>
      </c>
      <c r="G1657" s="491">
        <f t="shared" si="25"/>
        <v>4</v>
      </c>
    </row>
    <row r="1658" spans="1:7" ht="12.75">
      <c r="A1658" s="134" t="s">
        <v>737</v>
      </c>
      <c r="B1658" s="134">
        <v>370</v>
      </c>
      <c r="C1658" s="491">
        <v>1</v>
      </c>
      <c r="D1658" s="491">
        <v>0</v>
      </c>
      <c r="E1658" s="491">
        <v>1</v>
      </c>
      <c r="F1658" s="491">
        <v>0</v>
      </c>
      <c r="G1658" s="491">
        <f t="shared" si="25"/>
        <v>2</v>
      </c>
    </row>
    <row r="1659" spans="1:7" ht="12.75">
      <c r="A1659" s="134" t="s">
        <v>737</v>
      </c>
      <c r="B1659" s="134">
        <v>400</v>
      </c>
      <c r="C1659" s="491">
        <v>3</v>
      </c>
      <c r="D1659" s="491">
        <v>3</v>
      </c>
      <c r="E1659" s="491">
        <v>0</v>
      </c>
      <c r="F1659" s="491">
        <v>3</v>
      </c>
      <c r="G1659" s="491">
        <f t="shared" si="25"/>
        <v>9</v>
      </c>
    </row>
    <row r="1660" spans="1:7" ht="12.75">
      <c r="A1660" s="134" t="s">
        <v>737</v>
      </c>
      <c r="B1660" s="134">
        <v>410</v>
      </c>
      <c r="C1660" s="491">
        <v>2</v>
      </c>
      <c r="D1660" s="491">
        <v>0</v>
      </c>
      <c r="E1660" s="491">
        <v>0</v>
      </c>
      <c r="F1660" s="491">
        <v>0</v>
      </c>
      <c r="G1660" s="491">
        <f t="shared" si="25"/>
        <v>2</v>
      </c>
    </row>
    <row r="1661" spans="1:7" ht="12.75">
      <c r="A1661" s="134" t="s">
        <v>737</v>
      </c>
      <c r="B1661" s="134">
        <v>501</v>
      </c>
      <c r="C1661" s="491">
        <v>2</v>
      </c>
      <c r="D1661" s="491">
        <v>0</v>
      </c>
      <c r="E1661" s="491">
        <v>3</v>
      </c>
      <c r="F1661" s="491">
        <v>1</v>
      </c>
      <c r="G1661" s="491">
        <f t="shared" si="25"/>
        <v>6</v>
      </c>
    </row>
    <row r="1662" spans="1:7" ht="12.75">
      <c r="A1662" s="134" t="s">
        <v>737</v>
      </c>
      <c r="B1662" s="134">
        <v>502</v>
      </c>
      <c r="C1662" s="491">
        <v>4</v>
      </c>
      <c r="D1662" s="491">
        <v>3</v>
      </c>
      <c r="E1662" s="491">
        <v>2</v>
      </c>
      <c r="F1662" s="491">
        <v>0</v>
      </c>
      <c r="G1662" s="491">
        <f t="shared" si="25"/>
        <v>9</v>
      </c>
    </row>
    <row r="1663" spans="1:7" ht="12.75">
      <c r="A1663" s="134" t="s">
        <v>737</v>
      </c>
      <c r="B1663" s="134">
        <v>503</v>
      </c>
      <c r="C1663" s="491">
        <v>0</v>
      </c>
      <c r="D1663" s="491">
        <v>0</v>
      </c>
      <c r="E1663" s="491">
        <v>1</v>
      </c>
      <c r="F1663" s="491">
        <v>0</v>
      </c>
      <c r="G1663" s="491">
        <f t="shared" si="25"/>
        <v>1</v>
      </c>
    </row>
    <row r="1664" spans="1:7" ht="12.75">
      <c r="A1664" s="134" t="s">
        <v>737</v>
      </c>
      <c r="B1664" s="134">
        <v>560</v>
      </c>
      <c r="C1664" s="491">
        <v>1</v>
      </c>
      <c r="D1664" s="491">
        <v>3</v>
      </c>
      <c r="E1664" s="491">
        <v>0</v>
      </c>
      <c r="F1664" s="491">
        <v>1</v>
      </c>
      <c r="G1664" s="491">
        <f t="shared" si="25"/>
        <v>5</v>
      </c>
    </row>
    <row r="1665" spans="1:7" ht="12.75">
      <c r="A1665" s="134" t="s">
        <v>737</v>
      </c>
      <c r="B1665" s="134">
        <v>654</v>
      </c>
      <c r="C1665" s="491">
        <v>0</v>
      </c>
      <c r="D1665" s="491">
        <v>0</v>
      </c>
      <c r="E1665" s="491">
        <v>0</v>
      </c>
      <c r="F1665" s="491">
        <v>1</v>
      </c>
      <c r="G1665" s="491">
        <f t="shared" si="25"/>
        <v>1</v>
      </c>
    </row>
    <row r="1666" spans="1:7" ht="12.75">
      <c r="A1666" s="134" t="s">
        <v>737</v>
      </c>
      <c r="B1666" s="134">
        <v>800</v>
      </c>
      <c r="C1666" s="491">
        <v>5</v>
      </c>
      <c r="D1666" s="491">
        <v>0</v>
      </c>
      <c r="E1666" s="491">
        <v>0</v>
      </c>
      <c r="F1666" s="491">
        <v>0</v>
      </c>
      <c r="G1666" s="491">
        <f t="shared" si="25"/>
        <v>5</v>
      </c>
    </row>
    <row r="1667" spans="1:7" ht="12.75">
      <c r="A1667" s="134" t="s">
        <v>737</v>
      </c>
      <c r="B1667" s="134">
        <v>840</v>
      </c>
      <c r="C1667" s="491">
        <v>144</v>
      </c>
      <c r="D1667" s="491">
        <v>293</v>
      </c>
      <c r="E1667" s="491">
        <v>0</v>
      </c>
      <c r="F1667" s="491">
        <v>0</v>
      </c>
      <c r="G1667" s="491">
        <f t="shared" si="25"/>
        <v>437</v>
      </c>
    </row>
    <row r="1668" spans="1:7" ht="12.75">
      <c r="A1668" s="134" t="s">
        <v>738</v>
      </c>
      <c r="B1668" s="134">
        <v>101</v>
      </c>
      <c r="C1668" s="491">
        <v>3</v>
      </c>
      <c r="D1668" s="491">
        <v>0</v>
      </c>
      <c r="E1668" s="491">
        <v>0</v>
      </c>
      <c r="F1668" s="491">
        <v>0</v>
      </c>
      <c r="G1668" s="491">
        <f t="shared" ref="G1668:G1731" si="26">SUM(C1668:F1668)</f>
        <v>3</v>
      </c>
    </row>
    <row r="1669" spans="1:7" ht="12.75">
      <c r="A1669" s="134" t="s">
        <v>738</v>
      </c>
      <c r="B1669" s="134">
        <v>104</v>
      </c>
      <c r="C1669" s="491">
        <v>0</v>
      </c>
      <c r="D1669" s="491">
        <v>0</v>
      </c>
      <c r="E1669" s="491">
        <v>1</v>
      </c>
      <c r="F1669" s="491">
        <v>0</v>
      </c>
      <c r="G1669" s="491">
        <f t="shared" si="26"/>
        <v>1</v>
      </c>
    </row>
    <row r="1670" spans="1:7" ht="12.75">
      <c r="A1670" s="134" t="s">
        <v>738</v>
      </c>
      <c r="B1670" s="134">
        <v>110</v>
      </c>
      <c r="C1670" s="491">
        <v>1</v>
      </c>
      <c r="D1670" s="491">
        <v>0</v>
      </c>
      <c r="E1670" s="491">
        <v>0</v>
      </c>
      <c r="F1670" s="491">
        <v>0</v>
      </c>
      <c r="G1670" s="491">
        <f t="shared" si="26"/>
        <v>1</v>
      </c>
    </row>
    <row r="1671" spans="1:7" ht="12.75">
      <c r="A1671" s="134" t="s">
        <v>738</v>
      </c>
      <c r="B1671" s="134">
        <v>120</v>
      </c>
      <c r="C1671" s="491">
        <v>1665</v>
      </c>
      <c r="D1671" s="491">
        <v>784</v>
      </c>
      <c r="E1671" s="491">
        <v>298</v>
      </c>
      <c r="F1671" s="491">
        <v>108</v>
      </c>
      <c r="G1671" s="491">
        <f t="shared" si="26"/>
        <v>2855</v>
      </c>
    </row>
    <row r="1672" spans="1:7" ht="12.75">
      <c r="A1672" s="134" t="s">
        <v>738</v>
      </c>
      <c r="B1672" s="134">
        <v>130</v>
      </c>
      <c r="C1672" s="491">
        <v>1</v>
      </c>
      <c r="D1672" s="491">
        <v>2</v>
      </c>
      <c r="E1672" s="491">
        <v>1</v>
      </c>
      <c r="F1672" s="491">
        <v>3</v>
      </c>
      <c r="G1672" s="491">
        <f t="shared" si="26"/>
        <v>7</v>
      </c>
    </row>
    <row r="1673" spans="1:7" ht="12.75">
      <c r="A1673" s="134" t="s">
        <v>738</v>
      </c>
      <c r="B1673" s="134">
        <v>140</v>
      </c>
      <c r="C1673" s="491">
        <v>0</v>
      </c>
      <c r="D1673" s="491">
        <v>0</v>
      </c>
      <c r="E1673" s="491">
        <v>0</v>
      </c>
      <c r="F1673" s="491">
        <v>2</v>
      </c>
      <c r="G1673" s="491">
        <f t="shared" si="26"/>
        <v>2</v>
      </c>
    </row>
    <row r="1674" spans="1:7" ht="12.75">
      <c r="A1674" s="134" t="s">
        <v>738</v>
      </c>
      <c r="B1674" s="134">
        <v>143</v>
      </c>
      <c r="C1674" s="491">
        <v>4</v>
      </c>
      <c r="D1674" s="491">
        <v>0</v>
      </c>
      <c r="E1674" s="491">
        <v>1</v>
      </c>
      <c r="F1674" s="491">
        <v>0</v>
      </c>
      <c r="G1674" s="491">
        <f t="shared" si="26"/>
        <v>5</v>
      </c>
    </row>
    <row r="1675" spans="1:7" ht="12.75">
      <c r="A1675" s="134" t="s">
        <v>738</v>
      </c>
      <c r="B1675" s="134">
        <v>214</v>
      </c>
      <c r="C1675" s="491">
        <v>1</v>
      </c>
      <c r="D1675" s="491">
        <v>0</v>
      </c>
      <c r="E1675" s="491">
        <v>1</v>
      </c>
      <c r="F1675" s="491">
        <v>1</v>
      </c>
      <c r="G1675" s="491">
        <f t="shared" si="26"/>
        <v>3</v>
      </c>
    </row>
    <row r="1676" spans="1:7" ht="12.75">
      <c r="A1676" s="134" t="s">
        <v>738</v>
      </c>
      <c r="B1676" s="134">
        <v>215</v>
      </c>
      <c r="C1676" s="491">
        <v>159</v>
      </c>
      <c r="D1676" s="491">
        <v>60</v>
      </c>
      <c r="E1676" s="491">
        <v>0</v>
      </c>
      <c r="F1676" s="491">
        <v>0</v>
      </c>
      <c r="G1676" s="491">
        <f t="shared" si="26"/>
        <v>219</v>
      </c>
    </row>
    <row r="1677" spans="1:7" ht="12.75">
      <c r="A1677" s="134" t="s">
        <v>738</v>
      </c>
      <c r="B1677" s="134">
        <v>216</v>
      </c>
      <c r="C1677" s="491">
        <v>2</v>
      </c>
      <c r="D1677" s="491">
        <v>0</v>
      </c>
      <c r="E1677" s="491">
        <v>1</v>
      </c>
      <c r="F1677" s="491">
        <v>0</v>
      </c>
      <c r="G1677" s="491">
        <f t="shared" si="26"/>
        <v>3</v>
      </c>
    </row>
    <row r="1678" spans="1:7" ht="12.75">
      <c r="A1678" s="134" t="s">
        <v>738</v>
      </c>
      <c r="B1678" s="134">
        <v>263</v>
      </c>
      <c r="C1678" s="491">
        <v>1</v>
      </c>
      <c r="D1678" s="491">
        <v>0</v>
      </c>
      <c r="E1678" s="491">
        <v>0</v>
      </c>
      <c r="F1678" s="491">
        <v>0</v>
      </c>
      <c r="G1678" s="491">
        <f t="shared" si="26"/>
        <v>1</v>
      </c>
    </row>
    <row r="1679" spans="1:7" ht="12.75">
      <c r="A1679" s="134" t="s">
        <v>738</v>
      </c>
      <c r="B1679" s="134">
        <v>290</v>
      </c>
      <c r="C1679" s="491">
        <v>63</v>
      </c>
      <c r="D1679" s="491">
        <v>82</v>
      </c>
      <c r="E1679" s="491">
        <v>0</v>
      </c>
      <c r="F1679" s="491">
        <v>0</v>
      </c>
      <c r="G1679" s="491">
        <f t="shared" si="26"/>
        <v>145</v>
      </c>
    </row>
    <row r="1680" spans="1:7" ht="12.75">
      <c r="A1680" s="134" t="s">
        <v>738</v>
      </c>
      <c r="B1680" s="134">
        <v>310</v>
      </c>
      <c r="C1680" s="491">
        <v>9</v>
      </c>
      <c r="D1680" s="491">
        <v>0</v>
      </c>
      <c r="E1680" s="491">
        <v>0</v>
      </c>
      <c r="F1680" s="491">
        <v>0</v>
      </c>
      <c r="G1680" s="491">
        <f t="shared" si="26"/>
        <v>9</v>
      </c>
    </row>
    <row r="1681" spans="1:7" ht="12.75">
      <c r="A1681" s="134" t="s">
        <v>738</v>
      </c>
      <c r="B1681" s="134">
        <v>420</v>
      </c>
      <c r="C1681" s="491">
        <v>2</v>
      </c>
      <c r="D1681" s="491">
        <v>0</v>
      </c>
      <c r="E1681" s="491">
        <v>3</v>
      </c>
      <c r="F1681" s="491">
        <v>2</v>
      </c>
      <c r="G1681" s="491">
        <f t="shared" si="26"/>
        <v>7</v>
      </c>
    </row>
    <row r="1682" spans="1:7" ht="12.75">
      <c r="A1682" s="134" t="s">
        <v>738</v>
      </c>
      <c r="B1682" s="134">
        <v>502</v>
      </c>
      <c r="C1682" s="491">
        <v>0</v>
      </c>
      <c r="D1682" s="491">
        <v>1</v>
      </c>
      <c r="E1682" s="491">
        <v>0</v>
      </c>
      <c r="F1682" s="491">
        <v>0</v>
      </c>
      <c r="G1682" s="491">
        <f t="shared" si="26"/>
        <v>1</v>
      </c>
    </row>
    <row r="1683" spans="1:7" ht="12.75">
      <c r="A1683" s="134" t="s">
        <v>738</v>
      </c>
      <c r="B1683" s="134">
        <v>840</v>
      </c>
      <c r="C1683" s="491">
        <v>0</v>
      </c>
      <c r="D1683" s="491">
        <v>1</v>
      </c>
      <c r="E1683" s="491">
        <v>0</v>
      </c>
      <c r="F1683" s="491">
        <v>0</v>
      </c>
      <c r="G1683" s="491">
        <f t="shared" si="26"/>
        <v>1</v>
      </c>
    </row>
    <row r="1684" spans="1:7" ht="12.75">
      <c r="A1684" s="134" t="s">
        <v>739</v>
      </c>
      <c r="B1684" s="134">
        <v>120</v>
      </c>
      <c r="C1684" s="491">
        <v>4</v>
      </c>
      <c r="D1684" s="491">
        <v>2</v>
      </c>
      <c r="E1684" s="491">
        <v>0</v>
      </c>
      <c r="F1684" s="491">
        <v>0</v>
      </c>
      <c r="G1684" s="491">
        <f t="shared" si="26"/>
        <v>6</v>
      </c>
    </row>
    <row r="1685" spans="1:7" ht="12.75">
      <c r="A1685" s="134" t="s">
        <v>739</v>
      </c>
      <c r="B1685" s="134">
        <v>140</v>
      </c>
      <c r="C1685" s="491">
        <v>2</v>
      </c>
      <c r="D1685" s="491">
        <v>0</v>
      </c>
      <c r="E1685" s="491">
        <v>0</v>
      </c>
      <c r="F1685" s="491">
        <v>0</v>
      </c>
      <c r="G1685" s="491">
        <f t="shared" si="26"/>
        <v>2</v>
      </c>
    </row>
    <row r="1686" spans="1:7" ht="12.75">
      <c r="A1686" s="134" t="s">
        <v>739</v>
      </c>
      <c r="B1686" s="134">
        <v>141</v>
      </c>
      <c r="C1686" s="491">
        <v>3</v>
      </c>
      <c r="D1686" s="491">
        <v>2</v>
      </c>
      <c r="E1686" s="491">
        <v>0</v>
      </c>
      <c r="F1686" s="491">
        <v>0</v>
      </c>
      <c r="G1686" s="491">
        <f t="shared" si="26"/>
        <v>5</v>
      </c>
    </row>
    <row r="1687" spans="1:7" ht="12.75">
      <c r="A1687" s="134" t="s">
        <v>739</v>
      </c>
      <c r="B1687" s="134">
        <v>143</v>
      </c>
      <c r="C1687" s="491">
        <v>2</v>
      </c>
      <c r="D1687" s="491">
        <v>0</v>
      </c>
      <c r="E1687" s="491">
        <v>0</v>
      </c>
      <c r="F1687" s="491">
        <v>0</v>
      </c>
      <c r="G1687" s="491">
        <f t="shared" si="26"/>
        <v>2</v>
      </c>
    </row>
    <row r="1688" spans="1:7" ht="12.75">
      <c r="A1688" s="134" t="s">
        <v>739</v>
      </c>
      <c r="B1688" s="134">
        <v>144</v>
      </c>
      <c r="C1688" s="491">
        <v>1</v>
      </c>
      <c r="D1688" s="491">
        <v>1</v>
      </c>
      <c r="E1688" s="491">
        <v>0</v>
      </c>
      <c r="F1688" s="491">
        <v>0</v>
      </c>
      <c r="G1688" s="491">
        <f t="shared" si="26"/>
        <v>2</v>
      </c>
    </row>
    <row r="1689" spans="1:7" ht="12.75">
      <c r="A1689" s="134" t="s">
        <v>739</v>
      </c>
      <c r="B1689" s="134">
        <v>450</v>
      </c>
      <c r="C1689" s="491">
        <v>1</v>
      </c>
      <c r="D1689" s="491">
        <v>0</v>
      </c>
      <c r="E1689" s="491">
        <v>0</v>
      </c>
      <c r="F1689" s="491">
        <v>0</v>
      </c>
      <c r="G1689" s="491">
        <f t="shared" si="26"/>
        <v>1</v>
      </c>
    </row>
    <row r="1690" spans="1:7" ht="12.75">
      <c r="A1690" s="134" t="s">
        <v>739</v>
      </c>
      <c r="B1690" s="134">
        <v>501</v>
      </c>
      <c r="C1690" s="491">
        <v>37</v>
      </c>
      <c r="D1690" s="491">
        <v>7</v>
      </c>
      <c r="E1690" s="491">
        <v>0</v>
      </c>
      <c r="F1690" s="491">
        <v>0</v>
      </c>
      <c r="G1690" s="491">
        <f t="shared" si="26"/>
        <v>44</v>
      </c>
    </row>
    <row r="1691" spans="1:7" ht="12.75">
      <c r="A1691" s="134" t="s">
        <v>739</v>
      </c>
      <c r="B1691" s="134">
        <v>800</v>
      </c>
      <c r="C1691" s="491">
        <v>0</v>
      </c>
      <c r="D1691" s="491">
        <v>0</v>
      </c>
      <c r="E1691" s="491">
        <v>1</v>
      </c>
      <c r="F1691" s="491">
        <v>0</v>
      </c>
      <c r="G1691" s="491">
        <f t="shared" si="26"/>
        <v>1</v>
      </c>
    </row>
    <row r="1692" spans="1:7" ht="12.75">
      <c r="A1692" s="134" t="s">
        <v>740</v>
      </c>
      <c r="B1692" s="134">
        <v>142</v>
      </c>
      <c r="C1692" s="491">
        <v>0</v>
      </c>
      <c r="D1692" s="491">
        <v>1</v>
      </c>
      <c r="E1692" s="491">
        <v>0</v>
      </c>
      <c r="F1692" s="491">
        <v>0</v>
      </c>
      <c r="G1692" s="491">
        <f t="shared" si="26"/>
        <v>1</v>
      </c>
    </row>
    <row r="1693" spans="1:7" ht="12.75">
      <c r="A1693" s="134" t="s">
        <v>740</v>
      </c>
      <c r="B1693" s="134">
        <v>143</v>
      </c>
      <c r="C1693" s="491">
        <v>3</v>
      </c>
      <c r="D1693" s="491">
        <v>0</v>
      </c>
      <c r="E1693" s="491">
        <v>0</v>
      </c>
      <c r="F1693" s="491">
        <v>0</v>
      </c>
      <c r="G1693" s="491">
        <f t="shared" si="26"/>
        <v>3</v>
      </c>
    </row>
    <row r="1694" spans="1:7" ht="12.75">
      <c r="A1694" s="134" t="s">
        <v>740</v>
      </c>
      <c r="B1694" s="134">
        <v>501</v>
      </c>
      <c r="C1694" s="491">
        <v>2</v>
      </c>
      <c r="D1694" s="491">
        <v>0</v>
      </c>
      <c r="E1694" s="491">
        <v>0</v>
      </c>
      <c r="F1694" s="491">
        <v>0</v>
      </c>
      <c r="G1694" s="491">
        <f t="shared" si="26"/>
        <v>2</v>
      </c>
    </row>
    <row r="1695" spans="1:7" ht="12.75">
      <c r="A1695" s="134" t="s">
        <v>741</v>
      </c>
      <c r="B1695" s="134">
        <v>120</v>
      </c>
      <c r="C1695" s="491">
        <v>1</v>
      </c>
      <c r="D1695" s="491">
        <v>0</v>
      </c>
      <c r="E1695" s="491">
        <v>0</v>
      </c>
      <c r="F1695" s="491">
        <v>0</v>
      </c>
      <c r="G1695" s="491">
        <f t="shared" si="26"/>
        <v>1</v>
      </c>
    </row>
    <row r="1696" spans="1:7" ht="12.75">
      <c r="A1696" s="134" t="s">
        <v>741</v>
      </c>
      <c r="B1696" s="134">
        <v>215</v>
      </c>
      <c r="C1696" s="491">
        <v>0</v>
      </c>
      <c r="D1696" s="491">
        <v>0</v>
      </c>
      <c r="E1696" s="491">
        <v>1</v>
      </c>
      <c r="F1696" s="491">
        <v>0</v>
      </c>
      <c r="G1696" s="491">
        <f t="shared" si="26"/>
        <v>1</v>
      </c>
    </row>
    <row r="1697" spans="1:7" ht="12.75">
      <c r="A1697" s="134" t="s">
        <v>742</v>
      </c>
      <c r="B1697" s="134">
        <v>215</v>
      </c>
      <c r="C1697" s="491">
        <v>0</v>
      </c>
      <c r="D1697" s="491">
        <v>0</v>
      </c>
      <c r="E1697" s="491">
        <v>1</v>
      </c>
      <c r="F1697" s="491">
        <v>0</v>
      </c>
      <c r="G1697" s="491">
        <f t="shared" si="26"/>
        <v>1</v>
      </c>
    </row>
    <row r="1698" spans="1:7" ht="12.75">
      <c r="A1698" s="134" t="s">
        <v>742</v>
      </c>
      <c r="B1698" s="134">
        <v>320</v>
      </c>
      <c r="C1698" s="491">
        <v>1</v>
      </c>
      <c r="D1698" s="491">
        <v>0</v>
      </c>
      <c r="E1698" s="491">
        <v>0</v>
      </c>
      <c r="F1698" s="491">
        <v>0</v>
      </c>
      <c r="G1698" s="491">
        <f t="shared" si="26"/>
        <v>1</v>
      </c>
    </row>
    <row r="1699" spans="1:7" ht="12.75">
      <c r="A1699" s="134" t="s">
        <v>742</v>
      </c>
      <c r="B1699" s="134">
        <v>340</v>
      </c>
      <c r="C1699" s="491">
        <v>1</v>
      </c>
      <c r="D1699" s="491">
        <v>0</v>
      </c>
      <c r="E1699" s="491">
        <v>0</v>
      </c>
      <c r="F1699" s="491">
        <v>0</v>
      </c>
      <c r="G1699" s="491">
        <f t="shared" si="26"/>
        <v>1</v>
      </c>
    </row>
    <row r="1700" spans="1:7" ht="12.75">
      <c r="A1700" s="134" t="s">
        <v>742</v>
      </c>
      <c r="B1700" s="134">
        <v>501</v>
      </c>
      <c r="C1700" s="491">
        <v>1</v>
      </c>
      <c r="D1700" s="491">
        <v>0</v>
      </c>
      <c r="E1700" s="491">
        <v>0</v>
      </c>
      <c r="F1700" s="491">
        <v>0</v>
      </c>
      <c r="G1700" s="491">
        <f t="shared" si="26"/>
        <v>1</v>
      </c>
    </row>
    <row r="1701" spans="1:7" ht="12.75">
      <c r="A1701" s="134" t="s">
        <v>743</v>
      </c>
      <c r="B1701" s="134">
        <v>120</v>
      </c>
      <c r="C1701" s="491">
        <v>196</v>
      </c>
      <c r="D1701" s="491">
        <v>21</v>
      </c>
      <c r="E1701" s="491">
        <v>6</v>
      </c>
      <c r="F1701" s="491">
        <v>1</v>
      </c>
      <c r="G1701" s="491">
        <f t="shared" si="26"/>
        <v>224</v>
      </c>
    </row>
    <row r="1702" spans="1:7" ht="12.75">
      <c r="A1702" s="134" t="s">
        <v>743</v>
      </c>
      <c r="B1702" s="134">
        <v>140</v>
      </c>
      <c r="C1702" s="491">
        <v>1</v>
      </c>
      <c r="D1702" s="491">
        <v>0</v>
      </c>
      <c r="E1702" s="491">
        <v>0</v>
      </c>
      <c r="F1702" s="491">
        <v>0</v>
      </c>
      <c r="G1702" s="491">
        <f t="shared" si="26"/>
        <v>1</v>
      </c>
    </row>
    <row r="1703" spans="1:7" ht="12.75">
      <c r="A1703" s="134" t="s">
        <v>743</v>
      </c>
      <c r="B1703" s="134">
        <v>143</v>
      </c>
      <c r="C1703" s="491">
        <v>1</v>
      </c>
      <c r="D1703" s="491">
        <v>0</v>
      </c>
      <c r="E1703" s="491">
        <v>0</v>
      </c>
      <c r="F1703" s="491">
        <v>0</v>
      </c>
      <c r="G1703" s="491">
        <f t="shared" si="26"/>
        <v>1</v>
      </c>
    </row>
    <row r="1704" spans="1:7" ht="12.75">
      <c r="A1704" s="134" t="s">
        <v>743</v>
      </c>
      <c r="B1704" s="134">
        <v>290</v>
      </c>
      <c r="C1704" s="491">
        <v>17</v>
      </c>
      <c r="D1704" s="491">
        <v>0</v>
      </c>
      <c r="E1704" s="491">
        <v>0</v>
      </c>
      <c r="F1704" s="491">
        <v>0</v>
      </c>
      <c r="G1704" s="491">
        <f t="shared" si="26"/>
        <v>17</v>
      </c>
    </row>
    <row r="1705" spans="1:7" ht="12.75">
      <c r="A1705" s="134" t="s">
        <v>743</v>
      </c>
      <c r="B1705" s="134">
        <v>300</v>
      </c>
      <c r="C1705" s="491">
        <v>7</v>
      </c>
      <c r="D1705" s="491">
        <v>1</v>
      </c>
      <c r="E1705" s="491">
        <v>0</v>
      </c>
      <c r="F1705" s="491">
        <v>0</v>
      </c>
      <c r="G1705" s="491">
        <f t="shared" si="26"/>
        <v>8</v>
      </c>
    </row>
    <row r="1706" spans="1:7" ht="12.75">
      <c r="A1706" s="134" t="s">
        <v>743</v>
      </c>
      <c r="B1706" s="134">
        <v>342</v>
      </c>
      <c r="C1706" s="491">
        <v>0</v>
      </c>
      <c r="D1706" s="491">
        <v>1</v>
      </c>
      <c r="E1706" s="491">
        <v>0</v>
      </c>
      <c r="F1706" s="491">
        <v>0</v>
      </c>
      <c r="G1706" s="491">
        <f t="shared" si="26"/>
        <v>1</v>
      </c>
    </row>
    <row r="1707" spans="1:7" ht="12.75">
      <c r="A1707" s="134" t="s">
        <v>743</v>
      </c>
      <c r="B1707" s="134">
        <v>420</v>
      </c>
      <c r="C1707" s="491">
        <v>55</v>
      </c>
      <c r="D1707" s="491">
        <v>1</v>
      </c>
      <c r="E1707" s="491">
        <v>1</v>
      </c>
      <c r="F1707" s="491">
        <v>0</v>
      </c>
      <c r="G1707" s="491">
        <f t="shared" si="26"/>
        <v>57</v>
      </c>
    </row>
    <row r="1708" spans="1:7" ht="12.75">
      <c r="A1708" s="134" t="s">
        <v>743</v>
      </c>
      <c r="B1708" s="134">
        <v>422</v>
      </c>
      <c r="C1708" s="491">
        <v>2</v>
      </c>
      <c r="D1708" s="491">
        <v>0</v>
      </c>
      <c r="E1708" s="491">
        <v>0</v>
      </c>
      <c r="F1708" s="491">
        <v>0</v>
      </c>
      <c r="G1708" s="491">
        <f t="shared" si="26"/>
        <v>2</v>
      </c>
    </row>
    <row r="1709" spans="1:7" ht="12.75">
      <c r="A1709" s="134" t="s">
        <v>743</v>
      </c>
      <c r="B1709" s="134">
        <v>501</v>
      </c>
      <c r="C1709" s="491">
        <v>3</v>
      </c>
      <c r="D1709" s="491">
        <v>1</v>
      </c>
      <c r="E1709" s="491">
        <v>0</v>
      </c>
      <c r="F1709" s="491">
        <v>0</v>
      </c>
      <c r="G1709" s="491">
        <f t="shared" si="26"/>
        <v>4</v>
      </c>
    </row>
    <row r="1710" spans="1:7" ht="12.75">
      <c r="A1710" s="134" t="s">
        <v>743</v>
      </c>
      <c r="B1710" s="134">
        <v>502</v>
      </c>
      <c r="C1710" s="491">
        <v>1</v>
      </c>
      <c r="D1710" s="491">
        <v>0</v>
      </c>
      <c r="E1710" s="491">
        <v>0</v>
      </c>
      <c r="F1710" s="491">
        <v>0</v>
      </c>
      <c r="G1710" s="491">
        <f t="shared" si="26"/>
        <v>1</v>
      </c>
    </row>
    <row r="1711" spans="1:7" ht="12.75">
      <c r="A1711" s="134" t="s">
        <v>743</v>
      </c>
      <c r="B1711" s="134">
        <v>800</v>
      </c>
      <c r="C1711" s="491">
        <v>4</v>
      </c>
      <c r="D1711" s="491">
        <v>0</v>
      </c>
      <c r="E1711" s="491">
        <v>3</v>
      </c>
      <c r="F1711" s="491">
        <v>0</v>
      </c>
      <c r="G1711" s="491">
        <f t="shared" si="26"/>
        <v>7</v>
      </c>
    </row>
    <row r="1712" spans="1:7" ht="12.75">
      <c r="A1712" s="134" t="s">
        <v>1051</v>
      </c>
      <c r="B1712" s="134">
        <v>140</v>
      </c>
      <c r="C1712" s="491">
        <v>2</v>
      </c>
      <c r="D1712" s="491">
        <v>0</v>
      </c>
      <c r="E1712" s="491">
        <v>0</v>
      </c>
      <c r="F1712" s="491">
        <v>0</v>
      </c>
      <c r="G1712" s="491">
        <f t="shared" si="26"/>
        <v>2</v>
      </c>
    </row>
    <row r="1713" spans="1:7" ht="12.75">
      <c r="A1713" s="134" t="s">
        <v>1051</v>
      </c>
      <c r="B1713" s="134">
        <v>144</v>
      </c>
      <c r="C1713" s="491">
        <v>0</v>
      </c>
      <c r="D1713" s="491">
        <v>1</v>
      </c>
      <c r="E1713" s="491">
        <v>0</v>
      </c>
      <c r="F1713" s="491">
        <v>0</v>
      </c>
      <c r="G1713" s="491">
        <f t="shared" si="26"/>
        <v>1</v>
      </c>
    </row>
    <row r="1714" spans="1:7" ht="12.75">
      <c r="A1714" s="134" t="s">
        <v>744</v>
      </c>
      <c r="B1714" s="134">
        <v>100</v>
      </c>
      <c r="C1714" s="491">
        <v>0</v>
      </c>
      <c r="D1714" s="491">
        <v>2</v>
      </c>
      <c r="E1714" s="491">
        <v>0</v>
      </c>
      <c r="F1714" s="491">
        <v>1</v>
      </c>
      <c r="G1714" s="491">
        <f t="shared" si="26"/>
        <v>3</v>
      </c>
    </row>
    <row r="1715" spans="1:7" ht="12.75">
      <c r="A1715" s="134" t="s">
        <v>744</v>
      </c>
      <c r="B1715" s="134">
        <v>101</v>
      </c>
      <c r="C1715" s="491">
        <v>0</v>
      </c>
      <c r="D1715" s="491">
        <v>1</v>
      </c>
      <c r="E1715" s="491">
        <v>0</v>
      </c>
      <c r="F1715" s="491">
        <v>0</v>
      </c>
      <c r="G1715" s="491">
        <f t="shared" si="26"/>
        <v>1</v>
      </c>
    </row>
    <row r="1716" spans="1:7" ht="12.75">
      <c r="A1716" s="134" t="s">
        <v>744</v>
      </c>
      <c r="B1716" s="134">
        <v>107</v>
      </c>
      <c r="C1716" s="491">
        <v>0</v>
      </c>
      <c r="D1716" s="491">
        <v>1</v>
      </c>
      <c r="E1716" s="491">
        <v>0</v>
      </c>
      <c r="F1716" s="491">
        <v>0</v>
      </c>
      <c r="G1716" s="491">
        <f t="shared" si="26"/>
        <v>1</v>
      </c>
    </row>
    <row r="1717" spans="1:7" ht="12.75">
      <c r="A1717" s="134" t="s">
        <v>744</v>
      </c>
      <c r="B1717" s="134">
        <v>110</v>
      </c>
      <c r="C1717" s="491">
        <v>1</v>
      </c>
      <c r="D1717" s="491">
        <v>1</v>
      </c>
      <c r="E1717" s="491">
        <v>0</v>
      </c>
      <c r="F1717" s="491">
        <v>0</v>
      </c>
      <c r="G1717" s="491">
        <f t="shared" si="26"/>
        <v>2</v>
      </c>
    </row>
    <row r="1718" spans="1:7" ht="12.75">
      <c r="A1718" s="134" t="s">
        <v>744</v>
      </c>
      <c r="B1718" s="134">
        <v>120</v>
      </c>
      <c r="C1718" s="491">
        <v>40</v>
      </c>
      <c r="D1718" s="491">
        <v>1222</v>
      </c>
      <c r="E1718" s="491">
        <v>1</v>
      </c>
      <c r="F1718" s="491">
        <v>45</v>
      </c>
      <c r="G1718" s="491">
        <f t="shared" si="26"/>
        <v>1308</v>
      </c>
    </row>
    <row r="1719" spans="1:7" ht="12.75">
      <c r="A1719" s="134" t="s">
        <v>744</v>
      </c>
      <c r="B1719" s="134">
        <v>130</v>
      </c>
      <c r="C1719" s="491">
        <v>0</v>
      </c>
      <c r="D1719" s="491">
        <v>2</v>
      </c>
      <c r="E1719" s="491">
        <v>0</v>
      </c>
      <c r="F1719" s="491">
        <v>0</v>
      </c>
      <c r="G1719" s="491">
        <f t="shared" si="26"/>
        <v>2</v>
      </c>
    </row>
    <row r="1720" spans="1:7" ht="12.75">
      <c r="A1720" s="134" t="s">
        <v>744</v>
      </c>
      <c r="B1720" s="134">
        <v>140</v>
      </c>
      <c r="C1720" s="491">
        <v>228</v>
      </c>
      <c r="D1720" s="491">
        <v>575</v>
      </c>
      <c r="E1720" s="491">
        <v>5</v>
      </c>
      <c r="F1720" s="491">
        <v>92</v>
      </c>
      <c r="G1720" s="491">
        <f t="shared" si="26"/>
        <v>900</v>
      </c>
    </row>
    <row r="1721" spans="1:7" ht="12.75">
      <c r="A1721" s="134" t="s">
        <v>744</v>
      </c>
      <c r="B1721" s="134">
        <v>141</v>
      </c>
      <c r="C1721" s="491">
        <v>2</v>
      </c>
      <c r="D1721" s="491">
        <v>0</v>
      </c>
      <c r="E1721" s="491">
        <v>0</v>
      </c>
      <c r="F1721" s="491">
        <v>0</v>
      </c>
      <c r="G1721" s="491">
        <f t="shared" si="26"/>
        <v>2</v>
      </c>
    </row>
    <row r="1722" spans="1:7" ht="12.75">
      <c r="A1722" s="134" t="s">
        <v>744</v>
      </c>
      <c r="B1722" s="134">
        <v>142</v>
      </c>
      <c r="C1722" s="491">
        <v>9</v>
      </c>
      <c r="D1722" s="491">
        <v>1</v>
      </c>
      <c r="E1722" s="491">
        <v>0</v>
      </c>
      <c r="F1722" s="491">
        <v>0</v>
      </c>
      <c r="G1722" s="491">
        <f t="shared" si="26"/>
        <v>10</v>
      </c>
    </row>
    <row r="1723" spans="1:7" ht="12.75">
      <c r="A1723" s="134" t="s">
        <v>744</v>
      </c>
      <c r="B1723" s="134">
        <v>143</v>
      </c>
      <c r="C1723" s="491">
        <v>1</v>
      </c>
      <c r="D1723" s="491">
        <v>1</v>
      </c>
      <c r="E1723" s="491">
        <v>0</v>
      </c>
      <c r="F1723" s="491">
        <v>0</v>
      </c>
      <c r="G1723" s="491">
        <f t="shared" si="26"/>
        <v>2</v>
      </c>
    </row>
    <row r="1724" spans="1:7" ht="12.75">
      <c r="A1724" s="134" t="s">
        <v>744</v>
      </c>
      <c r="B1724" s="134">
        <v>144</v>
      </c>
      <c r="C1724" s="491">
        <v>124</v>
      </c>
      <c r="D1724" s="491">
        <v>317</v>
      </c>
      <c r="E1724" s="491">
        <v>2</v>
      </c>
      <c r="F1724" s="491">
        <v>0</v>
      </c>
      <c r="G1724" s="491">
        <f t="shared" si="26"/>
        <v>443</v>
      </c>
    </row>
    <row r="1725" spans="1:7" ht="12.75">
      <c r="A1725" s="134" t="s">
        <v>744</v>
      </c>
      <c r="B1725" s="134">
        <v>160</v>
      </c>
      <c r="C1725" s="491">
        <v>0</v>
      </c>
      <c r="D1725" s="491">
        <v>10</v>
      </c>
      <c r="E1725" s="491">
        <v>0</v>
      </c>
      <c r="F1725" s="491">
        <v>0</v>
      </c>
      <c r="G1725" s="491">
        <f t="shared" si="26"/>
        <v>10</v>
      </c>
    </row>
    <row r="1726" spans="1:7" ht="12.75">
      <c r="A1726" s="134" t="s">
        <v>744</v>
      </c>
      <c r="B1726" s="134">
        <v>171</v>
      </c>
      <c r="C1726" s="491">
        <v>40</v>
      </c>
      <c r="D1726" s="491">
        <v>1817</v>
      </c>
      <c r="E1726" s="491">
        <v>0</v>
      </c>
      <c r="F1726" s="491">
        <v>20</v>
      </c>
      <c r="G1726" s="491">
        <f t="shared" si="26"/>
        <v>1877</v>
      </c>
    </row>
    <row r="1727" spans="1:7" ht="12.75">
      <c r="A1727" s="134" t="s">
        <v>744</v>
      </c>
      <c r="B1727" s="134">
        <v>191</v>
      </c>
      <c r="C1727" s="491">
        <v>1</v>
      </c>
      <c r="D1727" s="491">
        <v>0</v>
      </c>
      <c r="E1727" s="491">
        <v>0</v>
      </c>
      <c r="F1727" s="491">
        <v>0</v>
      </c>
      <c r="G1727" s="491">
        <f t="shared" si="26"/>
        <v>1</v>
      </c>
    </row>
    <row r="1728" spans="1:7" ht="12.75">
      <c r="A1728" s="134" t="s">
        <v>744</v>
      </c>
      <c r="B1728" s="134">
        <v>212</v>
      </c>
      <c r="C1728" s="491">
        <v>0</v>
      </c>
      <c r="D1728" s="491">
        <v>1</v>
      </c>
      <c r="E1728" s="491">
        <v>0</v>
      </c>
      <c r="F1728" s="491">
        <v>0</v>
      </c>
      <c r="G1728" s="491">
        <f t="shared" si="26"/>
        <v>1</v>
      </c>
    </row>
    <row r="1729" spans="1:7" ht="12.75">
      <c r="A1729" s="134" t="s">
        <v>744</v>
      </c>
      <c r="B1729" s="134">
        <v>214</v>
      </c>
      <c r="C1729" s="491">
        <v>0</v>
      </c>
      <c r="D1729" s="491">
        <v>2</v>
      </c>
      <c r="E1729" s="491">
        <v>0</v>
      </c>
      <c r="F1729" s="491">
        <v>1</v>
      </c>
      <c r="G1729" s="491">
        <f t="shared" si="26"/>
        <v>3</v>
      </c>
    </row>
    <row r="1730" spans="1:7" ht="12.75">
      <c r="A1730" s="134" t="s">
        <v>744</v>
      </c>
      <c r="B1730" s="134">
        <v>215</v>
      </c>
      <c r="C1730" s="491">
        <v>14</v>
      </c>
      <c r="D1730" s="491">
        <v>1247</v>
      </c>
      <c r="E1730" s="491">
        <v>0</v>
      </c>
      <c r="F1730" s="491">
        <v>2</v>
      </c>
      <c r="G1730" s="491">
        <f t="shared" si="26"/>
        <v>1263</v>
      </c>
    </row>
    <row r="1731" spans="1:7" ht="12.75">
      <c r="A1731" s="134" t="s">
        <v>744</v>
      </c>
      <c r="B1731" s="134">
        <v>217</v>
      </c>
      <c r="C1731" s="491">
        <v>6</v>
      </c>
      <c r="D1731" s="491">
        <v>2</v>
      </c>
      <c r="E1731" s="491">
        <v>0</v>
      </c>
      <c r="F1731" s="491">
        <v>0</v>
      </c>
      <c r="G1731" s="491">
        <f t="shared" si="26"/>
        <v>8</v>
      </c>
    </row>
    <row r="1732" spans="1:7" ht="12.75">
      <c r="A1732" s="134" t="s">
        <v>744</v>
      </c>
      <c r="B1732" s="134">
        <v>219</v>
      </c>
      <c r="C1732" s="491">
        <v>0</v>
      </c>
      <c r="D1732" s="491">
        <v>4</v>
      </c>
      <c r="E1732" s="491">
        <v>0</v>
      </c>
      <c r="F1732" s="491">
        <v>0</v>
      </c>
      <c r="G1732" s="491">
        <f t="shared" ref="G1732:G1795" si="27">SUM(C1732:F1732)</f>
        <v>4</v>
      </c>
    </row>
    <row r="1733" spans="1:7" ht="12.75">
      <c r="A1733" s="134" t="s">
        <v>744</v>
      </c>
      <c r="B1733" s="134">
        <v>254</v>
      </c>
      <c r="C1733" s="491">
        <v>0</v>
      </c>
      <c r="D1733" s="491">
        <v>1</v>
      </c>
      <c r="E1733" s="491">
        <v>0</v>
      </c>
      <c r="F1733" s="491">
        <v>0</v>
      </c>
      <c r="G1733" s="491">
        <f t="shared" si="27"/>
        <v>1</v>
      </c>
    </row>
    <row r="1734" spans="1:7" ht="12.75">
      <c r="A1734" s="134" t="s">
        <v>744</v>
      </c>
      <c r="B1734" s="134">
        <v>258</v>
      </c>
      <c r="C1734" s="491">
        <v>1</v>
      </c>
      <c r="D1734" s="491">
        <v>0</v>
      </c>
      <c r="E1734" s="491">
        <v>1</v>
      </c>
      <c r="F1734" s="491">
        <v>0</v>
      </c>
      <c r="G1734" s="491">
        <f t="shared" si="27"/>
        <v>2</v>
      </c>
    </row>
    <row r="1735" spans="1:7" ht="12.75">
      <c r="A1735" s="134" t="s">
        <v>744</v>
      </c>
      <c r="B1735" s="134">
        <v>301</v>
      </c>
      <c r="C1735" s="491">
        <v>1</v>
      </c>
      <c r="D1735" s="491">
        <v>0</v>
      </c>
      <c r="E1735" s="491">
        <v>0</v>
      </c>
      <c r="F1735" s="491">
        <v>0</v>
      </c>
      <c r="G1735" s="491">
        <f t="shared" si="27"/>
        <v>1</v>
      </c>
    </row>
    <row r="1736" spans="1:7" ht="12.75">
      <c r="A1736" s="134" t="s">
        <v>744</v>
      </c>
      <c r="B1736" s="134">
        <v>303</v>
      </c>
      <c r="C1736" s="491">
        <v>1</v>
      </c>
      <c r="D1736" s="491">
        <v>0</v>
      </c>
      <c r="E1736" s="491">
        <v>0</v>
      </c>
      <c r="F1736" s="491">
        <v>0</v>
      </c>
      <c r="G1736" s="491">
        <f t="shared" si="27"/>
        <v>1</v>
      </c>
    </row>
    <row r="1737" spans="1:7" ht="12.75">
      <c r="A1737" s="134" t="s">
        <v>744</v>
      </c>
      <c r="B1737" s="134">
        <v>310</v>
      </c>
      <c r="C1737" s="491">
        <v>0</v>
      </c>
      <c r="D1737" s="491">
        <v>1</v>
      </c>
      <c r="E1737" s="491">
        <v>0</v>
      </c>
      <c r="F1737" s="491">
        <v>0</v>
      </c>
      <c r="G1737" s="491">
        <f t="shared" si="27"/>
        <v>1</v>
      </c>
    </row>
    <row r="1738" spans="1:7" ht="12.75">
      <c r="A1738" s="134" t="s">
        <v>744</v>
      </c>
      <c r="B1738" s="134">
        <v>314</v>
      </c>
      <c r="C1738" s="491">
        <v>1</v>
      </c>
      <c r="D1738" s="491">
        <v>0</v>
      </c>
      <c r="E1738" s="491">
        <v>0</v>
      </c>
      <c r="F1738" s="491">
        <v>0</v>
      </c>
      <c r="G1738" s="491">
        <f t="shared" si="27"/>
        <v>1</v>
      </c>
    </row>
    <row r="1739" spans="1:7" ht="12.75">
      <c r="A1739" s="134" t="s">
        <v>744</v>
      </c>
      <c r="B1739" s="134">
        <v>320</v>
      </c>
      <c r="C1739" s="491">
        <v>0</v>
      </c>
      <c r="D1739" s="491">
        <v>1</v>
      </c>
      <c r="E1739" s="491">
        <v>0</v>
      </c>
      <c r="F1739" s="491">
        <v>0</v>
      </c>
      <c r="G1739" s="491">
        <f t="shared" si="27"/>
        <v>1</v>
      </c>
    </row>
    <row r="1740" spans="1:7" ht="12.75">
      <c r="A1740" s="134" t="s">
        <v>744</v>
      </c>
      <c r="B1740" s="134">
        <v>321</v>
      </c>
      <c r="C1740" s="491">
        <v>0</v>
      </c>
      <c r="D1740" s="491">
        <v>1</v>
      </c>
      <c r="E1740" s="491">
        <v>0</v>
      </c>
      <c r="F1740" s="491">
        <v>0</v>
      </c>
      <c r="G1740" s="491">
        <f t="shared" si="27"/>
        <v>1</v>
      </c>
    </row>
    <row r="1741" spans="1:7" ht="12.75">
      <c r="A1741" s="134" t="s">
        <v>744</v>
      </c>
      <c r="B1741" s="134">
        <v>330</v>
      </c>
      <c r="C1741" s="491">
        <v>1</v>
      </c>
      <c r="D1741" s="491">
        <v>0</v>
      </c>
      <c r="E1741" s="491">
        <v>0</v>
      </c>
      <c r="F1741" s="491">
        <v>0</v>
      </c>
      <c r="G1741" s="491">
        <f t="shared" si="27"/>
        <v>1</v>
      </c>
    </row>
    <row r="1742" spans="1:7" ht="12.75">
      <c r="A1742" s="134" t="s">
        <v>744</v>
      </c>
      <c r="B1742" s="134">
        <v>340</v>
      </c>
      <c r="C1742" s="491">
        <v>0</v>
      </c>
      <c r="D1742" s="491">
        <v>3</v>
      </c>
      <c r="E1742" s="491">
        <v>0</v>
      </c>
      <c r="F1742" s="491">
        <v>0</v>
      </c>
      <c r="G1742" s="491">
        <f t="shared" si="27"/>
        <v>3</v>
      </c>
    </row>
    <row r="1743" spans="1:7" ht="12.75">
      <c r="A1743" s="134" t="s">
        <v>744</v>
      </c>
      <c r="B1743" s="134">
        <v>361</v>
      </c>
      <c r="C1743" s="491">
        <v>0</v>
      </c>
      <c r="D1743" s="491">
        <v>1</v>
      </c>
      <c r="E1743" s="491">
        <v>0</v>
      </c>
      <c r="F1743" s="491">
        <v>0</v>
      </c>
      <c r="G1743" s="491">
        <f t="shared" si="27"/>
        <v>1</v>
      </c>
    </row>
    <row r="1744" spans="1:7" ht="12.75">
      <c r="A1744" s="134" t="s">
        <v>744</v>
      </c>
      <c r="B1744" s="134">
        <v>370</v>
      </c>
      <c r="C1744" s="491">
        <v>0</v>
      </c>
      <c r="D1744" s="491">
        <v>1</v>
      </c>
      <c r="E1744" s="491">
        <v>0</v>
      </c>
      <c r="F1744" s="491">
        <v>0</v>
      </c>
      <c r="G1744" s="491">
        <f t="shared" si="27"/>
        <v>1</v>
      </c>
    </row>
    <row r="1745" spans="1:7" ht="12.75">
      <c r="A1745" s="134" t="s">
        <v>744</v>
      </c>
      <c r="B1745" s="134">
        <v>420</v>
      </c>
      <c r="C1745" s="491">
        <v>25</v>
      </c>
      <c r="D1745" s="491">
        <v>2875</v>
      </c>
      <c r="E1745" s="491">
        <v>1</v>
      </c>
      <c r="F1745" s="491">
        <v>2</v>
      </c>
      <c r="G1745" s="491">
        <f t="shared" si="27"/>
        <v>2903</v>
      </c>
    </row>
    <row r="1746" spans="1:7" ht="12.75">
      <c r="A1746" s="134" t="s">
        <v>744</v>
      </c>
      <c r="B1746" s="134">
        <v>422</v>
      </c>
      <c r="C1746" s="491">
        <v>0</v>
      </c>
      <c r="D1746" s="491">
        <v>302</v>
      </c>
      <c r="E1746" s="491">
        <v>0</v>
      </c>
      <c r="F1746" s="491">
        <v>1</v>
      </c>
      <c r="G1746" s="491">
        <f t="shared" si="27"/>
        <v>303</v>
      </c>
    </row>
    <row r="1747" spans="1:7" ht="12.75">
      <c r="A1747" s="134" t="s">
        <v>744</v>
      </c>
      <c r="B1747" s="134">
        <v>424</v>
      </c>
      <c r="C1747" s="491">
        <v>0</v>
      </c>
      <c r="D1747" s="491">
        <v>2</v>
      </c>
      <c r="E1747" s="491">
        <v>0</v>
      </c>
      <c r="F1747" s="491">
        <v>0</v>
      </c>
      <c r="G1747" s="491">
        <f t="shared" si="27"/>
        <v>2</v>
      </c>
    </row>
    <row r="1748" spans="1:7" ht="12.75">
      <c r="A1748" s="134" t="s">
        <v>744</v>
      </c>
      <c r="B1748" s="134">
        <v>501</v>
      </c>
      <c r="C1748" s="491">
        <v>22</v>
      </c>
      <c r="D1748" s="491">
        <v>715</v>
      </c>
      <c r="E1748" s="491">
        <v>0</v>
      </c>
      <c r="F1748" s="491">
        <v>0</v>
      </c>
      <c r="G1748" s="491">
        <f t="shared" si="27"/>
        <v>737</v>
      </c>
    </row>
    <row r="1749" spans="1:7" ht="12.75">
      <c r="A1749" s="134" t="s">
        <v>744</v>
      </c>
      <c r="B1749" s="134">
        <v>560</v>
      </c>
      <c r="C1749" s="491">
        <v>59</v>
      </c>
      <c r="D1749" s="491">
        <v>868</v>
      </c>
      <c r="E1749" s="491">
        <v>0</v>
      </c>
      <c r="F1749" s="491">
        <v>3</v>
      </c>
      <c r="G1749" s="491">
        <f t="shared" si="27"/>
        <v>930</v>
      </c>
    </row>
    <row r="1750" spans="1:7" ht="12.75">
      <c r="A1750" s="134" t="s">
        <v>744</v>
      </c>
      <c r="B1750" s="134">
        <v>650</v>
      </c>
      <c r="C1750" s="491">
        <v>1</v>
      </c>
      <c r="D1750" s="491">
        <v>2</v>
      </c>
      <c r="E1750" s="491">
        <v>0</v>
      </c>
      <c r="F1750" s="491">
        <v>0</v>
      </c>
      <c r="G1750" s="491">
        <f t="shared" si="27"/>
        <v>3</v>
      </c>
    </row>
    <row r="1751" spans="1:7" ht="12.75">
      <c r="A1751" s="134" t="s">
        <v>745</v>
      </c>
      <c r="B1751" s="134">
        <v>100</v>
      </c>
      <c r="C1751" s="491">
        <v>2</v>
      </c>
      <c r="D1751" s="491">
        <v>1</v>
      </c>
      <c r="E1751" s="491">
        <v>0</v>
      </c>
      <c r="F1751" s="491">
        <v>0</v>
      </c>
      <c r="G1751" s="491">
        <f t="shared" si="27"/>
        <v>3</v>
      </c>
    </row>
    <row r="1752" spans="1:7" ht="12.75">
      <c r="A1752" s="134" t="s">
        <v>745</v>
      </c>
      <c r="B1752" s="134">
        <v>101</v>
      </c>
      <c r="C1752" s="491">
        <v>0</v>
      </c>
      <c r="D1752" s="491">
        <v>7</v>
      </c>
      <c r="E1752" s="491">
        <v>0</v>
      </c>
      <c r="F1752" s="491">
        <v>0</v>
      </c>
      <c r="G1752" s="491">
        <f t="shared" si="27"/>
        <v>7</v>
      </c>
    </row>
    <row r="1753" spans="1:7" ht="12.75">
      <c r="A1753" s="134" t="s">
        <v>745</v>
      </c>
      <c r="B1753" s="134">
        <v>103</v>
      </c>
      <c r="C1753" s="491">
        <v>0</v>
      </c>
      <c r="D1753" s="491">
        <v>5</v>
      </c>
      <c r="E1753" s="491">
        <v>0</v>
      </c>
      <c r="F1753" s="491">
        <v>0</v>
      </c>
      <c r="G1753" s="491">
        <f t="shared" si="27"/>
        <v>5</v>
      </c>
    </row>
    <row r="1754" spans="1:7" ht="12.75">
      <c r="A1754" s="134" t="s">
        <v>745</v>
      </c>
      <c r="B1754" s="134">
        <v>104</v>
      </c>
      <c r="C1754" s="491">
        <v>0</v>
      </c>
      <c r="D1754" s="491">
        <v>3</v>
      </c>
      <c r="E1754" s="491">
        <v>0</v>
      </c>
      <c r="F1754" s="491">
        <v>0</v>
      </c>
      <c r="G1754" s="491">
        <f t="shared" si="27"/>
        <v>3</v>
      </c>
    </row>
    <row r="1755" spans="1:7" ht="12.75">
      <c r="A1755" s="134" t="s">
        <v>745</v>
      </c>
      <c r="B1755" s="134">
        <v>106</v>
      </c>
      <c r="C1755" s="491">
        <v>1</v>
      </c>
      <c r="D1755" s="491">
        <v>1</v>
      </c>
      <c r="E1755" s="491">
        <v>0</v>
      </c>
      <c r="F1755" s="491">
        <v>0</v>
      </c>
      <c r="G1755" s="491">
        <f t="shared" si="27"/>
        <v>2</v>
      </c>
    </row>
    <row r="1756" spans="1:7" ht="12.75">
      <c r="A1756" s="134" t="s">
        <v>745</v>
      </c>
      <c r="B1756" s="134">
        <v>107</v>
      </c>
      <c r="C1756" s="491">
        <v>0</v>
      </c>
      <c r="D1756" s="491">
        <v>1</v>
      </c>
      <c r="E1756" s="491">
        <v>0</v>
      </c>
      <c r="F1756" s="491">
        <v>0</v>
      </c>
      <c r="G1756" s="491">
        <f t="shared" si="27"/>
        <v>1</v>
      </c>
    </row>
    <row r="1757" spans="1:7" ht="12.75">
      <c r="A1757" s="134" t="s">
        <v>745</v>
      </c>
      <c r="B1757" s="134">
        <v>110</v>
      </c>
      <c r="C1757" s="491">
        <v>3</v>
      </c>
      <c r="D1757" s="491">
        <v>5</v>
      </c>
      <c r="E1757" s="491">
        <v>0</v>
      </c>
      <c r="F1757" s="491">
        <v>0</v>
      </c>
      <c r="G1757" s="491">
        <f t="shared" si="27"/>
        <v>8</v>
      </c>
    </row>
    <row r="1758" spans="1:7" ht="12.75">
      <c r="A1758" s="134" t="s">
        <v>745</v>
      </c>
      <c r="B1758" s="134">
        <v>120</v>
      </c>
      <c r="C1758" s="491">
        <v>72</v>
      </c>
      <c r="D1758" s="491">
        <v>132</v>
      </c>
      <c r="E1758" s="491">
        <v>7</v>
      </c>
      <c r="F1758" s="491">
        <v>13</v>
      </c>
      <c r="G1758" s="491">
        <f t="shared" si="27"/>
        <v>224</v>
      </c>
    </row>
    <row r="1759" spans="1:7" ht="12.75">
      <c r="A1759" s="134" t="s">
        <v>745</v>
      </c>
      <c r="B1759" s="134">
        <v>130</v>
      </c>
      <c r="C1759" s="491">
        <v>6</v>
      </c>
      <c r="D1759" s="491">
        <v>5</v>
      </c>
      <c r="E1759" s="491">
        <v>0</v>
      </c>
      <c r="F1759" s="491">
        <v>0</v>
      </c>
      <c r="G1759" s="491">
        <f t="shared" si="27"/>
        <v>11</v>
      </c>
    </row>
    <row r="1760" spans="1:7" ht="12.75">
      <c r="A1760" s="134" t="s">
        <v>745</v>
      </c>
      <c r="B1760" s="134">
        <v>140</v>
      </c>
      <c r="C1760" s="491">
        <v>15924</v>
      </c>
      <c r="D1760" s="491">
        <v>2004</v>
      </c>
      <c r="E1760" s="491">
        <v>169</v>
      </c>
      <c r="F1760" s="491">
        <v>26</v>
      </c>
      <c r="G1760" s="491">
        <f t="shared" si="27"/>
        <v>18123</v>
      </c>
    </row>
    <row r="1761" spans="1:7" ht="12.75">
      <c r="A1761" s="134" t="s">
        <v>745</v>
      </c>
      <c r="B1761" s="134">
        <v>141</v>
      </c>
      <c r="C1761" s="491">
        <v>97</v>
      </c>
      <c r="D1761" s="491">
        <v>5</v>
      </c>
      <c r="E1761" s="491">
        <v>0</v>
      </c>
      <c r="F1761" s="491">
        <v>0</v>
      </c>
      <c r="G1761" s="491">
        <f t="shared" si="27"/>
        <v>102</v>
      </c>
    </row>
    <row r="1762" spans="1:7" ht="12.75">
      <c r="A1762" s="134" t="s">
        <v>745</v>
      </c>
      <c r="B1762" s="134">
        <v>143</v>
      </c>
      <c r="C1762" s="491">
        <v>12</v>
      </c>
      <c r="D1762" s="491">
        <v>0</v>
      </c>
      <c r="E1762" s="491">
        <v>0</v>
      </c>
      <c r="F1762" s="491">
        <v>0</v>
      </c>
      <c r="G1762" s="491">
        <f t="shared" si="27"/>
        <v>12</v>
      </c>
    </row>
    <row r="1763" spans="1:7" ht="12.75">
      <c r="A1763" s="134" t="s">
        <v>745</v>
      </c>
      <c r="B1763" s="134">
        <v>144</v>
      </c>
      <c r="C1763" s="491">
        <v>7334</v>
      </c>
      <c r="D1763" s="491">
        <v>1077</v>
      </c>
      <c r="E1763" s="491">
        <v>374</v>
      </c>
      <c r="F1763" s="491">
        <v>12</v>
      </c>
      <c r="G1763" s="491">
        <f t="shared" si="27"/>
        <v>8797</v>
      </c>
    </row>
    <row r="1764" spans="1:7" ht="12.75">
      <c r="A1764" s="134" t="s">
        <v>745</v>
      </c>
      <c r="B1764" s="134">
        <v>150</v>
      </c>
      <c r="C1764" s="491">
        <v>0</v>
      </c>
      <c r="D1764" s="491">
        <v>3</v>
      </c>
      <c r="E1764" s="491">
        <v>0</v>
      </c>
      <c r="F1764" s="491">
        <v>0</v>
      </c>
      <c r="G1764" s="491">
        <f t="shared" si="27"/>
        <v>3</v>
      </c>
    </row>
    <row r="1765" spans="1:7" ht="12.75">
      <c r="A1765" s="134" t="s">
        <v>745</v>
      </c>
      <c r="B1765" s="134">
        <v>160</v>
      </c>
      <c r="C1765" s="491">
        <v>55</v>
      </c>
      <c r="D1765" s="491">
        <v>9</v>
      </c>
      <c r="E1765" s="491">
        <v>26</v>
      </c>
      <c r="F1765" s="491">
        <v>0</v>
      </c>
      <c r="G1765" s="491">
        <f t="shared" si="27"/>
        <v>90</v>
      </c>
    </row>
    <row r="1766" spans="1:7" ht="12.75">
      <c r="A1766" s="134" t="s">
        <v>745</v>
      </c>
      <c r="B1766" s="134">
        <v>172</v>
      </c>
      <c r="C1766" s="491">
        <v>0</v>
      </c>
      <c r="D1766" s="491">
        <v>2</v>
      </c>
      <c r="E1766" s="491">
        <v>0</v>
      </c>
      <c r="F1766" s="491">
        <v>0</v>
      </c>
      <c r="G1766" s="491">
        <f t="shared" si="27"/>
        <v>2</v>
      </c>
    </row>
    <row r="1767" spans="1:7" ht="12.75">
      <c r="A1767" s="134" t="s">
        <v>745</v>
      </c>
      <c r="B1767" s="134">
        <v>191</v>
      </c>
      <c r="C1767" s="491">
        <v>5</v>
      </c>
      <c r="D1767" s="491">
        <v>0</v>
      </c>
      <c r="E1767" s="491">
        <v>0</v>
      </c>
      <c r="F1767" s="491">
        <v>0</v>
      </c>
      <c r="G1767" s="491">
        <f t="shared" si="27"/>
        <v>5</v>
      </c>
    </row>
    <row r="1768" spans="1:7" ht="12.75">
      <c r="A1768" s="134" t="s">
        <v>745</v>
      </c>
      <c r="B1768" s="134">
        <v>300</v>
      </c>
      <c r="C1768" s="491">
        <v>0</v>
      </c>
      <c r="D1768" s="491">
        <v>1</v>
      </c>
      <c r="E1768" s="491">
        <v>0</v>
      </c>
      <c r="F1768" s="491">
        <v>0</v>
      </c>
      <c r="G1768" s="491">
        <f t="shared" si="27"/>
        <v>1</v>
      </c>
    </row>
    <row r="1769" spans="1:7" ht="12.75">
      <c r="A1769" s="134" t="s">
        <v>745</v>
      </c>
      <c r="B1769" s="134">
        <v>301</v>
      </c>
      <c r="C1769" s="491">
        <v>2</v>
      </c>
      <c r="D1769" s="491">
        <v>4</v>
      </c>
      <c r="E1769" s="491">
        <v>0</v>
      </c>
      <c r="F1769" s="491">
        <v>0</v>
      </c>
      <c r="G1769" s="491">
        <f t="shared" si="27"/>
        <v>6</v>
      </c>
    </row>
    <row r="1770" spans="1:7" ht="12.75">
      <c r="A1770" s="134" t="s">
        <v>745</v>
      </c>
      <c r="B1770" s="134">
        <v>302</v>
      </c>
      <c r="C1770" s="491">
        <v>0</v>
      </c>
      <c r="D1770" s="491">
        <v>2</v>
      </c>
      <c r="E1770" s="491">
        <v>0</v>
      </c>
      <c r="F1770" s="491">
        <v>0</v>
      </c>
      <c r="G1770" s="491">
        <f t="shared" si="27"/>
        <v>2</v>
      </c>
    </row>
    <row r="1771" spans="1:7" ht="12.75">
      <c r="A1771" s="134" t="s">
        <v>745</v>
      </c>
      <c r="B1771" s="134">
        <v>303</v>
      </c>
      <c r="C1771" s="491">
        <v>3</v>
      </c>
      <c r="D1771" s="491">
        <v>3</v>
      </c>
      <c r="E1771" s="491">
        <v>0</v>
      </c>
      <c r="F1771" s="491">
        <v>0</v>
      </c>
      <c r="G1771" s="491">
        <f t="shared" si="27"/>
        <v>6</v>
      </c>
    </row>
    <row r="1772" spans="1:7" ht="12.75">
      <c r="A1772" s="134" t="s">
        <v>745</v>
      </c>
      <c r="B1772" s="134">
        <v>306</v>
      </c>
      <c r="C1772" s="491">
        <v>0</v>
      </c>
      <c r="D1772" s="491">
        <v>1</v>
      </c>
      <c r="E1772" s="491">
        <v>0</v>
      </c>
      <c r="F1772" s="491">
        <v>0</v>
      </c>
      <c r="G1772" s="491">
        <f t="shared" si="27"/>
        <v>1</v>
      </c>
    </row>
    <row r="1773" spans="1:7" ht="12.75">
      <c r="A1773" s="134" t="s">
        <v>745</v>
      </c>
      <c r="B1773" s="134">
        <v>310</v>
      </c>
      <c r="C1773" s="491">
        <v>1</v>
      </c>
      <c r="D1773" s="491">
        <v>1</v>
      </c>
      <c r="E1773" s="491">
        <v>0</v>
      </c>
      <c r="F1773" s="491">
        <v>0</v>
      </c>
      <c r="G1773" s="491">
        <f t="shared" si="27"/>
        <v>2</v>
      </c>
    </row>
    <row r="1774" spans="1:7" ht="12.75">
      <c r="A1774" s="134" t="s">
        <v>745</v>
      </c>
      <c r="B1774" s="134">
        <v>320</v>
      </c>
      <c r="C1774" s="491">
        <v>1</v>
      </c>
      <c r="D1774" s="491">
        <v>3</v>
      </c>
      <c r="E1774" s="491">
        <v>0</v>
      </c>
      <c r="F1774" s="491">
        <v>0</v>
      </c>
      <c r="G1774" s="491">
        <f t="shared" si="27"/>
        <v>4</v>
      </c>
    </row>
    <row r="1775" spans="1:7" ht="12.75">
      <c r="A1775" s="134" t="s">
        <v>745</v>
      </c>
      <c r="B1775" s="134">
        <v>324</v>
      </c>
      <c r="C1775" s="491">
        <v>0</v>
      </c>
      <c r="D1775" s="491">
        <v>3</v>
      </c>
      <c r="E1775" s="491">
        <v>0</v>
      </c>
      <c r="F1775" s="491">
        <v>0</v>
      </c>
      <c r="G1775" s="491">
        <f t="shared" si="27"/>
        <v>3</v>
      </c>
    </row>
    <row r="1776" spans="1:7" ht="12.75">
      <c r="A1776" s="134" t="s">
        <v>745</v>
      </c>
      <c r="B1776" s="134">
        <v>330</v>
      </c>
      <c r="C1776" s="491">
        <v>209</v>
      </c>
      <c r="D1776" s="491">
        <v>49</v>
      </c>
      <c r="E1776" s="491">
        <v>0</v>
      </c>
      <c r="F1776" s="491">
        <v>0</v>
      </c>
      <c r="G1776" s="491">
        <f t="shared" si="27"/>
        <v>258</v>
      </c>
    </row>
    <row r="1777" spans="1:7" ht="12.75">
      <c r="A1777" s="134" t="s">
        <v>745</v>
      </c>
      <c r="B1777" s="134">
        <v>340</v>
      </c>
      <c r="C1777" s="491">
        <v>1</v>
      </c>
      <c r="D1777" s="491">
        <v>7</v>
      </c>
      <c r="E1777" s="491">
        <v>0</v>
      </c>
      <c r="F1777" s="491">
        <v>0</v>
      </c>
      <c r="G1777" s="491">
        <f t="shared" si="27"/>
        <v>8</v>
      </c>
    </row>
    <row r="1778" spans="1:7" ht="12.75">
      <c r="A1778" s="134" t="s">
        <v>745</v>
      </c>
      <c r="B1778" s="134">
        <v>341</v>
      </c>
      <c r="C1778" s="491">
        <v>0</v>
      </c>
      <c r="D1778" s="491">
        <v>1</v>
      </c>
      <c r="E1778" s="491">
        <v>0</v>
      </c>
      <c r="F1778" s="491">
        <v>0</v>
      </c>
      <c r="G1778" s="491">
        <f t="shared" si="27"/>
        <v>1</v>
      </c>
    </row>
    <row r="1779" spans="1:7" ht="12.75">
      <c r="A1779" s="134" t="s">
        <v>745</v>
      </c>
      <c r="B1779" s="134">
        <v>370</v>
      </c>
      <c r="C1779" s="491">
        <v>4</v>
      </c>
      <c r="D1779" s="491">
        <v>0</v>
      </c>
      <c r="E1779" s="491">
        <v>0</v>
      </c>
      <c r="F1779" s="491">
        <v>0</v>
      </c>
      <c r="G1779" s="491">
        <f t="shared" si="27"/>
        <v>4</v>
      </c>
    </row>
    <row r="1780" spans="1:7" ht="12.75">
      <c r="A1780" s="134" t="s">
        <v>745</v>
      </c>
      <c r="B1780" s="134">
        <v>400</v>
      </c>
      <c r="C1780" s="491">
        <v>0</v>
      </c>
      <c r="D1780" s="491">
        <v>2</v>
      </c>
      <c r="E1780" s="491">
        <v>0</v>
      </c>
      <c r="F1780" s="491">
        <v>0</v>
      </c>
      <c r="G1780" s="491">
        <f t="shared" si="27"/>
        <v>2</v>
      </c>
    </row>
    <row r="1781" spans="1:7" ht="12.75">
      <c r="A1781" s="134" t="s">
        <v>745</v>
      </c>
      <c r="B1781" s="134">
        <v>401</v>
      </c>
      <c r="C1781" s="491">
        <v>0</v>
      </c>
      <c r="D1781" s="491">
        <v>1</v>
      </c>
      <c r="E1781" s="491">
        <v>0</v>
      </c>
      <c r="F1781" s="491">
        <v>0</v>
      </c>
      <c r="G1781" s="491">
        <f t="shared" si="27"/>
        <v>1</v>
      </c>
    </row>
    <row r="1782" spans="1:7" ht="12.75">
      <c r="A1782" s="134" t="s">
        <v>745</v>
      </c>
      <c r="B1782" s="134">
        <v>410</v>
      </c>
      <c r="C1782" s="491">
        <v>1</v>
      </c>
      <c r="D1782" s="491">
        <v>1</v>
      </c>
      <c r="E1782" s="491">
        <v>0</v>
      </c>
      <c r="F1782" s="491">
        <v>0</v>
      </c>
      <c r="G1782" s="491">
        <f t="shared" si="27"/>
        <v>2</v>
      </c>
    </row>
    <row r="1783" spans="1:7" ht="12.75">
      <c r="A1783" s="134" t="s">
        <v>745</v>
      </c>
      <c r="B1783" s="134">
        <v>430</v>
      </c>
      <c r="C1783" s="491">
        <v>0</v>
      </c>
      <c r="D1783" s="491">
        <v>5</v>
      </c>
      <c r="E1783" s="491">
        <v>0</v>
      </c>
      <c r="F1783" s="491">
        <v>0</v>
      </c>
      <c r="G1783" s="491">
        <f t="shared" si="27"/>
        <v>5</v>
      </c>
    </row>
    <row r="1784" spans="1:7" ht="12.75">
      <c r="A1784" s="134" t="s">
        <v>745</v>
      </c>
      <c r="B1784" s="134">
        <v>450</v>
      </c>
      <c r="C1784" s="491">
        <v>2059</v>
      </c>
      <c r="D1784" s="491">
        <v>88</v>
      </c>
      <c r="E1784" s="491">
        <v>1</v>
      </c>
      <c r="F1784" s="491">
        <v>0</v>
      </c>
      <c r="G1784" s="491">
        <f t="shared" si="27"/>
        <v>2148</v>
      </c>
    </row>
    <row r="1785" spans="1:7" ht="12.75">
      <c r="A1785" s="134" t="s">
        <v>745</v>
      </c>
      <c r="B1785" s="134">
        <v>501</v>
      </c>
      <c r="C1785" s="491">
        <v>1</v>
      </c>
      <c r="D1785" s="491">
        <v>8</v>
      </c>
      <c r="E1785" s="491">
        <v>1</v>
      </c>
      <c r="F1785" s="491">
        <v>0</v>
      </c>
      <c r="G1785" s="491">
        <f t="shared" si="27"/>
        <v>10</v>
      </c>
    </row>
    <row r="1786" spans="1:7" ht="12.75">
      <c r="A1786" s="134" t="s">
        <v>745</v>
      </c>
      <c r="B1786" s="134">
        <v>502</v>
      </c>
      <c r="C1786" s="491">
        <v>17</v>
      </c>
      <c r="D1786" s="491">
        <v>46</v>
      </c>
      <c r="E1786" s="491">
        <v>0</v>
      </c>
      <c r="F1786" s="491">
        <v>0</v>
      </c>
      <c r="G1786" s="491">
        <f t="shared" si="27"/>
        <v>63</v>
      </c>
    </row>
    <row r="1787" spans="1:7" ht="12.75">
      <c r="A1787" s="134" t="s">
        <v>745</v>
      </c>
      <c r="B1787" s="134">
        <v>560</v>
      </c>
      <c r="C1787" s="491">
        <v>1</v>
      </c>
      <c r="D1787" s="491">
        <v>3</v>
      </c>
      <c r="E1787" s="491">
        <v>0</v>
      </c>
      <c r="F1787" s="491">
        <v>0</v>
      </c>
      <c r="G1787" s="491">
        <f t="shared" si="27"/>
        <v>4</v>
      </c>
    </row>
    <row r="1788" spans="1:7" ht="12.75">
      <c r="A1788" s="134" t="s">
        <v>745</v>
      </c>
      <c r="B1788" s="134">
        <v>650</v>
      </c>
      <c r="C1788" s="491">
        <v>0</v>
      </c>
      <c r="D1788" s="491">
        <v>16</v>
      </c>
      <c r="E1788" s="491">
        <v>0</v>
      </c>
      <c r="F1788" s="491">
        <v>0</v>
      </c>
      <c r="G1788" s="491">
        <f t="shared" si="27"/>
        <v>16</v>
      </c>
    </row>
    <row r="1789" spans="1:7" ht="12.75">
      <c r="A1789" s="134" t="s">
        <v>745</v>
      </c>
      <c r="B1789" s="134">
        <v>653</v>
      </c>
      <c r="C1789" s="491">
        <v>0</v>
      </c>
      <c r="D1789" s="491">
        <v>1</v>
      </c>
      <c r="E1789" s="491">
        <v>0</v>
      </c>
      <c r="F1789" s="491">
        <v>0</v>
      </c>
      <c r="G1789" s="491">
        <f t="shared" si="27"/>
        <v>1</v>
      </c>
    </row>
    <row r="1790" spans="1:7" ht="12.75">
      <c r="A1790" s="134" t="s">
        <v>745</v>
      </c>
      <c r="B1790" s="134">
        <v>800</v>
      </c>
      <c r="C1790" s="491">
        <v>3</v>
      </c>
      <c r="D1790" s="491">
        <v>0</v>
      </c>
      <c r="E1790" s="491">
        <v>0</v>
      </c>
      <c r="F1790" s="491">
        <v>0</v>
      </c>
      <c r="G1790" s="491">
        <f t="shared" si="27"/>
        <v>3</v>
      </c>
    </row>
    <row r="1791" spans="1:7" ht="12.75">
      <c r="A1791" s="134" t="s">
        <v>745</v>
      </c>
      <c r="B1791" s="134">
        <v>812</v>
      </c>
      <c r="C1791" s="491">
        <v>1</v>
      </c>
      <c r="D1791" s="491">
        <v>0</v>
      </c>
      <c r="E1791" s="491">
        <v>0</v>
      </c>
      <c r="F1791" s="491">
        <v>0</v>
      </c>
      <c r="G1791" s="491">
        <f t="shared" si="27"/>
        <v>1</v>
      </c>
    </row>
    <row r="1792" spans="1:7" ht="12.75">
      <c r="A1792" s="134" t="s">
        <v>746</v>
      </c>
      <c r="B1792" s="134">
        <v>110</v>
      </c>
      <c r="C1792" s="491">
        <v>2</v>
      </c>
      <c r="D1792" s="491">
        <v>1</v>
      </c>
      <c r="E1792" s="491">
        <v>0</v>
      </c>
      <c r="F1792" s="491">
        <v>0</v>
      </c>
      <c r="G1792" s="491">
        <f t="shared" si="27"/>
        <v>3</v>
      </c>
    </row>
    <row r="1793" spans="1:7" ht="12.75">
      <c r="A1793" s="134" t="s">
        <v>746</v>
      </c>
      <c r="B1793" s="134">
        <v>120</v>
      </c>
      <c r="C1793" s="491">
        <v>4</v>
      </c>
      <c r="D1793" s="491">
        <v>81</v>
      </c>
      <c r="E1793" s="491">
        <v>0</v>
      </c>
      <c r="F1793" s="491">
        <v>2</v>
      </c>
      <c r="G1793" s="491">
        <f t="shared" si="27"/>
        <v>87</v>
      </c>
    </row>
    <row r="1794" spans="1:7" ht="12.75">
      <c r="A1794" s="134" t="s">
        <v>746</v>
      </c>
      <c r="B1794" s="134">
        <v>130</v>
      </c>
      <c r="C1794" s="491">
        <v>3</v>
      </c>
      <c r="D1794" s="491">
        <v>0</v>
      </c>
      <c r="E1794" s="491">
        <v>0</v>
      </c>
      <c r="F1794" s="491">
        <v>0</v>
      </c>
      <c r="G1794" s="491">
        <f t="shared" si="27"/>
        <v>3</v>
      </c>
    </row>
    <row r="1795" spans="1:7" ht="12.75">
      <c r="A1795" s="134" t="s">
        <v>746</v>
      </c>
      <c r="B1795" s="134">
        <v>140</v>
      </c>
      <c r="C1795" s="491">
        <v>573</v>
      </c>
      <c r="D1795" s="491">
        <v>55</v>
      </c>
      <c r="E1795" s="491">
        <v>2</v>
      </c>
      <c r="F1795" s="491">
        <v>1</v>
      </c>
      <c r="G1795" s="491">
        <f t="shared" si="27"/>
        <v>631</v>
      </c>
    </row>
    <row r="1796" spans="1:7" ht="12.75">
      <c r="A1796" s="134" t="s">
        <v>746</v>
      </c>
      <c r="B1796" s="134">
        <v>141</v>
      </c>
      <c r="C1796" s="491">
        <v>2</v>
      </c>
      <c r="D1796" s="491">
        <v>0</v>
      </c>
      <c r="E1796" s="491">
        <v>0</v>
      </c>
      <c r="F1796" s="491">
        <v>0</v>
      </c>
      <c r="G1796" s="491">
        <f t="shared" ref="G1796:G1859" si="28">SUM(C1796:F1796)</f>
        <v>2</v>
      </c>
    </row>
    <row r="1797" spans="1:7" ht="12.75">
      <c r="A1797" s="134" t="s">
        <v>746</v>
      </c>
      <c r="B1797" s="134">
        <v>142</v>
      </c>
      <c r="C1797" s="491">
        <v>43</v>
      </c>
      <c r="D1797" s="491">
        <v>0</v>
      </c>
      <c r="E1797" s="491">
        <v>0</v>
      </c>
      <c r="F1797" s="491">
        <v>0</v>
      </c>
      <c r="G1797" s="491">
        <f t="shared" si="28"/>
        <v>43</v>
      </c>
    </row>
    <row r="1798" spans="1:7" ht="12.75">
      <c r="A1798" s="134" t="s">
        <v>746</v>
      </c>
      <c r="B1798" s="134">
        <v>143</v>
      </c>
      <c r="C1798" s="491">
        <v>20</v>
      </c>
      <c r="D1798" s="491">
        <v>0</v>
      </c>
      <c r="E1798" s="491">
        <v>0</v>
      </c>
      <c r="F1798" s="491">
        <v>0</v>
      </c>
      <c r="G1798" s="491">
        <f t="shared" si="28"/>
        <v>20</v>
      </c>
    </row>
    <row r="1799" spans="1:7" ht="12.75">
      <c r="A1799" s="134" t="s">
        <v>746</v>
      </c>
      <c r="B1799" s="134">
        <v>144</v>
      </c>
      <c r="C1799" s="491">
        <v>262</v>
      </c>
      <c r="D1799" s="491">
        <v>38</v>
      </c>
      <c r="E1799" s="491">
        <v>10</v>
      </c>
      <c r="F1799" s="491">
        <v>0</v>
      </c>
      <c r="G1799" s="491">
        <f t="shared" si="28"/>
        <v>310</v>
      </c>
    </row>
    <row r="1800" spans="1:7" ht="12.75">
      <c r="A1800" s="134" t="s">
        <v>746</v>
      </c>
      <c r="B1800" s="134">
        <v>180</v>
      </c>
      <c r="C1800" s="491">
        <v>0</v>
      </c>
      <c r="D1800" s="491">
        <v>1</v>
      </c>
      <c r="E1800" s="491">
        <v>0</v>
      </c>
      <c r="F1800" s="491">
        <v>0</v>
      </c>
      <c r="G1800" s="491">
        <f t="shared" si="28"/>
        <v>1</v>
      </c>
    </row>
    <row r="1801" spans="1:7" ht="12.75">
      <c r="A1801" s="134" t="s">
        <v>746</v>
      </c>
      <c r="B1801" s="134">
        <v>215</v>
      </c>
      <c r="C1801" s="491">
        <v>1</v>
      </c>
      <c r="D1801" s="491">
        <v>4</v>
      </c>
      <c r="E1801" s="491">
        <v>0</v>
      </c>
      <c r="F1801" s="491">
        <v>0</v>
      </c>
      <c r="G1801" s="491">
        <f t="shared" si="28"/>
        <v>5</v>
      </c>
    </row>
    <row r="1802" spans="1:7" ht="12.75">
      <c r="A1802" s="134" t="s">
        <v>746</v>
      </c>
      <c r="B1802" s="134">
        <v>216</v>
      </c>
      <c r="C1802" s="491">
        <v>1</v>
      </c>
      <c r="D1802" s="491">
        <v>0</v>
      </c>
      <c r="E1802" s="491">
        <v>0</v>
      </c>
      <c r="F1802" s="491">
        <v>0</v>
      </c>
      <c r="G1802" s="491">
        <f t="shared" si="28"/>
        <v>1</v>
      </c>
    </row>
    <row r="1803" spans="1:7" ht="12.75">
      <c r="A1803" s="134" t="s">
        <v>746</v>
      </c>
      <c r="B1803" s="134">
        <v>217</v>
      </c>
      <c r="C1803" s="491">
        <v>23</v>
      </c>
      <c r="D1803" s="491">
        <v>1</v>
      </c>
      <c r="E1803" s="491">
        <v>1</v>
      </c>
      <c r="F1803" s="491">
        <v>0</v>
      </c>
      <c r="G1803" s="491">
        <f t="shared" si="28"/>
        <v>25</v>
      </c>
    </row>
    <row r="1804" spans="1:7" ht="12.75">
      <c r="A1804" s="134" t="s">
        <v>746</v>
      </c>
      <c r="B1804" s="134">
        <v>219</v>
      </c>
      <c r="C1804" s="491">
        <v>4</v>
      </c>
      <c r="D1804" s="491">
        <v>0</v>
      </c>
      <c r="E1804" s="491">
        <v>0</v>
      </c>
      <c r="F1804" s="491">
        <v>0</v>
      </c>
      <c r="G1804" s="491">
        <f t="shared" si="28"/>
        <v>4</v>
      </c>
    </row>
    <row r="1805" spans="1:7" ht="12.75">
      <c r="A1805" s="134" t="s">
        <v>746</v>
      </c>
      <c r="B1805" s="134">
        <v>257</v>
      </c>
      <c r="C1805" s="491">
        <v>6</v>
      </c>
      <c r="D1805" s="491">
        <v>3</v>
      </c>
      <c r="E1805" s="491">
        <v>0</v>
      </c>
      <c r="F1805" s="491">
        <v>0</v>
      </c>
      <c r="G1805" s="491">
        <f t="shared" si="28"/>
        <v>9</v>
      </c>
    </row>
    <row r="1806" spans="1:7" ht="12.75">
      <c r="A1806" s="134" t="s">
        <v>746</v>
      </c>
      <c r="B1806" s="134">
        <v>314</v>
      </c>
      <c r="C1806" s="491">
        <v>1</v>
      </c>
      <c r="D1806" s="491">
        <v>0</v>
      </c>
      <c r="E1806" s="491">
        <v>0</v>
      </c>
      <c r="F1806" s="491">
        <v>0</v>
      </c>
      <c r="G1806" s="491">
        <f t="shared" si="28"/>
        <v>1</v>
      </c>
    </row>
    <row r="1807" spans="1:7" ht="12.75">
      <c r="A1807" s="134" t="s">
        <v>746</v>
      </c>
      <c r="B1807" s="134">
        <v>330</v>
      </c>
      <c r="C1807" s="491">
        <v>5</v>
      </c>
      <c r="D1807" s="491">
        <v>2</v>
      </c>
      <c r="E1807" s="491">
        <v>0</v>
      </c>
      <c r="F1807" s="491">
        <v>0</v>
      </c>
      <c r="G1807" s="491">
        <f t="shared" si="28"/>
        <v>7</v>
      </c>
    </row>
    <row r="1808" spans="1:7" ht="12.75">
      <c r="A1808" s="134" t="s">
        <v>746</v>
      </c>
      <c r="B1808" s="134">
        <v>400</v>
      </c>
      <c r="C1808" s="491">
        <v>0</v>
      </c>
      <c r="D1808" s="491">
        <v>1</v>
      </c>
      <c r="E1808" s="491">
        <v>0</v>
      </c>
      <c r="F1808" s="491">
        <v>0</v>
      </c>
      <c r="G1808" s="491">
        <f t="shared" si="28"/>
        <v>1</v>
      </c>
    </row>
    <row r="1809" spans="1:7" ht="12.75">
      <c r="A1809" s="134" t="s">
        <v>746</v>
      </c>
      <c r="B1809" s="134">
        <v>420</v>
      </c>
      <c r="C1809" s="491">
        <v>0</v>
      </c>
      <c r="D1809" s="491">
        <v>4</v>
      </c>
      <c r="E1809" s="491">
        <v>0</v>
      </c>
      <c r="F1809" s="491">
        <v>0</v>
      </c>
      <c r="G1809" s="491">
        <f t="shared" si="28"/>
        <v>4</v>
      </c>
    </row>
    <row r="1810" spans="1:7" ht="12.75">
      <c r="A1810" s="134" t="s">
        <v>746</v>
      </c>
      <c r="B1810" s="134">
        <v>450</v>
      </c>
      <c r="C1810" s="491">
        <v>31</v>
      </c>
      <c r="D1810" s="491">
        <v>1</v>
      </c>
      <c r="E1810" s="491">
        <v>0</v>
      </c>
      <c r="F1810" s="491">
        <v>0</v>
      </c>
      <c r="G1810" s="491">
        <f t="shared" si="28"/>
        <v>32</v>
      </c>
    </row>
    <row r="1811" spans="1:7" ht="12.75">
      <c r="A1811" s="134" t="s">
        <v>746</v>
      </c>
      <c r="B1811" s="134">
        <v>501</v>
      </c>
      <c r="C1811" s="491">
        <v>1</v>
      </c>
      <c r="D1811" s="491">
        <v>0</v>
      </c>
      <c r="E1811" s="491">
        <v>0</v>
      </c>
      <c r="F1811" s="491">
        <v>0</v>
      </c>
      <c r="G1811" s="491">
        <f t="shared" si="28"/>
        <v>1</v>
      </c>
    </row>
    <row r="1812" spans="1:7" ht="12.75">
      <c r="A1812" s="134" t="s">
        <v>746</v>
      </c>
      <c r="B1812" s="134">
        <v>502</v>
      </c>
      <c r="C1812" s="491">
        <v>1</v>
      </c>
      <c r="D1812" s="491">
        <v>2</v>
      </c>
      <c r="E1812" s="491">
        <v>0</v>
      </c>
      <c r="F1812" s="491">
        <v>0</v>
      </c>
      <c r="G1812" s="491">
        <f t="shared" si="28"/>
        <v>3</v>
      </c>
    </row>
    <row r="1813" spans="1:7" ht="12.75">
      <c r="A1813" s="134" t="s">
        <v>746</v>
      </c>
      <c r="B1813" s="134">
        <v>650</v>
      </c>
      <c r="C1813" s="491">
        <v>0</v>
      </c>
      <c r="D1813" s="491">
        <v>1</v>
      </c>
      <c r="E1813" s="491">
        <v>0</v>
      </c>
      <c r="F1813" s="491">
        <v>0</v>
      </c>
      <c r="G1813" s="491">
        <f t="shared" si="28"/>
        <v>1</v>
      </c>
    </row>
    <row r="1814" spans="1:7" ht="12.75">
      <c r="A1814" s="134" t="s">
        <v>747</v>
      </c>
      <c r="B1814" s="134">
        <v>120</v>
      </c>
      <c r="C1814" s="491">
        <v>15</v>
      </c>
      <c r="D1814" s="491">
        <v>26</v>
      </c>
      <c r="E1814" s="491">
        <v>203</v>
      </c>
      <c r="F1814" s="491">
        <v>6</v>
      </c>
      <c r="G1814" s="491">
        <f t="shared" si="28"/>
        <v>250</v>
      </c>
    </row>
    <row r="1815" spans="1:7" ht="12.75">
      <c r="A1815" s="134" t="s">
        <v>747</v>
      </c>
      <c r="B1815" s="134">
        <v>300</v>
      </c>
      <c r="C1815" s="491">
        <v>0</v>
      </c>
      <c r="D1815" s="491">
        <v>1</v>
      </c>
      <c r="E1815" s="491">
        <v>0</v>
      </c>
      <c r="F1815" s="491">
        <v>0</v>
      </c>
      <c r="G1815" s="491">
        <f t="shared" si="28"/>
        <v>1</v>
      </c>
    </row>
    <row r="1816" spans="1:7" ht="12.75">
      <c r="A1816" s="134" t="s">
        <v>748</v>
      </c>
      <c r="B1816" s="134">
        <v>107</v>
      </c>
      <c r="C1816" s="491">
        <v>0</v>
      </c>
      <c r="D1816" s="491">
        <v>1</v>
      </c>
      <c r="E1816" s="491">
        <v>0</v>
      </c>
      <c r="F1816" s="491">
        <v>0</v>
      </c>
      <c r="G1816" s="491">
        <f t="shared" si="28"/>
        <v>1</v>
      </c>
    </row>
    <row r="1817" spans="1:7" ht="12.75">
      <c r="A1817" s="134" t="s">
        <v>748</v>
      </c>
      <c r="B1817" s="134">
        <v>120</v>
      </c>
      <c r="C1817" s="491">
        <v>355</v>
      </c>
      <c r="D1817" s="491">
        <v>637</v>
      </c>
      <c r="E1817" s="491">
        <v>22</v>
      </c>
      <c r="F1817" s="491">
        <v>92</v>
      </c>
      <c r="G1817" s="491">
        <f t="shared" si="28"/>
        <v>1106</v>
      </c>
    </row>
    <row r="1818" spans="1:7" ht="12.75">
      <c r="A1818" s="134" t="s">
        <v>748</v>
      </c>
      <c r="B1818" s="134">
        <v>140</v>
      </c>
      <c r="C1818" s="491">
        <v>1</v>
      </c>
      <c r="D1818" s="491">
        <v>2</v>
      </c>
      <c r="E1818" s="491">
        <v>0</v>
      </c>
      <c r="F1818" s="491">
        <v>0</v>
      </c>
      <c r="G1818" s="491">
        <f t="shared" si="28"/>
        <v>3</v>
      </c>
    </row>
    <row r="1819" spans="1:7" ht="12.75">
      <c r="A1819" s="134" t="s">
        <v>748</v>
      </c>
      <c r="B1819" s="134">
        <v>144</v>
      </c>
      <c r="C1819" s="491">
        <v>0</v>
      </c>
      <c r="D1819" s="491">
        <v>0</v>
      </c>
      <c r="E1819" s="491">
        <v>1</v>
      </c>
      <c r="F1819" s="491">
        <v>0</v>
      </c>
      <c r="G1819" s="491">
        <f t="shared" si="28"/>
        <v>1</v>
      </c>
    </row>
    <row r="1820" spans="1:7" ht="12.75">
      <c r="A1820" s="134" t="s">
        <v>748</v>
      </c>
      <c r="B1820" s="134">
        <v>300</v>
      </c>
      <c r="C1820" s="491">
        <v>10</v>
      </c>
      <c r="D1820" s="491">
        <v>7</v>
      </c>
      <c r="E1820" s="491">
        <v>0</v>
      </c>
      <c r="F1820" s="491">
        <v>0</v>
      </c>
      <c r="G1820" s="491">
        <f t="shared" si="28"/>
        <v>17</v>
      </c>
    </row>
    <row r="1821" spans="1:7" ht="12.75">
      <c r="A1821" s="134" t="s">
        <v>748</v>
      </c>
      <c r="B1821" s="134">
        <v>560</v>
      </c>
      <c r="C1821" s="491">
        <v>1</v>
      </c>
      <c r="D1821" s="491">
        <v>0</v>
      </c>
      <c r="E1821" s="491">
        <v>0</v>
      </c>
      <c r="F1821" s="491">
        <v>0</v>
      </c>
      <c r="G1821" s="491">
        <f t="shared" si="28"/>
        <v>1</v>
      </c>
    </row>
    <row r="1822" spans="1:7" ht="12.75">
      <c r="A1822" s="134" t="s">
        <v>748</v>
      </c>
      <c r="B1822" s="134">
        <v>840</v>
      </c>
      <c r="C1822" s="491">
        <v>1</v>
      </c>
      <c r="D1822" s="491">
        <v>1</v>
      </c>
      <c r="E1822" s="491">
        <v>0</v>
      </c>
      <c r="F1822" s="491">
        <v>0</v>
      </c>
      <c r="G1822" s="491">
        <f t="shared" si="28"/>
        <v>2</v>
      </c>
    </row>
    <row r="1823" spans="1:7" ht="12.75">
      <c r="A1823" s="134" t="s">
        <v>749</v>
      </c>
      <c r="B1823" s="134">
        <v>120</v>
      </c>
      <c r="C1823" s="491">
        <v>4</v>
      </c>
      <c r="D1823" s="491">
        <v>15</v>
      </c>
      <c r="E1823" s="491">
        <v>1</v>
      </c>
      <c r="F1823" s="491">
        <v>1</v>
      </c>
      <c r="G1823" s="491">
        <f t="shared" si="28"/>
        <v>21</v>
      </c>
    </row>
    <row r="1824" spans="1:7" ht="12.75">
      <c r="A1824" s="134" t="s">
        <v>749</v>
      </c>
      <c r="B1824" s="134">
        <v>215</v>
      </c>
      <c r="C1824" s="491">
        <v>1</v>
      </c>
      <c r="D1824" s="491">
        <v>2</v>
      </c>
      <c r="E1824" s="491">
        <v>0</v>
      </c>
      <c r="F1824" s="491">
        <v>0</v>
      </c>
      <c r="G1824" s="491">
        <f t="shared" si="28"/>
        <v>3</v>
      </c>
    </row>
    <row r="1825" spans="1:7" ht="12.75">
      <c r="A1825" s="134" t="s">
        <v>749</v>
      </c>
      <c r="B1825" s="134">
        <v>252</v>
      </c>
      <c r="C1825" s="491">
        <v>1</v>
      </c>
      <c r="D1825" s="491">
        <v>1</v>
      </c>
      <c r="E1825" s="491">
        <v>0</v>
      </c>
      <c r="F1825" s="491">
        <v>0</v>
      </c>
      <c r="G1825" s="491">
        <f t="shared" si="28"/>
        <v>2</v>
      </c>
    </row>
    <row r="1826" spans="1:7" ht="12.75">
      <c r="A1826" s="134" t="s">
        <v>749</v>
      </c>
      <c r="B1826" s="134">
        <v>263</v>
      </c>
      <c r="C1826" s="491">
        <v>1</v>
      </c>
      <c r="D1826" s="491">
        <v>0</v>
      </c>
      <c r="E1826" s="491">
        <v>0</v>
      </c>
      <c r="F1826" s="491">
        <v>0</v>
      </c>
      <c r="G1826" s="491">
        <f t="shared" si="28"/>
        <v>1</v>
      </c>
    </row>
    <row r="1827" spans="1:7" ht="12.75">
      <c r="A1827" s="134" t="s">
        <v>749</v>
      </c>
      <c r="B1827" s="134">
        <v>290</v>
      </c>
      <c r="C1827" s="491">
        <v>1</v>
      </c>
      <c r="D1827" s="491">
        <v>0</v>
      </c>
      <c r="E1827" s="491">
        <v>0</v>
      </c>
      <c r="F1827" s="491">
        <v>0</v>
      </c>
      <c r="G1827" s="491">
        <f t="shared" si="28"/>
        <v>1</v>
      </c>
    </row>
    <row r="1828" spans="1:7" ht="12.75">
      <c r="A1828" s="134" t="s">
        <v>749</v>
      </c>
      <c r="B1828" s="134">
        <v>420</v>
      </c>
      <c r="C1828" s="491">
        <v>1</v>
      </c>
      <c r="D1828" s="491">
        <v>1</v>
      </c>
      <c r="E1828" s="491">
        <v>0</v>
      </c>
      <c r="F1828" s="491">
        <v>0</v>
      </c>
      <c r="G1828" s="491">
        <f t="shared" si="28"/>
        <v>2</v>
      </c>
    </row>
    <row r="1829" spans="1:7" ht="12.75">
      <c r="A1829" s="134" t="s">
        <v>750</v>
      </c>
      <c r="B1829" s="134">
        <v>100</v>
      </c>
      <c r="C1829" s="491">
        <v>117</v>
      </c>
      <c r="D1829" s="491">
        <v>73</v>
      </c>
      <c r="E1829" s="491">
        <v>3</v>
      </c>
      <c r="F1829" s="491">
        <v>85</v>
      </c>
      <c r="G1829" s="491">
        <f t="shared" si="28"/>
        <v>278</v>
      </c>
    </row>
    <row r="1830" spans="1:7" ht="12.75">
      <c r="A1830" s="134" t="s">
        <v>750</v>
      </c>
      <c r="B1830" s="134">
        <v>101</v>
      </c>
      <c r="C1830" s="491">
        <v>21</v>
      </c>
      <c r="D1830" s="491">
        <v>42</v>
      </c>
      <c r="E1830" s="491">
        <v>3</v>
      </c>
      <c r="F1830" s="491">
        <v>4</v>
      </c>
      <c r="G1830" s="491">
        <f t="shared" si="28"/>
        <v>70</v>
      </c>
    </row>
    <row r="1831" spans="1:7" ht="12.75">
      <c r="A1831" s="134" t="s">
        <v>750</v>
      </c>
      <c r="B1831" s="134">
        <v>102</v>
      </c>
      <c r="C1831" s="491">
        <v>1</v>
      </c>
      <c r="D1831" s="491">
        <v>0</v>
      </c>
      <c r="E1831" s="491">
        <v>0</v>
      </c>
      <c r="F1831" s="491">
        <v>0</v>
      </c>
      <c r="G1831" s="491">
        <f t="shared" si="28"/>
        <v>1</v>
      </c>
    </row>
    <row r="1832" spans="1:7" ht="12.75">
      <c r="A1832" s="134" t="s">
        <v>750</v>
      </c>
      <c r="B1832" s="134">
        <v>103</v>
      </c>
      <c r="C1832" s="491">
        <v>4</v>
      </c>
      <c r="D1832" s="491">
        <v>4</v>
      </c>
      <c r="E1832" s="491">
        <v>3</v>
      </c>
      <c r="F1832" s="491">
        <v>0</v>
      </c>
      <c r="G1832" s="491">
        <f t="shared" si="28"/>
        <v>11</v>
      </c>
    </row>
    <row r="1833" spans="1:7" ht="12.75">
      <c r="A1833" s="134" t="s">
        <v>750</v>
      </c>
      <c r="B1833" s="134">
        <v>104</v>
      </c>
      <c r="C1833" s="491">
        <v>9</v>
      </c>
      <c r="D1833" s="491">
        <v>6</v>
      </c>
      <c r="E1833" s="491">
        <v>0</v>
      </c>
      <c r="F1833" s="491">
        <v>1</v>
      </c>
      <c r="G1833" s="491">
        <f t="shared" si="28"/>
        <v>16</v>
      </c>
    </row>
    <row r="1834" spans="1:7" ht="12.75">
      <c r="A1834" s="134" t="s">
        <v>750</v>
      </c>
      <c r="B1834" s="134">
        <v>107</v>
      </c>
      <c r="C1834" s="491">
        <v>4</v>
      </c>
      <c r="D1834" s="491">
        <v>6</v>
      </c>
      <c r="E1834" s="491">
        <v>0</v>
      </c>
      <c r="F1834" s="491">
        <v>0</v>
      </c>
      <c r="G1834" s="491">
        <f t="shared" si="28"/>
        <v>10</v>
      </c>
    </row>
    <row r="1835" spans="1:7" ht="12.75">
      <c r="A1835" s="134" t="s">
        <v>750</v>
      </c>
      <c r="B1835" s="134">
        <v>110</v>
      </c>
      <c r="C1835" s="491">
        <v>37</v>
      </c>
      <c r="D1835" s="491">
        <v>25</v>
      </c>
      <c r="E1835" s="491">
        <v>4</v>
      </c>
      <c r="F1835" s="491">
        <v>1</v>
      </c>
      <c r="G1835" s="491">
        <f t="shared" si="28"/>
        <v>67</v>
      </c>
    </row>
    <row r="1836" spans="1:7" ht="12.75">
      <c r="A1836" s="134" t="s">
        <v>750</v>
      </c>
      <c r="B1836" s="134">
        <v>120</v>
      </c>
      <c r="C1836" s="491">
        <v>64920</v>
      </c>
      <c r="D1836" s="491">
        <v>124685</v>
      </c>
      <c r="E1836" s="491">
        <v>4458</v>
      </c>
      <c r="F1836" s="491">
        <v>4084</v>
      </c>
      <c r="G1836" s="491">
        <f t="shared" si="28"/>
        <v>198147</v>
      </c>
    </row>
    <row r="1837" spans="1:7" ht="12.75">
      <c r="A1837" s="134" t="s">
        <v>750</v>
      </c>
      <c r="B1837" s="134">
        <v>130</v>
      </c>
      <c r="C1837" s="491">
        <v>63</v>
      </c>
      <c r="D1837" s="491">
        <v>29</v>
      </c>
      <c r="E1837" s="491">
        <v>2</v>
      </c>
      <c r="F1837" s="491">
        <v>1</v>
      </c>
      <c r="G1837" s="491">
        <f t="shared" si="28"/>
        <v>95</v>
      </c>
    </row>
    <row r="1838" spans="1:7" ht="12.75">
      <c r="A1838" s="134" t="s">
        <v>750</v>
      </c>
      <c r="B1838" s="134">
        <v>140</v>
      </c>
      <c r="C1838" s="491">
        <v>110</v>
      </c>
      <c r="D1838" s="491">
        <v>105</v>
      </c>
      <c r="E1838" s="491">
        <v>6</v>
      </c>
      <c r="F1838" s="491">
        <v>5</v>
      </c>
      <c r="G1838" s="491">
        <f t="shared" si="28"/>
        <v>226</v>
      </c>
    </row>
    <row r="1839" spans="1:7" ht="12.75">
      <c r="A1839" s="134" t="s">
        <v>750</v>
      </c>
      <c r="B1839" s="134">
        <v>141</v>
      </c>
      <c r="C1839" s="491">
        <v>4</v>
      </c>
      <c r="D1839" s="491">
        <v>8</v>
      </c>
      <c r="E1839" s="491">
        <v>1</v>
      </c>
      <c r="F1839" s="491">
        <v>0</v>
      </c>
      <c r="G1839" s="491">
        <f t="shared" si="28"/>
        <v>13</v>
      </c>
    </row>
    <row r="1840" spans="1:7" ht="12.75">
      <c r="A1840" s="134" t="s">
        <v>750</v>
      </c>
      <c r="B1840" s="134">
        <v>143</v>
      </c>
      <c r="C1840" s="491">
        <v>7</v>
      </c>
      <c r="D1840" s="491">
        <v>0</v>
      </c>
      <c r="E1840" s="491">
        <v>1</v>
      </c>
      <c r="F1840" s="491">
        <v>0</v>
      </c>
      <c r="G1840" s="491">
        <f t="shared" si="28"/>
        <v>8</v>
      </c>
    </row>
    <row r="1841" spans="1:7" ht="12.75">
      <c r="A1841" s="134" t="s">
        <v>750</v>
      </c>
      <c r="B1841" s="134">
        <v>144</v>
      </c>
      <c r="C1841" s="491">
        <v>286</v>
      </c>
      <c r="D1841" s="491">
        <v>797</v>
      </c>
      <c r="E1841" s="491">
        <v>70</v>
      </c>
      <c r="F1841" s="491">
        <v>16</v>
      </c>
      <c r="G1841" s="491">
        <f t="shared" si="28"/>
        <v>1169</v>
      </c>
    </row>
    <row r="1842" spans="1:7" ht="12.75">
      <c r="A1842" s="134" t="s">
        <v>750</v>
      </c>
      <c r="B1842" s="134">
        <v>150</v>
      </c>
      <c r="C1842" s="491">
        <v>10</v>
      </c>
      <c r="D1842" s="491">
        <v>5</v>
      </c>
      <c r="E1842" s="491">
        <v>0</v>
      </c>
      <c r="F1842" s="491">
        <v>0</v>
      </c>
      <c r="G1842" s="491">
        <f t="shared" si="28"/>
        <v>15</v>
      </c>
    </row>
    <row r="1843" spans="1:7" ht="12.75">
      <c r="A1843" s="134" t="s">
        <v>750</v>
      </c>
      <c r="B1843" s="134">
        <v>160</v>
      </c>
      <c r="C1843" s="491">
        <v>5</v>
      </c>
      <c r="D1843" s="491">
        <v>2</v>
      </c>
      <c r="E1843" s="491">
        <v>1</v>
      </c>
      <c r="F1843" s="491">
        <v>0</v>
      </c>
      <c r="G1843" s="491">
        <f t="shared" si="28"/>
        <v>8</v>
      </c>
    </row>
    <row r="1844" spans="1:7" ht="12.75">
      <c r="A1844" s="134" t="s">
        <v>750</v>
      </c>
      <c r="B1844" s="134">
        <v>173</v>
      </c>
      <c r="C1844" s="491">
        <v>0</v>
      </c>
      <c r="D1844" s="491">
        <v>4</v>
      </c>
      <c r="E1844" s="491">
        <v>0</v>
      </c>
      <c r="F1844" s="491">
        <v>0</v>
      </c>
      <c r="G1844" s="491">
        <f t="shared" si="28"/>
        <v>4</v>
      </c>
    </row>
    <row r="1845" spans="1:7" ht="12.75">
      <c r="A1845" s="134" t="s">
        <v>750</v>
      </c>
      <c r="B1845" s="134">
        <v>180</v>
      </c>
      <c r="C1845" s="491">
        <v>1</v>
      </c>
      <c r="D1845" s="491">
        <v>3</v>
      </c>
      <c r="E1845" s="491">
        <v>0</v>
      </c>
      <c r="F1845" s="491">
        <v>0</v>
      </c>
      <c r="G1845" s="491">
        <f t="shared" si="28"/>
        <v>4</v>
      </c>
    </row>
    <row r="1846" spans="1:7" ht="12.75">
      <c r="A1846" s="134" t="s">
        <v>750</v>
      </c>
      <c r="B1846" s="134">
        <v>190</v>
      </c>
      <c r="C1846" s="491">
        <v>18</v>
      </c>
      <c r="D1846" s="491">
        <v>6</v>
      </c>
      <c r="E1846" s="491">
        <v>2</v>
      </c>
      <c r="F1846" s="491">
        <v>0</v>
      </c>
      <c r="G1846" s="491">
        <f t="shared" si="28"/>
        <v>26</v>
      </c>
    </row>
    <row r="1847" spans="1:7" ht="12.75">
      <c r="A1847" s="134" t="s">
        <v>750</v>
      </c>
      <c r="B1847" s="134">
        <v>191</v>
      </c>
      <c r="C1847" s="491">
        <v>14</v>
      </c>
      <c r="D1847" s="491">
        <v>0</v>
      </c>
      <c r="E1847" s="491">
        <v>2</v>
      </c>
      <c r="F1847" s="491">
        <v>0</v>
      </c>
      <c r="G1847" s="491">
        <f t="shared" si="28"/>
        <v>16</v>
      </c>
    </row>
    <row r="1848" spans="1:7" ht="12.75">
      <c r="A1848" s="134" t="s">
        <v>750</v>
      </c>
      <c r="B1848" s="134">
        <v>215</v>
      </c>
      <c r="C1848" s="491">
        <v>41</v>
      </c>
      <c r="D1848" s="491">
        <v>49</v>
      </c>
      <c r="E1848" s="491">
        <v>0</v>
      </c>
      <c r="F1848" s="491">
        <v>0</v>
      </c>
      <c r="G1848" s="491">
        <f t="shared" si="28"/>
        <v>90</v>
      </c>
    </row>
    <row r="1849" spans="1:7" ht="12.75">
      <c r="A1849" s="134" t="s">
        <v>750</v>
      </c>
      <c r="B1849" s="134">
        <v>300</v>
      </c>
      <c r="C1849" s="491">
        <v>11</v>
      </c>
      <c r="D1849" s="491">
        <v>3</v>
      </c>
      <c r="E1849" s="491">
        <v>4</v>
      </c>
      <c r="F1849" s="491">
        <v>1</v>
      </c>
      <c r="G1849" s="491">
        <f t="shared" si="28"/>
        <v>19</v>
      </c>
    </row>
    <row r="1850" spans="1:7" ht="12.75">
      <c r="A1850" s="134" t="s">
        <v>750</v>
      </c>
      <c r="B1850" s="134">
        <v>301</v>
      </c>
      <c r="C1850" s="491">
        <v>7</v>
      </c>
      <c r="D1850" s="491">
        <v>9</v>
      </c>
      <c r="E1850" s="491">
        <v>3</v>
      </c>
      <c r="F1850" s="491">
        <v>2</v>
      </c>
      <c r="G1850" s="491">
        <f t="shared" si="28"/>
        <v>21</v>
      </c>
    </row>
    <row r="1851" spans="1:7" ht="12.75">
      <c r="A1851" s="134" t="s">
        <v>750</v>
      </c>
      <c r="B1851" s="134">
        <v>302</v>
      </c>
      <c r="C1851" s="491">
        <v>8</v>
      </c>
      <c r="D1851" s="491">
        <v>9</v>
      </c>
      <c r="E1851" s="491">
        <v>0</v>
      </c>
      <c r="F1851" s="491">
        <v>20</v>
      </c>
      <c r="G1851" s="491">
        <f t="shared" si="28"/>
        <v>37</v>
      </c>
    </row>
    <row r="1852" spans="1:7" ht="12.75">
      <c r="A1852" s="134" t="s">
        <v>750</v>
      </c>
      <c r="B1852" s="134">
        <v>303</v>
      </c>
      <c r="C1852" s="491">
        <v>19</v>
      </c>
      <c r="D1852" s="491">
        <v>5</v>
      </c>
      <c r="E1852" s="491">
        <v>2</v>
      </c>
      <c r="F1852" s="491">
        <v>0</v>
      </c>
      <c r="G1852" s="491">
        <f t="shared" si="28"/>
        <v>26</v>
      </c>
    </row>
    <row r="1853" spans="1:7" ht="12.75">
      <c r="A1853" s="134" t="s">
        <v>750</v>
      </c>
      <c r="B1853" s="134">
        <v>306</v>
      </c>
      <c r="C1853" s="491">
        <v>0</v>
      </c>
      <c r="D1853" s="491">
        <v>1</v>
      </c>
      <c r="E1853" s="491">
        <v>0</v>
      </c>
      <c r="F1853" s="491">
        <v>0</v>
      </c>
      <c r="G1853" s="491">
        <f t="shared" si="28"/>
        <v>1</v>
      </c>
    </row>
    <row r="1854" spans="1:7" ht="12.75">
      <c r="A1854" s="134" t="s">
        <v>750</v>
      </c>
      <c r="B1854" s="134">
        <v>307</v>
      </c>
      <c r="C1854" s="491">
        <v>1</v>
      </c>
      <c r="D1854" s="491">
        <v>1</v>
      </c>
      <c r="E1854" s="491">
        <v>1</v>
      </c>
      <c r="F1854" s="491">
        <v>0</v>
      </c>
      <c r="G1854" s="491">
        <f t="shared" si="28"/>
        <v>3</v>
      </c>
    </row>
    <row r="1855" spans="1:7" ht="12.75">
      <c r="A1855" s="134" t="s">
        <v>750</v>
      </c>
      <c r="B1855" s="134">
        <v>310</v>
      </c>
      <c r="C1855" s="491">
        <v>9</v>
      </c>
      <c r="D1855" s="491">
        <v>17</v>
      </c>
      <c r="E1855" s="491">
        <v>0</v>
      </c>
      <c r="F1855" s="491">
        <v>0</v>
      </c>
      <c r="G1855" s="491">
        <f t="shared" si="28"/>
        <v>26</v>
      </c>
    </row>
    <row r="1856" spans="1:7" ht="12.75">
      <c r="A1856" s="134" t="s">
        <v>750</v>
      </c>
      <c r="B1856" s="134">
        <v>314</v>
      </c>
      <c r="C1856" s="491">
        <v>5</v>
      </c>
      <c r="D1856" s="491">
        <v>0</v>
      </c>
      <c r="E1856" s="491">
        <v>0</v>
      </c>
      <c r="F1856" s="491">
        <v>0</v>
      </c>
      <c r="G1856" s="491">
        <f t="shared" si="28"/>
        <v>5</v>
      </c>
    </row>
    <row r="1857" spans="1:7" ht="12.75">
      <c r="A1857" s="134" t="s">
        <v>750</v>
      </c>
      <c r="B1857" s="134">
        <v>317</v>
      </c>
      <c r="C1857" s="491">
        <v>0</v>
      </c>
      <c r="D1857" s="491">
        <v>1</v>
      </c>
      <c r="E1857" s="491">
        <v>0</v>
      </c>
      <c r="F1857" s="491">
        <v>0</v>
      </c>
      <c r="G1857" s="491">
        <f t="shared" si="28"/>
        <v>1</v>
      </c>
    </row>
    <row r="1858" spans="1:7" ht="12.75">
      <c r="A1858" s="134" t="s">
        <v>750</v>
      </c>
      <c r="B1858" s="134">
        <v>318</v>
      </c>
      <c r="C1858" s="491">
        <v>3</v>
      </c>
      <c r="D1858" s="491">
        <v>42</v>
      </c>
      <c r="E1858" s="491">
        <v>0</v>
      </c>
      <c r="F1858" s="491">
        <v>0</v>
      </c>
      <c r="G1858" s="491">
        <f t="shared" si="28"/>
        <v>45</v>
      </c>
    </row>
    <row r="1859" spans="1:7" ht="12.75">
      <c r="A1859" s="134" t="s">
        <v>750</v>
      </c>
      <c r="B1859" s="134">
        <v>320</v>
      </c>
      <c r="C1859" s="491">
        <v>19</v>
      </c>
      <c r="D1859" s="491">
        <v>35</v>
      </c>
      <c r="E1859" s="491">
        <v>2</v>
      </c>
      <c r="F1859" s="491">
        <v>4</v>
      </c>
      <c r="G1859" s="491">
        <f t="shared" si="28"/>
        <v>60</v>
      </c>
    </row>
    <row r="1860" spans="1:7" ht="12.75">
      <c r="A1860" s="134" t="s">
        <v>750</v>
      </c>
      <c r="B1860" s="134">
        <v>324</v>
      </c>
      <c r="C1860" s="491">
        <v>1</v>
      </c>
      <c r="D1860" s="491">
        <v>0</v>
      </c>
      <c r="E1860" s="491">
        <v>0</v>
      </c>
      <c r="F1860" s="491">
        <v>0</v>
      </c>
      <c r="G1860" s="491">
        <f t="shared" ref="G1860:G1923" si="29">SUM(C1860:F1860)</f>
        <v>1</v>
      </c>
    </row>
    <row r="1861" spans="1:7" ht="12.75">
      <c r="A1861" s="134" t="s">
        <v>750</v>
      </c>
      <c r="B1861" s="134">
        <v>330</v>
      </c>
      <c r="C1861" s="491">
        <v>13</v>
      </c>
      <c r="D1861" s="491">
        <v>15</v>
      </c>
      <c r="E1861" s="491">
        <v>2</v>
      </c>
      <c r="F1861" s="491">
        <v>0</v>
      </c>
      <c r="G1861" s="491">
        <f t="shared" si="29"/>
        <v>30</v>
      </c>
    </row>
    <row r="1862" spans="1:7" ht="12.75">
      <c r="A1862" s="134" t="s">
        <v>750</v>
      </c>
      <c r="B1862" s="134">
        <v>340</v>
      </c>
      <c r="C1862" s="491">
        <v>71</v>
      </c>
      <c r="D1862" s="491">
        <v>141</v>
      </c>
      <c r="E1862" s="491">
        <v>4</v>
      </c>
      <c r="F1862" s="491">
        <v>4</v>
      </c>
      <c r="G1862" s="491">
        <f t="shared" si="29"/>
        <v>220</v>
      </c>
    </row>
    <row r="1863" spans="1:7" ht="12.75">
      <c r="A1863" s="134" t="s">
        <v>750</v>
      </c>
      <c r="B1863" s="134">
        <v>341</v>
      </c>
      <c r="C1863" s="491">
        <v>27</v>
      </c>
      <c r="D1863" s="491">
        <v>1289</v>
      </c>
      <c r="E1863" s="491">
        <v>0</v>
      </c>
      <c r="F1863" s="491">
        <v>0</v>
      </c>
      <c r="G1863" s="491">
        <f t="shared" si="29"/>
        <v>1316</v>
      </c>
    </row>
    <row r="1864" spans="1:7" ht="12.75">
      <c r="A1864" s="134" t="s">
        <v>750</v>
      </c>
      <c r="B1864" s="134">
        <v>343</v>
      </c>
      <c r="C1864" s="491">
        <v>16</v>
      </c>
      <c r="D1864" s="491">
        <v>0</v>
      </c>
      <c r="E1864" s="491">
        <v>0</v>
      </c>
      <c r="F1864" s="491">
        <v>0</v>
      </c>
      <c r="G1864" s="491">
        <f t="shared" si="29"/>
        <v>16</v>
      </c>
    </row>
    <row r="1865" spans="1:7" ht="12.75">
      <c r="A1865" s="134" t="s">
        <v>750</v>
      </c>
      <c r="B1865" s="134">
        <v>350</v>
      </c>
      <c r="C1865" s="491">
        <v>1</v>
      </c>
      <c r="D1865" s="491">
        <v>2</v>
      </c>
      <c r="E1865" s="491">
        <v>0</v>
      </c>
      <c r="F1865" s="491">
        <v>0</v>
      </c>
      <c r="G1865" s="491">
        <f t="shared" si="29"/>
        <v>3</v>
      </c>
    </row>
    <row r="1866" spans="1:7" ht="12.75">
      <c r="A1866" s="134" t="s">
        <v>750</v>
      </c>
      <c r="B1866" s="134">
        <v>361</v>
      </c>
      <c r="C1866" s="491">
        <v>14</v>
      </c>
      <c r="D1866" s="491">
        <v>12</v>
      </c>
      <c r="E1866" s="491">
        <v>3</v>
      </c>
      <c r="F1866" s="491">
        <v>11</v>
      </c>
      <c r="G1866" s="491">
        <f t="shared" si="29"/>
        <v>40</v>
      </c>
    </row>
    <row r="1867" spans="1:7" ht="12.75">
      <c r="A1867" s="134" t="s">
        <v>750</v>
      </c>
      <c r="B1867" s="134">
        <v>370</v>
      </c>
      <c r="C1867" s="491">
        <v>190</v>
      </c>
      <c r="D1867" s="491">
        <v>25</v>
      </c>
      <c r="E1867" s="491">
        <v>199</v>
      </c>
      <c r="F1867" s="491">
        <v>6</v>
      </c>
      <c r="G1867" s="491">
        <f t="shared" si="29"/>
        <v>420</v>
      </c>
    </row>
    <row r="1868" spans="1:7" ht="12.75">
      <c r="A1868" s="134" t="s">
        <v>750</v>
      </c>
      <c r="B1868" s="134">
        <v>400</v>
      </c>
      <c r="C1868" s="491">
        <v>7</v>
      </c>
      <c r="D1868" s="491">
        <v>6</v>
      </c>
      <c r="E1868" s="491">
        <v>0</v>
      </c>
      <c r="F1868" s="491">
        <v>0</v>
      </c>
      <c r="G1868" s="491">
        <f t="shared" si="29"/>
        <v>13</v>
      </c>
    </row>
    <row r="1869" spans="1:7" ht="12.75">
      <c r="A1869" s="134" t="s">
        <v>750</v>
      </c>
      <c r="B1869" s="134">
        <v>401</v>
      </c>
      <c r="C1869" s="491">
        <v>0</v>
      </c>
      <c r="D1869" s="491">
        <v>1</v>
      </c>
      <c r="E1869" s="491">
        <v>0</v>
      </c>
      <c r="F1869" s="491">
        <v>0</v>
      </c>
      <c r="G1869" s="491">
        <f t="shared" si="29"/>
        <v>1</v>
      </c>
    </row>
    <row r="1870" spans="1:7" ht="12.75">
      <c r="A1870" s="134" t="s">
        <v>750</v>
      </c>
      <c r="B1870" s="134">
        <v>410</v>
      </c>
      <c r="C1870" s="491">
        <v>7</v>
      </c>
      <c r="D1870" s="491">
        <v>5</v>
      </c>
      <c r="E1870" s="491">
        <v>2</v>
      </c>
      <c r="F1870" s="491">
        <v>0</v>
      </c>
      <c r="G1870" s="491">
        <f t="shared" si="29"/>
        <v>14</v>
      </c>
    </row>
    <row r="1871" spans="1:7" ht="12.75">
      <c r="A1871" s="134" t="s">
        <v>750</v>
      </c>
      <c r="B1871" s="134">
        <v>430</v>
      </c>
      <c r="C1871" s="491">
        <v>1</v>
      </c>
      <c r="D1871" s="491">
        <v>1</v>
      </c>
      <c r="E1871" s="491">
        <v>0</v>
      </c>
      <c r="F1871" s="491">
        <v>0</v>
      </c>
      <c r="G1871" s="491">
        <f t="shared" si="29"/>
        <v>2</v>
      </c>
    </row>
    <row r="1872" spans="1:7" ht="12.75">
      <c r="A1872" s="134" t="s">
        <v>750</v>
      </c>
      <c r="B1872" s="134">
        <v>501</v>
      </c>
      <c r="C1872" s="491">
        <v>17</v>
      </c>
      <c r="D1872" s="491">
        <v>5</v>
      </c>
      <c r="E1872" s="491">
        <v>1</v>
      </c>
      <c r="F1872" s="491">
        <v>3</v>
      </c>
      <c r="G1872" s="491">
        <f t="shared" si="29"/>
        <v>26</v>
      </c>
    </row>
    <row r="1873" spans="1:7" ht="12.75">
      <c r="A1873" s="134" t="s">
        <v>750</v>
      </c>
      <c r="B1873" s="134">
        <v>502</v>
      </c>
      <c r="C1873" s="491">
        <v>16</v>
      </c>
      <c r="D1873" s="491">
        <v>21</v>
      </c>
      <c r="E1873" s="491">
        <v>1</v>
      </c>
      <c r="F1873" s="491">
        <v>4</v>
      </c>
      <c r="G1873" s="491">
        <f t="shared" si="29"/>
        <v>42</v>
      </c>
    </row>
    <row r="1874" spans="1:7" ht="12.75">
      <c r="A1874" s="134" t="s">
        <v>750</v>
      </c>
      <c r="B1874" s="134">
        <v>503</v>
      </c>
      <c r="C1874" s="491">
        <v>0</v>
      </c>
      <c r="D1874" s="491">
        <v>1</v>
      </c>
      <c r="E1874" s="491">
        <v>0</v>
      </c>
      <c r="F1874" s="491">
        <v>0</v>
      </c>
      <c r="G1874" s="491">
        <f t="shared" si="29"/>
        <v>1</v>
      </c>
    </row>
    <row r="1875" spans="1:7" ht="12.75">
      <c r="A1875" s="134" t="s">
        <v>750</v>
      </c>
      <c r="B1875" s="134">
        <v>560</v>
      </c>
      <c r="C1875" s="491">
        <v>4</v>
      </c>
      <c r="D1875" s="491">
        <v>21</v>
      </c>
      <c r="E1875" s="491">
        <v>2</v>
      </c>
      <c r="F1875" s="491">
        <v>3</v>
      </c>
      <c r="G1875" s="491">
        <f t="shared" si="29"/>
        <v>30</v>
      </c>
    </row>
    <row r="1876" spans="1:7" ht="12.75">
      <c r="A1876" s="134" t="s">
        <v>750</v>
      </c>
      <c r="B1876" s="134">
        <v>650</v>
      </c>
      <c r="C1876" s="491">
        <v>3</v>
      </c>
      <c r="D1876" s="491">
        <v>8</v>
      </c>
      <c r="E1876" s="491">
        <v>0</v>
      </c>
      <c r="F1876" s="491">
        <v>0</v>
      </c>
      <c r="G1876" s="491">
        <f t="shared" si="29"/>
        <v>11</v>
      </c>
    </row>
    <row r="1877" spans="1:7" ht="12.75">
      <c r="A1877" s="134" t="s">
        <v>750</v>
      </c>
      <c r="B1877" s="134">
        <v>652</v>
      </c>
      <c r="C1877" s="491">
        <v>90</v>
      </c>
      <c r="D1877" s="491">
        <v>19</v>
      </c>
      <c r="E1877" s="491">
        <v>9</v>
      </c>
      <c r="F1877" s="491">
        <v>9</v>
      </c>
      <c r="G1877" s="491">
        <f t="shared" si="29"/>
        <v>127</v>
      </c>
    </row>
    <row r="1878" spans="1:7" ht="12.75">
      <c r="A1878" s="134" t="s">
        <v>750</v>
      </c>
      <c r="B1878" s="134">
        <v>653</v>
      </c>
      <c r="C1878" s="491">
        <v>0</v>
      </c>
      <c r="D1878" s="491">
        <v>0</v>
      </c>
      <c r="E1878" s="491">
        <v>1</v>
      </c>
      <c r="F1878" s="491">
        <v>0</v>
      </c>
      <c r="G1878" s="491">
        <f t="shared" si="29"/>
        <v>1</v>
      </c>
    </row>
    <row r="1879" spans="1:7" ht="12.75">
      <c r="A1879" s="134" t="s">
        <v>750</v>
      </c>
      <c r="B1879" s="134">
        <v>654</v>
      </c>
      <c r="C1879" s="491">
        <v>5</v>
      </c>
      <c r="D1879" s="491">
        <v>9</v>
      </c>
      <c r="E1879" s="491">
        <v>0</v>
      </c>
      <c r="F1879" s="491">
        <v>2</v>
      </c>
      <c r="G1879" s="491">
        <f t="shared" si="29"/>
        <v>16</v>
      </c>
    </row>
    <row r="1880" spans="1:7" ht="12.75">
      <c r="A1880" s="134" t="s">
        <v>750</v>
      </c>
      <c r="B1880" s="134">
        <v>658</v>
      </c>
      <c r="C1880" s="491">
        <v>0</v>
      </c>
      <c r="D1880" s="491">
        <v>2</v>
      </c>
      <c r="E1880" s="491">
        <v>0</v>
      </c>
      <c r="F1880" s="491">
        <v>0</v>
      </c>
      <c r="G1880" s="491">
        <f t="shared" si="29"/>
        <v>2</v>
      </c>
    </row>
    <row r="1881" spans="1:7" ht="12.75">
      <c r="A1881" s="134" t="s">
        <v>750</v>
      </c>
      <c r="B1881" s="134">
        <v>800</v>
      </c>
      <c r="C1881" s="491">
        <v>2821</v>
      </c>
      <c r="D1881" s="491">
        <v>88</v>
      </c>
      <c r="E1881" s="491">
        <v>1068</v>
      </c>
      <c r="F1881" s="491">
        <v>46</v>
      </c>
      <c r="G1881" s="491">
        <f t="shared" si="29"/>
        <v>4023</v>
      </c>
    </row>
    <row r="1882" spans="1:7" ht="12.75">
      <c r="A1882" s="134" t="s">
        <v>750</v>
      </c>
      <c r="B1882" s="134">
        <v>812</v>
      </c>
      <c r="C1882" s="491">
        <v>0</v>
      </c>
      <c r="D1882" s="491">
        <v>1</v>
      </c>
      <c r="E1882" s="491">
        <v>0</v>
      </c>
      <c r="F1882" s="491">
        <v>0</v>
      </c>
      <c r="G1882" s="491">
        <f t="shared" si="29"/>
        <v>1</v>
      </c>
    </row>
    <row r="1883" spans="1:7" ht="12.75">
      <c r="A1883" s="134" t="s">
        <v>750</v>
      </c>
      <c r="B1883" s="134">
        <v>840</v>
      </c>
      <c r="C1883" s="491">
        <v>4</v>
      </c>
      <c r="D1883" s="491">
        <v>4</v>
      </c>
      <c r="E1883" s="491">
        <v>0</v>
      </c>
      <c r="F1883" s="491">
        <v>1</v>
      </c>
      <c r="G1883" s="491">
        <f t="shared" si="29"/>
        <v>9</v>
      </c>
    </row>
    <row r="1884" spans="1:7" ht="12.75">
      <c r="A1884" s="134" t="s">
        <v>751</v>
      </c>
      <c r="B1884" s="134">
        <v>100</v>
      </c>
      <c r="C1884" s="491">
        <v>1</v>
      </c>
      <c r="D1884" s="491">
        <v>4</v>
      </c>
      <c r="E1884" s="491">
        <v>0</v>
      </c>
      <c r="F1884" s="491">
        <v>0</v>
      </c>
      <c r="G1884" s="491">
        <f t="shared" si="29"/>
        <v>5</v>
      </c>
    </row>
    <row r="1885" spans="1:7" ht="12.75">
      <c r="A1885" s="134" t="s">
        <v>751</v>
      </c>
      <c r="B1885" s="134">
        <v>101</v>
      </c>
      <c r="C1885" s="491">
        <v>0</v>
      </c>
      <c r="D1885" s="491">
        <v>1</v>
      </c>
      <c r="E1885" s="491">
        <v>0</v>
      </c>
      <c r="F1885" s="491">
        <v>0</v>
      </c>
      <c r="G1885" s="491">
        <f t="shared" si="29"/>
        <v>1</v>
      </c>
    </row>
    <row r="1886" spans="1:7" ht="12.75">
      <c r="A1886" s="134" t="s">
        <v>751</v>
      </c>
      <c r="B1886" s="134">
        <v>103</v>
      </c>
      <c r="C1886" s="491">
        <v>0</v>
      </c>
      <c r="D1886" s="491">
        <v>1</v>
      </c>
      <c r="E1886" s="491">
        <v>0</v>
      </c>
      <c r="F1886" s="491">
        <v>0</v>
      </c>
      <c r="G1886" s="491">
        <f t="shared" si="29"/>
        <v>1</v>
      </c>
    </row>
    <row r="1887" spans="1:7" ht="12.75">
      <c r="A1887" s="134" t="s">
        <v>751</v>
      </c>
      <c r="B1887" s="134">
        <v>110</v>
      </c>
      <c r="C1887" s="491">
        <v>4</v>
      </c>
      <c r="D1887" s="491">
        <v>1</v>
      </c>
      <c r="E1887" s="491">
        <v>0</v>
      </c>
      <c r="F1887" s="491">
        <v>0</v>
      </c>
      <c r="G1887" s="491">
        <f t="shared" si="29"/>
        <v>5</v>
      </c>
    </row>
    <row r="1888" spans="1:7" ht="12.75">
      <c r="A1888" s="134" t="s">
        <v>751</v>
      </c>
      <c r="B1888" s="134">
        <v>120</v>
      </c>
      <c r="C1888" s="491">
        <v>1288</v>
      </c>
      <c r="D1888" s="491">
        <v>3974</v>
      </c>
      <c r="E1888" s="491">
        <v>50</v>
      </c>
      <c r="F1888" s="491">
        <v>103</v>
      </c>
      <c r="G1888" s="491">
        <f t="shared" si="29"/>
        <v>5415</v>
      </c>
    </row>
    <row r="1889" spans="1:7" ht="12.75">
      <c r="A1889" s="134" t="s">
        <v>751</v>
      </c>
      <c r="B1889" s="134">
        <v>130</v>
      </c>
      <c r="C1889" s="491">
        <v>17</v>
      </c>
      <c r="D1889" s="491">
        <v>3</v>
      </c>
      <c r="E1889" s="491">
        <v>1</v>
      </c>
      <c r="F1889" s="491">
        <v>0</v>
      </c>
      <c r="G1889" s="491">
        <f t="shared" si="29"/>
        <v>21</v>
      </c>
    </row>
    <row r="1890" spans="1:7" ht="12.75">
      <c r="A1890" s="134" t="s">
        <v>751</v>
      </c>
      <c r="B1890" s="134">
        <v>140</v>
      </c>
      <c r="C1890" s="491">
        <v>0</v>
      </c>
      <c r="D1890" s="491">
        <v>1</v>
      </c>
      <c r="E1890" s="491">
        <v>0</v>
      </c>
      <c r="F1890" s="491">
        <v>0</v>
      </c>
      <c r="G1890" s="491">
        <f t="shared" si="29"/>
        <v>1</v>
      </c>
    </row>
    <row r="1891" spans="1:7" ht="12.75">
      <c r="A1891" s="134" t="s">
        <v>751</v>
      </c>
      <c r="B1891" s="134">
        <v>143</v>
      </c>
      <c r="C1891" s="491">
        <v>6</v>
      </c>
      <c r="D1891" s="491">
        <v>0</v>
      </c>
      <c r="E1891" s="491">
        <v>1</v>
      </c>
      <c r="F1891" s="491">
        <v>0</v>
      </c>
      <c r="G1891" s="491">
        <f t="shared" si="29"/>
        <v>7</v>
      </c>
    </row>
    <row r="1892" spans="1:7" ht="12.75">
      <c r="A1892" s="134" t="s">
        <v>751</v>
      </c>
      <c r="B1892" s="134">
        <v>144</v>
      </c>
      <c r="C1892" s="491">
        <v>1</v>
      </c>
      <c r="D1892" s="491">
        <v>3</v>
      </c>
      <c r="E1892" s="491">
        <v>0</v>
      </c>
      <c r="F1892" s="491">
        <v>0</v>
      </c>
      <c r="G1892" s="491">
        <f t="shared" si="29"/>
        <v>4</v>
      </c>
    </row>
    <row r="1893" spans="1:7" ht="12.75">
      <c r="A1893" s="134" t="s">
        <v>751</v>
      </c>
      <c r="B1893" s="134">
        <v>160</v>
      </c>
      <c r="C1893" s="491">
        <v>0</v>
      </c>
      <c r="D1893" s="491">
        <v>2</v>
      </c>
      <c r="E1893" s="491">
        <v>0</v>
      </c>
      <c r="F1893" s="491">
        <v>0</v>
      </c>
      <c r="G1893" s="491">
        <f t="shared" si="29"/>
        <v>2</v>
      </c>
    </row>
    <row r="1894" spans="1:7" ht="12.75">
      <c r="A1894" s="134" t="s">
        <v>751</v>
      </c>
      <c r="B1894" s="134">
        <v>211</v>
      </c>
      <c r="C1894" s="491">
        <v>1</v>
      </c>
      <c r="D1894" s="491">
        <v>1</v>
      </c>
      <c r="E1894" s="491">
        <v>0</v>
      </c>
      <c r="F1894" s="491">
        <v>0</v>
      </c>
      <c r="G1894" s="491">
        <f t="shared" si="29"/>
        <v>2</v>
      </c>
    </row>
    <row r="1895" spans="1:7" ht="12.75">
      <c r="A1895" s="134" t="s">
        <v>751</v>
      </c>
      <c r="B1895" s="134">
        <v>214</v>
      </c>
      <c r="C1895" s="491">
        <v>1</v>
      </c>
      <c r="D1895" s="491">
        <v>6</v>
      </c>
      <c r="E1895" s="491">
        <v>0</v>
      </c>
      <c r="F1895" s="491">
        <v>0</v>
      </c>
      <c r="G1895" s="491">
        <f t="shared" si="29"/>
        <v>7</v>
      </c>
    </row>
    <row r="1896" spans="1:7" ht="12.75">
      <c r="A1896" s="134" t="s">
        <v>751</v>
      </c>
      <c r="B1896" s="134">
        <v>215</v>
      </c>
      <c r="C1896" s="491">
        <v>149</v>
      </c>
      <c r="D1896" s="491">
        <v>382</v>
      </c>
      <c r="E1896" s="491">
        <v>0</v>
      </c>
      <c r="F1896" s="491">
        <v>1</v>
      </c>
      <c r="G1896" s="491">
        <f t="shared" si="29"/>
        <v>532</v>
      </c>
    </row>
    <row r="1897" spans="1:7" ht="12.75">
      <c r="A1897" s="134" t="s">
        <v>751</v>
      </c>
      <c r="B1897" s="134">
        <v>216</v>
      </c>
      <c r="C1897" s="491">
        <v>1</v>
      </c>
      <c r="D1897" s="491">
        <v>5</v>
      </c>
      <c r="E1897" s="491">
        <v>0</v>
      </c>
      <c r="F1897" s="491">
        <v>1</v>
      </c>
      <c r="G1897" s="491">
        <f t="shared" si="29"/>
        <v>7</v>
      </c>
    </row>
    <row r="1898" spans="1:7" ht="12.75">
      <c r="A1898" s="134" t="s">
        <v>751</v>
      </c>
      <c r="B1898" s="134">
        <v>219</v>
      </c>
      <c r="C1898" s="491">
        <v>1</v>
      </c>
      <c r="D1898" s="491">
        <v>0</v>
      </c>
      <c r="E1898" s="491">
        <v>0</v>
      </c>
      <c r="F1898" s="491">
        <v>0</v>
      </c>
      <c r="G1898" s="491">
        <f t="shared" si="29"/>
        <v>1</v>
      </c>
    </row>
    <row r="1899" spans="1:7" ht="12.75">
      <c r="A1899" s="134" t="s">
        <v>751</v>
      </c>
      <c r="B1899" s="134">
        <v>242</v>
      </c>
      <c r="C1899" s="491">
        <v>4</v>
      </c>
      <c r="D1899" s="491">
        <v>0</v>
      </c>
      <c r="E1899" s="491">
        <v>0</v>
      </c>
      <c r="F1899" s="491">
        <v>0</v>
      </c>
      <c r="G1899" s="491">
        <f t="shared" si="29"/>
        <v>4</v>
      </c>
    </row>
    <row r="1900" spans="1:7" ht="12.75">
      <c r="A1900" s="134" t="s">
        <v>751</v>
      </c>
      <c r="B1900" s="134">
        <v>251</v>
      </c>
      <c r="C1900" s="491">
        <v>0</v>
      </c>
      <c r="D1900" s="491">
        <v>1</v>
      </c>
      <c r="E1900" s="491">
        <v>0</v>
      </c>
      <c r="F1900" s="491">
        <v>0</v>
      </c>
      <c r="G1900" s="491">
        <f t="shared" si="29"/>
        <v>1</v>
      </c>
    </row>
    <row r="1901" spans="1:7" ht="12.75">
      <c r="A1901" s="134" t="s">
        <v>751</v>
      </c>
      <c r="B1901" s="134">
        <v>252</v>
      </c>
      <c r="C1901" s="491">
        <v>1</v>
      </c>
      <c r="D1901" s="491">
        <v>0</v>
      </c>
      <c r="E1901" s="491">
        <v>0</v>
      </c>
      <c r="F1901" s="491">
        <v>0</v>
      </c>
      <c r="G1901" s="491">
        <f t="shared" si="29"/>
        <v>1</v>
      </c>
    </row>
    <row r="1902" spans="1:7" ht="12.75">
      <c r="A1902" s="134" t="s">
        <v>751</v>
      </c>
      <c r="B1902" s="134">
        <v>258</v>
      </c>
      <c r="C1902" s="491">
        <v>3</v>
      </c>
      <c r="D1902" s="491">
        <v>2</v>
      </c>
      <c r="E1902" s="491">
        <v>0</v>
      </c>
      <c r="F1902" s="491">
        <v>0</v>
      </c>
      <c r="G1902" s="491">
        <f t="shared" si="29"/>
        <v>5</v>
      </c>
    </row>
    <row r="1903" spans="1:7" ht="12.75">
      <c r="A1903" s="134" t="s">
        <v>751</v>
      </c>
      <c r="B1903" s="134">
        <v>263</v>
      </c>
      <c r="C1903" s="491">
        <v>1</v>
      </c>
      <c r="D1903" s="491">
        <v>0</v>
      </c>
      <c r="E1903" s="491">
        <v>2</v>
      </c>
      <c r="F1903" s="491">
        <v>0</v>
      </c>
      <c r="G1903" s="491">
        <f t="shared" si="29"/>
        <v>3</v>
      </c>
    </row>
    <row r="1904" spans="1:7" ht="12.75">
      <c r="A1904" s="134" t="s">
        <v>751</v>
      </c>
      <c r="B1904" s="134">
        <v>264</v>
      </c>
      <c r="C1904" s="491">
        <v>2</v>
      </c>
      <c r="D1904" s="491">
        <v>0</v>
      </c>
      <c r="E1904" s="491">
        <v>0</v>
      </c>
      <c r="F1904" s="491">
        <v>0</v>
      </c>
      <c r="G1904" s="491">
        <f t="shared" si="29"/>
        <v>2</v>
      </c>
    </row>
    <row r="1905" spans="1:7" ht="12.75">
      <c r="A1905" s="134" t="s">
        <v>751</v>
      </c>
      <c r="B1905" s="134">
        <v>290</v>
      </c>
      <c r="C1905" s="491">
        <v>1</v>
      </c>
      <c r="D1905" s="491">
        <v>2</v>
      </c>
      <c r="E1905" s="491">
        <v>0</v>
      </c>
      <c r="F1905" s="491">
        <v>0</v>
      </c>
      <c r="G1905" s="491">
        <f t="shared" si="29"/>
        <v>3</v>
      </c>
    </row>
    <row r="1906" spans="1:7" ht="12.75">
      <c r="A1906" s="134" t="s">
        <v>751</v>
      </c>
      <c r="B1906" s="134">
        <v>310</v>
      </c>
      <c r="C1906" s="491">
        <v>2</v>
      </c>
      <c r="D1906" s="491">
        <v>2</v>
      </c>
      <c r="E1906" s="491">
        <v>0</v>
      </c>
      <c r="F1906" s="491">
        <v>0</v>
      </c>
      <c r="G1906" s="491">
        <f t="shared" si="29"/>
        <v>4</v>
      </c>
    </row>
    <row r="1907" spans="1:7" ht="12.75">
      <c r="A1907" s="134" t="s">
        <v>751</v>
      </c>
      <c r="B1907" s="134">
        <v>314</v>
      </c>
      <c r="C1907" s="491">
        <v>3</v>
      </c>
      <c r="D1907" s="491">
        <v>0</v>
      </c>
      <c r="E1907" s="491">
        <v>0</v>
      </c>
      <c r="F1907" s="491">
        <v>0</v>
      </c>
      <c r="G1907" s="491">
        <f t="shared" si="29"/>
        <v>3</v>
      </c>
    </row>
    <row r="1908" spans="1:7" ht="12.75">
      <c r="A1908" s="134" t="s">
        <v>751</v>
      </c>
      <c r="B1908" s="134">
        <v>318</v>
      </c>
      <c r="C1908" s="491">
        <v>0</v>
      </c>
      <c r="D1908" s="491">
        <v>1</v>
      </c>
      <c r="E1908" s="491">
        <v>0</v>
      </c>
      <c r="F1908" s="491">
        <v>0</v>
      </c>
      <c r="G1908" s="491">
        <f t="shared" si="29"/>
        <v>1</v>
      </c>
    </row>
    <row r="1909" spans="1:7" ht="12.75">
      <c r="A1909" s="134" t="s">
        <v>751</v>
      </c>
      <c r="B1909" s="134">
        <v>320</v>
      </c>
      <c r="C1909" s="491">
        <v>0</v>
      </c>
      <c r="D1909" s="491">
        <v>3</v>
      </c>
      <c r="E1909" s="491">
        <v>0</v>
      </c>
      <c r="F1909" s="491">
        <v>0</v>
      </c>
      <c r="G1909" s="491">
        <f t="shared" si="29"/>
        <v>3</v>
      </c>
    </row>
    <row r="1910" spans="1:7" ht="12.75">
      <c r="A1910" s="134" t="s">
        <v>751</v>
      </c>
      <c r="B1910" s="134">
        <v>340</v>
      </c>
      <c r="C1910" s="491">
        <v>0</v>
      </c>
      <c r="D1910" s="491">
        <v>2</v>
      </c>
      <c r="E1910" s="491">
        <v>0</v>
      </c>
      <c r="F1910" s="491">
        <v>0</v>
      </c>
      <c r="G1910" s="491">
        <f t="shared" si="29"/>
        <v>2</v>
      </c>
    </row>
    <row r="1911" spans="1:7" ht="12.75">
      <c r="A1911" s="134" t="s">
        <v>751</v>
      </c>
      <c r="B1911" s="134">
        <v>341</v>
      </c>
      <c r="C1911" s="491">
        <v>0</v>
      </c>
      <c r="D1911" s="491">
        <v>15</v>
      </c>
      <c r="E1911" s="491">
        <v>0</v>
      </c>
      <c r="F1911" s="491">
        <v>0</v>
      </c>
      <c r="G1911" s="491">
        <f t="shared" si="29"/>
        <v>15</v>
      </c>
    </row>
    <row r="1912" spans="1:7" ht="12.75">
      <c r="A1912" s="134" t="s">
        <v>751</v>
      </c>
      <c r="B1912" s="134">
        <v>400</v>
      </c>
      <c r="C1912" s="491">
        <v>1</v>
      </c>
      <c r="D1912" s="491">
        <v>0</v>
      </c>
      <c r="E1912" s="491">
        <v>0</v>
      </c>
      <c r="F1912" s="491">
        <v>0</v>
      </c>
      <c r="G1912" s="491">
        <f t="shared" si="29"/>
        <v>1</v>
      </c>
    </row>
    <row r="1913" spans="1:7" ht="12.75">
      <c r="A1913" s="134" t="s">
        <v>751</v>
      </c>
      <c r="B1913" s="134">
        <v>420</v>
      </c>
      <c r="C1913" s="491">
        <v>9</v>
      </c>
      <c r="D1913" s="491">
        <v>6</v>
      </c>
      <c r="E1913" s="491">
        <v>3</v>
      </c>
      <c r="F1913" s="491">
        <v>1</v>
      </c>
      <c r="G1913" s="491">
        <f t="shared" si="29"/>
        <v>19</v>
      </c>
    </row>
    <row r="1914" spans="1:7" ht="12.75">
      <c r="A1914" s="134" t="s">
        <v>751</v>
      </c>
      <c r="B1914" s="134">
        <v>501</v>
      </c>
      <c r="C1914" s="491">
        <v>0</v>
      </c>
      <c r="D1914" s="491">
        <v>1</v>
      </c>
      <c r="E1914" s="491">
        <v>0</v>
      </c>
      <c r="F1914" s="491">
        <v>0</v>
      </c>
      <c r="G1914" s="491">
        <f t="shared" si="29"/>
        <v>1</v>
      </c>
    </row>
    <row r="1915" spans="1:7" ht="12.75">
      <c r="A1915" s="134" t="s">
        <v>751</v>
      </c>
      <c r="B1915" s="134">
        <v>502</v>
      </c>
      <c r="C1915" s="491">
        <v>0</v>
      </c>
      <c r="D1915" s="491">
        <v>2</v>
      </c>
      <c r="E1915" s="491">
        <v>0</v>
      </c>
      <c r="F1915" s="491">
        <v>0</v>
      </c>
      <c r="G1915" s="491">
        <f t="shared" si="29"/>
        <v>2</v>
      </c>
    </row>
    <row r="1916" spans="1:7" ht="12.75">
      <c r="A1916" s="134" t="s">
        <v>751</v>
      </c>
      <c r="B1916" s="134">
        <v>652</v>
      </c>
      <c r="C1916" s="491">
        <v>3</v>
      </c>
      <c r="D1916" s="491">
        <v>1</v>
      </c>
      <c r="E1916" s="491">
        <v>0</v>
      </c>
      <c r="F1916" s="491">
        <v>0</v>
      </c>
      <c r="G1916" s="491">
        <f t="shared" si="29"/>
        <v>4</v>
      </c>
    </row>
    <row r="1917" spans="1:7" ht="12.75">
      <c r="A1917" s="134" t="s">
        <v>751</v>
      </c>
      <c r="B1917" s="134">
        <v>800</v>
      </c>
      <c r="C1917" s="491">
        <v>1</v>
      </c>
      <c r="D1917" s="491">
        <v>0</v>
      </c>
      <c r="E1917" s="491">
        <v>0</v>
      </c>
      <c r="F1917" s="491">
        <v>0</v>
      </c>
      <c r="G1917" s="491">
        <f t="shared" si="29"/>
        <v>1</v>
      </c>
    </row>
    <row r="1918" spans="1:7" ht="12.75">
      <c r="A1918" s="134" t="s">
        <v>752</v>
      </c>
      <c r="B1918" s="134">
        <v>101</v>
      </c>
      <c r="C1918" s="491">
        <v>0</v>
      </c>
      <c r="D1918" s="491">
        <v>1</v>
      </c>
      <c r="E1918" s="491">
        <v>0</v>
      </c>
      <c r="F1918" s="491">
        <v>0</v>
      </c>
      <c r="G1918" s="491">
        <f t="shared" si="29"/>
        <v>1</v>
      </c>
    </row>
    <row r="1919" spans="1:7" ht="12.75">
      <c r="A1919" s="134" t="s">
        <v>752</v>
      </c>
      <c r="B1919" s="134">
        <v>110</v>
      </c>
      <c r="C1919" s="491">
        <v>2</v>
      </c>
      <c r="D1919" s="491">
        <v>0</v>
      </c>
      <c r="E1919" s="491">
        <v>0</v>
      </c>
      <c r="F1919" s="491">
        <v>0</v>
      </c>
      <c r="G1919" s="491">
        <f t="shared" si="29"/>
        <v>2</v>
      </c>
    </row>
    <row r="1920" spans="1:7" ht="12.75">
      <c r="A1920" s="134" t="s">
        <v>752</v>
      </c>
      <c r="B1920" s="134">
        <v>120</v>
      </c>
      <c r="C1920" s="491">
        <v>50</v>
      </c>
      <c r="D1920" s="491">
        <v>219</v>
      </c>
      <c r="E1920" s="491">
        <v>0</v>
      </c>
      <c r="F1920" s="491">
        <v>3</v>
      </c>
      <c r="G1920" s="491">
        <f t="shared" si="29"/>
        <v>272</v>
      </c>
    </row>
    <row r="1921" spans="1:7" ht="12.75">
      <c r="A1921" s="134" t="s">
        <v>752</v>
      </c>
      <c r="B1921" s="134">
        <v>130</v>
      </c>
      <c r="C1921" s="491">
        <v>0</v>
      </c>
      <c r="D1921" s="491">
        <v>0</v>
      </c>
      <c r="E1921" s="491">
        <v>2</v>
      </c>
      <c r="F1921" s="491">
        <v>1</v>
      </c>
      <c r="G1921" s="491">
        <f t="shared" si="29"/>
        <v>3</v>
      </c>
    </row>
    <row r="1922" spans="1:7" ht="12.75">
      <c r="A1922" s="134" t="s">
        <v>752</v>
      </c>
      <c r="B1922" s="134">
        <v>211</v>
      </c>
      <c r="C1922" s="491">
        <v>1</v>
      </c>
      <c r="D1922" s="491">
        <v>0</v>
      </c>
      <c r="E1922" s="491">
        <v>0</v>
      </c>
      <c r="F1922" s="491">
        <v>0</v>
      </c>
      <c r="G1922" s="491">
        <f t="shared" si="29"/>
        <v>1</v>
      </c>
    </row>
    <row r="1923" spans="1:7" ht="12.75">
      <c r="A1923" s="134" t="s">
        <v>752</v>
      </c>
      <c r="B1923" s="134">
        <v>215</v>
      </c>
      <c r="C1923" s="491">
        <v>11</v>
      </c>
      <c r="D1923" s="491">
        <v>64</v>
      </c>
      <c r="E1923" s="491">
        <v>0</v>
      </c>
      <c r="F1923" s="491">
        <v>0</v>
      </c>
      <c r="G1923" s="491">
        <f t="shared" si="29"/>
        <v>75</v>
      </c>
    </row>
    <row r="1924" spans="1:7" ht="12.75">
      <c r="A1924" s="134" t="s">
        <v>752</v>
      </c>
      <c r="B1924" s="134">
        <v>216</v>
      </c>
      <c r="C1924" s="491">
        <v>0</v>
      </c>
      <c r="D1924" s="491">
        <v>1</v>
      </c>
      <c r="E1924" s="491">
        <v>0</v>
      </c>
      <c r="F1924" s="491">
        <v>1</v>
      </c>
      <c r="G1924" s="491">
        <f t="shared" ref="G1924:G1987" si="30">SUM(C1924:F1924)</f>
        <v>2</v>
      </c>
    </row>
    <row r="1925" spans="1:7" ht="12.75">
      <c r="A1925" s="134" t="s">
        <v>752</v>
      </c>
      <c r="B1925" s="134">
        <v>219</v>
      </c>
      <c r="C1925" s="491">
        <v>1</v>
      </c>
      <c r="D1925" s="491">
        <v>0</v>
      </c>
      <c r="E1925" s="491">
        <v>0</v>
      </c>
      <c r="F1925" s="491">
        <v>0</v>
      </c>
      <c r="G1925" s="491">
        <f t="shared" si="30"/>
        <v>1</v>
      </c>
    </row>
    <row r="1926" spans="1:7" ht="12.75">
      <c r="A1926" s="134" t="s">
        <v>752</v>
      </c>
      <c r="B1926" s="134">
        <v>242</v>
      </c>
      <c r="C1926" s="491">
        <v>1</v>
      </c>
      <c r="D1926" s="491">
        <v>1</v>
      </c>
      <c r="E1926" s="491">
        <v>0</v>
      </c>
      <c r="F1926" s="491">
        <v>0</v>
      </c>
      <c r="G1926" s="491">
        <f t="shared" si="30"/>
        <v>2</v>
      </c>
    </row>
    <row r="1927" spans="1:7" ht="12.75">
      <c r="A1927" s="134" t="s">
        <v>752</v>
      </c>
      <c r="B1927" s="134">
        <v>258</v>
      </c>
      <c r="C1927" s="491">
        <v>3</v>
      </c>
      <c r="D1927" s="491">
        <v>6</v>
      </c>
      <c r="E1927" s="491">
        <v>0</v>
      </c>
      <c r="F1927" s="491">
        <v>1</v>
      </c>
      <c r="G1927" s="491">
        <f t="shared" si="30"/>
        <v>10</v>
      </c>
    </row>
    <row r="1928" spans="1:7" ht="12.75">
      <c r="A1928" s="134" t="s">
        <v>752</v>
      </c>
      <c r="B1928" s="134">
        <v>420</v>
      </c>
      <c r="C1928" s="491">
        <v>3</v>
      </c>
      <c r="D1928" s="491">
        <v>5</v>
      </c>
      <c r="E1928" s="491">
        <v>0</v>
      </c>
      <c r="F1928" s="491">
        <v>2</v>
      </c>
      <c r="G1928" s="491">
        <f t="shared" si="30"/>
        <v>10</v>
      </c>
    </row>
    <row r="1929" spans="1:7" ht="12.75">
      <c r="A1929" s="134" t="s">
        <v>753</v>
      </c>
      <c r="B1929" s="134">
        <v>120</v>
      </c>
      <c r="C1929" s="491">
        <v>5</v>
      </c>
      <c r="D1929" s="491">
        <v>5</v>
      </c>
      <c r="E1929" s="491">
        <v>4</v>
      </c>
      <c r="F1929" s="491">
        <v>1</v>
      </c>
      <c r="G1929" s="491">
        <f t="shared" si="30"/>
        <v>15</v>
      </c>
    </row>
    <row r="1930" spans="1:7" ht="12.75">
      <c r="A1930" s="134" t="s">
        <v>754</v>
      </c>
      <c r="B1930" s="134">
        <v>100</v>
      </c>
      <c r="C1930" s="491">
        <v>68</v>
      </c>
      <c r="D1930" s="491">
        <v>73</v>
      </c>
      <c r="E1930" s="491">
        <v>0</v>
      </c>
      <c r="F1930" s="491">
        <v>0</v>
      </c>
      <c r="G1930" s="491">
        <f t="shared" si="30"/>
        <v>141</v>
      </c>
    </row>
    <row r="1931" spans="1:7" ht="12.75">
      <c r="A1931" s="134" t="s">
        <v>754</v>
      </c>
      <c r="B1931" s="134">
        <v>101</v>
      </c>
      <c r="C1931" s="491">
        <v>7</v>
      </c>
      <c r="D1931" s="491">
        <v>38</v>
      </c>
      <c r="E1931" s="491">
        <v>0</v>
      </c>
      <c r="F1931" s="491">
        <v>0</v>
      </c>
      <c r="G1931" s="491">
        <f t="shared" si="30"/>
        <v>45</v>
      </c>
    </row>
    <row r="1932" spans="1:7" ht="12.75">
      <c r="A1932" s="134" t="s">
        <v>754</v>
      </c>
      <c r="B1932" s="134">
        <v>102</v>
      </c>
      <c r="C1932" s="491">
        <v>0</v>
      </c>
      <c r="D1932" s="491">
        <v>3</v>
      </c>
      <c r="E1932" s="491">
        <v>0</v>
      </c>
      <c r="F1932" s="491">
        <v>0</v>
      </c>
      <c r="G1932" s="491">
        <f t="shared" si="30"/>
        <v>3</v>
      </c>
    </row>
    <row r="1933" spans="1:7" ht="12.75">
      <c r="A1933" s="134" t="s">
        <v>754</v>
      </c>
      <c r="B1933" s="134">
        <v>103</v>
      </c>
      <c r="C1933" s="491">
        <v>5</v>
      </c>
      <c r="D1933" s="491">
        <v>11</v>
      </c>
      <c r="E1933" s="491">
        <v>0</v>
      </c>
      <c r="F1933" s="491">
        <v>0</v>
      </c>
      <c r="G1933" s="491">
        <f t="shared" si="30"/>
        <v>16</v>
      </c>
    </row>
    <row r="1934" spans="1:7" ht="12.75">
      <c r="A1934" s="134" t="s">
        <v>754</v>
      </c>
      <c r="B1934" s="134">
        <v>104</v>
      </c>
      <c r="C1934" s="491">
        <v>1</v>
      </c>
      <c r="D1934" s="491">
        <v>27</v>
      </c>
      <c r="E1934" s="491">
        <v>0</v>
      </c>
      <c r="F1934" s="491">
        <v>0</v>
      </c>
      <c r="G1934" s="491">
        <f t="shared" si="30"/>
        <v>28</v>
      </c>
    </row>
    <row r="1935" spans="1:7" ht="12.75">
      <c r="A1935" s="134" t="s">
        <v>754</v>
      </c>
      <c r="B1935" s="134">
        <v>106</v>
      </c>
      <c r="C1935" s="491">
        <v>1</v>
      </c>
      <c r="D1935" s="491">
        <v>12</v>
      </c>
      <c r="E1935" s="491">
        <v>0</v>
      </c>
      <c r="F1935" s="491">
        <v>0</v>
      </c>
      <c r="G1935" s="491">
        <f t="shared" si="30"/>
        <v>13</v>
      </c>
    </row>
    <row r="1936" spans="1:7" ht="12.75">
      <c r="A1936" s="134" t="s">
        <v>754</v>
      </c>
      <c r="B1936" s="134">
        <v>107</v>
      </c>
      <c r="C1936" s="491">
        <v>0</v>
      </c>
      <c r="D1936" s="491">
        <v>10</v>
      </c>
      <c r="E1936" s="491">
        <v>0</v>
      </c>
      <c r="F1936" s="491">
        <v>0</v>
      </c>
      <c r="G1936" s="491">
        <f t="shared" si="30"/>
        <v>10</v>
      </c>
    </row>
    <row r="1937" spans="1:7" ht="12.75">
      <c r="A1937" s="134" t="s">
        <v>754</v>
      </c>
      <c r="B1937" s="134">
        <v>110</v>
      </c>
      <c r="C1937" s="491">
        <v>15</v>
      </c>
      <c r="D1937" s="491">
        <v>55</v>
      </c>
      <c r="E1937" s="491">
        <v>1</v>
      </c>
      <c r="F1937" s="491">
        <v>0</v>
      </c>
      <c r="G1937" s="491">
        <f t="shared" si="30"/>
        <v>71</v>
      </c>
    </row>
    <row r="1938" spans="1:7" ht="12.75">
      <c r="A1938" s="134" t="s">
        <v>754</v>
      </c>
      <c r="B1938" s="134">
        <v>120</v>
      </c>
      <c r="C1938" s="491">
        <v>40299</v>
      </c>
      <c r="D1938" s="491">
        <v>69909</v>
      </c>
      <c r="E1938" s="491">
        <v>1144</v>
      </c>
      <c r="F1938" s="491">
        <v>1095</v>
      </c>
      <c r="G1938" s="491">
        <f t="shared" si="30"/>
        <v>112447</v>
      </c>
    </row>
    <row r="1939" spans="1:7" ht="12.75">
      <c r="A1939" s="134" t="s">
        <v>754</v>
      </c>
      <c r="B1939" s="134">
        <v>130</v>
      </c>
      <c r="C1939" s="491">
        <v>300</v>
      </c>
      <c r="D1939" s="491">
        <v>114</v>
      </c>
      <c r="E1939" s="491">
        <v>19</v>
      </c>
      <c r="F1939" s="491">
        <v>3</v>
      </c>
      <c r="G1939" s="491">
        <f t="shared" si="30"/>
        <v>436</v>
      </c>
    </row>
    <row r="1940" spans="1:7" ht="12.75">
      <c r="A1940" s="134" t="s">
        <v>754</v>
      </c>
      <c r="B1940" s="134">
        <v>140</v>
      </c>
      <c r="C1940" s="491">
        <v>247</v>
      </c>
      <c r="D1940" s="491">
        <v>290</v>
      </c>
      <c r="E1940" s="491">
        <v>19</v>
      </c>
      <c r="F1940" s="491">
        <v>14</v>
      </c>
      <c r="G1940" s="491">
        <f t="shared" si="30"/>
        <v>570</v>
      </c>
    </row>
    <row r="1941" spans="1:7" ht="12.75">
      <c r="A1941" s="134" t="s">
        <v>754</v>
      </c>
      <c r="B1941" s="134">
        <v>141</v>
      </c>
      <c r="C1941" s="491">
        <v>3</v>
      </c>
      <c r="D1941" s="491">
        <v>0</v>
      </c>
      <c r="E1941" s="491">
        <v>1</v>
      </c>
      <c r="F1941" s="491">
        <v>0</v>
      </c>
      <c r="G1941" s="491">
        <f t="shared" si="30"/>
        <v>4</v>
      </c>
    </row>
    <row r="1942" spans="1:7" ht="12.75">
      <c r="A1942" s="134" t="s">
        <v>754</v>
      </c>
      <c r="B1942" s="134">
        <v>143</v>
      </c>
      <c r="C1942" s="491">
        <v>2</v>
      </c>
      <c r="D1942" s="491">
        <v>2</v>
      </c>
      <c r="E1942" s="491">
        <v>0</v>
      </c>
      <c r="F1942" s="491">
        <v>0</v>
      </c>
      <c r="G1942" s="491">
        <f t="shared" si="30"/>
        <v>4</v>
      </c>
    </row>
    <row r="1943" spans="1:7" ht="12.75">
      <c r="A1943" s="134" t="s">
        <v>754</v>
      </c>
      <c r="B1943" s="134">
        <v>144</v>
      </c>
      <c r="C1943" s="491">
        <v>281</v>
      </c>
      <c r="D1943" s="491">
        <v>195</v>
      </c>
      <c r="E1943" s="491">
        <v>37</v>
      </c>
      <c r="F1943" s="491">
        <v>3</v>
      </c>
      <c r="G1943" s="491">
        <f t="shared" si="30"/>
        <v>516</v>
      </c>
    </row>
    <row r="1944" spans="1:7" ht="12.75">
      <c r="A1944" s="134" t="s">
        <v>754</v>
      </c>
      <c r="B1944" s="134">
        <v>150</v>
      </c>
      <c r="C1944" s="491">
        <v>4</v>
      </c>
      <c r="D1944" s="491">
        <v>22</v>
      </c>
      <c r="E1944" s="491">
        <v>6</v>
      </c>
      <c r="F1944" s="491">
        <v>1</v>
      </c>
      <c r="G1944" s="491">
        <f t="shared" si="30"/>
        <v>33</v>
      </c>
    </row>
    <row r="1945" spans="1:7" ht="12.75">
      <c r="A1945" s="134" t="s">
        <v>754</v>
      </c>
      <c r="B1945" s="134">
        <v>160</v>
      </c>
      <c r="C1945" s="491">
        <v>6</v>
      </c>
      <c r="D1945" s="491">
        <v>22</v>
      </c>
      <c r="E1945" s="491">
        <v>4</v>
      </c>
      <c r="F1945" s="491">
        <v>1</v>
      </c>
      <c r="G1945" s="491">
        <f t="shared" si="30"/>
        <v>33</v>
      </c>
    </row>
    <row r="1946" spans="1:7" ht="12.75">
      <c r="A1946" s="134" t="s">
        <v>754</v>
      </c>
      <c r="B1946" s="134">
        <v>172</v>
      </c>
      <c r="C1946" s="491">
        <v>0</v>
      </c>
      <c r="D1946" s="491">
        <v>3</v>
      </c>
      <c r="E1946" s="491">
        <v>0</v>
      </c>
      <c r="F1946" s="491">
        <v>0</v>
      </c>
      <c r="G1946" s="491">
        <f t="shared" si="30"/>
        <v>3</v>
      </c>
    </row>
    <row r="1947" spans="1:7" ht="12.75">
      <c r="A1947" s="134" t="s">
        <v>754</v>
      </c>
      <c r="B1947" s="134">
        <v>173</v>
      </c>
      <c r="C1947" s="491">
        <v>0</v>
      </c>
      <c r="D1947" s="491">
        <v>2</v>
      </c>
      <c r="E1947" s="491">
        <v>0</v>
      </c>
      <c r="F1947" s="491">
        <v>0</v>
      </c>
      <c r="G1947" s="491">
        <f t="shared" si="30"/>
        <v>2</v>
      </c>
    </row>
    <row r="1948" spans="1:7" ht="12.75">
      <c r="A1948" s="134" t="s">
        <v>754</v>
      </c>
      <c r="B1948" s="134">
        <v>180</v>
      </c>
      <c r="C1948" s="491">
        <v>0</v>
      </c>
      <c r="D1948" s="491">
        <v>3</v>
      </c>
      <c r="E1948" s="491">
        <v>0</v>
      </c>
      <c r="F1948" s="491">
        <v>0</v>
      </c>
      <c r="G1948" s="491">
        <f t="shared" si="30"/>
        <v>3</v>
      </c>
    </row>
    <row r="1949" spans="1:7" ht="12.75">
      <c r="A1949" s="134" t="s">
        <v>754</v>
      </c>
      <c r="B1949" s="134">
        <v>190</v>
      </c>
      <c r="C1949" s="491">
        <v>4</v>
      </c>
      <c r="D1949" s="491">
        <v>12</v>
      </c>
      <c r="E1949" s="491">
        <v>0</v>
      </c>
      <c r="F1949" s="491">
        <v>0</v>
      </c>
      <c r="G1949" s="491">
        <f t="shared" si="30"/>
        <v>16</v>
      </c>
    </row>
    <row r="1950" spans="1:7" ht="12.75">
      <c r="A1950" s="134" t="s">
        <v>754</v>
      </c>
      <c r="B1950" s="134">
        <v>191</v>
      </c>
      <c r="C1950" s="491">
        <v>8</v>
      </c>
      <c r="D1950" s="491">
        <v>3</v>
      </c>
      <c r="E1950" s="491">
        <v>0</v>
      </c>
      <c r="F1950" s="491">
        <v>0</v>
      </c>
      <c r="G1950" s="491">
        <f t="shared" si="30"/>
        <v>11</v>
      </c>
    </row>
    <row r="1951" spans="1:7" ht="12.75">
      <c r="A1951" s="134" t="s">
        <v>754</v>
      </c>
      <c r="B1951" s="134">
        <v>215</v>
      </c>
      <c r="C1951" s="491">
        <v>12</v>
      </c>
      <c r="D1951" s="491">
        <v>11</v>
      </c>
      <c r="E1951" s="491">
        <v>0</v>
      </c>
      <c r="F1951" s="491">
        <v>0</v>
      </c>
      <c r="G1951" s="491">
        <f t="shared" si="30"/>
        <v>23</v>
      </c>
    </row>
    <row r="1952" spans="1:7" ht="12.75">
      <c r="A1952" s="134" t="s">
        <v>754</v>
      </c>
      <c r="B1952" s="134">
        <v>219</v>
      </c>
      <c r="C1952" s="491">
        <v>0</v>
      </c>
      <c r="D1952" s="491">
        <v>0</v>
      </c>
      <c r="E1952" s="491">
        <v>0</v>
      </c>
      <c r="F1952" s="491">
        <v>1</v>
      </c>
      <c r="G1952" s="491">
        <f t="shared" si="30"/>
        <v>1</v>
      </c>
    </row>
    <row r="1953" spans="1:7" ht="12.75">
      <c r="A1953" s="134" t="s">
        <v>754</v>
      </c>
      <c r="B1953" s="134">
        <v>290</v>
      </c>
      <c r="C1953" s="491">
        <v>0</v>
      </c>
      <c r="D1953" s="491">
        <v>1</v>
      </c>
      <c r="E1953" s="491">
        <v>0</v>
      </c>
      <c r="F1953" s="491">
        <v>0</v>
      </c>
      <c r="G1953" s="491">
        <f t="shared" si="30"/>
        <v>1</v>
      </c>
    </row>
    <row r="1954" spans="1:7" ht="12.75">
      <c r="A1954" s="134" t="s">
        <v>754</v>
      </c>
      <c r="B1954" s="134">
        <v>300</v>
      </c>
      <c r="C1954" s="491">
        <v>6</v>
      </c>
      <c r="D1954" s="491">
        <v>9</v>
      </c>
      <c r="E1954" s="491">
        <v>0</v>
      </c>
      <c r="F1954" s="491">
        <v>0</v>
      </c>
      <c r="G1954" s="491">
        <f t="shared" si="30"/>
        <v>15</v>
      </c>
    </row>
    <row r="1955" spans="1:7" ht="12.75">
      <c r="A1955" s="134" t="s">
        <v>754</v>
      </c>
      <c r="B1955" s="134">
        <v>301</v>
      </c>
      <c r="C1955" s="491">
        <v>4</v>
      </c>
      <c r="D1955" s="491">
        <v>12</v>
      </c>
      <c r="E1955" s="491">
        <v>0</v>
      </c>
      <c r="F1955" s="491">
        <v>0</v>
      </c>
      <c r="G1955" s="491">
        <f t="shared" si="30"/>
        <v>16</v>
      </c>
    </row>
    <row r="1956" spans="1:7" ht="12.75">
      <c r="A1956" s="134" t="s">
        <v>754</v>
      </c>
      <c r="B1956" s="134">
        <v>302</v>
      </c>
      <c r="C1956" s="491">
        <v>6</v>
      </c>
      <c r="D1956" s="491">
        <v>14</v>
      </c>
      <c r="E1956" s="491">
        <v>0</v>
      </c>
      <c r="F1956" s="491">
        <v>0</v>
      </c>
      <c r="G1956" s="491">
        <f t="shared" si="30"/>
        <v>20</v>
      </c>
    </row>
    <row r="1957" spans="1:7" ht="12.75">
      <c r="A1957" s="134" t="s">
        <v>754</v>
      </c>
      <c r="B1957" s="134">
        <v>303</v>
      </c>
      <c r="C1957" s="491">
        <v>2</v>
      </c>
      <c r="D1957" s="491">
        <v>19</v>
      </c>
      <c r="E1957" s="491">
        <v>0</v>
      </c>
      <c r="F1957" s="491">
        <v>0</v>
      </c>
      <c r="G1957" s="491">
        <f t="shared" si="30"/>
        <v>21</v>
      </c>
    </row>
    <row r="1958" spans="1:7" ht="12.75">
      <c r="A1958" s="134" t="s">
        <v>754</v>
      </c>
      <c r="B1958" s="134">
        <v>306</v>
      </c>
      <c r="C1958" s="491">
        <v>0</v>
      </c>
      <c r="D1958" s="491">
        <v>13</v>
      </c>
      <c r="E1958" s="491">
        <v>0</v>
      </c>
      <c r="F1958" s="491">
        <v>0</v>
      </c>
      <c r="G1958" s="491">
        <f t="shared" si="30"/>
        <v>13</v>
      </c>
    </row>
    <row r="1959" spans="1:7" ht="12.75">
      <c r="A1959" s="134" t="s">
        <v>754</v>
      </c>
      <c r="B1959" s="134">
        <v>307</v>
      </c>
      <c r="C1959" s="491">
        <v>1</v>
      </c>
      <c r="D1959" s="491">
        <v>13</v>
      </c>
      <c r="E1959" s="491">
        <v>0</v>
      </c>
      <c r="F1959" s="491">
        <v>0</v>
      </c>
      <c r="G1959" s="491">
        <f t="shared" si="30"/>
        <v>14</v>
      </c>
    </row>
    <row r="1960" spans="1:7" ht="12.75">
      <c r="A1960" s="134" t="s">
        <v>754</v>
      </c>
      <c r="B1960" s="134">
        <v>309</v>
      </c>
      <c r="C1960" s="491">
        <v>18</v>
      </c>
      <c r="D1960" s="491">
        <v>0</v>
      </c>
      <c r="E1960" s="491">
        <v>2</v>
      </c>
      <c r="F1960" s="491">
        <v>0</v>
      </c>
      <c r="G1960" s="491">
        <f t="shared" si="30"/>
        <v>20</v>
      </c>
    </row>
    <row r="1961" spans="1:7" ht="12.75">
      <c r="A1961" s="134" t="s">
        <v>754</v>
      </c>
      <c r="B1961" s="134">
        <v>310</v>
      </c>
      <c r="C1961" s="491">
        <v>24</v>
      </c>
      <c r="D1961" s="491">
        <v>91</v>
      </c>
      <c r="E1961" s="491">
        <v>0</v>
      </c>
      <c r="F1961" s="491">
        <v>0</v>
      </c>
      <c r="G1961" s="491">
        <f t="shared" si="30"/>
        <v>115</v>
      </c>
    </row>
    <row r="1962" spans="1:7" ht="12.75">
      <c r="A1962" s="134" t="s">
        <v>754</v>
      </c>
      <c r="B1962" s="134">
        <v>314</v>
      </c>
      <c r="C1962" s="491">
        <v>0</v>
      </c>
      <c r="D1962" s="491">
        <v>3</v>
      </c>
      <c r="E1962" s="491">
        <v>0</v>
      </c>
      <c r="F1962" s="491">
        <v>0</v>
      </c>
      <c r="G1962" s="491">
        <f t="shared" si="30"/>
        <v>3</v>
      </c>
    </row>
    <row r="1963" spans="1:7" ht="12.75">
      <c r="A1963" s="134" t="s">
        <v>754</v>
      </c>
      <c r="B1963" s="134">
        <v>317</v>
      </c>
      <c r="C1963" s="491">
        <v>445</v>
      </c>
      <c r="D1963" s="491">
        <v>296</v>
      </c>
      <c r="E1963" s="491">
        <v>0</v>
      </c>
      <c r="F1963" s="491">
        <v>0</v>
      </c>
      <c r="G1963" s="491">
        <f t="shared" si="30"/>
        <v>741</v>
      </c>
    </row>
    <row r="1964" spans="1:7" ht="12.75">
      <c r="A1964" s="134" t="s">
        <v>754</v>
      </c>
      <c r="B1964" s="134">
        <v>318</v>
      </c>
      <c r="C1964" s="491">
        <v>2</v>
      </c>
      <c r="D1964" s="491">
        <v>44</v>
      </c>
      <c r="E1964" s="491">
        <v>0</v>
      </c>
      <c r="F1964" s="491">
        <v>0</v>
      </c>
      <c r="G1964" s="491">
        <f t="shared" si="30"/>
        <v>46</v>
      </c>
    </row>
    <row r="1965" spans="1:7" ht="12.75">
      <c r="A1965" s="134" t="s">
        <v>754</v>
      </c>
      <c r="B1965" s="134">
        <v>320</v>
      </c>
      <c r="C1965" s="491">
        <v>11</v>
      </c>
      <c r="D1965" s="491">
        <v>60</v>
      </c>
      <c r="E1965" s="491">
        <v>0</v>
      </c>
      <c r="F1965" s="491">
        <v>0</v>
      </c>
      <c r="G1965" s="491">
        <f t="shared" si="30"/>
        <v>71</v>
      </c>
    </row>
    <row r="1966" spans="1:7" ht="12.75">
      <c r="A1966" s="134" t="s">
        <v>754</v>
      </c>
      <c r="B1966" s="134">
        <v>324</v>
      </c>
      <c r="C1966" s="491">
        <v>0</v>
      </c>
      <c r="D1966" s="491">
        <v>15</v>
      </c>
      <c r="E1966" s="491">
        <v>0</v>
      </c>
      <c r="F1966" s="491">
        <v>0</v>
      </c>
      <c r="G1966" s="491">
        <f t="shared" si="30"/>
        <v>15</v>
      </c>
    </row>
    <row r="1967" spans="1:7" ht="12.75">
      <c r="A1967" s="134" t="s">
        <v>754</v>
      </c>
      <c r="B1967" s="134">
        <v>330</v>
      </c>
      <c r="C1967" s="491">
        <v>9</v>
      </c>
      <c r="D1967" s="491">
        <v>59</v>
      </c>
      <c r="E1967" s="491">
        <v>2</v>
      </c>
      <c r="F1967" s="491">
        <v>0</v>
      </c>
      <c r="G1967" s="491">
        <f t="shared" si="30"/>
        <v>70</v>
      </c>
    </row>
    <row r="1968" spans="1:7" ht="12.75">
      <c r="A1968" s="134" t="s">
        <v>754</v>
      </c>
      <c r="B1968" s="134">
        <v>340</v>
      </c>
      <c r="C1968" s="491">
        <v>9</v>
      </c>
      <c r="D1968" s="491">
        <v>59</v>
      </c>
      <c r="E1968" s="491">
        <v>2</v>
      </c>
      <c r="F1968" s="491">
        <v>22</v>
      </c>
      <c r="G1968" s="491">
        <f t="shared" si="30"/>
        <v>92</v>
      </c>
    </row>
    <row r="1969" spans="1:7" ht="12.75">
      <c r="A1969" s="134" t="s">
        <v>754</v>
      </c>
      <c r="B1969" s="134">
        <v>341</v>
      </c>
      <c r="C1969" s="491">
        <v>42</v>
      </c>
      <c r="D1969" s="491">
        <v>128</v>
      </c>
      <c r="E1969" s="491">
        <v>0</v>
      </c>
      <c r="F1969" s="491">
        <v>0</v>
      </c>
      <c r="G1969" s="491">
        <f t="shared" si="30"/>
        <v>170</v>
      </c>
    </row>
    <row r="1970" spans="1:7" ht="12.75">
      <c r="A1970" s="134" t="s">
        <v>754</v>
      </c>
      <c r="B1970" s="134">
        <v>343</v>
      </c>
      <c r="C1970" s="491">
        <v>3</v>
      </c>
      <c r="D1970" s="491">
        <v>0</v>
      </c>
      <c r="E1970" s="491">
        <v>0</v>
      </c>
      <c r="F1970" s="491">
        <v>0</v>
      </c>
      <c r="G1970" s="491">
        <f t="shared" si="30"/>
        <v>3</v>
      </c>
    </row>
    <row r="1971" spans="1:7" ht="12.75">
      <c r="A1971" s="134" t="s">
        <v>754</v>
      </c>
      <c r="B1971" s="134">
        <v>350</v>
      </c>
      <c r="C1971" s="491">
        <v>1</v>
      </c>
      <c r="D1971" s="491">
        <v>3</v>
      </c>
      <c r="E1971" s="491">
        <v>0</v>
      </c>
      <c r="F1971" s="491">
        <v>0</v>
      </c>
      <c r="G1971" s="491">
        <f t="shared" si="30"/>
        <v>4</v>
      </c>
    </row>
    <row r="1972" spans="1:7" ht="12.75">
      <c r="A1972" s="134" t="s">
        <v>754</v>
      </c>
      <c r="B1972" s="134">
        <v>361</v>
      </c>
      <c r="C1972" s="491">
        <v>1</v>
      </c>
      <c r="D1972" s="491">
        <v>7</v>
      </c>
      <c r="E1972" s="491">
        <v>0</v>
      </c>
      <c r="F1972" s="491">
        <v>0</v>
      </c>
      <c r="G1972" s="491">
        <f t="shared" si="30"/>
        <v>8</v>
      </c>
    </row>
    <row r="1973" spans="1:7" ht="12.75">
      <c r="A1973" s="134" t="s">
        <v>754</v>
      </c>
      <c r="B1973" s="134">
        <v>370</v>
      </c>
      <c r="C1973" s="491">
        <v>301</v>
      </c>
      <c r="D1973" s="491">
        <v>82</v>
      </c>
      <c r="E1973" s="491">
        <v>63</v>
      </c>
      <c r="F1973" s="491">
        <v>8</v>
      </c>
      <c r="G1973" s="491">
        <f t="shared" si="30"/>
        <v>454</v>
      </c>
    </row>
    <row r="1974" spans="1:7" ht="12.75">
      <c r="A1974" s="134" t="s">
        <v>754</v>
      </c>
      <c r="B1974" s="134">
        <v>400</v>
      </c>
      <c r="C1974" s="491">
        <v>0</v>
      </c>
      <c r="D1974" s="491">
        <v>39</v>
      </c>
      <c r="E1974" s="491">
        <v>0</v>
      </c>
      <c r="F1974" s="491">
        <v>0</v>
      </c>
      <c r="G1974" s="491">
        <f t="shared" si="30"/>
        <v>39</v>
      </c>
    </row>
    <row r="1975" spans="1:7" ht="12.75">
      <c r="A1975" s="134" t="s">
        <v>754</v>
      </c>
      <c r="B1975" s="134">
        <v>410</v>
      </c>
      <c r="C1975" s="491">
        <v>1</v>
      </c>
      <c r="D1975" s="491">
        <v>32</v>
      </c>
      <c r="E1975" s="491">
        <v>0</v>
      </c>
      <c r="F1975" s="491">
        <v>0</v>
      </c>
      <c r="G1975" s="491">
        <f t="shared" si="30"/>
        <v>33</v>
      </c>
    </row>
    <row r="1976" spans="1:7" ht="12.75">
      <c r="A1976" s="134" t="s">
        <v>754</v>
      </c>
      <c r="B1976" s="134">
        <v>430</v>
      </c>
      <c r="C1976" s="491">
        <v>1</v>
      </c>
      <c r="D1976" s="491">
        <v>2</v>
      </c>
      <c r="E1976" s="491">
        <v>0</v>
      </c>
      <c r="F1976" s="491">
        <v>0</v>
      </c>
      <c r="G1976" s="491">
        <f t="shared" si="30"/>
        <v>3</v>
      </c>
    </row>
    <row r="1977" spans="1:7" ht="12.75">
      <c r="A1977" s="134" t="s">
        <v>754</v>
      </c>
      <c r="B1977" s="134">
        <v>501</v>
      </c>
      <c r="C1977" s="491">
        <v>9</v>
      </c>
      <c r="D1977" s="491">
        <v>36</v>
      </c>
      <c r="E1977" s="491">
        <v>0</v>
      </c>
      <c r="F1977" s="491">
        <v>0</v>
      </c>
      <c r="G1977" s="491">
        <f t="shared" si="30"/>
        <v>45</v>
      </c>
    </row>
    <row r="1978" spans="1:7" ht="12.75">
      <c r="A1978" s="134" t="s">
        <v>754</v>
      </c>
      <c r="B1978" s="134">
        <v>502</v>
      </c>
      <c r="C1978" s="491">
        <v>3</v>
      </c>
      <c r="D1978" s="491">
        <v>49</v>
      </c>
      <c r="E1978" s="491">
        <v>1</v>
      </c>
      <c r="F1978" s="491">
        <v>0</v>
      </c>
      <c r="G1978" s="491">
        <f t="shared" si="30"/>
        <v>53</v>
      </c>
    </row>
    <row r="1979" spans="1:7" ht="12.75">
      <c r="A1979" s="134" t="s">
        <v>754</v>
      </c>
      <c r="B1979" s="134">
        <v>503</v>
      </c>
      <c r="C1979" s="491">
        <v>0</v>
      </c>
      <c r="D1979" s="491">
        <v>10</v>
      </c>
      <c r="E1979" s="491">
        <v>0</v>
      </c>
      <c r="F1979" s="491">
        <v>0</v>
      </c>
      <c r="G1979" s="491">
        <f t="shared" si="30"/>
        <v>10</v>
      </c>
    </row>
    <row r="1980" spans="1:7" ht="12.75">
      <c r="A1980" s="134" t="s">
        <v>754</v>
      </c>
      <c r="B1980" s="134">
        <v>560</v>
      </c>
      <c r="C1980" s="491">
        <v>0</v>
      </c>
      <c r="D1980" s="491">
        <v>18</v>
      </c>
      <c r="E1980" s="491">
        <v>0</v>
      </c>
      <c r="F1980" s="491">
        <v>0</v>
      </c>
      <c r="G1980" s="491">
        <f t="shared" si="30"/>
        <v>18</v>
      </c>
    </row>
    <row r="1981" spans="1:7" ht="12.75">
      <c r="A1981" s="134" t="s">
        <v>754</v>
      </c>
      <c r="B1981" s="134">
        <v>650</v>
      </c>
      <c r="C1981" s="491">
        <v>6</v>
      </c>
      <c r="D1981" s="491">
        <v>153</v>
      </c>
      <c r="E1981" s="491">
        <v>0</v>
      </c>
      <c r="F1981" s="491">
        <v>0</v>
      </c>
      <c r="G1981" s="491">
        <f t="shared" si="30"/>
        <v>159</v>
      </c>
    </row>
    <row r="1982" spans="1:7" ht="12.75">
      <c r="A1982" s="134" t="s">
        <v>754</v>
      </c>
      <c r="B1982" s="134">
        <v>652</v>
      </c>
      <c r="C1982" s="491">
        <v>49</v>
      </c>
      <c r="D1982" s="491">
        <v>135</v>
      </c>
      <c r="E1982" s="491">
        <v>8</v>
      </c>
      <c r="F1982" s="491">
        <v>0</v>
      </c>
      <c r="G1982" s="491">
        <f t="shared" si="30"/>
        <v>192</v>
      </c>
    </row>
    <row r="1983" spans="1:7" ht="12.75">
      <c r="A1983" s="134" t="s">
        <v>754</v>
      </c>
      <c r="B1983" s="134">
        <v>653</v>
      </c>
      <c r="C1983" s="491">
        <v>0</v>
      </c>
      <c r="D1983" s="491">
        <v>6</v>
      </c>
      <c r="E1983" s="491">
        <v>0</v>
      </c>
      <c r="F1983" s="491">
        <v>0</v>
      </c>
      <c r="G1983" s="491">
        <f t="shared" si="30"/>
        <v>6</v>
      </c>
    </row>
    <row r="1984" spans="1:7" ht="12.75">
      <c r="A1984" s="134" t="s">
        <v>754</v>
      </c>
      <c r="B1984" s="134">
        <v>654</v>
      </c>
      <c r="C1984" s="491">
        <v>2</v>
      </c>
      <c r="D1984" s="491">
        <v>2</v>
      </c>
      <c r="E1984" s="491">
        <v>0</v>
      </c>
      <c r="F1984" s="491">
        <v>0</v>
      </c>
      <c r="G1984" s="491">
        <f t="shared" si="30"/>
        <v>4</v>
      </c>
    </row>
    <row r="1985" spans="1:7" ht="12.75">
      <c r="A1985" s="134" t="s">
        <v>754</v>
      </c>
      <c r="B1985" s="134">
        <v>800</v>
      </c>
      <c r="C1985" s="491">
        <v>2243</v>
      </c>
      <c r="D1985" s="491">
        <v>123</v>
      </c>
      <c r="E1985" s="491">
        <v>369</v>
      </c>
      <c r="F1985" s="491">
        <v>33</v>
      </c>
      <c r="G1985" s="491">
        <f t="shared" si="30"/>
        <v>2768</v>
      </c>
    </row>
    <row r="1986" spans="1:7" ht="12.75">
      <c r="A1986" s="134" t="s">
        <v>754</v>
      </c>
      <c r="B1986" s="134">
        <v>812</v>
      </c>
      <c r="C1986" s="491">
        <v>1</v>
      </c>
      <c r="D1986" s="491">
        <v>0</v>
      </c>
      <c r="E1986" s="491">
        <v>0</v>
      </c>
      <c r="F1986" s="491">
        <v>0</v>
      </c>
      <c r="G1986" s="491">
        <f t="shared" si="30"/>
        <v>1</v>
      </c>
    </row>
    <row r="1987" spans="1:7" ht="12.75">
      <c r="A1987" s="134" t="s">
        <v>754</v>
      </c>
      <c r="B1987" s="134">
        <v>822</v>
      </c>
      <c r="C1987" s="491">
        <v>1</v>
      </c>
      <c r="D1987" s="491">
        <v>0</v>
      </c>
      <c r="E1987" s="491">
        <v>0</v>
      </c>
      <c r="F1987" s="491">
        <v>0</v>
      </c>
      <c r="G1987" s="491">
        <f t="shared" si="30"/>
        <v>1</v>
      </c>
    </row>
    <row r="1988" spans="1:7" ht="12.75">
      <c r="A1988" s="134" t="s">
        <v>754</v>
      </c>
      <c r="B1988" s="134">
        <v>840</v>
      </c>
      <c r="C1988" s="491">
        <v>2</v>
      </c>
      <c r="D1988" s="491">
        <v>13</v>
      </c>
      <c r="E1988" s="491">
        <v>0</v>
      </c>
      <c r="F1988" s="491">
        <v>0</v>
      </c>
      <c r="G1988" s="491">
        <f t="shared" ref="G1988:G2051" si="31">SUM(C1988:F1988)</f>
        <v>15</v>
      </c>
    </row>
    <row r="1989" spans="1:7" ht="12.75">
      <c r="A1989" s="134" t="s">
        <v>755</v>
      </c>
      <c r="B1989" s="134">
        <v>100</v>
      </c>
      <c r="C1989" s="491">
        <v>0</v>
      </c>
      <c r="D1989" s="491">
        <v>2</v>
      </c>
      <c r="E1989" s="491">
        <v>0</v>
      </c>
      <c r="F1989" s="491">
        <v>0</v>
      </c>
      <c r="G1989" s="491">
        <f t="shared" si="31"/>
        <v>2</v>
      </c>
    </row>
    <row r="1990" spans="1:7" ht="12.75">
      <c r="A1990" s="134" t="s">
        <v>755</v>
      </c>
      <c r="B1990" s="134">
        <v>101</v>
      </c>
      <c r="C1990" s="491">
        <v>0</v>
      </c>
      <c r="D1990" s="491">
        <v>1</v>
      </c>
      <c r="E1990" s="491">
        <v>0</v>
      </c>
      <c r="F1990" s="491">
        <v>0</v>
      </c>
      <c r="G1990" s="491">
        <f t="shared" si="31"/>
        <v>1</v>
      </c>
    </row>
    <row r="1991" spans="1:7" ht="12.75">
      <c r="A1991" s="134" t="s">
        <v>755</v>
      </c>
      <c r="B1991" s="134">
        <v>110</v>
      </c>
      <c r="C1991" s="491">
        <v>2</v>
      </c>
      <c r="D1991" s="491">
        <v>8</v>
      </c>
      <c r="E1991" s="491">
        <v>0</v>
      </c>
      <c r="F1991" s="491">
        <v>0</v>
      </c>
      <c r="G1991" s="491">
        <f t="shared" si="31"/>
        <v>10</v>
      </c>
    </row>
    <row r="1992" spans="1:7" ht="12.75">
      <c r="A1992" s="134" t="s">
        <v>755</v>
      </c>
      <c r="B1992" s="134">
        <v>120</v>
      </c>
      <c r="C1992" s="491">
        <v>1295</v>
      </c>
      <c r="D1992" s="491">
        <v>3253</v>
      </c>
      <c r="E1992" s="491">
        <v>22</v>
      </c>
      <c r="F1992" s="491">
        <v>36</v>
      </c>
      <c r="G1992" s="491">
        <f t="shared" si="31"/>
        <v>4606</v>
      </c>
    </row>
    <row r="1993" spans="1:7" ht="12.75">
      <c r="A1993" s="134" t="s">
        <v>755</v>
      </c>
      <c r="B1993" s="134">
        <v>130</v>
      </c>
      <c r="C1993" s="491">
        <v>9</v>
      </c>
      <c r="D1993" s="491">
        <v>2</v>
      </c>
      <c r="E1993" s="491">
        <v>0</v>
      </c>
      <c r="F1993" s="491">
        <v>0</v>
      </c>
      <c r="G1993" s="491">
        <f t="shared" si="31"/>
        <v>11</v>
      </c>
    </row>
    <row r="1994" spans="1:7" ht="12.75">
      <c r="A1994" s="134" t="s">
        <v>755</v>
      </c>
      <c r="B1994" s="134">
        <v>140</v>
      </c>
      <c r="C1994" s="491">
        <v>0</v>
      </c>
      <c r="D1994" s="491">
        <v>4</v>
      </c>
      <c r="E1994" s="491">
        <v>0</v>
      </c>
      <c r="F1994" s="491">
        <v>0</v>
      </c>
      <c r="G1994" s="491">
        <f t="shared" si="31"/>
        <v>4</v>
      </c>
    </row>
    <row r="1995" spans="1:7" ht="12.75">
      <c r="A1995" s="134" t="s">
        <v>755</v>
      </c>
      <c r="B1995" s="134">
        <v>143</v>
      </c>
      <c r="C1995" s="491">
        <v>1</v>
      </c>
      <c r="D1995" s="491">
        <v>12</v>
      </c>
      <c r="E1995" s="491">
        <v>0</v>
      </c>
      <c r="F1995" s="491">
        <v>0</v>
      </c>
      <c r="G1995" s="491">
        <f t="shared" si="31"/>
        <v>13</v>
      </c>
    </row>
    <row r="1996" spans="1:7" ht="12.75">
      <c r="A1996" s="134" t="s">
        <v>755</v>
      </c>
      <c r="B1996" s="134">
        <v>144</v>
      </c>
      <c r="C1996" s="491">
        <v>1</v>
      </c>
      <c r="D1996" s="491">
        <v>1</v>
      </c>
      <c r="E1996" s="491">
        <v>0</v>
      </c>
      <c r="F1996" s="491">
        <v>0</v>
      </c>
      <c r="G1996" s="491">
        <f t="shared" si="31"/>
        <v>2</v>
      </c>
    </row>
    <row r="1997" spans="1:7" ht="12.75">
      <c r="A1997" s="134" t="s">
        <v>755</v>
      </c>
      <c r="B1997" s="134">
        <v>160</v>
      </c>
      <c r="C1997" s="491">
        <v>0</v>
      </c>
      <c r="D1997" s="491">
        <v>2</v>
      </c>
      <c r="E1997" s="491">
        <v>3</v>
      </c>
      <c r="F1997" s="491">
        <v>0</v>
      </c>
      <c r="G1997" s="491">
        <f t="shared" si="31"/>
        <v>5</v>
      </c>
    </row>
    <row r="1998" spans="1:7" ht="12.75">
      <c r="A1998" s="134" t="s">
        <v>755</v>
      </c>
      <c r="B1998" s="134">
        <v>171</v>
      </c>
      <c r="C1998" s="491">
        <v>0</v>
      </c>
      <c r="D1998" s="491">
        <v>6</v>
      </c>
      <c r="E1998" s="491">
        <v>0</v>
      </c>
      <c r="F1998" s="491">
        <v>0</v>
      </c>
      <c r="G1998" s="491">
        <f t="shared" si="31"/>
        <v>6</v>
      </c>
    </row>
    <row r="1999" spans="1:7" ht="12.75">
      <c r="A1999" s="134" t="s">
        <v>755</v>
      </c>
      <c r="B1999" s="134">
        <v>180</v>
      </c>
      <c r="C1999" s="491">
        <v>0</v>
      </c>
      <c r="D1999" s="491">
        <v>1</v>
      </c>
      <c r="E1999" s="491">
        <v>0</v>
      </c>
      <c r="F1999" s="491">
        <v>0</v>
      </c>
      <c r="G1999" s="491">
        <f t="shared" si="31"/>
        <v>1</v>
      </c>
    </row>
    <row r="2000" spans="1:7" ht="12.75">
      <c r="A2000" s="134" t="s">
        <v>755</v>
      </c>
      <c r="B2000" s="134">
        <v>190</v>
      </c>
      <c r="C2000" s="491">
        <v>1</v>
      </c>
      <c r="D2000" s="491">
        <v>0</v>
      </c>
      <c r="E2000" s="491">
        <v>0</v>
      </c>
      <c r="F2000" s="491">
        <v>0</v>
      </c>
      <c r="G2000" s="491">
        <f t="shared" si="31"/>
        <v>1</v>
      </c>
    </row>
    <row r="2001" spans="1:7" ht="12.75">
      <c r="A2001" s="134" t="s">
        <v>755</v>
      </c>
      <c r="B2001" s="134">
        <v>211</v>
      </c>
      <c r="C2001" s="491">
        <v>0</v>
      </c>
      <c r="D2001" s="491">
        <v>8</v>
      </c>
      <c r="E2001" s="491">
        <v>0</v>
      </c>
      <c r="F2001" s="491">
        <v>0</v>
      </c>
      <c r="G2001" s="491">
        <f t="shared" si="31"/>
        <v>8</v>
      </c>
    </row>
    <row r="2002" spans="1:7" ht="12.75">
      <c r="A2002" s="134" t="s">
        <v>755</v>
      </c>
      <c r="B2002" s="134">
        <v>214</v>
      </c>
      <c r="C2002" s="491">
        <v>1</v>
      </c>
      <c r="D2002" s="491">
        <v>0</v>
      </c>
      <c r="E2002" s="491">
        <v>0</v>
      </c>
      <c r="F2002" s="491">
        <v>0</v>
      </c>
      <c r="G2002" s="491">
        <f t="shared" si="31"/>
        <v>1</v>
      </c>
    </row>
    <row r="2003" spans="1:7" ht="12.75">
      <c r="A2003" s="134" t="s">
        <v>755</v>
      </c>
      <c r="B2003" s="134">
        <v>215</v>
      </c>
      <c r="C2003" s="491">
        <v>359</v>
      </c>
      <c r="D2003" s="491">
        <v>794</v>
      </c>
      <c r="E2003" s="491">
        <v>4</v>
      </c>
      <c r="F2003" s="491">
        <v>6</v>
      </c>
      <c r="G2003" s="491">
        <f t="shared" si="31"/>
        <v>1163</v>
      </c>
    </row>
    <row r="2004" spans="1:7" ht="12.75">
      <c r="A2004" s="134" t="s">
        <v>755</v>
      </c>
      <c r="B2004" s="134">
        <v>216</v>
      </c>
      <c r="C2004" s="491">
        <v>0</v>
      </c>
      <c r="D2004" s="491">
        <v>0</v>
      </c>
      <c r="E2004" s="491">
        <v>1</v>
      </c>
      <c r="F2004" s="491">
        <v>0</v>
      </c>
      <c r="G2004" s="491">
        <f t="shared" si="31"/>
        <v>1</v>
      </c>
    </row>
    <row r="2005" spans="1:7" ht="12.75">
      <c r="A2005" s="134" t="s">
        <v>755</v>
      </c>
      <c r="B2005" s="134">
        <v>219</v>
      </c>
      <c r="C2005" s="491">
        <v>0</v>
      </c>
      <c r="D2005" s="491">
        <v>0</v>
      </c>
      <c r="E2005" s="491">
        <v>2</v>
      </c>
      <c r="F2005" s="491">
        <v>4</v>
      </c>
      <c r="G2005" s="491">
        <f t="shared" si="31"/>
        <v>6</v>
      </c>
    </row>
    <row r="2006" spans="1:7" ht="12.75">
      <c r="A2006" s="134" t="s">
        <v>755</v>
      </c>
      <c r="B2006" s="134">
        <v>242</v>
      </c>
      <c r="C2006" s="491">
        <v>6</v>
      </c>
      <c r="D2006" s="491">
        <v>0</v>
      </c>
      <c r="E2006" s="491">
        <v>0</v>
      </c>
      <c r="F2006" s="491">
        <v>0</v>
      </c>
      <c r="G2006" s="491">
        <f t="shared" si="31"/>
        <v>6</v>
      </c>
    </row>
    <row r="2007" spans="1:7" ht="12.75">
      <c r="A2007" s="134" t="s">
        <v>755</v>
      </c>
      <c r="B2007" s="134">
        <v>251</v>
      </c>
      <c r="C2007" s="491">
        <v>0</v>
      </c>
      <c r="D2007" s="491">
        <v>3</v>
      </c>
      <c r="E2007" s="491">
        <v>0</v>
      </c>
      <c r="F2007" s="491">
        <v>0</v>
      </c>
      <c r="G2007" s="491">
        <f t="shared" si="31"/>
        <v>3</v>
      </c>
    </row>
    <row r="2008" spans="1:7" ht="12.75">
      <c r="A2008" s="134" t="s">
        <v>755</v>
      </c>
      <c r="B2008" s="134">
        <v>252</v>
      </c>
      <c r="C2008" s="491">
        <v>0</v>
      </c>
      <c r="D2008" s="491">
        <v>4</v>
      </c>
      <c r="E2008" s="491">
        <v>0</v>
      </c>
      <c r="F2008" s="491">
        <v>0</v>
      </c>
      <c r="G2008" s="491">
        <f t="shared" si="31"/>
        <v>4</v>
      </c>
    </row>
    <row r="2009" spans="1:7" ht="12.75">
      <c r="A2009" s="134" t="s">
        <v>755</v>
      </c>
      <c r="B2009" s="134">
        <v>253</v>
      </c>
      <c r="C2009" s="491">
        <v>1</v>
      </c>
      <c r="D2009" s="491">
        <v>1</v>
      </c>
      <c r="E2009" s="491">
        <v>0</v>
      </c>
      <c r="F2009" s="491">
        <v>0</v>
      </c>
      <c r="G2009" s="491">
        <f t="shared" si="31"/>
        <v>2</v>
      </c>
    </row>
    <row r="2010" spans="1:7" ht="12.75">
      <c r="A2010" s="134" t="s">
        <v>755</v>
      </c>
      <c r="B2010" s="134">
        <v>254</v>
      </c>
      <c r="C2010" s="491">
        <v>0</v>
      </c>
      <c r="D2010" s="491">
        <v>2</v>
      </c>
      <c r="E2010" s="491">
        <v>0</v>
      </c>
      <c r="F2010" s="491">
        <v>0</v>
      </c>
      <c r="G2010" s="491">
        <f t="shared" si="31"/>
        <v>2</v>
      </c>
    </row>
    <row r="2011" spans="1:7" ht="12.75">
      <c r="A2011" s="134" t="s">
        <v>755</v>
      </c>
      <c r="B2011" s="134">
        <v>258</v>
      </c>
      <c r="C2011" s="491">
        <v>0</v>
      </c>
      <c r="D2011" s="491">
        <v>3</v>
      </c>
      <c r="E2011" s="491">
        <v>1</v>
      </c>
      <c r="F2011" s="491">
        <v>1</v>
      </c>
      <c r="G2011" s="491">
        <f t="shared" si="31"/>
        <v>5</v>
      </c>
    </row>
    <row r="2012" spans="1:7" ht="12.75">
      <c r="A2012" s="134" t="s">
        <v>755</v>
      </c>
      <c r="B2012" s="134">
        <v>264</v>
      </c>
      <c r="C2012" s="491">
        <v>2</v>
      </c>
      <c r="D2012" s="491">
        <v>0</v>
      </c>
      <c r="E2012" s="491">
        <v>0</v>
      </c>
      <c r="F2012" s="491">
        <v>0</v>
      </c>
      <c r="G2012" s="491">
        <f t="shared" si="31"/>
        <v>2</v>
      </c>
    </row>
    <row r="2013" spans="1:7" ht="12.75">
      <c r="A2013" s="134" t="s">
        <v>755</v>
      </c>
      <c r="B2013" s="134">
        <v>290</v>
      </c>
      <c r="C2013" s="491">
        <v>1</v>
      </c>
      <c r="D2013" s="491">
        <v>1</v>
      </c>
      <c r="E2013" s="491">
        <v>0</v>
      </c>
      <c r="F2013" s="491">
        <v>0</v>
      </c>
      <c r="G2013" s="491">
        <f t="shared" si="31"/>
        <v>2</v>
      </c>
    </row>
    <row r="2014" spans="1:7" ht="12.75">
      <c r="A2014" s="134" t="s">
        <v>755</v>
      </c>
      <c r="B2014" s="134">
        <v>310</v>
      </c>
      <c r="C2014" s="491">
        <v>2</v>
      </c>
      <c r="D2014" s="491">
        <v>10</v>
      </c>
      <c r="E2014" s="491">
        <v>0</v>
      </c>
      <c r="F2014" s="491">
        <v>0</v>
      </c>
      <c r="G2014" s="491">
        <f t="shared" si="31"/>
        <v>12</v>
      </c>
    </row>
    <row r="2015" spans="1:7" ht="12.75">
      <c r="A2015" s="134" t="s">
        <v>755</v>
      </c>
      <c r="B2015" s="134">
        <v>317</v>
      </c>
      <c r="C2015" s="491">
        <v>26</v>
      </c>
      <c r="D2015" s="491">
        <v>14</v>
      </c>
      <c r="E2015" s="491">
        <v>0</v>
      </c>
      <c r="F2015" s="491">
        <v>0</v>
      </c>
      <c r="G2015" s="491">
        <f t="shared" si="31"/>
        <v>40</v>
      </c>
    </row>
    <row r="2016" spans="1:7" ht="12.75">
      <c r="A2016" s="134" t="s">
        <v>755</v>
      </c>
      <c r="B2016" s="134">
        <v>318</v>
      </c>
      <c r="C2016" s="491">
        <v>0</v>
      </c>
      <c r="D2016" s="491">
        <v>6</v>
      </c>
      <c r="E2016" s="491">
        <v>0</v>
      </c>
      <c r="F2016" s="491">
        <v>0</v>
      </c>
      <c r="G2016" s="491">
        <f t="shared" si="31"/>
        <v>6</v>
      </c>
    </row>
    <row r="2017" spans="1:7" ht="12.75">
      <c r="A2017" s="134" t="s">
        <v>755</v>
      </c>
      <c r="B2017" s="134">
        <v>320</v>
      </c>
      <c r="C2017" s="491">
        <v>0</v>
      </c>
      <c r="D2017" s="491">
        <v>4</v>
      </c>
      <c r="E2017" s="491">
        <v>0</v>
      </c>
      <c r="F2017" s="491">
        <v>0</v>
      </c>
      <c r="G2017" s="491">
        <f t="shared" si="31"/>
        <v>4</v>
      </c>
    </row>
    <row r="2018" spans="1:7" ht="12.75">
      <c r="A2018" s="134" t="s">
        <v>755</v>
      </c>
      <c r="B2018" s="134">
        <v>330</v>
      </c>
      <c r="C2018" s="491">
        <v>0</v>
      </c>
      <c r="D2018" s="491">
        <v>5</v>
      </c>
      <c r="E2018" s="491">
        <v>0</v>
      </c>
      <c r="F2018" s="491">
        <v>0</v>
      </c>
      <c r="G2018" s="491">
        <f t="shared" si="31"/>
        <v>5</v>
      </c>
    </row>
    <row r="2019" spans="1:7" ht="12.75">
      <c r="A2019" s="134" t="s">
        <v>755</v>
      </c>
      <c r="B2019" s="134">
        <v>340</v>
      </c>
      <c r="C2019" s="491">
        <v>0</v>
      </c>
      <c r="D2019" s="491">
        <v>1</v>
      </c>
      <c r="E2019" s="491">
        <v>0</v>
      </c>
      <c r="F2019" s="491">
        <v>0</v>
      </c>
      <c r="G2019" s="491">
        <f t="shared" si="31"/>
        <v>1</v>
      </c>
    </row>
    <row r="2020" spans="1:7" ht="12.75">
      <c r="A2020" s="134" t="s">
        <v>755</v>
      </c>
      <c r="B2020" s="134">
        <v>370</v>
      </c>
      <c r="C2020" s="491">
        <v>0</v>
      </c>
      <c r="D2020" s="491">
        <v>1</v>
      </c>
      <c r="E2020" s="491">
        <v>0</v>
      </c>
      <c r="F2020" s="491">
        <v>0</v>
      </c>
      <c r="G2020" s="491">
        <f t="shared" si="31"/>
        <v>1</v>
      </c>
    </row>
    <row r="2021" spans="1:7" ht="12.75">
      <c r="A2021" s="134" t="s">
        <v>755</v>
      </c>
      <c r="B2021" s="134">
        <v>400</v>
      </c>
      <c r="C2021" s="491">
        <v>0</v>
      </c>
      <c r="D2021" s="491">
        <v>1</v>
      </c>
      <c r="E2021" s="491">
        <v>0</v>
      </c>
      <c r="F2021" s="491">
        <v>0</v>
      </c>
      <c r="G2021" s="491">
        <f t="shared" si="31"/>
        <v>1</v>
      </c>
    </row>
    <row r="2022" spans="1:7" ht="12.75">
      <c r="A2022" s="134" t="s">
        <v>755</v>
      </c>
      <c r="B2022" s="134">
        <v>420</v>
      </c>
      <c r="C2022" s="491">
        <v>6</v>
      </c>
      <c r="D2022" s="491">
        <v>31</v>
      </c>
      <c r="E2022" s="491">
        <v>0</v>
      </c>
      <c r="F2022" s="491">
        <v>0</v>
      </c>
      <c r="G2022" s="491">
        <f t="shared" si="31"/>
        <v>37</v>
      </c>
    </row>
    <row r="2023" spans="1:7" ht="12.75">
      <c r="A2023" s="134" t="s">
        <v>755</v>
      </c>
      <c r="B2023" s="134">
        <v>501</v>
      </c>
      <c r="C2023" s="491">
        <v>1</v>
      </c>
      <c r="D2023" s="491">
        <v>0</v>
      </c>
      <c r="E2023" s="491">
        <v>0</v>
      </c>
      <c r="F2023" s="491">
        <v>0</v>
      </c>
      <c r="G2023" s="491">
        <f t="shared" si="31"/>
        <v>1</v>
      </c>
    </row>
    <row r="2024" spans="1:7" ht="12.75">
      <c r="A2024" s="134" t="s">
        <v>755</v>
      </c>
      <c r="B2024" s="134">
        <v>650</v>
      </c>
      <c r="C2024" s="491">
        <v>0</v>
      </c>
      <c r="D2024" s="491">
        <v>4</v>
      </c>
      <c r="E2024" s="491">
        <v>0</v>
      </c>
      <c r="F2024" s="491">
        <v>0</v>
      </c>
      <c r="G2024" s="491">
        <f t="shared" si="31"/>
        <v>4</v>
      </c>
    </row>
    <row r="2025" spans="1:7" ht="12.75">
      <c r="A2025" s="134" t="s">
        <v>755</v>
      </c>
      <c r="B2025" s="134">
        <v>652</v>
      </c>
      <c r="C2025" s="491">
        <v>0</v>
      </c>
      <c r="D2025" s="491">
        <v>2</v>
      </c>
      <c r="E2025" s="491">
        <v>0</v>
      </c>
      <c r="F2025" s="491">
        <v>0</v>
      </c>
      <c r="G2025" s="491">
        <f t="shared" si="31"/>
        <v>2</v>
      </c>
    </row>
    <row r="2026" spans="1:7" ht="12.75">
      <c r="A2026" s="134" t="s">
        <v>755</v>
      </c>
      <c r="B2026" s="134">
        <v>654</v>
      </c>
      <c r="C2026" s="491">
        <v>0</v>
      </c>
      <c r="D2026" s="491">
        <v>1</v>
      </c>
      <c r="E2026" s="491">
        <v>0</v>
      </c>
      <c r="F2026" s="491">
        <v>0</v>
      </c>
      <c r="G2026" s="491">
        <f t="shared" si="31"/>
        <v>1</v>
      </c>
    </row>
    <row r="2027" spans="1:7" ht="12.75">
      <c r="A2027" s="134" t="s">
        <v>755</v>
      </c>
      <c r="B2027" s="134">
        <v>840</v>
      </c>
      <c r="C2027" s="491">
        <v>3</v>
      </c>
      <c r="D2027" s="491">
        <v>0</v>
      </c>
      <c r="E2027" s="491">
        <v>0</v>
      </c>
      <c r="F2027" s="491">
        <v>0</v>
      </c>
      <c r="G2027" s="491">
        <f t="shared" si="31"/>
        <v>3</v>
      </c>
    </row>
    <row r="2028" spans="1:7" ht="12.75">
      <c r="A2028" s="134" t="s">
        <v>756</v>
      </c>
      <c r="B2028" s="134">
        <v>140</v>
      </c>
      <c r="C2028" s="491">
        <v>3</v>
      </c>
      <c r="D2028" s="491">
        <v>0</v>
      </c>
      <c r="E2028" s="491">
        <v>0</v>
      </c>
      <c r="F2028" s="491">
        <v>0</v>
      </c>
      <c r="G2028" s="491">
        <f t="shared" si="31"/>
        <v>3</v>
      </c>
    </row>
    <row r="2029" spans="1:7" ht="12.75">
      <c r="A2029" s="134" t="s">
        <v>756</v>
      </c>
      <c r="B2029" s="134">
        <v>141</v>
      </c>
      <c r="C2029" s="491">
        <v>1</v>
      </c>
      <c r="D2029" s="491">
        <v>0</v>
      </c>
      <c r="E2029" s="491">
        <v>0</v>
      </c>
      <c r="F2029" s="491">
        <v>0</v>
      </c>
      <c r="G2029" s="491">
        <f t="shared" si="31"/>
        <v>1</v>
      </c>
    </row>
    <row r="2030" spans="1:7" ht="12.75">
      <c r="A2030" s="134" t="s">
        <v>756</v>
      </c>
      <c r="B2030" s="134">
        <v>143</v>
      </c>
      <c r="C2030" s="491">
        <v>1</v>
      </c>
      <c r="D2030" s="491">
        <v>0</v>
      </c>
      <c r="E2030" s="491">
        <v>0</v>
      </c>
      <c r="F2030" s="491">
        <v>0</v>
      </c>
      <c r="G2030" s="491">
        <f t="shared" si="31"/>
        <v>1</v>
      </c>
    </row>
    <row r="2031" spans="1:7" ht="12.75">
      <c r="A2031" s="134" t="s">
        <v>756</v>
      </c>
      <c r="B2031" s="134">
        <v>321</v>
      </c>
      <c r="C2031" s="491">
        <v>1</v>
      </c>
      <c r="D2031" s="491">
        <v>0</v>
      </c>
      <c r="E2031" s="491">
        <v>0</v>
      </c>
      <c r="F2031" s="491">
        <v>0</v>
      </c>
      <c r="G2031" s="491">
        <f t="shared" si="31"/>
        <v>1</v>
      </c>
    </row>
    <row r="2032" spans="1:7" ht="12.75">
      <c r="A2032" s="134" t="s">
        <v>756</v>
      </c>
      <c r="B2032" s="134">
        <v>340</v>
      </c>
      <c r="C2032" s="491">
        <v>6</v>
      </c>
      <c r="D2032" s="491">
        <v>6</v>
      </c>
      <c r="E2032" s="491">
        <v>0</v>
      </c>
      <c r="F2032" s="491">
        <v>0</v>
      </c>
      <c r="G2032" s="491">
        <f t="shared" si="31"/>
        <v>12</v>
      </c>
    </row>
    <row r="2033" spans="1:7" ht="12.75">
      <c r="A2033" s="134" t="s">
        <v>756</v>
      </c>
      <c r="B2033" s="134">
        <v>420</v>
      </c>
      <c r="C2033" s="491">
        <v>1</v>
      </c>
      <c r="D2033" s="491">
        <v>6</v>
      </c>
      <c r="E2033" s="491">
        <v>0</v>
      </c>
      <c r="F2033" s="491">
        <v>0</v>
      </c>
      <c r="G2033" s="491">
        <f t="shared" si="31"/>
        <v>7</v>
      </c>
    </row>
    <row r="2034" spans="1:7" ht="12.75">
      <c r="A2034" s="134" t="s">
        <v>757</v>
      </c>
      <c r="B2034" s="134">
        <v>100</v>
      </c>
      <c r="C2034" s="491">
        <v>0</v>
      </c>
      <c r="D2034" s="491">
        <v>1</v>
      </c>
      <c r="E2034" s="491">
        <v>0</v>
      </c>
      <c r="F2034" s="491">
        <v>0</v>
      </c>
      <c r="G2034" s="491">
        <f t="shared" si="31"/>
        <v>1</v>
      </c>
    </row>
    <row r="2035" spans="1:7" ht="12.75">
      <c r="A2035" s="134" t="s">
        <v>757</v>
      </c>
      <c r="B2035" s="134">
        <v>120</v>
      </c>
      <c r="C2035" s="491">
        <v>8</v>
      </c>
      <c r="D2035" s="491">
        <v>14</v>
      </c>
      <c r="E2035" s="491">
        <v>1</v>
      </c>
      <c r="F2035" s="491">
        <v>0</v>
      </c>
      <c r="G2035" s="491">
        <f t="shared" si="31"/>
        <v>23</v>
      </c>
    </row>
    <row r="2036" spans="1:7" ht="12.75">
      <c r="A2036" s="134" t="s">
        <v>757</v>
      </c>
      <c r="B2036" s="134">
        <v>140</v>
      </c>
      <c r="C2036" s="491">
        <v>1</v>
      </c>
      <c r="D2036" s="491">
        <v>0</v>
      </c>
      <c r="E2036" s="491">
        <v>0</v>
      </c>
      <c r="F2036" s="491">
        <v>0</v>
      </c>
      <c r="G2036" s="491">
        <f t="shared" si="31"/>
        <v>1</v>
      </c>
    </row>
    <row r="2037" spans="1:7" ht="12.75">
      <c r="A2037" s="134" t="s">
        <v>757</v>
      </c>
      <c r="B2037" s="134">
        <v>141</v>
      </c>
      <c r="C2037" s="491">
        <v>1</v>
      </c>
      <c r="D2037" s="491">
        <v>1</v>
      </c>
      <c r="E2037" s="491">
        <v>0</v>
      </c>
      <c r="F2037" s="491">
        <v>0</v>
      </c>
      <c r="G2037" s="491">
        <f t="shared" si="31"/>
        <v>2</v>
      </c>
    </row>
    <row r="2038" spans="1:7" ht="12.75">
      <c r="A2038" s="134" t="s">
        <v>757</v>
      </c>
      <c r="B2038" s="134">
        <v>144</v>
      </c>
      <c r="C2038" s="491">
        <v>2</v>
      </c>
      <c r="D2038" s="491">
        <v>0</v>
      </c>
      <c r="E2038" s="491">
        <v>0</v>
      </c>
      <c r="F2038" s="491">
        <v>0</v>
      </c>
      <c r="G2038" s="491">
        <f t="shared" si="31"/>
        <v>2</v>
      </c>
    </row>
    <row r="2039" spans="1:7" ht="12.75">
      <c r="A2039" s="134" t="s">
        <v>757</v>
      </c>
      <c r="B2039" s="134">
        <v>300</v>
      </c>
      <c r="C2039" s="491">
        <v>0</v>
      </c>
      <c r="D2039" s="491">
        <v>1</v>
      </c>
      <c r="E2039" s="491">
        <v>0</v>
      </c>
      <c r="F2039" s="491">
        <v>0</v>
      </c>
      <c r="G2039" s="491">
        <f t="shared" si="31"/>
        <v>1</v>
      </c>
    </row>
    <row r="2040" spans="1:7" ht="12.75">
      <c r="A2040" s="134" t="s">
        <v>757</v>
      </c>
      <c r="B2040" s="134">
        <v>302</v>
      </c>
      <c r="C2040" s="491">
        <v>3</v>
      </c>
      <c r="D2040" s="491">
        <v>0</v>
      </c>
      <c r="E2040" s="491">
        <v>0</v>
      </c>
      <c r="F2040" s="491">
        <v>0</v>
      </c>
      <c r="G2040" s="491">
        <f t="shared" si="31"/>
        <v>3</v>
      </c>
    </row>
    <row r="2041" spans="1:7" ht="12.75">
      <c r="A2041" s="134" t="s">
        <v>757</v>
      </c>
      <c r="B2041" s="134">
        <v>304</v>
      </c>
      <c r="C2041" s="491">
        <v>0</v>
      </c>
      <c r="D2041" s="491">
        <v>2</v>
      </c>
      <c r="E2041" s="491">
        <v>0</v>
      </c>
      <c r="F2041" s="491">
        <v>0</v>
      </c>
      <c r="G2041" s="491">
        <f t="shared" si="31"/>
        <v>2</v>
      </c>
    </row>
    <row r="2042" spans="1:7" ht="12.75">
      <c r="A2042" s="134" t="s">
        <v>757</v>
      </c>
      <c r="B2042" s="134">
        <v>320</v>
      </c>
      <c r="C2042" s="491">
        <v>5</v>
      </c>
      <c r="D2042" s="491">
        <v>9</v>
      </c>
      <c r="E2042" s="491">
        <v>0</v>
      </c>
      <c r="F2042" s="491">
        <v>0</v>
      </c>
      <c r="G2042" s="491">
        <f t="shared" si="31"/>
        <v>14</v>
      </c>
    </row>
    <row r="2043" spans="1:7" ht="12.75">
      <c r="A2043" s="134" t="s">
        <v>757</v>
      </c>
      <c r="B2043" s="134">
        <v>340</v>
      </c>
      <c r="C2043" s="491">
        <v>16</v>
      </c>
      <c r="D2043" s="491">
        <v>18</v>
      </c>
      <c r="E2043" s="491">
        <v>2</v>
      </c>
      <c r="F2043" s="491">
        <v>0</v>
      </c>
      <c r="G2043" s="491">
        <f t="shared" si="31"/>
        <v>36</v>
      </c>
    </row>
    <row r="2044" spans="1:7" ht="12.75">
      <c r="A2044" s="134" t="s">
        <v>757</v>
      </c>
      <c r="B2044" s="134">
        <v>430</v>
      </c>
      <c r="C2044" s="491">
        <v>1</v>
      </c>
      <c r="D2044" s="491">
        <v>2</v>
      </c>
      <c r="E2044" s="491">
        <v>0</v>
      </c>
      <c r="F2044" s="491">
        <v>0</v>
      </c>
      <c r="G2044" s="491">
        <f t="shared" si="31"/>
        <v>3</v>
      </c>
    </row>
    <row r="2045" spans="1:7" ht="12.75">
      <c r="A2045" s="134" t="s">
        <v>757</v>
      </c>
      <c r="B2045" s="134">
        <v>560</v>
      </c>
      <c r="C2045" s="491">
        <v>2</v>
      </c>
      <c r="D2045" s="491">
        <v>0</v>
      </c>
      <c r="E2045" s="491">
        <v>1</v>
      </c>
      <c r="F2045" s="491">
        <v>0</v>
      </c>
      <c r="G2045" s="491">
        <f t="shared" si="31"/>
        <v>3</v>
      </c>
    </row>
    <row r="2046" spans="1:7" ht="12.75">
      <c r="A2046" s="134" t="s">
        <v>757</v>
      </c>
      <c r="B2046" s="134">
        <v>800</v>
      </c>
      <c r="C2046" s="491">
        <v>2</v>
      </c>
      <c r="D2046" s="491">
        <v>0</v>
      </c>
      <c r="E2046" s="491">
        <v>7</v>
      </c>
      <c r="F2046" s="491">
        <v>0</v>
      </c>
      <c r="G2046" s="491">
        <f t="shared" si="31"/>
        <v>9</v>
      </c>
    </row>
    <row r="2047" spans="1:7" ht="12.75">
      <c r="A2047" s="134" t="s">
        <v>757</v>
      </c>
      <c r="B2047" s="134">
        <v>811</v>
      </c>
      <c r="C2047" s="491">
        <v>0</v>
      </c>
      <c r="D2047" s="491">
        <v>2</v>
      </c>
      <c r="E2047" s="491">
        <v>0</v>
      </c>
      <c r="F2047" s="491">
        <v>0</v>
      </c>
      <c r="G2047" s="491">
        <f t="shared" si="31"/>
        <v>2</v>
      </c>
    </row>
    <row r="2048" spans="1:7" ht="12.75">
      <c r="A2048" s="134" t="s">
        <v>758</v>
      </c>
      <c r="B2048" s="134">
        <v>321</v>
      </c>
      <c r="C2048" s="491">
        <v>1</v>
      </c>
      <c r="D2048" s="491">
        <v>1</v>
      </c>
      <c r="E2048" s="491">
        <v>0</v>
      </c>
      <c r="F2048" s="491">
        <v>0</v>
      </c>
      <c r="G2048" s="491">
        <f t="shared" si="31"/>
        <v>2</v>
      </c>
    </row>
    <row r="2049" spans="1:7" ht="12.75">
      <c r="A2049" s="134" t="s">
        <v>759</v>
      </c>
      <c r="B2049" s="134">
        <v>120</v>
      </c>
      <c r="C2049" s="491">
        <v>48</v>
      </c>
      <c r="D2049" s="491">
        <v>53</v>
      </c>
      <c r="E2049" s="491">
        <v>2</v>
      </c>
      <c r="F2049" s="491">
        <v>0</v>
      </c>
      <c r="G2049" s="491">
        <f t="shared" si="31"/>
        <v>103</v>
      </c>
    </row>
    <row r="2050" spans="1:7" ht="12.75">
      <c r="A2050" s="134" t="s">
        <v>759</v>
      </c>
      <c r="B2050" s="134">
        <v>130</v>
      </c>
      <c r="C2050" s="491">
        <v>1</v>
      </c>
      <c r="D2050" s="491">
        <v>2</v>
      </c>
      <c r="E2050" s="491">
        <v>0</v>
      </c>
      <c r="F2050" s="491">
        <v>0</v>
      </c>
      <c r="G2050" s="491">
        <f t="shared" si="31"/>
        <v>3</v>
      </c>
    </row>
    <row r="2051" spans="1:7" ht="12.75">
      <c r="A2051" s="134" t="s">
        <v>759</v>
      </c>
      <c r="B2051" s="134">
        <v>140</v>
      </c>
      <c r="C2051" s="491">
        <v>13</v>
      </c>
      <c r="D2051" s="491">
        <v>5</v>
      </c>
      <c r="E2051" s="491">
        <v>0</v>
      </c>
      <c r="F2051" s="491">
        <v>0</v>
      </c>
      <c r="G2051" s="491">
        <f t="shared" si="31"/>
        <v>18</v>
      </c>
    </row>
    <row r="2052" spans="1:7" ht="12.75">
      <c r="A2052" s="134" t="s">
        <v>759</v>
      </c>
      <c r="B2052" s="134">
        <v>141</v>
      </c>
      <c r="C2052" s="491">
        <v>6</v>
      </c>
      <c r="D2052" s="491">
        <v>1</v>
      </c>
      <c r="E2052" s="491">
        <v>0</v>
      </c>
      <c r="F2052" s="491">
        <v>0</v>
      </c>
      <c r="G2052" s="491">
        <f t="shared" ref="G2052:G2115" si="32">SUM(C2052:F2052)</f>
        <v>7</v>
      </c>
    </row>
    <row r="2053" spans="1:7" ht="12.75">
      <c r="A2053" s="134" t="s">
        <v>759</v>
      </c>
      <c r="B2053" s="134">
        <v>144</v>
      </c>
      <c r="C2053" s="491">
        <v>1</v>
      </c>
      <c r="D2053" s="491">
        <v>2</v>
      </c>
      <c r="E2053" s="491">
        <v>0</v>
      </c>
      <c r="F2053" s="491">
        <v>0</v>
      </c>
      <c r="G2053" s="491">
        <f t="shared" si="32"/>
        <v>3</v>
      </c>
    </row>
    <row r="2054" spans="1:7" ht="12.75">
      <c r="A2054" s="134" t="s">
        <v>759</v>
      </c>
      <c r="B2054" s="134">
        <v>160</v>
      </c>
      <c r="C2054" s="491">
        <v>1</v>
      </c>
      <c r="D2054" s="491">
        <v>0</v>
      </c>
      <c r="E2054" s="491">
        <v>0</v>
      </c>
      <c r="F2054" s="491">
        <v>0</v>
      </c>
      <c r="G2054" s="491">
        <f t="shared" si="32"/>
        <v>1</v>
      </c>
    </row>
    <row r="2055" spans="1:7" ht="12.75">
      <c r="A2055" s="134" t="s">
        <v>759</v>
      </c>
      <c r="B2055" s="134">
        <v>320</v>
      </c>
      <c r="C2055" s="491">
        <v>12</v>
      </c>
      <c r="D2055" s="491">
        <v>0</v>
      </c>
      <c r="E2055" s="491">
        <v>0</v>
      </c>
      <c r="F2055" s="491">
        <v>0</v>
      </c>
      <c r="G2055" s="491">
        <f t="shared" si="32"/>
        <v>12</v>
      </c>
    </row>
    <row r="2056" spans="1:7" ht="12.75">
      <c r="A2056" s="134" t="s">
        <v>759</v>
      </c>
      <c r="B2056" s="134">
        <v>330</v>
      </c>
      <c r="C2056" s="491">
        <v>3</v>
      </c>
      <c r="D2056" s="491">
        <v>0</v>
      </c>
      <c r="E2056" s="491">
        <v>0</v>
      </c>
      <c r="F2056" s="491">
        <v>0</v>
      </c>
      <c r="G2056" s="491">
        <f t="shared" si="32"/>
        <v>3</v>
      </c>
    </row>
    <row r="2057" spans="1:7" ht="12.75">
      <c r="A2057" s="134" t="s">
        <v>759</v>
      </c>
      <c r="B2057" s="134">
        <v>340</v>
      </c>
      <c r="C2057" s="491">
        <v>1</v>
      </c>
      <c r="D2057" s="491">
        <v>2</v>
      </c>
      <c r="E2057" s="491">
        <v>0</v>
      </c>
      <c r="F2057" s="491">
        <v>0</v>
      </c>
      <c r="G2057" s="491">
        <f t="shared" si="32"/>
        <v>3</v>
      </c>
    </row>
    <row r="2058" spans="1:7" ht="12.75">
      <c r="A2058" s="134" t="s">
        <v>759</v>
      </c>
      <c r="B2058" s="134">
        <v>341</v>
      </c>
      <c r="C2058" s="491">
        <v>0</v>
      </c>
      <c r="D2058" s="491">
        <v>1</v>
      </c>
      <c r="E2058" s="491">
        <v>0</v>
      </c>
      <c r="F2058" s="491">
        <v>0</v>
      </c>
      <c r="G2058" s="491">
        <f t="shared" si="32"/>
        <v>1</v>
      </c>
    </row>
    <row r="2059" spans="1:7" ht="12.75">
      <c r="A2059" s="134" t="s">
        <v>759</v>
      </c>
      <c r="B2059" s="134">
        <v>410</v>
      </c>
      <c r="C2059" s="491">
        <v>1</v>
      </c>
      <c r="D2059" s="491">
        <v>0</v>
      </c>
      <c r="E2059" s="491">
        <v>0</v>
      </c>
      <c r="F2059" s="491">
        <v>0</v>
      </c>
      <c r="G2059" s="491">
        <f t="shared" si="32"/>
        <v>1</v>
      </c>
    </row>
    <row r="2060" spans="1:7" ht="12.75">
      <c r="A2060" s="134" t="s">
        <v>759</v>
      </c>
      <c r="B2060" s="134">
        <v>450</v>
      </c>
      <c r="C2060" s="491">
        <v>0</v>
      </c>
      <c r="D2060" s="491">
        <v>1</v>
      </c>
      <c r="E2060" s="491">
        <v>0</v>
      </c>
      <c r="F2060" s="491">
        <v>0</v>
      </c>
      <c r="G2060" s="491">
        <f t="shared" si="32"/>
        <v>1</v>
      </c>
    </row>
    <row r="2061" spans="1:7" ht="12.75">
      <c r="A2061" s="134" t="s">
        <v>759</v>
      </c>
      <c r="B2061" s="134">
        <v>800</v>
      </c>
      <c r="C2061" s="491">
        <v>2</v>
      </c>
      <c r="D2061" s="491">
        <v>0</v>
      </c>
      <c r="E2061" s="491">
        <v>0</v>
      </c>
      <c r="F2061" s="491">
        <v>0</v>
      </c>
      <c r="G2061" s="491">
        <f t="shared" si="32"/>
        <v>2</v>
      </c>
    </row>
    <row r="2062" spans="1:7" ht="12.75">
      <c r="A2062" s="134" t="s">
        <v>760</v>
      </c>
      <c r="B2062" s="134">
        <v>120</v>
      </c>
      <c r="C2062" s="491">
        <v>2</v>
      </c>
      <c r="D2062" s="491">
        <v>7</v>
      </c>
      <c r="E2062" s="491">
        <v>0</v>
      </c>
      <c r="F2062" s="491">
        <v>0</v>
      </c>
      <c r="G2062" s="491">
        <f t="shared" si="32"/>
        <v>9</v>
      </c>
    </row>
    <row r="2063" spans="1:7" ht="12.75">
      <c r="A2063" s="134" t="s">
        <v>760</v>
      </c>
      <c r="B2063" s="134">
        <v>140</v>
      </c>
      <c r="C2063" s="491">
        <v>1</v>
      </c>
      <c r="D2063" s="491">
        <v>0</v>
      </c>
      <c r="E2063" s="491">
        <v>0</v>
      </c>
      <c r="F2063" s="491">
        <v>0</v>
      </c>
      <c r="G2063" s="491">
        <f t="shared" si="32"/>
        <v>1</v>
      </c>
    </row>
    <row r="2064" spans="1:7" ht="12.75">
      <c r="A2064" s="134" t="s">
        <v>760</v>
      </c>
      <c r="B2064" s="134">
        <v>142</v>
      </c>
      <c r="C2064" s="491">
        <v>2</v>
      </c>
      <c r="D2064" s="491">
        <v>0</v>
      </c>
      <c r="E2064" s="491">
        <v>0</v>
      </c>
      <c r="F2064" s="491">
        <v>0</v>
      </c>
      <c r="G2064" s="491">
        <f t="shared" si="32"/>
        <v>2</v>
      </c>
    </row>
    <row r="2065" spans="1:7" ht="12.75">
      <c r="A2065" s="134" t="s">
        <v>760</v>
      </c>
      <c r="B2065" s="134">
        <v>143</v>
      </c>
      <c r="C2065" s="491">
        <v>2</v>
      </c>
      <c r="D2065" s="491">
        <v>2</v>
      </c>
      <c r="E2065" s="491">
        <v>0</v>
      </c>
      <c r="F2065" s="491">
        <v>0</v>
      </c>
      <c r="G2065" s="491">
        <f t="shared" si="32"/>
        <v>4</v>
      </c>
    </row>
    <row r="2066" spans="1:7" ht="12.75">
      <c r="A2066" s="134" t="s">
        <v>760</v>
      </c>
      <c r="B2066" s="134">
        <v>144</v>
      </c>
      <c r="C2066" s="491">
        <v>0</v>
      </c>
      <c r="D2066" s="491">
        <v>1</v>
      </c>
      <c r="E2066" s="491">
        <v>0</v>
      </c>
      <c r="F2066" s="491">
        <v>0</v>
      </c>
      <c r="G2066" s="491">
        <f t="shared" si="32"/>
        <v>1</v>
      </c>
    </row>
    <row r="2067" spans="1:7" ht="12.75">
      <c r="A2067" s="134" t="s">
        <v>760</v>
      </c>
      <c r="B2067" s="134">
        <v>171</v>
      </c>
      <c r="C2067" s="491">
        <v>0</v>
      </c>
      <c r="D2067" s="491">
        <v>1</v>
      </c>
      <c r="E2067" s="491">
        <v>0</v>
      </c>
      <c r="F2067" s="491">
        <v>0</v>
      </c>
      <c r="G2067" s="491">
        <f t="shared" si="32"/>
        <v>1</v>
      </c>
    </row>
    <row r="2068" spans="1:7" ht="12.75">
      <c r="A2068" s="134" t="s">
        <v>760</v>
      </c>
      <c r="B2068" s="134">
        <v>215</v>
      </c>
      <c r="C2068" s="491">
        <v>0</v>
      </c>
      <c r="D2068" s="491">
        <v>1</v>
      </c>
      <c r="E2068" s="491">
        <v>0</v>
      </c>
      <c r="F2068" s="491">
        <v>0</v>
      </c>
      <c r="G2068" s="491">
        <f t="shared" si="32"/>
        <v>1</v>
      </c>
    </row>
    <row r="2069" spans="1:7" ht="12.75">
      <c r="A2069" s="134" t="s">
        <v>760</v>
      </c>
      <c r="B2069" s="134">
        <v>252</v>
      </c>
      <c r="C2069" s="491">
        <v>4</v>
      </c>
      <c r="D2069" s="491">
        <v>0</v>
      </c>
      <c r="E2069" s="491">
        <v>0</v>
      </c>
      <c r="F2069" s="491">
        <v>0</v>
      </c>
      <c r="G2069" s="491">
        <f t="shared" si="32"/>
        <v>4</v>
      </c>
    </row>
    <row r="2070" spans="1:7" ht="12.75">
      <c r="A2070" s="134" t="s">
        <v>761</v>
      </c>
      <c r="B2070" s="134">
        <v>120</v>
      </c>
      <c r="C2070" s="491">
        <v>0</v>
      </c>
      <c r="D2070" s="491">
        <v>13</v>
      </c>
      <c r="E2070" s="491">
        <v>0</v>
      </c>
      <c r="F2070" s="491">
        <v>0</v>
      </c>
      <c r="G2070" s="491">
        <f t="shared" si="32"/>
        <v>13</v>
      </c>
    </row>
    <row r="2071" spans="1:7" ht="12.75">
      <c r="A2071" s="134" t="s">
        <v>761</v>
      </c>
      <c r="B2071" s="134">
        <v>171</v>
      </c>
      <c r="C2071" s="491">
        <v>0</v>
      </c>
      <c r="D2071" s="491">
        <v>1</v>
      </c>
      <c r="E2071" s="491">
        <v>0</v>
      </c>
      <c r="F2071" s="491">
        <v>0</v>
      </c>
      <c r="G2071" s="491">
        <f t="shared" si="32"/>
        <v>1</v>
      </c>
    </row>
    <row r="2072" spans="1:7" ht="12.75">
      <c r="A2072" s="134" t="s">
        <v>762</v>
      </c>
      <c r="B2072" s="134">
        <v>103</v>
      </c>
      <c r="C2072" s="491">
        <v>1</v>
      </c>
      <c r="D2072" s="491">
        <v>0</v>
      </c>
      <c r="E2072" s="491">
        <v>0</v>
      </c>
      <c r="F2072" s="491">
        <v>0</v>
      </c>
      <c r="G2072" s="491">
        <f t="shared" si="32"/>
        <v>1</v>
      </c>
    </row>
    <row r="2073" spans="1:7" ht="12.75">
      <c r="A2073" s="134" t="s">
        <v>762</v>
      </c>
      <c r="B2073" s="134">
        <v>120</v>
      </c>
      <c r="C2073" s="491">
        <v>42</v>
      </c>
      <c r="D2073" s="491">
        <v>37</v>
      </c>
      <c r="E2073" s="491">
        <v>2</v>
      </c>
      <c r="F2073" s="491">
        <v>1</v>
      </c>
      <c r="G2073" s="491">
        <f t="shared" si="32"/>
        <v>82</v>
      </c>
    </row>
    <row r="2074" spans="1:7" ht="12.75">
      <c r="A2074" s="134" t="s">
        <v>762</v>
      </c>
      <c r="B2074" s="134">
        <v>130</v>
      </c>
      <c r="C2074" s="491">
        <v>2</v>
      </c>
      <c r="D2074" s="491">
        <v>0</v>
      </c>
      <c r="E2074" s="491">
        <v>0</v>
      </c>
      <c r="F2074" s="491">
        <v>0</v>
      </c>
      <c r="G2074" s="491">
        <f t="shared" si="32"/>
        <v>2</v>
      </c>
    </row>
    <row r="2075" spans="1:7" ht="12.75">
      <c r="A2075" s="134" t="s">
        <v>762</v>
      </c>
      <c r="B2075" s="134">
        <v>140</v>
      </c>
      <c r="C2075" s="491">
        <v>33</v>
      </c>
      <c r="D2075" s="491">
        <v>11</v>
      </c>
      <c r="E2075" s="491">
        <v>4</v>
      </c>
      <c r="F2075" s="491">
        <v>0</v>
      </c>
      <c r="G2075" s="491">
        <f t="shared" si="32"/>
        <v>48</v>
      </c>
    </row>
    <row r="2076" spans="1:7" ht="12.75">
      <c r="A2076" s="134" t="s">
        <v>762</v>
      </c>
      <c r="B2076" s="134">
        <v>141</v>
      </c>
      <c r="C2076" s="491">
        <v>19</v>
      </c>
      <c r="D2076" s="491">
        <v>5</v>
      </c>
      <c r="E2076" s="491">
        <v>0</v>
      </c>
      <c r="F2076" s="491">
        <v>0</v>
      </c>
      <c r="G2076" s="491">
        <f t="shared" si="32"/>
        <v>24</v>
      </c>
    </row>
    <row r="2077" spans="1:7" ht="12.75">
      <c r="A2077" s="134" t="s">
        <v>762</v>
      </c>
      <c r="B2077" s="134">
        <v>143</v>
      </c>
      <c r="C2077" s="491">
        <v>4</v>
      </c>
      <c r="D2077" s="491">
        <v>2</v>
      </c>
      <c r="E2077" s="491">
        <v>0</v>
      </c>
      <c r="F2077" s="491">
        <v>0</v>
      </c>
      <c r="G2077" s="491">
        <f t="shared" si="32"/>
        <v>6</v>
      </c>
    </row>
    <row r="2078" spans="1:7" ht="12.75">
      <c r="A2078" s="134" t="s">
        <v>762</v>
      </c>
      <c r="B2078" s="134">
        <v>144</v>
      </c>
      <c r="C2078" s="491">
        <v>7</v>
      </c>
      <c r="D2078" s="491">
        <v>2</v>
      </c>
      <c r="E2078" s="491">
        <v>0</v>
      </c>
      <c r="F2078" s="491">
        <v>0</v>
      </c>
      <c r="G2078" s="491">
        <f t="shared" si="32"/>
        <v>9</v>
      </c>
    </row>
    <row r="2079" spans="1:7" ht="12.75">
      <c r="A2079" s="134" t="s">
        <v>762</v>
      </c>
      <c r="B2079" s="134">
        <v>160</v>
      </c>
      <c r="C2079" s="491">
        <v>1</v>
      </c>
      <c r="D2079" s="491">
        <v>1</v>
      </c>
      <c r="E2079" s="491">
        <v>0</v>
      </c>
      <c r="F2079" s="491">
        <v>0</v>
      </c>
      <c r="G2079" s="491">
        <f t="shared" si="32"/>
        <v>2</v>
      </c>
    </row>
    <row r="2080" spans="1:7" ht="12.75">
      <c r="A2080" s="134" t="s">
        <v>762</v>
      </c>
      <c r="B2080" s="134">
        <v>302</v>
      </c>
      <c r="C2080" s="491">
        <v>0</v>
      </c>
      <c r="D2080" s="491">
        <v>1</v>
      </c>
      <c r="E2080" s="491">
        <v>0</v>
      </c>
      <c r="F2080" s="491">
        <v>0</v>
      </c>
      <c r="G2080" s="491">
        <f t="shared" si="32"/>
        <v>1</v>
      </c>
    </row>
    <row r="2081" spans="1:7" ht="12.75">
      <c r="A2081" s="134" t="s">
        <v>762</v>
      </c>
      <c r="B2081" s="134">
        <v>317</v>
      </c>
      <c r="C2081" s="491">
        <v>0</v>
      </c>
      <c r="D2081" s="491">
        <v>1</v>
      </c>
      <c r="E2081" s="491">
        <v>0</v>
      </c>
      <c r="F2081" s="491">
        <v>0</v>
      </c>
      <c r="G2081" s="491">
        <f t="shared" si="32"/>
        <v>1</v>
      </c>
    </row>
    <row r="2082" spans="1:7" ht="12.75">
      <c r="A2082" s="134" t="s">
        <v>762</v>
      </c>
      <c r="B2082" s="134">
        <v>450</v>
      </c>
      <c r="C2082" s="491">
        <v>3</v>
      </c>
      <c r="D2082" s="491">
        <v>0</v>
      </c>
      <c r="E2082" s="491">
        <v>0</v>
      </c>
      <c r="F2082" s="491">
        <v>0</v>
      </c>
      <c r="G2082" s="491">
        <f t="shared" si="32"/>
        <v>3</v>
      </c>
    </row>
    <row r="2083" spans="1:7" ht="12.75">
      <c r="A2083" s="134" t="s">
        <v>762</v>
      </c>
      <c r="B2083" s="134">
        <v>501</v>
      </c>
      <c r="C2083" s="491">
        <v>1</v>
      </c>
      <c r="D2083" s="491">
        <v>0</v>
      </c>
      <c r="E2083" s="491">
        <v>0</v>
      </c>
      <c r="F2083" s="491">
        <v>0</v>
      </c>
      <c r="G2083" s="491">
        <f t="shared" si="32"/>
        <v>1</v>
      </c>
    </row>
    <row r="2084" spans="1:7" ht="12.75">
      <c r="A2084" s="134" t="s">
        <v>762</v>
      </c>
      <c r="B2084" s="134">
        <v>502</v>
      </c>
      <c r="C2084" s="491">
        <v>0</v>
      </c>
      <c r="D2084" s="491">
        <v>1</v>
      </c>
      <c r="E2084" s="491">
        <v>0</v>
      </c>
      <c r="F2084" s="491">
        <v>0</v>
      </c>
      <c r="G2084" s="491">
        <f t="shared" si="32"/>
        <v>1</v>
      </c>
    </row>
    <row r="2085" spans="1:7" ht="12.75">
      <c r="A2085" s="134" t="s">
        <v>762</v>
      </c>
      <c r="B2085" s="134">
        <v>652</v>
      </c>
      <c r="C2085" s="491">
        <v>57</v>
      </c>
      <c r="D2085" s="491">
        <v>3</v>
      </c>
      <c r="E2085" s="491">
        <v>0</v>
      </c>
      <c r="F2085" s="491">
        <v>0</v>
      </c>
      <c r="G2085" s="491">
        <f t="shared" si="32"/>
        <v>60</v>
      </c>
    </row>
    <row r="2086" spans="1:7" ht="12.75">
      <c r="A2086" s="134" t="s">
        <v>763</v>
      </c>
      <c r="B2086" s="134">
        <v>120</v>
      </c>
      <c r="C2086" s="491">
        <v>0</v>
      </c>
      <c r="D2086" s="491">
        <v>2</v>
      </c>
      <c r="E2086" s="491">
        <v>0</v>
      </c>
      <c r="F2086" s="491">
        <v>0</v>
      </c>
      <c r="G2086" s="491">
        <f t="shared" si="32"/>
        <v>2</v>
      </c>
    </row>
    <row r="2087" spans="1:7" ht="12.75">
      <c r="A2087" s="134" t="s">
        <v>763</v>
      </c>
      <c r="B2087" s="134">
        <v>140</v>
      </c>
      <c r="C2087" s="491">
        <v>1</v>
      </c>
      <c r="D2087" s="491">
        <v>0</v>
      </c>
      <c r="E2087" s="491">
        <v>0</v>
      </c>
      <c r="F2087" s="491">
        <v>0</v>
      </c>
      <c r="G2087" s="491">
        <f t="shared" si="32"/>
        <v>1</v>
      </c>
    </row>
    <row r="2088" spans="1:7" ht="12.75">
      <c r="A2088" s="134" t="s">
        <v>763</v>
      </c>
      <c r="B2088" s="134">
        <v>141</v>
      </c>
      <c r="C2088" s="491">
        <v>1</v>
      </c>
      <c r="D2088" s="491">
        <v>0</v>
      </c>
      <c r="E2088" s="491">
        <v>0</v>
      </c>
      <c r="F2088" s="491">
        <v>0</v>
      </c>
      <c r="G2088" s="491">
        <f t="shared" si="32"/>
        <v>1</v>
      </c>
    </row>
    <row r="2089" spans="1:7" ht="12.75">
      <c r="A2089" s="134" t="s">
        <v>763</v>
      </c>
      <c r="B2089" s="134">
        <v>142</v>
      </c>
      <c r="C2089" s="491">
        <v>1</v>
      </c>
      <c r="D2089" s="491">
        <v>1</v>
      </c>
      <c r="E2089" s="491">
        <v>0</v>
      </c>
      <c r="F2089" s="491">
        <v>0</v>
      </c>
      <c r="G2089" s="491">
        <f t="shared" si="32"/>
        <v>2</v>
      </c>
    </row>
    <row r="2090" spans="1:7" ht="12.75">
      <c r="A2090" s="134" t="s">
        <v>763</v>
      </c>
      <c r="B2090" s="134">
        <v>143</v>
      </c>
      <c r="C2090" s="491">
        <v>13</v>
      </c>
      <c r="D2090" s="491">
        <v>2</v>
      </c>
      <c r="E2090" s="491">
        <v>0</v>
      </c>
      <c r="F2090" s="491">
        <v>0</v>
      </c>
      <c r="G2090" s="491">
        <f t="shared" si="32"/>
        <v>15</v>
      </c>
    </row>
    <row r="2091" spans="1:7" ht="12.75">
      <c r="A2091" s="134" t="s">
        <v>763</v>
      </c>
      <c r="B2091" s="134">
        <v>144</v>
      </c>
      <c r="C2091" s="491">
        <v>0</v>
      </c>
      <c r="D2091" s="491">
        <v>1</v>
      </c>
      <c r="E2091" s="491">
        <v>0</v>
      </c>
      <c r="F2091" s="491">
        <v>0</v>
      </c>
      <c r="G2091" s="491">
        <f t="shared" si="32"/>
        <v>1</v>
      </c>
    </row>
    <row r="2092" spans="1:7" ht="12.75">
      <c r="A2092" s="134" t="s">
        <v>763</v>
      </c>
      <c r="B2092" s="134">
        <v>317</v>
      </c>
      <c r="C2092" s="491">
        <v>0</v>
      </c>
      <c r="D2092" s="491">
        <v>1</v>
      </c>
      <c r="E2092" s="491">
        <v>0</v>
      </c>
      <c r="F2092" s="491">
        <v>0</v>
      </c>
      <c r="G2092" s="491">
        <f t="shared" si="32"/>
        <v>1</v>
      </c>
    </row>
    <row r="2093" spans="1:7" ht="12.75">
      <c r="A2093" s="134" t="s">
        <v>763</v>
      </c>
      <c r="B2093" s="134">
        <v>420</v>
      </c>
      <c r="C2093" s="491">
        <v>1</v>
      </c>
      <c r="D2093" s="491">
        <v>0</v>
      </c>
      <c r="E2093" s="491">
        <v>0</v>
      </c>
      <c r="F2093" s="491">
        <v>0</v>
      </c>
      <c r="G2093" s="491">
        <f t="shared" si="32"/>
        <v>1</v>
      </c>
    </row>
    <row r="2094" spans="1:7" ht="12.75">
      <c r="A2094" s="134" t="s">
        <v>763</v>
      </c>
      <c r="B2094" s="134">
        <v>812</v>
      </c>
      <c r="C2094" s="491">
        <v>1</v>
      </c>
      <c r="D2094" s="491">
        <v>0</v>
      </c>
      <c r="E2094" s="491">
        <v>0</v>
      </c>
      <c r="F2094" s="491">
        <v>0</v>
      </c>
      <c r="G2094" s="491">
        <f t="shared" si="32"/>
        <v>1</v>
      </c>
    </row>
    <row r="2095" spans="1:7" ht="12.75">
      <c r="A2095" s="134" t="s">
        <v>764</v>
      </c>
      <c r="B2095" s="134">
        <v>101</v>
      </c>
      <c r="C2095" s="491">
        <v>0</v>
      </c>
      <c r="D2095" s="491">
        <v>1</v>
      </c>
      <c r="E2095" s="491">
        <v>0</v>
      </c>
      <c r="F2095" s="491">
        <v>0</v>
      </c>
      <c r="G2095" s="491">
        <f t="shared" si="32"/>
        <v>1</v>
      </c>
    </row>
    <row r="2096" spans="1:7" ht="12.75">
      <c r="A2096" s="134" t="s">
        <v>764</v>
      </c>
      <c r="B2096" s="134">
        <v>107</v>
      </c>
      <c r="C2096" s="491">
        <v>1</v>
      </c>
      <c r="D2096" s="491">
        <v>1</v>
      </c>
      <c r="E2096" s="491">
        <v>0</v>
      </c>
      <c r="F2096" s="491">
        <v>0</v>
      </c>
      <c r="G2096" s="491">
        <f t="shared" si="32"/>
        <v>2</v>
      </c>
    </row>
    <row r="2097" spans="1:7" ht="12.75">
      <c r="A2097" s="134" t="s">
        <v>764</v>
      </c>
      <c r="B2097" s="134">
        <v>120</v>
      </c>
      <c r="C2097" s="491">
        <v>53</v>
      </c>
      <c r="D2097" s="491">
        <v>32</v>
      </c>
      <c r="E2097" s="491">
        <v>6</v>
      </c>
      <c r="F2097" s="491">
        <v>4</v>
      </c>
      <c r="G2097" s="491">
        <f t="shared" si="32"/>
        <v>95</v>
      </c>
    </row>
    <row r="2098" spans="1:7" ht="12.75">
      <c r="A2098" s="134" t="s">
        <v>764</v>
      </c>
      <c r="B2098" s="134">
        <v>140</v>
      </c>
      <c r="C2098" s="491">
        <v>803</v>
      </c>
      <c r="D2098" s="491">
        <v>180</v>
      </c>
      <c r="E2098" s="491">
        <v>7</v>
      </c>
      <c r="F2098" s="491">
        <v>1</v>
      </c>
      <c r="G2098" s="491">
        <f t="shared" si="32"/>
        <v>991</v>
      </c>
    </row>
    <row r="2099" spans="1:7" ht="12.75">
      <c r="A2099" s="134" t="s">
        <v>764</v>
      </c>
      <c r="B2099" s="134">
        <v>141</v>
      </c>
      <c r="C2099" s="491">
        <v>35</v>
      </c>
      <c r="D2099" s="491">
        <v>1</v>
      </c>
      <c r="E2099" s="491">
        <v>0</v>
      </c>
      <c r="F2099" s="491">
        <v>2</v>
      </c>
      <c r="G2099" s="491">
        <f t="shared" si="32"/>
        <v>38</v>
      </c>
    </row>
    <row r="2100" spans="1:7" ht="12.75">
      <c r="A2100" s="134" t="s">
        <v>764</v>
      </c>
      <c r="B2100" s="134">
        <v>143</v>
      </c>
      <c r="C2100" s="491">
        <v>17</v>
      </c>
      <c r="D2100" s="491">
        <v>0</v>
      </c>
      <c r="E2100" s="491">
        <v>0</v>
      </c>
      <c r="F2100" s="491">
        <v>0</v>
      </c>
      <c r="G2100" s="491">
        <f t="shared" si="32"/>
        <v>17</v>
      </c>
    </row>
    <row r="2101" spans="1:7" ht="12.75">
      <c r="A2101" s="134" t="s">
        <v>764</v>
      </c>
      <c r="B2101" s="134">
        <v>144</v>
      </c>
      <c r="C2101" s="491">
        <v>315</v>
      </c>
      <c r="D2101" s="491">
        <v>67</v>
      </c>
      <c r="E2101" s="491">
        <v>17</v>
      </c>
      <c r="F2101" s="491">
        <v>0</v>
      </c>
      <c r="G2101" s="491">
        <f t="shared" si="32"/>
        <v>399</v>
      </c>
    </row>
    <row r="2102" spans="1:7" ht="12.75">
      <c r="A2102" s="134" t="s">
        <v>764</v>
      </c>
      <c r="B2102" s="134">
        <v>160</v>
      </c>
      <c r="C2102" s="491">
        <v>7</v>
      </c>
      <c r="D2102" s="491">
        <v>1</v>
      </c>
      <c r="E2102" s="491">
        <v>3</v>
      </c>
      <c r="F2102" s="491">
        <v>0</v>
      </c>
      <c r="G2102" s="491">
        <f t="shared" si="32"/>
        <v>11</v>
      </c>
    </row>
    <row r="2103" spans="1:7" ht="12.75">
      <c r="A2103" s="134" t="s">
        <v>764</v>
      </c>
      <c r="B2103" s="134">
        <v>310</v>
      </c>
      <c r="C2103" s="491">
        <v>0</v>
      </c>
      <c r="D2103" s="491">
        <v>1</v>
      </c>
      <c r="E2103" s="491">
        <v>0</v>
      </c>
      <c r="F2103" s="491">
        <v>0</v>
      </c>
      <c r="G2103" s="491">
        <f t="shared" si="32"/>
        <v>1</v>
      </c>
    </row>
    <row r="2104" spans="1:7" ht="12.75">
      <c r="A2104" s="134" t="s">
        <v>764</v>
      </c>
      <c r="B2104" s="134">
        <v>320</v>
      </c>
      <c r="C2104" s="491">
        <v>0</v>
      </c>
      <c r="D2104" s="491">
        <v>2</v>
      </c>
      <c r="E2104" s="491">
        <v>0</v>
      </c>
      <c r="F2104" s="491">
        <v>0</v>
      </c>
      <c r="G2104" s="491">
        <f t="shared" si="32"/>
        <v>2</v>
      </c>
    </row>
    <row r="2105" spans="1:7" ht="12.75">
      <c r="A2105" s="134" t="s">
        <v>764</v>
      </c>
      <c r="B2105" s="134">
        <v>324</v>
      </c>
      <c r="C2105" s="491">
        <v>0</v>
      </c>
      <c r="D2105" s="491">
        <v>2</v>
      </c>
      <c r="E2105" s="491">
        <v>0</v>
      </c>
      <c r="F2105" s="491">
        <v>0</v>
      </c>
      <c r="G2105" s="491">
        <f t="shared" si="32"/>
        <v>2</v>
      </c>
    </row>
    <row r="2106" spans="1:7" ht="12.75">
      <c r="A2106" s="134" t="s">
        <v>764</v>
      </c>
      <c r="B2106" s="134">
        <v>330</v>
      </c>
      <c r="C2106" s="491">
        <v>10</v>
      </c>
      <c r="D2106" s="491">
        <v>5</v>
      </c>
      <c r="E2106" s="491">
        <v>0</v>
      </c>
      <c r="F2106" s="491">
        <v>0</v>
      </c>
      <c r="G2106" s="491">
        <f t="shared" si="32"/>
        <v>15</v>
      </c>
    </row>
    <row r="2107" spans="1:7" ht="12.75">
      <c r="A2107" s="134" t="s">
        <v>764</v>
      </c>
      <c r="B2107" s="134">
        <v>340</v>
      </c>
      <c r="C2107" s="491">
        <v>0</v>
      </c>
      <c r="D2107" s="491">
        <v>1</v>
      </c>
      <c r="E2107" s="491">
        <v>0</v>
      </c>
      <c r="F2107" s="491">
        <v>0</v>
      </c>
      <c r="G2107" s="491">
        <f t="shared" si="32"/>
        <v>1</v>
      </c>
    </row>
    <row r="2108" spans="1:7" ht="12.75">
      <c r="A2108" s="134" t="s">
        <v>764</v>
      </c>
      <c r="B2108" s="134">
        <v>361</v>
      </c>
      <c r="C2108" s="491">
        <v>0</v>
      </c>
      <c r="D2108" s="491">
        <v>1</v>
      </c>
      <c r="E2108" s="491">
        <v>0</v>
      </c>
      <c r="F2108" s="491">
        <v>0</v>
      </c>
      <c r="G2108" s="491">
        <f t="shared" si="32"/>
        <v>1</v>
      </c>
    </row>
    <row r="2109" spans="1:7" ht="12.75">
      <c r="A2109" s="134" t="s">
        <v>764</v>
      </c>
      <c r="B2109" s="134">
        <v>370</v>
      </c>
      <c r="C2109" s="491">
        <v>0</v>
      </c>
      <c r="D2109" s="491">
        <v>1</v>
      </c>
      <c r="E2109" s="491">
        <v>0</v>
      </c>
      <c r="F2109" s="491">
        <v>0</v>
      </c>
      <c r="G2109" s="491">
        <f t="shared" si="32"/>
        <v>1</v>
      </c>
    </row>
    <row r="2110" spans="1:7" ht="12.75">
      <c r="A2110" s="134" t="s">
        <v>764</v>
      </c>
      <c r="B2110" s="134">
        <v>400</v>
      </c>
      <c r="C2110" s="491">
        <v>12</v>
      </c>
      <c r="D2110" s="491">
        <v>2</v>
      </c>
      <c r="E2110" s="491">
        <v>0</v>
      </c>
      <c r="F2110" s="491">
        <v>0</v>
      </c>
      <c r="G2110" s="491">
        <f t="shared" si="32"/>
        <v>14</v>
      </c>
    </row>
    <row r="2111" spans="1:7" ht="12.75">
      <c r="A2111" s="134" t="s">
        <v>764</v>
      </c>
      <c r="B2111" s="134">
        <v>450</v>
      </c>
      <c r="C2111" s="491">
        <v>101</v>
      </c>
      <c r="D2111" s="491">
        <v>6</v>
      </c>
      <c r="E2111" s="491">
        <v>1</v>
      </c>
      <c r="F2111" s="491">
        <v>0</v>
      </c>
      <c r="G2111" s="491">
        <f t="shared" si="32"/>
        <v>108</v>
      </c>
    </row>
    <row r="2112" spans="1:7" ht="12.75">
      <c r="A2112" s="134" t="s">
        <v>764</v>
      </c>
      <c r="B2112" s="134">
        <v>501</v>
      </c>
      <c r="C2112" s="491">
        <v>2</v>
      </c>
      <c r="D2112" s="491">
        <v>1</v>
      </c>
      <c r="E2112" s="491">
        <v>0</v>
      </c>
      <c r="F2112" s="491">
        <v>0</v>
      </c>
      <c r="G2112" s="491">
        <f t="shared" si="32"/>
        <v>3</v>
      </c>
    </row>
    <row r="2113" spans="1:7" ht="12.75">
      <c r="A2113" s="134" t="s">
        <v>764</v>
      </c>
      <c r="B2113" s="134">
        <v>502</v>
      </c>
      <c r="C2113" s="491">
        <v>0</v>
      </c>
      <c r="D2113" s="491">
        <v>1</v>
      </c>
      <c r="E2113" s="491">
        <v>0</v>
      </c>
      <c r="F2113" s="491">
        <v>0</v>
      </c>
      <c r="G2113" s="491">
        <f t="shared" si="32"/>
        <v>1</v>
      </c>
    </row>
    <row r="2114" spans="1:7" ht="12.75">
      <c r="A2114" s="134" t="s">
        <v>764</v>
      </c>
      <c r="B2114" s="134">
        <v>650</v>
      </c>
      <c r="C2114" s="491">
        <v>0</v>
      </c>
      <c r="D2114" s="491">
        <v>2</v>
      </c>
      <c r="E2114" s="491">
        <v>0</v>
      </c>
      <c r="F2114" s="491">
        <v>0</v>
      </c>
      <c r="G2114" s="491">
        <f t="shared" si="32"/>
        <v>2</v>
      </c>
    </row>
    <row r="2115" spans="1:7" ht="12.75">
      <c r="A2115" s="134" t="s">
        <v>764</v>
      </c>
      <c r="B2115" s="134">
        <v>652</v>
      </c>
      <c r="C2115" s="491">
        <v>221</v>
      </c>
      <c r="D2115" s="491">
        <v>2</v>
      </c>
      <c r="E2115" s="491">
        <v>0</v>
      </c>
      <c r="F2115" s="491">
        <v>0</v>
      </c>
      <c r="G2115" s="491">
        <f t="shared" si="32"/>
        <v>223</v>
      </c>
    </row>
    <row r="2116" spans="1:7" ht="12.75">
      <c r="A2116" s="134" t="s">
        <v>764</v>
      </c>
      <c r="B2116" s="134">
        <v>654</v>
      </c>
      <c r="C2116" s="491">
        <v>0</v>
      </c>
      <c r="D2116" s="491">
        <v>1</v>
      </c>
      <c r="E2116" s="491">
        <v>0</v>
      </c>
      <c r="F2116" s="491">
        <v>0</v>
      </c>
      <c r="G2116" s="491">
        <f t="shared" ref="G2116:G2179" si="33">SUM(C2116:F2116)</f>
        <v>1</v>
      </c>
    </row>
    <row r="2117" spans="1:7" ht="12.75">
      <c r="A2117" s="134" t="s">
        <v>764</v>
      </c>
      <c r="B2117" s="134">
        <v>800</v>
      </c>
      <c r="C2117" s="491">
        <v>1</v>
      </c>
      <c r="D2117" s="491">
        <v>0</v>
      </c>
      <c r="E2117" s="491">
        <v>1</v>
      </c>
      <c r="F2117" s="491">
        <v>0</v>
      </c>
      <c r="G2117" s="491">
        <f t="shared" si="33"/>
        <v>2</v>
      </c>
    </row>
    <row r="2118" spans="1:7" ht="12.75">
      <c r="A2118" s="134" t="s">
        <v>764</v>
      </c>
      <c r="B2118" s="134">
        <v>811</v>
      </c>
      <c r="C2118" s="491">
        <v>1</v>
      </c>
      <c r="D2118" s="491">
        <v>0</v>
      </c>
      <c r="E2118" s="491">
        <v>0</v>
      </c>
      <c r="F2118" s="491">
        <v>0</v>
      </c>
      <c r="G2118" s="491">
        <f t="shared" si="33"/>
        <v>1</v>
      </c>
    </row>
    <row r="2119" spans="1:7" ht="12.75">
      <c r="A2119" s="134" t="s">
        <v>765</v>
      </c>
      <c r="B2119" s="134">
        <v>120</v>
      </c>
      <c r="C2119" s="491">
        <v>1</v>
      </c>
      <c r="D2119" s="491">
        <v>0</v>
      </c>
      <c r="E2119" s="491">
        <v>0</v>
      </c>
      <c r="F2119" s="491">
        <v>0</v>
      </c>
      <c r="G2119" s="491">
        <f t="shared" si="33"/>
        <v>1</v>
      </c>
    </row>
    <row r="2120" spans="1:7" ht="12.75">
      <c r="A2120" s="134" t="s">
        <v>765</v>
      </c>
      <c r="B2120" s="134">
        <v>140</v>
      </c>
      <c r="C2120" s="491">
        <v>13</v>
      </c>
      <c r="D2120" s="491">
        <v>0</v>
      </c>
      <c r="E2120" s="491">
        <v>0</v>
      </c>
      <c r="F2120" s="491">
        <v>0</v>
      </c>
      <c r="G2120" s="491">
        <f t="shared" si="33"/>
        <v>13</v>
      </c>
    </row>
    <row r="2121" spans="1:7" ht="12.75">
      <c r="A2121" s="134" t="s">
        <v>765</v>
      </c>
      <c r="B2121" s="134">
        <v>142</v>
      </c>
      <c r="C2121" s="491">
        <v>2</v>
      </c>
      <c r="D2121" s="491">
        <v>0</v>
      </c>
      <c r="E2121" s="491">
        <v>0</v>
      </c>
      <c r="F2121" s="491">
        <v>0</v>
      </c>
      <c r="G2121" s="491">
        <f t="shared" si="33"/>
        <v>2</v>
      </c>
    </row>
    <row r="2122" spans="1:7" ht="12.75">
      <c r="A2122" s="134" t="s">
        <v>765</v>
      </c>
      <c r="B2122" s="134">
        <v>143</v>
      </c>
      <c r="C2122" s="491">
        <v>10</v>
      </c>
      <c r="D2122" s="491">
        <v>0</v>
      </c>
      <c r="E2122" s="491">
        <v>0</v>
      </c>
      <c r="F2122" s="491">
        <v>0</v>
      </c>
      <c r="G2122" s="491">
        <f t="shared" si="33"/>
        <v>10</v>
      </c>
    </row>
    <row r="2123" spans="1:7" ht="12.75">
      <c r="A2123" s="134" t="s">
        <v>765</v>
      </c>
      <c r="B2123" s="134">
        <v>144</v>
      </c>
      <c r="C2123" s="491">
        <v>9</v>
      </c>
      <c r="D2123" s="491">
        <v>8</v>
      </c>
      <c r="E2123" s="491">
        <v>0</v>
      </c>
      <c r="F2123" s="491">
        <v>0</v>
      </c>
      <c r="G2123" s="491">
        <f t="shared" si="33"/>
        <v>17</v>
      </c>
    </row>
    <row r="2124" spans="1:7" ht="12.75">
      <c r="A2124" s="134" t="s">
        <v>765</v>
      </c>
      <c r="B2124" s="134">
        <v>219</v>
      </c>
      <c r="C2124" s="491">
        <v>2</v>
      </c>
      <c r="D2124" s="491">
        <v>0</v>
      </c>
      <c r="E2124" s="491">
        <v>4</v>
      </c>
      <c r="F2124" s="491">
        <v>1</v>
      </c>
      <c r="G2124" s="491">
        <f t="shared" si="33"/>
        <v>7</v>
      </c>
    </row>
    <row r="2125" spans="1:7" ht="12.75">
      <c r="A2125" s="134" t="s">
        <v>765</v>
      </c>
      <c r="B2125" s="134">
        <v>251</v>
      </c>
      <c r="C2125" s="491">
        <v>0</v>
      </c>
      <c r="D2125" s="491">
        <v>1</v>
      </c>
      <c r="E2125" s="491">
        <v>0</v>
      </c>
      <c r="F2125" s="491">
        <v>0</v>
      </c>
      <c r="G2125" s="491">
        <f t="shared" si="33"/>
        <v>1</v>
      </c>
    </row>
    <row r="2126" spans="1:7" ht="12.75">
      <c r="A2126" s="134" t="s">
        <v>765</v>
      </c>
      <c r="B2126" s="134">
        <v>257</v>
      </c>
      <c r="C2126" s="491">
        <v>0</v>
      </c>
      <c r="D2126" s="491">
        <v>1</v>
      </c>
      <c r="E2126" s="491">
        <v>0</v>
      </c>
      <c r="F2126" s="491">
        <v>0</v>
      </c>
      <c r="G2126" s="491">
        <f t="shared" si="33"/>
        <v>1</v>
      </c>
    </row>
    <row r="2127" spans="1:7" ht="12.75">
      <c r="A2127" s="134" t="s">
        <v>765</v>
      </c>
      <c r="B2127" s="134">
        <v>650</v>
      </c>
      <c r="C2127" s="491">
        <v>0</v>
      </c>
      <c r="D2127" s="491">
        <v>1</v>
      </c>
      <c r="E2127" s="491">
        <v>0</v>
      </c>
      <c r="F2127" s="491">
        <v>0</v>
      </c>
      <c r="G2127" s="491">
        <f t="shared" si="33"/>
        <v>1</v>
      </c>
    </row>
    <row r="2128" spans="1:7" ht="12.75">
      <c r="A2128" s="134" t="s">
        <v>766</v>
      </c>
      <c r="B2128" s="134">
        <v>100</v>
      </c>
      <c r="C2128" s="491">
        <v>5</v>
      </c>
      <c r="D2128" s="491">
        <v>37</v>
      </c>
      <c r="E2128" s="491">
        <v>0</v>
      </c>
      <c r="F2128" s="491">
        <v>1</v>
      </c>
      <c r="G2128" s="491">
        <f t="shared" si="33"/>
        <v>43</v>
      </c>
    </row>
    <row r="2129" spans="1:7" ht="12.75">
      <c r="A2129" s="134" t="s">
        <v>766</v>
      </c>
      <c r="B2129" s="134">
        <v>101</v>
      </c>
      <c r="C2129" s="491">
        <v>0</v>
      </c>
      <c r="D2129" s="491">
        <v>2</v>
      </c>
      <c r="E2129" s="491">
        <v>0</v>
      </c>
      <c r="F2129" s="491">
        <v>0</v>
      </c>
      <c r="G2129" s="491">
        <f t="shared" si="33"/>
        <v>2</v>
      </c>
    </row>
    <row r="2130" spans="1:7" ht="12.75">
      <c r="A2130" s="134" t="s">
        <v>766</v>
      </c>
      <c r="B2130" s="134">
        <v>103</v>
      </c>
      <c r="C2130" s="491">
        <v>2</v>
      </c>
      <c r="D2130" s="491">
        <v>18</v>
      </c>
      <c r="E2130" s="491">
        <v>0</v>
      </c>
      <c r="F2130" s="491">
        <v>0</v>
      </c>
      <c r="G2130" s="491">
        <f t="shared" si="33"/>
        <v>20</v>
      </c>
    </row>
    <row r="2131" spans="1:7" ht="12.75">
      <c r="A2131" s="134" t="s">
        <v>766</v>
      </c>
      <c r="B2131" s="134">
        <v>104</v>
      </c>
      <c r="C2131" s="491">
        <v>0</v>
      </c>
      <c r="D2131" s="491">
        <v>4</v>
      </c>
      <c r="E2131" s="491">
        <v>0</v>
      </c>
      <c r="F2131" s="491">
        <v>0</v>
      </c>
      <c r="G2131" s="491">
        <f t="shared" si="33"/>
        <v>4</v>
      </c>
    </row>
    <row r="2132" spans="1:7" ht="12.75">
      <c r="A2132" s="134" t="s">
        <v>766</v>
      </c>
      <c r="B2132" s="134">
        <v>106</v>
      </c>
      <c r="C2132" s="491">
        <v>0</v>
      </c>
      <c r="D2132" s="491">
        <v>1</v>
      </c>
      <c r="E2132" s="491">
        <v>0</v>
      </c>
      <c r="F2132" s="491">
        <v>0</v>
      </c>
      <c r="G2132" s="491">
        <f t="shared" si="33"/>
        <v>1</v>
      </c>
    </row>
    <row r="2133" spans="1:7" ht="12.75">
      <c r="A2133" s="134" t="s">
        <v>766</v>
      </c>
      <c r="B2133" s="134">
        <v>107</v>
      </c>
      <c r="C2133" s="491">
        <v>1</v>
      </c>
      <c r="D2133" s="491">
        <v>2</v>
      </c>
      <c r="E2133" s="491">
        <v>0</v>
      </c>
      <c r="F2133" s="491">
        <v>0</v>
      </c>
      <c r="G2133" s="491">
        <f t="shared" si="33"/>
        <v>3</v>
      </c>
    </row>
    <row r="2134" spans="1:7" ht="12.75">
      <c r="A2134" s="134" t="s">
        <v>766</v>
      </c>
      <c r="B2134" s="134">
        <v>110</v>
      </c>
      <c r="C2134" s="491">
        <v>4</v>
      </c>
      <c r="D2134" s="491">
        <v>3</v>
      </c>
      <c r="E2134" s="491">
        <v>1</v>
      </c>
      <c r="F2134" s="491">
        <v>0</v>
      </c>
      <c r="G2134" s="491">
        <f t="shared" si="33"/>
        <v>8</v>
      </c>
    </row>
    <row r="2135" spans="1:7" ht="12.75">
      <c r="A2135" s="134" t="s">
        <v>766</v>
      </c>
      <c r="B2135" s="134">
        <v>120</v>
      </c>
      <c r="C2135" s="491">
        <v>2564</v>
      </c>
      <c r="D2135" s="491">
        <v>1553</v>
      </c>
      <c r="E2135" s="491">
        <v>286</v>
      </c>
      <c r="F2135" s="491">
        <v>61</v>
      </c>
      <c r="G2135" s="491">
        <f t="shared" si="33"/>
        <v>4464</v>
      </c>
    </row>
    <row r="2136" spans="1:7" ht="12.75">
      <c r="A2136" s="134" t="s">
        <v>766</v>
      </c>
      <c r="B2136" s="134">
        <v>140</v>
      </c>
      <c r="C2136" s="491">
        <v>893</v>
      </c>
      <c r="D2136" s="491">
        <v>679</v>
      </c>
      <c r="E2136" s="491">
        <v>18</v>
      </c>
      <c r="F2136" s="491">
        <v>2</v>
      </c>
      <c r="G2136" s="491">
        <f t="shared" si="33"/>
        <v>1592</v>
      </c>
    </row>
    <row r="2137" spans="1:7" ht="12.75">
      <c r="A2137" s="134" t="s">
        <v>766</v>
      </c>
      <c r="B2137" s="134">
        <v>141</v>
      </c>
      <c r="C2137" s="491">
        <v>1597</v>
      </c>
      <c r="D2137" s="491">
        <v>41</v>
      </c>
      <c r="E2137" s="491">
        <v>2</v>
      </c>
      <c r="F2137" s="491">
        <v>0</v>
      </c>
      <c r="G2137" s="491">
        <f t="shared" si="33"/>
        <v>1640</v>
      </c>
    </row>
    <row r="2138" spans="1:7" ht="12.75">
      <c r="A2138" s="134" t="s">
        <v>766</v>
      </c>
      <c r="B2138" s="134">
        <v>142</v>
      </c>
      <c r="C2138" s="491">
        <v>1</v>
      </c>
      <c r="D2138" s="491">
        <v>0</v>
      </c>
      <c r="E2138" s="491">
        <v>0</v>
      </c>
      <c r="F2138" s="491">
        <v>0</v>
      </c>
      <c r="G2138" s="491">
        <f t="shared" si="33"/>
        <v>1</v>
      </c>
    </row>
    <row r="2139" spans="1:7" ht="12.75">
      <c r="A2139" s="134" t="s">
        <v>766</v>
      </c>
      <c r="B2139" s="134">
        <v>143</v>
      </c>
      <c r="C2139" s="491">
        <v>58</v>
      </c>
      <c r="D2139" s="491">
        <v>4</v>
      </c>
      <c r="E2139" s="491">
        <v>2</v>
      </c>
      <c r="F2139" s="491">
        <v>0</v>
      </c>
      <c r="G2139" s="491">
        <f t="shared" si="33"/>
        <v>64</v>
      </c>
    </row>
    <row r="2140" spans="1:7" ht="12.75">
      <c r="A2140" s="134" t="s">
        <v>766</v>
      </c>
      <c r="B2140" s="134">
        <v>144</v>
      </c>
      <c r="C2140" s="491">
        <v>968</v>
      </c>
      <c r="D2140" s="491">
        <v>130</v>
      </c>
      <c r="E2140" s="491">
        <v>29</v>
      </c>
      <c r="F2140" s="491">
        <v>1</v>
      </c>
      <c r="G2140" s="491">
        <f t="shared" si="33"/>
        <v>1128</v>
      </c>
    </row>
    <row r="2141" spans="1:7" ht="12.75">
      <c r="A2141" s="134" t="s">
        <v>766</v>
      </c>
      <c r="B2141" s="134">
        <v>160</v>
      </c>
      <c r="C2141" s="491">
        <v>13</v>
      </c>
      <c r="D2141" s="491">
        <v>0</v>
      </c>
      <c r="E2141" s="491">
        <v>1</v>
      </c>
      <c r="F2141" s="491">
        <v>0</v>
      </c>
      <c r="G2141" s="491">
        <f t="shared" si="33"/>
        <v>14</v>
      </c>
    </row>
    <row r="2142" spans="1:7" ht="12.75">
      <c r="A2142" s="134" t="s">
        <v>766</v>
      </c>
      <c r="B2142" s="134">
        <v>215</v>
      </c>
      <c r="C2142" s="491">
        <v>8</v>
      </c>
      <c r="D2142" s="491">
        <v>1</v>
      </c>
      <c r="E2142" s="491">
        <v>0</v>
      </c>
      <c r="F2142" s="491">
        <v>0</v>
      </c>
      <c r="G2142" s="491">
        <f t="shared" si="33"/>
        <v>9</v>
      </c>
    </row>
    <row r="2143" spans="1:7" ht="12.75">
      <c r="A2143" s="134" t="s">
        <v>766</v>
      </c>
      <c r="B2143" s="134">
        <v>217</v>
      </c>
      <c r="C2143" s="491">
        <v>2</v>
      </c>
      <c r="D2143" s="491">
        <v>3</v>
      </c>
      <c r="E2143" s="491">
        <v>0</v>
      </c>
      <c r="F2143" s="491">
        <v>0</v>
      </c>
      <c r="G2143" s="491">
        <f t="shared" si="33"/>
        <v>5</v>
      </c>
    </row>
    <row r="2144" spans="1:7" ht="12.75">
      <c r="A2144" s="134" t="s">
        <v>766</v>
      </c>
      <c r="B2144" s="134">
        <v>219</v>
      </c>
      <c r="C2144" s="491">
        <v>1</v>
      </c>
      <c r="D2144" s="491">
        <v>0</v>
      </c>
      <c r="E2144" s="491">
        <v>2</v>
      </c>
      <c r="F2144" s="491">
        <v>3</v>
      </c>
      <c r="G2144" s="491">
        <f t="shared" si="33"/>
        <v>6</v>
      </c>
    </row>
    <row r="2145" spans="1:7" ht="12.75">
      <c r="A2145" s="134" t="s">
        <v>766</v>
      </c>
      <c r="B2145" s="134">
        <v>300</v>
      </c>
      <c r="C2145" s="491">
        <v>0</v>
      </c>
      <c r="D2145" s="491">
        <v>3</v>
      </c>
      <c r="E2145" s="491">
        <v>0</v>
      </c>
      <c r="F2145" s="491">
        <v>0</v>
      </c>
      <c r="G2145" s="491">
        <f t="shared" si="33"/>
        <v>3</v>
      </c>
    </row>
    <row r="2146" spans="1:7" ht="12.75">
      <c r="A2146" s="134" t="s">
        <v>766</v>
      </c>
      <c r="B2146" s="134">
        <v>301</v>
      </c>
      <c r="C2146" s="491">
        <v>0</v>
      </c>
      <c r="D2146" s="491">
        <v>1</v>
      </c>
      <c r="E2146" s="491">
        <v>0</v>
      </c>
      <c r="F2146" s="491">
        <v>0</v>
      </c>
      <c r="G2146" s="491">
        <f t="shared" si="33"/>
        <v>1</v>
      </c>
    </row>
    <row r="2147" spans="1:7" ht="12.75">
      <c r="A2147" s="134" t="s">
        <v>766</v>
      </c>
      <c r="B2147" s="134">
        <v>303</v>
      </c>
      <c r="C2147" s="491">
        <v>0</v>
      </c>
      <c r="D2147" s="491">
        <v>1</v>
      </c>
      <c r="E2147" s="491">
        <v>0</v>
      </c>
      <c r="F2147" s="491">
        <v>0</v>
      </c>
      <c r="G2147" s="491">
        <f t="shared" si="33"/>
        <v>1</v>
      </c>
    </row>
    <row r="2148" spans="1:7" ht="12.75">
      <c r="A2148" s="134" t="s">
        <v>766</v>
      </c>
      <c r="B2148" s="134">
        <v>307</v>
      </c>
      <c r="C2148" s="491">
        <v>1</v>
      </c>
      <c r="D2148" s="491">
        <v>2</v>
      </c>
      <c r="E2148" s="491">
        <v>0</v>
      </c>
      <c r="F2148" s="491">
        <v>0</v>
      </c>
      <c r="G2148" s="491">
        <f t="shared" si="33"/>
        <v>3</v>
      </c>
    </row>
    <row r="2149" spans="1:7" ht="12.75">
      <c r="A2149" s="134" t="s">
        <v>766</v>
      </c>
      <c r="B2149" s="134">
        <v>310</v>
      </c>
      <c r="C2149" s="491">
        <v>2</v>
      </c>
      <c r="D2149" s="491">
        <v>6</v>
      </c>
      <c r="E2149" s="491">
        <v>0</v>
      </c>
      <c r="F2149" s="491">
        <v>0</v>
      </c>
      <c r="G2149" s="491">
        <f t="shared" si="33"/>
        <v>8</v>
      </c>
    </row>
    <row r="2150" spans="1:7" ht="12.75">
      <c r="A2150" s="134" t="s">
        <v>766</v>
      </c>
      <c r="B2150" s="134">
        <v>314</v>
      </c>
      <c r="C2150" s="491">
        <v>21</v>
      </c>
      <c r="D2150" s="491">
        <v>2</v>
      </c>
      <c r="E2150" s="491">
        <v>0</v>
      </c>
      <c r="F2150" s="491">
        <v>0</v>
      </c>
      <c r="G2150" s="491">
        <f t="shared" si="33"/>
        <v>23</v>
      </c>
    </row>
    <row r="2151" spans="1:7" ht="12.75">
      <c r="A2151" s="134" t="s">
        <v>766</v>
      </c>
      <c r="B2151" s="134">
        <v>320</v>
      </c>
      <c r="C2151" s="491">
        <v>0</v>
      </c>
      <c r="D2151" s="491">
        <v>2</v>
      </c>
      <c r="E2151" s="491">
        <v>0</v>
      </c>
      <c r="F2151" s="491">
        <v>0</v>
      </c>
      <c r="G2151" s="491">
        <f t="shared" si="33"/>
        <v>2</v>
      </c>
    </row>
    <row r="2152" spans="1:7" ht="12.75">
      <c r="A2152" s="134" t="s">
        <v>766</v>
      </c>
      <c r="B2152" s="134">
        <v>330</v>
      </c>
      <c r="C2152" s="491">
        <v>6</v>
      </c>
      <c r="D2152" s="491">
        <v>9</v>
      </c>
      <c r="E2152" s="491">
        <v>0</v>
      </c>
      <c r="F2152" s="491">
        <v>0</v>
      </c>
      <c r="G2152" s="491">
        <f t="shared" si="33"/>
        <v>15</v>
      </c>
    </row>
    <row r="2153" spans="1:7" ht="12.75">
      <c r="A2153" s="134" t="s">
        <v>766</v>
      </c>
      <c r="B2153" s="134">
        <v>340</v>
      </c>
      <c r="C2153" s="491">
        <v>1</v>
      </c>
      <c r="D2153" s="491">
        <v>3</v>
      </c>
      <c r="E2153" s="491">
        <v>0</v>
      </c>
      <c r="F2153" s="491">
        <v>0</v>
      </c>
      <c r="G2153" s="491">
        <f t="shared" si="33"/>
        <v>4</v>
      </c>
    </row>
    <row r="2154" spans="1:7" ht="12.75">
      <c r="A2154" s="134" t="s">
        <v>766</v>
      </c>
      <c r="B2154" s="134">
        <v>350</v>
      </c>
      <c r="C2154" s="491">
        <v>0</v>
      </c>
      <c r="D2154" s="491">
        <v>1</v>
      </c>
      <c r="E2154" s="491">
        <v>0</v>
      </c>
      <c r="F2154" s="491">
        <v>0</v>
      </c>
      <c r="G2154" s="491">
        <f t="shared" si="33"/>
        <v>1</v>
      </c>
    </row>
    <row r="2155" spans="1:7" ht="12.75">
      <c r="A2155" s="134" t="s">
        <v>766</v>
      </c>
      <c r="B2155" s="134">
        <v>370</v>
      </c>
      <c r="C2155" s="491">
        <v>24</v>
      </c>
      <c r="D2155" s="491">
        <v>1</v>
      </c>
      <c r="E2155" s="491">
        <v>5</v>
      </c>
      <c r="F2155" s="491">
        <v>1</v>
      </c>
      <c r="G2155" s="491">
        <f t="shared" si="33"/>
        <v>31</v>
      </c>
    </row>
    <row r="2156" spans="1:7" ht="12.75">
      <c r="A2156" s="134" t="s">
        <v>766</v>
      </c>
      <c r="B2156" s="134">
        <v>400</v>
      </c>
      <c r="C2156" s="491">
        <v>20</v>
      </c>
      <c r="D2156" s="491">
        <v>4</v>
      </c>
      <c r="E2156" s="491">
        <v>0</v>
      </c>
      <c r="F2156" s="491">
        <v>0</v>
      </c>
      <c r="G2156" s="491">
        <f t="shared" si="33"/>
        <v>24</v>
      </c>
    </row>
    <row r="2157" spans="1:7" ht="12.75">
      <c r="A2157" s="134" t="s">
        <v>766</v>
      </c>
      <c r="B2157" s="134">
        <v>401</v>
      </c>
      <c r="C2157" s="491">
        <v>0</v>
      </c>
      <c r="D2157" s="491">
        <v>1</v>
      </c>
      <c r="E2157" s="491">
        <v>0</v>
      </c>
      <c r="F2157" s="491">
        <v>0</v>
      </c>
      <c r="G2157" s="491">
        <f t="shared" si="33"/>
        <v>1</v>
      </c>
    </row>
    <row r="2158" spans="1:7" ht="12.75">
      <c r="A2158" s="134" t="s">
        <v>766</v>
      </c>
      <c r="B2158" s="134">
        <v>410</v>
      </c>
      <c r="C2158" s="491">
        <v>3</v>
      </c>
      <c r="D2158" s="491">
        <v>3</v>
      </c>
      <c r="E2158" s="491">
        <v>0</v>
      </c>
      <c r="F2158" s="491">
        <v>0</v>
      </c>
      <c r="G2158" s="491">
        <f t="shared" si="33"/>
        <v>6</v>
      </c>
    </row>
    <row r="2159" spans="1:7" ht="12.75">
      <c r="A2159" s="134" t="s">
        <v>766</v>
      </c>
      <c r="B2159" s="134">
        <v>450</v>
      </c>
      <c r="C2159" s="491">
        <v>114</v>
      </c>
      <c r="D2159" s="491">
        <v>90</v>
      </c>
      <c r="E2159" s="491">
        <v>0</v>
      </c>
      <c r="F2159" s="491">
        <v>9</v>
      </c>
      <c r="G2159" s="491">
        <f t="shared" si="33"/>
        <v>213</v>
      </c>
    </row>
    <row r="2160" spans="1:7" ht="12.75">
      <c r="A2160" s="134" t="s">
        <v>766</v>
      </c>
      <c r="B2160" s="134">
        <v>501</v>
      </c>
      <c r="C2160" s="491">
        <v>1</v>
      </c>
      <c r="D2160" s="491">
        <v>2</v>
      </c>
      <c r="E2160" s="491">
        <v>0</v>
      </c>
      <c r="F2160" s="491">
        <v>0</v>
      </c>
      <c r="G2160" s="491">
        <f t="shared" si="33"/>
        <v>3</v>
      </c>
    </row>
    <row r="2161" spans="1:7" ht="12.75">
      <c r="A2161" s="134" t="s">
        <v>766</v>
      </c>
      <c r="B2161" s="134">
        <v>502</v>
      </c>
      <c r="C2161" s="491">
        <v>3</v>
      </c>
      <c r="D2161" s="491">
        <v>7</v>
      </c>
      <c r="E2161" s="491">
        <v>0</v>
      </c>
      <c r="F2161" s="491">
        <v>0</v>
      </c>
      <c r="G2161" s="491">
        <f t="shared" si="33"/>
        <v>10</v>
      </c>
    </row>
    <row r="2162" spans="1:7" ht="12.75">
      <c r="A2162" s="134" t="s">
        <v>766</v>
      </c>
      <c r="B2162" s="134">
        <v>560</v>
      </c>
      <c r="C2162" s="491">
        <v>0</v>
      </c>
      <c r="D2162" s="491">
        <v>3</v>
      </c>
      <c r="E2162" s="491">
        <v>0</v>
      </c>
      <c r="F2162" s="491">
        <v>0</v>
      </c>
      <c r="G2162" s="491">
        <f t="shared" si="33"/>
        <v>3</v>
      </c>
    </row>
    <row r="2163" spans="1:7" ht="12.75">
      <c r="A2163" s="134" t="s">
        <v>766</v>
      </c>
      <c r="B2163" s="134">
        <v>650</v>
      </c>
      <c r="C2163" s="491">
        <v>0</v>
      </c>
      <c r="D2163" s="491">
        <v>2</v>
      </c>
      <c r="E2163" s="491">
        <v>0</v>
      </c>
      <c r="F2163" s="491">
        <v>0</v>
      </c>
      <c r="G2163" s="491">
        <f t="shared" si="33"/>
        <v>2</v>
      </c>
    </row>
    <row r="2164" spans="1:7" ht="12.75">
      <c r="A2164" s="134" t="s">
        <v>766</v>
      </c>
      <c r="B2164" s="134">
        <v>652</v>
      </c>
      <c r="C2164" s="491">
        <v>248</v>
      </c>
      <c r="D2164" s="491">
        <v>4</v>
      </c>
      <c r="E2164" s="491">
        <v>42</v>
      </c>
      <c r="F2164" s="491">
        <v>2</v>
      </c>
      <c r="G2164" s="491">
        <f t="shared" si="33"/>
        <v>296</v>
      </c>
    </row>
    <row r="2165" spans="1:7" ht="12.75">
      <c r="A2165" s="134" t="s">
        <v>766</v>
      </c>
      <c r="B2165" s="134">
        <v>653</v>
      </c>
      <c r="C2165" s="491">
        <v>0</v>
      </c>
      <c r="D2165" s="491">
        <v>1</v>
      </c>
      <c r="E2165" s="491">
        <v>0</v>
      </c>
      <c r="F2165" s="491">
        <v>0</v>
      </c>
      <c r="G2165" s="491">
        <f t="shared" si="33"/>
        <v>1</v>
      </c>
    </row>
    <row r="2166" spans="1:7" ht="12.75">
      <c r="A2166" s="134" t="s">
        <v>766</v>
      </c>
      <c r="B2166" s="134">
        <v>800</v>
      </c>
      <c r="C2166" s="491">
        <v>9</v>
      </c>
      <c r="D2166" s="491">
        <v>0</v>
      </c>
      <c r="E2166" s="491">
        <v>9</v>
      </c>
      <c r="F2166" s="491">
        <v>1</v>
      </c>
      <c r="G2166" s="491">
        <f t="shared" si="33"/>
        <v>19</v>
      </c>
    </row>
    <row r="2167" spans="1:7" ht="12.75">
      <c r="A2167" s="134" t="s">
        <v>766</v>
      </c>
      <c r="B2167" s="134">
        <v>811</v>
      </c>
      <c r="C2167" s="491">
        <v>30</v>
      </c>
      <c r="D2167" s="491">
        <v>34</v>
      </c>
      <c r="E2167" s="491">
        <v>0</v>
      </c>
      <c r="F2167" s="491">
        <v>0</v>
      </c>
      <c r="G2167" s="491">
        <f t="shared" si="33"/>
        <v>64</v>
      </c>
    </row>
    <row r="2168" spans="1:7" ht="12.75">
      <c r="A2168" s="134" t="s">
        <v>766</v>
      </c>
      <c r="B2168" s="134">
        <v>812</v>
      </c>
      <c r="C2168" s="491">
        <v>107</v>
      </c>
      <c r="D2168" s="491">
        <v>29</v>
      </c>
      <c r="E2168" s="491">
        <v>0</v>
      </c>
      <c r="F2168" s="491">
        <v>0</v>
      </c>
      <c r="G2168" s="491">
        <f t="shared" si="33"/>
        <v>136</v>
      </c>
    </row>
    <row r="2169" spans="1:7" ht="12.75">
      <c r="A2169" s="134" t="s">
        <v>766</v>
      </c>
      <c r="B2169" s="134">
        <v>822</v>
      </c>
      <c r="C2169" s="491">
        <v>12</v>
      </c>
      <c r="D2169" s="491">
        <v>0</v>
      </c>
      <c r="E2169" s="491">
        <v>0</v>
      </c>
      <c r="F2169" s="491">
        <v>0</v>
      </c>
      <c r="G2169" s="491">
        <f t="shared" si="33"/>
        <v>12</v>
      </c>
    </row>
    <row r="2170" spans="1:7" ht="12.75">
      <c r="A2170" s="134" t="s">
        <v>767</v>
      </c>
      <c r="B2170" s="134">
        <v>100</v>
      </c>
      <c r="C2170" s="491">
        <v>0</v>
      </c>
      <c r="D2170" s="491">
        <v>2</v>
      </c>
      <c r="E2170" s="491">
        <v>0</v>
      </c>
      <c r="F2170" s="491">
        <v>0</v>
      </c>
      <c r="G2170" s="491">
        <f t="shared" si="33"/>
        <v>2</v>
      </c>
    </row>
    <row r="2171" spans="1:7" ht="12.75">
      <c r="A2171" s="134" t="s">
        <v>767</v>
      </c>
      <c r="B2171" s="134">
        <v>120</v>
      </c>
      <c r="C2171" s="491">
        <v>26</v>
      </c>
      <c r="D2171" s="491">
        <v>81</v>
      </c>
      <c r="E2171" s="491">
        <v>3</v>
      </c>
      <c r="F2171" s="491">
        <v>4</v>
      </c>
      <c r="G2171" s="491">
        <f t="shared" si="33"/>
        <v>114</v>
      </c>
    </row>
    <row r="2172" spans="1:7" ht="12.75">
      <c r="A2172" s="134" t="s">
        <v>767</v>
      </c>
      <c r="B2172" s="134">
        <v>130</v>
      </c>
      <c r="C2172" s="491">
        <v>0</v>
      </c>
      <c r="D2172" s="491">
        <v>1</v>
      </c>
      <c r="E2172" s="491">
        <v>0</v>
      </c>
      <c r="F2172" s="491">
        <v>0</v>
      </c>
      <c r="G2172" s="491">
        <f t="shared" si="33"/>
        <v>1</v>
      </c>
    </row>
    <row r="2173" spans="1:7" ht="12.75">
      <c r="A2173" s="134" t="s">
        <v>767</v>
      </c>
      <c r="B2173" s="134">
        <v>140</v>
      </c>
      <c r="C2173" s="491">
        <v>206</v>
      </c>
      <c r="D2173" s="491">
        <v>44</v>
      </c>
      <c r="E2173" s="491">
        <v>6</v>
      </c>
      <c r="F2173" s="491">
        <v>0</v>
      </c>
      <c r="G2173" s="491">
        <f t="shared" si="33"/>
        <v>256</v>
      </c>
    </row>
    <row r="2174" spans="1:7" ht="12.75">
      <c r="A2174" s="134" t="s">
        <v>767</v>
      </c>
      <c r="B2174" s="134">
        <v>141</v>
      </c>
      <c r="C2174" s="491">
        <v>29</v>
      </c>
      <c r="D2174" s="491">
        <v>2</v>
      </c>
      <c r="E2174" s="491">
        <v>0</v>
      </c>
      <c r="F2174" s="491">
        <v>0</v>
      </c>
      <c r="G2174" s="491">
        <f t="shared" si="33"/>
        <v>31</v>
      </c>
    </row>
    <row r="2175" spans="1:7" ht="12.75">
      <c r="A2175" s="134" t="s">
        <v>767</v>
      </c>
      <c r="B2175" s="134">
        <v>142</v>
      </c>
      <c r="C2175" s="491">
        <v>15</v>
      </c>
      <c r="D2175" s="491">
        <v>6</v>
      </c>
      <c r="E2175" s="491">
        <v>0</v>
      </c>
      <c r="F2175" s="491">
        <v>0</v>
      </c>
      <c r="G2175" s="491">
        <f t="shared" si="33"/>
        <v>21</v>
      </c>
    </row>
    <row r="2176" spans="1:7" ht="12.75">
      <c r="A2176" s="134" t="s">
        <v>767</v>
      </c>
      <c r="B2176" s="134">
        <v>143</v>
      </c>
      <c r="C2176" s="491">
        <v>118</v>
      </c>
      <c r="D2176" s="491">
        <v>12</v>
      </c>
      <c r="E2176" s="491">
        <v>1</v>
      </c>
      <c r="F2176" s="491">
        <v>0</v>
      </c>
      <c r="G2176" s="491">
        <f t="shared" si="33"/>
        <v>131</v>
      </c>
    </row>
    <row r="2177" spans="1:7" ht="12.75">
      <c r="A2177" s="134" t="s">
        <v>767</v>
      </c>
      <c r="B2177" s="134">
        <v>144</v>
      </c>
      <c r="C2177" s="491">
        <v>159</v>
      </c>
      <c r="D2177" s="491">
        <v>24</v>
      </c>
      <c r="E2177" s="491">
        <v>8</v>
      </c>
      <c r="F2177" s="491">
        <v>0</v>
      </c>
      <c r="G2177" s="491">
        <f t="shared" si="33"/>
        <v>191</v>
      </c>
    </row>
    <row r="2178" spans="1:7" ht="12.75">
      <c r="A2178" s="134" t="s">
        <v>767</v>
      </c>
      <c r="B2178" s="134">
        <v>215</v>
      </c>
      <c r="C2178" s="491">
        <v>6</v>
      </c>
      <c r="D2178" s="491">
        <v>6</v>
      </c>
      <c r="E2178" s="491">
        <v>0</v>
      </c>
      <c r="F2178" s="491">
        <v>0</v>
      </c>
      <c r="G2178" s="491">
        <f t="shared" si="33"/>
        <v>12</v>
      </c>
    </row>
    <row r="2179" spans="1:7" ht="12.75">
      <c r="A2179" s="134" t="s">
        <v>767</v>
      </c>
      <c r="B2179" s="134">
        <v>217</v>
      </c>
      <c r="C2179" s="491">
        <v>11</v>
      </c>
      <c r="D2179" s="491">
        <v>2</v>
      </c>
      <c r="E2179" s="491">
        <v>0</v>
      </c>
      <c r="F2179" s="491">
        <v>0</v>
      </c>
      <c r="G2179" s="491">
        <f t="shared" si="33"/>
        <v>13</v>
      </c>
    </row>
    <row r="2180" spans="1:7" ht="12.75">
      <c r="A2180" s="134" t="s">
        <v>767</v>
      </c>
      <c r="B2180" s="134">
        <v>219</v>
      </c>
      <c r="C2180" s="491">
        <v>2</v>
      </c>
      <c r="D2180" s="491">
        <v>3</v>
      </c>
      <c r="E2180" s="491">
        <v>28</v>
      </c>
      <c r="F2180" s="491">
        <v>14</v>
      </c>
      <c r="G2180" s="491">
        <f t="shared" ref="G2180:G2243" si="34">SUM(C2180:F2180)</f>
        <v>47</v>
      </c>
    </row>
    <row r="2181" spans="1:7" ht="12.75">
      <c r="A2181" s="134" t="s">
        <v>767</v>
      </c>
      <c r="B2181" s="134">
        <v>258</v>
      </c>
      <c r="C2181" s="491">
        <v>0</v>
      </c>
      <c r="D2181" s="491">
        <v>1</v>
      </c>
      <c r="E2181" s="491">
        <v>2</v>
      </c>
      <c r="F2181" s="491">
        <v>0</v>
      </c>
      <c r="G2181" s="491">
        <f t="shared" si="34"/>
        <v>3</v>
      </c>
    </row>
    <row r="2182" spans="1:7" ht="12.75">
      <c r="A2182" s="134" t="s">
        <v>767</v>
      </c>
      <c r="B2182" s="134">
        <v>310</v>
      </c>
      <c r="C2182" s="491">
        <v>0</v>
      </c>
      <c r="D2182" s="491">
        <v>1</v>
      </c>
      <c r="E2182" s="491">
        <v>0</v>
      </c>
      <c r="F2182" s="491">
        <v>0</v>
      </c>
      <c r="G2182" s="491">
        <f t="shared" si="34"/>
        <v>1</v>
      </c>
    </row>
    <row r="2183" spans="1:7" ht="12.75">
      <c r="A2183" s="134" t="s">
        <v>767</v>
      </c>
      <c r="B2183" s="134">
        <v>420</v>
      </c>
      <c r="C2183" s="491">
        <v>21</v>
      </c>
      <c r="D2183" s="491">
        <v>1</v>
      </c>
      <c r="E2183" s="491">
        <v>1</v>
      </c>
      <c r="F2183" s="491">
        <v>0</v>
      </c>
      <c r="G2183" s="491">
        <f t="shared" si="34"/>
        <v>23</v>
      </c>
    </row>
    <row r="2184" spans="1:7" ht="12.75">
      <c r="A2184" s="134" t="s">
        <v>767</v>
      </c>
      <c r="B2184" s="134">
        <v>450</v>
      </c>
      <c r="C2184" s="491">
        <v>1</v>
      </c>
      <c r="D2184" s="491">
        <v>0</v>
      </c>
      <c r="E2184" s="491">
        <v>0</v>
      </c>
      <c r="F2184" s="491">
        <v>0</v>
      </c>
      <c r="G2184" s="491">
        <f t="shared" si="34"/>
        <v>1</v>
      </c>
    </row>
    <row r="2185" spans="1:7" ht="12.75">
      <c r="A2185" s="134" t="s">
        <v>767</v>
      </c>
      <c r="B2185" s="134">
        <v>811</v>
      </c>
      <c r="C2185" s="491">
        <v>0</v>
      </c>
      <c r="D2185" s="491">
        <v>1</v>
      </c>
      <c r="E2185" s="491">
        <v>0</v>
      </c>
      <c r="F2185" s="491">
        <v>0</v>
      </c>
      <c r="G2185" s="491">
        <f t="shared" si="34"/>
        <v>1</v>
      </c>
    </row>
    <row r="2186" spans="1:7" ht="12.75">
      <c r="A2186" s="134" t="s">
        <v>767</v>
      </c>
      <c r="B2186" s="134">
        <v>812</v>
      </c>
      <c r="C2186" s="491">
        <v>0</v>
      </c>
      <c r="D2186" s="491">
        <v>1</v>
      </c>
      <c r="E2186" s="491">
        <v>0</v>
      </c>
      <c r="F2186" s="491">
        <v>0</v>
      </c>
      <c r="G2186" s="491">
        <f t="shared" si="34"/>
        <v>1</v>
      </c>
    </row>
    <row r="2187" spans="1:7" ht="12.75">
      <c r="A2187" s="134" t="s">
        <v>768</v>
      </c>
      <c r="B2187" s="134">
        <v>110</v>
      </c>
      <c r="C2187" s="491">
        <v>0</v>
      </c>
      <c r="D2187" s="491">
        <v>1</v>
      </c>
      <c r="E2187" s="491">
        <v>0</v>
      </c>
      <c r="F2187" s="491">
        <v>0</v>
      </c>
      <c r="G2187" s="491">
        <f t="shared" si="34"/>
        <v>1</v>
      </c>
    </row>
    <row r="2188" spans="1:7" ht="12.75">
      <c r="A2188" s="134" t="s">
        <v>768</v>
      </c>
      <c r="B2188" s="134">
        <v>120</v>
      </c>
      <c r="C2188" s="491">
        <v>1</v>
      </c>
      <c r="D2188" s="491">
        <v>10</v>
      </c>
      <c r="E2188" s="491">
        <v>0</v>
      </c>
      <c r="F2188" s="491">
        <v>0</v>
      </c>
      <c r="G2188" s="491">
        <f t="shared" si="34"/>
        <v>11</v>
      </c>
    </row>
    <row r="2189" spans="1:7" ht="12.75">
      <c r="A2189" s="134" t="s">
        <v>768</v>
      </c>
      <c r="B2189" s="134">
        <v>140</v>
      </c>
      <c r="C2189" s="491">
        <v>18</v>
      </c>
      <c r="D2189" s="491">
        <v>314</v>
      </c>
      <c r="E2189" s="491">
        <v>0</v>
      </c>
      <c r="F2189" s="491">
        <v>0</v>
      </c>
      <c r="G2189" s="491">
        <f t="shared" si="34"/>
        <v>332</v>
      </c>
    </row>
    <row r="2190" spans="1:7" ht="12.75">
      <c r="A2190" s="134" t="s">
        <v>768</v>
      </c>
      <c r="B2190" s="134">
        <v>143</v>
      </c>
      <c r="C2190" s="491">
        <v>0</v>
      </c>
      <c r="D2190" s="491">
        <v>1</v>
      </c>
      <c r="E2190" s="491">
        <v>0</v>
      </c>
      <c r="F2190" s="491">
        <v>0</v>
      </c>
      <c r="G2190" s="491">
        <f t="shared" si="34"/>
        <v>1</v>
      </c>
    </row>
    <row r="2191" spans="1:7" ht="12.75">
      <c r="A2191" s="134" t="s">
        <v>768</v>
      </c>
      <c r="B2191" s="134">
        <v>144</v>
      </c>
      <c r="C2191" s="491">
        <v>1</v>
      </c>
      <c r="D2191" s="491">
        <v>53</v>
      </c>
      <c r="E2191" s="491">
        <v>0</v>
      </c>
      <c r="F2191" s="491">
        <v>0</v>
      </c>
      <c r="G2191" s="491">
        <f t="shared" si="34"/>
        <v>54</v>
      </c>
    </row>
    <row r="2192" spans="1:7" ht="12.75">
      <c r="A2192" s="134" t="s">
        <v>768</v>
      </c>
      <c r="B2192" s="134">
        <v>160</v>
      </c>
      <c r="C2192" s="491">
        <v>1</v>
      </c>
      <c r="D2192" s="491">
        <v>0</v>
      </c>
      <c r="E2192" s="491">
        <v>0</v>
      </c>
      <c r="F2192" s="491">
        <v>0</v>
      </c>
      <c r="G2192" s="491">
        <f t="shared" si="34"/>
        <v>1</v>
      </c>
    </row>
    <row r="2193" spans="1:7" ht="12.75">
      <c r="A2193" s="134" t="s">
        <v>768</v>
      </c>
      <c r="B2193" s="134">
        <v>171</v>
      </c>
      <c r="C2193" s="491">
        <v>0</v>
      </c>
      <c r="D2193" s="491">
        <v>1</v>
      </c>
      <c r="E2193" s="491">
        <v>0</v>
      </c>
      <c r="F2193" s="491">
        <v>0</v>
      </c>
      <c r="G2193" s="491">
        <f t="shared" si="34"/>
        <v>1</v>
      </c>
    </row>
    <row r="2194" spans="1:7" ht="12.75">
      <c r="A2194" s="134" t="s">
        <v>768</v>
      </c>
      <c r="B2194" s="134">
        <v>215</v>
      </c>
      <c r="C2194" s="491">
        <v>0</v>
      </c>
      <c r="D2194" s="491">
        <v>6</v>
      </c>
      <c r="E2194" s="491">
        <v>0</v>
      </c>
      <c r="F2194" s="491">
        <v>0</v>
      </c>
      <c r="G2194" s="491">
        <f t="shared" si="34"/>
        <v>6</v>
      </c>
    </row>
    <row r="2195" spans="1:7" ht="12.75">
      <c r="A2195" s="134" t="s">
        <v>768</v>
      </c>
      <c r="B2195" s="134">
        <v>258</v>
      </c>
      <c r="C2195" s="491">
        <v>0</v>
      </c>
      <c r="D2195" s="491">
        <v>1</v>
      </c>
      <c r="E2195" s="491">
        <v>1</v>
      </c>
      <c r="F2195" s="491">
        <v>0</v>
      </c>
      <c r="G2195" s="491">
        <f t="shared" si="34"/>
        <v>2</v>
      </c>
    </row>
    <row r="2196" spans="1:7" ht="12.75">
      <c r="A2196" s="134" t="s">
        <v>768</v>
      </c>
      <c r="B2196" s="134">
        <v>264</v>
      </c>
      <c r="C2196" s="491">
        <v>1</v>
      </c>
      <c r="D2196" s="491">
        <v>0</v>
      </c>
      <c r="E2196" s="491">
        <v>0</v>
      </c>
      <c r="F2196" s="491">
        <v>0</v>
      </c>
      <c r="G2196" s="491">
        <f t="shared" si="34"/>
        <v>1</v>
      </c>
    </row>
    <row r="2197" spans="1:7" ht="12.75">
      <c r="A2197" s="134" t="s">
        <v>768</v>
      </c>
      <c r="B2197" s="134">
        <v>420</v>
      </c>
      <c r="C2197" s="491">
        <v>0</v>
      </c>
      <c r="D2197" s="491">
        <v>17</v>
      </c>
      <c r="E2197" s="491">
        <v>0</v>
      </c>
      <c r="F2197" s="491">
        <v>0</v>
      </c>
      <c r="G2197" s="491">
        <f t="shared" si="34"/>
        <v>17</v>
      </c>
    </row>
    <row r="2198" spans="1:7" ht="12.75">
      <c r="A2198" s="134" t="s">
        <v>769</v>
      </c>
      <c r="B2198" s="134">
        <v>103</v>
      </c>
      <c r="C2198" s="491">
        <v>0</v>
      </c>
      <c r="D2198" s="491">
        <v>0</v>
      </c>
      <c r="E2198" s="491">
        <v>0</v>
      </c>
      <c r="F2198" s="491">
        <v>1</v>
      </c>
      <c r="G2198" s="491">
        <f t="shared" si="34"/>
        <v>1</v>
      </c>
    </row>
    <row r="2199" spans="1:7" ht="12.75">
      <c r="A2199" s="134" t="s">
        <v>769</v>
      </c>
      <c r="B2199" s="134">
        <v>104</v>
      </c>
      <c r="C2199" s="491">
        <v>0</v>
      </c>
      <c r="D2199" s="491">
        <v>3</v>
      </c>
      <c r="E2199" s="491">
        <v>0</v>
      </c>
      <c r="F2199" s="491">
        <v>0</v>
      </c>
      <c r="G2199" s="491">
        <f t="shared" si="34"/>
        <v>3</v>
      </c>
    </row>
    <row r="2200" spans="1:7" ht="12.75">
      <c r="A2200" s="134" t="s">
        <v>769</v>
      </c>
      <c r="B2200" s="134">
        <v>110</v>
      </c>
      <c r="C2200" s="491">
        <v>1</v>
      </c>
      <c r="D2200" s="491">
        <v>5</v>
      </c>
      <c r="E2200" s="491">
        <v>0</v>
      </c>
      <c r="F2200" s="491">
        <v>0</v>
      </c>
      <c r="G2200" s="491">
        <f t="shared" si="34"/>
        <v>6</v>
      </c>
    </row>
    <row r="2201" spans="1:7" ht="12.75">
      <c r="A2201" s="134" t="s">
        <v>769</v>
      </c>
      <c r="B2201" s="134">
        <v>120</v>
      </c>
      <c r="C2201" s="491">
        <v>2240</v>
      </c>
      <c r="D2201" s="491">
        <v>490</v>
      </c>
      <c r="E2201" s="491">
        <v>74</v>
      </c>
      <c r="F2201" s="491">
        <v>20</v>
      </c>
      <c r="G2201" s="491">
        <f t="shared" si="34"/>
        <v>2824</v>
      </c>
    </row>
    <row r="2202" spans="1:7" ht="12.75">
      <c r="A2202" s="134" t="s">
        <v>769</v>
      </c>
      <c r="B2202" s="134">
        <v>140</v>
      </c>
      <c r="C2202" s="491">
        <v>1313</v>
      </c>
      <c r="D2202" s="491">
        <v>299</v>
      </c>
      <c r="E2202" s="491">
        <v>21</v>
      </c>
      <c r="F2202" s="491">
        <v>9</v>
      </c>
      <c r="G2202" s="491">
        <f t="shared" si="34"/>
        <v>1642</v>
      </c>
    </row>
    <row r="2203" spans="1:7" ht="12.75">
      <c r="A2203" s="134" t="s">
        <v>769</v>
      </c>
      <c r="B2203" s="134">
        <v>141</v>
      </c>
      <c r="C2203" s="491">
        <v>1536</v>
      </c>
      <c r="D2203" s="491">
        <v>12</v>
      </c>
      <c r="E2203" s="491">
        <v>0</v>
      </c>
      <c r="F2203" s="491">
        <v>0</v>
      </c>
      <c r="G2203" s="491">
        <f t="shared" si="34"/>
        <v>1548</v>
      </c>
    </row>
    <row r="2204" spans="1:7" ht="12.75">
      <c r="A2204" s="134" t="s">
        <v>769</v>
      </c>
      <c r="B2204" s="134">
        <v>143</v>
      </c>
      <c r="C2204" s="491">
        <v>48</v>
      </c>
      <c r="D2204" s="491">
        <v>2</v>
      </c>
      <c r="E2204" s="491">
        <v>1</v>
      </c>
      <c r="F2204" s="491">
        <v>0</v>
      </c>
      <c r="G2204" s="491">
        <f t="shared" si="34"/>
        <v>51</v>
      </c>
    </row>
    <row r="2205" spans="1:7" ht="12.75">
      <c r="A2205" s="134" t="s">
        <v>769</v>
      </c>
      <c r="B2205" s="134">
        <v>144</v>
      </c>
      <c r="C2205" s="491">
        <v>386</v>
      </c>
      <c r="D2205" s="491">
        <v>412</v>
      </c>
      <c r="E2205" s="491">
        <v>20</v>
      </c>
      <c r="F2205" s="491">
        <v>2</v>
      </c>
      <c r="G2205" s="491">
        <f t="shared" si="34"/>
        <v>820</v>
      </c>
    </row>
    <row r="2206" spans="1:7" ht="12.75">
      <c r="A2206" s="134" t="s">
        <v>769</v>
      </c>
      <c r="B2206" s="134">
        <v>150</v>
      </c>
      <c r="C2206" s="491">
        <v>1</v>
      </c>
      <c r="D2206" s="491">
        <v>0</v>
      </c>
      <c r="E2206" s="491">
        <v>0</v>
      </c>
      <c r="F2206" s="491">
        <v>0</v>
      </c>
      <c r="G2206" s="491">
        <f t="shared" si="34"/>
        <v>1</v>
      </c>
    </row>
    <row r="2207" spans="1:7" ht="12.75">
      <c r="A2207" s="134" t="s">
        <v>769</v>
      </c>
      <c r="B2207" s="134">
        <v>160</v>
      </c>
      <c r="C2207" s="491">
        <v>1</v>
      </c>
      <c r="D2207" s="491">
        <v>14</v>
      </c>
      <c r="E2207" s="491">
        <v>1</v>
      </c>
      <c r="F2207" s="491">
        <v>1</v>
      </c>
      <c r="G2207" s="491">
        <f t="shared" si="34"/>
        <v>17</v>
      </c>
    </row>
    <row r="2208" spans="1:7" ht="12.75">
      <c r="A2208" s="134" t="s">
        <v>769</v>
      </c>
      <c r="B2208" s="134">
        <v>217</v>
      </c>
      <c r="C2208" s="491">
        <v>20</v>
      </c>
      <c r="D2208" s="491">
        <v>1</v>
      </c>
      <c r="E2208" s="491">
        <v>0</v>
      </c>
      <c r="F2208" s="491">
        <v>0</v>
      </c>
      <c r="G2208" s="491">
        <f t="shared" si="34"/>
        <v>21</v>
      </c>
    </row>
    <row r="2209" spans="1:7" ht="12.75">
      <c r="A2209" s="134" t="s">
        <v>769</v>
      </c>
      <c r="B2209" s="134">
        <v>301</v>
      </c>
      <c r="C2209" s="491">
        <v>0</v>
      </c>
      <c r="D2209" s="491">
        <v>1</v>
      </c>
      <c r="E2209" s="491">
        <v>0</v>
      </c>
      <c r="F2209" s="491">
        <v>0</v>
      </c>
      <c r="G2209" s="491">
        <f t="shared" si="34"/>
        <v>1</v>
      </c>
    </row>
    <row r="2210" spans="1:7" ht="12.75">
      <c r="A2210" s="134" t="s">
        <v>769</v>
      </c>
      <c r="B2210" s="134">
        <v>302</v>
      </c>
      <c r="C2210" s="491">
        <v>0</v>
      </c>
      <c r="D2210" s="491">
        <v>2</v>
      </c>
      <c r="E2210" s="491">
        <v>0</v>
      </c>
      <c r="F2210" s="491">
        <v>0</v>
      </c>
      <c r="G2210" s="491">
        <f t="shared" si="34"/>
        <v>2</v>
      </c>
    </row>
    <row r="2211" spans="1:7" ht="12.75">
      <c r="A2211" s="134" t="s">
        <v>769</v>
      </c>
      <c r="B2211" s="134">
        <v>303</v>
      </c>
      <c r="C2211" s="491">
        <v>18</v>
      </c>
      <c r="D2211" s="491">
        <v>3</v>
      </c>
      <c r="E2211" s="491">
        <v>0</v>
      </c>
      <c r="F2211" s="491">
        <v>0</v>
      </c>
      <c r="G2211" s="491">
        <f t="shared" si="34"/>
        <v>21</v>
      </c>
    </row>
    <row r="2212" spans="1:7" ht="12.75">
      <c r="A2212" s="134" t="s">
        <v>769</v>
      </c>
      <c r="B2212" s="134">
        <v>307</v>
      </c>
      <c r="C2212" s="491">
        <v>0</v>
      </c>
      <c r="D2212" s="491">
        <v>2</v>
      </c>
      <c r="E2212" s="491">
        <v>0</v>
      </c>
      <c r="F2212" s="491">
        <v>0</v>
      </c>
      <c r="G2212" s="491">
        <f t="shared" si="34"/>
        <v>2</v>
      </c>
    </row>
    <row r="2213" spans="1:7" ht="12.75">
      <c r="A2213" s="134" t="s">
        <v>769</v>
      </c>
      <c r="B2213" s="134">
        <v>310</v>
      </c>
      <c r="C2213" s="491">
        <v>1</v>
      </c>
      <c r="D2213" s="491">
        <v>2</v>
      </c>
      <c r="E2213" s="491">
        <v>0</v>
      </c>
      <c r="F2213" s="491">
        <v>0</v>
      </c>
      <c r="G2213" s="491">
        <f t="shared" si="34"/>
        <v>3</v>
      </c>
    </row>
    <row r="2214" spans="1:7" ht="12.75">
      <c r="A2214" s="134" t="s">
        <v>769</v>
      </c>
      <c r="B2214" s="134">
        <v>311</v>
      </c>
      <c r="C2214" s="491">
        <v>0</v>
      </c>
      <c r="D2214" s="491">
        <v>1</v>
      </c>
      <c r="E2214" s="491">
        <v>0</v>
      </c>
      <c r="F2214" s="491">
        <v>0</v>
      </c>
      <c r="G2214" s="491">
        <f t="shared" si="34"/>
        <v>1</v>
      </c>
    </row>
    <row r="2215" spans="1:7" ht="12.75">
      <c r="A2215" s="134" t="s">
        <v>769</v>
      </c>
      <c r="B2215" s="134">
        <v>320</v>
      </c>
      <c r="C2215" s="491">
        <v>0</v>
      </c>
      <c r="D2215" s="491">
        <v>4</v>
      </c>
      <c r="E2215" s="491">
        <v>0</v>
      </c>
      <c r="F2215" s="491">
        <v>0</v>
      </c>
      <c r="G2215" s="491">
        <f t="shared" si="34"/>
        <v>4</v>
      </c>
    </row>
    <row r="2216" spans="1:7" ht="12.75">
      <c r="A2216" s="134" t="s">
        <v>769</v>
      </c>
      <c r="B2216" s="134">
        <v>324</v>
      </c>
      <c r="C2216" s="491">
        <v>0</v>
      </c>
      <c r="D2216" s="491">
        <v>3</v>
      </c>
      <c r="E2216" s="491">
        <v>0</v>
      </c>
      <c r="F2216" s="491">
        <v>0</v>
      </c>
      <c r="G2216" s="491">
        <f t="shared" si="34"/>
        <v>3</v>
      </c>
    </row>
    <row r="2217" spans="1:7" ht="12.75">
      <c r="A2217" s="134" t="s">
        <v>769</v>
      </c>
      <c r="B2217" s="134">
        <v>330</v>
      </c>
      <c r="C2217" s="491">
        <v>18</v>
      </c>
      <c r="D2217" s="491">
        <v>4</v>
      </c>
      <c r="E2217" s="491">
        <v>0</v>
      </c>
      <c r="F2217" s="491">
        <v>0</v>
      </c>
      <c r="G2217" s="491">
        <f t="shared" si="34"/>
        <v>22</v>
      </c>
    </row>
    <row r="2218" spans="1:7" ht="12.75">
      <c r="A2218" s="134" t="s">
        <v>769</v>
      </c>
      <c r="B2218" s="134">
        <v>340</v>
      </c>
      <c r="C2218" s="491">
        <v>5</v>
      </c>
      <c r="D2218" s="491">
        <v>2</v>
      </c>
      <c r="E2218" s="491">
        <v>0</v>
      </c>
      <c r="F2218" s="491">
        <v>0</v>
      </c>
      <c r="G2218" s="491">
        <f t="shared" si="34"/>
        <v>7</v>
      </c>
    </row>
    <row r="2219" spans="1:7" ht="12.75">
      <c r="A2219" s="134" t="s">
        <v>769</v>
      </c>
      <c r="B2219" s="134">
        <v>370</v>
      </c>
      <c r="C2219" s="491">
        <v>3</v>
      </c>
      <c r="D2219" s="491">
        <v>0</v>
      </c>
      <c r="E2219" s="491">
        <v>0</v>
      </c>
      <c r="F2219" s="491">
        <v>0</v>
      </c>
      <c r="G2219" s="491">
        <f t="shared" si="34"/>
        <v>3</v>
      </c>
    </row>
    <row r="2220" spans="1:7" ht="12.75">
      <c r="A2220" s="134" t="s">
        <v>769</v>
      </c>
      <c r="B2220" s="134">
        <v>410</v>
      </c>
      <c r="C2220" s="491">
        <v>0</v>
      </c>
      <c r="D2220" s="491">
        <v>1</v>
      </c>
      <c r="E2220" s="491">
        <v>0</v>
      </c>
      <c r="F2220" s="491">
        <v>0</v>
      </c>
      <c r="G2220" s="491">
        <f t="shared" si="34"/>
        <v>1</v>
      </c>
    </row>
    <row r="2221" spans="1:7" ht="12.75">
      <c r="A2221" s="134" t="s">
        <v>769</v>
      </c>
      <c r="B2221" s="134">
        <v>450</v>
      </c>
      <c r="C2221" s="491">
        <v>38</v>
      </c>
      <c r="D2221" s="491">
        <v>6</v>
      </c>
      <c r="E2221" s="491">
        <v>0</v>
      </c>
      <c r="F2221" s="491">
        <v>0</v>
      </c>
      <c r="G2221" s="491">
        <f t="shared" si="34"/>
        <v>44</v>
      </c>
    </row>
    <row r="2222" spans="1:7" ht="12.75">
      <c r="A2222" s="134" t="s">
        <v>769</v>
      </c>
      <c r="B2222" s="134">
        <v>501</v>
      </c>
      <c r="C2222" s="491">
        <v>0</v>
      </c>
      <c r="D2222" s="491">
        <v>4</v>
      </c>
      <c r="E2222" s="491">
        <v>0</v>
      </c>
      <c r="F2222" s="491">
        <v>0</v>
      </c>
      <c r="G2222" s="491">
        <f t="shared" si="34"/>
        <v>4</v>
      </c>
    </row>
    <row r="2223" spans="1:7" ht="12.75">
      <c r="A2223" s="134" t="s">
        <v>769</v>
      </c>
      <c r="B2223" s="134">
        <v>502</v>
      </c>
      <c r="C2223" s="491">
        <v>0</v>
      </c>
      <c r="D2223" s="491">
        <v>3</v>
      </c>
      <c r="E2223" s="491">
        <v>0</v>
      </c>
      <c r="F2223" s="491">
        <v>0</v>
      </c>
      <c r="G2223" s="491">
        <f t="shared" si="34"/>
        <v>3</v>
      </c>
    </row>
    <row r="2224" spans="1:7" ht="12.75">
      <c r="A2224" s="134" t="s">
        <v>769</v>
      </c>
      <c r="B2224" s="134">
        <v>650</v>
      </c>
      <c r="C2224" s="491">
        <v>0</v>
      </c>
      <c r="D2224" s="491">
        <v>3</v>
      </c>
      <c r="E2224" s="491">
        <v>0</v>
      </c>
      <c r="F2224" s="491">
        <v>0</v>
      </c>
      <c r="G2224" s="491">
        <f t="shared" si="34"/>
        <v>3</v>
      </c>
    </row>
    <row r="2225" spans="1:7" ht="12.75">
      <c r="A2225" s="134" t="s">
        <v>769</v>
      </c>
      <c r="B2225" s="134">
        <v>652</v>
      </c>
      <c r="C2225" s="491">
        <v>77</v>
      </c>
      <c r="D2225" s="491">
        <v>8</v>
      </c>
      <c r="E2225" s="491">
        <v>0</v>
      </c>
      <c r="F2225" s="491">
        <v>0</v>
      </c>
      <c r="G2225" s="491">
        <f t="shared" si="34"/>
        <v>85</v>
      </c>
    </row>
    <row r="2226" spans="1:7" ht="12.75">
      <c r="A2226" s="134" t="s">
        <v>769</v>
      </c>
      <c r="B2226" s="134">
        <v>654</v>
      </c>
      <c r="C2226" s="491">
        <v>0</v>
      </c>
      <c r="D2226" s="491">
        <v>1</v>
      </c>
      <c r="E2226" s="491">
        <v>0</v>
      </c>
      <c r="F2226" s="491">
        <v>0</v>
      </c>
      <c r="G2226" s="491">
        <f t="shared" si="34"/>
        <v>1</v>
      </c>
    </row>
    <row r="2227" spans="1:7" ht="12.75">
      <c r="A2227" s="134" t="s">
        <v>769</v>
      </c>
      <c r="B2227" s="134">
        <v>800</v>
      </c>
      <c r="C2227" s="491">
        <v>10</v>
      </c>
      <c r="D2227" s="491">
        <v>0</v>
      </c>
      <c r="E2227" s="491">
        <v>5</v>
      </c>
      <c r="F2227" s="491">
        <v>0</v>
      </c>
      <c r="G2227" s="491">
        <f t="shared" si="34"/>
        <v>15</v>
      </c>
    </row>
    <row r="2228" spans="1:7" ht="12.75">
      <c r="A2228" s="134" t="s">
        <v>769</v>
      </c>
      <c r="B2228" s="134">
        <v>812</v>
      </c>
      <c r="C2228" s="491">
        <v>1</v>
      </c>
      <c r="D2228" s="491">
        <v>0</v>
      </c>
      <c r="E2228" s="491">
        <v>0</v>
      </c>
      <c r="F2228" s="491">
        <v>0</v>
      </c>
      <c r="G2228" s="491">
        <f t="shared" si="34"/>
        <v>1</v>
      </c>
    </row>
    <row r="2229" spans="1:7" ht="12.75">
      <c r="A2229" s="134" t="s">
        <v>770</v>
      </c>
      <c r="B2229" s="134">
        <v>120</v>
      </c>
      <c r="C2229" s="491">
        <v>13</v>
      </c>
      <c r="D2229" s="491">
        <v>30</v>
      </c>
      <c r="E2229" s="491">
        <v>3</v>
      </c>
      <c r="F2229" s="491">
        <v>1</v>
      </c>
      <c r="G2229" s="491">
        <f t="shared" si="34"/>
        <v>47</v>
      </c>
    </row>
    <row r="2230" spans="1:7" ht="12.75">
      <c r="A2230" s="134" t="s">
        <v>770</v>
      </c>
      <c r="B2230" s="134">
        <v>140</v>
      </c>
      <c r="C2230" s="491">
        <v>111</v>
      </c>
      <c r="D2230" s="491">
        <v>71</v>
      </c>
      <c r="E2230" s="491">
        <v>3</v>
      </c>
      <c r="F2230" s="491">
        <v>0</v>
      </c>
      <c r="G2230" s="491">
        <f t="shared" si="34"/>
        <v>185</v>
      </c>
    </row>
    <row r="2231" spans="1:7" ht="12.75">
      <c r="A2231" s="134" t="s">
        <v>770</v>
      </c>
      <c r="B2231" s="134">
        <v>141</v>
      </c>
      <c r="C2231" s="491">
        <v>74</v>
      </c>
      <c r="D2231" s="491">
        <v>2</v>
      </c>
      <c r="E2231" s="491">
        <v>0</v>
      </c>
      <c r="F2231" s="491">
        <v>0</v>
      </c>
      <c r="G2231" s="491">
        <f t="shared" si="34"/>
        <v>76</v>
      </c>
    </row>
    <row r="2232" spans="1:7" ht="12.75">
      <c r="A2232" s="134" t="s">
        <v>770</v>
      </c>
      <c r="B2232" s="134">
        <v>142</v>
      </c>
      <c r="C2232" s="491">
        <v>29</v>
      </c>
      <c r="D2232" s="491">
        <v>4</v>
      </c>
      <c r="E2232" s="491">
        <v>0</v>
      </c>
      <c r="F2232" s="491">
        <v>1</v>
      </c>
      <c r="G2232" s="491">
        <f t="shared" si="34"/>
        <v>34</v>
      </c>
    </row>
    <row r="2233" spans="1:7" ht="12.75">
      <c r="A2233" s="134" t="s">
        <v>770</v>
      </c>
      <c r="B2233" s="134">
        <v>143</v>
      </c>
      <c r="C2233" s="491">
        <v>306</v>
      </c>
      <c r="D2233" s="491">
        <v>6</v>
      </c>
      <c r="E2233" s="491">
        <v>5</v>
      </c>
      <c r="F2233" s="491">
        <v>0</v>
      </c>
      <c r="G2233" s="491">
        <f t="shared" si="34"/>
        <v>317</v>
      </c>
    </row>
    <row r="2234" spans="1:7" ht="12.75">
      <c r="A2234" s="134" t="s">
        <v>770</v>
      </c>
      <c r="B2234" s="134">
        <v>144</v>
      </c>
      <c r="C2234" s="491">
        <v>48</v>
      </c>
      <c r="D2234" s="491">
        <v>87</v>
      </c>
      <c r="E2234" s="491">
        <v>3</v>
      </c>
      <c r="F2234" s="491">
        <v>0</v>
      </c>
      <c r="G2234" s="491">
        <f t="shared" si="34"/>
        <v>138</v>
      </c>
    </row>
    <row r="2235" spans="1:7" ht="12.75">
      <c r="A2235" s="134" t="s">
        <v>770</v>
      </c>
      <c r="B2235" s="134">
        <v>160</v>
      </c>
      <c r="C2235" s="491">
        <v>1</v>
      </c>
      <c r="D2235" s="491">
        <v>1</v>
      </c>
      <c r="E2235" s="491">
        <v>0</v>
      </c>
      <c r="F2235" s="491">
        <v>0</v>
      </c>
      <c r="G2235" s="491">
        <f t="shared" si="34"/>
        <v>2</v>
      </c>
    </row>
    <row r="2236" spans="1:7" ht="12.75">
      <c r="A2236" s="134" t="s">
        <v>770</v>
      </c>
      <c r="B2236" s="134">
        <v>215</v>
      </c>
      <c r="C2236" s="491">
        <v>7</v>
      </c>
      <c r="D2236" s="491">
        <v>2</v>
      </c>
      <c r="E2236" s="491">
        <v>0</v>
      </c>
      <c r="F2236" s="491">
        <v>0</v>
      </c>
      <c r="G2236" s="491">
        <f t="shared" si="34"/>
        <v>9</v>
      </c>
    </row>
    <row r="2237" spans="1:7" ht="12.75">
      <c r="A2237" s="134" t="s">
        <v>770</v>
      </c>
      <c r="B2237" s="134">
        <v>217</v>
      </c>
      <c r="C2237" s="491">
        <v>38</v>
      </c>
      <c r="D2237" s="491">
        <v>3</v>
      </c>
      <c r="E2237" s="491">
        <v>0</v>
      </c>
      <c r="F2237" s="491">
        <v>0</v>
      </c>
      <c r="G2237" s="491">
        <f t="shared" si="34"/>
        <v>41</v>
      </c>
    </row>
    <row r="2238" spans="1:7" ht="12.75">
      <c r="A2238" s="134" t="s">
        <v>770</v>
      </c>
      <c r="B2238" s="134">
        <v>242</v>
      </c>
      <c r="C2238" s="491">
        <v>2</v>
      </c>
      <c r="D2238" s="491">
        <v>0</v>
      </c>
      <c r="E2238" s="491">
        <v>0</v>
      </c>
      <c r="F2238" s="491">
        <v>0</v>
      </c>
      <c r="G2238" s="491">
        <f t="shared" si="34"/>
        <v>2</v>
      </c>
    </row>
    <row r="2239" spans="1:7" ht="12.75">
      <c r="A2239" s="134" t="s">
        <v>770</v>
      </c>
      <c r="B2239" s="134">
        <v>258</v>
      </c>
      <c r="C2239" s="491">
        <v>0</v>
      </c>
      <c r="D2239" s="491">
        <v>0</v>
      </c>
      <c r="E2239" s="491">
        <v>1</v>
      </c>
      <c r="F2239" s="491">
        <v>0</v>
      </c>
      <c r="G2239" s="491">
        <f t="shared" si="34"/>
        <v>1</v>
      </c>
    </row>
    <row r="2240" spans="1:7" ht="12.75">
      <c r="A2240" s="134" t="s">
        <v>770</v>
      </c>
      <c r="B2240" s="134">
        <v>420</v>
      </c>
      <c r="C2240" s="491">
        <v>22</v>
      </c>
      <c r="D2240" s="491">
        <v>0</v>
      </c>
      <c r="E2240" s="491">
        <v>1</v>
      </c>
      <c r="F2240" s="491">
        <v>1</v>
      </c>
      <c r="G2240" s="491">
        <f t="shared" si="34"/>
        <v>24</v>
      </c>
    </row>
    <row r="2241" spans="1:7" ht="12.75">
      <c r="A2241" s="134" t="s">
        <v>770</v>
      </c>
      <c r="B2241" s="134">
        <v>650</v>
      </c>
      <c r="C2241" s="491">
        <v>0</v>
      </c>
      <c r="D2241" s="491">
        <v>1</v>
      </c>
      <c r="E2241" s="491">
        <v>0</v>
      </c>
      <c r="F2241" s="491">
        <v>0</v>
      </c>
      <c r="G2241" s="491">
        <f t="shared" si="34"/>
        <v>1</v>
      </c>
    </row>
    <row r="2242" spans="1:7" ht="12.75">
      <c r="A2242" s="134" t="s">
        <v>771</v>
      </c>
      <c r="B2242" s="134">
        <v>120</v>
      </c>
      <c r="C2242" s="491">
        <v>0</v>
      </c>
      <c r="D2242" s="491">
        <v>3</v>
      </c>
      <c r="E2242" s="491">
        <v>0</v>
      </c>
      <c r="F2242" s="491">
        <v>0</v>
      </c>
      <c r="G2242" s="491">
        <f t="shared" si="34"/>
        <v>3</v>
      </c>
    </row>
    <row r="2243" spans="1:7" ht="12.75">
      <c r="A2243" s="134" t="s">
        <v>771</v>
      </c>
      <c r="B2243" s="134">
        <v>140</v>
      </c>
      <c r="C2243" s="491">
        <v>1</v>
      </c>
      <c r="D2243" s="491">
        <v>2</v>
      </c>
      <c r="E2243" s="491">
        <v>0</v>
      </c>
      <c r="F2243" s="491">
        <v>0</v>
      </c>
      <c r="G2243" s="491">
        <f t="shared" si="34"/>
        <v>3</v>
      </c>
    </row>
    <row r="2244" spans="1:7" ht="12.75">
      <c r="A2244" s="134" t="s">
        <v>771</v>
      </c>
      <c r="B2244" s="134">
        <v>144</v>
      </c>
      <c r="C2244" s="491">
        <v>0</v>
      </c>
      <c r="D2244" s="491">
        <v>2</v>
      </c>
      <c r="E2244" s="491">
        <v>0</v>
      </c>
      <c r="F2244" s="491">
        <v>0</v>
      </c>
      <c r="G2244" s="491">
        <f t="shared" ref="G2244:G2307" si="35">SUM(C2244:F2244)</f>
        <v>2</v>
      </c>
    </row>
    <row r="2245" spans="1:7" ht="12.75">
      <c r="A2245" s="134" t="s">
        <v>771</v>
      </c>
      <c r="B2245" s="134">
        <v>211</v>
      </c>
      <c r="C2245" s="491">
        <v>0</v>
      </c>
      <c r="D2245" s="491">
        <v>1</v>
      </c>
      <c r="E2245" s="491">
        <v>0</v>
      </c>
      <c r="F2245" s="491">
        <v>0</v>
      </c>
      <c r="G2245" s="491">
        <f t="shared" si="35"/>
        <v>1</v>
      </c>
    </row>
    <row r="2246" spans="1:7" ht="12.75">
      <c r="A2246" s="134" t="s">
        <v>771</v>
      </c>
      <c r="B2246" s="134">
        <v>258</v>
      </c>
      <c r="C2246" s="491">
        <v>0</v>
      </c>
      <c r="D2246" s="491">
        <v>0</v>
      </c>
      <c r="E2246" s="491">
        <v>1</v>
      </c>
      <c r="F2246" s="491">
        <v>0</v>
      </c>
      <c r="G2246" s="491">
        <f t="shared" si="35"/>
        <v>1</v>
      </c>
    </row>
    <row r="2247" spans="1:7" ht="12.75">
      <c r="A2247" s="134" t="s">
        <v>771</v>
      </c>
      <c r="B2247" s="134">
        <v>420</v>
      </c>
      <c r="C2247" s="491">
        <v>2</v>
      </c>
      <c r="D2247" s="491">
        <v>1</v>
      </c>
      <c r="E2247" s="491">
        <v>0</v>
      </c>
      <c r="F2247" s="491">
        <v>0</v>
      </c>
      <c r="G2247" s="491">
        <f t="shared" si="35"/>
        <v>3</v>
      </c>
    </row>
    <row r="2248" spans="1:7" ht="12.75">
      <c r="A2248" s="134" t="s">
        <v>772</v>
      </c>
      <c r="B2248" s="134">
        <v>140</v>
      </c>
      <c r="C2248" s="491">
        <v>9</v>
      </c>
      <c r="D2248" s="491">
        <v>2</v>
      </c>
      <c r="E2248" s="491">
        <v>0</v>
      </c>
      <c r="F2248" s="491">
        <v>0</v>
      </c>
      <c r="G2248" s="491">
        <f t="shared" si="35"/>
        <v>11</v>
      </c>
    </row>
    <row r="2249" spans="1:7" ht="12.75">
      <c r="A2249" s="134" t="s">
        <v>772</v>
      </c>
      <c r="B2249" s="134">
        <v>144</v>
      </c>
      <c r="C2249" s="491">
        <v>1</v>
      </c>
      <c r="D2249" s="491">
        <v>0</v>
      </c>
      <c r="E2249" s="491">
        <v>0</v>
      </c>
      <c r="F2249" s="491">
        <v>0</v>
      </c>
      <c r="G2249" s="491">
        <f t="shared" si="35"/>
        <v>1</v>
      </c>
    </row>
    <row r="2250" spans="1:7" ht="12.75">
      <c r="A2250" s="134" t="s">
        <v>773</v>
      </c>
      <c r="B2250" s="134">
        <v>120</v>
      </c>
      <c r="C2250" s="491">
        <v>2</v>
      </c>
      <c r="D2250" s="491">
        <v>2</v>
      </c>
      <c r="E2250" s="491">
        <v>0</v>
      </c>
      <c r="F2250" s="491">
        <v>0</v>
      </c>
      <c r="G2250" s="491">
        <f t="shared" si="35"/>
        <v>4</v>
      </c>
    </row>
    <row r="2251" spans="1:7" ht="12.75">
      <c r="A2251" s="134" t="s">
        <v>773</v>
      </c>
      <c r="B2251" s="134">
        <v>140</v>
      </c>
      <c r="C2251" s="491">
        <v>21</v>
      </c>
      <c r="D2251" s="491">
        <v>4</v>
      </c>
      <c r="E2251" s="491">
        <v>0</v>
      </c>
      <c r="F2251" s="491">
        <v>0</v>
      </c>
      <c r="G2251" s="491">
        <f t="shared" si="35"/>
        <v>25</v>
      </c>
    </row>
    <row r="2252" spans="1:7" ht="12.75">
      <c r="A2252" s="134" t="s">
        <v>773</v>
      </c>
      <c r="B2252" s="134">
        <v>143</v>
      </c>
      <c r="C2252" s="491">
        <v>1</v>
      </c>
      <c r="D2252" s="491">
        <v>0</v>
      </c>
      <c r="E2252" s="491">
        <v>0</v>
      </c>
      <c r="F2252" s="491">
        <v>0</v>
      </c>
      <c r="G2252" s="491">
        <f t="shared" si="35"/>
        <v>1</v>
      </c>
    </row>
    <row r="2253" spans="1:7" ht="12.75">
      <c r="A2253" s="134" t="s">
        <v>773</v>
      </c>
      <c r="B2253" s="134">
        <v>144</v>
      </c>
      <c r="C2253" s="491">
        <v>1</v>
      </c>
      <c r="D2253" s="491">
        <v>1</v>
      </c>
      <c r="E2253" s="491">
        <v>0</v>
      </c>
      <c r="F2253" s="491">
        <v>0</v>
      </c>
      <c r="G2253" s="491">
        <f t="shared" si="35"/>
        <v>2</v>
      </c>
    </row>
    <row r="2254" spans="1:7" ht="12.75">
      <c r="A2254" s="134" t="s">
        <v>773</v>
      </c>
      <c r="B2254" s="134">
        <v>410</v>
      </c>
      <c r="C2254" s="491">
        <v>0</v>
      </c>
      <c r="D2254" s="491">
        <v>27</v>
      </c>
      <c r="E2254" s="491">
        <v>0</v>
      </c>
      <c r="F2254" s="491">
        <v>0</v>
      </c>
      <c r="G2254" s="491">
        <f t="shared" si="35"/>
        <v>27</v>
      </c>
    </row>
    <row r="2255" spans="1:7" ht="12.75">
      <c r="A2255" s="134" t="s">
        <v>773</v>
      </c>
      <c r="B2255" s="134">
        <v>450</v>
      </c>
      <c r="C2255" s="491">
        <v>0</v>
      </c>
      <c r="D2255" s="491">
        <v>1</v>
      </c>
      <c r="E2255" s="491">
        <v>0</v>
      </c>
      <c r="F2255" s="491">
        <v>0</v>
      </c>
      <c r="G2255" s="491">
        <f t="shared" si="35"/>
        <v>1</v>
      </c>
    </row>
    <row r="2256" spans="1:7" ht="12.75">
      <c r="A2256" s="134" t="s">
        <v>773</v>
      </c>
      <c r="B2256" s="134">
        <v>812</v>
      </c>
      <c r="C2256" s="491">
        <v>1</v>
      </c>
      <c r="D2256" s="491">
        <v>0</v>
      </c>
      <c r="E2256" s="491">
        <v>0</v>
      </c>
      <c r="F2256" s="491">
        <v>0</v>
      </c>
      <c r="G2256" s="491">
        <f t="shared" si="35"/>
        <v>1</v>
      </c>
    </row>
    <row r="2257" spans="1:7" ht="12.75">
      <c r="A2257" s="134" t="s">
        <v>774</v>
      </c>
      <c r="B2257" s="134">
        <v>120</v>
      </c>
      <c r="C2257" s="491">
        <v>1</v>
      </c>
      <c r="D2257" s="491">
        <v>4</v>
      </c>
      <c r="E2257" s="491">
        <v>0</v>
      </c>
      <c r="F2257" s="491">
        <v>0</v>
      </c>
      <c r="G2257" s="491">
        <f t="shared" si="35"/>
        <v>5</v>
      </c>
    </row>
    <row r="2258" spans="1:7" ht="12.75">
      <c r="A2258" s="134" t="s">
        <v>774</v>
      </c>
      <c r="B2258" s="134">
        <v>140</v>
      </c>
      <c r="C2258" s="491">
        <v>45</v>
      </c>
      <c r="D2258" s="491">
        <v>10</v>
      </c>
      <c r="E2258" s="491">
        <v>3</v>
      </c>
      <c r="F2258" s="491">
        <v>0</v>
      </c>
      <c r="G2258" s="491">
        <f t="shared" si="35"/>
        <v>58</v>
      </c>
    </row>
    <row r="2259" spans="1:7" ht="12.75">
      <c r="A2259" s="134" t="s">
        <v>774</v>
      </c>
      <c r="B2259" s="134">
        <v>141</v>
      </c>
      <c r="C2259" s="491">
        <v>25</v>
      </c>
      <c r="D2259" s="491">
        <v>0</v>
      </c>
      <c r="E2259" s="491">
        <v>0</v>
      </c>
      <c r="F2259" s="491">
        <v>0</v>
      </c>
      <c r="G2259" s="491">
        <f t="shared" si="35"/>
        <v>25</v>
      </c>
    </row>
    <row r="2260" spans="1:7" ht="12.75">
      <c r="A2260" s="134" t="s">
        <v>774</v>
      </c>
      <c r="B2260" s="134">
        <v>144</v>
      </c>
      <c r="C2260" s="491">
        <v>23</v>
      </c>
      <c r="D2260" s="491">
        <v>0</v>
      </c>
      <c r="E2260" s="491">
        <v>0</v>
      </c>
      <c r="F2260" s="491">
        <v>0</v>
      </c>
      <c r="G2260" s="491">
        <f t="shared" si="35"/>
        <v>23</v>
      </c>
    </row>
    <row r="2261" spans="1:7" ht="12.75">
      <c r="A2261" s="134" t="s">
        <v>774</v>
      </c>
      <c r="B2261" s="134">
        <v>320</v>
      </c>
      <c r="C2261" s="491">
        <v>0</v>
      </c>
      <c r="D2261" s="491">
        <v>1</v>
      </c>
      <c r="E2261" s="491">
        <v>0</v>
      </c>
      <c r="F2261" s="491">
        <v>0</v>
      </c>
      <c r="G2261" s="491">
        <f t="shared" si="35"/>
        <v>1</v>
      </c>
    </row>
    <row r="2262" spans="1:7" ht="12.75">
      <c r="A2262" s="134" t="s">
        <v>775</v>
      </c>
      <c r="B2262" s="134">
        <v>110</v>
      </c>
      <c r="C2262" s="491">
        <v>0</v>
      </c>
      <c r="D2262" s="491">
        <v>1</v>
      </c>
      <c r="E2262" s="491">
        <v>0</v>
      </c>
      <c r="F2262" s="491">
        <v>0</v>
      </c>
      <c r="G2262" s="491">
        <f t="shared" si="35"/>
        <v>1</v>
      </c>
    </row>
    <row r="2263" spans="1:7" ht="12.75">
      <c r="A2263" s="134" t="s">
        <v>775</v>
      </c>
      <c r="B2263" s="134">
        <v>120</v>
      </c>
      <c r="C2263" s="491">
        <v>19</v>
      </c>
      <c r="D2263" s="491">
        <v>9</v>
      </c>
      <c r="E2263" s="491">
        <v>0</v>
      </c>
      <c r="F2263" s="491">
        <v>0</v>
      </c>
      <c r="G2263" s="491">
        <f t="shared" si="35"/>
        <v>28</v>
      </c>
    </row>
    <row r="2264" spans="1:7" ht="12.75">
      <c r="A2264" s="134" t="s">
        <v>775</v>
      </c>
      <c r="B2264" s="134">
        <v>140</v>
      </c>
      <c r="C2264" s="491">
        <v>317</v>
      </c>
      <c r="D2264" s="491">
        <v>75</v>
      </c>
      <c r="E2264" s="491">
        <v>7</v>
      </c>
      <c r="F2264" s="491">
        <v>2</v>
      </c>
      <c r="G2264" s="491">
        <f t="shared" si="35"/>
        <v>401</v>
      </c>
    </row>
    <row r="2265" spans="1:7" ht="12.75">
      <c r="A2265" s="134" t="s">
        <v>775</v>
      </c>
      <c r="B2265" s="134">
        <v>141</v>
      </c>
      <c r="C2265" s="491">
        <v>2</v>
      </c>
      <c r="D2265" s="491">
        <v>0</v>
      </c>
      <c r="E2265" s="491">
        <v>0</v>
      </c>
      <c r="F2265" s="491">
        <v>1</v>
      </c>
      <c r="G2265" s="491">
        <f t="shared" si="35"/>
        <v>3</v>
      </c>
    </row>
    <row r="2266" spans="1:7" ht="12.75">
      <c r="A2266" s="134" t="s">
        <v>775</v>
      </c>
      <c r="B2266" s="134">
        <v>143</v>
      </c>
      <c r="C2266" s="491">
        <v>1</v>
      </c>
      <c r="D2266" s="491">
        <v>0</v>
      </c>
      <c r="E2266" s="491">
        <v>0</v>
      </c>
      <c r="F2266" s="491">
        <v>0</v>
      </c>
      <c r="G2266" s="491">
        <f t="shared" si="35"/>
        <v>1</v>
      </c>
    </row>
    <row r="2267" spans="1:7" ht="12.75">
      <c r="A2267" s="134" t="s">
        <v>775</v>
      </c>
      <c r="B2267" s="134">
        <v>144</v>
      </c>
      <c r="C2267" s="491">
        <v>340</v>
      </c>
      <c r="D2267" s="491">
        <v>33</v>
      </c>
      <c r="E2267" s="491">
        <v>8</v>
      </c>
      <c r="F2267" s="491">
        <v>2</v>
      </c>
      <c r="G2267" s="491">
        <f t="shared" si="35"/>
        <v>383</v>
      </c>
    </row>
    <row r="2268" spans="1:7" ht="12.75">
      <c r="A2268" s="134" t="s">
        <v>775</v>
      </c>
      <c r="B2268" s="134">
        <v>320</v>
      </c>
      <c r="C2268" s="491">
        <v>0</v>
      </c>
      <c r="D2268" s="491">
        <v>1</v>
      </c>
      <c r="E2268" s="491">
        <v>0</v>
      </c>
      <c r="F2268" s="491">
        <v>0</v>
      </c>
      <c r="G2268" s="491">
        <f t="shared" si="35"/>
        <v>1</v>
      </c>
    </row>
    <row r="2269" spans="1:7" ht="12.75">
      <c r="A2269" s="134" t="s">
        <v>775</v>
      </c>
      <c r="B2269" s="134">
        <v>410</v>
      </c>
      <c r="C2269" s="491">
        <v>1</v>
      </c>
      <c r="D2269" s="491">
        <v>0</v>
      </c>
      <c r="E2269" s="491">
        <v>0</v>
      </c>
      <c r="F2269" s="491">
        <v>0</v>
      </c>
      <c r="G2269" s="491">
        <f t="shared" si="35"/>
        <v>1</v>
      </c>
    </row>
    <row r="2270" spans="1:7" ht="12.75">
      <c r="A2270" s="134" t="s">
        <v>775</v>
      </c>
      <c r="B2270" s="134">
        <v>502</v>
      </c>
      <c r="C2270" s="491">
        <v>0</v>
      </c>
      <c r="D2270" s="491">
        <v>1</v>
      </c>
      <c r="E2270" s="491">
        <v>0</v>
      </c>
      <c r="F2270" s="491">
        <v>0</v>
      </c>
      <c r="G2270" s="491">
        <f t="shared" si="35"/>
        <v>1</v>
      </c>
    </row>
    <row r="2271" spans="1:7" ht="12.75">
      <c r="A2271" s="134" t="s">
        <v>775</v>
      </c>
      <c r="B2271" s="134">
        <v>654</v>
      </c>
      <c r="C2271" s="491">
        <v>0</v>
      </c>
      <c r="D2271" s="491">
        <v>1</v>
      </c>
      <c r="E2271" s="491">
        <v>0</v>
      </c>
      <c r="F2271" s="491">
        <v>0</v>
      </c>
      <c r="G2271" s="491">
        <f t="shared" si="35"/>
        <v>1</v>
      </c>
    </row>
    <row r="2272" spans="1:7" ht="12.75">
      <c r="A2272" s="134" t="s">
        <v>776</v>
      </c>
      <c r="B2272" s="134">
        <v>100</v>
      </c>
      <c r="C2272" s="491">
        <v>0</v>
      </c>
      <c r="D2272" s="491">
        <v>4</v>
      </c>
      <c r="E2272" s="491">
        <v>0</v>
      </c>
      <c r="F2272" s="491">
        <v>0</v>
      </c>
      <c r="G2272" s="491">
        <f t="shared" si="35"/>
        <v>4</v>
      </c>
    </row>
    <row r="2273" spans="1:7" ht="12.75">
      <c r="A2273" s="134" t="s">
        <v>776</v>
      </c>
      <c r="B2273" s="134">
        <v>107</v>
      </c>
      <c r="C2273" s="491">
        <v>0</v>
      </c>
      <c r="D2273" s="491">
        <v>1</v>
      </c>
      <c r="E2273" s="491">
        <v>0</v>
      </c>
      <c r="F2273" s="491">
        <v>0</v>
      </c>
      <c r="G2273" s="491">
        <f t="shared" si="35"/>
        <v>1</v>
      </c>
    </row>
    <row r="2274" spans="1:7" ht="12.75">
      <c r="A2274" s="134" t="s">
        <v>776</v>
      </c>
      <c r="B2274" s="134">
        <v>120</v>
      </c>
      <c r="C2274" s="491">
        <v>0</v>
      </c>
      <c r="D2274" s="491">
        <v>1</v>
      </c>
      <c r="E2274" s="491">
        <v>0</v>
      </c>
      <c r="F2274" s="491">
        <v>0</v>
      </c>
      <c r="G2274" s="491">
        <f t="shared" si="35"/>
        <v>1</v>
      </c>
    </row>
    <row r="2275" spans="1:7" ht="12.75">
      <c r="A2275" s="134" t="s">
        <v>776</v>
      </c>
      <c r="B2275" s="134">
        <v>140</v>
      </c>
      <c r="C2275" s="491">
        <v>84</v>
      </c>
      <c r="D2275" s="491">
        <v>14</v>
      </c>
      <c r="E2275" s="491">
        <v>2</v>
      </c>
      <c r="F2275" s="491">
        <v>2</v>
      </c>
      <c r="G2275" s="491">
        <f t="shared" si="35"/>
        <v>102</v>
      </c>
    </row>
    <row r="2276" spans="1:7" ht="12.75">
      <c r="A2276" s="134" t="s">
        <v>776</v>
      </c>
      <c r="B2276" s="134">
        <v>143</v>
      </c>
      <c r="C2276" s="491">
        <v>46</v>
      </c>
      <c r="D2276" s="491">
        <v>0</v>
      </c>
      <c r="E2276" s="491">
        <v>0</v>
      </c>
      <c r="F2276" s="491">
        <v>0</v>
      </c>
      <c r="G2276" s="491">
        <f t="shared" si="35"/>
        <v>46</v>
      </c>
    </row>
    <row r="2277" spans="1:7" ht="12.75">
      <c r="A2277" s="134" t="s">
        <v>776</v>
      </c>
      <c r="B2277" s="134">
        <v>144</v>
      </c>
      <c r="C2277" s="491">
        <v>29</v>
      </c>
      <c r="D2277" s="491">
        <v>3</v>
      </c>
      <c r="E2277" s="491">
        <v>1</v>
      </c>
      <c r="F2277" s="491">
        <v>0</v>
      </c>
      <c r="G2277" s="491">
        <f t="shared" si="35"/>
        <v>33</v>
      </c>
    </row>
    <row r="2278" spans="1:7" ht="12.75">
      <c r="A2278" s="134" t="s">
        <v>776</v>
      </c>
      <c r="B2278" s="134">
        <v>217</v>
      </c>
      <c r="C2278" s="491">
        <v>1</v>
      </c>
      <c r="D2278" s="491">
        <v>0</v>
      </c>
      <c r="E2278" s="491">
        <v>0</v>
      </c>
      <c r="F2278" s="491">
        <v>0</v>
      </c>
      <c r="G2278" s="491">
        <f t="shared" si="35"/>
        <v>1</v>
      </c>
    </row>
    <row r="2279" spans="1:7" ht="12.75">
      <c r="A2279" s="134" t="s">
        <v>776</v>
      </c>
      <c r="B2279" s="134">
        <v>330</v>
      </c>
      <c r="C2279" s="491">
        <v>0</v>
      </c>
      <c r="D2279" s="491">
        <v>1</v>
      </c>
      <c r="E2279" s="491">
        <v>0</v>
      </c>
      <c r="F2279" s="491">
        <v>0</v>
      </c>
      <c r="G2279" s="491">
        <f t="shared" si="35"/>
        <v>1</v>
      </c>
    </row>
    <row r="2280" spans="1:7" ht="12.75">
      <c r="A2280" s="134" t="s">
        <v>777</v>
      </c>
      <c r="B2280" s="134">
        <v>107</v>
      </c>
      <c r="C2280" s="491">
        <v>1</v>
      </c>
      <c r="D2280" s="491">
        <v>2</v>
      </c>
      <c r="E2280" s="491">
        <v>0</v>
      </c>
      <c r="F2280" s="491">
        <v>0</v>
      </c>
      <c r="G2280" s="491">
        <f t="shared" si="35"/>
        <v>3</v>
      </c>
    </row>
    <row r="2281" spans="1:7" ht="12.75">
      <c r="A2281" s="134" t="s">
        <v>777</v>
      </c>
      <c r="B2281" s="134">
        <v>120</v>
      </c>
      <c r="C2281" s="491">
        <v>0</v>
      </c>
      <c r="D2281" s="491">
        <v>3</v>
      </c>
      <c r="E2281" s="491">
        <v>0</v>
      </c>
      <c r="F2281" s="491">
        <v>0</v>
      </c>
      <c r="G2281" s="491">
        <f t="shared" si="35"/>
        <v>3</v>
      </c>
    </row>
    <row r="2282" spans="1:7" ht="12.75">
      <c r="A2282" s="134" t="s">
        <v>777</v>
      </c>
      <c r="B2282" s="134">
        <v>140</v>
      </c>
      <c r="C2282" s="491">
        <v>1</v>
      </c>
      <c r="D2282" s="491">
        <v>0</v>
      </c>
      <c r="E2282" s="491">
        <v>0</v>
      </c>
      <c r="F2282" s="491">
        <v>0</v>
      </c>
      <c r="G2282" s="491">
        <f t="shared" si="35"/>
        <v>1</v>
      </c>
    </row>
    <row r="2283" spans="1:7" ht="12.75">
      <c r="A2283" s="134" t="s">
        <v>777</v>
      </c>
      <c r="B2283" s="134">
        <v>142</v>
      </c>
      <c r="C2283" s="491">
        <v>2</v>
      </c>
      <c r="D2283" s="491">
        <v>0</v>
      </c>
      <c r="E2283" s="491">
        <v>0</v>
      </c>
      <c r="F2283" s="491">
        <v>0</v>
      </c>
      <c r="G2283" s="491">
        <f t="shared" si="35"/>
        <v>2</v>
      </c>
    </row>
    <row r="2284" spans="1:7" ht="12.75">
      <c r="A2284" s="134" t="s">
        <v>777</v>
      </c>
      <c r="B2284" s="134">
        <v>143</v>
      </c>
      <c r="C2284" s="491">
        <v>1</v>
      </c>
      <c r="D2284" s="491">
        <v>0</v>
      </c>
      <c r="E2284" s="491">
        <v>0</v>
      </c>
      <c r="F2284" s="491">
        <v>0</v>
      </c>
      <c r="G2284" s="491">
        <f t="shared" si="35"/>
        <v>1</v>
      </c>
    </row>
    <row r="2285" spans="1:7" ht="12.75">
      <c r="A2285" s="134" t="s">
        <v>777</v>
      </c>
      <c r="B2285" s="134">
        <v>144</v>
      </c>
      <c r="C2285" s="491">
        <v>2</v>
      </c>
      <c r="D2285" s="491">
        <v>1</v>
      </c>
      <c r="E2285" s="491">
        <v>0</v>
      </c>
      <c r="F2285" s="491">
        <v>0</v>
      </c>
      <c r="G2285" s="491">
        <f t="shared" si="35"/>
        <v>3</v>
      </c>
    </row>
    <row r="2286" spans="1:7" ht="12.75">
      <c r="A2286" s="134" t="s">
        <v>778</v>
      </c>
      <c r="B2286" s="134">
        <v>120</v>
      </c>
      <c r="C2286" s="491">
        <v>221</v>
      </c>
      <c r="D2286" s="491">
        <v>1837</v>
      </c>
      <c r="E2286" s="491">
        <v>1</v>
      </c>
      <c r="F2286" s="491">
        <v>17</v>
      </c>
      <c r="G2286" s="491">
        <f t="shared" si="35"/>
        <v>2076</v>
      </c>
    </row>
    <row r="2287" spans="1:7" ht="12.75">
      <c r="A2287" s="134" t="s">
        <v>778</v>
      </c>
      <c r="B2287" s="134">
        <v>144</v>
      </c>
      <c r="C2287" s="491">
        <v>1</v>
      </c>
      <c r="D2287" s="491">
        <v>1</v>
      </c>
      <c r="E2287" s="491">
        <v>0</v>
      </c>
      <c r="F2287" s="491">
        <v>0</v>
      </c>
      <c r="G2287" s="491">
        <f t="shared" si="35"/>
        <v>2</v>
      </c>
    </row>
    <row r="2288" spans="1:7" ht="12.75">
      <c r="A2288" s="134" t="s">
        <v>778</v>
      </c>
      <c r="B2288" s="134">
        <v>215</v>
      </c>
      <c r="C2288" s="491">
        <v>1</v>
      </c>
      <c r="D2288" s="491">
        <v>26</v>
      </c>
      <c r="E2288" s="491">
        <v>0</v>
      </c>
      <c r="F2288" s="491">
        <v>0</v>
      </c>
      <c r="G2288" s="491">
        <f t="shared" si="35"/>
        <v>27</v>
      </c>
    </row>
    <row r="2289" spans="1:7" ht="12.75">
      <c r="A2289" s="134" t="s">
        <v>778</v>
      </c>
      <c r="B2289" s="134">
        <v>310</v>
      </c>
      <c r="C2289" s="491">
        <v>0</v>
      </c>
      <c r="D2289" s="491">
        <v>1</v>
      </c>
      <c r="E2289" s="491">
        <v>0</v>
      </c>
      <c r="F2289" s="491">
        <v>0</v>
      </c>
      <c r="G2289" s="491">
        <f t="shared" si="35"/>
        <v>1</v>
      </c>
    </row>
    <row r="2290" spans="1:7" ht="12.75">
      <c r="A2290" s="134" t="s">
        <v>778</v>
      </c>
      <c r="B2290" s="134">
        <v>502</v>
      </c>
      <c r="C2290" s="491">
        <v>0</v>
      </c>
      <c r="D2290" s="491">
        <v>1</v>
      </c>
      <c r="E2290" s="491">
        <v>0</v>
      </c>
      <c r="F2290" s="491">
        <v>0</v>
      </c>
      <c r="G2290" s="491">
        <f t="shared" si="35"/>
        <v>1</v>
      </c>
    </row>
    <row r="2291" spans="1:7" ht="12.75">
      <c r="A2291" s="134" t="s">
        <v>779</v>
      </c>
      <c r="B2291" s="134">
        <v>101</v>
      </c>
      <c r="C2291" s="491">
        <v>1</v>
      </c>
      <c r="D2291" s="491">
        <v>2</v>
      </c>
      <c r="E2291" s="491">
        <v>0</v>
      </c>
      <c r="F2291" s="491">
        <v>0</v>
      </c>
      <c r="G2291" s="491">
        <f t="shared" si="35"/>
        <v>3</v>
      </c>
    </row>
    <row r="2292" spans="1:7" ht="12.75">
      <c r="A2292" s="134" t="s">
        <v>779</v>
      </c>
      <c r="B2292" s="134">
        <v>104</v>
      </c>
      <c r="C2292" s="491">
        <v>0</v>
      </c>
      <c r="D2292" s="491">
        <v>3</v>
      </c>
      <c r="E2292" s="491">
        <v>0</v>
      </c>
      <c r="F2292" s="491">
        <v>0</v>
      </c>
      <c r="G2292" s="491">
        <f t="shared" si="35"/>
        <v>3</v>
      </c>
    </row>
    <row r="2293" spans="1:7" ht="12.75">
      <c r="A2293" s="134" t="s">
        <v>779</v>
      </c>
      <c r="B2293" s="134">
        <v>106</v>
      </c>
      <c r="C2293" s="491">
        <v>0</v>
      </c>
      <c r="D2293" s="491">
        <v>1</v>
      </c>
      <c r="E2293" s="491">
        <v>0</v>
      </c>
      <c r="F2293" s="491">
        <v>0</v>
      </c>
      <c r="G2293" s="491">
        <f t="shared" si="35"/>
        <v>1</v>
      </c>
    </row>
    <row r="2294" spans="1:7" ht="12.75">
      <c r="A2294" s="134" t="s">
        <v>779</v>
      </c>
      <c r="B2294" s="134">
        <v>110</v>
      </c>
      <c r="C2294" s="491">
        <v>2</v>
      </c>
      <c r="D2294" s="491">
        <v>1</v>
      </c>
      <c r="E2294" s="491">
        <v>0</v>
      </c>
      <c r="F2294" s="491">
        <v>0</v>
      </c>
      <c r="G2294" s="491">
        <f t="shared" si="35"/>
        <v>3</v>
      </c>
    </row>
    <row r="2295" spans="1:7" ht="12.75">
      <c r="A2295" s="134" t="s">
        <v>779</v>
      </c>
      <c r="B2295" s="134">
        <v>120</v>
      </c>
      <c r="C2295" s="491">
        <v>1</v>
      </c>
      <c r="D2295" s="491">
        <v>0</v>
      </c>
      <c r="E2295" s="491">
        <v>0</v>
      </c>
      <c r="F2295" s="491">
        <v>0</v>
      </c>
      <c r="G2295" s="491">
        <f t="shared" si="35"/>
        <v>1</v>
      </c>
    </row>
    <row r="2296" spans="1:7" ht="12.75">
      <c r="A2296" s="134" t="s">
        <v>779</v>
      </c>
      <c r="B2296" s="134">
        <v>130</v>
      </c>
      <c r="C2296" s="491">
        <v>1</v>
      </c>
      <c r="D2296" s="491">
        <v>0</v>
      </c>
      <c r="E2296" s="491">
        <v>0</v>
      </c>
      <c r="F2296" s="491">
        <v>0</v>
      </c>
      <c r="G2296" s="491">
        <f t="shared" si="35"/>
        <v>1</v>
      </c>
    </row>
    <row r="2297" spans="1:7" ht="12.75">
      <c r="A2297" s="134" t="s">
        <v>779</v>
      </c>
      <c r="B2297" s="134">
        <v>140</v>
      </c>
      <c r="C2297" s="491">
        <v>6234</v>
      </c>
      <c r="D2297" s="491">
        <v>261</v>
      </c>
      <c r="E2297" s="491">
        <v>53</v>
      </c>
      <c r="F2297" s="491">
        <v>1</v>
      </c>
      <c r="G2297" s="491">
        <f t="shared" si="35"/>
        <v>6549</v>
      </c>
    </row>
    <row r="2298" spans="1:7" ht="12.75">
      <c r="A2298" s="134" t="s">
        <v>779</v>
      </c>
      <c r="B2298" s="134">
        <v>141</v>
      </c>
      <c r="C2298" s="491">
        <v>424</v>
      </c>
      <c r="D2298" s="491">
        <v>4</v>
      </c>
      <c r="E2298" s="491">
        <v>0</v>
      </c>
      <c r="F2298" s="491">
        <v>2</v>
      </c>
      <c r="G2298" s="491">
        <f t="shared" si="35"/>
        <v>430</v>
      </c>
    </row>
    <row r="2299" spans="1:7" ht="12.75">
      <c r="A2299" s="134" t="s">
        <v>779</v>
      </c>
      <c r="B2299" s="134">
        <v>143</v>
      </c>
      <c r="C2299" s="491">
        <v>11</v>
      </c>
      <c r="D2299" s="491">
        <v>0</v>
      </c>
      <c r="E2299" s="491">
        <v>0</v>
      </c>
      <c r="F2299" s="491">
        <v>0</v>
      </c>
      <c r="G2299" s="491">
        <f t="shared" si="35"/>
        <v>11</v>
      </c>
    </row>
    <row r="2300" spans="1:7" ht="12.75">
      <c r="A2300" s="134" t="s">
        <v>779</v>
      </c>
      <c r="B2300" s="134">
        <v>144</v>
      </c>
      <c r="C2300" s="491">
        <v>2563</v>
      </c>
      <c r="D2300" s="491">
        <v>195</v>
      </c>
      <c r="E2300" s="491">
        <v>1</v>
      </c>
      <c r="F2300" s="491">
        <v>0</v>
      </c>
      <c r="G2300" s="491">
        <f t="shared" si="35"/>
        <v>2759</v>
      </c>
    </row>
    <row r="2301" spans="1:7" ht="12.75">
      <c r="A2301" s="134" t="s">
        <v>779</v>
      </c>
      <c r="B2301" s="134">
        <v>150</v>
      </c>
      <c r="C2301" s="491">
        <v>0</v>
      </c>
      <c r="D2301" s="491">
        <v>1</v>
      </c>
      <c r="E2301" s="491">
        <v>0</v>
      </c>
      <c r="F2301" s="491">
        <v>0</v>
      </c>
      <c r="G2301" s="491">
        <f t="shared" si="35"/>
        <v>1</v>
      </c>
    </row>
    <row r="2302" spans="1:7" ht="12.75">
      <c r="A2302" s="134" t="s">
        <v>779</v>
      </c>
      <c r="B2302" s="134">
        <v>160</v>
      </c>
      <c r="C2302" s="491">
        <v>0</v>
      </c>
      <c r="D2302" s="491">
        <v>1</v>
      </c>
      <c r="E2302" s="491">
        <v>0</v>
      </c>
      <c r="F2302" s="491">
        <v>0</v>
      </c>
      <c r="G2302" s="491">
        <f t="shared" si="35"/>
        <v>1</v>
      </c>
    </row>
    <row r="2303" spans="1:7" ht="12.75">
      <c r="A2303" s="134" t="s">
        <v>779</v>
      </c>
      <c r="B2303" s="134">
        <v>300</v>
      </c>
      <c r="C2303" s="491">
        <v>0</v>
      </c>
      <c r="D2303" s="491">
        <v>0</v>
      </c>
      <c r="E2303" s="491">
        <v>0</v>
      </c>
      <c r="F2303" s="491">
        <v>1</v>
      </c>
      <c r="G2303" s="491">
        <f t="shared" si="35"/>
        <v>1</v>
      </c>
    </row>
    <row r="2304" spans="1:7" ht="12.75">
      <c r="A2304" s="134" t="s">
        <v>779</v>
      </c>
      <c r="B2304" s="134">
        <v>301</v>
      </c>
      <c r="C2304" s="491">
        <v>0</v>
      </c>
      <c r="D2304" s="491">
        <v>3</v>
      </c>
      <c r="E2304" s="491">
        <v>0</v>
      </c>
      <c r="F2304" s="491">
        <v>0</v>
      </c>
      <c r="G2304" s="491">
        <f t="shared" si="35"/>
        <v>3</v>
      </c>
    </row>
    <row r="2305" spans="1:7" ht="12.75">
      <c r="A2305" s="134" t="s">
        <v>779</v>
      </c>
      <c r="B2305" s="134">
        <v>303</v>
      </c>
      <c r="C2305" s="491">
        <v>1</v>
      </c>
      <c r="D2305" s="491">
        <v>2</v>
      </c>
      <c r="E2305" s="491">
        <v>0</v>
      </c>
      <c r="F2305" s="491">
        <v>0</v>
      </c>
      <c r="G2305" s="491">
        <f t="shared" si="35"/>
        <v>3</v>
      </c>
    </row>
    <row r="2306" spans="1:7" ht="12.75">
      <c r="A2306" s="134" t="s">
        <v>779</v>
      </c>
      <c r="B2306" s="134">
        <v>307</v>
      </c>
      <c r="C2306" s="491">
        <v>0</v>
      </c>
      <c r="D2306" s="491">
        <v>1</v>
      </c>
      <c r="E2306" s="491">
        <v>0</v>
      </c>
      <c r="F2306" s="491">
        <v>0</v>
      </c>
      <c r="G2306" s="491">
        <f t="shared" si="35"/>
        <v>1</v>
      </c>
    </row>
    <row r="2307" spans="1:7" ht="12.75">
      <c r="A2307" s="134" t="s">
        <v>779</v>
      </c>
      <c r="B2307" s="134">
        <v>310</v>
      </c>
      <c r="C2307" s="491">
        <v>0</v>
      </c>
      <c r="D2307" s="491">
        <v>3</v>
      </c>
      <c r="E2307" s="491">
        <v>0</v>
      </c>
      <c r="F2307" s="491">
        <v>0</v>
      </c>
      <c r="G2307" s="491">
        <f t="shared" si="35"/>
        <v>3</v>
      </c>
    </row>
    <row r="2308" spans="1:7" ht="12.75">
      <c r="A2308" s="134" t="s">
        <v>779</v>
      </c>
      <c r="B2308" s="134">
        <v>320</v>
      </c>
      <c r="C2308" s="491">
        <v>2</v>
      </c>
      <c r="D2308" s="491">
        <v>3</v>
      </c>
      <c r="E2308" s="491">
        <v>0</v>
      </c>
      <c r="F2308" s="491">
        <v>0</v>
      </c>
      <c r="G2308" s="491">
        <f t="shared" ref="G2308:G2371" si="36">SUM(C2308:F2308)</f>
        <v>5</v>
      </c>
    </row>
    <row r="2309" spans="1:7" ht="12.75">
      <c r="A2309" s="134" t="s">
        <v>779</v>
      </c>
      <c r="B2309" s="134">
        <v>330</v>
      </c>
      <c r="C2309" s="491">
        <v>2</v>
      </c>
      <c r="D2309" s="491">
        <v>2</v>
      </c>
      <c r="E2309" s="491">
        <v>0</v>
      </c>
      <c r="F2309" s="491">
        <v>0</v>
      </c>
      <c r="G2309" s="491">
        <f t="shared" si="36"/>
        <v>4</v>
      </c>
    </row>
    <row r="2310" spans="1:7" ht="12.75">
      <c r="A2310" s="134" t="s">
        <v>779</v>
      </c>
      <c r="B2310" s="134">
        <v>340</v>
      </c>
      <c r="C2310" s="491">
        <v>0</v>
      </c>
      <c r="D2310" s="491">
        <v>2</v>
      </c>
      <c r="E2310" s="491">
        <v>0</v>
      </c>
      <c r="F2310" s="491">
        <v>0</v>
      </c>
      <c r="G2310" s="491">
        <f t="shared" si="36"/>
        <v>2</v>
      </c>
    </row>
    <row r="2311" spans="1:7" ht="12.75">
      <c r="A2311" s="134" t="s">
        <v>779</v>
      </c>
      <c r="B2311" s="134">
        <v>341</v>
      </c>
      <c r="C2311" s="491">
        <v>0</v>
      </c>
      <c r="D2311" s="491">
        <v>1</v>
      </c>
      <c r="E2311" s="491">
        <v>0</v>
      </c>
      <c r="F2311" s="491">
        <v>0</v>
      </c>
      <c r="G2311" s="491">
        <f t="shared" si="36"/>
        <v>1</v>
      </c>
    </row>
    <row r="2312" spans="1:7" ht="12.75">
      <c r="A2312" s="134" t="s">
        <v>779</v>
      </c>
      <c r="B2312" s="134">
        <v>370</v>
      </c>
      <c r="C2312" s="491">
        <v>0</v>
      </c>
      <c r="D2312" s="491">
        <v>2</v>
      </c>
      <c r="E2312" s="491">
        <v>0</v>
      </c>
      <c r="F2312" s="491">
        <v>0</v>
      </c>
      <c r="G2312" s="491">
        <f t="shared" si="36"/>
        <v>2</v>
      </c>
    </row>
    <row r="2313" spans="1:7" ht="12.75">
      <c r="A2313" s="134" t="s">
        <v>779</v>
      </c>
      <c r="B2313" s="134">
        <v>410</v>
      </c>
      <c r="C2313" s="491">
        <v>0</v>
      </c>
      <c r="D2313" s="491">
        <v>1</v>
      </c>
      <c r="E2313" s="491">
        <v>0</v>
      </c>
      <c r="F2313" s="491">
        <v>0</v>
      </c>
      <c r="G2313" s="491">
        <f t="shared" si="36"/>
        <v>1</v>
      </c>
    </row>
    <row r="2314" spans="1:7" ht="12.75">
      <c r="A2314" s="134" t="s">
        <v>779</v>
      </c>
      <c r="B2314" s="134">
        <v>450</v>
      </c>
      <c r="C2314" s="491">
        <v>1</v>
      </c>
      <c r="D2314" s="491">
        <v>1</v>
      </c>
      <c r="E2314" s="491">
        <v>0</v>
      </c>
      <c r="F2314" s="491">
        <v>0</v>
      </c>
      <c r="G2314" s="491">
        <f t="shared" si="36"/>
        <v>2</v>
      </c>
    </row>
    <row r="2315" spans="1:7" ht="12.75">
      <c r="A2315" s="134" t="s">
        <v>779</v>
      </c>
      <c r="B2315" s="134">
        <v>501</v>
      </c>
      <c r="C2315" s="491">
        <v>0</v>
      </c>
      <c r="D2315" s="491">
        <v>3</v>
      </c>
      <c r="E2315" s="491">
        <v>0</v>
      </c>
      <c r="F2315" s="491">
        <v>0</v>
      </c>
      <c r="G2315" s="491">
        <f t="shared" si="36"/>
        <v>3</v>
      </c>
    </row>
    <row r="2316" spans="1:7" ht="12.75">
      <c r="A2316" s="134" t="s">
        <v>779</v>
      </c>
      <c r="B2316" s="134">
        <v>502</v>
      </c>
      <c r="C2316" s="491">
        <v>1</v>
      </c>
      <c r="D2316" s="491">
        <v>4</v>
      </c>
      <c r="E2316" s="491">
        <v>0</v>
      </c>
      <c r="F2316" s="491">
        <v>0</v>
      </c>
      <c r="G2316" s="491">
        <f t="shared" si="36"/>
        <v>5</v>
      </c>
    </row>
    <row r="2317" spans="1:7" ht="12.75">
      <c r="A2317" s="134" t="s">
        <v>779</v>
      </c>
      <c r="B2317" s="134">
        <v>560</v>
      </c>
      <c r="C2317" s="491">
        <v>0</v>
      </c>
      <c r="D2317" s="491">
        <v>2</v>
      </c>
      <c r="E2317" s="491">
        <v>0</v>
      </c>
      <c r="F2317" s="491">
        <v>0</v>
      </c>
      <c r="G2317" s="491">
        <f t="shared" si="36"/>
        <v>2</v>
      </c>
    </row>
    <row r="2318" spans="1:7" ht="12.75">
      <c r="A2318" s="134" t="s">
        <v>779</v>
      </c>
      <c r="B2318" s="134">
        <v>650</v>
      </c>
      <c r="C2318" s="491">
        <v>1</v>
      </c>
      <c r="D2318" s="491">
        <v>5</v>
      </c>
      <c r="E2318" s="491">
        <v>0</v>
      </c>
      <c r="F2318" s="491">
        <v>0</v>
      </c>
      <c r="G2318" s="491">
        <f t="shared" si="36"/>
        <v>6</v>
      </c>
    </row>
    <row r="2319" spans="1:7" ht="12.75">
      <c r="A2319" s="134" t="s">
        <v>779</v>
      </c>
      <c r="B2319" s="134">
        <v>654</v>
      </c>
      <c r="C2319" s="491">
        <v>1</v>
      </c>
      <c r="D2319" s="491">
        <v>0</v>
      </c>
      <c r="E2319" s="491">
        <v>0</v>
      </c>
      <c r="F2319" s="491">
        <v>0</v>
      </c>
      <c r="G2319" s="491">
        <f t="shared" si="36"/>
        <v>1</v>
      </c>
    </row>
    <row r="2320" spans="1:7" ht="12.75">
      <c r="A2320" s="134" t="s">
        <v>779</v>
      </c>
      <c r="B2320" s="134">
        <v>662</v>
      </c>
      <c r="C2320" s="491">
        <v>1</v>
      </c>
      <c r="D2320" s="491">
        <v>0</v>
      </c>
      <c r="E2320" s="491">
        <v>0</v>
      </c>
      <c r="F2320" s="491">
        <v>0</v>
      </c>
      <c r="G2320" s="491">
        <f t="shared" si="36"/>
        <v>1</v>
      </c>
    </row>
    <row r="2321" spans="1:7" ht="12.75">
      <c r="A2321" s="134" t="s">
        <v>780</v>
      </c>
      <c r="B2321" s="134">
        <v>140</v>
      </c>
      <c r="C2321" s="491">
        <v>68</v>
      </c>
      <c r="D2321" s="491">
        <v>5</v>
      </c>
      <c r="E2321" s="491">
        <v>1</v>
      </c>
      <c r="F2321" s="491">
        <v>0</v>
      </c>
      <c r="G2321" s="491">
        <f t="shared" si="36"/>
        <v>74</v>
      </c>
    </row>
    <row r="2322" spans="1:7" ht="12.75">
      <c r="A2322" s="134" t="s">
        <v>780</v>
      </c>
      <c r="B2322" s="134">
        <v>141</v>
      </c>
      <c r="C2322" s="491">
        <v>36</v>
      </c>
      <c r="D2322" s="491">
        <v>0</v>
      </c>
      <c r="E2322" s="491">
        <v>0</v>
      </c>
      <c r="F2322" s="491">
        <v>0</v>
      </c>
      <c r="G2322" s="491">
        <f t="shared" si="36"/>
        <v>36</v>
      </c>
    </row>
    <row r="2323" spans="1:7" ht="12.75">
      <c r="A2323" s="134" t="s">
        <v>780</v>
      </c>
      <c r="B2323" s="134">
        <v>143</v>
      </c>
      <c r="C2323" s="491">
        <v>13</v>
      </c>
      <c r="D2323" s="491">
        <v>0</v>
      </c>
      <c r="E2323" s="491">
        <v>0</v>
      </c>
      <c r="F2323" s="491">
        <v>0</v>
      </c>
      <c r="G2323" s="491">
        <f t="shared" si="36"/>
        <v>13</v>
      </c>
    </row>
    <row r="2324" spans="1:7" ht="12.75">
      <c r="A2324" s="134" t="s">
        <v>780</v>
      </c>
      <c r="B2324" s="134">
        <v>144</v>
      </c>
      <c r="C2324" s="491">
        <v>29</v>
      </c>
      <c r="D2324" s="491">
        <v>2</v>
      </c>
      <c r="E2324" s="491">
        <v>0</v>
      </c>
      <c r="F2324" s="491">
        <v>0</v>
      </c>
      <c r="G2324" s="491">
        <f t="shared" si="36"/>
        <v>31</v>
      </c>
    </row>
    <row r="2325" spans="1:7" ht="12.75">
      <c r="A2325" s="134" t="s">
        <v>780</v>
      </c>
      <c r="B2325" s="134">
        <v>211</v>
      </c>
      <c r="C2325" s="491">
        <v>0</v>
      </c>
      <c r="D2325" s="491">
        <v>2</v>
      </c>
      <c r="E2325" s="491">
        <v>0</v>
      </c>
      <c r="F2325" s="491">
        <v>0</v>
      </c>
      <c r="G2325" s="491">
        <f t="shared" si="36"/>
        <v>2</v>
      </c>
    </row>
    <row r="2326" spans="1:7" ht="12.75">
      <c r="A2326" s="134" t="s">
        <v>780</v>
      </c>
      <c r="B2326" s="134">
        <v>216</v>
      </c>
      <c r="C2326" s="491">
        <v>0</v>
      </c>
      <c r="D2326" s="491">
        <v>2</v>
      </c>
      <c r="E2326" s="491">
        <v>0</v>
      </c>
      <c r="F2326" s="491">
        <v>0</v>
      </c>
      <c r="G2326" s="491">
        <f t="shared" si="36"/>
        <v>2</v>
      </c>
    </row>
    <row r="2327" spans="1:7" ht="12.75">
      <c r="A2327" s="134" t="s">
        <v>780</v>
      </c>
      <c r="B2327" s="134">
        <v>217</v>
      </c>
      <c r="C2327" s="491">
        <v>4</v>
      </c>
      <c r="D2327" s="491">
        <v>0</v>
      </c>
      <c r="E2327" s="491">
        <v>0</v>
      </c>
      <c r="F2327" s="491">
        <v>0</v>
      </c>
      <c r="G2327" s="491">
        <f t="shared" si="36"/>
        <v>4</v>
      </c>
    </row>
    <row r="2328" spans="1:7" ht="12.75">
      <c r="A2328" s="134" t="s">
        <v>780</v>
      </c>
      <c r="B2328" s="134">
        <v>320</v>
      </c>
      <c r="C2328" s="491">
        <v>0</v>
      </c>
      <c r="D2328" s="491">
        <v>1</v>
      </c>
      <c r="E2328" s="491">
        <v>0</v>
      </c>
      <c r="F2328" s="491">
        <v>0</v>
      </c>
      <c r="G2328" s="491">
        <f t="shared" si="36"/>
        <v>1</v>
      </c>
    </row>
    <row r="2329" spans="1:7" ht="12.75">
      <c r="A2329" s="134" t="s">
        <v>780</v>
      </c>
      <c r="B2329" s="134">
        <v>330</v>
      </c>
      <c r="C2329" s="491">
        <v>0</v>
      </c>
      <c r="D2329" s="491">
        <v>1</v>
      </c>
      <c r="E2329" s="491">
        <v>0</v>
      </c>
      <c r="F2329" s="491">
        <v>0</v>
      </c>
      <c r="G2329" s="491">
        <f t="shared" si="36"/>
        <v>1</v>
      </c>
    </row>
    <row r="2330" spans="1:7" ht="12.75">
      <c r="A2330" s="134" t="s">
        <v>780</v>
      </c>
      <c r="B2330" s="134">
        <v>420</v>
      </c>
      <c r="C2330" s="491">
        <v>0</v>
      </c>
      <c r="D2330" s="491">
        <v>2</v>
      </c>
      <c r="E2330" s="491">
        <v>0</v>
      </c>
      <c r="F2330" s="491">
        <v>0</v>
      </c>
      <c r="G2330" s="491">
        <f t="shared" si="36"/>
        <v>2</v>
      </c>
    </row>
    <row r="2331" spans="1:7" ht="12.75">
      <c r="A2331" s="134" t="s">
        <v>781</v>
      </c>
      <c r="B2331" s="134">
        <v>100</v>
      </c>
      <c r="C2331" s="491">
        <v>0</v>
      </c>
      <c r="D2331" s="491">
        <v>1</v>
      </c>
      <c r="E2331" s="491">
        <v>0</v>
      </c>
      <c r="F2331" s="491">
        <v>0</v>
      </c>
      <c r="G2331" s="491">
        <f t="shared" si="36"/>
        <v>1</v>
      </c>
    </row>
    <row r="2332" spans="1:7" ht="12.75">
      <c r="A2332" s="134" t="s">
        <v>781</v>
      </c>
      <c r="B2332" s="134">
        <v>101</v>
      </c>
      <c r="C2332" s="491">
        <v>0</v>
      </c>
      <c r="D2332" s="491">
        <v>6</v>
      </c>
      <c r="E2332" s="491">
        <v>0</v>
      </c>
      <c r="F2332" s="491">
        <v>0</v>
      </c>
      <c r="G2332" s="491">
        <f t="shared" si="36"/>
        <v>6</v>
      </c>
    </row>
    <row r="2333" spans="1:7" ht="12.75">
      <c r="A2333" s="134" t="s">
        <v>781</v>
      </c>
      <c r="B2333" s="134">
        <v>102</v>
      </c>
      <c r="C2333" s="491">
        <v>0</v>
      </c>
      <c r="D2333" s="491">
        <v>1</v>
      </c>
      <c r="E2333" s="491">
        <v>0</v>
      </c>
      <c r="F2333" s="491">
        <v>0</v>
      </c>
      <c r="G2333" s="491">
        <f t="shared" si="36"/>
        <v>1</v>
      </c>
    </row>
    <row r="2334" spans="1:7" ht="12.75">
      <c r="A2334" s="134" t="s">
        <v>781</v>
      </c>
      <c r="B2334" s="134">
        <v>103</v>
      </c>
      <c r="C2334" s="491">
        <v>0</v>
      </c>
      <c r="D2334" s="491">
        <v>4</v>
      </c>
      <c r="E2334" s="491">
        <v>0</v>
      </c>
      <c r="F2334" s="491">
        <v>0</v>
      </c>
      <c r="G2334" s="491">
        <f t="shared" si="36"/>
        <v>4</v>
      </c>
    </row>
    <row r="2335" spans="1:7" ht="12.75">
      <c r="A2335" s="134" t="s">
        <v>781</v>
      </c>
      <c r="B2335" s="134">
        <v>104</v>
      </c>
      <c r="C2335" s="491">
        <v>0</v>
      </c>
      <c r="D2335" s="491">
        <v>12</v>
      </c>
      <c r="E2335" s="491">
        <v>0</v>
      </c>
      <c r="F2335" s="491">
        <v>0</v>
      </c>
      <c r="G2335" s="491">
        <f t="shared" si="36"/>
        <v>12</v>
      </c>
    </row>
    <row r="2336" spans="1:7" ht="12.75">
      <c r="A2336" s="134" t="s">
        <v>781</v>
      </c>
      <c r="B2336" s="134">
        <v>106</v>
      </c>
      <c r="C2336" s="491">
        <v>0</v>
      </c>
      <c r="D2336" s="491">
        <v>1</v>
      </c>
      <c r="E2336" s="491">
        <v>0</v>
      </c>
      <c r="F2336" s="491">
        <v>0</v>
      </c>
      <c r="G2336" s="491">
        <f t="shared" si="36"/>
        <v>1</v>
      </c>
    </row>
    <row r="2337" spans="1:7" ht="12.75">
      <c r="A2337" s="134" t="s">
        <v>781</v>
      </c>
      <c r="B2337" s="134">
        <v>110</v>
      </c>
      <c r="C2337" s="491">
        <v>18</v>
      </c>
      <c r="D2337" s="491">
        <v>75</v>
      </c>
      <c r="E2337" s="491">
        <v>0</v>
      </c>
      <c r="F2337" s="491">
        <v>0</v>
      </c>
      <c r="G2337" s="491">
        <f t="shared" si="36"/>
        <v>93</v>
      </c>
    </row>
    <row r="2338" spans="1:7" ht="12.75">
      <c r="A2338" s="134" t="s">
        <v>781</v>
      </c>
      <c r="B2338" s="134">
        <v>120</v>
      </c>
      <c r="C2338" s="491">
        <v>2</v>
      </c>
      <c r="D2338" s="491">
        <v>8</v>
      </c>
      <c r="E2338" s="491">
        <v>0</v>
      </c>
      <c r="F2338" s="491">
        <v>0</v>
      </c>
      <c r="G2338" s="491">
        <f t="shared" si="36"/>
        <v>10</v>
      </c>
    </row>
    <row r="2339" spans="1:7" ht="12.75">
      <c r="A2339" s="134" t="s">
        <v>781</v>
      </c>
      <c r="B2339" s="134">
        <v>130</v>
      </c>
      <c r="C2339" s="491">
        <v>3</v>
      </c>
      <c r="D2339" s="491">
        <v>0</v>
      </c>
      <c r="E2339" s="491">
        <v>0</v>
      </c>
      <c r="F2339" s="491">
        <v>0</v>
      </c>
      <c r="G2339" s="491">
        <f t="shared" si="36"/>
        <v>3</v>
      </c>
    </row>
    <row r="2340" spans="1:7" ht="12.75">
      <c r="A2340" s="134" t="s">
        <v>781</v>
      </c>
      <c r="B2340" s="134">
        <v>140</v>
      </c>
      <c r="C2340" s="491">
        <v>993</v>
      </c>
      <c r="D2340" s="491">
        <v>113</v>
      </c>
      <c r="E2340" s="491">
        <v>15</v>
      </c>
      <c r="F2340" s="491">
        <v>1</v>
      </c>
      <c r="G2340" s="491">
        <f t="shared" si="36"/>
        <v>1122</v>
      </c>
    </row>
    <row r="2341" spans="1:7" ht="12.75">
      <c r="A2341" s="134" t="s">
        <v>781</v>
      </c>
      <c r="B2341" s="134">
        <v>141</v>
      </c>
      <c r="C2341" s="491">
        <v>3729</v>
      </c>
      <c r="D2341" s="491">
        <v>166</v>
      </c>
      <c r="E2341" s="491">
        <v>3</v>
      </c>
      <c r="F2341" s="491">
        <v>1</v>
      </c>
      <c r="G2341" s="491">
        <f t="shared" si="36"/>
        <v>3899</v>
      </c>
    </row>
    <row r="2342" spans="1:7" ht="12.75">
      <c r="A2342" s="134" t="s">
        <v>781</v>
      </c>
      <c r="B2342" s="134">
        <v>142</v>
      </c>
      <c r="C2342" s="491">
        <v>1</v>
      </c>
      <c r="D2342" s="491">
        <v>0</v>
      </c>
      <c r="E2342" s="491">
        <v>0</v>
      </c>
      <c r="F2342" s="491">
        <v>0</v>
      </c>
      <c r="G2342" s="491">
        <f t="shared" si="36"/>
        <v>1</v>
      </c>
    </row>
    <row r="2343" spans="1:7" ht="12.75">
      <c r="A2343" s="134" t="s">
        <v>781</v>
      </c>
      <c r="B2343" s="134">
        <v>143</v>
      </c>
      <c r="C2343" s="491">
        <v>8367</v>
      </c>
      <c r="D2343" s="491">
        <v>83</v>
      </c>
      <c r="E2343" s="491">
        <v>28</v>
      </c>
      <c r="F2343" s="491">
        <v>1</v>
      </c>
      <c r="G2343" s="491">
        <f t="shared" si="36"/>
        <v>8479</v>
      </c>
    </row>
    <row r="2344" spans="1:7" ht="12.75">
      <c r="A2344" s="134" t="s">
        <v>781</v>
      </c>
      <c r="B2344" s="134">
        <v>144</v>
      </c>
      <c r="C2344" s="491">
        <v>408</v>
      </c>
      <c r="D2344" s="491">
        <v>71</v>
      </c>
      <c r="E2344" s="491">
        <v>1</v>
      </c>
      <c r="F2344" s="491">
        <v>0</v>
      </c>
      <c r="G2344" s="491">
        <f t="shared" si="36"/>
        <v>480</v>
      </c>
    </row>
    <row r="2345" spans="1:7" ht="12.75">
      <c r="A2345" s="134" t="s">
        <v>781</v>
      </c>
      <c r="B2345" s="134">
        <v>150</v>
      </c>
      <c r="C2345" s="491">
        <v>0</v>
      </c>
      <c r="D2345" s="491">
        <v>6</v>
      </c>
      <c r="E2345" s="491">
        <v>0</v>
      </c>
      <c r="F2345" s="491">
        <v>0</v>
      </c>
      <c r="G2345" s="491">
        <f t="shared" si="36"/>
        <v>6</v>
      </c>
    </row>
    <row r="2346" spans="1:7" ht="12.75">
      <c r="A2346" s="134" t="s">
        <v>781</v>
      </c>
      <c r="B2346" s="134">
        <v>160</v>
      </c>
      <c r="C2346" s="491">
        <v>0</v>
      </c>
      <c r="D2346" s="491">
        <v>8</v>
      </c>
      <c r="E2346" s="491">
        <v>0</v>
      </c>
      <c r="F2346" s="491">
        <v>0</v>
      </c>
      <c r="G2346" s="491">
        <f t="shared" si="36"/>
        <v>8</v>
      </c>
    </row>
    <row r="2347" spans="1:7" ht="12.75">
      <c r="A2347" s="134" t="s">
        <v>781</v>
      </c>
      <c r="B2347" s="134">
        <v>173</v>
      </c>
      <c r="C2347" s="491">
        <v>0</v>
      </c>
      <c r="D2347" s="491">
        <v>1</v>
      </c>
      <c r="E2347" s="491">
        <v>0</v>
      </c>
      <c r="F2347" s="491">
        <v>0</v>
      </c>
      <c r="G2347" s="491">
        <f t="shared" si="36"/>
        <v>1</v>
      </c>
    </row>
    <row r="2348" spans="1:7" ht="12.75">
      <c r="A2348" s="134" t="s">
        <v>781</v>
      </c>
      <c r="B2348" s="134">
        <v>180</v>
      </c>
      <c r="C2348" s="491">
        <v>0</v>
      </c>
      <c r="D2348" s="491">
        <v>1</v>
      </c>
      <c r="E2348" s="491">
        <v>0</v>
      </c>
      <c r="F2348" s="491">
        <v>0</v>
      </c>
      <c r="G2348" s="491">
        <f t="shared" si="36"/>
        <v>1</v>
      </c>
    </row>
    <row r="2349" spans="1:7" ht="12.75">
      <c r="A2349" s="134" t="s">
        <v>781</v>
      </c>
      <c r="B2349" s="134">
        <v>190</v>
      </c>
      <c r="C2349" s="491">
        <v>0</v>
      </c>
      <c r="D2349" s="491">
        <v>1</v>
      </c>
      <c r="E2349" s="491">
        <v>0</v>
      </c>
      <c r="F2349" s="491">
        <v>0</v>
      </c>
      <c r="G2349" s="491">
        <f t="shared" si="36"/>
        <v>1</v>
      </c>
    </row>
    <row r="2350" spans="1:7" ht="12.75">
      <c r="A2350" s="134" t="s">
        <v>781</v>
      </c>
      <c r="B2350" s="134">
        <v>191</v>
      </c>
      <c r="C2350" s="491">
        <v>1</v>
      </c>
      <c r="D2350" s="491">
        <v>0</v>
      </c>
      <c r="E2350" s="491">
        <v>0</v>
      </c>
      <c r="F2350" s="491">
        <v>0</v>
      </c>
      <c r="G2350" s="491">
        <f t="shared" si="36"/>
        <v>1</v>
      </c>
    </row>
    <row r="2351" spans="1:7" ht="12.75">
      <c r="A2351" s="134" t="s">
        <v>781</v>
      </c>
      <c r="B2351" s="134">
        <v>300</v>
      </c>
      <c r="C2351" s="491">
        <v>0</v>
      </c>
      <c r="D2351" s="491">
        <v>7</v>
      </c>
      <c r="E2351" s="491">
        <v>0</v>
      </c>
      <c r="F2351" s="491">
        <v>0</v>
      </c>
      <c r="G2351" s="491">
        <f t="shared" si="36"/>
        <v>7</v>
      </c>
    </row>
    <row r="2352" spans="1:7" ht="12.75">
      <c r="A2352" s="134" t="s">
        <v>781</v>
      </c>
      <c r="B2352" s="134">
        <v>301</v>
      </c>
      <c r="C2352" s="491">
        <v>2</v>
      </c>
      <c r="D2352" s="491">
        <v>7</v>
      </c>
      <c r="E2352" s="491">
        <v>0</v>
      </c>
      <c r="F2352" s="491">
        <v>0</v>
      </c>
      <c r="G2352" s="491">
        <f t="shared" si="36"/>
        <v>9</v>
      </c>
    </row>
    <row r="2353" spans="1:7" ht="12.75">
      <c r="A2353" s="134" t="s">
        <v>781</v>
      </c>
      <c r="B2353" s="134">
        <v>302</v>
      </c>
      <c r="C2353" s="491">
        <v>0</v>
      </c>
      <c r="D2353" s="491">
        <v>2</v>
      </c>
      <c r="E2353" s="491">
        <v>0</v>
      </c>
      <c r="F2353" s="491">
        <v>0</v>
      </c>
      <c r="G2353" s="491">
        <f t="shared" si="36"/>
        <v>2</v>
      </c>
    </row>
    <row r="2354" spans="1:7" ht="12.75">
      <c r="A2354" s="134" t="s">
        <v>781</v>
      </c>
      <c r="B2354" s="134">
        <v>303</v>
      </c>
      <c r="C2354" s="491">
        <v>1</v>
      </c>
      <c r="D2354" s="491">
        <v>5</v>
      </c>
      <c r="E2354" s="491">
        <v>0</v>
      </c>
      <c r="F2354" s="491">
        <v>0</v>
      </c>
      <c r="G2354" s="491">
        <f t="shared" si="36"/>
        <v>6</v>
      </c>
    </row>
    <row r="2355" spans="1:7" ht="12.75">
      <c r="A2355" s="134" t="s">
        <v>781</v>
      </c>
      <c r="B2355" s="134">
        <v>307</v>
      </c>
      <c r="C2355" s="491">
        <v>0</v>
      </c>
      <c r="D2355" s="491">
        <v>3</v>
      </c>
      <c r="E2355" s="491">
        <v>2</v>
      </c>
      <c r="F2355" s="491">
        <v>0</v>
      </c>
      <c r="G2355" s="491">
        <f t="shared" si="36"/>
        <v>5</v>
      </c>
    </row>
    <row r="2356" spans="1:7" ht="12.75">
      <c r="A2356" s="134" t="s">
        <v>781</v>
      </c>
      <c r="B2356" s="134">
        <v>310</v>
      </c>
      <c r="C2356" s="491">
        <v>0</v>
      </c>
      <c r="D2356" s="491">
        <v>4</v>
      </c>
      <c r="E2356" s="491">
        <v>0</v>
      </c>
      <c r="F2356" s="491">
        <v>0</v>
      </c>
      <c r="G2356" s="491">
        <f t="shared" si="36"/>
        <v>4</v>
      </c>
    </row>
    <row r="2357" spans="1:7" ht="12.75">
      <c r="A2357" s="134" t="s">
        <v>781</v>
      </c>
      <c r="B2357" s="134">
        <v>311</v>
      </c>
      <c r="C2357" s="491">
        <v>0</v>
      </c>
      <c r="D2357" s="491">
        <v>1</v>
      </c>
      <c r="E2357" s="491">
        <v>0</v>
      </c>
      <c r="F2357" s="491">
        <v>0</v>
      </c>
      <c r="G2357" s="491">
        <f t="shared" si="36"/>
        <v>1</v>
      </c>
    </row>
    <row r="2358" spans="1:7" ht="12.75">
      <c r="A2358" s="134" t="s">
        <v>781</v>
      </c>
      <c r="B2358" s="134">
        <v>314</v>
      </c>
      <c r="C2358" s="491">
        <v>1</v>
      </c>
      <c r="D2358" s="491">
        <v>1</v>
      </c>
      <c r="E2358" s="491">
        <v>0</v>
      </c>
      <c r="F2358" s="491">
        <v>0</v>
      </c>
      <c r="G2358" s="491">
        <f t="shared" si="36"/>
        <v>2</v>
      </c>
    </row>
    <row r="2359" spans="1:7" ht="12.75">
      <c r="A2359" s="134" t="s">
        <v>781</v>
      </c>
      <c r="B2359" s="134">
        <v>317</v>
      </c>
      <c r="C2359" s="491">
        <v>0</v>
      </c>
      <c r="D2359" s="491">
        <v>1</v>
      </c>
      <c r="E2359" s="491">
        <v>0</v>
      </c>
      <c r="F2359" s="491">
        <v>0</v>
      </c>
      <c r="G2359" s="491">
        <f t="shared" si="36"/>
        <v>1</v>
      </c>
    </row>
    <row r="2360" spans="1:7" ht="12.75">
      <c r="A2360" s="134" t="s">
        <v>781</v>
      </c>
      <c r="B2360" s="134">
        <v>320</v>
      </c>
      <c r="C2360" s="491">
        <v>0</v>
      </c>
      <c r="D2360" s="491">
        <v>17</v>
      </c>
      <c r="E2360" s="491">
        <v>0</v>
      </c>
      <c r="F2360" s="491">
        <v>0</v>
      </c>
      <c r="G2360" s="491">
        <f t="shared" si="36"/>
        <v>17</v>
      </c>
    </row>
    <row r="2361" spans="1:7" ht="12.75">
      <c r="A2361" s="134" t="s">
        <v>781</v>
      </c>
      <c r="B2361" s="134">
        <v>324</v>
      </c>
      <c r="C2361" s="491">
        <v>0</v>
      </c>
      <c r="D2361" s="491">
        <v>2</v>
      </c>
      <c r="E2361" s="491">
        <v>0</v>
      </c>
      <c r="F2361" s="491">
        <v>0</v>
      </c>
      <c r="G2361" s="491">
        <f t="shared" si="36"/>
        <v>2</v>
      </c>
    </row>
    <row r="2362" spans="1:7" ht="12.75">
      <c r="A2362" s="134" t="s">
        <v>781</v>
      </c>
      <c r="B2362" s="134">
        <v>330</v>
      </c>
      <c r="C2362" s="491">
        <v>3</v>
      </c>
      <c r="D2362" s="491">
        <v>14</v>
      </c>
      <c r="E2362" s="491">
        <v>0</v>
      </c>
      <c r="F2362" s="491">
        <v>0</v>
      </c>
      <c r="G2362" s="491">
        <f t="shared" si="36"/>
        <v>17</v>
      </c>
    </row>
    <row r="2363" spans="1:7" ht="12.75">
      <c r="A2363" s="134" t="s">
        <v>781</v>
      </c>
      <c r="B2363" s="134">
        <v>340</v>
      </c>
      <c r="C2363" s="491">
        <v>1</v>
      </c>
      <c r="D2363" s="491">
        <v>8</v>
      </c>
      <c r="E2363" s="491">
        <v>0</v>
      </c>
      <c r="F2363" s="491">
        <v>0</v>
      </c>
      <c r="G2363" s="491">
        <f t="shared" si="36"/>
        <v>9</v>
      </c>
    </row>
    <row r="2364" spans="1:7" ht="12.75">
      <c r="A2364" s="134" t="s">
        <v>781</v>
      </c>
      <c r="B2364" s="134">
        <v>361</v>
      </c>
      <c r="C2364" s="491">
        <v>0</v>
      </c>
      <c r="D2364" s="491">
        <v>3</v>
      </c>
      <c r="E2364" s="491">
        <v>0</v>
      </c>
      <c r="F2364" s="491">
        <v>0</v>
      </c>
      <c r="G2364" s="491">
        <f t="shared" si="36"/>
        <v>3</v>
      </c>
    </row>
    <row r="2365" spans="1:7" ht="12.75">
      <c r="A2365" s="134" t="s">
        <v>781</v>
      </c>
      <c r="B2365" s="134">
        <v>370</v>
      </c>
      <c r="C2365" s="491">
        <v>0</v>
      </c>
      <c r="D2365" s="491">
        <v>7</v>
      </c>
      <c r="E2365" s="491">
        <v>0</v>
      </c>
      <c r="F2365" s="491">
        <v>0</v>
      </c>
      <c r="G2365" s="491">
        <f t="shared" si="36"/>
        <v>7</v>
      </c>
    </row>
    <row r="2366" spans="1:7" ht="12.75">
      <c r="A2366" s="134" t="s">
        <v>781</v>
      </c>
      <c r="B2366" s="134">
        <v>400</v>
      </c>
      <c r="C2366" s="491">
        <v>0</v>
      </c>
      <c r="D2366" s="491">
        <v>4</v>
      </c>
      <c r="E2366" s="491">
        <v>0</v>
      </c>
      <c r="F2366" s="491">
        <v>0</v>
      </c>
      <c r="G2366" s="491">
        <f t="shared" si="36"/>
        <v>4</v>
      </c>
    </row>
    <row r="2367" spans="1:7" ht="12.75">
      <c r="A2367" s="134" t="s">
        <v>781</v>
      </c>
      <c r="B2367" s="134">
        <v>410</v>
      </c>
      <c r="C2367" s="491">
        <v>1</v>
      </c>
      <c r="D2367" s="491">
        <v>8</v>
      </c>
      <c r="E2367" s="491">
        <v>0</v>
      </c>
      <c r="F2367" s="491">
        <v>0</v>
      </c>
      <c r="G2367" s="491">
        <f t="shared" si="36"/>
        <v>9</v>
      </c>
    </row>
    <row r="2368" spans="1:7" ht="12.75">
      <c r="A2368" s="134" t="s">
        <v>781</v>
      </c>
      <c r="B2368" s="134">
        <v>450</v>
      </c>
      <c r="C2368" s="491">
        <v>14</v>
      </c>
      <c r="D2368" s="491">
        <v>0</v>
      </c>
      <c r="E2368" s="491">
        <v>0</v>
      </c>
      <c r="F2368" s="491">
        <v>0</v>
      </c>
      <c r="G2368" s="491">
        <f t="shared" si="36"/>
        <v>14</v>
      </c>
    </row>
    <row r="2369" spans="1:7" ht="12.75">
      <c r="A2369" s="134" t="s">
        <v>781</v>
      </c>
      <c r="B2369" s="134">
        <v>501</v>
      </c>
      <c r="C2369" s="491">
        <v>2</v>
      </c>
      <c r="D2369" s="491">
        <v>9</v>
      </c>
      <c r="E2369" s="491">
        <v>0</v>
      </c>
      <c r="F2369" s="491">
        <v>0</v>
      </c>
      <c r="G2369" s="491">
        <f t="shared" si="36"/>
        <v>11</v>
      </c>
    </row>
    <row r="2370" spans="1:7" ht="12.75">
      <c r="A2370" s="134" t="s">
        <v>781</v>
      </c>
      <c r="B2370" s="134">
        <v>502</v>
      </c>
      <c r="C2370" s="491">
        <v>0</v>
      </c>
      <c r="D2370" s="491">
        <v>11</v>
      </c>
      <c r="E2370" s="491">
        <v>0</v>
      </c>
      <c r="F2370" s="491">
        <v>0</v>
      </c>
      <c r="G2370" s="491">
        <f t="shared" si="36"/>
        <v>11</v>
      </c>
    </row>
    <row r="2371" spans="1:7" ht="12.75">
      <c r="A2371" s="134" t="s">
        <v>781</v>
      </c>
      <c r="B2371" s="134">
        <v>503</v>
      </c>
      <c r="C2371" s="491">
        <v>0</v>
      </c>
      <c r="D2371" s="491">
        <v>2</v>
      </c>
      <c r="E2371" s="491">
        <v>0</v>
      </c>
      <c r="F2371" s="491">
        <v>0</v>
      </c>
      <c r="G2371" s="491">
        <f t="shared" si="36"/>
        <v>2</v>
      </c>
    </row>
    <row r="2372" spans="1:7" ht="12.75">
      <c r="A2372" s="134" t="s">
        <v>781</v>
      </c>
      <c r="B2372" s="134">
        <v>560</v>
      </c>
      <c r="C2372" s="491">
        <v>1</v>
      </c>
      <c r="D2372" s="491">
        <v>7</v>
      </c>
      <c r="E2372" s="491">
        <v>0</v>
      </c>
      <c r="F2372" s="491">
        <v>0</v>
      </c>
      <c r="G2372" s="491">
        <f t="shared" ref="G2372:G2435" si="37">SUM(C2372:F2372)</f>
        <v>8</v>
      </c>
    </row>
    <row r="2373" spans="1:7" ht="12.75">
      <c r="A2373" s="134" t="s">
        <v>781</v>
      </c>
      <c r="B2373" s="134">
        <v>650</v>
      </c>
      <c r="C2373" s="491">
        <v>0</v>
      </c>
      <c r="D2373" s="491">
        <v>21</v>
      </c>
      <c r="E2373" s="491">
        <v>0</v>
      </c>
      <c r="F2373" s="491">
        <v>0</v>
      </c>
      <c r="G2373" s="491">
        <f t="shared" si="37"/>
        <v>21</v>
      </c>
    </row>
    <row r="2374" spans="1:7" ht="12.75">
      <c r="A2374" s="134" t="s">
        <v>781</v>
      </c>
      <c r="B2374" s="134">
        <v>652</v>
      </c>
      <c r="C2374" s="491">
        <v>0</v>
      </c>
      <c r="D2374" s="491">
        <v>1</v>
      </c>
      <c r="E2374" s="491">
        <v>0</v>
      </c>
      <c r="F2374" s="491">
        <v>0</v>
      </c>
      <c r="G2374" s="491">
        <f t="shared" si="37"/>
        <v>1</v>
      </c>
    </row>
    <row r="2375" spans="1:7" ht="12.75">
      <c r="A2375" s="134" t="s">
        <v>781</v>
      </c>
      <c r="B2375" s="134">
        <v>653</v>
      </c>
      <c r="C2375" s="491">
        <v>0</v>
      </c>
      <c r="D2375" s="491">
        <v>3</v>
      </c>
      <c r="E2375" s="491">
        <v>0</v>
      </c>
      <c r="F2375" s="491">
        <v>0</v>
      </c>
      <c r="G2375" s="491">
        <f t="shared" si="37"/>
        <v>3</v>
      </c>
    </row>
    <row r="2376" spans="1:7" ht="12.75">
      <c r="A2376" s="134" t="s">
        <v>781</v>
      </c>
      <c r="B2376" s="134">
        <v>800</v>
      </c>
      <c r="C2376" s="491">
        <v>1</v>
      </c>
      <c r="D2376" s="491">
        <v>0</v>
      </c>
      <c r="E2376" s="491">
        <v>0</v>
      </c>
      <c r="F2376" s="491">
        <v>0</v>
      </c>
      <c r="G2376" s="491">
        <f t="shared" si="37"/>
        <v>1</v>
      </c>
    </row>
    <row r="2377" spans="1:7" ht="12.75">
      <c r="A2377" s="134" t="s">
        <v>782</v>
      </c>
      <c r="B2377" s="134">
        <v>110</v>
      </c>
      <c r="C2377" s="491">
        <v>4</v>
      </c>
      <c r="D2377" s="491">
        <v>17</v>
      </c>
      <c r="E2377" s="491">
        <v>1</v>
      </c>
      <c r="F2377" s="491">
        <v>0</v>
      </c>
      <c r="G2377" s="491">
        <f t="shared" si="37"/>
        <v>22</v>
      </c>
    </row>
    <row r="2378" spans="1:7" ht="12.75">
      <c r="A2378" s="134" t="s">
        <v>782</v>
      </c>
      <c r="B2378" s="134">
        <v>120</v>
      </c>
      <c r="C2378" s="491">
        <v>1</v>
      </c>
      <c r="D2378" s="491">
        <v>1</v>
      </c>
      <c r="E2378" s="491">
        <v>0</v>
      </c>
      <c r="F2378" s="491">
        <v>0</v>
      </c>
      <c r="G2378" s="491">
        <f t="shared" si="37"/>
        <v>2</v>
      </c>
    </row>
    <row r="2379" spans="1:7" ht="12.75">
      <c r="A2379" s="134" t="s">
        <v>782</v>
      </c>
      <c r="B2379" s="134">
        <v>140</v>
      </c>
      <c r="C2379" s="491">
        <v>144</v>
      </c>
      <c r="D2379" s="491">
        <v>20</v>
      </c>
      <c r="E2379" s="491">
        <v>3</v>
      </c>
      <c r="F2379" s="491">
        <v>0</v>
      </c>
      <c r="G2379" s="491">
        <f t="shared" si="37"/>
        <v>167</v>
      </c>
    </row>
    <row r="2380" spans="1:7" ht="12.75">
      <c r="A2380" s="134" t="s">
        <v>782</v>
      </c>
      <c r="B2380" s="134">
        <v>141</v>
      </c>
      <c r="C2380" s="491">
        <v>281</v>
      </c>
      <c r="D2380" s="491">
        <v>30</v>
      </c>
      <c r="E2380" s="491">
        <v>3</v>
      </c>
      <c r="F2380" s="491">
        <v>0</v>
      </c>
      <c r="G2380" s="491">
        <f t="shared" si="37"/>
        <v>314</v>
      </c>
    </row>
    <row r="2381" spans="1:7" ht="12.75">
      <c r="A2381" s="134" t="s">
        <v>782</v>
      </c>
      <c r="B2381" s="134">
        <v>142</v>
      </c>
      <c r="C2381" s="491">
        <v>683</v>
      </c>
      <c r="D2381" s="491">
        <v>334</v>
      </c>
      <c r="E2381" s="491">
        <v>2</v>
      </c>
      <c r="F2381" s="491">
        <v>0</v>
      </c>
      <c r="G2381" s="491">
        <f t="shared" si="37"/>
        <v>1019</v>
      </c>
    </row>
    <row r="2382" spans="1:7" ht="12.75">
      <c r="A2382" s="134" t="s">
        <v>782</v>
      </c>
      <c r="B2382" s="134">
        <v>143</v>
      </c>
      <c r="C2382" s="491">
        <v>40517</v>
      </c>
      <c r="D2382" s="491">
        <v>157</v>
      </c>
      <c r="E2382" s="491">
        <v>75</v>
      </c>
      <c r="F2382" s="491">
        <v>3</v>
      </c>
      <c r="G2382" s="491">
        <f t="shared" si="37"/>
        <v>40752</v>
      </c>
    </row>
    <row r="2383" spans="1:7" ht="12.75">
      <c r="A2383" s="134" t="s">
        <v>782</v>
      </c>
      <c r="B2383" s="134">
        <v>144</v>
      </c>
      <c r="C2383" s="491">
        <v>62</v>
      </c>
      <c r="D2383" s="491">
        <v>19</v>
      </c>
      <c r="E2383" s="491">
        <v>1</v>
      </c>
      <c r="F2383" s="491">
        <v>0</v>
      </c>
      <c r="G2383" s="491">
        <f t="shared" si="37"/>
        <v>82</v>
      </c>
    </row>
    <row r="2384" spans="1:7" ht="12.75">
      <c r="A2384" s="134" t="s">
        <v>782</v>
      </c>
      <c r="B2384" s="134">
        <v>150</v>
      </c>
      <c r="C2384" s="491">
        <v>0</v>
      </c>
      <c r="D2384" s="491">
        <v>1</v>
      </c>
      <c r="E2384" s="491">
        <v>0</v>
      </c>
      <c r="F2384" s="491">
        <v>0</v>
      </c>
      <c r="G2384" s="491">
        <f t="shared" si="37"/>
        <v>1</v>
      </c>
    </row>
    <row r="2385" spans="1:7" ht="12.75">
      <c r="A2385" s="134" t="s">
        <v>782</v>
      </c>
      <c r="B2385" s="134">
        <v>160</v>
      </c>
      <c r="C2385" s="491">
        <v>0</v>
      </c>
      <c r="D2385" s="491">
        <v>3</v>
      </c>
      <c r="E2385" s="491">
        <v>0</v>
      </c>
      <c r="F2385" s="491">
        <v>0</v>
      </c>
      <c r="G2385" s="491">
        <f t="shared" si="37"/>
        <v>3</v>
      </c>
    </row>
    <row r="2386" spans="1:7" ht="12.75">
      <c r="A2386" s="134" t="s">
        <v>782</v>
      </c>
      <c r="B2386" s="134">
        <v>171</v>
      </c>
      <c r="C2386" s="491">
        <v>0</v>
      </c>
      <c r="D2386" s="491">
        <v>1</v>
      </c>
      <c r="E2386" s="491">
        <v>0</v>
      </c>
      <c r="F2386" s="491">
        <v>0</v>
      </c>
      <c r="G2386" s="491">
        <f t="shared" si="37"/>
        <v>1</v>
      </c>
    </row>
    <row r="2387" spans="1:7" ht="12.75">
      <c r="A2387" s="134" t="s">
        <v>782</v>
      </c>
      <c r="B2387" s="134">
        <v>190</v>
      </c>
      <c r="C2387" s="491">
        <v>1</v>
      </c>
      <c r="D2387" s="491">
        <v>0</v>
      </c>
      <c r="E2387" s="491">
        <v>0</v>
      </c>
      <c r="F2387" s="491">
        <v>0</v>
      </c>
      <c r="G2387" s="491">
        <f t="shared" si="37"/>
        <v>1</v>
      </c>
    </row>
    <row r="2388" spans="1:7" ht="12.75">
      <c r="A2388" s="134" t="s">
        <v>782</v>
      </c>
      <c r="B2388" s="134">
        <v>217</v>
      </c>
      <c r="C2388" s="491">
        <v>3</v>
      </c>
      <c r="D2388" s="491">
        <v>2</v>
      </c>
      <c r="E2388" s="491">
        <v>1</v>
      </c>
      <c r="F2388" s="491">
        <v>1</v>
      </c>
      <c r="G2388" s="491">
        <f t="shared" si="37"/>
        <v>7</v>
      </c>
    </row>
    <row r="2389" spans="1:7" ht="12.75">
      <c r="A2389" s="134" t="s">
        <v>782</v>
      </c>
      <c r="B2389" s="134">
        <v>258</v>
      </c>
      <c r="C2389" s="491">
        <v>0</v>
      </c>
      <c r="D2389" s="491">
        <v>0</v>
      </c>
      <c r="E2389" s="491">
        <v>1</v>
      </c>
      <c r="F2389" s="491">
        <v>0</v>
      </c>
      <c r="G2389" s="491">
        <f t="shared" si="37"/>
        <v>1</v>
      </c>
    </row>
    <row r="2390" spans="1:7" ht="12.75">
      <c r="A2390" s="134" t="s">
        <v>782</v>
      </c>
      <c r="B2390" s="134">
        <v>263</v>
      </c>
      <c r="C2390" s="491">
        <v>1</v>
      </c>
      <c r="D2390" s="491">
        <v>0</v>
      </c>
      <c r="E2390" s="491">
        <v>0</v>
      </c>
      <c r="F2390" s="491">
        <v>0</v>
      </c>
      <c r="G2390" s="491">
        <f t="shared" si="37"/>
        <v>1</v>
      </c>
    </row>
    <row r="2391" spans="1:7" ht="12.75">
      <c r="A2391" s="134" t="s">
        <v>782</v>
      </c>
      <c r="B2391" s="134">
        <v>320</v>
      </c>
      <c r="C2391" s="491">
        <v>0</v>
      </c>
      <c r="D2391" s="491">
        <v>1</v>
      </c>
      <c r="E2391" s="491">
        <v>0</v>
      </c>
      <c r="F2391" s="491">
        <v>0</v>
      </c>
      <c r="G2391" s="491">
        <f t="shared" si="37"/>
        <v>1</v>
      </c>
    </row>
    <row r="2392" spans="1:7" ht="12.75">
      <c r="A2392" s="134" t="s">
        <v>782</v>
      </c>
      <c r="B2392" s="134">
        <v>330</v>
      </c>
      <c r="C2392" s="491">
        <v>0</v>
      </c>
      <c r="D2392" s="491">
        <v>2</v>
      </c>
      <c r="E2392" s="491">
        <v>0</v>
      </c>
      <c r="F2392" s="491">
        <v>0</v>
      </c>
      <c r="G2392" s="491">
        <f t="shared" si="37"/>
        <v>2</v>
      </c>
    </row>
    <row r="2393" spans="1:7" ht="12.75">
      <c r="A2393" s="134" t="s">
        <v>782</v>
      </c>
      <c r="B2393" s="134">
        <v>410</v>
      </c>
      <c r="C2393" s="491">
        <v>0</v>
      </c>
      <c r="D2393" s="491">
        <v>1</v>
      </c>
      <c r="E2393" s="491">
        <v>0</v>
      </c>
      <c r="F2393" s="491">
        <v>0</v>
      </c>
      <c r="G2393" s="491">
        <f t="shared" si="37"/>
        <v>1</v>
      </c>
    </row>
    <row r="2394" spans="1:7" ht="12.75">
      <c r="A2394" s="134" t="s">
        <v>782</v>
      </c>
      <c r="B2394" s="134">
        <v>420</v>
      </c>
      <c r="C2394" s="491">
        <v>1</v>
      </c>
      <c r="D2394" s="491">
        <v>3</v>
      </c>
      <c r="E2394" s="491">
        <v>0</v>
      </c>
      <c r="F2394" s="491">
        <v>0</v>
      </c>
      <c r="G2394" s="491">
        <f t="shared" si="37"/>
        <v>4</v>
      </c>
    </row>
    <row r="2395" spans="1:7" ht="12.75">
      <c r="A2395" s="134" t="s">
        <v>782</v>
      </c>
      <c r="B2395" s="134">
        <v>421</v>
      </c>
      <c r="C2395" s="491">
        <v>0</v>
      </c>
      <c r="D2395" s="491">
        <v>1</v>
      </c>
      <c r="E2395" s="491">
        <v>0</v>
      </c>
      <c r="F2395" s="491">
        <v>0</v>
      </c>
      <c r="G2395" s="491">
        <f t="shared" si="37"/>
        <v>1</v>
      </c>
    </row>
    <row r="2396" spans="1:7" ht="12.75">
      <c r="A2396" s="134" t="s">
        <v>782</v>
      </c>
      <c r="B2396" s="134">
        <v>450</v>
      </c>
      <c r="C2396" s="491">
        <v>2</v>
      </c>
      <c r="D2396" s="491">
        <v>0</v>
      </c>
      <c r="E2396" s="491">
        <v>0</v>
      </c>
      <c r="F2396" s="491">
        <v>0</v>
      </c>
      <c r="G2396" s="491">
        <f t="shared" si="37"/>
        <v>2</v>
      </c>
    </row>
    <row r="2397" spans="1:7" ht="12.75">
      <c r="A2397" s="134" t="s">
        <v>782</v>
      </c>
      <c r="B2397" s="134">
        <v>650</v>
      </c>
      <c r="C2397" s="491">
        <v>0</v>
      </c>
      <c r="D2397" s="491">
        <v>1</v>
      </c>
      <c r="E2397" s="491">
        <v>0</v>
      </c>
      <c r="F2397" s="491">
        <v>0</v>
      </c>
      <c r="G2397" s="491">
        <f t="shared" si="37"/>
        <v>1</v>
      </c>
    </row>
    <row r="2398" spans="1:7" ht="12.75">
      <c r="A2398" s="134" t="s">
        <v>782</v>
      </c>
      <c r="B2398" s="134">
        <v>651</v>
      </c>
      <c r="C2398" s="491">
        <v>1</v>
      </c>
      <c r="D2398" s="491">
        <v>0</v>
      </c>
      <c r="E2398" s="491">
        <v>0</v>
      </c>
      <c r="F2398" s="491">
        <v>0</v>
      </c>
      <c r="G2398" s="491">
        <f t="shared" si="37"/>
        <v>1</v>
      </c>
    </row>
    <row r="2399" spans="1:7" ht="12.75">
      <c r="A2399" s="134" t="s">
        <v>783</v>
      </c>
      <c r="B2399" s="134">
        <v>100</v>
      </c>
      <c r="C2399" s="491">
        <v>5</v>
      </c>
      <c r="D2399" s="491">
        <v>13</v>
      </c>
      <c r="E2399" s="491">
        <v>0</v>
      </c>
      <c r="F2399" s="491">
        <v>0</v>
      </c>
      <c r="G2399" s="491">
        <f t="shared" si="37"/>
        <v>18</v>
      </c>
    </row>
    <row r="2400" spans="1:7" ht="12.75">
      <c r="A2400" s="134" t="s">
        <v>783</v>
      </c>
      <c r="B2400" s="134">
        <v>101</v>
      </c>
      <c r="C2400" s="491">
        <v>5</v>
      </c>
      <c r="D2400" s="491">
        <v>90</v>
      </c>
      <c r="E2400" s="491">
        <v>0</v>
      </c>
      <c r="F2400" s="491">
        <v>0</v>
      </c>
      <c r="G2400" s="491">
        <f t="shared" si="37"/>
        <v>95</v>
      </c>
    </row>
    <row r="2401" spans="1:7" ht="12.75">
      <c r="A2401" s="134" t="s">
        <v>783</v>
      </c>
      <c r="B2401" s="134">
        <v>102</v>
      </c>
      <c r="C2401" s="491">
        <v>0</v>
      </c>
      <c r="D2401" s="491">
        <v>12</v>
      </c>
      <c r="E2401" s="491">
        <v>0</v>
      </c>
      <c r="F2401" s="491">
        <v>0</v>
      </c>
      <c r="G2401" s="491">
        <f t="shared" si="37"/>
        <v>12</v>
      </c>
    </row>
    <row r="2402" spans="1:7" ht="12.75">
      <c r="A2402" s="134" t="s">
        <v>783</v>
      </c>
      <c r="B2402" s="134">
        <v>103</v>
      </c>
      <c r="C2402" s="491">
        <v>4</v>
      </c>
      <c r="D2402" s="491">
        <v>45</v>
      </c>
      <c r="E2402" s="491">
        <v>0</v>
      </c>
      <c r="F2402" s="491">
        <v>0</v>
      </c>
      <c r="G2402" s="491">
        <f t="shared" si="37"/>
        <v>49</v>
      </c>
    </row>
    <row r="2403" spans="1:7" ht="12.75">
      <c r="A2403" s="134" t="s">
        <v>783</v>
      </c>
      <c r="B2403" s="134">
        <v>104</v>
      </c>
      <c r="C2403" s="491">
        <v>4</v>
      </c>
      <c r="D2403" s="491">
        <v>63</v>
      </c>
      <c r="E2403" s="491">
        <v>0</v>
      </c>
      <c r="F2403" s="491">
        <v>0</v>
      </c>
      <c r="G2403" s="491">
        <f t="shared" si="37"/>
        <v>67</v>
      </c>
    </row>
    <row r="2404" spans="1:7" ht="12.75">
      <c r="A2404" s="134" t="s">
        <v>783</v>
      </c>
      <c r="B2404" s="134">
        <v>106</v>
      </c>
      <c r="C2404" s="491">
        <v>0</v>
      </c>
      <c r="D2404" s="491">
        <v>30</v>
      </c>
      <c r="E2404" s="491">
        <v>0</v>
      </c>
      <c r="F2404" s="491">
        <v>0</v>
      </c>
      <c r="G2404" s="491">
        <f t="shared" si="37"/>
        <v>30</v>
      </c>
    </row>
    <row r="2405" spans="1:7" ht="12.75">
      <c r="A2405" s="134" t="s">
        <v>783</v>
      </c>
      <c r="B2405" s="134">
        <v>107</v>
      </c>
      <c r="C2405" s="491">
        <v>3</v>
      </c>
      <c r="D2405" s="491">
        <v>34</v>
      </c>
      <c r="E2405" s="491">
        <v>0</v>
      </c>
      <c r="F2405" s="491">
        <v>0</v>
      </c>
      <c r="G2405" s="491">
        <f t="shared" si="37"/>
        <v>37</v>
      </c>
    </row>
    <row r="2406" spans="1:7" ht="12.75">
      <c r="A2406" s="134" t="s">
        <v>783</v>
      </c>
      <c r="B2406" s="134">
        <v>110</v>
      </c>
      <c r="C2406" s="491">
        <v>55</v>
      </c>
      <c r="D2406" s="491">
        <v>157</v>
      </c>
      <c r="E2406" s="491">
        <v>0</v>
      </c>
      <c r="F2406" s="491">
        <v>1</v>
      </c>
      <c r="G2406" s="491">
        <f t="shared" si="37"/>
        <v>213</v>
      </c>
    </row>
    <row r="2407" spans="1:7" ht="12.75">
      <c r="A2407" s="134" t="s">
        <v>783</v>
      </c>
      <c r="B2407" s="134">
        <v>120</v>
      </c>
      <c r="C2407" s="491">
        <v>32</v>
      </c>
      <c r="D2407" s="491">
        <v>116</v>
      </c>
      <c r="E2407" s="491">
        <v>2</v>
      </c>
      <c r="F2407" s="491">
        <v>2</v>
      </c>
      <c r="G2407" s="491">
        <f t="shared" si="37"/>
        <v>152</v>
      </c>
    </row>
    <row r="2408" spans="1:7" ht="12.75">
      <c r="A2408" s="134" t="s">
        <v>783</v>
      </c>
      <c r="B2408" s="134">
        <v>130</v>
      </c>
      <c r="C2408" s="491">
        <v>19</v>
      </c>
      <c r="D2408" s="491">
        <v>13</v>
      </c>
      <c r="E2408" s="491">
        <v>0</v>
      </c>
      <c r="F2408" s="491">
        <v>0</v>
      </c>
      <c r="G2408" s="491">
        <f t="shared" si="37"/>
        <v>32</v>
      </c>
    </row>
    <row r="2409" spans="1:7" ht="12.75">
      <c r="A2409" s="134" t="s">
        <v>783</v>
      </c>
      <c r="B2409" s="134">
        <v>140</v>
      </c>
      <c r="C2409" s="491">
        <v>16947</v>
      </c>
      <c r="D2409" s="491">
        <v>31807</v>
      </c>
      <c r="E2409" s="491">
        <v>177</v>
      </c>
      <c r="F2409" s="491">
        <v>221</v>
      </c>
      <c r="G2409" s="491">
        <f t="shared" si="37"/>
        <v>49152</v>
      </c>
    </row>
    <row r="2410" spans="1:7" ht="12.75">
      <c r="A2410" s="134" t="s">
        <v>783</v>
      </c>
      <c r="B2410" s="134">
        <v>141</v>
      </c>
      <c r="C2410" s="491">
        <v>50220</v>
      </c>
      <c r="D2410" s="491">
        <v>8518</v>
      </c>
      <c r="E2410" s="491">
        <v>46</v>
      </c>
      <c r="F2410" s="491">
        <v>270</v>
      </c>
      <c r="G2410" s="491">
        <f t="shared" si="37"/>
        <v>59054</v>
      </c>
    </row>
    <row r="2411" spans="1:7" ht="12.75">
      <c r="A2411" s="134" t="s">
        <v>783</v>
      </c>
      <c r="B2411" s="134">
        <v>142</v>
      </c>
      <c r="C2411" s="491">
        <v>110</v>
      </c>
      <c r="D2411" s="491">
        <v>7</v>
      </c>
      <c r="E2411" s="491">
        <v>0</v>
      </c>
      <c r="F2411" s="491">
        <v>0</v>
      </c>
      <c r="G2411" s="491">
        <f t="shared" si="37"/>
        <v>117</v>
      </c>
    </row>
    <row r="2412" spans="1:7" ht="12.75">
      <c r="A2412" s="134" t="s">
        <v>783</v>
      </c>
      <c r="B2412" s="134">
        <v>143</v>
      </c>
      <c r="C2412" s="491">
        <v>25910</v>
      </c>
      <c r="D2412" s="491">
        <v>1714</v>
      </c>
      <c r="E2412" s="491">
        <v>573</v>
      </c>
      <c r="F2412" s="491">
        <v>47</v>
      </c>
      <c r="G2412" s="491">
        <f t="shared" si="37"/>
        <v>28244</v>
      </c>
    </row>
    <row r="2413" spans="1:7" ht="12.75">
      <c r="A2413" s="134" t="s">
        <v>783</v>
      </c>
      <c r="B2413" s="134">
        <v>144</v>
      </c>
      <c r="C2413" s="491">
        <v>3259</v>
      </c>
      <c r="D2413" s="491">
        <v>7666</v>
      </c>
      <c r="E2413" s="491">
        <v>142</v>
      </c>
      <c r="F2413" s="491">
        <v>76</v>
      </c>
      <c r="G2413" s="491">
        <f t="shared" si="37"/>
        <v>11143</v>
      </c>
    </row>
    <row r="2414" spans="1:7" ht="12.75">
      <c r="A2414" s="134" t="s">
        <v>783</v>
      </c>
      <c r="B2414" s="134">
        <v>150</v>
      </c>
      <c r="C2414" s="491">
        <v>1</v>
      </c>
      <c r="D2414" s="491">
        <v>83</v>
      </c>
      <c r="E2414" s="491">
        <v>0</v>
      </c>
      <c r="F2414" s="491">
        <v>0</v>
      </c>
      <c r="G2414" s="491">
        <f t="shared" si="37"/>
        <v>84</v>
      </c>
    </row>
    <row r="2415" spans="1:7" ht="12.75">
      <c r="A2415" s="134" t="s">
        <v>783</v>
      </c>
      <c r="B2415" s="134">
        <v>160</v>
      </c>
      <c r="C2415" s="491">
        <v>4</v>
      </c>
      <c r="D2415" s="491">
        <v>77</v>
      </c>
      <c r="E2415" s="491">
        <v>0</v>
      </c>
      <c r="F2415" s="491">
        <v>0</v>
      </c>
      <c r="G2415" s="491">
        <f t="shared" si="37"/>
        <v>81</v>
      </c>
    </row>
    <row r="2416" spans="1:7" ht="12.75">
      <c r="A2416" s="134" t="s">
        <v>783</v>
      </c>
      <c r="B2416" s="134">
        <v>171</v>
      </c>
      <c r="C2416" s="491">
        <v>1</v>
      </c>
      <c r="D2416" s="491">
        <v>0</v>
      </c>
      <c r="E2416" s="491">
        <v>0</v>
      </c>
      <c r="F2416" s="491">
        <v>0</v>
      </c>
      <c r="G2416" s="491">
        <f t="shared" si="37"/>
        <v>1</v>
      </c>
    </row>
    <row r="2417" spans="1:7" ht="12.75">
      <c r="A2417" s="134" t="s">
        <v>783</v>
      </c>
      <c r="B2417" s="134">
        <v>172</v>
      </c>
      <c r="C2417" s="491">
        <v>0</v>
      </c>
      <c r="D2417" s="491">
        <v>9</v>
      </c>
      <c r="E2417" s="491">
        <v>0</v>
      </c>
      <c r="F2417" s="491">
        <v>0</v>
      </c>
      <c r="G2417" s="491">
        <f t="shared" si="37"/>
        <v>9</v>
      </c>
    </row>
    <row r="2418" spans="1:7" ht="12.75">
      <c r="A2418" s="134" t="s">
        <v>783</v>
      </c>
      <c r="B2418" s="134">
        <v>173</v>
      </c>
      <c r="C2418" s="491">
        <v>0</v>
      </c>
      <c r="D2418" s="491">
        <v>4</v>
      </c>
      <c r="E2418" s="491">
        <v>0</v>
      </c>
      <c r="F2418" s="491">
        <v>0</v>
      </c>
      <c r="G2418" s="491">
        <f t="shared" si="37"/>
        <v>4</v>
      </c>
    </row>
    <row r="2419" spans="1:7" ht="12.75">
      <c r="A2419" s="134" t="s">
        <v>783</v>
      </c>
      <c r="B2419" s="134">
        <v>180</v>
      </c>
      <c r="C2419" s="491">
        <v>0</v>
      </c>
      <c r="D2419" s="491">
        <v>9</v>
      </c>
      <c r="E2419" s="491">
        <v>0</v>
      </c>
      <c r="F2419" s="491">
        <v>0</v>
      </c>
      <c r="G2419" s="491">
        <f t="shared" si="37"/>
        <v>9</v>
      </c>
    </row>
    <row r="2420" spans="1:7" ht="12.75">
      <c r="A2420" s="134" t="s">
        <v>783</v>
      </c>
      <c r="B2420" s="134">
        <v>190</v>
      </c>
      <c r="C2420" s="491">
        <v>4</v>
      </c>
      <c r="D2420" s="491">
        <v>14</v>
      </c>
      <c r="E2420" s="491">
        <v>0</v>
      </c>
      <c r="F2420" s="491">
        <v>0</v>
      </c>
      <c r="G2420" s="491">
        <f t="shared" si="37"/>
        <v>18</v>
      </c>
    </row>
    <row r="2421" spans="1:7" ht="12.75">
      <c r="A2421" s="134" t="s">
        <v>783</v>
      </c>
      <c r="B2421" s="134">
        <v>191</v>
      </c>
      <c r="C2421" s="491">
        <v>6</v>
      </c>
      <c r="D2421" s="491">
        <v>36</v>
      </c>
      <c r="E2421" s="491">
        <v>0</v>
      </c>
      <c r="F2421" s="491">
        <v>0</v>
      </c>
      <c r="G2421" s="491">
        <f t="shared" si="37"/>
        <v>42</v>
      </c>
    </row>
    <row r="2422" spans="1:7" ht="12.75">
      <c r="A2422" s="134" t="s">
        <v>783</v>
      </c>
      <c r="B2422" s="134">
        <v>217</v>
      </c>
      <c r="C2422" s="491">
        <v>23</v>
      </c>
      <c r="D2422" s="491">
        <v>21</v>
      </c>
      <c r="E2422" s="491">
        <v>0</v>
      </c>
      <c r="F2422" s="491">
        <v>0</v>
      </c>
      <c r="G2422" s="491">
        <f t="shared" si="37"/>
        <v>44</v>
      </c>
    </row>
    <row r="2423" spans="1:7" ht="12.75">
      <c r="A2423" s="134" t="s">
        <v>783</v>
      </c>
      <c r="B2423" s="134">
        <v>300</v>
      </c>
      <c r="C2423" s="491">
        <v>7</v>
      </c>
      <c r="D2423" s="491">
        <v>42</v>
      </c>
      <c r="E2423" s="491">
        <v>0</v>
      </c>
      <c r="F2423" s="491">
        <v>0</v>
      </c>
      <c r="G2423" s="491">
        <f t="shared" si="37"/>
        <v>49</v>
      </c>
    </row>
    <row r="2424" spans="1:7" ht="12.75">
      <c r="A2424" s="134" t="s">
        <v>783</v>
      </c>
      <c r="B2424" s="134">
        <v>301</v>
      </c>
      <c r="C2424" s="491">
        <v>12</v>
      </c>
      <c r="D2424" s="491">
        <v>65</v>
      </c>
      <c r="E2424" s="491">
        <v>0</v>
      </c>
      <c r="F2424" s="491">
        <v>0</v>
      </c>
      <c r="G2424" s="491">
        <f t="shared" si="37"/>
        <v>77</v>
      </c>
    </row>
    <row r="2425" spans="1:7" ht="12.75">
      <c r="A2425" s="134" t="s">
        <v>783</v>
      </c>
      <c r="B2425" s="134">
        <v>302</v>
      </c>
      <c r="C2425" s="491">
        <v>1</v>
      </c>
      <c r="D2425" s="491">
        <v>41</v>
      </c>
      <c r="E2425" s="491">
        <v>0</v>
      </c>
      <c r="F2425" s="491">
        <v>0</v>
      </c>
      <c r="G2425" s="491">
        <f t="shared" si="37"/>
        <v>42</v>
      </c>
    </row>
    <row r="2426" spans="1:7" ht="12.75">
      <c r="A2426" s="134" t="s">
        <v>783</v>
      </c>
      <c r="B2426" s="134">
        <v>303</v>
      </c>
      <c r="C2426" s="491">
        <v>24</v>
      </c>
      <c r="D2426" s="491">
        <v>43</v>
      </c>
      <c r="E2426" s="491">
        <v>0</v>
      </c>
      <c r="F2426" s="491">
        <v>0</v>
      </c>
      <c r="G2426" s="491">
        <f t="shared" si="37"/>
        <v>67</v>
      </c>
    </row>
    <row r="2427" spans="1:7" ht="12.75">
      <c r="A2427" s="134" t="s">
        <v>783</v>
      </c>
      <c r="B2427" s="134">
        <v>306</v>
      </c>
      <c r="C2427" s="491">
        <v>0</v>
      </c>
      <c r="D2427" s="491">
        <v>31</v>
      </c>
      <c r="E2427" s="491">
        <v>0</v>
      </c>
      <c r="F2427" s="491">
        <v>0</v>
      </c>
      <c r="G2427" s="491">
        <f t="shared" si="37"/>
        <v>31</v>
      </c>
    </row>
    <row r="2428" spans="1:7" ht="12.75">
      <c r="A2428" s="134" t="s">
        <v>783</v>
      </c>
      <c r="B2428" s="134">
        <v>307</v>
      </c>
      <c r="C2428" s="491">
        <v>2</v>
      </c>
      <c r="D2428" s="491">
        <v>32</v>
      </c>
      <c r="E2428" s="491">
        <v>1</v>
      </c>
      <c r="F2428" s="491">
        <v>0</v>
      </c>
      <c r="G2428" s="491">
        <f t="shared" si="37"/>
        <v>35</v>
      </c>
    </row>
    <row r="2429" spans="1:7" ht="12.75">
      <c r="A2429" s="134" t="s">
        <v>783</v>
      </c>
      <c r="B2429" s="134">
        <v>310</v>
      </c>
      <c r="C2429" s="491">
        <v>1</v>
      </c>
      <c r="D2429" s="491">
        <v>63</v>
      </c>
      <c r="E2429" s="491">
        <v>0</v>
      </c>
      <c r="F2429" s="491">
        <v>0</v>
      </c>
      <c r="G2429" s="491">
        <f t="shared" si="37"/>
        <v>64</v>
      </c>
    </row>
    <row r="2430" spans="1:7" ht="12.75">
      <c r="A2430" s="134" t="s">
        <v>783</v>
      </c>
      <c r="B2430" s="134">
        <v>311</v>
      </c>
      <c r="C2430" s="491">
        <v>0</v>
      </c>
      <c r="D2430" s="491">
        <v>4</v>
      </c>
      <c r="E2430" s="491">
        <v>0</v>
      </c>
      <c r="F2430" s="491">
        <v>0</v>
      </c>
      <c r="G2430" s="491">
        <f t="shared" si="37"/>
        <v>4</v>
      </c>
    </row>
    <row r="2431" spans="1:7" ht="12.75">
      <c r="A2431" s="134" t="s">
        <v>783</v>
      </c>
      <c r="B2431" s="134">
        <v>314</v>
      </c>
      <c r="C2431" s="491">
        <v>3</v>
      </c>
      <c r="D2431" s="491">
        <v>8</v>
      </c>
      <c r="E2431" s="491">
        <v>0</v>
      </c>
      <c r="F2431" s="491">
        <v>0</v>
      </c>
      <c r="G2431" s="491">
        <f t="shared" si="37"/>
        <v>11</v>
      </c>
    </row>
    <row r="2432" spans="1:7" ht="12.75">
      <c r="A2432" s="134" t="s">
        <v>783</v>
      </c>
      <c r="B2432" s="134">
        <v>317</v>
      </c>
      <c r="C2432" s="491">
        <v>0</v>
      </c>
      <c r="D2432" s="491">
        <v>6</v>
      </c>
      <c r="E2432" s="491">
        <v>0</v>
      </c>
      <c r="F2432" s="491">
        <v>0</v>
      </c>
      <c r="G2432" s="491">
        <f t="shared" si="37"/>
        <v>6</v>
      </c>
    </row>
    <row r="2433" spans="1:7" ht="12.75">
      <c r="A2433" s="134" t="s">
        <v>783</v>
      </c>
      <c r="B2433" s="134">
        <v>320</v>
      </c>
      <c r="C2433" s="491">
        <v>14</v>
      </c>
      <c r="D2433" s="491">
        <v>163</v>
      </c>
      <c r="E2433" s="491">
        <v>0</v>
      </c>
      <c r="F2433" s="491">
        <v>0</v>
      </c>
      <c r="G2433" s="491">
        <f t="shared" si="37"/>
        <v>177</v>
      </c>
    </row>
    <row r="2434" spans="1:7" ht="12.75">
      <c r="A2434" s="134" t="s">
        <v>783</v>
      </c>
      <c r="B2434" s="134">
        <v>324</v>
      </c>
      <c r="C2434" s="491">
        <v>2</v>
      </c>
      <c r="D2434" s="491">
        <v>37</v>
      </c>
      <c r="E2434" s="491">
        <v>0</v>
      </c>
      <c r="F2434" s="491">
        <v>0</v>
      </c>
      <c r="G2434" s="491">
        <f t="shared" si="37"/>
        <v>39</v>
      </c>
    </row>
    <row r="2435" spans="1:7" ht="12.75">
      <c r="A2435" s="134" t="s">
        <v>783</v>
      </c>
      <c r="B2435" s="134">
        <v>330</v>
      </c>
      <c r="C2435" s="491">
        <v>12</v>
      </c>
      <c r="D2435" s="491">
        <v>139</v>
      </c>
      <c r="E2435" s="491">
        <v>0</v>
      </c>
      <c r="F2435" s="491">
        <v>0</v>
      </c>
      <c r="G2435" s="491">
        <f t="shared" si="37"/>
        <v>151</v>
      </c>
    </row>
    <row r="2436" spans="1:7" ht="12.75">
      <c r="A2436" s="134" t="s">
        <v>783</v>
      </c>
      <c r="B2436" s="134">
        <v>340</v>
      </c>
      <c r="C2436" s="491">
        <v>8</v>
      </c>
      <c r="D2436" s="491">
        <v>69</v>
      </c>
      <c r="E2436" s="491">
        <v>0</v>
      </c>
      <c r="F2436" s="491">
        <v>0</v>
      </c>
      <c r="G2436" s="491">
        <f t="shared" ref="G2436:G2499" si="38">SUM(C2436:F2436)</f>
        <v>77</v>
      </c>
    </row>
    <row r="2437" spans="1:7" ht="12.75">
      <c r="A2437" s="134" t="s">
        <v>783</v>
      </c>
      <c r="B2437" s="134">
        <v>341</v>
      </c>
      <c r="C2437" s="491">
        <v>2</v>
      </c>
      <c r="D2437" s="491">
        <v>23</v>
      </c>
      <c r="E2437" s="491">
        <v>0</v>
      </c>
      <c r="F2437" s="491">
        <v>0</v>
      </c>
      <c r="G2437" s="491">
        <f t="shared" si="38"/>
        <v>25</v>
      </c>
    </row>
    <row r="2438" spans="1:7" ht="12.75">
      <c r="A2438" s="134" t="s">
        <v>783</v>
      </c>
      <c r="B2438" s="134">
        <v>350</v>
      </c>
      <c r="C2438" s="491">
        <v>0</v>
      </c>
      <c r="D2438" s="491">
        <v>6</v>
      </c>
      <c r="E2438" s="491">
        <v>1</v>
      </c>
      <c r="F2438" s="491">
        <v>0</v>
      </c>
      <c r="G2438" s="491">
        <f t="shared" si="38"/>
        <v>7</v>
      </c>
    </row>
    <row r="2439" spans="1:7" ht="12.75">
      <c r="A2439" s="134" t="s">
        <v>783</v>
      </c>
      <c r="B2439" s="134">
        <v>361</v>
      </c>
      <c r="C2439" s="491">
        <v>0</v>
      </c>
      <c r="D2439" s="491">
        <v>21</v>
      </c>
      <c r="E2439" s="491">
        <v>0</v>
      </c>
      <c r="F2439" s="491">
        <v>0</v>
      </c>
      <c r="G2439" s="491">
        <f t="shared" si="38"/>
        <v>21</v>
      </c>
    </row>
    <row r="2440" spans="1:7" ht="12.75">
      <c r="A2440" s="134" t="s">
        <v>783</v>
      </c>
      <c r="B2440" s="134">
        <v>370</v>
      </c>
      <c r="C2440" s="491">
        <v>17</v>
      </c>
      <c r="D2440" s="491">
        <v>50</v>
      </c>
      <c r="E2440" s="491">
        <v>0</v>
      </c>
      <c r="F2440" s="491">
        <v>0</v>
      </c>
      <c r="G2440" s="491">
        <f t="shared" si="38"/>
        <v>67</v>
      </c>
    </row>
    <row r="2441" spans="1:7" ht="12.75">
      <c r="A2441" s="134" t="s">
        <v>783</v>
      </c>
      <c r="B2441" s="134">
        <v>400</v>
      </c>
      <c r="C2441" s="491">
        <v>2</v>
      </c>
      <c r="D2441" s="491">
        <v>104</v>
      </c>
      <c r="E2441" s="491">
        <v>0</v>
      </c>
      <c r="F2441" s="491">
        <v>0</v>
      </c>
      <c r="G2441" s="491">
        <f t="shared" si="38"/>
        <v>106</v>
      </c>
    </row>
    <row r="2442" spans="1:7" ht="12.75">
      <c r="A2442" s="134" t="s">
        <v>783</v>
      </c>
      <c r="B2442" s="134">
        <v>410</v>
      </c>
      <c r="C2442" s="491">
        <v>4</v>
      </c>
      <c r="D2442" s="491">
        <v>108</v>
      </c>
      <c r="E2442" s="491">
        <v>0</v>
      </c>
      <c r="F2442" s="491">
        <v>0</v>
      </c>
      <c r="G2442" s="491">
        <f t="shared" si="38"/>
        <v>112</v>
      </c>
    </row>
    <row r="2443" spans="1:7" ht="12.75">
      <c r="A2443" s="134" t="s">
        <v>783</v>
      </c>
      <c r="B2443" s="134">
        <v>430</v>
      </c>
      <c r="C2443" s="491">
        <v>0</v>
      </c>
      <c r="D2443" s="491">
        <v>6</v>
      </c>
      <c r="E2443" s="491">
        <v>0</v>
      </c>
      <c r="F2443" s="491">
        <v>0</v>
      </c>
      <c r="G2443" s="491">
        <f t="shared" si="38"/>
        <v>6</v>
      </c>
    </row>
    <row r="2444" spans="1:7" ht="12.75">
      <c r="A2444" s="134" t="s">
        <v>783</v>
      </c>
      <c r="B2444" s="134">
        <v>450</v>
      </c>
      <c r="C2444" s="491">
        <v>1414</v>
      </c>
      <c r="D2444" s="491">
        <v>995</v>
      </c>
      <c r="E2444" s="491">
        <v>0</v>
      </c>
      <c r="F2444" s="491">
        <v>0</v>
      </c>
      <c r="G2444" s="491">
        <f t="shared" si="38"/>
        <v>2409</v>
      </c>
    </row>
    <row r="2445" spans="1:7" ht="12.75">
      <c r="A2445" s="134" t="s">
        <v>783</v>
      </c>
      <c r="B2445" s="134">
        <v>501</v>
      </c>
      <c r="C2445" s="491">
        <v>11</v>
      </c>
      <c r="D2445" s="491">
        <v>174</v>
      </c>
      <c r="E2445" s="491">
        <v>0</v>
      </c>
      <c r="F2445" s="491">
        <v>0</v>
      </c>
      <c r="G2445" s="491">
        <f t="shared" si="38"/>
        <v>185</v>
      </c>
    </row>
    <row r="2446" spans="1:7" ht="12.75">
      <c r="A2446" s="134" t="s">
        <v>783</v>
      </c>
      <c r="B2446" s="134">
        <v>502</v>
      </c>
      <c r="C2446" s="491">
        <v>12</v>
      </c>
      <c r="D2446" s="491">
        <v>170</v>
      </c>
      <c r="E2446" s="491">
        <v>0</v>
      </c>
      <c r="F2446" s="491">
        <v>1</v>
      </c>
      <c r="G2446" s="491">
        <f t="shared" si="38"/>
        <v>183</v>
      </c>
    </row>
    <row r="2447" spans="1:7" ht="12.75">
      <c r="A2447" s="134" t="s">
        <v>783</v>
      </c>
      <c r="B2447" s="134">
        <v>503</v>
      </c>
      <c r="C2447" s="491">
        <v>0</v>
      </c>
      <c r="D2447" s="491">
        <v>37</v>
      </c>
      <c r="E2447" s="491">
        <v>0</v>
      </c>
      <c r="F2447" s="491">
        <v>0</v>
      </c>
      <c r="G2447" s="491">
        <f t="shared" si="38"/>
        <v>37</v>
      </c>
    </row>
    <row r="2448" spans="1:7" ht="12.75">
      <c r="A2448" s="134" t="s">
        <v>783</v>
      </c>
      <c r="B2448" s="134">
        <v>560</v>
      </c>
      <c r="C2448" s="491">
        <v>2</v>
      </c>
      <c r="D2448" s="491">
        <v>57</v>
      </c>
      <c r="E2448" s="491">
        <v>0</v>
      </c>
      <c r="F2448" s="491">
        <v>0</v>
      </c>
      <c r="G2448" s="491">
        <f t="shared" si="38"/>
        <v>59</v>
      </c>
    </row>
    <row r="2449" spans="1:7" ht="12.75">
      <c r="A2449" s="134" t="s">
        <v>783</v>
      </c>
      <c r="B2449" s="134">
        <v>650</v>
      </c>
      <c r="C2449" s="491">
        <v>0</v>
      </c>
      <c r="D2449" s="491">
        <v>393</v>
      </c>
      <c r="E2449" s="491">
        <v>0</v>
      </c>
      <c r="F2449" s="491">
        <v>0</v>
      </c>
      <c r="G2449" s="491">
        <f t="shared" si="38"/>
        <v>393</v>
      </c>
    </row>
    <row r="2450" spans="1:7" ht="12.75">
      <c r="A2450" s="134" t="s">
        <v>783</v>
      </c>
      <c r="B2450" s="134">
        <v>652</v>
      </c>
      <c r="C2450" s="491">
        <v>0</v>
      </c>
      <c r="D2450" s="491">
        <v>4</v>
      </c>
      <c r="E2450" s="491">
        <v>0</v>
      </c>
      <c r="F2450" s="491">
        <v>0</v>
      </c>
      <c r="G2450" s="491">
        <f t="shared" si="38"/>
        <v>4</v>
      </c>
    </row>
    <row r="2451" spans="1:7" ht="12.75">
      <c r="A2451" s="134" t="s">
        <v>783</v>
      </c>
      <c r="B2451" s="134">
        <v>653</v>
      </c>
      <c r="C2451" s="491">
        <v>0</v>
      </c>
      <c r="D2451" s="491">
        <v>11</v>
      </c>
      <c r="E2451" s="491">
        <v>0</v>
      </c>
      <c r="F2451" s="491">
        <v>0</v>
      </c>
      <c r="G2451" s="491">
        <f t="shared" si="38"/>
        <v>11</v>
      </c>
    </row>
    <row r="2452" spans="1:7" ht="12.75">
      <c r="A2452" s="134" t="s">
        <v>783</v>
      </c>
      <c r="B2452" s="134">
        <v>654</v>
      </c>
      <c r="C2452" s="491">
        <v>4</v>
      </c>
      <c r="D2452" s="491">
        <v>14</v>
      </c>
      <c r="E2452" s="491">
        <v>0</v>
      </c>
      <c r="F2452" s="491">
        <v>0</v>
      </c>
      <c r="G2452" s="491">
        <f t="shared" si="38"/>
        <v>18</v>
      </c>
    </row>
    <row r="2453" spans="1:7" ht="12.75">
      <c r="A2453" s="134" t="s">
        <v>783</v>
      </c>
      <c r="B2453" s="134">
        <v>657</v>
      </c>
      <c r="C2453" s="491">
        <v>2</v>
      </c>
      <c r="D2453" s="491">
        <v>1</v>
      </c>
      <c r="E2453" s="491">
        <v>0</v>
      </c>
      <c r="F2453" s="491">
        <v>0</v>
      </c>
      <c r="G2453" s="491">
        <f t="shared" si="38"/>
        <v>3</v>
      </c>
    </row>
    <row r="2454" spans="1:7" ht="12.75">
      <c r="A2454" s="134" t="s">
        <v>783</v>
      </c>
      <c r="B2454" s="134">
        <v>800</v>
      </c>
      <c r="C2454" s="491">
        <v>9</v>
      </c>
      <c r="D2454" s="491">
        <v>6</v>
      </c>
      <c r="E2454" s="491">
        <v>2</v>
      </c>
      <c r="F2454" s="491">
        <v>0</v>
      </c>
      <c r="G2454" s="491">
        <f t="shared" si="38"/>
        <v>17</v>
      </c>
    </row>
    <row r="2455" spans="1:7" ht="12.75">
      <c r="A2455" s="134" t="s">
        <v>783</v>
      </c>
      <c r="B2455" s="134">
        <v>812</v>
      </c>
      <c r="C2455" s="491">
        <v>21889</v>
      </c>
      <c r="D2455" s="491">
        <v>1776</v>
      </c>
      <c r="E2455" s="491">
        <v>0</v>
      </c>
      <c r="F2455" s="491">
        <v>0</v>
      </c>
      <c r="G2455" s="491">
        <f t="shared" si="38"/>
        <v>23665</v>
      </c>
    </row>
    <row r="2456" spans="1:7" ht="12.75">
      <c r="A2456" s="134" t="s">
        <v>784</v>
      </c>
      <c r="B2456" s="134">
        <v>100</v>
      </c>
      <c r="C2456" s="491">
        <v>1</v>
      </c>
      <c r="D2456" s="491">
        <v>0</v>
      </c>
      <c r="E2456" s="491">
        <v>0</v>
      </c>
      <c r="F2456" s="491">
        <v>0</v>
      </c>
      <c r="G2456" s="491">
        <f t="shared" si="38"/>
        <v>1</v>
      </c>
    </row>
    <row r="2457" spans="1:7" ht="12.75">
      <c r="A2457" s="134" t="s">
        <v>784</v>
      </c>
      <c r="B2457" s="134">
        <v>101</v>
      </c>
      <c r="C2457" s="491">
        <v>0</v>
      </c>
      <c r="D2457" s="491">
        <v>1</v>
      </c>
      <c r="E2457" s="491">
        <v>0</v>
      </c>
      <c r="F2457" s="491">
        <v>0</v>
      </c>
      <c r="G2457" s="491">
        <f t="shared" si="38"/>
        <v>1</v>
      </c>
    </row>
    <row r="2458" spans="1:7" ht="12.75">
      <c r="A2458" s="134" t="s">
        <v>784</v>
      </c>
      <c r="B2458" s="134">
        <v>104</v>
      </c>
      <c r="C2458" s="491">
        <v>0</v>
      </c>
      <c r="D2458" s="491">
        <v>1</v>
      </c>
      <c r="E2458" s="491">
        <v>0</v>
      </c>
      <c r="F2458" s="491">
        <v>0</v>
      </c>
      <c r="G2458" s="491">
        <f t="shared" si="38"/>
        <v>1</v>
      </c>
    </row>
    <row r="2459" spans="1:7" ht="12.75">
      <c r="A2459" s="134" t="s">
        <v>784</v>
      </c>
      <c r="B2459" s="134">
        <v>107</v>
      </c>
      <c r="C2459" s="491">
        <v>0</v>
      </c>
      <c r="D2459" s="491">
        <v>2</v>
      </c>
      <c r="E2459" s="491">
        <v>0</v>
      </c>
      <c r="F2459" s="491">
        <v>0</v>
      </c>
      <c r="G2459" s="491">
        <f t="shared" si="38"/>
        <v>2</v>
      </c>
    </row>
    <row r="2460" spans="1:7" ht="12.75">
      <c r="A2460" s="134" t="s">
        <v>784</v>
      </c>
      <c r="B2460" s="134">
        <v>110</v>
      </c>
      <c r="C2460" s="491">
        <v>4</v>
      </c>
      <c r="D2460" s="491">
        <v>18</v>
      </c>
      <c r="E2460" s="491">
        <v>0</v>
      </c>
      <c r="F2460" s="491">
        <v>0</v>
      </c>
      <c r="G2460" s="491">
        <f t="shared" si="38"/>
        <v>22</v>
      </c>
    </row>
    <row r="2461" spans="1:7" ht="12.75">
      <c r="A2461" s="134" t="s">
        <v>784</v>
      </c>
      <c r="B2461" s="134">
        <v>120</v>
      </c>
      <c r="C2461" s="491">
        <v>0</v>
      </c>
      <c r="D2461" s="491">
        <v>29</v>
      </c>
      <c r="E2461" s="491">
        <v>0</v>
      </c>
      <c r="F2461" s="491">
        <v>0</v>
      </c>
      <c r="G2461" s="491">
        <f t="shared" si="38"/>
        <v>29</v>
      </c>
    </row>
    <row r="2462" spans="1:7" ht="12.75">
      <c r="A2462" s="134" t="s">
        <v>784</v>
      </c>
      <c r="B2462" s="134">
        <v>130</v>
      </c>
      <c r="C2462" s="491">
        <v>6</v>
      </c>
      <c r="D2462" s="491">
        <v>2</v>
      </c>
      <c r="E2462" s="491">
        <v>0</v>
      </c>
      <c r="F2462" s="491">
        <v>0</v>
      </c>
      <c r="G2462" s="491">
        <f t="shared" si="38"/>
        <v>8</v>
      </c>
    </row>
    <row r="2463" spans="1:7" ht="12.75">
      <c r="A2463" s="134" t="s">
        <v>784</v>
      </c>
      <c r="B2463" s="134">
        <v>140</v>
      </c>
      <c r="C2463" s="491">
        <v>2195</v>
      </c>
      <c r="D2463" s="491">
        <v>3021</v>
      </c>
      <c r="E2463" s="491">
        <v>52</v>
      </c>
      <c r="F2463" s="491">
        <v>61</v>
      </c>
      <c r="G2463" s="491">
        <f t="shared" si="38"/>
        <v>5329</v>
      </c>
    </row>
    <row r="2464" spans="1:7" ht="12.75">
      <c r="A2464" s="134" t="s">
        <v>784</v>
      </c>
      <c r="B2464" s="134">
        <v>141</v>
      </c>
      <c r="C2464" s="491">
        <v>2065</v>
      </c>
      <c r="D2464" s="491">
        <v>415</v>
      </c>
      <c r="E2464" s="491">
        <v>13</v>
      </c>
      <c r="F2464" s="491">
        <v>33</v>
      </c>
      <c r="G2464" s="491">
        <f t="shared" si="38"/>
        <v>2526</v>
      </c>
    </row>
    <row r="2465" spans="1:7" ht="12.75">
      <c r="A2465" s="134" t="s">
        <v>784</v>
      </c>
      <c r="B2465" s="134">
        <v>142</v>
      </c>
      <c r="C2465" s="491">
        <v>14708</v>
      </c>
      <c r="D2465" s="491">
        <v>5797</v>
      </c>
      <c r="E2465" s="491">
        <v>147</v>
      </c>
      <c r="F2465" s="491">
        <v>94</v>
      </c>
      <c r="G2465" s="491">
        <f t="shared" si="38"/>
        <v>20746</v>
      </c>
    </row>
    <row r="2466" spans="1:7" ht="12.75">
      <c r="A2466" s="134" t="s">
        <v>784</v>
      </c>
      <c r="B2466" s="134">
        <v>143</v>
      </c>
      <c r="C2466" s="491">
        <v>95229</v>
      </c>
      <c r="D2466" s="491">
        <v>9467</v>
      </c>
      <c r="E2466" s="491">
        <v>843</v>
      </c>
      <c r="F2466" s="491">
        <v>255</v>
      </c>
      <c r="G2466" s="491">
        <f t="shared" si="38"/>
        <v>105794</v>
      </c>
    </row>
    <row r="2467" spans="1:7" ht="12.75">
      <c r="A2467" s="134" t="s">
        <v>784</v>
      </c>
      <c r="B2467" s="134">
        <v>144</v>
      </c>
      <c r="C2467" s="491">
        <v>507</v>
      </c>
      <c r="D2467" s="491">
        <v>777</v>
      </c>
      <c r="E2467" s="491">
        <v>75</v>
      </c>
      <c r="F2467" s="491">
        <v>26</v>
      </c>
      <c r="G2467" s="491">
        <f t="shared" si="38"/>
        <v>1385</v>
      </c>
    </row>
    <row r="2468" spans="1:7" ht="12.75">
      <c r="A2468" s="134" t="s">
        <v>784</v>
      </c>
      <c r="B2468" s="134">
        <v>150</v>
      </c>
      <c r="C2468" s="491">
        <v>0</v>
      </c>
      <c r="D2468" s="491">
        <v>1</v>
      </c>
      <c r="E2468" s="491">
        <v>0</v>
      </c>
      <c r="F2468" s="491">
        <v>0</v>
      </c>
      <c r="G2468" s="491">
        <f t="shared" si="38"/>
        <v>1</v>
      </c>
    </row>
    <row r="2469" spans="1:7" ht="12.75">
      <c r="A2469" s="134" t="s">
        <v>784</v>
      </c>
      <c r="B2469" s="134">
        <v>160</v>
      </c>
      <c r="C2469" s="491">
        <v>4</v>
      </c>
      <c r="D2469" s="491">
        <v>13</v>
      </c>
      <c r="E2469" s="491">
        <v>0</v>
      </c>
      <c r="F2469" s="491">
        <v>0</v>
      </c>
      <c r="G2469" s="491">
        <f t="shared" si="38"/>
        <v>17</v>
      </c>
    </row>
    <row r="2470" spans="1:7" ht="12.75">
      <c r="A2470" s="134" t="s">
        <v>784</v>
      </c>
      <c r="B2470" s="134">
        <v>171</v>
      </c>
      <c r="C2470" s="491">
        <v>0</v>
      </c>
      <c r="D2470" s="491">
        <v>13</v>
      </c>
      <c r="E2470" s="491">
        <v>0</v>
      </c>
      <c r="F2470" s="491">
        <v>0</v>
      </c>
      <c r="G2470" s="491">
        <f t="shared" si="38"/>
        <v>13</v>
      </c>
    </row>
    <row r="2471" spans="1:7" ht="12.75">
      <c r="A2471" s="134" t="s">
        <v>784</v>
      </c>
      <c r="B2471" s="134">
        <v>180</v>
      </c>
      <c r="C2471" s="491">
        <v>0</v>
      </c>
      <c r="D2471" s="491">
        <v>4</v>
      </c>
      <c r="E2471" s="491">
        <v>0</v>
      </c>
      <c r="F2471" s="491">
        <v>0</v>
      </c>
      <c r="G2471" s="491">
        <f t="shared" si="38"/>
        <v>4</v>
      </c>
    </row>
    <row r="2472" spans="1:7" ht="12.75">
      <c r="A2472" s="134" t="s">
        <v>784</v>
      </c>
      <c r="B2472" s="134">
        <v>190</v>
      </c>
      <c r="C2472" s="491">
        <v>13</v>
      </c>
      <c r="D2472" s="491">
        <v>3</v>
      </c>
      <c r="E2472" s="491">
        <v>0</v>
      </c>
      <c r="F2472" s="491">
        <v>0</v>
      </c>
      <c r="G2472" s="491">
        <f t="shared" si="38"/>
        <v>16</v>
      </c>
    </row>
    <row r="2473" spans="1:7" ht="12.75">
      <c r="A2473" s="134" t="s">
        <v>784</v>
      </c>
      <c r="B2473" s="134">
        <v>211</v>
      </c>
      <c r="C2473" s="491">
        <v>0</v>
      </c>
      <c r="D2473" s="491">
        <v>11</v>
      </c>
      <c r="E2473" s="491">
        <v>0</v>
      </c>
      <c r="F2473" s="491">
        <v>0</v>
      </c>
      <c r="G2473" s="491">
        <f t="shared" si="38"/>
        <v>11</v>
      </c>
    </row>
    <row r="2474" spans="1:7" ht="12.75">
      <c r="A2474" s="134" t="s">
        <v>784</v>
      </c>
      <c r="B2474" s="134">
        <v>214</v>
      </c>
      <c r="C2474" s="491">
        <v>4</v>
      </c>
      <c r="D2474" s="491">
        <v>4</v>
      </c>
      <c r="E2474" s="491">
        <v>0</v>
      </c>
      <c r="F2474" s="491">
        <v>0</v>
      </c>
      <c r="G2474" s="491">
        <f t="shared" si="38"/>
        <v>8</v>
      </c>
    </row>
    <row r="2475" spans="1:7" ht="12.75">
      <c r="A2475" s="134" t="s">
        <v>784</v>
      </c>
      <c r="B2475" s="134">
        <v>215</v>
      </c>
      <c r="C2475" s="491">
        <v>2</v>
      </c>
      <c r="D2475" s="491">
        <v>1</v>
      </c>
      <c r="E2475" s="491">
        <v>0</v>
      </c>
      <c r="F2475" s="491">
        <v>0</v>
      </c>
      <c r="G2475" s="491">
        <f t="shared" si="38"/>
        <v>3</v>
      </c>
    </row>
    <row r="2476" spans="1:7" ht="12.75">
      <c r="A2476" s="134" t="s">
        <v>784</v>
      </c>
      <c r="B2476" s="134">
        <v>216</v>
      </c>
      <c r="C2476" s="491">
        <v>3</v>
      </c>
      <c r="D2476" s="491">
        <v>0</v>
      </c>
      <c r="E2476" s="491">
        <v>0</v>
      </c>
      <c r="F2476" s="491">
        <v>0</v>
      </c>
      <c r="G2476" s="491">
        <f t="shared" si="38"/>
        <v>3</v>
      </c>
    </row>
    <row r="2477" spans="1:7" ht="12.75">
      <c r="A2477" s="134" t="s">
        <v>784</v>
      </c>
      <c r="B2477" s="134">
        <v>217</v>
      </c>
      <c r="C2477" s="491">
        <v>185</v>
      </c>
      <c r="D2477" s="491">
        <v>242</v>
      </c>
      <c r="E2477" s="491">
        <v>26</v>
      </c>
      <c r="F2477" s="491">
        <v>23</v>
      </c>
      <c r="G2477" s="491">
        <f t="shared" si="38"/>
        <v>476</v>
      </c>
    </row>
    <row r="2478" spans="1:7" ht="12.75">
      <c r="A2478" s="134" t="s">
        <v>784</v>
      </c>
      <c r="B2478" s="134">
        <v>219</v>
      </c>
      <c r="C2478" s="491">
        <v>51</v>
      </c>
      <c r="D2478" s="491">
        <v>6</v>
      </c>
      <c r="E2478" s="491">
        <v>107</v>
      </c>
      <c r="F2478" s="491">
        <v>8</v>
      </c>
      <c r="G2478" s="491">
        <f t="shared" si="38"/>
        <v>172</v>
      </c>
    </row>
    <row r="2479" spans="1:7" ht="12.75">
      <c r="A2479" s="134" t="s">
        <v>784</v>
      </c>
      <c r="B2479" s="134">
        <v>251</v>
      </c>
      <c r="C2479" s="491">
        <v>0</v>
      </c>
      <c r="D2479" s="491">
        <v>10</v>
      </c>
      <c r="E2479" s="491">
        <v>0</v>
      </c>
      <c r="F2479" s="491">
        <v>0</v>
      </c>
      <c r="G2479" s="491">
        <f t="shared" si="38"/>
        <v>10</v>
      </c>
    </row>
    <row r="2480" spans="1:7" ht="12.75">
      <c r="A2480" s="134" t="s">
        <v>784</v>
      </c>
      <c r="B2480" s="134">
        <v>252</v>
      </c>
      <c r="C2480" s="491">
        <v>0</v>
      </c>
      <c r="D2480" s="491">
        <v>5</v>
      </c>
      <c r="E2480" s="491">
        <v>0</v>
      </c>
      <c r="F2480" s="491">
        <v>0</v>
      </c>
      <c r="G2480" s="491">
        <f t="shared" si="38"/>
        <v>5</v>
      </c>
    </row>
    <row r="2481" spans="1:7" ht="12.75">
      <c r="A2481" s="134" t="s">
        <v>784</v>
      </c>
      <c r="B2481" s="134">
        <v>253</v>
      </c>
      <c r="C2481" s="491">
        <v>2</v>
      </c>
      <c r="D2481" s="491">
        <v>7</v>
      </c>
      <c r="E2481" s="491">
        <v>0</v>
      </c>
      <c r="F2481" s="491">
        <v>0</v>
      </c>
      <c r="G2481" s="491">
        <f t="shared" si="38"/>
        <v>9</v>
      </c>
    </row>
    <row r="2482" spans="1:7" ht="12.75">
      <c r="A2482" s="134" t="s">
        <v>784</v>
      </c>
      <c r="B2482" s="134">
        <v>257</v>
      </c>
      <c r="C2482" s="491">
        <v>0</v>
      </c>
      <c r="D2482" s="491">
        <v>1</v>
      </c>
      <c r="E2482" s="491">
        <v>0</v>
      </c>
      <c r="F2482" s="491">
        <v>0</v>
      </c>
      <c r="G2482" s="491">
        <f t="shared" si="38"/>
        <v>1</v>
      </c>
    </row>
    <row r="2483" spans="1:7" ht="12.75">
      <c r="A2483" s="134" t="s">
        <v>784</v>
      </c>
      <c r="B2483" s="134">
        <v>258</v>
      </c>
      <c r="C2483" s="491">
        <v>1</v>
      </c>
      <c r="D2483" s="491">
        <v>9</v>
      </c>
      <c r="E2483" s="491">
        <v>0</v>
      </c>
      <c r="F2483" s="491">
        <v>0</v>
      </c>
      <c r="G2483" s="491">
        <f t="shared" si="38"/>
        <v>10</v>
      </c>
    </row>
    <row r="2484" spans="1:7" ht="12.75">
      <c r="A2484" s="134" t="s">
        <v>784</v>
      </c>
      <c r="B2484" s="134">
        <v>263</v>
      </c>
      <c r="C2484" s="491">
        <v>1</v>
      </c>
      <c r="D2484" s="491">
        <v>0</v>
      </c>
      <c r="E2484" s="491">
        <v>0</v>
      </c>
      <c r="F2484" s="491">
        <v>0</v>
      </c>
      <c r="G2484" s="491">
        <f t="shared" si="38"/>
        <v>1</v>
      </c>
    </row>
    <row r="2485" spans="1:7" ht="12.75">
      <c r="A2485" s="134" t="s">
        <v>784</v>
      </c>
      <c r="B2485" s="134">
        <v>302</v>
      </c>
      <c r="C2485" s="491">
        <v>1</v>
      </c>
      <c r="D2485" s="491">
        <v>0</v>
      </c>
      <c r="E2485" s="491">
        <v>0</v>
      </c>
      <c r="F2485" s="491">
        <v>0</v>
      </c>
      <c r="G2485" s="491">
        <f t="shared" si="38"/>
        <v>1</v>
      </c>
    </row>
    <row r="2486" spans="1:7" ht="12.75">
      <c r="A2486" s="134" t="s">
        <v>784</v>
      </c>
      <c r="B2486" s="134">
        <v>303</v>
      </c>
      <c r="C2486" s="491">
        <v>1</v>
      </c>
      <c r="D2486" s="491">
        <v>0</v>
      </c>
      <c r="E2486" s="491">
        <v>0</v>
      </c>
      <c r="F2486" s="491">
        <v>0</v>
      </c>
      <c r="G2486" s="491">
        <f t="shared" si="38"/>
        <v>1</v>
      </c>
    </row>
    <row r="2487" spans="1:7" ht="12.75">
      <c r="A2487" s="134" t="s">
        <v>784</v>
      </c>
      <c r="B2487" s="134">
        <v>310</v>
      </c>
      <c r="C2487" s="491">
        <v>0</v>
      </c>
      <c r="D2487" s="491">
        <v>13</v>
      </c>
      <c r="E2487" s="491">
        <v>0</v>
      </c>
      <c r="F2487" s="491">
        <v>0</v>
      </c>
      <c r="G2487" s="491">
        <f t="shared" si="38"/>
        <v>13</v>
      </c>
    </row>
    <row r="2488" spans="1:7" ht="12.75">
      <c r="A2488" s="134" t="s">
        <v>784</v>
      </c>
      <c r="B2488" s="134">
        <v>314</v>
      </c>
      <c r="C2488" s="491">
        <v>2</v>
      </c>
      <c r="D2488" s="491">
        <v>0</v>
      </c>
      <c r="E2488" s="491">
        <v>0</v>
      </c>
      <c r="F2488" s="491">
        <v>0</v>
      </c>
      <c r="G2488" s="491">
        <f t="shared" si="38"/>
        <v>2</v>
      </c>
    </row>
    <row r="2489" spans="1:7" ht="12.75">
      <c r="A2489" s="134" t="s">
        <v>784</v>
      </c>
      <c r="B2489" s="134">
        <v>317</v>
      </c>
      <c r="C2489" s="491">
        <v>0</v>
      </c>
      <c r="D2489" s="491">
        <v>1</v>
      </c>
      <c r="E2489" s="491">
        <v>0</v>
      </c>
      <c r="F2489" s="491">
        <v>0</v>
      </c>
      <c r="G2489" s="491">
        <f t="shared" si="38"/>
        <v>1</v>
      </c>
    </row>
    <row r="2490" spans="1:7" ht="12.75">
      <c r="A2490" s="134" t="s">
        <v>784</v>
      </c>
      <c r="B2490" s="134">
        <v>320</v>
      </c>
      <c r="C2490" s="491">
        <v>0</v>
      </c>
      <c r="D2490" s="491">
        <v>4</v>
      </c>
      <c r="E2490" s="491">
        <v>0</v>
      </c>
      <c r="F2490" s="491">
        <v>0</v>
      </c>
      <c r="G2490" s="491">
        <f t="shared" si="38"/>
        <v>4</v>
      </c>
    </row>
    <row r="2491" spans="1:7" ht="12.75">
      <c r="A2491" s="134" t="s">
        <v>784</v>
      </c>
      <c r="B2491" s="134">
        <v>321</v>
      </c>
      <c r="C2491" s="491">
        <v>0</v>
      </c>
      <c r="D2491" s="491">
        <v>2</v>
      </c>
      <c r="E2491" s="491">
        <v>0</v>
      </c>
      <c r="F2491" s="491">
        <v>0</v>
      </c>
      <c r="G2491" s="491">
        <f t="shared" si="38"/>
        <v>2</v>
      </c>
    </row>
    <row r="2492" spans="1:7" ht="12.75">
      <c r="A2492" s="134" t="s">
        <v>784</v>
      </c>
      <c r="B2492" s="134">
        <v>324</v>
      </c>
      <c r="C2492" s="491">
        <v>0</v>
      </c>
      <c r="D2492" s="491">
        <v>1</v>
      </c>
      <c r="E2492" s="491">
        <v>0</v>
      </c>
      <c r="F2492" s="491">
        <v>0</v>
      </c>
      <c r="G2492" s="491">
        <f t="shared" si="38"/>
        <v>1</v>
      </c>
    </row>
    <row r="2493" spans="1:7" ht="12.75">
      <c r="A2493" s="134" t="s">
        <v>784</v>
      </c>
      <c r="B2493" s="134">
        <v>330</v>
      </c>
      <c r="C2493" s="491">
        <v>2</v>
      </c>
      <c r="D2493" s="491">
        <v>13</v>
      </c>
      <c r="E2493" s="491">
        <v>0</v>
      </c>
      <c r="F2493" s="491">
        <v>1</v>
      </c>
      <c r="G2493" s="491">
        <f t="shared" si="38"/>
        <v>16</v>
      </c>
    </row>
    <row r="2494" spans="1:7" ht="12.75">
      <c r="A2494" s="134" t="s">
        <v>784</v>
      </c>
      <c r="B2494" s="134">
        <v>340</v>
      </c>
      <c r="C2494" s="491">
        <v>0</v>
      </c>
      <c r="D2494" s="491">
        <v>3</v>
      </c>
      <c r="E2494" s="491">
        <v>0</v>
      </c>
      <c r="F2494" s="491">
        <v>0</v>
      </c>
      <c r="G2494" s="491">
        <f t="shared" si="38"/>
        <v>3</v>
      </c>
    </row>
    <row r="2495" spans="1:7" ht="12.75">
      <c r="A2495" s="134" t="s">
        <v>784</v>
      </c>
      <c r="B2495" s="134">
        <v>400</v>
      </c>
      <c r="C2495" s="491">
        <v>0</v>
      </c>
      <c r="D2495" s="491">
        <v>6</v>
      </c>
      <c r="E2495" s="491">
        <v>0</v>
      </c>
      <c r="F2495" s="491">
        <v>0</v>
      </c>
      <c r="G2495" s="491">
        <f t="shared" si="38"/>
        <v>6</v>
      </c>
    </row>
    <row r="2496" spans="1:7" ht="12.75">
      <c r="A2496" s="134" t="s">
        <v>784</v>
      </c>
      <c r="B2496" s="134">
        <v>410</v>
      </c>
      <c r="C2496" s="491">
        <v>1</v>
      </c>
      <c r="D2496" s="491">
        <v>1</v>
      </c>
      <c r="E2496" s="491">
        <v>0</v>
      </c>
      <c r="F2496" s="491">
        <v>0</v>
      </c>
      <c r="G2496" s="491">
        <f t="shared" si="38"/>
        <v>2</v>
      </c>
    </row>
    <row r="2497" spans="1:7" ht="12.75">
      <c r="A2497" s="134" t="s">
        <v>784</v>
      </c>
      <c r="B2497" s="134">
        <v>420</v>
      </c>
      <c r="C2497" s="491">
        <v>18</v>
      </c>
      <c r="D2497" s="491">
        <v>59</v>
      </c>
      <c r="E2497" s="491">
        <v>2</v>
      </c>
      <c r="F2497" s="491">
        <v>0</v>
      </c>
      <c r="G2497" s="491">
        <f t="shared" si="38"/>
        <v>79</v>
      </c>
    </row>
    <row r="2498" spans="1:7" ht="12.75">
      <c r="A2498" s="134" t="s">
        <v>784</v>
      </c>
      <c r="B2498" s="134">
        <v>421</v>
      </c>
      <c r="C2498" s="491">
        <v>2</v>
      </c>
      <c r="D2498" s="491">
        <v>4</v>
      </c>
      <c r="E2498" s="491">
        <v>0</v>
      </c>
      <c r="F2498" s="491">
        <v>0</v>
      </c>
      <c r="G2498" s="491">
        <f t="shared" si="38"/>
        <v>6</v>
      </c>
    </row>
    <row r="2499" spans="1:7" ht="12.75">
      <c r="A2499" s="134" t="s">
        <v>784</v>
      </c>
      <c r="B2499" s="134">
        <v>422</v>
      </c>
      <c r="C2499" s="491">
        <v>1</v>
      </c>
      <c r="D2499" s="491">
        <v>4</v>
      </c>
      <c r="E2499" s="491">
        <v>0</v>
      </c>
      <c r="F2499" s="491">
        <v>0</v>
      </c>
      <c r="G2499" s="491">
        <f t="shared" si="38"/>
        <v>5</v>
      </c>
    </row>
    <row r="2500" spans="1:7" ht="12.75">
      <c r="A2500" s="134" t="s">
        <v>784</v>
      </c>
      <c r="B2500" s="134">
        <v>450</v>
      </c>
      <c r="C2500" s="491">
        <v>47</v>
      </c>
      <c r="D2500" s="491">
        <v>42</v>
      </c>
      <c r="E2500" s="491">
        <v>0</v>
      </c>
      <c r="F2500" s="491">
        <v>0</v>
      </c>
      <c r="G2500" s="491">
        <f t="shared" ref="G2500:G2563" si="39">SUM(C2500:F2500)</f>
        <v>89</v>
      </c>
    </row>
    <row r="2501" spans="1:7" ht="12.75">
      <c r="A2501" s="134" t="s">
        <v>784</v>
      </c>
      <c r="B2501" s="134">
        <v>501</v>
      </c>
      <c r="C2501" s="491">
        <v>1</v>
      </c>
      <c r="D2501" s="491">
        <v>8</v>
      </c>
      <c r="E2501" s="491">
        <v>0</v>
      </c>
      <c r="F2501" s="491">
        <v>0</v>
      </c>
      <c r="G2501" s="491">
        <f t="shared" si="39"/>
        <v>9</v>
      </c>
    </row>
    <row r="2502" spans="1:7" ht="12.75">
      <c r="A2502" s="134" t="s">
        <v>784</v>
      </c>
      <c r="B2502" s="134">
        <v>502</v>
      </c>
      <c r="C2502" s="491">
        <v>0</v>
      </c>
      <c r="D2502" s="491">
        <v>5</v>
      </c>
      <c r="E2502" s="491">
        <v>0</v>
      </c>
      <c r="F2502" s="491">
        <v>0</v>
      </c>
      <c r="G2502" s="491">
        <f t="shared" si="39"/>
        <v>5</v>
      </c>
    </row>
    <row r="2503" spans="1:7" ht="12.75">
      <c r="A2503" s="134" t="s">
        <v>784</v>
      </c>
      <c r="B2503" s="134">
        <v>650</v>
      </c>
      <c r="C2503" s="491">
        <v>3</v>
      </c>
      <c r="D2503" s="491">
        <v>12</v>
      </c>
      <c r="E2503" s="491">
        <v>0</v>
      </c>
      <c r="F2503" s="491">
        <v>0</v>
      </c>
      <c r="G2503" s="491">
        <f t="shared" si="39"/>
        <v>15</v>
      </c>
    </row>
    <row r="2504" spans="1:7" ht="12.75">
      <c r="A2504" s="134" t="s">
        <v>784</v>
      </c>
      <c r="B2504" s="134">
        <v>652</v>
      </c>
      <c r="C2504" s="491">
        <v>0</v>
      </c>
      <c r="D2504" s="491">
        <v>1</v>
      </c>
      <c r="E2504" s="491">
        <v>0</v>
      </c>
      <c r="F2504" s="491">
        <v>0</v>
      </c>
      <c r="G2504" s="491">
        <f t="shared" si="39"/>
        <v>1</v>
      </c>
    </row>
    <row r="2505" spans="1:7" ht="12.75">
      <c r="A2505" s="134" t="s">
        <v>784</v>
      </c>
      <c r="B2505" s="134">
        <v>654</v>
      </c>
      <c r="C2505" s="491">
        <v>1</v>
      </c>
      <c r="D2505" s="491">
        <v>7</v>
      </c>
      <c r="E2505" s="491">
        <v>0</v>
      </c>
      <c r="F2505" s="491">
        <v>0</v>
      </c>
      <c r="G2505" s="491">
        <f t="shared" si="39"/>
        <v>8</v>
      </c>
    </row>
    <row r="2506" spans="1:7" ht="12.75">
      <c r="A2506" s="134" t="s">
        <v>784</v>
      </c>
      <c r="B2506" s="134">
        <v>657</v>
      </c>
      <c r="C2506" s="491">
        <v>2</v>
      </c>
      <c r="D2506" s="491">
        <v>0</v>
      </c>
      <c r="E2506" s="491">
        <v>0</v>
      </c>
      <c r="F2506" s="491">
        <v>0</v>
      </c>
      <c r="G2506" s="491">
        <f t="shared" si="39"/>
        <v>2</v>
      </c>
    </row>
    <row r="2507" spans="1:7" ht="12.75">
      <c r="A2507" s="134" t="s">
        <v>784</v>
      </c>
      <c r="B2507" s="134">
        <v>800</v>
      </c>
      <c r="C2507" s="491">
        <v>0</v>
      </c>
      <c r="D2507" s="491">
        <v>1</v>
      </c>
      <c r="E2507" s="491">
        <v>0</v>
      </c>
      <c r="F2507" s="491">
        <v>0</v>
      </c>
      <c r="G2507" s="491">
        <f t="shared" si="39"/>
        <v>1</v>
      </c>
    </row>
    <row r="2508" spans="1:7" ht="12.75">
      <c r="A2508" s="134" t="s">
        <v>784</v>
      </c>
      <c r="B2508" s="134">
        <v>812</v>
      </c>
      <c r="C2508" s="491">
        <v>7561</v>
      </c>
      <c r="D2508" s="491">
        <v>585</v>
      </c>
      <c r="E2508" s="491">
        <v>0</v>
      </c>
      <c r="F2508" s="491">
        <v>0</v>
      </c>
      <c r="G2508" s="491">
        <f t="shared" si="39"/>
        <v>8146</v>
      </c>
    </row>
    <row r="2509" spans="1:7" ht="12.75">
      <c r="A2509" s="134" t="s">
        <v>784</v>
      </c>
      <c r="B2509" s="134">
        <v>822</v>
      </c>
      <c r="C2509" s="491">
        <v>0</v>
      </c>
      <c r="D2509" s="491">
        <v>1</v>
      </c>
      <c r="E2509" s="491">
        <v>0</v>
      </c>
      <c r="F2509" s="491">
        <v>0</v>
      </c>
      <c r="G2509" s="491">
        <f t="shared" si="39"/>
        <v>1</v>
      </c>
    </row>
    <row r="2510" spans="1:7" ht="12.75">
      <c r="A2510" s="134" t="s">
        <v>785</v>
      </c>
      <c r="B2510" s="134">
        <v>100</v>
      </c>
      <c r="C2510" s="491">
        <v>2</v>
      </c>
      <c r="D2510" s="491">
        <v>0</v>
      </c>
      <c r="E2510" s="491">
        <v>0</v>
      </c>
      <c r="F2510" s="491">
        <v>0</v>
      </c>
      <c r="G2510" s="491">
        <f t="shared" si="39"/>
        <v>2</v>
      </c>
    </row>
    <row r="2511" spans="1:7" ht="12.75">
      <c r="A2511" s="134" t="s">
        <v>785</v>
      </c>
      <c r="B2511" s="134">
        <v>103</v>
      </c>
      <c r="C2511" s="491">
        <v>0</v>
      </c>
      <c r="D2511" s="491">
        <v>2</v>
      </c>
      <c r="E2511" s="491">
        <v>0</v>
      </c>
      <c r="F2511" s="491">
        <v>0</v>
      </c>
      <c r="G2511" s="491">
        <f t="shared" si="39"/>
        <v>2</v>
      </c>
    </row>
    <row r="2512" spans="1:7" ht="12.75">
      <c r="A2512" s="134" t="s">
        <v>785</v>
      </c>
      <c r="B2512" s="134">
        <v>104</v>
      </c>
      <c r="C2512" s="491">
        <v>1</v>
      </c>
      <c r="D2512" s="491">
        <v>1</v>
      </c>
      <c r="E2512" s="491">
        <v>0</v>
      </c>
      <c r="F2512" s="491">
        <v>0</v>
      </c>
      <c r="G2512" s="491">
        <f t="shared" si="39"/>
        <v>2</v>
      </c>
    </row>
    <row r="2513" spans="1:7" ht="12.75">
      <c r="A2513" s="134" t="s">
        <v>785</v>
      </c>
      <c r="B2513" s="134">
        <v>107</v>
      </c>
      <c r="C2513" s="491">
        <v>0</v>
      </c>
      <c r="D2513" s="491">
        <v>1</v>
      </c>
      <c r="E2513" s="491">
        <v>0</v>
      </c>
      <c r="F2513" s="491">
        <v>0</v>
      </c>
      <c r="G2513" s="491">
        <f t="shared" si="39"/>
        <v>1</v>
      </c>
    </row>
    <row r="2514" spans="1:7" ht="12.75">
      <c r="A2514" s="134" t="s">
        <v>785</v>
      </c>
      <c r="B2514" s="134">
        <v>110</v>
      </c>
      <c r="C2514" s="491">
        <v>2</v>
      </c>
      <c r="D2514" s="491">
        <v>3</v>
      </c>
      <c r="E2514" s="491">
        <v>0</v>
      </c>
      <c r="F2514" s="491">
        <v>0</v>
      </c>
      <c r="G2514" s="491">
        <f t="shared" si="39"/>
        <v>5</v>
      </c>
    </row>
    <row r="2515" spans="1:7" ht="12.75">
      <c r="A2515" s="134" t="s">
        <v>785</v>
      </c>
      <c r="B2515" s="134">
        <v>120</v>
      </c>
      <c r="C2515" s="491">
        <v>1</v>
      </c>
      <c r="D2515" s="491">
        <v>3</v>
      </c>
      <c r="E2515" s="491">
        <v>0</v>
      </c>
      <c r="F2515" s="491">
        <v>0</v>
      </c>
      <c r="G2515" s="491">
        <f t="shared" si="39"/>
        <v>4</v>
      </c>
    </row>
    <row r="2516" spans="1:7" ht="12.75">
      <c r="A2516" s="134" t="s">
        <v>785</v>
      </c>
      <c r="B2516" s="134">
        <v>130</v>
      </c>
      <c r="C2516" s="491">
        <v>4</v>
      </c>
      <c r="D2516" s="491">
        <v>0</v>
      </c>
      <c r="E2516" s="491">
        <v>0</v>
      </c>
      <c r="F2516" s="491">
        <v>0</v>
      </c>
      <c r="G2516" s="491">
        <f t="shared" si="39"/>
        <v>4</v>
      </c>
    </row>
    <row r="2517" spans="1:7" ht="12.75">
      <c r="A2517" s="134" t="s">
        <v>785</v>
      </c>
      <c r="B2517" s="134">
        <v>140</v>
      </c>
      <c r="C2517" s="491">
        <v>8379</v>
      </c>
      <c r="D2517" s="491">
        <v>513</v>
      </c>
      <c r="E2517" s="491">
        <v>85</v>
      </c>
      <c r="F2517" s="491">
        <v>0</v>
      </c>
      <c r="G2517" s="491">
        <f t="shared" si="39"/>
        <v>8977</v>
      </c>
    </row>
    <row r="2518" spans="1:7" ht="12.75">
      <c r="A2518" s="134" t="s">
        <v>785</v>
      </c>
      <c r="B2518" s="134">
        <v>141</v>
      </c>
      <c r="C2518" s="491">
        <v>6</v>
      </c>
      <c r="D2518" s="491">
        <v>3</v>
      </c>
      <c r="E2518" s="491">
        <v>0</v>
      </c>
      <c r="F2518" s="491">
        <v>0</v>
      </c>
      <c r="G2518" s="491">
        <f t="shared" si="39"/>
        <v>9</v>
      </c>
    </row>
    <row r="2519" spans="1:7" ht="12.75">
      <c r="A2519" s="134" t="s">
        <v>785</v>
      </c>
      <c r="B2519" s="134">
        <v>143</v>
      </c>
      <c r="C2519" s="491">
        <v>21</v>
      </c>
      <c r="D2519" s="491">
        <v>0</v>
      </c>
      <c r="E2519" s="491">
        <v>1</v>
      </c>
      <c r="F2519" s="491">
        <v>0</v>
      </c>
      <c r="G2519" s="491">
        <f t="shared" si="39"/>
        <v>22</v>
      </c>
    </row>
    <row r="2520" spans="1:7" ht="12.75">
      <c r="A2520" s="134" t="s">
        <v>785</v>
      </c>
      <c r="B2520" s="134">
        <v>144</v>
      </c>
      <c r="C2520" s="491">
        <v>2639</v>
      </c>
      <c r="D2520" s="491">
        <v>87</v>
      </c>
      <c r="E2520" s="491">
        <v>1</v>
      </c>
      <c r="F2520" s="491">
        <v>2</v>
      </c>
      <c r="G2520" s="491">
        <f t="shared" si="39"/>
        <v>2729</v>
      </c>
    </row>
    <row r="2521" spans="1:7" ht="12.75">
      <c r="A2521" s="134" t="s">
        <v>785</v>
      </c>
      <c r="B2521" s="134">
        <v>160</v>
      </c>
      <c r="C2521" s="491">
        <v>0</v>
      </c>
      <c r="D2521" s="491">
        <v>2</v>
      </c>
      <c r="E2521" s="491">
        <v>0</v>
      </c>
      <c r="F2521" s="491">
        <v>0</v>
      </c>
      <c r="G2521" s="491">
        <f t="shared" si="39"/>
        <v>2</v>
      </c>
    </row>
    <row r="2522" spans="1:7" ht="12.75">
      <c r="A2522" s="134" t="s">
        <v>785</v>
      </c>
      <c r="B2522" s="134">
        <v>173</v>
      </c>
      <c r="C2522" s="491">
        <v>0</v>
      </c>
      <c r="D2522" s="491">
        <v>2</v>
      </c>
      <c r="E2522" s="491">
        <v>0</v>
      </c>
      <c r="F2522" s="491">
        <v>0</v>
      </c>
      <c r="G2522" s="491">
        <f t="shared" si="39"/>
        <v>2</v>
      </c>
    </row>
    <row r="2523" spans="1:7" ht="12.75">
      <c r="A2523" s="134" t="s">
        <v>785</v>
      </c>
      <c r="B2523" s="134">
        <v>191</v>
      </c>
      <c r="C2523" s="491">
        <v>1</v>
      </c>
      <c r="D2523" s="491">
        <v>1</v>
      </c>
      <c r="E2523" s="491">
        <v>0</v>
      </c>
      <c r="F2523" s="491">
        <v>0</v>
      </c>
      <c r="G2523" s="491">
        <f t="shared" si="39"/>
        <v>2</v>
      </c>
    </row>
    <row r="2524" spans="1:7" ht="12.75">
      <c r="A2524" s="134" t="s">
        <v>785</v>
      </c>
      <c r="B2524" s="134">
        <v>300</v>
      </c>
      <c r="C2524" s="491">
        <v>1</v>
      </c>
      <c r="D2524" s="491">
        <v>2</v>
      </c>
      <c r="E2524" s="491">
        <v>0</v>
      </c>
      <c r="F2524" s="491">
        <v>0</v>
      </c>
      <c r="G2524" s="491">
        <f t="shared" si="39"/>
        <v>3</v>
      </c>
    </row>
    <row r="2525" spans="1:7" ht="12.75">
      <c r="A2525" s="134" t="s">
        <v>785</v>
      </c>
      <c r="B2525" s="134">
        <v>301</v>
      </c>
      <c r="C2525" s="491">
        <v>1</v>
      </c>
      <c r="D2525" s="491">
        <v>1</v>
      </c>
      <c r="E2525" s="491">
        <v>0</v>
      </c>
      <c r="F2525" s="491">
        <v>0</v>
      </c>
      <c r="G2525" s="491">
        <f t="shared" si="39"/>
        <v>2</v>
      </c>
    </row>
    <row r="2526" spans="1:7" ht="12.75">
      <c r="A2526" s="134" t="s">
        <v>785</v>
      </c>
      <c r="B2526" s="134">
        <v>302</v>
      </c>
      <c r="C2526" s="491">
        <v>0</v>
      </c>
      <c r="D2526" s="491">
        <v>2</v>
      </c>
      <c r="E2526" s="491">
        <v>0</v>
      </c>
      <c r="F2526" s="491">
        <v>0</v>
      </c>
      <c r="G2526" s="491">
        <f t="shared" si="39"/>
        <v>2</v>
      </c>
    </row>
    <row r="2527" spans="1:7" ht="12.75">
      <c r="A2527" s="134" t="s">
        <v>785</v>
      </c>
      <c r="B2527" s="134">
        <v>303</v>
      </c>
      <c r="C2527" s="491">
        <v>0</v>
      </c>
      <c r="D2527" s="491">
        <v>1</v>
      </c>
      <c r="E2527" s="491">
        <v>0</v>
      </c>
      <c r="F2527" s="491">
        <v>0</v>
      </c>
      <c r="G2527" s="491">
        <f t="shared" si="39"/>
        <v>1</v>
      </c>
    </row>
    <row r="2528" spans="1:7" ht="12.75">
      <c r="A2528" s="134" t="s">
        <v>785</v>
      </c>
      <c r="B2528" s="134">
        <v>310</v>
      </c>
      <c r="C2528" s="491">
        <v>0</v>
      </c>
      <c r="D2528" s="491">
        <v>3</v>
      </c>
      <c r="E2528" s="491">
        <v>0</v>
      </c>
      <c r="F2528" s="491">
        <v>0</v>
      </c>
      <c r="G2528" s="491">
        <f t="shared" si="39"/>
        <v>3</v>
      </c>
    </row>
    <row r="2529" spans="1:7" ht="12.75">
      <c r="A2529" s="134" t="s">
        <v>785</v>
      </c>
      <c r="B2529" s="134">
        <v>320</v>
      </c>
      <c r="C2529" s="491">
        <v>1</v>
      </c>
      <c r="D2529" s="491">
        <v>4</v>
      </c>
      <c r="E2529" s="491">
        <v>0</v>
      </c>
      <c r="F2529" s="491">
        <v>0</v>
      </c>
      <c r="G2529" s="491">
        <f t="shared" si="39"/>
        <v>5</v>
      </c>
    </row>
    <row r="2530" spans="1:7" ht="12.75">
      <c r="A2530" s="134" t="s">
        <v>785</v>
      </c>
      <c r="B2530" s="134">
        <v>324</v>
      </c>
      <c r="C2530" s="491">
        <v>0</v>
      </c>
      <c r="D2530" s="491">
        <v>1</v>
      </c>
      <c r="E2530" s="491">
        <v>0</v>
      </c>
      <c r="F2530" s="491">
        <v>0</v>
      </c>
      <c r="G2530" s="491">
        <f t="shared" si="39"/>
        <v>1</v>
      </c>
    </row>
    <row r="2531" spans="1:7" ht="12.75">
      <c r="A2531" s="134" t="s">
        <v>785</v>
      </c>
      <c r="B2531" s="134">
        <v>330</v>
      </c>
      <c r="C2531" s="491">
        <v>0</v>
      </c>
      <c r="D2531" s="491">
        <v>3</v>
      </c>
      <c r="E2531" s="491">
        <v>0</v>
      </c>
      <c r="F2531" s="491">
        <v>0</v>
      </c>
      <c r="G2531" s="491">
        <f t="shared" si="39"/>
        <v>3</v>
      </c>
    </row>
    <row r="2532" spans="1:7" ht="12.75">
      <c r="A2532" s="134" t="s">
        <v>785</v>
      </c>
      <c r="B2532" s="134">
        <v>340</v>
      </c>
      <c r="C2532" s="491">
        <v>1</v>
      </c>
      <c r="D2532" s="491">
        <v>1</v>
      </c>
      <c r="E2532" s="491">
        <v>0</v>
      </c>
      <c r="F2532" s="491">
        <v>0</v>
      </c>
      <c r="G2532" s="491">
        <f t="shared" si="39"/>
        <v>2</v>
      </c>
    </row>
    <row r="2533" spans="1:7" ht="12.75">
      <c r="A2533" s="134" t="s">
        <v>785</v>
      </c>
      <c r="B2533" s="134">
        <v>361</v>
      </c>
      <c r="C2533" s="491">
        <v>1</v>
      </c>
      <c r="D2533" s="491">
        <v>0</v>
      </c>
      <c r="E2533" s="491">
        <v>0</v>
      </c>
      <c r="F2533" s="491">
        <v>0</v>
      </c>
      <c r="G2533" s="491">
        <f t="shared" si="39"/>
        <v>1</v>
      </c>
    </row>
    <row r="2534" spans="1:7" ht="12.75">
      <c r="A2534" s="134" t="s">
        <v>785</v>
      </c>
      <c r="B2534" s="134">
        <v>400</v>
      </c>
      <c r="C2534" s="491">
        <v>0</v>
      </c>
      <c r="D2534" s="491">
        <v>2</v>
      </c>
      <c r="E2534" s="491">
        <v>0</v>
      </c>
      <c r="F2534" s="491">
        <v>0</v>
      </c>
      <c r="G2534" s="491">
        <f t="shared" si="39"/>
        <v>2</v>
      </c>
    </row>
    <row r="2535" spans="1:7" ht="12.75">
      <c r="A2535" s="134" t="s">
        <v>785</v>
      </c>
      <c r="B2535" s="134">
        <v>410</v>
      </c>
      <c r="C2535" s="491">
        <v>0</v>
      </c>
      <c r="D2535" s="491">
        <v>1</v>
      </c>
      <c r="E2535" s="491">
        <v>0</v>
      </c>
      <c r="F2535" s="491">
        <v>0</v>
      </c>
      <c r="G2535" s="491">
        <f t="shared" si="39"/>
        <v>1</v>
      </c>
    </row>
    <row r="2536" spans="1:7" ht="12.75">
      <c r="A2536" s="134" t="s">
        <v>785</v>
      </c>
      <c r="B2536" s="134">
        <v>450</v>
      </c>
      <c r="C2536" s="491">
        <v>0</v>
      </c>
      <c r="D2536" s="491">
        <v>2</v>
      </c>
      <c r="E2536" s="491">
        <v>0</v>
      </c>
      <c r="F2536" s="491">
        <v>0</v>
      </c>
      <c r="G2536" s="491">
        <f t="shared" si="39"/>
        <v>2</v>
      </c>
    </row>
    <row r="2537" spans="1:7" ht="12.75">
      <c r="A2537" s="134" t="s">
        <v>785</v>
      </c>
      <c r="B2537" s="134">
        <v>501</v>
      </c>
      <c r="C2537" s="491">
        <v>1</v>
      </c>
      <c r="D2537" s="491">
        <v>2</v>
      </c>
      <c r="E2537" s="491">
        <v>0</v>
      </c>
      <c r="F2537" s="491">
        <v>0</v>
      </c>
      <c r="G2537" s="491">
        <f t="shared" si="39"/>
        <v>3</v>
      </c>
    </row>
    <row r="2538" spans="1:7" ht="12.75">
      <c r="A2538" s="134" t="s">
        <v>785</v>
      </c>
      <c r="B2538" s="134">
        <v>502</v>
      </c>
      <c r="C2538" s="491">
        <v>0</v>
      </c>
      <c r="D2538" s="491">
        <v>3</v>
      </c>
      <c r="E2538" s="491">
        <v>0</v>
      </c>
      <c r="F2538" s="491">
        <v>0</v>
      </c>
      <c r="G2538" s="491">
        <f t="shared" si="39"/>
        <v>3</v>
      </c>
    </row>
    <row r="2539" spans="1:7" ht="12.75">
      <c r="A2539" s="134" t="s">
        <v>785</v>
      </c>
      <c r="B2539" s="134">
        <v>560</v>
      </c>
      <c r="C2539" s="491">
        <v>0</v>
      </c>
      <c r="D2539" s="491">
        <v>1</v>
      </c>
      <c r="E2539" s="491">
        <v>0</v>
      </c>
      <c r="F2539" s="491">
        <v>0</v>
      </c>
      <c r="G2539" s="491">
        <f t="shared" si="39"/>
        <v>1</v>
      </c>
    </row>
    <row r="2540" spans="1:7" ht="12.75">
      <c r="A2540" s="134" t="s">
        <v>785</v>
      </c>
      <c r="B2540" s="134">
        <v>652</v>
      </c>
      <c r="C2540" s="491">
        <v>0</v>
      </c>
      <c r="D2540" s="491">
        <v>1</v>
      </c>
      <c r="E2540" s="491">
        <v>0</v>
      </c>
      <c r="F2540" s="491">
        <v>0</v>
      </c>
      <c r="G2540" s="491">
        <f t="shared" si="39"/>
        <v>1</v>
      </c>
    </row>
    <row r="2541" spans="1:7" ht="12.75">
      <c r="A2541" s="134" t="s">
        <v>785</v>
      </c>
      <c r="B2541" s="134">
        <v>800</v>
      </c>
      <c r="C2541" s="491">
        <v>1</v>
      </c>
      <c r="D2541" s="491">
        <v>1</v>
      </c>
      <c r="E2541" s="491">
        <v>0</v>
      </c>
      <c r="F2541" s="491">
        <v>0</v>
      </c>
      <c r="G2541" s="491">
        <f t="shared" si="39"/>
        <v>2</v>
      </c>
    </row>
    <row r="2542" spans="1:7" ht="12.75">
      <c r="A2542" s="134" t="s">
        <v>785</v>
      </c>
      <c r="B2542" s="134">
        <v>840</v>
      </c>
      <c r="C2542" s="491">
        <v>1</v>
      </c>
      <c r="D2542" s="491">
        <v>0</v>
      </c>
      <c r="E2542" s="491">
        <v>0</v>
      </c>
      <c r="F2542" s="491">
        <v>0</v>
      </c>
      <c r="G2542" s="491">
        <f t="shared" si="39"/>
        <v>1</v>
      </c>
    </row>
    <row r="2543" spans="1:7" ht="12.75">
      <c r="A2543" s="134" t="s">
        <v>786</v>
      </c>
      <c r="B2543" s="134">
        <v>120</v>
      </c>
      <c r="C2543" s="491">
        <v>0</v>
      </c>
      <c r="D2543" s="491">
        <v>1</v>
      </c>
      <c r="E2543" s="491">
        <v>0</v>
      </c>
      <c r="F2543" s="491">
        <v>0</v>
      </c>
      <c r="G2543" s="491">
        <f t="shared" si="39"/>
        <v>1</v>
      </c>
    </row>
    <row r="2544" spans="1:7" ht="12.75">
      <c r="A2544" s="134" t="s">
        <v>786</v>
      </c>
      <c r="B2544" s="134">
        <v>140</v>
      </c>
      <c r="C2544" s="491">
        <v>92</v>
      </c>
      <c r="D2544" s="491">
        <v>6</v>
      </c>
      <c r="E2544" s="491">
        <v>2</v>
      </c>
      <c r="F2544" s="491">
        <v>0</v>
      </c>
      <c r="G2544" s="491">
        <f t="shared" si="39"/>
        <v>100</v>
      </c>
    </row>
    <row r="2545" spans="1:7" ht="12.75">
      <c r="A2545" s="134" t="s">
        <v>786</v>
      </c>
      <c r="B2545" s="134">
        <v>142</v>
      </c>
      <c r="C2545" s="491">
        <v>3</v>
      </c>
      <c r="D2545" s="491">
        <v>0</v>
      </c>
      <c r="E2545" s="491">
        <v>0</v>
      </c>
      <c r="F2545" s="491">
        <v>0</v>
      </c>
      <c r="G2545" s="491">
        <f t="shared" si="39"/>
        <v>3</v>
      </c>
    </row>
    <row r="2546" spans="1:7" ht="12.75">
      <c r="A2546" s="134" t="s">
        <v>786</v>
      </c>
      <c r="B2546" s="134">
        <v>143</v>
      </c>
      <c r="C2546" s="491">
        <v>5</v>
      </c>
      <c r="D2546" s="491">
        <v>0</v>
      </c>
      <c r="E2546" s="491">
        <v>0</v>
      </c>
      <c r="F2546" s="491">
        <v>0</v>
      </c>
      <c r="G2546" s="491">
        <f t="shared" si="39"/>
        <v>5</v>
      </c>
    </row>
    <row r="2547" spans="1:7" ht="12.75">
      <c r="A2547" s="134" t="s">
        <v>786</v>
      </c>
      <c r="B2547" s="134">
        <v>144</v>
      </c>
      <c r="C2547" s="491">
        <v>35</v>
      </c>
      <c r="D2547" s="491">
        <v>4</v>
      </c>
      <c r="E2547" s="491">
        <v>0</v>
      </c>
      <c r="F2547" s="491">
        <v>0</v>
      </c>
      <c r="G2547" s="491">
        <f t="shared" si="39"/>
        <v>39</v>
      </c>
    </row>
    <row r="2548" spans="1:7" ht="12.75">
      <c r="A2548" s="134" t="s">
        <v>786</v>
      </c>
      <c r="B2548" s="134">
        <v>216</v>
      </c>
      <c r="C2548" s="491">
        <v>0</v>
      </c>
      <c r="D2548" s="491">
        <v>1</v>
      </c>
      <c r="E2548" s="491">
        <v>0</v>
      </c>
      <c r="F2548" s="491">
        <v>0</v>
      </c>
      <c r="G2548" s="491">
        <f t="shared" si="39"/>
        <v>1</v>
      </c>
    </row>
    <row r="2549" spans="1:7" ht="12.75">
      <c r="A2549" s="134" t="s">
        <v>786</v>
      </c>
      <c r="B2549" s="134">
        <v>217</v>
      </c>
      <c r="C2549" s="491">
        <v>4</v>
      </c>
      <c r="D2549" s="491">
        <v>0</v>
      </c>
      <c r="E2549" s="491">
        <v>0</v>
      </c>
      <c r="F2549" s="491">
        <v>0</v>
      </c>
      <c r="G2549" s="491">
        <f t="shared" si="39"/>
        <v>4</v>
      </c>
    </row>
    <row r="2550" spans="1:7" ht="12.75">
      <c r="A2550" s="134" t="s">
        <v>786</v>
      </c>
      <c r="B2550" s="134">
        <v>252</v>
      </c>
      <c r="C2550" s="491">
        <v>0</v>
      </c>
      <c r="D2550" s="491">
        <v>1</v>
      </c>
      <c r="E2550" s="491">
        <v>0</v>
      </c>
      <c r="F2550" s="491">
        <v>0</v>
      </c>
      <c r="G2550" s="491">
        <f t="shared" si="39"/>
        <v>1</v>
      </c>
    </row>
    <row r="2551" spans="1:7" ht="12.75">
      <c r="A2551" s="134" t="s">
        <v>786</v>
      </c>
      <c r="B2551" s="134">
        <v>420</v>
      </c>
      <c r="C2551" s="491">
        <v>0</v>
      </c>
      <c r="D2551" s="491">
        <v>1</v>
      </c>
      <c r="E2551" s="491">
        <v>0</v>
      </c>
      <c r="F2551" s="491">
        <v>0</v>
      </c>
      <c r="G2551" s="491">
        <f t="shared" si="39"/>
        <v>1</v>
      </c>
    </row>
    <row r="2552" spans="1:7" ht="12.75">
      <c r="A2552" s="134" t="s">
        <v>786</v>
      </c>
      <c r="B2552" s="134">
        <v>422</v>
      </c>
      <c r="C2552" s="491">
        <v>0</v>
      </c>
      <c r="D2552" s="491">
        <v>1</v>
      </c>
      <c r="E2552" s="491">
        <v>0</v>
      </c>
      <c r="F2552" s="491">
        <v>0</v>
      </c>
      <c r="G2552" s="491">
        <f t="shared" si="39"/>
        <v>1</v>
      </c>
    </row>
    <row r="2553" spans="1:7" ht="12.75">
      <c r="A2553" s="134" t="s">
        <v>786</v>
      </c>
      <c r="B2553" s="134">
        <v>654</v>
      </c>
      <c r="C2553" s="491">
        <v>1</v>
      </c>
      <c r="D2553" s="491">
        <v>0</v>
      </c>
      <c r="E2553" s="491">
        <v>0</v>
      </c>
      <c r="F2553" s="491">
        <v>0</v>
      </c>
      <c r="G2553" s="491">
        <f t="shared" si="39"/>
        <v>1</v>
      </c>
    </row>
    <row r="2554" spans="1:7" ht="12.75">
      <c r="A2554" s="134" t="s">
        <v>787</v>
      </c>
      <c r="B2554" s="134">
        <v>100</v>
      </c>
      <c r="C2554" s="491">
        <v>2</v>
      </c>
      <c r="D2554" s="491">
        <v>0</v>
      </c>
      <c r="E2554" s="491">
        <v>0</v>
      </c>
      <c r="F2554" s="491">
        <v>0</v>
      </c>
      <c r="G2554" s="491">
        <f t="shared" si="39"/>
        <v>2</v>
      </c>
    </row>
    <row r="2555" spans="1:7" ht="12.75">
      <c r="A2555" s="134" t="s">
        <v>787</v>
      </c>
      <c r="B2555" s="134">
        <v>101</v>
      </c>
      <c r="C2555" s="491">
        <v>1</v>
      </c>
      <c r="D2555" s="491">
        <v>7</v>
      </c>
      <c r="E2555" s="491">
        <v>0</v>
      </c>
      <c r="F2555" s="491">
        <v>0</v>
      </c>
      <c r="G2555" s="491">
        <f t="shared" si="39"/>
        <v>8</v>
      </c>
    </row>
    <row r="2556" spans="1:7" ht="12.75">
      <c r="A2556" s="134" t="s">
        <v>787</v>
      </c>
      <c r="B2556" s="134">
        <v>102</v>
      </c>
      <c r="C2556" s="491">
        <v>0</v>
      </c>
      <c r="D2556" s="491">
        <v>1</v>
      </c>
      <c r="E2556" s="491">
        <v>0</v>
      </c>
      <c r="F2556" s="491">
        <v>0</v>
      </c>
      <c r="G2556" s="491">
        <f t="shared" si="39"/>
        <v>1</v>
      </c>
    </row>
    <row r="2557" spans="1:7" ht="12.75">
      <c r="A2557" s="134" t="s">
        <v>787</v>
      </c>
      <c r="B2557" s="134">
        <v>103</v>
      </c>
      <c r="C2557" s="491">
        <v>1</v>
      </c>
      <c r="D2557" s="491">
        <v>1</v>
      </c>
      <c r="E2557" s="491">
        <v>0</v>
      </c>
      <c r="F2557" s="491">
        <v>0</v>
      </c>
      <c r="G2557" s="491">
        <f t="shared" si="39"/>
        <v>2</v>
      </c>
    </row>
    <row r="2558" spans="1:7" ht="12.75">
      <c r="A2558" s="134" t="s">
        <v>787</v>
      </c>
      <c r="B2558" s="134">
        <v>104</v>
      </c>
      <c r="C2558" s="491">
        <v>0</v>
      </c>
      <c r="D2558" s="491">
        <v>4</v>
      </c>
      <c r="E2558" s="491">
        <v>0</v>
      </c>
      <c r="F2558" s="491">
        <v>1</v>
      </c>
      <c r="G2558" s="491">
        <f t="shared" si="39"/>
        <v>5</v>
      </c>
    </row>
    <row r="2559" spans="1:7" ht="12.75">
      <c r="A2559" s="134" t="s">
        <v>787</v>
      </c>
      <c r="B2559" s="134">
        <v>106</v>
      </c>
      <c r="C2559" s="491">
        <v>0</v>
      </c>
      <c r="D2559" s="491">
        <v>1</v>
      </c>
      <c r="E2559" s="491">
        <v>0</v>
      </c>
      <c r="F2559" s="491">
        <v>0</v>
      </c>
      <c r="G2559" s="491">
        <f t="shared" si="39"/>
        <v>1</v>
      </c>
    </row>
    <row r="2560" spans="1:7" ht="12.75">
      <c r="A2560" s="134" t="s">
        <v>787</v>
      </c>
      <c r="B2560" s="134">
        <v>107</v>
      </c>
      <c r="C2560" s="491">
        <v>0</v>
      </c>
      <c r="D2560" s="491">
        <v>1</v>
      </c>
      <c r="E2560" s="491">
        <v>0</v>
      </c>
      <c r="F2560" s="491">
        <v>0</v>
      </c>
      <c r="G2560" s="491">
        <f t="shared" si="39"/>
        <v>1</v>
      </c>
    </row>
    <row r="2561" spans="1:7" ht="12.75">
      <c r="A2561" s="134" t="s">
        <v>787</v>
      </c>
      <c r="B2561" s="134">
        <v>110</v>
      </c>
      <c r="C2561" s="491">
        <v>5</v>
      </c>
      <c r="D2561" s="491">
        <v>5</v>
      </c>
      <c r="E2561" s="491">
        <v>0</v>
      </c>
      <c r="F2561" s="491">
        <v>0</v>
      </c>
      <c r="G2561" s="491">
        <f t="shared" si="39"/>
        <v>10</v>
      </c>
    </row>
    <row r="2562" spans="1:7" ht="12.75">
      <c r="A2562" s="134" t="s">
        <v>787</v>
      </c>
      <c r="B2562" s="134">
        <v>120</v>
      </c>
      <c r="C2562" s="491">
        <v>3</v>
      </c>
      <c r="D2562" s="491">
        <v>7</v>
      </c>
      <c r="E2562" s="491">
        <v>0</v>
      </c>
      <c r="F2562" s="491">
        <v>0</v>
      </c>
      <c r="G2562" s="491">
        <f t="shared" si="39"/>
        <v>10</v>
      </c>
    </row>
    <row r="2563" spans="1:7" ht="12.75">
      <c r="A2563" s="134" t="s">
        <v>787</v>
      </c>
      <c r="B2563" s="134">
        <v>130</v>
      </c>
      <c r="C2563" s="491">
        <v>5</v>
      </c>
      <c r="D2563" s="491">
        <v>1</v>
      </c>
      <c r="E2563" s="491">
        <v>0</v>
      </c>
      <c r="F2563" s="491">
        <v>0</v>
      </c>
      <c r="G2563" s="491">
        <f t="shared" si="39"/>
        <v>6</v>
      </c>
    </row>
    <row r="2564" spans="1:7" ht="12.75">
      <c r="A2564" s="134" t="s">
        <v>787</v>
      </c>
      <c r="B2564" s="134">
        <v>140</v>
      </c>
      <c r="C2564" s="491">
        <v>16429</v>
      </c>
      <c r="D2564" s="491">
        <v>1370</v>
      </c>
      <c r="E2564" s="491">
        <v>178</v>
      </c>
      <c r="F2564" s="491">
        <v>6</v>
      </c>
      <c r="G2564" s="491">
        <f t="shared" ref="G2564:G2627" si="40">SUM(C2564:F2564)</f>
        <v>17983</v>
      </c>
    </row>
    <row r="2565" spans="1:7" ht="12.75">
      <c r="A2565" s="134" t="s">
        <v>787</v>
      </c>
      <c r="B2565" s="134">
        <v>141</v>
      </c>
      <c r="C2565" s="491">
        <v>2339</v>
      </c>
      <c r="D2565" s="491">
        <v>29</v>
      </c>
      <c r="E2565" s="491">
        <v>0</v>
      </c>
      <c r="F2565" s="491">
        <v>4</v>
      </c>
      <c r="G2565" s="491">
        <f t="shared" si="40"/>
        <v>2372</v>
      </c>
    </row>
    <row r="2566" spans="1:7" ht="12.75">
      <c r="A2566" s="134" t="s">
        <v>787</v>
      </c>
      <c r="B2566" s="134">
        <v>143</v>
      </c>
      <c r="C2566" s="491">
        <v>31</v>
      </c>
      <c r="D2566" s="491">
        <v>2</v>
      </c>
      <c r="E2566" s="491">
        <v>0</v>
      </c>
      <c r="F2566" s="491">
        <v>0</v>
      </c>
      <c r="G2566" s="491">
        <f t="shared" si="40"/>
        <v>33</v>
      </c>
    </row>
    <row r="2567" spans="1:7" ht="12.75">
      <c r="A2567" s="134" t="s">
        <v>787</v>
      </c>
      <c r="B2567" s="134">
        <v>144</v>
      </c>
      <c r="C2567" s="491">
        <v>6917</v>
      </c>
      <c r="D2567" s="491">
        <v>385</v>
      </c>
      <c r="E2567" s="491">
        <v>7</v>
      </c>
      <c r="F2567" s="491">
        <v>0</v>
      </c>
      <c r="G2567" s="491">
        <f t="shared" si="40"/>
        <v>7309</v>
      </c>
    </row>
    <row r="2568" spans="1:7" ht="12.75">
      <c r="A2568" s="134" t="s">
        <v>787</v>
      </c>
      <c r="B2568" s="134">
        <v>150</v>
      </c>
      <c r="C2568" s="491">
        <v>0</v>
      </c>
      <c r="D2568" s="491">
        <v>2</v>
      </c>
      <c r="E2568" s="491">
        <v>0</v>
      </c>
      <c r="F2568" s="491">
        <v>0</v>
      </c>
      <c r="G2568" s="491">
        <f t="shared" si="40"/>
        <v>2</v>
      </c>
    </row>
    <row r="2569" spans="1:7" ht="12.75">
      <c r="A2569" s="134" t="s">
        <v>787</v>
      </c>
      <c r="B2569" s="134">
        <v>160</v>
      </c>
      <c r="C2569" s="491">
        <v>0</v>
      </c>
      <c r="D2569" s="491">
        <v>3</v>
      </c>
      <c r="E2569" s="491">
        <v>0</v>
      </c>
      <c r="F2569" s="491">
        <v>0</v>
      </c>
      <c r="G2569" s="491">
        <f t="shared" si="40"/>
        <v>3</v>
      </c>
    </row>
    <row r="2570" spans="1:7" ht="12.75">
      <c r="A2570" s="134" t="s">
        <v>787</v>
      </c>
      <c r="B2570" s="134">
        <v>170</v>
      </c>
      <c r="C2570" s="491">
        <v>0</v>
      </c>
      <c r="D2570" s="491">
        <v>1</v>
      </c>
      <c r="E2570" s="491">
        <v>0</v>
      </c>
      <c r="F2570" s="491">
        <v>0</v>
      </c>
      <c r="G2570" s="491">
        <f t="shared" si="40"/>
        <v>1</v>
      </c>
    </row>
    <row r="2571" spans="1:7" ht="12.75">
      <c r="A2571" s="134" t="s">
        <v>787</v>
      </c>
      <c r="B2571" s="134">
        <v>172</v>
      </c>
      <c r="C2571" s="491">
        <v>0</v>
      </c>
      <c r="D2571" s="491">
        <v>1</v>
      </c>
      <c r="E2571" s="491">
        <v>0</v>
      </c>
      <c r="F2571" s="491">
        <v>0</v>
      </c>
      <c r="G2571" s="491">
        <f t="shared" si="40"/>
        <v>1</v>
      </c>
    </row>
    <row r="2572" spans="1:7" ht="12.75">
      <c r="A2572" s="134" t="s">
        <v>787</v>
      </c>
      <c r="B2572" s="134">
        <v>190</v>
      </c>
      <c r="C2572" s="491">
        <v>0</v>
      </c>
      <c r="D2572" s="491">
        <v>1</v>
      </c>
      <c r="E2572" s="491">
        <v>0</v>
      </c>
      <c r="F2572" s="491">
        <v>0</v>
      </c>
      <c r="G2572" s="491">
        <f t="shared" si="40"/>
        <v>1</v>
      </c>
    </row>
    <row r="2573" spans="1:7" ht="12.75">
      <c r="A2573" s="134" t="s">
        <v>787</v>
      </c>
      <c r="B2573" s="134">
        <v>191</v>
      </c>
      <c r="C2573" s="491">
        <v>2</v>
      </c>
      <c r="D2573" s="491">
        <v>0</v>
      </c>
      <c r="E2573" s="491">
        <v>0</v>
      </c>
      <c r="F2573" s="491">
        <v>0</v>
      </c>
      <c r="G2573" s="491">
        <f t="shared" si="40"/>
        <v>2</v>
      </c>
    </row>
    <row r="2574" spans="1:7" ht="12.75">
      <c r="A2574" s="134" t="s">
        <v>787</v>
      </c>
      <c r="B2574" s="134">
        <v>217</v>
      </c>
      <c r="C2574" s="491">
        <v>1</v>
      </c>
      <c r="D2574" s="491">
        <v>0</v>
      </c>
      <c r="E2574" s="491">
        <v>0</v>
      </c>
      <c r="F2574" s="491">
        <v>0</v>
      </c>
      <c r="G2574" s="491">
        <f t="shared" si="40"/>
        <v>1</v>
      </c>
    </row>
    <row r="2575" spans="1:7" ht="12.75">
      <c r="A2575" s="134" t="s">
        <v>787</v>
      </c>
      <c r="B2575" s="134">
        <v>300</v>
      </c>
      <c r="C2575" s="491">
        <v>1</v>
      </c>
      <c r="D2575" s="491">
        <v>1</v>
      </c>
      <c r="E2575" s="491">
        <v>0</v>
      </c>
      <c r="F2575" s="491">
        <v>0</v>
      </c>
      <c r="G2575" s="491">
        <f t="shared" si="40"/>
        <v>2</v>
      </c>
    </row>
    <row r="2576" spans="1:7" ht="12.75">
      <c r="A2576" s="134" t="s">
        <v>787</v>
      </c>
      <c r="B2576" s="134">
        <v>301</v>
      </c>
      <c r="C2576" s="491">
        <v>1</v>
      </c>
      <c r="D2576" s="491">
        <v>2</v>
      </c>
      <c r="E2576" s="491">
        <v>0</v>
      </c>
      <c r="F2576" s="491">
        <v>0</v>
      </c>
      <c r="G2576" s="491">
        <f t="shared" si="40"/>
        <v>3</v>
      </c>
    </row>
    <row r="2577" spans="1:7" ht="12.75">
      <c r="A2577" s="134" t="s">
        <v>787</v>
      </c>
      <c r="B2577" s="134">
        <v>303</v>
      </c>
      <c r="C2577" s="491">
        <v>7</v>
      </c>
      <c r="D2577" s="491">
        <v>13</v>
      </c>
      <c r="E2577" s="491">
        <v>0</v>
      </c>
      <c r="F2577" s="491">
        <v>0</v>
      </c>
      <c r="G2577" s="491">
        <f t="shared" si="40"/>
        <v>20</v>
      </c>
    </row>
    <row r="2578" spans="1:7" ht="12.75">
      <c r="A2578" s="134" t="s">
        <v>787</v>
      </c>
      <c r="B2578" s="134">
        <v>306</v>
      </c>
      <c r="C2578" s="491">
        <v>0</v>
      </c>
      <c r="D2578" s="491">
        <v>1</v>
      </c>
      <c r="E2578" s="491">
        <v>0</v>
      </c>
      <c r="F2578" s="491">
        <v>0</v>
      </c>
      <c r="G2578" s="491">
        <f t="shared" si="40"/>
        <v>1</v>
      </c>
    </row>
    <row r="2579" spans="1:7" ht="12.75">
      <c r="A2579" s="134" t="s">
        <v>787</v>
      </c>
      <c r="B2579" s="134">
        <v>307</v>
      </c>
      <c r="C2579" s="491">
        <v>0</v>
      </c>
      <c r="D2579" s="491">
        <v>3</v>
      </c>
      <c r="E2579" s="491">
        <v>0</v>
      </c>
      <c r="F2579" s="491">
        <v>0</v>
      </c>
      <c r="G2579" s="491">
        <f t="shared" si="40"/>
        <v>3</v>
      </c>
    </row>
    <row r="2580" spans="1:7" ht="12.75">
      <c r="A2580" s="134" t="s">
        <v>787</v>
      </c>
      <c r="B2580" s="134">
        <v>310</v>
      </c>
      <c r="C2580" s="491">
        <v>0</v>
      </c>
      <c r="D2580" s="491">
        <v>2</v>
      </c>
      <c r="E2580" s="491">
        <v>0</v>
      </c>
      <c r="F2580" s="491">
        <v>0</v>
      </c>
      <c r="G2580" s="491">
        <f t="shared" si="40"/>
        <v>2</v>
      </c>
    </row>
    <row r="2581" spans="1:7" ht="12.75">
      <c r="A2581" s="134" t="s">
        <v>787</v>
      </c>
      <c r="B2581" s="134">
        <v>314</v>
      </c>
      <c r="C2581" s="491">
        <v>1</v>
      </c>
      <c r="D2581" s="491">
        <v>0</v>
      </c>
      <c r="E2581" s="491">
        <v>0</v>
      </c>
      <c r="F2581" s="491">
        <v>0</v>
      </c>
      <c r="G2581" s="491">
        <f t="shared" si="40"/>
        <v>1</v>
      </c>
    </row>
    <row r="2582" spans="1:7" ht="12.75">
      <c r="A2582" s="134" t="s">
        <v>787</v>
      </c>
      <c r="B2582" s="134">
        <v>320</v>
      </c>
      <c r="C2582" s="491">
        <v>4</v>
      </c>
      <c r="D2582" s="491">
        <v>4</v>
      </c>
      <c r="E2582" s="491">
        <v>0</v>
      </c>
      <c r="F2582" s="491">
        <v>0</v>
      </c>
      <c r="G2582" s="491">
        <f t="shared" si="40"/>
        <v>8</v>
      </c>
    </row>
    <row r="2583" spans="1:7" ht="12.75">
      <c r="A2583" s="134" t="s">
        <v>787</v>
      </c>
      <c r="B2583" s="134">
        <v>324</v>
      </c>
      <c r="C2583" s="491">
        <v>2</v>
      </c>
      <c r="D2583" s="491">
        <v>3</v>
      </c>
      <c r="E2583" s="491">
        <v>0</v>
      </c>
      <c r="F2583" s="491">
        <v>0</v>
      </c>
      <c r="G2583" s="491">
        <f t="shared" si="40"/>
        <v>5</v>
      </c>
    </row>
    <row r="2584" spans="1:7" ht="12.75">
      <c r="A2584" s="134" t="s">
        <v>787</v>
      </c>
      <c r="B2584" s="134">
        <v>330</v>
      </c>
      <c r="C2584" s="491">
        <v>2</v>
      </c>
      <c r="D2584" s="491">
        <v>3</v>
      </c>
      <c r="E2584" s="491">
        <v>0</v>
      </c>
      <c r="F2584" s="491">
        <v>0</v>
      </c>
      <c r="G2584" s="491">
        <f t="shared" si="40"/>
        <v>5</v>
      </c>
    </row>
    <row r="2585" spans="1:7" ht="12.75">
      <c r="A2585" s="134" t="s">
        <v>787</v>
      </c>
      <c r="B2585" s="134">
        <v>340</v>
      </c>
      <c r="C2585" s="491">
        <v>0</v>
      </c>
      <c r="D2585" s="491">
        <v>5</v>
      </c>
      <c r="E2585" s="491">
        <v>0</v>
      </c>
      <c r="F2585" s="491">
        <v>0</v>
      </c>
      <c r="G2585" s="491">
        <f t="shared" si="40"/>
        <v>5</v>
      </c>
    </row>
    <row r="2586" spans="1:7" ht="12.75">
      <c r="A2586" s="134" t="s">
        <v>787</v>
      </c>
      <c r="B2586" s="134">
        <v>341</v>
      </c>
      <c r="C2586" s="491">
        <v>0</v>
      </c>
      <c r="D2586" s="491">
        <v>1</v>
      </c>
      <c r="E2586" s="491">
        <v>0</v>
      </c>
      <c r="F2586" s="491">
        <v>0</v>
      </c>
      <c r="G2586" s="491">
        <f t="shared" si="40"/>
        <v>1</v>
      </c>
    </row>
    <row r="2587" spans="1:7" ht="12.75">
      <c r="A2587" s="134" t="s">
        <v>787</v>
      </c>
      <c r="B2587" s="134">
        <v>361</v>
      </c>
      <c r="C2587" s="491">
        <v>1</v>
      </c>
      <c r="D2587" s="491">
        <v>0</v>
      </c>
      <c r="E2587" s="491">
        <v>0</v>
      </c>
      <c r="F2587" s="491">
        <v>0</v>
      </c>
      <c r="G2587" s="491">
        <f t="shared" si="40"/>
        <v>1</v>
      </c>
    </row>
    <row r="2588" spans="1:7" ht="12.75">
      <c r="A2588" s="134" t="s">
        <v>787</v>
      </c>
      <c r="B2588" s="134">
        <v>370</v>
      </c>
      <c r="C2588" s="491">
        <v>0</v>
      </c>
      <c r="D2588" s="491">
        <v>3</v>
      </c>
      <c r="E2588" s="491">
        <v>0</v>
      </c>
      <c r="F2588" s="491">
        <v>0</v>
      </c>
      <c r="G2588" s="491">
        <f t="shared" si="40"/>
        <v>3</v>
      </c>
    </row>
    <row r="2589" spans="1:7" ht="12.75">
      <c r="A2589" s="134" t="s">
        <v>787</v>
      </c>
      <c r="B2589" s="134">
        <v>400</v>
      </c>
      <c r="C2589" s="491">
        <v>0</v>
      </c>
      <c r="D2589" s="491">
        <v>3</v>
      </c>
      <c r="E2589" s="491">
        <v>0</v>
      </c>
      <c r="F2589" s="491">
        <v>0</v>
      </c>
      <c r="G2589" s="491">
        <f t="shared" si="40"/>
        <v>3</v>
      </c>
    </row>
    <row r="2590" spans="1:7" ht="12.75">
      <c r="A2590" s="134" t="s">
        <v>787</v>
      </c>
      <c r="B2590" s="134">
        <v>410</v>
      </c>
      <c r="C2590" s="491">
        <v>0</v>
      </c>
      <c r="D2590" s="491">
        <v>3</v>
      </c>
      <c r="E2590" s="491">
        <v>0</v>
      </c>
      <c r="F2590" s="491">
        <v>0</v>
      </c>
      <c r="G2590" s="491">
        <f t="shared" si="40"/>
        <v>3</v>
      </c>
    </row>
    <row r="2591" spans="1:7" ht="12.75">
      <c r="A2591" s="134" t="s">
        <v>787</v>
      </c>
      <c r="B2591" s="134">
        <v>450</v>
      </c>
      <c r="C2591" s="491">
        <v>6</v>
      </c>
      <c r="D2591" s="491">
        <v>11</v>
      </c>
      <c r="E2591" s="491">
        <v>0</v>
      </c>
      <c r="F2591" s="491">
        <v>0</v>
      </c>
      <c r="G2591" s="491">
        <f t="shared" si="40"/>
        <v>17</v>
      </c>
    </row>
    <row r="2592" spans="1:7" ht="12.75">
      <c r="A2592" s="134" t="s">
        <v>787</v>
      </c>
      <c r="B2592" s="134">
        <v>501</v>
      </c>
      <c r="C2592" s="491">
        <v>2</v>
      </c>
      <c r="D2592" s="491">
        <v>2</v>
      </c>
      <c r="E2592" s="491">
        <v>0</v>
      </c>
      <c r="F2592" s="491">
        <v>0</v>
      </c>
      <c r="G2592" s="491">
        <f t="shared" si="40"/>
        <v>4</v>
      </c>
    </row>
    <row r="2593" spans="1:7" ht="12.75">
      <c r="A2593" s="134" t="s">
        <v>787</v>
      </c>
      <c r="B2593" s="134">
        <v>502</v>
      </c>
      <c r="C2593" s="491">
        <v>6</v>
      </c>
      <c r="D2593" s="491">
        <v>2</v>
      </c>
      <c r="E2593" s="491">
        <v>0</v>
      </c>
      <c r="F2593" s="491">
        <v>0</v>
      </c>
      <c r="G2593" s="491">
        <f t="shared" si="40"/>
        <v>8</v>
      </c>
    </row>
    <row r="2594" spans="1:7" ht="12.75">
      <c r="A2594" s="134" t="s">
        <v>787</v>
      </c>
      <c r="B2594" s="134">
        <v>503</v>
      </c>
      <c r="C2594" s="491">
        <v>0</v>
      </c>
      <c r="D2594" s="491">
        <v>3</v>
      </c>
      <c r="E2594" s="491">
        <v>0</v>
      </c>
      <c r="F2594" s="491">
        <v>0</v>
      </c>
      <c r="G2594" s="491">
        <f t="shared" si="40"/>
        <v>3</v>
      </c>
    </row>
    <row r="2595" spans="1:7" ht="12.75">
      <c r="A2595" s="134" t="s">
        <v>787</v>
      </c>
      <c r="B2595" s="134">
        <v>560</v>
      </c>
      <c r="C2595" s="491">
        <v>1</v>
      </c>
      <c r="D2595" s="491">
        <v>1</v>
      </c>
      <c r="E2595" s="491">
        <v>0</v>
      </c>
      <c r="F2595" s="491">
        <v>0</v>
      </c>
      <c r="G2595" s="491">
        <f t="shared" si="40"/>
        <v>2</v>
      </c>
    </row>
    <row r="2596" spans="1:7" ht="12.75">
      <c r="A2596" s="134" t="s">
        <v>787</v>
      </c>
      <c r="B2596" s="134">
        <v>650</v>
      </c>
      <c r="C2596" s="491">
        <v>0</v>
      </c>
      <c r="D2596" s="491">
        <v>11</v>
      </c>
      <c r="E2596" s="491">
        <v>0</v>
      </c>
      <c r="F2596" s="491">
        <v>0</v>
      </c>
      <c r="G2596" s="491">
        <f t="shared" si="40"/>
        <v>11</v>
      </c>
    </row>
    <row r="2597" spans="1:7" ht="12.75">
      <c r="A2597" s="134" t="s">
        <v>787</v>
      </c>
      <c r="B2597" s="134">
        <v>653</v>
      </c>
      <c r="C2597" s="491">
        <v>0</v>
      </c>
      <c r="D2597" s="491">
        <v>2</v>
      </c>
      <c r="E2597" s="491">
        <v>0</v>
      </c>
      <c r="F2597" s="491">
        <v>0</v>
      </c>
      <c r="G2597" s="491">
        <f t="shared" si="40"/>
        <v>2</v>
      </c>
    </row>
    <row r="2598" spans="1:7" ht="12.75">
      <c r="A2598" s="134" t="s">
        <v>787</v>
      </c>
      <c r="B2598" s="134">
        <v>654</v>
      </c>
      <c r="C2598" s="491">
        <v>0</v>
      </c>
      <c r="D2598" s="491">
        <v>1</v>
      </c>
      <c r="E2598" s="491">
        <v>0</v>
      </c>
      <c r="F2598" s="491">
        <v>0</v>
      </c>
      <c r="G2598" s="491">
        <f t="shared" si="40"/>
        <v>1</v>
      </c>
    </row>
    <row r="2599" spans="1:7" ht="12.75">
      <c r="A2599" s="134" t="s">
        <v>787</v>
      </c>
      <c r="B2599" s="134">
        <v>800</v>
      </c>
      <c r="C2599" s="491">
        <v>5</v>
      </c>
      <c r="D2599" s="491">
        <v>0</v>
      </c>
      <c r="E2599" s="491">
        <v>0</v>
      </c>
      <c r="F2599" s="491">
        <v>0</v>
      </c>
      <c r="G2599" s="491">
        <f t="shared" si="40"/>
        <v>5</v>
      </c>
    </row>
    <row r="2600" spans="1:7" ht="12.75">
      <c r="A2600" s="134" t="s">
        <v>788</v>
      </c>
      <c r="B2600" s="134">
        <v>130</v>
      </c>
      <c r="C2600" s="491">
        <v>1</v>
      </c>
      <c r="D2600" s="491">
        <v>1</v>
      </c>
      <c r="E2600" s="491">
        <v>0</v>
      </c>
      <c r="F2600" s="491">
        <v>0</v>
      </c>
      <c r="G2600" s="491">
        <f t="shared" si="40"/>
        <v>2</v>
      </c>
    </row>
    <row r="2601" spans="1:7" ht="12.75">
      <c r="A2601" s="134" t="s">
        <v>788</v>
      </c>
      <c r="B2601" s="134">
        <v>140</v>
      </c>
      <c r="C2601" s="491">
        <v>730</v>
      </c>
      <c r="D2601" s="491">
        <v>44</v>
      </c>
      <c r="E2601" s="491">
        <v>31</v>
      </c>
      <c r="F2601" s="491">
        <v>0</v>
      </c>
      <c r="G2601" s="491">
        <f t="shared" si="40"/>
        <v>805</v>
      </c>
    </row>
    <row r="2602" spans="1:7" ht="12.75">
      <c r="A2602" s="134" t="s">
        <v>788</v>
      </c>
      <c r="B2602" s="134">
        <v>141</v>
      </c>
      <c r="C2602" s="491">
        <v>41</v>
      </c>
      <c r="D2602" s="491">
        <v>0</v>
      </c>
      <c r="E2602" s="491">
        <v>0</v>
      </c>
      <c r="F2602" s="491">
        <v>0</v>
      </c>
      <c r="G2602" s="491">
        <f t="shared" si="40"/>
        <v>41</v>
      </c>
    </row>
    <row r="2603" spans="1:7" ht="12.75">
      <c r="A2603" s="134" t="s">
        <v>788</v>
      </c>
      <c r="B2603" s="134">
        <v>142</v>
      </c>
      <c r="C2603" s="491">
        <v>84</v>
      </c>
      <c r="D2603" s="491">
        <v>7</v>
      </c>
      <c r="E2603" s="491">
        <v>0</v>
      </c>
      <c r="F2603" s="491">
        <v>0</v>
      </c>
      <c r="G2603" s="491">
        <f t="shared" si="40"/>
        <v>91</v>
      </c>
    </row>
    <row r="2604" spans="1:7" ht="12.75">
      <c r="A2604" s="134" t="s">
        <v>788</v>
      </c>
      <c r="B2604" s="134">
        <v>143</v>
      </c>
      <c r="C2604" s="491">
        <v>132</v>
      </c>
      <c r="D2604" s="491">
        <v>10</v>
      </c>
      <c r="E2604" s="491">
        <v>2</v>
      </c>
      <c r="F2604" s="491">
        <v>0</v>
      </c>
      <c r="G2604" s="491">
        <f t="shared" si="40"/>
        <v>144</v>
      </c>
    </row>
    <row r="2605" spans="1:7" ht="12.75">
      <c r="A2605" s="134" t="s">
        <v>788</v>
      </c>
      <c r="B2605" s="134">
        <v>144</v>
      </c>
      <c r="C2605" s="491">
        <v>287</v>
      </c>
      <c r="D2605" s="491">
        <v>14</v>
      </c>
      <c r="E2605" s="491">
        <v>2</v>
      </c>
      <c r="F2605" s="491">
        <v>1</v>
      </c>
      <c r="G2605" s="491">
        <f t="shared" si="40"/>
        <v>304</v>
      </c>
    </row>
    <row r="2606" spans="1:7" ht="12.75">
      <c r="A2606" s="134" t="s">
        <v>788</v>
      </c>
      <c r="B2606" s="134">
        <v>180</v>
      </c>
      <c r="C2606" s="491">
        <v>0</v>
      </c>
      <c r="D2606" s="491">
        <v>1</v>
      </c>
      <c r="E2606" s="491">
        <v>0</v>
      </c>
      <c r="F2606" s="491">
        <v>0</v>
      </c>
      <c r="G2606" s="491">
        <f t="shared" si="40"/>
        <v>1</v>
      </c>
    </row>
    <row r="2607" spans="1:7" ht="12.75">
      <c r="A2607" s="134" t="s">
        <v>788</v>
      </c>
      <c r="B2607" s="134">
        <v>190</v>
      </c>
      <c r="C2607" s="491">
        <v>0</v>
      </c>
      <c r="D2607" s="491">
        <v>1</v>
      </c>
      <c r="E2607" s="491">
        <v>0</v>
      </c>
      <c r="F2607" s="491">
        <v>0</v>
      </c>
      <c r="G2607" s="491">
        <f t="shared" si="40"/>
        <v>1</v>
      </c>
    </row>
    <row r="2608" spans="1:7" ht="12.75">
      <c r="A2608" s="134" t="s">
        <v>788</v>
      </c>
      <c r="B2608" s="134">
        <v>215</v>
      </c>
      <c r="C2608" s="491">
        <v>0</v>
      </c>
      <c r="D2608" s="491">
        <v>2</v>
      </c>
      <c r="E2608" s="491">
        <v>0</v>
      </c>
      <c r="F2608" s="491">
        <v>0</v>
      </c>
      <c r="G2608" s="491">
        <f t="shared" si="40"/>
        <v>2</v>
      </c>
    </row>
    <row r="2609" spans="1:7" ht="12.75">
      <c r="A2609" s="134" t="s">
        <v>788</v>
      </c>
      <c r="B2609" s="134">
        <v>217</v>
      </c>
      <c r="C2609" s="491">
        <v>30</v>
      </c>
      <c r="D2609" s="491">
        <v>0</v>
      </c>
      <c r="E2609" s="491">
        <v>0</v>
      </c>
      <c r="F2609" s="491">
        <v>0</v>
      </c>
      <c r="G2609" s="491">
        <f t="shared" si="40"/>
        <v>30</v>
      </c>
    </row>
    <row r="2610" spans="1:7" ht="12.75">
      <c r="A2610" s="134" t="s">
        <v>788</v>
      </c>
      <c r="B2610" s="134">
        <v>253</v>
      </c>
      <c r="C2610" s="491">
        <v>0</v>
      </c>
      <c r="D2610" s="491">
        <v>1</v>
      </c>
      <c r="E2610" s="491">
        <v>0</v>
      </c>
      <c r="F2610" s="491">
        <v>0</v>
      </c>
      <c r="G2610" s="491">
        <f t="shared" si="40"/>
        <v>1</v>
      </c>
    </row>
    <row r="2611" spans="1:7" ht="12.75">
      <c r="A2611" s="134" t="s">
        <v>788</v>
      </c>
      <c r="B2611" s="134">
        <v>257</v>
      </c>
      <c r="C2611" s="491">
        <v>0</v>
      </c>
      <c r="D2611" s="491">
        <v>1</v>
      </c>
      <c r="E2611" s="491">
        <v>0</v>
      </c>
      <c r="F2611" s="491">
        <v>0</v>
      </c>
      <c r="G2611" s="491">
        <f t="shared" si="40"/>
        <v>1</v>
      </c>
    </row>
    <row r="2612" spans="1:7" ht="12.75">
      <c r="A2612" s="134" t="s">
        <v>788</v>
      </c>
      <c r="B2612" s="134">
        <v>258</v>
      </c>
      <c r="C2612" s="491">
        <v>0</v>
      </c>
      <c r="D2612" s="491">
        <v>2</v>
      </c>
      <c r="E2612" s="491">
        <v>0</v>
      </c>
      <c r="F2612" s="491">
        <v>0</v>
      </c>
      <c r="G2612" s="491">
        <f t="shared" si="40"/>
        <v>2</v>
      </c>
    </row>
    <row r="2613" spans="1:7" ht="12.75">
      <c r="A2613" s="134" t="s">
        <v>788</v>
      </c>
      <c r="B2613" s="134">
        <v>290</v>
      </c>
      <c r="C2613" s="491">
        <v>1</v>
      </c>
      <c r="D2613" s="491">
        <v>0</v>
      </c>
      <c r="E2613" s="491">
        <v>0</v>
      </c>
      <c r="F2613" s="491">
        <v>0</v>
      </c>
      <c r="G2613" s="491">
        <f t="shared" si="40"/>
        <v>1</v>
      </c>
    </row>
    <row r="2614" spans="1:7" ht="12.75">
      <c r="A2614" s="134" t="s">
        <v>788</v>
      </c>
      <c r="B2614" s="134">
        <v>314</v>
      </c>
      <c r="C2614" s="491">
        <v>2</v>
      </c>
      <c r="D2614" s="491">
        <v>0</v>
      </c>
      <c r="E2614" s="491">
        <v>0</v>
      </c>
      <c r="F2614" s="491">
        <v>0</v>
      </c>
      <c r="G2614" s="491">
        <f t="shared" si="40"/>
        <v>2</v>
      </c>
    </row>
    <row r="2615" spans="1:7" ht="12.75">
      <c r="A2615" s="134" t="s">
        <v>788</v>
      </c>
      <c r="B2615" s="134">
        <v>330</v>
      </c>
      <c r="C2615" s="491">
        <v>0</v>
      </c>
      <c r="D2615" s="491">
        <v>1</v>
      </c>
      <c r="E2615" s="491">
        <v>0</v>
      </c>
      <c r="F2615" s="491">
        <v>0</v>
      </c>
      <c r="G2615" s="491">
        <f t="shared" si="40"/>
        <v>1</v>
      </c>
    </row>
    <row r="2616" spans="1:7" ht="12.75">
      <c r="A2616" s="134" t="s">
        <v>788</v>
      </c>
      <c r="B2616" s="134">
        <v>420</v>
      </c>
      <c r="C2616" s="491">
        <v>0</v>
      </c>
      <c r="D2616" s="491">
        <v>4</v>
      </c>
      <c r="E2616" s="491">
        <v>0</v>
      </c>
      <c r="F2616" s="491">
        <v>0</v>
      </c>
      <c r="G2616" s="491">
        <f t="shared" si="40"/>
        <v>4</v>
      </c>
    </row>
    <row r="2617" spans="1:7" ht="12.75">
      <c r="A2617" s="134" t="s">
        <v>788</v>
      </c>
      <c r="B2617" s="134">
        <v>422</v>
      </c>
      <c r="C2617" s="491">
        <v>0</v>
      </c>
      <c r="D2617" s="491">
        <v>1</v>
      </c>
      <c r="E2617" s="491">
        <v>0</v>
      </c>
      <c r="F2617" s="491">
        <v>0</v>
      </c>
      <c r="G2617" s="491">
        <f t="shared" si="40"/>
        <v>1</v>
      </c>
    </row>
    <row r="2618" spans="1:7" ht="12.75">
      <c r="A2618" s="134" t="s">
        <v>789</v>
      </c>
      <c r="B2618" s="134">
        <v>100</v>
      </c>
      <c r="C2618" s="491">
        <v>1</v>
      </c>
      <c r="D2618" s="491">
        <v>1</v>
      </c>
      <c r="E2618" s="491">
        <v>0</v>
      </c>
      <c r="F2618" s="491">
        <v>0</v>
      </c>
      <c r="G2618" s="491">
        <f t="shared" si="40"/>
        <v>2</v>
      </c>
    </row>
    <row r="2619" spans="1:7" ht="12.75">
      <c r="A2619" s="134" t="s">
        <v>789</v>
      </c>
      <c r="B2619" s="134">
        <v>101</v>
      </c>
      <c r="C2619" s="491">
        <v>2</v>
      </c>
      <c r="D2619" s="491">
        <v>5</v>
      </c>
      <c r="E2619" s="491">
        <v>0</v>
      </c>
      <c r="F2619" s="491">
        <v>0</v>
      </c>
      <c r="G2619" s="491">
        <f t="shared" si="40"/>
        <v>7</v>
      </c>
    </row>
    <row r="2620" spans="1:7" ht="12.75">
      <c r="A2620" s="134" t="s">
        <v>789</v>
      </c>
      <c r="B2620" s="134">
        <v>102</v>
      </c>
      <c r="C2620" s="491">
        <v>0</v>
      </c>
      <c r="D2620" s="491">
        <v>2</v>
      </c>
      <c r="E2620" s="491">
        <v>0</v>
      </c>
      <c r="F2620" s="491">
        <v>0</v>
      </c>
      <c r="G2620" s="491">
        <f t="shared" si="40"/>
        <v>2</v>
      </c>
    </row>
    <row r="2621" spans="1:7" ht="12.75">
      <c r="A2621" s="134" t="s">
        <v>789</v>
      </c>
      <c r="B2621" s="134">
        <v>103</v>
      </c>
      <c r="C2621" s="491">
        <v>2</v>
      </c>
      <c r="D2621" s="491">
        <v>3</v>
      </c>
      <c r="E2621" s="491">
        <v>0</v>
      </c>
      <c r="F2621" s="491">
        <v>0</v>
      </c>
      <c r="G2621" s="491">
        <f t="shared" si="40"/>
        <v>5</v>
      </c>
    </row>
    <row r="2622" spans="1:7" ht="12.75">
      <c r="A2622" s="134" t="s">
        <v>789</v>
      </c>
      <c r="B2622" s="134">
        <v>104</v>
      </c>
      <c r="C2622" s="491">
        <v>1</v>
      </c>
      <c r="D2622" s="491">
        <v>5</v>
      </c>
      <c r="E2622" s="491">
        <v>0</v>
      </c>
      <c r="F2622" s="491">
        <v>0</v>
      </c>
      <c r="G2622" s="491">
        <f t="shared" si="40"/>
        <v>6</v>
      </c>
    </row>
    <row r="2623" spans="1:7" ht="12.75">
      <c r="A2623" s="134" t="s">
        <v>789</v>
      </c>
      <c r="B2623" s="134">
        <v>106</v>
      </c>
      <c r="C2623" s="491">
        <v>0</v>
      </c>
      <c r="D2623" s="491">
        <v>1</v>
      </c>
      <c r="E2623" s="491">
        <v>0</v>
      </c>
      <c r="F2623" s="491">
        <v>0</v>
      </c>
      <c r="G2623" s="491">
        <f t="shared" si="40"/>
        <v>1</v>
      </c>
    </row>
    <row r="2624" spans="1:7" ht="12.75">
      <c r="A2624" s="134" t="s">
        <v>789</v>
      </c>
      <c r="B2624" s="134">
        <v>107</v>
      </c>
      <c r="C2624" s="491">
        <v>1</v>
      </c>
      <c r="D2624" s="491">
        <v>1</v>
      </c>
      <c r="E2624" s="491">
        <v>0</v>
      </c>
      <c r="F2624" s="491">
        <v>0</v>
      </c>
      <c r="G2624" s="491">
        <f t="shared" si="40"/>
        <v>2</v>
      </c>
    </row>
    <row r="2625" spans="1:7" ht="12.75">
      <c r="A2625" s="134" t="s">
        <v>789</v>
      </c>
      <c r="B2625" s="134">
        <v>110</v>
      </c>
      <c r="C2625" s="491">
        <v>6</v>
      </c>
      <c r="D2625" s="491">
        <v>7</v>
      </c>
      <c r="E2625" s="491">
        <v>0</v>
      </c>
      <c r="F2625" s="491">
        <v>0</v>
      </c>
      <c r="G2625" s="491">
        <f t="shared" si="40"/>
        <v>13</v>
      </c>
    </row>
    <row r="2626" spans="1:7" ht="12.75">
      <c r="A2626" s="134" t="s">
        <v>789</v>
      </c>
      <c r="B2626" s="134">
        <v>120</v>
      </c>
      <c r="C2626" s="491">
        <v>2</v>
      </c>
      <c r="D2626" s="491">
        <v>9</v>
      </c>
      <c r="E2626" s="491">
        <v>0</v>
      </c>
      <c r="F2626" s="491">
        <v>0</v>
      </c>
      <c r="G2626" s="491">
        <f t="shared" si="40"/>
        <v>11</v>
      </c>
    </row>
    <row r="2627" spans="1:7" ht="12.75">
      <c r="A2627" s="134" t="s">
        <v>789</v>
      </c>
      <c r="B2627" s="134">
        <v>130</v>
      </c>
      <c r="C2627" s="491">
        <v>5</v>
      </c>
      <c r="D2627" s="491">
        <v>2</v>
      </c>
      <c r="E2627" s="491">
        <v>0</v>
      </c>
      <c r="F2627" s="491">
        <v>0</v>
      </c>
      <c r="G2627" s="491">
        <f t="shared" si="40"/>
        <v>7</v>
      </c>
    </row>
    <row r="2628" spans="1:7" ht="12.75">
      <c r="A2628" s="134" t="s">
        <v>789</v>
      </c>
      <c r="B2628" s="134">
        <v>140</v>
      </c>
      <c r="C2628" s="491">
        <v>10902</v>
      </c>
      <c r="D2628" s="491">
        <v>1120</v>
      </c>
      <c r="E2628" s="491">
        <v>244</v>
      </c>
      <c r="F2628" s="491">
        <v>7</v>
      </c>
      <c r="G2628" s="491">
        <f t="shared" ref="G2628:G2691" si="41">SUM(C2628:F2628)</f>
        <v>12273</v>
      </c>
    </row>
    <row r="2629" spans="1:7" ht="12.75">
      <c r="A2629" s="134" t="s">
        <v>789</v>
      </c>
      <c r="B2629" s="134">
        <v>141</v>
      </c>
      <c r="C2629" s="491">
        <v>228</v>
      </c>
      <c r="D2629" s="491">
        <v>25</v>
      </c>
      <c r="E2629" s="491">
        <v>0</v>
      </c>
      <c r="F2629" s="491">
        <v>39</v>
      </c>
      <c r="G2629" s="491">
        <f t="shared" si="41"/>
        <v>292</v>
      </c>
    </row>
    <row r="2630" spans="1:7" ht="12.75">
      <c r="A2630" s="134" t="s">
        <v>789</v>
      </c>
      <c r="B2630" s="134">
        <v>143</v>
      </c>
      <c r="C2630" s="491">
        <v>10</v>
      </c>
      <c r="D2630" s="491">
        <v>0</v>
      </c>
      <c r="E2630" s="491">
        <v>0</v>
      </c>
      <c r="F2630" s="491">
        <v>1</v>
      </c>
      <c r="G2630" s="491">
        <f t="shared" si="41"/>
        <v>11</v>
      </c>
    </row>
    <row r="2631" spans="1:7" ht="12.75">
      <c r="A2631" s="134" t="s">
        <v>789</v>
      </c>
      <c r="B2631" s="134">
        <v>144</v>
      </c>
      <c r="C2631" s="491">
        <v>2952</v>
      </c>
      <c r="D2631" s="491">
        <v>208</v>
      </c>
      <c r="E2631" s="491">
        <v>3</v>
      </c>
      <c r="F2631" s="491">
        <v>0</v>
      </c>
      <c r="G2631" s="491">
        <f t="shared" si="41"/>
        <v>3163</v>
      </c>
    </row>
    <row r="2632" spans="1:7" ht="12.75">
      <c r="A2632" s="134" t="s">
        <v>789</v>
      </c>
      <c r="B2632" s="134">
        <v>150</v>
      </c>
      <c r="C2632" s="491">
        <v>0</v>
      </c>
      <c r="D2632" s="491">
        <v>3</v>
      </c>
      <c r="E2632" s="491">
        <v>0</v>
      </c>
      <c r="F2632" s="491">
        <v>0</v>
      </c>
      <c r="G2632" s="491">
        <f t="shared" si="41"/>
        <v>3</v>
      </c>
    </row>
    <row r="2633" spans="1:7" ht="12.75">
      <c r="A2633" s="134" t="s">
        <v>789</v>
      </c>
      <c r="B2633" s="134">
        <v>160</v>
      </c>
      <c r="C2633" s="491">
        <v>0</v>
      </c>
      <c r="D2633" s="491">
        <v>2</v>
      </c>
      <c r="E2633" s="491">
        <v>0</v>
      </c>
      <c r="F2633" s="491">
        <v>0</v>
      </c>
      <c r="G2633" s="491">
        <f t="shared" si="41"/>
        <v>2</v>
      </c>
    </row>
    <row r="2634" spans="1:7" ht="12.75">
      <c r="A2634" s="134" t="s">
        <v>789</v>
      </c>
      <c r="B2634" s="134">
        <v>190</v>
      </c>
      <c r="C2634" s="491">
        <v>0</v>
      </c>
      <c r="D2634" s="491">
        <v>1</v>
      </c>
      <c r="E2634" s="491">
        <v>0</v>
      </c>
      <c r="F2634" s="491">
        <v>0</v>
      </c>
      <c r="G2634" s="491">
        <f t="shared" si="41"/>
        <v>1</v>
      </c>
    </row>
    <row r="2635" spans="1:7" ht="12.75">
      <c r="A2635" s="134" t="s">
        <v>789</v>
      </c>
      <c r="B2635" s="134">
        <v>191</v>
      </c>
      <c r="C2635" s="491">
        <v>1</v>
      </c>
      <c r="D2635" s="491">
        <v>0</v>
      </c>
      <c r="E2635" s="491">
        <v>0</v>
      </c>
      <c r="F2635" s="491">
        <v>0</v>
      </c>
      <c r="G2635" s="491">
        <f t="shared" si="41"/>
        <v>1</v>
      </c>
    </row>
    <row r="2636" spans="1:7" ht="12.75">
      <c r="A2636" s="134" t="s">
        <v>789</v>
      </c>
      <c r="B2636" s="134">
        <v>300</v>
      </c>
      <c r="C2636" s="491">
        <v>1</v>
      </c>
      <c r="D2636" s="491">
        <v>1</v>
      </c>
      <c r="E2636" s="491">
        <v>0</v>
      </c>
      <c r="F2636" s="491">
        <v>0</v>
      </c>
      <c r="G2636" s="491">
        <f t="shared" si="41"/>
        <v>2</v>
      </c>
    </row>
    <row r="2637" spans="1:7" ht="12.75">
      <c r="A2637" s="134" t="s">
        <v>789</v>
      </c>
      <c r="B2637" s="134">
        <v>301</v>
      </c>
      <c r="C2637" s="491">
        <v>3</v>
      </c>
      <c r="D2637" s="491">
        <v>3</v>
      </c>
      <c r="E2637" s="491">
        <v>0</v>
      </c>
      <c r="F2637" s="491">
        <v>0</v>
      </c>
      <c r="G2637" s="491">
        <f t="shared" si="41"/>
        <v>6</v>
      </c>
    </row>
    <row r="2638" spans="1:7" ht="12.75">
      <c r="A2638" s="134" t="s">
        <v>789</v>
      </c>
      <c r="B2638" s="134">
        <v>302</v>
      </c>
      <c r="C2638" s="491">
        <v>0</v>
      </c>
      <c r="D2638" s="491">
        <v>1</v>
      </c>
      <c r="E2638" s="491">
        <v>0</v>
      </c>
      <c r="F2638" s="491">
        <v>0</v>
      </c>
      <c r="G2638" s="491">
        <f t="shared" si="41"/>
        <v>1</v>
      </c>
    </row>
    <row r="2639" spans="1:7" ht="12.75">
      <c r="A2639" s="134" t="s">
        <v>789</v>
      </c>
      <c r="B2639" s="134">
        <v>303</v>
      </c>
      <c r="C2639" s="491">
        <v>5</v>
      </c>
      <c r="D2639" s="491">
        <v>11</v>
      </c>
      <c r="E2639" s="491">
        <v>0</v>
      </c>
      <c r="F2639" s="491">
        <v>0</v>
      </c>
      <c r="G2639" s="491">
        <f t="shared" si="41"/>
        <v>16</v>
      </c>
    </row>
    <row r="2640" spans="1:7" ht="12.75">
      <c r="A2640" s="134" t="s">
        <v>789</v>
      </c>
      <c r="B2640" s="134">
        <v>306</v>
      </c>
      <c r="C2640" s="491">
        <v>1</v>
      </c>
      <c r="D2640" s="491">
        <v>0</v>
      </c>
      <c r="E2640" s="491">
        <v>0</v>
      </c>
      <c r="F2640" s="491">
        <v>0</v>
      </c>
      <c r="G2640" s="491">
        <f t="shared" si="41"/>
        <v>1</v>
      </c>
    </row>
    <row r="2641" spans="1:7" ht="12.75">
      <c r="A2641" s="134" t="s">
        <v>789</v>
      </c>
      <c r="B2641" s="134">
        <v>307</v>
      </c>
      <c r="C2641" s="491">
        <v>1</v>
      </c>
      <c r="D2641" s="491">
        <v>2</v>
      </c>
      <c r="E2641" s="491">
        <v>0</v>
      </c>
      <c r="F2641" s="491">
        <v>0</v>
      </c>
      <c r="G2641" s="491">
        <f t="shared" si="41"/>
        <v>3</v>
      </c>
    </row>
    <row r="2642" spans="1:7" ht="12.75">
      <c r="A2642" s="134" t="s">
        <v>789</v>
      </c>
      <c r="B2642" s="134">
        <v>310</v>
      </c>
      <c r="C2642" s="491">
        <v>0</v>
      </c>
      <c r="D2642" s="491">
        <v>4</v>
      </c>
      <c r="E2642" s="491">
        <v>0</v>
      </c>
      <c r="F2642" s="491">
        <v>0</v>
      </c>
      <c r="G2642" s="491">
        <f t="shared" si="41"/>
        <v>4</v>
      </c>
    </row>
    <row r="2643" spans="1:7" ht="12.75">
      <c r="A2643" s="134" t="s">
        <v>789</v>
      </c>
      <c r="B2643" s="134">
        <v>314</v>
      </c>
      <c r="C2643" s="491">
        <v>1</v>
      </c>
      <c r="D2643" s="491">
        <v>0</v>
      </c>
      <c r="E2643" s="491">
        <v>0</v>
      </c>
      <c r="F2643" s="491">
        <v>0</v>
      </c>
      <c r="G2643" s="491">
        <f t="shared" si="41"/>
        <v>1</v>
      </c>
    </row>
    <row r="2644" spans="1:7" ht="12.75">
      <c r="A2644" s="134" t="s">
        <v>789</v>
      </c>
      <c r="B2644" s="134">
        <v>320</v>
      </c>
      <c r="C2644" s="491">
        <v>2</v>
      </c>
      <c r="D2644" s="491">
        <v>16</v>
      </c>
      <c r="E2644" s="491">
        <v>0</v>
      </c>
      <c r="F2644" s="491">
        <v>0</v>
      </c>
      <c r="G2644" s="491">
        <f t="shared" si="41"/>
        <v>18</v>
      </c>
    </row>
    <row r="2645" spans="1:7" ht="12.75">
      <c r="A2645" s="134" t="s">
        <v>789</v>
      </c>
      <c r="B2645" s="134">
        <v>324</v>
      </c>
      <c r="C2645" s="491">
        <v>0</v>
      </c>
      <c r="D2645" s="491">
        <v>3</v>
      </c>
      <c r="E2645" s="491">
        <v>0</v>
      </c>
      <c r="F2645" s="491">
        <v>0</v>
      </c>
      <c r="G2645" s="491">
        <f t="shared" si="41"/>
        <v>3</v>
      </c>
    </row>
    <row r="2646" spans="1:7" ht="12.75">
      <c r="A2646" s="134" t="s">
        <v>789</v>
      </c>
      <c r="B2646" s="134">
        <v>330</v>
      </c>
      <c r="C2646" s="491">
        <v>0</v>
      </c>
      <c r="D2646" s="491">
        <v>4</v>
      </c>
      <c r="E2646" s="491">
        <v>0</v>
      </c>
      <c r="F2646" s="491">
        <v>0</v>
      </c>
      <c r="G2646" s="491">
        <f t="shared" si="41"/>
        <v>4</v>
      </c>
    </row>
    <row r="2647" spans="1:7" ht="12.75">
      <c r="A2647" s="134" t="s">
        <v>789</v>
      </c>
      <c r="B2647" s="134">
        <v>340</v>
      </c>
      <c r="C2647" s="491">
        <v>1</v>
      </c>
      <c r="D2647" s="491">
        <v>3</v>
      </c>
      <c r="E2647" s="491">
        <v>0</v>
      </c>
      <c r="F2647" s="491">
        <v>0</v>
      </c>
      <c r="G2647" s="491">
        <f t="shared" si="41"/>
        <v>4</v>
      </c>
    </row>
    <row r="2648" spans="1:7" ht="12.75">
      <c r="A2648" s="134" t="s">
        <v>789</v>
      </c>
      <c r="B2648" s="134">
        <v>341</v>
      </c>
      <c r="C2648" s="491">
        <v>0</v>
      </c>
      <c r="D2648" s="491">
        <v>1</v>
      </c>
      <c r="E2648" s="491">
        <v>0</v>
      </c>
      <c r="F2648" s="491">
        <v>0</v>
      </c>
      <c r="G2648" s="491">
        <f t="shared" si="41"/>
        <v>1</v>
      </c>
    </row>
    <row r="2649" spans="1:7" ht="12.75">
      <c r="A2649" s="134" t="s">
        <v>789</v>
      </c>
      <c r="B2649" s="134">
        <v>370</v>
      </c>
      <c r="C2649" s="491">
        <v>0</v>
      </c>
      <c r="D2649" s="491">
        <v>6</v>
      </c>
      <c r="E2649" s="491">
        <v>0</v>
      </c>
      <c r="F2649" s="491">
        <v>0</v>
      </c>
      <c r="G2649" s="491">
        <f t="shared" si="41"/>
        <v>6</v>
      </c>
    </row>
    <row r="2650" spans="1:7" ht="12.75">
      <c r="A2650" s="134" t="s">
        <v>789</v>
      </c>
      <c r="B2650" s="134">
        <v>400</v>
      </c>
      <c r="C2650" s="491">
        <v>1</v>
      </c>
      <c r="D2650" s="491">
        <v>1</v>
      </c>
      <c r="E2650" s="491">
        <v>0</v>
      </c>
      <c r="F2650" s="491">
        <v>0</v>
      </c>
      <c r="G2650" s="491">
        <f t="shared" si="41"/>
        <v>2</v>
      </c>
    </row>
    <row r="2651" spans="1:7" ht="12.75">
      <c r="A2651" s="134" t="s">
        <v>789</v>
      </c>
      <c r="B2651" s="134">
        <v>410</v>
      </c>
      <c r="C2651" s="491">
        <v>1</v>
      </c>
      <c r="D2651" s="491">
        <v>5</v>
      </c>
      <c r="E2651" s="491">
        <v>0</v>
      </c>
      <c r="F2651" s="491">
        <v>0</v>
      </c>
      <c r="G2651" s="491">
        <f t="shared" si="41"/>
        <v>6</v>
      </c>
    </row>
    <row r="2652" spans="1:7" ht="12.75">
      <c r="A2652" s="134" t="s">
        <v>789</v>
      </c>
      <c r="B2652" s="134">
        <v>430</v>
      </c>
      <c r="C2652" s="491">
        <v>0</v>
      </c>
      <c r="D2652" s="491">
        <v>2</v>
      </c>
      <c r="E2652" s="491">
        <v>0</v>
      </c>
      <c r="F2652" s="491">
        <v>0</v>
      </c>
      <c r="G2652" s="491">
        <f t="shared" si="41"/>
        <v>2</v>
      </c>
    </row>
    <row r="2653" spans="1:7" ht="12.75">
      <c r="A2653" s="134" t="s">
        <v>789</v>
      </c>
      <c r="B2653" s="134">
        <v>450</v>
      </c>
      <c r="C2653" s="491">
        <v>26</v>
      </c>
      <c r="D2653" s="491">
        <v>13</v>
      </c>
      <c r="E2653" s="491">
        <v>0</v>
      </c>
      <c r="F2653" s="491">
        <v>0</v>
      </c>
      <c r="G2653" s="491">
        <f t="shared" si="41"/>
        <v>39</v>
      </c>
    </row>
    <row r="2654" spans="1:7" ht="12.75">
      <c r="A2654" s="134" t="s">
        <v>789</v>
      </c>
      <c r="B2654" s="134">
        <v>501</v>
      </c>
      <c r="C2654" s="491">
        <v>7</v>
      </c>
      <c r="D2654" s="491">
        <v>9</v>
      </c>
      <c r="E2654" s="491">
        <v>0</v>
      </c>
      <c r="F2654" s="491">
        <v>0</v>
      </c>
      <c r="G2654" s="491">
        <f t="shared" si="41"/>
        <v>16</v>
      </c>
    </row>
    <row r="2655" spans="1:7" ht="12.75">
      <c r="A2655" s="134" t="s">
        <v>789</v>
      </c>
      <c r="B2655" s="134">
        <v>502</v>
      </c>
      <c r="C2655" s="491">
        <v>3</v>
      </c>
      <c r="D2655" s="491">
        <v>19</v>
      </c>
      <c r="E2655" s="491">
        <v>0</v>
      </c>
      <c r="F2655" s="491">
        <v>0</v>
      </c>
      <c r="G2655" s="491">
        <f t="shared" si="41"/>
        <v>22</v>
      </c>
    </row>
    <row r="2656" spans="1:7" ht="12.75">
      <c r="A2656" s="134" t="s">
        <v>789</v>
      </c>
      <c r="B2656" s="134">
        <v>503</v>
      </c>
      <c r="C2656" s="491">
        <v>0</v>
      </c>
      <c r="D2656" s="491">
        <v>3</v>
      </c>
      <c r="E2656" s="491">
        <v>0</v>
      </c>
      <c r="F2656" s="491">
        <v>0</v>
      </c>
      <c r="G2656" s="491">
        <f t="shared" si="41"/>
        <v>3</v>
      </c>
    </row>
    <row r="2657" spans="1:7" ht="12.75">
      <c r="A2657" s="134" t="s">
        <v>789</v>
      </c>
      <c r="B2657" s="134">
        <v>560</v>
      </c>
      <c r="C2657" s="491">
        <v>1</v>
      </c>
      <c r="D2657" s="491">
        <v>6</v>
      </c>
      <c r="E2657" s="491">
        <v>0</v>
      </c>
      <c r="F2657" s="491">
        <v>0</v>
      </c>
      <c r="G2657" s="491">
        <f t="shared" si="41"/>
        <v>7</v>
      </c>
    </row>
    <row r="2658" spans="1:7" ht="12.75">
      <c r="A2658" s="134" t="s">
        <v>789</v>
      </c>
      <c r="B2658" s="134">
        <v>650</v>
      </c>
      <c r="C2658" s="491">
        <v>0</v>
      </c>
      <c r="D2658" s="491">
        <v>14</v>
      </c>
      <c r="E2658" s="491">
        <v>0</v>
      </c>
      <c r="F2658" s="491">
        <v>0</v>
      </c>
      <c r="G2658" s="491">
        <f t="shared" si="41"/>
        <v>14</v>
      </c>
    </row>
    <row r="2659" spans="1:7" ht="12.75">
      <c r="A2659" s="134" t="s">
        <v>789</v>
      </c>
      <c r="B2659" s="134">
        <v>653</v>
      </c>
      <c r="C2659" s="491">
        <v>0</v>
      </c>
      <c r="D2659" s="491">
        <v>3</v>
      </c>
      <c r="E2659" s="491">
        <v>0</v>
      </c>
      <c r="F2659" s="491">
        <v>0</v>
      </c>
      <c r="G2659" s="491">
        <f t="shared" si="41"/>
        <v>3</v>
      </c>
    </row>
    <row r="2660" spans="1:7" ht="12.75">
      <c r="A2660" s="134" t="s">
        <v>789</v>
      </c>
      <c r="B2660" s="134">
        <v>654</v>
      </c>
      <c r="C2660" s="491">
        <v>0</v>
      </c>
      <c r="D2660" s="491">
        <v>1</v>
      </c>
      <c r="E2660" s="491">
        <v>0</v>
      </c>
      <c r="F2660" s="491">
        <v>0</v>
      </c>
      <c r="G2660" s="491">
        <f t="shared" si="41"/>
        <v>1</v>
      </c>
    </row>
    <row r="2661" spans="1:7" ht="12.75">
      <c r="A2661" s="134" t="s">
        <v>790</v>
      </c>
      <c r="B2661" s="134">
        <v>107</v>
      </c>
      <c r="C2661" s="491">
        <v>0</v>
      </c>
      <c r="D2661" s="491">
        <v>1</v>
      </c>
      <c r="E2661" s="491">
        <v>0</v>
      </c>
      <c r="F2661" s="491">
        <v>0</v>
      </c>
      <c r="G2661" s="491">
        <f t="shared" si="41"/>
        <v>1</v>
      </c>
    </row>
    <row r="2662" spans="1:7" ht="12.75">
      <c r="A2662" s="134" t="s">
        <v>790</v>
      </c>
      <c r="B2662" s="134">
        <v>110</v>
      </c>
      <c r="C2662" s="491">
        <v>0</v>
      </c>
      <c r="D2662" s="491">
        <v>1</v>
      </c>
      <c r="E2662" s="491">
        <v>0</v>
      </c>
      <c r="F2662" s="491">
        <v>0</v>
      </c>
      <c r="G2662" s="491">
        <f t="shared" si="41"/>
        <v>1</v>
      </c>
    </row>
    <row r="2663" spans="1:7" ht="12.75">
      <c r="A2663" s="134" t="s">
        <v>790</v>
      </c>
      <c r="B2663" s="134">
        <v>120</v>
      </c>
      <c r="C2663" s="491">
        <v>0</v>
      </c>
      <c r="D2663" s="491">
        <v>1</v>
      </c>
      <c r="E2663" s="491">
        <v>0</v>
      </c>
      <c r="F2663" s="491">
        <v>0</v>
      </c>
      <c r="G2663" s="491">
        <f t="shared" si="41"/>
        <v>1</v>
      </c>
    </row>
    <row r="2664" spans="1:7" ht="12.75">
      <c r="A2664" s="134" t="s">
        <v>790</v>
      </c>
      <c r="B2664" s="134">
        <v>130</v>
      </c>
      <c r="C2664" s="491">
        <v>1</v>
      </c>
      <c r="D2664" s="491">
        <v>2</v>
      </c>
      <c r="E2664" s="491">
        <v>0</v>
      </c>
      <c r="F2664" s="491">
        <v>0</v>
      </c>
      <c r="G2664" s="491">
        <f t="shared" si="41"/>
        <v>3</v>
      </c>
    </row>
    <row r="2665" spans="1:7" ht="12.75">
      <c r="A2665" s="134" t="s">
        <v>790</v>
      </c>
      <c r="B2665" s="134">
        <v>140</v>
      </c>
      <c r="C2665" s="491">
        <v>313</v>
      </c>
      <c r="D2665" s="491">
        <v>30</v>
      </c>
      <c r="E2665" s="491">
        <v>11</v>
      </c>
      <c r="F2665" s="491">
        <v>0</v>
      </c>
      <c r="G2665" s="491">
        <f t="shared" si="41"/>
        <v>354</v>
      </c>
    </row>
    <row r="2666" spans="1:7" ht="12.75">
      <c r="A2666" s="134" t="s">
        <v>790</v>
      </c>
      <c r="B2666" s="134">
        <v>141</v>
      </c>
      <c r="C2666" s="491">
        <v>8</v>
      </c>
      <c r="D2666" s="491">
        <v>0</v>
      </c>
      <c r="E2666" s="491">
        <v>0</v>
      </c>
      <c r="F2666" s="491">
        <v>0</v>
      </c>
      <c r="G2666" s="491">
        <f t="shared" si="41"/>
        <v>8</v>
      </c>
    </row>
    <row r="2667" spans="1:7" ht="12.75">
      <c r="A2667" s="134" t="s">
        <v>790</v>
      </c>
      <c r="B2667" s="134">
        <v>142</v>
      </c>
      <c r="C2667" s="491">
        <v>491</v>
      </c>
      <c r="D2667" s="491">
        <v>24</v>
      </c>
      <c r="E2667" s="491">
        <v>0</v>
      </c>
      <c r="F2667" s="491">
        <v>0</v>
      </c>
      <c r="G2667" s="491">
        <f t="shared" si="41"/>
        <v>515</v>
      </c>
    </row>
    <row r="2668" spans="1:7" ht="12.75">
      <c r="A2668" s="134" t="s">
        <v>790</v>
      </c>
      <c r="B2668" s="134">
        <v>143</v>
      </c>
      <c r="C2668" s="491">
        <v>24</v>
      </c>
      <c r="D2668" s="491">
        <v>4</v>
      </c>
      <c r="E2668" s="491">
        <v>0</v>
      </c>
      <c r="F2668" s="491">
        <v>0</v>
      </c>
      <c r="G2668" s="491">
        <f t="shared" si="41"/>
        <v>28</v>
      </c>
    </row>
    <row r="2669" spans="1:7" ht="12.75">
      <c r="A2669" s="134" t="s">
        <v>790</v>
      </c>
      <c r="B2669" s="134">
        <v>144</v>
      </c>
      <c r="C2669" s="491">
        <v>72</v>
      </c>
      <c r="D2669" s="491">
        <v>11</v>
      </c>
      <c r="E2669" s="491">
        <v>0</v>
      </c>
      <c r="F2669" s="491">
        <v>0</v>
      </c>
      <c r="G2669" s="491">
        <f t="shared" si="41"/>
        <v>83</v>
      </c>
    </row>
    <row r="2670" spans="1:7" ht="12.75">
      <c r="A2670" s="134" t="s">
        <v>790</v>
      </c>
      <c r="B2670" s="134">
        <v>160</v>
      </c>
      <c r="C2670" s="491">
        <v>0</v>
      </c>
      <c r="D2670" s="491">
        <v>1</v>
      </c>
      <c r="E2670" s="491">
        <v>0</v>
      </c>
      <c r="F2670" s="491">
        <v>0</v>
      </c>
      <c r="G2670" s="491">
        <f t="shared" si="41"/>
        <v>1</v>
      </c>
    </row>
    <row r="2671" spans="1:7" ht="12.75">
      <c r="A2671" s="134" t="s">
        <v>790</v>
      </c>
      <c r="B2671" s="134">
        <v>161</v>
      </c>
      <c r="C2671" s="491">
        <v>1</v>
      </c>
      <c r="D2671" s="491">
        <v>0</v>
      </c>
      <c r="E2671" s="491">
        <v>0</v>
      </c>
      <c r="F2671" s="491">
        <v>0</v>
      </c>
      <c r="G2671" s="491">
        <f t="shared" si="41"/>
        <v>1</v>
      </c>
    </row>
    <row r="2672" spans="1:7" ht="12.75">
      <c r="A2672" s="134" t="s">
        <v>790</v>
      </c>
      <c r="B2672" s="134">
        <v>211</v>
      </c>
      <c r="C2672" s="491">
        <v>0</v>
      </c>
      <c r="D2672" s="491">
        <v>2</v>
      </c>
      <c r="E2672" s="491">
        <v>0</v>
      </c>
      <c r="F2672" s="491">
        <v>0</v>
      </c>
      <c r="G2672" s="491">
        <f t="shared" si="41"/>
        <v>2</v>
      </c>
    </row>
    <row r="2673" spans="1:7" ht="12.75">
      <c r="A2673" s="134" t="s">
        <v>790</v>
      </c>
      <c r="B2673" s="134">
        <v>217</v>
      </c>
      <c r="C2673" s="491">
        <v>13</v>
      </c>
      <c r="D2673" s="491">
        <v>3</v>
      </c>
      <c r="E2673" s="491">
        <v>0</v>
      </c>
      <c r="F2673" s="491">
        <v>0</v>
      </c>
      <c r="G2673" s="491">
        <f t="shared" si="41"/>
        <v>16</v>
      </c>
    </row>
    <row r="2674" spans="1:7" ht="12.75">
      <c r="A2674" s="134" t="s">
        <v>790</v>
      </c>
      <c r="B2674" s="134">
        <v>251</v>
      </c>
      <c r="C2674" s="491">
        <v>0</v>
      </c>
      <c r="D2674" s="491">
        <v>1</v>
      </c>
      <c r="E2674" s="491">
        <v>0</v>
      </c>
      <c r="F2674" s="491">
        <v>0</v>
      </c>
      <c r="G2674" s="491">
        <f t="shared" si="41"/>
        <v>1</v>
      </c>
    </row>
    <row r="2675" spans="1:7" ht="12.75">
      <c r="A2675" s="134" t="s">
        <v>790</v>
      </c>
      <c r="B2675" s="134">
        <v>314</v>
      </c>
      <c r="C2675" s="491">
        <v>0</v>
      </c>
      <c r="D2675" s="491">
        <v>1</v>
      </c>
      <c r="E2675" s="491">
        <v>0</v>
      </c>
      <c r="F2675" s="491">
        <v>0</v>
      </c>
      <c r="G2675" s="491">
        <f t="shared" si="41"/>
        <v>1</v>
      </c>
    </row>
    <row r="2676" spans="1:7" ht="12.75">
      <c r="A2676" s="134" t="s">
        <v>790</v>
      </c>
      <c r="B2676" s="134">
        <v>420</v>
      </c>
      <c r="C2676" s="491">
        <v>2</v>
      </c>
      <c r="D2676" s="491">
        <v>5</v>
      </c>
      <c r="E2676" s="491">
        <v>0</v>
      </c>
      <c r="F2676" s="491">
        <v>0</v>
      </c>
      <c r="G2676" s="491">
        <f t="shared" si="41"/>
        <v>7</v>
      </c>
    </row>
    <row r="2677" spans="1:7" ht="12.75">
      <c r="A2677" s="134" t="s">
        <v>790</v>
      </c>
      <c r="B2677" s="134">
        <v>450</v>
      </c>
      <c r="C2677" s="491">
        <v>2</v>
      </c>
      <c r="D2677" s="491">
        <v>0</v>
      </c>
      <c r="E2677" s="491">
        <v>0</v>
      </c>
      <c r="F2677" s="491">
        <v>0</v>
      </c>
      <c r="G2677" s="491">
        <f t="shared" si="41"/>
        <v>2</v>
      </c>
    </row>
    <row r="2678" spans="1:7" ht="12.75">
      <c r="A2678" s="134" t="s">
        <v>790</v>
      </c>
      <c r="B2678" s="134">
        <v>501</v>
      </c>
      <c r="C2678" s="491">
        <v>0</v>
      </c>
      <c r="D2678" s="491">
        <v>1</v>
      </c>
      <c r="E2678" s="491">
        <v>0</v>
      </c>
      <c r="F2678" s="491">
        <v>0</v>
      </c>
      <c r="G2678" s="491">
        <f t="shared" si="41"/>
        <v>1</v>
      </c>
    </row>
    <row r="2679" spans="1:7" ht="12.75">
      <c r="A2679" s="134" t="s">
        <v>790</v>
      </c>
      <c r="B2679" s="134">
        <v>502</v>
      </c>
      <c r="C2679" s="491">
        <v>0</v>
      </c>
      <c r="D2679" s="491">
        <v>1</v>
      </c>
      <c r="E2679" s="491">
        <v>0</v>
      </c>
      <c r="F2679" s="491">
        <v>0</v>
      </c>
      <c r="G2679" s="491">
        <f t="shared" si="41"/>
        <v>1</v>
      </c>
    </row>
    <row r="2680" spans="1:7" ht="12.75">
      <c r="A2680" s="134" t="s">
        <v>790</v>
      </c>
      <c r="B2680" s="134">
        <v>650</v>
      </c>
      <c r="C2680" s="491">
        <v>0</v>
      </c>
      <c r="D2680" s="491">
        <v>1</v>
      </c>
      <c r="E2680" s="491">
        <v>0</v>
      </c>
      <c r="F2680" s="491">
        <v>0</v>
      </c>
      <c r="G2680" s="491">
        <f t="shared" si="41"/>
        <v>1</v>
      </c>
    </row>
    <row r="2681" spans="1:7" ht="12.75">
      <c r="A2681" s="134" t="s">
        <v>791</v>
      </c>
      <c r="B2681" s="134">
        <v>100</v>
      </c>
      <c r="C2681" s="491">
        <v>1</v>
      </c>
      <c r="D2681" s="491">
        <v>0</v>
      </c>
      <c r="E2681" s="491">
        <v>0</v>
      </c>
      <c r="F2681" s="491">
        <v>0</v>
      </c>
      <c r="G2681" s="491">
        <f t="shared" si="41"/>
        <v>1</v>
      </c>
    </row>
    <row r="2682" spans="1:7" ht="12.75">
      <c r="A2682" s="134" t="s">
        <v>791</v>
      </c>
      <c r="B2682" s="134">
        <v>101</v>
      </c>
      <c r="C2682" s="491">
        <v>1</v>
      </c>
      <c r="D2682" s="491">
        <v>9</v>
      </c>
      <c r="E2682" s="491">
        <v>1</v>
      </c>
      <c r="F2682" s="491">
        <v>0</v>
      </c>
      <c r="G2682" s="491">
        <f t="shared" si="41"/>
        <v>11</v>
      </c>
    </row>
    <row r="2683" spans="1:7" ht="12.75">
      <c r="A2683" s="134" t="s">
        <v>791</v>
      </c>
      <c r="B2683" s="134">
        <v>103</v>
      </c>
      <c r="C2683" s="491">
        <v>0</v>
      </c>
      <c r="D2683" s="491">
        <v>3</v>
      </c>
      <c r="E2683" s="491">
        <v>0</v>
      </c>
      <c r="F2683" s="491">
        <v>0</v>
      </c>
      <c r="G2683" s="491">
        <f t="shared" si="41"/>
        <v>3</v>
      </c>
    </row>
    <row r="2684" spans="1:7" ht="12.75">
      <c r="A2684" s="134" t="s">
        <v>791</v>
      </c>
      <c r="B2684" s="134">
        <v>104</v>
      </c>
      <c r="C2684" s="491">
        <v>0</v>
      </c>
      <c r="D2684" s="491">
        <v>1</v>
      </c>
      <c r="E2684" s="491">
        <v>0</v>
      </c>
      <c r="F2684" s="491">
        <v>0</v>
      </c>
      <c r="G2684" s="491">
        <f t="shared" si="41"/>
        <v>1</v>
      </c>
    </row>
    <row r="2685" spans="1:7" ht="12.75">
      <c r="A2685" s="134" t="s">
        <v>791</v>
      </c>
      <c r="B2685" s="134">
        <v>106</v>
      </c>
      <c r="C2685" s="491">
        <v>0</v>
      </c>
      <c r="D2685" s="491">
        <v>2</v>
      </c>
      <c r="E2685" s="491">
        <v>0</v>
      </c>
      <c r="F2685" s="491">
        <v>0</v>
      </c>
      <c r="G2685" s="491">
        <f t="shared" si="41"/>
        <v>2</v>
      </c>
    </row>
    <row r="2686" spans="1:7" ht="12.75">
      <c r="A2686" s="134" t="s">
        <v>791</v>
      </c>
      <c r="B2686" s="134">
        <v>107</v>
      </c>
      <c r="C2686" s="491">
        <v>0</v>
      </c>
      <c r="D2686" s="491">
        <v>5</v>
      </c>
      <c r="E2686" s="491">
        <v>0</v>
      </c>
      <c r="F2686" s="491">
        <v>0</v>
      </c>
      <c r="G2686" s="491">
        <f t="shared" si="41"/>
        <v>5</v>
      </c>
    </row>
    <row r="2687" spans="1:7" ht="12.75">
      <c r="A2687" s="134" t="s">
        <v>791</v>
      </c>
      <c r="B2687" s="134">
        <v>110</v>
      </c>
      <c r="C2687" s="491">
        <v>1</v>
      </c>
      <c r="D2687" s="491">
        <v>14</v>
      </c>
      <c r="E2687" s="491">
        <v>0</v>
      </c>
      <c r="F2687" s="491">
        <v>0</v>
      </c>
      <c r="G2687" s="491">
        <f t="shared" si="41"/>
        <v>15</v>
      </c>
    </row>
    <row r="2688" spans="1:7" ht="12.75">
      <c r="A2688" s="134" t="s">
        <v>791</v>
      </c>
      <c r="B2688" s="134">
        <v>120</v>
      </c>
      <c r="C2688" s="491">
        <v>2</v>
      </c>
      <c r="D2688" s="491">
        <v>8</v>
      </c>
      <c r="E2688" s="491">
        <v>0</v>
      </c>
      <c r="F2688" s="491">
        <v>0</v>
      </c>
      <c r="G2688" s="491">
        <f t="shared" si="41"/>
        <v>10</v>
      </c>
    </row>
    <row r="2689" spans="1:7" ht="12.75">
      <c r="A2689" s="134" t="s">
        <v>791</v>
      </c>
      <c r="B2689" s="134">
        <v>130</v>
      </c>
      <c r="C2689" s="491">
        <v>1</v>
      </c>
      <c r="D2689" s="491">
        <v>1</v>
      </c>
      <c r="E2689" s="491">
        <v>0</v>
      </c>
      <c r="F2689" s="491">
        <v>0</v>
      </c>
      <c r="G2689" s="491">
        <f t="shared" si="41"/>
        <v>2</v>
      </c>
    </row>
    <row r="2690" spans="1:7" ht="12.75">
      <c r="A2690" s="134" t="s">
        <v>791</v>
      </c>
      <c r="B2690" s="134">
        <v>140</v>
      </c>
      <c r="C2690" s="491">
        <v>14806</v>
      </c>
      <c r="D2690" s="491">
        <v>3528</v>
      </c>
      <c r="E2690" s="491">
        <v>112</v>
      </c>
      <c r="F2690" s="491">
        <v>11</v>
      </c>
      <c r="G2690" s="491">
        <f t="shared" si="41"/>
        <v>18457</v>
      </c>
    </row>
    <row r="2691" spans="1:7" ht="12.75">
      <c r="A2691" s="134" t="s">
        <v>791</v>
      </c>
      <c r="B2691" s="134">
        <v>141</v>
      </c>
      <c r="C2691" s="491">
        <v>458</v>
      </c>
      <c r="D2691" s="491">
        <v>57</v>
      </c>
      <c r="E2691" s="491">
        <v>0</v>
      </c>
      <c r="F2691" s="491">
        <v>10</v>
      </c>
      <c r="G2691" s="491">
        <f t="shared" si="41"/>
        <v>525</v>
      </c>
    </row>
    <row r="2692" spans="1:7" ht="12.75">
      <c r="A2692" s="134" t="s">
        <v>791</v>
      </c>
      <c r="B2692" s="134">
        <v>142</v>
      </c>
      <c r="C2692" s="491">
        <v>1</v>
      </c>
      <c r="D2692" s="491">
        <v>0</v>
      </c>
      <c r="E2692" s="491">
        <v>0</v>
      </c>
      <c r="F2692" s="491">
        <v>0</v>
      </c>
      <c r="G2692" s="491">
        <f t="shared" ref="G2692:G2755" si="42">SUM(C2692:F2692)</f>
        <v>1</v>
      </c>
    </row>
    <row r="2693" spans="1:7" ht="12.75">
      <c r="A2693" s="134" t="s">
        <v>791</v>
      </c>
      <c r="B2693" s="134">
        <v>143</v>
      </c>
      <c r="C2693" s="491">
        <v>19</v>
      </c>
      <c r="D2693" s="491">
        <v>0</v>
      </c>
      <c r="E2693" s="491">
        <v>0</v>
      </c>
      <c r="F2693" s="491">
        <v>0</v>
      </c>
      <c r="G2693" s="491">
        <f t="shared" si="42"/>
        <v>19</v>
      </c>
    </row>
    <row r="2694" spans="1:7" ht="12.75">
      <c r="A2694" s="134" t="s">
        <v>791</v>
      </c>
      <c r="B2694" s="134">
        <v>144</v>
      </c>
      <c r="C2694" s="491">
        <v>3577</v>
      </c>
      <c r="D2694" s="491">
        <v>362</v>
      </c>
      <c r="E2694" s="491">
        <v>2</v>
      </c>
      <c r="F2694" s="491">
        <v>5</v>
      </c>
      <c r="G2694" s="491">
        <f t="shared" si="42"/>
        <v>3946</v>
      </c>
    </row>
    <row r="2695" spans="1:7" ht="12.75">
      <c r="A2695" s="134" t="s">
        <v>791</v>
      </c>
      <c r="B2695" s="134">
        <v>150</v>
      </c>
      <c r="C2695" s="491">
        <v>0</v>
      </c>
      <c r="D2695" s="491">
        <v>5</v>
      </c>
      <c r="E2695" s="491">
        <v>0</v>
      </c>
      <c r="F2695" s="491">
        <v>0</v>
      </c>
      <c r="G2695" s="491">
        <f t="shared" si="42"/>
        <v>5</v>
      </c>
    </row>
    <row r="2696" spans="1:7" ht="12.75">
      <c r="A2696" s="134" t="s">
        <v>791</v>
      </c>
      <c r="B2696" s="134">
        <v>160</v>
      </c>
      <c r="C2696" s="491">
        <v>0</v>
      </c>
      <c r="D2696" s="491">
        <v>4</v>
      </c>
      <c r="E2696" s="491">
        <v>2</v>
      </c>
      <c r="F2696" s="491">
        <v>0</v>
      </c>
      <c r="G2696" s="491">
        <f t="shared" si="42"/>
        <v>6</v>
      </c>
    </row>
    <row r="2697" spans="1:7" ht="12.75">
      <c r="A2697" s="134" t="s">
        <v>791</v>
      </c>
      <c r="B2697" s="134">
        <v>190</v>
      </c>
      <c r="C2697" s="491">
        <v>0</v>
      </c>
      <c r="D2697" s="491">
        <v>1</v>
      </c>
      <c r="E2697" s="491">
        <v>0</v>
      </c>
      <c r="F2697" s="491">
        <v>0</v>
      </c>
      <c r="G2697" s="491">
        <f t="shared" si="42"/>
        <v>1</v>
      </c>
    </row>
    <row r="2698" spans="1:7" ht="12.75">
      <c r="A2698" s="134" t="s">
        <v>791</v>
      </c>
      <c r="B2698" s="134">
        <v>191</v>
      </c>
      <c r="C2698" s="491">
        <v>0</v>
      </c>
      <c r="D2698" s="491">
        <v>2</v>
      </c>
      <c r="E2698" s="491">
        <v>0</v>
      </c>
      <c r="F2698" s="491">
        <v>0</v>
      </c>
      <c r="G2698" s="491">
        <f t="shared" si="42"/>
        <v>2</v>
      </c>
    </row>
    <row r="2699" spans="1:7" ht="12.75">
      <c r="A2699" s="134" t="s">
        <v>791</v>
      </c>
      <c r="B2699" s="134">
        <v>217</v>
      </c>
      <c r="C2699" s="491">
        <v>1</v>
      </c>
      <c r="D2699" s="491">
        <v>0</v>
      </c>
      <c r="E2699" s="491">
        <v>0</v>
      </c>
      <c r="F2699" s="491">
        <v>0</v>
      </c>
      <c r="G2699" s="491">
        <f t="shared" si="42"/>
        <v>1</v>
      </c>
    </row>
    <row r="2700" spans="1:7" ht="12.75">
      <c r="A2700" s="134" t="s">
        <v>791</v>
      </c>
      <c r="B2700" s="134">
        <v>300</v>
      </c>
      <c r="C2700" s="491">
        <v>0</v>
      </c>
      <c r="D2700" s="491">
        <v>1</v>
      </c>
      <c r="E2700" s="491">
        <v>0</v>
      </c>
      <c r="F2700" s="491">
        <v>0</v>
      </c>
      <c r="G2700" s="491">
        <f t="shared" si="42"/>
        <v>1</v>
      </c>
    </row>
    <row r="2701" spans="1:7" ht="12.75">
      <c r="A2701" s="134" t="s">
        <v>791</v>
      </c>
      <c r="B2701" s="134">
        <v>301</v>
      </c>
      <c r="C2701" s="491">
        <v>1</v>
      </c>
      <c r="D2701" s="491">
        <v>2</v>
      </c>
      <c r="E2701" s="491">
        <v>0</v>
      </c>
      <c r="F2701" s="491">
        <v>0</v>
      </c>
      <c r="G2701" s="491">
        <f t="shared" si="42"/>
        <v>3</v>
      </c>
    </row>
    <row r="2702" spans="1:7" ht="12.75">
      <c r="A2702" s="134" t="s">
        <v>791</v>
      </c>
      <c r="B2702" s="134">
        <v>303</v>
      </c>
      <c r="C2702" s="491">
        <v>2</v>
      </c>
      <c r="D2702" s="491">
        <v>10</v>
      </c>
      <c r="E2702" s="491">
        <v>0</v>
      </c>
      <c r="F2702" s="491">
        <v>0</v>
      </c>
      <c r="G2702" s="491">
        <f t="shared" si="42"/>
        <v>12</v>
      </c>
    </row>
    <row r="2703" spans="1:7" ht="12.75">
      <c r="A2703" s="134" t="s">
        <v>791</v>
      </c>
      <c r="B2703" s="134">
        <v>306</v>
      </c>
      <c r="C2703" s="491">
        <v>0</v>
      </c>
      <c r="D2703" s="491">
        <v>1</v>
      </c>
      <c r="E2703" s="491">
        <v>0</v>
      </c>
      <c r="F2703" s="491">
        <v>0</v>
      </c>
      <c r="G2703" s="491">
        <f t="shared" si="42"/>
        <v>1</v>
      </c>
    </row>
    <row r="2704" spans="1:7" ht="12.75">
      <c r="A2704" s="134" t="s">
        <v>791</v>
      </c>
      <c r="B2704" s="134">
        <v>307</v>
      </c>
      <c r="C2704" s="491">
        <v>0</v>
      </c>
      <c r="D2704" s="491">
        <v>1</v>
      </c>
      <c r="E2704" s="491">
        <v>0</v>
      </c>
      <c r="F2704" s="491">
        <v>0</v>
      </c>
      <c r="G2704" s="491">
        <f t="shared" si="42"/>
        <v>1</v>
      </c>
    </row>
    <row r="2705" spans="1:7" ht="12.75">
      <c r="A2705" s="134" t="s">
        <v>791</v>
      </c>
      <c r="B2705" s="134">
        <v>310</v>
      </c>
      <c r="C2705" s="491">
        <v>0</v>
      </c>
      <c r="D2705" s="491">
        <v>7</v>
      </c>
      <c r="E2705" s="491">
        <v>0</v>
      </c>
      <c r="F2705" s="491">
        <v>0</v>
      </c>
      <c r="G2705" s="491">
        <f t="shared" si="42"/>
        <v>7</v>
      </c>
    </row>
    <row r="2706" spans="1:7" ht="12.75">
      <c r="A2706" s="134" t="s">
        <v>791</v>
      </c>
      <c r="B2706" s="134">
        <v>314</v>
      </c>
      <c r="C2706" s="491">
        <v>0</v>
      </c>
      <c r="D2706" s="491">
        <v>3</v>
      </c>
      <c r="E2706" s="491">
        <v>0</v>
      </c>
      <c r="F2706" s="491">
        <v>0</v>
      </c>
      <c r="G2706" s="491">
        <f t="shared" si="42"/>
        <v>3</v>
      </c>
    </row>
    <row r="2707" spans="1:7" ht="12.75">
      <c r="A2707" s="134" t="s">
        <v>791</v>
      </c>
      <c r="B2707" s="134">
        <v>320</v>
      </c>
      <c r="C2707" s="491">
        <v>1</v>
      </c>
      <c r="D2707" s="491">
        <v>11</v>
      </c>
      <c r="E2707" s="491">
        <v>0</v>
      </c>
      <c r="F2707" s="491">
        <v>0</v>
      </c>
      <c r="G2707" s="491">
        <f t="shared" si="42"/>
        <v>12</v>
      </c>
    </row>
    <row r="2708" spans="1:7" ht="12.75">
      <c r="A2708" s="134" t="s">
        <v>791</v>
      </c>
      <c r="B2708" s="134">
        <v>324</v>
      </c>
      <c r="C2708" s="491">
        <v>1</v>
      </c>
      <c r="D2708" s="491">
        <v>6</v>
      </c>
      <c r="E2708" s="491">
        <v>0</v>
      </c>
      <c r="F2708" s="491">
        <v>0</v>
      </c>
      <c r="G2708" s="491">
        <f t="shared" si="42"/>
        <v>7</v>
      </c>
    </row>
    <row r="2709" spans="1:7" ht="12.75">
      <c r="A2709" s="134" t="s">
        <v>791</v>
      </c>
      <c r="B2709" s="134">
        <v>330</v>
      </c>
      <c r="C2709" s="491">
        <v>2</v>
      </c>
      <c r="D2709" s="491">
        <v>14</v>
      </c>
      <c r="E2709" s="491">
        <v>0</v>
      </c>
      <c r="F2709" s="491">
        <v>0</v>
      </c>
      <c r="G2709" s="491">
        <f t="shared" si="42"/>
        <v>16</v>
      </c>
    </row>
    <row r="2710" spans="1:7" ht="12.75">
      <c r="A2710" s="134" t="s">
        <v>791</v>
      </c>
      <c r="B2710" s="134">
        <v>340</v>
      </c>
      <c r="C2710" s="491">
        <v>1</v>
      </c>
      <c r="D2710" s="491">
        <v>5</v>
      </c>
      <c r="E2710" s="491">
        <v>0</v>
      </c>
      <c r="F2710" s="491">
        <v>0</v>
      </c>
      <c r="G2710" s="491">
        <f t="shared" si="42"/>
        <v>6</v>
      </c>
    </row>
    <row r="2711" spans="1:7" ht="12.75">
      <c r="A2711" s="134" t="s">
        <v>791</v>
      </c>
      <c r="B2711" s="134">
        <v>341</v>
      </c>
      <c r="C2711" s="491">
        <v>0</v>
      </c>
      <c r="D2711" s="491">
        <v>3</v>
      </c>
      <c r="E2711" s="491">
        <v>0</v>
      </c>
      <c r="F2711" s="491">
        <v>0</v>
      </c>
      <c r="G2711" s="491">
        <f t="shared" si="42"/>
        <v>3</v>
      </c>
    </row>
    <row r="2712" spans="1:7" ht="12.75">
      <c r="A2712" s="134" t="s">
        <v>791</v>
      </c>
      <c r="B2712" s="134">
        <v>361</v>
      </c>
      <c r="C2712" s="491">
        <v>1</v>
      </c>
      <c r="D2712" s="491">
        <v>3</v>
      </c>
      <c r="E2712" s="491">
        <v>0</v>
      </c>
      <c r="F2712" s="491">
        <v>0</v>
      </c>
      <c r="G2712" s="491">
        <f t="shared" si="42"/>
        <v>4</v>
      </c>
    </row>
    <row r="2713" spans="1:7" ht="12.75">
      <c r="A2713" s="134" t="s">
        <v>791</v>
      </c>
      <c r="B2713" s="134">
        <v>370</v>
      </c>
      <c r="C2713" s="491">
        <v>0</v>
      </c>
      <c r="D2713" s="491">
        <v>5</v>
      </c>
      <c r="E2713" s="491">
        <v>0</v>
      </c>
      <c r="F2713" s="491">
        <v>0</v>
      </c>
      <c r="G2713" s="491">
        <f t="shared" si="42"/>
        <v>5</v>
      </c>
    </row>
    <row r="2714" spans="1:7" ht="12.75">
      <c r="A2714" s="134" t="s">
        <v>791</v>
      </c>
      <c r="B2714" s="134">
        <v>400</v>
      </c>
      <c r="C2714" s="491">
        <v>0</v>
      </c>
      <c r="D2714" s="491">
        <v>11</v>
      </c>
      <c r="E2714" s="491">
        <v>0</v>
      </c>
      <c r="F2714" s="491">
        <v>0</v>
      </c>
      <c r="G2714" s="491">
        <f t="shared" si="42"/>
        <v>11</v>
      </c>
    </row>
    <row r="2715" spans="1:7" ht="12.75">
      <c r="A2715" s="134" t="s">
        <v>791</v>
      </c>
      <c r="B2715" s="134">
        <v>410</v>
      </c>
      <c r="C2715" s="491">
        <v>0</v>
      </c>
      <c r="D2715" s="491">
        <v>9</v>
      </c>
      <c r="E2715" s="491">
        <v>0</v>
      </c>
      <c r="F2715" s="491">
        <v>0</v>
      </c>
      <c r="G2715" s="491">
        <f t="shared" si="42"/>
        <v>9</v>
      </c>
    </row>
    <row r="2716" spans="1:7" ht="12.75">
      <c r="A2716" s="134" t="s">
        <v>791</v>
      </c>
      <c r="B2716" s="134">
        <v>450</v>
      </c>
      <c r="C2716" s="491">
        <v>25</v>
      </c>
      <c r="D2716" s="491">
        <v>44</v>
      </c>
      <c r="E2716" s="491">
        <v>0</v>
      </c>
      <c r="F2716" s="491">
        <v>0</v>
      </c>
      <c r="G2716" s="491">
        <f t="shared" si="42"/>
        <v>69</v>
      </c>
    </row>
    <row r="2717" spans="1:7" ht="12.75">
      <c r="A2717" s="134" t="s">
        <v>791</v>
      </c>
      <c r="B2717" s="134">
        <v>501</v>
      </c>
      <c r="C2717" s="491">
        <v>9</v>
      </c>
      <c r="D2717" s="491">
        <v>9</v>
      </c>
      <c r="E2717" s="491">
        <v>0</v>
      </c>
      <c r="F2717" s="491">
        <v>0</v>
      </c>
      <c r="G2717" s="491">
        <f t="shared" si="42"/>
        <v>18</v>
      </c>
    </row>
    <row r="2718" spans="1:7" ht="12.75">
      <c r="A2718" s="134" t="s">
        <v>791</v>
      </c>
      <c r="B2718" s="134">
        <v>502</v>
      </c>
      <c r="C2718" s="491">
        <v>1</v>
      </c>
      <c r="D2718" s="491">
        <v>7</v>
      </c>
      <c r="E2718" s="491">
        <v>0</v>
      </c>
      <c r="F2718" s="491">
        <v>0</v>
      </c>
      <c r="G2718" s="491">
        <f t="shared" si="42"/>
        <v>8</v>
      </c>
    </row>
    <row r="2719" spans="1:7" ht="12.75">
      <c r="A2719" s="134" t="s">
        <v>791</v>
      </c>
      <c r="B2719" s="134">
        <v>503</v>
      </c>
      <c r="C2719" s="491">
        <v>0</v>
      </c>
      <c r="D2719" s="491">
        <v>1</v>
      </c>
      <c r="E2719" s="491">
        <v>0</v>
      </c>
      <c r="F2719" s="491">
        <v>0</v>
      </c>
      <c r="G2719" s="491">
        <f t="shared" si="42"/>
        <v>1</v>
      </c>
    </row>
    <row r="2720" spans="1:7" ht="12.75">
      <c r="A2720" s="134" t="s">
        <v>791</v>
      </c>
      <c r="B2720" s="134">
        <v>560</v>
      </c>
      <c r="C2720" s="491">
        <v>0</v>
      </c>
      <c r="D2720" s="491">
        <v>7</v>
      </c>
      <c r="E2720" s="491">
        <v>0</v>
      </c>
      <c r="F2720" s="491">
        <v>0</v>
      </c>
      <c r="G2720" s="491">
        <f t="shared" si="42"/>
        <v>7</v>
      </c>
    </row>
    <row r="2721" spans="1:7" ht="12.75">
      <c r="A2721" s="134" t="s">
        <v>791</v>
      </c>
      <c r="B2721" s="134">
        <v>650</v>
      </c>
      <c r="C2721" s="491">
        <v>0</v>
      </c>
      <c r="D2721" s="491">
        <v>30</v>
      </c>
      <c r="E2721" s="491">
        <v>0</v>
      </c>
      <c r="F2721" s="491">
        <v>0</v>
      </c>
      <c r="G2721" s="491">
        <f t="shared" si="42"/>
        <v>30</v>
      </c>
    </row>
    <row r="2722" spans="1:7" ht="12.75">
      <c r="A2722" s="134" t="s">
        <v>791</v>
      </c>
      <c r="B2722" s="134">
        <v>652</v>
      </c>
      <c r="C2722" s="491">
        <v>0</v>
      </c>
      <c r="D2722" s="491">
        <v>1</v>
      </c>
      <c r="E2722" s="491">
        <v>0</v>
      </c>
      <c r="F2722" s="491">
        <v>0</v>
      </c>
      <c r="G2722" s="491">
        <f t="shared" si="42"/>
        <v>1</v>
      </c>
    </row>
    <row r="2723" spans="1:7" ht="12.75">
      <c r="A2723" s="134" t="s">
        <v>791</v>
      </c>
      <c r="B2723" s="134">
        <v>653</v>
      </c>
      <c r="C2723" s="491">
        <v>1</v>
      </c>
      <c r="D2723" s="491">
        <v>1</v>
      </c>
      <c r="E2723" s="491">
        <v>0</v>
      </c>
      <c r="F2723" s="491">
        <v>0</v>
      </c>
      <c r="G2723" s="491">
        <f t="shared" si="42"/>
        <v>2</v>
      </c>
    </row>
    <row r="2724" spans="1:7" ht="12.75">
      <c r="A2724" s="134" t="s">
        <v>791</v>
      </c>
      <c r="B2724" s="134">
        <v>800</v>
      </c>
      <c r="C2724" s="491">
        <v>1</v>
      </c>
      <c r="D2724" s="491">
        <v>0</v>
      </c>
      <c r="E2724" s="491">
        <v>0</v>
      </c>
      <c r="F2724" s="491">
        <v>0</v>
      </c>
      <c r="G2724" s="491">
        <f t="shared" si="42"/>
        <v>1</v>
      </c>
    </row>
    <row r="2725" spans="1:7" ht="12.75">
      <c r="A2725" s="134" t="s">
        <v>792</v>
      </c>
      <c r="B2725" s="134">
        <v>110</v>
      </c>
      <c r="C2725" s="491">
        <v>1</v>
      </c>
      <c r="D2725" s="491">
        <v>0</v>
      </c>
      <c r="E2725" s="491">
        <v>0</v>
      </c>
      <c r="F2725" s="491">
        <v>0</v>
      </c>
      <c r="G2725" s="491">
        <f t="shared" si="42"/>
        <v>1</v>
      </c>
    </row>
    <row r="2726" spans="1:7" ht="12.75">
      <c r="A2726" s="134" t="s">
        <v>792</v>
      </c>
      <c r="B2726" s="134">
        <v>120</v>
      </c>
      <c r="C2726" s="491">
        <v>0</v>
      </c>
      <c r="D2726" s="491">
        <v>1</v>
      </c>
      <c r="E2726" s="491">
        <v>0</v>
      </c>
      <c r="F2726" s="491">
        <v>0</v>
      </c>
      <c r="G2726" s="491">
        <f t="shared" si="42"/>
        <v>1</v>
      </c>
    </row>
    <row r="2727" spans="1:7" ht="12.75">
      <c r="A2727" s="134" t="s">
        <v>792</v>
      </c>
      <c r="B2727" s="134">
        <v>140</v>
      </c>
      <c r="C2727" s="491">
        <v>521</v>
      </c>
      <c r="D2727" s="491">
        <v>87</v>
      </c>
      <c r="E2727" s="491">
        <v>7</v>
      </c>
      <c r="F2727" s="491">
        <v>0</v>
      </c>
      <c r="G2727" s="491">
        <f t="shared" si="42"/>
        <v>615</v>
      </c>
    </row>
    <row r="2728" spans="1:7" ht="12.75">
      <c r="A2728" s="134" t="s">
        <v>792</v>
      </c>
      <c r="B2728" s="134">
        <v>141</v>
      </c>
      <c r="C2728" s="491">
        <v>31</v>
      </c>
      <c r="D2728" s="491">
        <v>8</v>
      </c>
      <c r="E2728" s="491">
        <v>0</v>
      </c>
      <c r="F2728" s="491">
        <v>0</v>
      </c>
      <c r="G2728" s="491">
        <f t="shared" si="42"/>
        <v>39</v>
      </c>
    </row>
    <row r="2729" spans="1:7" ht="12.75">
      <c r="A2729" s="134" t="s">
        <v>792</v>
      </c>
      <c r="B2729" s="134">
        <v>142</v>
      </c>
      <c r="C2729" s="491">
        <v>1076</v>
      </c>
      <c r="D2729" s="491">
        <v>99</v>
      </c>
      <c r="E2729" s="491">
        <v>4</v>
      </c>
      <c r="F2729" s="491">
        <v>1</v>
      </c>
      <c r="G2729" s="491">
        <f t="shared" si="42"/>
        <v>1180</v>
      </c>
    </row>
    <row r="2730" spans="1:7" ht="12.75">
      <c r="A2730" s="134" t="s">
        <v>792</v>
      </c>
      <c r="B2730" s="134">
        <v>143</v>
      </c>
      <c r="C2730" s="491">
        <v>61</v>
      </c>
      <c r="D2730" s="491">
        <v>4</v>
      </c>
      <c r="E2730" s="491">
        <v>2</v>
      </c>
      <c r="F2730" s="491">
        <v>1</v>
      </c>
      <c r="G2730" s="491">
        <f t="shared" si="42"/>
        <v>68</v>
      </c>
    </row>
    <row r="2731" spans="1:7" ht="12.75">
      <c r="A2731" s="134" t="s">
        <v>792</v>
      </c>
      <c r="B2731" s="134">
        <v>144</v>
      </c>
      <c r="C2731" s="491">
        <v>135</v>
      </c>
      <c r="D2731" s="491">
        <v>22</v>
      </c>
      <c r="E2731" s="491">
        <v>0</v>
      </c>
      <c r="F2731" s="491">
        <v>0</v>
      </c>
      <c r="G2731" s="491">
        <f t="shared" si="42"/>
        <v>157</v>
      </c>
    </row>
    <row r="2732" spans="1:7" ht="12.75">
      <c r="A2732" s="134" t="s">
        <v>792</v>
      </c>
      <c r="B2732" s="134">
        <v>190</v>
      </c>
      <c r="C2732" s="491">
        <v>0</v>
      </c>
      <c r="D2732" s="491">
        <v>1</v>
      </c>
      <c r="E2732" s="491">
        <v>0</v>
      </c>
      <c r="F2732" s="491">
        <v>0</v>
      </c>
      <c r="G2732" s="491">
        <f t="shared" si="42"/>
        <v>1</v>
      </c>
    </row>
    <row r="2733" spans="1:7" ht="12.75">
      <c r="A2733" s="134" t="s">
        <v>792</v>
      </c>
      <c r="B2733" s="134">
        <v>211</v>
      </c>
      <c r="C2733" s="491">
        <v>0</v>
      </c>
      <c r="D2733" s="491">
        <v>1</v>
      </c>
      <c r="E2733" s="491">
        <v>0</v>
      </c>
      <c r="F2733" s="491">
        <v>0</v>
      </c>
      <c r="G2733" s="491">
        <f t="shared" si="42"/>
        <v>1</v>
      </c>
    </row>
    <row r="2734" spans="1:7" ht="12.75">
      <c r="A2734" s="134" t="s">
        <v>792</v>
      </c>
      <c r="B2734" s="134">
        <v>217</v>
      </c>
      <c r="C2734" s="491">
        <v>11</v>
      </c>
      <c r="D2734" s="491">
        <v>1</v>
      </c>
      <c r="E2734" s="491">
        <v>0</v>
      </c>
      <c r="F2734" s="491">
        <v>0</v>
      </c>
      <c r="G2734" s="491">
        <f t="shared" si="42"/>
        <v>12</v>
      </c>
    </row>
    <row r="2735" spans="1:7" ht="12.75">
      <c r="A2735" s="134" t="s">
        <v>792</v>
      </c>
      <c r="B2735" s="134">
        <v>251</v>
      </c>
      <c r="C2735" s="491">
        <v>0</v>
      </c>
      <c r="D2735" s="491">
        <v>2</v>
      </c>
      <c r="E2735" s="491">
        <v>0</v>
      </c>
      <c r="F2735" s="491">
        <v>0</v>
      </c>
      <c r="G2735" s="491">
        <f t="shared" si="42"/>
        <v>2</v>
      </c>
    </row>
    <row r="2736" spans="1:7" ht="12.75">
      <c r="A2736" s="134" t="s">
        <v>792</v>
      </c>
      <c r="B2736" s="134">
        <v>252</v>
      </c>
      <c r="C2736" s="491">
        <v>0</v>
      </c>
      <c r="D2736" s="491">
        <v>1</v>
      </c>
      <c r="E2736" s="491">
        <v>0</v>
      </c>
      <c r="F2736" s="491">
        <v>0</v>
      </c>
      <c r="G2736" s="491">
        <f t="shared" si="42"/>
        <v>1</v>
      </c>
    </row>
    <row r="2737" spans="1:7" ht="12.75">
      <c r="A2737" s="134" t="s">
        <v>792</v>
      </c>
      <c r="B2737" s="134">
        <v>258</v>
      </c>
      <c r="C2737" s="491">
        <v>0</v>
      </c>
      <c r="D2737" s="491">
        <v>1</v>
      </c>
      <c r="E2737" s="491">
        <v>0</v>
      </c>
      <c r="F2737" s="491">
        <v>0</v>
      </c>
      <c r="G2737" s="491">
        <f t="shared" si="42"/>
        <v>1</v>
      </c>
    </row>
    <row r="2738" spans="1:7" ht="12.75">
      <c r="A2738" s="134" t="s">
        <v>792</v>
      </c>
      <c r="B2738" s="134">
        <v>310</v>
      </c>
      <c r="C2738" s="491">
        <v>0</v>
      </c>
      <c r="D2738" s="491">
        <v>1</v>
      </c>
      <c r="E2738" s="491">
        <v>0</v>
      </c>
      <c r="F2738" s="491">
        <v>0</v>
      </c>
      <c r="G2738" s="491">
        <f t="shared" si="42"/>
        <v>1</v>
      </c>
    </row>
    <row r="2739" spans="1:7" ht="12.75">
      <c r="A2739" s="134" t="s">
        <v>792</v>
      </c>
      <c r="B2739" s="134">
        <v>330</v>
      </c>
      <c r="C2739" s="491">
        <v>0</v>
      </c>
      <c r="D2739" s="491">
        <v>1</v>
      </c>
      <c r="E2739" s="491">
        <v>0</v>
      </c>
      <c r="F2739" s="491">
        <v>0</v>
      </c>
      <c r="G2739" s="491">
        <f t="shared" si="42"/>
        <v>1</v>
      </c>
    </row>
    <row r="2740" spans="1:7" ht="12.75">
      <c r="A2740" s="134" t="s">
        <v>792</v>
      </c>
      <c r="B2740" s="134">
        <v>340</v>
      </c>
      <c r="C2740" s="491">
        <v>0</v>
      </c>
      <c r="D2740" s="491">
        <v>3</v>
      </c>
      <c r="E2740" s="491">
        <v>0</v>
      </c>
      <c r="F2740" s="491">
        <v>0</v>
      </c>
      <c r="G2740" s="491">
        <f t="shared" si="42"/>
        <v>3</v>
      </c>
    </row>
    <row r="2741" spans="1:7" ht="12.75">
      <c r="A2741" s="134" t="s">
        <v>792</v>
      </c>
      <c r="B2741" s="134">
        <v>420</v>
      </c>
      <c r="C2741" s="491">
        <v>0</v>
      </c>
      <c r="D2741" s="491">
        <v>2</v>
      </c>
      <c r="E2741" s="491">
        <v>0</v>
      </c>
      <c r="F2741" s="491">
        <v>0</v>
      </c>
      <c r="G2741" s="491">
        <f t="shared" si="42"/>
        <v>2</v>
      </c>
    </row>
    <row r="2742" spans="1:7" ht="12.75">
      <c r="A2742" s="134" t="s">
        <v>792</v>
      </c>
      <c r="B2742" s="134">
        <v>501</v>
      </c>
      <c r="C2742" s="491">
        <v>1</v>
      </c>
      <c r="D2742" s="491">
        <v>0</v>
      </c>
      <c r="E2742" s="491">
        <v>0</v>
      </c>
      <c r="F2742" s="491">
        <v>0</v>
      </c>
      <c r="G2742" s="491">
        <f t="shared" si="42"/>
        <v>1</v>
      </c>
    </row>
    <row r="2743" spans="1:7" ht="12.75">
      <c r="A2743" s="134" t="s">
        <v>792</v>
      </c>
      <c r="B2743" s="134">
        <v>650</v>
      </c>
      <c r="C2743" s="491">
        <v>0</v>
      </c>
      <c r="D2743" s="491">
        <v>2</v>
      </c>
      <c r="E2743" s="491">
        <v>0</v>
      </c>
      <c r="F2743" s="491">
        <v>0</v>
      </c>
      <c r="G2743" s="491">
        <f t="shared" si="42"/>
        <v>2</v>
      </c>
    </row>
    <row r="2744" spans="1:7" ht="12.75">
      <c r="A2744" s="134" t="s">
        <v>793</v>
      </c>
      <c r="B2744" s="134">
        <v>104</v>
      </c>
      <c r="C2744" s="491">
        <v>1</v>
      </c>
      <c r="D2744" s="491">
        <v>0</v>
      </c>
      <c r="E2744" s="491">
        <v>0</v>
      </c>
      <c r="F2744" s="491">
        <v>0</v>
      </c>
      <c r="G2744" s="491">
        <f t="shared" si="42"/>
        <v>1</v>
      </c>
    </row>
    <row r="2745" spans="1:7" ht="12.75">
      <c r="A2745" s="134" t="s">
        <v>793</v>
      </c>
      <c r="B2745" s="134">
        <v>110</v>
      </c>
      <c r="C2745" s="491">
        <v>1</v>
      </c>
      <c r="D2745" s="491">
        <v>0</v>
      </c>
      <c r="E2745" s="491">
        <v>0</v>
      </c>
      <c r="F2745" s="491">
        <v>0</v>
      </c>
      <c r="G2745" s="491">
        <f t="shared" si="42"/>
        <v>1</v>
      </c>
    </row>
    <row r="2746" spans="1:7" ht="12.75">
      <c r="A2746" s="134" t="s">
        <v>793</v>
      </c>
      <c r="B2746" s="134">
        <v>140</v>
      </c>
      <c r="C2746" s="491">
        <v>1269</v>
      </c>
      <c r="D2746" s="491">
        <v>106</v>
      </c>
      <c r="E2746" s="491">
        <v>1</v>
      </c>
      <c r="F2746" s="491">
        <v>0</v>
      </c>
      <c r="G2746" s="491">
        <f t="shared" si="42"/>
        <v>1376</v>
      </c>
    </row>
    <row r="2747" spans="1:7" ht="12.75">
      <c r="A2747" s="134" t="s">
        <v>793</v>
      </c>
      <c r="B2747" s="134">
        <v>141</v>
      </c>
      <c r="C2747" s="491">
        <v>44</v>
      </c>
      <c r="D2747" s="491">
        <v>3</v>
      </c>
      <c r="E2747" s="491">
        <v>0</v>
      </c>
      <c r="F2747" s="491">
        <v>0</v>
      </c>
      <c r="G2747" s="491">
        <f t="shared" si="42"/>
        <v>47</v>
      </c>
    </row>
    <row r="2748" spans="1:7" ht="12.75">
      <c r="A2748" s="134" t="s">
        <v>793</v>
      </c>
      <c r="B2748" s="134">
        <v>142</v>
      </c>
      <c r="C2748" s="491">
        <v>2</v>
      </c>
      <c r="D2748" s="491">
        <v>0</v>
      </c>
      <c r="E2748" s="491">
        <v>0</v>
      </c>
      <c r="F2748" s="491">
        <v>0</v>
      </c>
      <c r="G2748" s="491">
        <f t="shared" si="42"/>
        <v>2</v>
      </c>
    </row>
    <row r="2749" spans="1:7" ht="12.75">
      <c r="A2749" s="134" t="s">
        <v>793</v>
      </c>
      <c r="B2749" s="134">
        <v>143</v>
      </c>
      <c r="C2749" s="491">
        <v>2</v>
      </c>
      <c r="D2749" s="491">
        <v>0</v>
      </c>
      <c r="E2749" s="491">
        <v>0</v>
      </c>
      <c r="F2749" s="491">
        <v>0</v>
      </c>
      <c r="G2749" s="491">
        <f t="shared" si="42"/>
        <v>2</v>
      </c>
    </row>
    <row r="2750" spans="1:7" ht="12.75">
      <c r="A2750" s="134" t="s">
        <v>793</v>
      </c>
      <c r="B2750" s="134">
        <v>144</v>
      </c>
      <c r="C2750" s="491">
        <v>904</v>
      </c>
      <c r="D2750" s="491">
        <v>87</v>
      </c>
      <c r="E2750" s="491">
        <v>3</v>
      </c>
      <c r="F2750" s="491">
        <v>0</v>
      </c>
      <c r="G2750" s="491">
        <f t="shared" si="42"/>
        <v>994</v>
      </c>
    </row>
    <row r="2751" spans="1:7" ht="12.75">
      <c r="A2751" s="134" t="s">
        <v>793</v>
      </c>
      <c r="B2751" s="134">
        <v>217</v>
      </c>
      <c r="C2751" s="491">
        <v>2</v>
      </c>
      <c r="D2751" s="491">
        <v>1</v>
      </c>
      <c r="E2751" s="491">
        <v>0</v>
      </c>
      <c r="F2751" s="491">
        <v>0</v>
      </c>
      <c r="G2751" s="491">
        <f t="shared" si="42"/>
        <v>3</v>
      </c>
    </row>
    <row r="2752" spans="1:7" ht="12.75">
      <c r="A2752" s="134" t="s">
        <v>793</v>
      </c>
      <c r="B2752" s="134">
        <v>302</v>
      </c>
      <c r="C2752" s="491">
        <v>0</v>
      </c>
      <c r="D2752" s="491">
        <v>1</v>
      </c>
      <c r="E2752" s="491">
        <v>0</v>
      </c>
      <c r="F2752" s="491">
        <v>0</v>
      </c>
      <c r="G2752" s="491">
        <f t="shared" si="42"/>
        <v>1</v>
      </c>
    </row>
    <row r="2753" spans="1:7" ht="12.75">
      <c r="A2753" s="134" t="s">
        <v>793</v>
      </c>
      <c r="B2753" s="134">
        <v>320</v>
      </c>
      <c r="C2753" s="491">
        <v>0</v>
      </c>
      <c r="D2753" s="491">
        <v>1</v>
      </c>
      <c r="E2753" s="491">
        <v>0</v>
      </c>
      <c r="F2753" s="491">
        <v>0</v>
      </c>
      <c r="G2753" s="491">
        <f t="shared" si="42"/>
        <v>1</v>
      </c>
    </row>
    <row r="2754" spans="1:7" ht="12.75">
      <c r="A2754" s="134" t="s">
        <v>793</v>
      </c>
      <c r="B2754" s="134">
        <v>450</v>
      </c>
      <c r="C2754" s="491">
        <v>248</v>
      </c>
      <c r="D2754" s="491">
        <v>17</v>
      </c>
      <c r="E2754" s="491">
        <v>0</v>
      </c>
      <c r="F2754" s="491">
        <v>0</v>
      </c>
      <c r="G2754" s="491">
        <f t="shared" si="42"/>
        <v>265</v>
      </c>
    </row>
    <row r="2755" spans="1:7" ht="12.75">
      <c r="A2755" s="134" t="s">
        <v>793</v>
      </c>
      <c r="B2755" s="134">
        <v>501</v>
      </c>
      <c r="C2755" s="491">
        <v>1</v>
      </c>
      <c r="D2755" s="491">
        <v>1</v>
      </c>
      <c r="E2755" s="491">
        <v>0</v>
      </c>
      <c r="F2755" s="491">
        <v>0</v>
      </c>
      <c r="G2755" s="491">
        <f t="shared" si="42"/>
        <v>2</v>
      </c>
    </row>
    <row r="2756" spans="1:7" ht="12.75">
      <c r="A2756" s="134" t="s">
        <v>793</v>
      </c>
      <c r="B2756" s="134">
        <v>560</v>
      </c>
      <c r="C2756" s="491">
        <v>0</v>
      </c>
      <c r="D2756" s="491">
        <v>1</v>
      </c>
      <c r="E2756" s="491">
        <v>0</v>
      </c>
      <c r="F2756" s="491">
        <v>0</v>
      </c>
      <c r="G2756" s="491">
        <f t="shared" ref="G2756:G2819" si="43">SUM(C2756:F2756)</f>
        <v>1</v>
      </c>
    </row>
    <row r="2757" spans="1:7" ht="12.75">
      <c r="A2757" s="134" t="s">
        <v>793</v>
      </c>
      <c r="B2757" s="134">
        <v>650</v>
      </c>
      <c r="C2757" s="491">
        <v>0</v>
      </c>
      <c r="D2757" s="491">
        <v>1</v>
      </c>
      <c r="E2757" s="491">
        <v>0</v>
      </c>
      <c r="F2757" s="491">
        <v>0</v>
      </c>
      <c r="G2757" s="491">
        <f t="shared" si="43"/>
        <v>1</v>
      </c>
    </row>
    <row r="2758" spans="1:7" ht="12.75">
      <c r="A2758" s="134" t="s">
        <v>793</v>
      </c>
      <c r="B2758" s="134">
        <v>800</v>
      </c>
      <c r="C2758" s="491">
        <v>1</v>
      </c>
      <c r="D2758" s="491">
        <v>0</v>
      </c>
      <c r="E2758" s="491">
        <v>0</v>
      </c>
      <c r="F2758" s="491">
        <v>0</v>
      </c>
      <c r="G2758" s="491">
        <f t="shared" si="43"/>
        <v>1</v>
      </c>
    </row>
    <row r="2759" spans="1:7" ht="12.75">
      <c r="A2759" s="134" t="s">
        <v>794</v>
      </c>
      <c r="B2759" s="134">
        <v>100</v>
      </c>
      <c r="C2759" s="491">
        <v>0</v>
      </c>
      <c r="D2759" s="491">
        <v>1</v>
      </c>
      <c r="E2759" s="491">
        <v>0</v>
      </c>
      <c r="F2759" s="491">
        <v>0</v>
      </c>
      <c r="G2759" s="491">
        <f t="shared" si="43"/>
        <v>1</v>
      </c>
    </row>
    <row r="2760" spans="1:7" ht="12.75">
      <c r="A2760" s="134" t="s">
        <v>794</v>
      </c>
      <c r="B2760" s="134">
        <v>101</v>
      </c>
      <c r="C2760" s="491">
        <v>0</v>
      </c>
      <c r="D2760" s="491">
        <v>5</v>
      </c>
      <c r="E2760" s="491">
        <v>0</v>
      </c>
      <c r="F2760" s="491">
        <v>0</v>
      </c>
      <c r="G2760" s="491">
        <f t="shared" si="43"/>
        <v>5</v>
      </c>
    </row>
    <row r="2761" spans="1:7" ht="12.75">
      <c r="A2761" s="134" t="s">
        <v>794</v>
      </c>
      <c r="B2761" s="134">
        <v>102</v>
      </c>
      <c r="C2761" s="491">
        <v>0</v>
      </c>
      <c r="D2761" s="491">
        <v>6</v>
      </c>
      <c r="E2761" s="491">
        <v>0</v>
      </c>
      <c r="F2761" s="491">
        <v>0</v>
      </c>
      <c r="G2761" s="491">
        <f t="shared" si="43"/>
        <v>6</v>
      </c>
    </row>
    <row r="2762" spans="1:7" ht="12.75">
      <c r="A2762" s="134" t="s">
        <v>794</v>
      </c>
      <c r="B2762" s="134">
        <v>103</v>
      </c>
      <c r="C2762" s="491">
        <v>0</v>
      </c>
      <c r="D2762" s="491">
        <v>4</v>
      </c>
      <c r="E2762" s="491">
        <v>0</v>
      </c>
      <c r="F2762" s="491">
        <v>0</v>
      </c>
      <c r="G2762" s="491">
        <f t="shared" si="43"/>
        <v>4</v>
      </c>
    </row>
    <row r="2763" spans="1:7" ht="12.75">
      <c r="A2763" s="134" t="s">
        <v>794</v>
      </c>
      <c r="B2763" s="134">
        <v>104</v>
      </c>
      <c r="C2763" s="491">
        <v>0</v>
      </c>
      <c r="D2763" s="491">
        <v>9</v>
      </c>
      <c r="E2763" s="491">
        <v>0</v>
      </c>
      <c r="F2763" s="491">
        <v>0</v>
      </c>
      <c r="G2763" s="491">
        <f t="shared" si="43"/>
        <v>9</v>
      </c>
    </row>
    <row r="2764" spans="1:7" ht="12.75">
      <c r="A2764" s="134" t="s">
        <v>794</v>
      </c>
      <c r="B2764" s="134">
        <v>106</v>
      </c>
      <c r="C2764" s="491">
        <v>0</v>
      </c>
      <c r="D2764" s="491">
        <v>1</v>
      </c>
      <c r="E2764" s="491">
        <v>0</v>
      </c>
      <c r="F2764" s="491">
        <v>0</v>
      </c>
      <c r="G2764" s="491">
        <f t="shared" si="43"/>
        <v>1</v>
      </c>
    </row>
    <row r="2765" spans="1:7" ht="12.75">
      <c r="A2765" s="134" t="s">
        <v>794</v>
      </c>
      <c r="B2765" s="134">
        <v>107</v>
      </c>
      <c r="C2765" s="491">
        <v>0</v>
      </c>
      <c r="D2765" s="491">
        <v>5</v>
      </c>
      <c r="E2765" s="491">
        <v>0</v>
      </c>
      <c r="F2765" s="491">
        <v>0</v>
      </c>
      <c r="G2765" s="491">
        <f t="shared" si="43"/>
        <v>5</v>
      </c>
    </row>
    <row r="2766" spans="1:7" ht="12.75">
      <c r="A2766" s="134" t="s">
        <v>794</v>
      </c>
      <c r="B2766" s="134">
        <v>110</v>
      </c>
      <c r="C2766" s="491">
        <v>0</v>
      </c>
      <c r="D2766" s="491">
        <v>14</v>
      </c>
      <c r="E2766" s="491">
        <v>0</v>
      </c>
      <c r="F2766" s="491">
        <v>0</v>
      </c>
      <c r="G2766" s="491">
        <f t="shared" si="43"/>
        <v>14</v>
      </c>
    </row>
    <row r="2767" spans="1:7" ht="12.75">
      <c r="A2767" s="134" t="s">
        <v>794</v>
      </c>
      <c r="B2767" s="134">
        <v>120</v>
      </c>
      <c r="C2767" s="491">
        <v>1</v>
      </c>
      <c r="D2767" s="491">
        <v>3</v>
      </c>
      <c r="E2767" s="491">
        <v>0</v>
      </c>
      <c r="F2767" s="491">
        <v>0</v>
      </c>
      <c r="G2767" s="491">
        <f t="shared" si="43"/>
        <v>4</v>
      </c>
    </row>
    <row r="2768" spans="1:7" ht="12.75">
      <c r="A2768" s="134" t="s">
        <v>794</v>
      </c>
      <c r="B2768" s="134">
        <v>130</v>
      </c>
      <c r="C2768" s="491">
        <v>1</v>
      </c>
      <c r="D2768" s="491">
        <v>1</v>
      </c>
      <c r="E2768" s="491">
        <v>0</v>
      </c>
      <c r="F2768" s="491">
        <v>0</v>
      </c>
      <c r="G2768" s="491">
        <f t="shared" si="43"/>
        <v>2</v>
      </c>
    </row>
    <row r="2769" spans="1:7" ht="12.75">
      <c r="A2769" s="134" t="s">
        <v>794</v>
      </c>
      <c r="B2769" s="134">
        <v>140</v>
      </c>
      <c r="C2769" s="491">
        <v>1203</v>
      </c>
      <c r="D2769" s="491">
        <v>1486</v>
      </c>
      <c r="E2769" s="491">
        <v>1</v>
      </c>
      <c r="F2769" s="491">
        <v>0</v>
      </c>
      <c r="G2769" s="491">
        <f t="shared" si="43"/>
        <v>2690</v>
      </c>
    </row>
    <row r="2770" spans="1:7" ht="12.75">
      <c r="A2770" s="134" t="s">
        <v>794</v>
      </c>
      <c r="B2770" s="134">
        <v>141</v>
      </c>
      <c r="C2770" s="491">
        <v>6571</v>
      </c>
      <c r="D2770" s="491">
        <v>201</v>
      </c>
      <c r="E2770" s="491">
        <v>3</v>
      </c>
      <c r="F2770" s="491">
        <v>4</v>
      </c>
      <c r="G2770" s="491">
        <f t="shared" si="43"/>
        <v>6779</v>
      </c>
    </row>
    <row r="2771" spans="1:7" ht="12.75">
      <c r="A2771" s="134" t="s">
        <v>794</v>
      </c>
      <c r="B2771" s="134">
        <v>142</v>
      </c>
      <c r="C2771" s="491">
        <v>28</v>
      </c>
      <c r="D2771" s="491">
        <v>2</v>
      </c>
      <c r="E2771" s="491">
        <v>0</v>
      </c>
      <c r="F2771" s="491">
        <v>0</v>
      </c>
      <c r="G2771" s="491">
        <f t="shared" si="43"/>
        <v>30</v>
      </c>
    </row>
    <row r="2772" spans="1:7" ht="12.75">
      <c r="A2772" s="134" t="s">
        <v>794</v>
      </c>
      <c r="B2772" s="134">
        <v>143</v>
      </c>
      <c r="C2772" s="491">
        <v>30</v>
      </c>
      <c r="D2772" s="491">
        <v>4</v>
      </c>
      <c r="E2772" s="491">
        <v>7</v>
      </c>
      <c r="F2772" s="491">
        <v>0</v>
      </c>
      <c r="G2772" s="491">
        <f t="shared" si="43"/>
        <v>41</v>
      </c>
    </row>
    <row r="2773" spans="1:7" ht="12.75">
      <c r="A2773" s="134" t="s">
        <v>794</v>
      </c>
      <c r="B2773" s="134">
        <v>144</v>
      </c>
      <c r="C2773" s="491">
        <v>72</v>
      </c>
      <c r="D2773" s="491">
        <v>11</v>
      </c>
      <c r="E2773" s="491">
        <v>0</v>
      </c>
      <c r="F2773" s="491">
        <v>0</v>
      </c>
      <c r="G2773" s="491">
        <f t="shared" si="43"/>
        <v>83</v>
      </c>
    </row>
    <row r="2774" spans="1:7" ht="12.75">
      <c r="A2774" s="134" t="s">
        <v>794</v>
      </c>
      <c r="B2774" s="134">
        <v>150</v>
      </c>
      <c r="C2774" s="491">
        <v>0</v>
      </c>
      <c r="D2774" s="491">
        <v>7</v>
      </c>
      <c r="E2774" s="491">
        <v>0</v>
      </c>
      <c r="F2774" s="491">
        <v>0</v>
      </c>
      <c r="G2774" s="491">
        <f t="shared" si="43"/>
        <v>7</v>
      </c>
    </row>
    <row r="2775" spans="1:7" ht="12.75">
      <c r="A2775" s="134" t="s">
        <v>794</v>
      </c>
      <c r="B2775" s="134">
        <v>160</v>
      </c>
      <c r="C2775" s="491">
        <v>0</v>
      </c>
      <c r="D2775" s="491">
        <v>11</v>
      </c>
      <c r="E2775" s="491">
        <v>0</v>
      </c>
      <c r="F2775" s="491">
        <v>0</v>
      </c>
      <c r="G2775" s="491">
        <f t="shared" si="43"/>
        <v>11</v>
      </c>
    </row>
    <row r="2776" spans="1:7" ht="12.75">
      <c r="A2776" s="134" t="s">
        <v>794</v>
      </c>
      <c r="B2776" s="134">
        <v>172</v>
      </c>
      <c r="C2776" s="491">
        <v>0</v>
      </c>
      <c r="D2776" s="491">
        <v>1</v>
      </c>
      <c r="E2776" s="491">
        <v>0</v>
      </c>
      <c r="F2776" s="491">
        <v>0</v>
      </c>
      <c r="G2776" s="491">
        <f t="shared" si="43"/>
        <v>1</v>
      </c>
    </row>
    <row r="2777" spans="1:7" ht="12.75">
      <c r="A2777" s="134" t="s">
        <v>794</v>
      </c>
      <c r="B2777" s="134">
        <v>190</v>
      </c>
      <c r="C2777" s="491">
        <v>0</v>
      </c>
      <c r="D2777" s="491">
        <v>1</v>
      </c>
      <c r="E2777" s="491">
        <v>0</v>
      </c>
      <c r="F2777" s="491">
        <v>0</v>
      </c>
      <c r="G2777" s="491">
        <f t="shared" si="43"/>
        <v>1</v>
      </c>
    </row>
    <row r="2778" spans="1:7" ht="12.75">
      <c r="A2778" s="134" t="s">
        <v>794</v>
      </c>
      <c r="B2778" s="134">
        <v>191</v>
      </c>
      <c r="C2778" s="491">
        <v>0</v>
      </c>
      <c r="D2778" s="491">
        <v>1</v>
      </c>
      <c r="E2778" s="491">
        <v>0</v>
      </c>
      <c r="F2778" s="491">
        <v>0</v>
      </c>
      <c r="G2778" s="491">
        <f t="shared" si="43"/>
        <v>1</v>
      </c>
    </row>
    <row r="2779" spans="1:7" ht="12.75">
      <c r="A2779" s="134" t="s">
        <v>794</v>
      </c>
      <c r="B2779" s="134">
        <v>300</v>
      </c>
      <c r="C2779" s="491">
        <v>0</v>
      </c>
      <c r="D2779" s="491">
        <v>3</v>
      </c>
      <c r="E2779" s="491">
        <v>0</v>
      </c>
      <c r="F2779" s="491">
        <v>0</v>
      </c>
      <c r="G2779" s="491">
        <f t="shared" si="43"/>
        <v>3</v>
      </c>
    </row>
    <row r="2780" spans="1:7" ht="12.75">
      <c r="A2780" s="134" t="s">
        <v>794</v>
      </c>
      <c r="B2780" s="134">
        <v>301</v>
      </c>
      <c r="C2780" s="491">
        <v>0</v>
      </c>
      <c r="D2780" s="491">
        <v>8</v>
      </c>
      <c r="E2780" s="491">
        <v>0</v>
      </c>
      <c r="F2780" s="491">
        <v>0</v>
      </c>
      <c r="G2780" s="491">
        <f t="shared" si="43"/>
        <v>8</v>
      </c>
    </row>
    <row r="2781" spans="1:7" ht="12.75">
      <c r="A2781" s="134" t="s">
        <v>794</v>
      </c>
      <c r="B2781" s="134">
        <v>302</v>
      </c>
      <c r="C2781" s="491">
        <v>0</v>
      </c>
      <c r="D2781" s="491">
        <v>4</v>
      </c>
      <c r="E2781" s="491">
        <v>0</v>
      </c>
      <c r="F2781" s="491">
        <v>0</v>
      </c>
      <c r="G2781" s="491">
        <f t="shared" si="43"/>
        <v>4</v>
      </c>
    </row>
    <row r="2782" spans="1:7" ht="12.75">
      <c r="A2782" s="134" t="s">
        <v>794</v>
      </c>
      <c r="B2782" s="134">
        <v>303</v>
      </c>
      <c r="C2782" s="491">
        <v>13</v>
      </c>
      <c r="D2782" s="491">
        <v>19</v>
      </c>
      <c r="E2782" s="491">
        <v>0</v>
      </c>
      <c r="F2782" s="491">
        <v>0</v>
      </c>
      <c r="G2782" s="491">
        <f t="shared" si="43"/>
        <v>32</v>
      </c>
    </row>
    <row r="2783" spans="1:7" ht="12.75">
      <c r="A2783" s="134" t="s">
        <v>794</v>
      </c>
      <c r="B2783" s="134">
        <v>306</v>
      </c>
      <c r="C2783" s="491">
        <v>0</v>
      </c>
      <c r="D2783" s="491">
        <v>3</v>
      </c>
      <c r="E2783" s="491">
        <v>0</v>
      </c>
      <c r="F2783" s="491">
        <v>0</v>
      </c>
      <c r="G2783" s="491">
        <f t="shared" si="43"/>
        <v>3</v>
      </c>
    </row>
    <row r="2784" spans="1:7" ht="12.75">
      <c r="A2784" s="134" t="s">
        <v>794</v>
      </c>
      <c r="B2784" s="134">
        <v>307</v>
      </c>
      <c r="C2784" s="491">
        <v>0</v>
      </c>
      <c r="D2784" s="491">
        <v>5</v>
      </c>
      <c r="E2784" s="491">
        <v>0</v>
      </c>
      <c r="F2784" s="491">
        <v>0</v>
      </c>
      <c r="G2784" s="491">
        <f t="shared" si="43"/>
        <v>5</v>
      </c>
    </row>
    <row r="2785" spans="1:7" ht="12.75">
      <c r="A2785" s="134" t="s">
        <v>794</v>
      </c>
      <c r="B2785" s="134">
        <v>310</v>
      </c>
      <c r="C2785" s="491">
        <v>0</v>
      </c>
      <c r="D2785" s="491">
        <v>11</v>
      </c>
      <c r="E2785" s="491">
        <v>0</v>
      </c>
      <c r="F2785" s="491">
        <v>0</v>
      </c>
      <c r="G2785" s="491">
        <f t="shared" si="43"/>
        <v>11</v>
      </c>
    </row>
    <row r="2786" spans="1:7" ht="12.75">
      <c r="A2786" s="134" t="s">
        <v>794</v>
      </c>
      <c r="B2786" s="134">
        <v>314</v>
      </c>
      <c r="C2786" s="491">
        <v>0</v>
      </c>
      <c r="D2786" s="491">
        <v>1</v>
      </c>
      <c r="E2786" s="491">
        <v>0</v>
      </c>
      <c r="F2786" s="491">
        <v>0</v>
      </c>
      <c r="G2786" s="491">
        <f t="shared" si="43"/>
        <v>1</v>
      </c>
    </row>
    <row r="2787" spans="1:7" ht="12.75">
      <c r="A2787" s="134" t="s">
        <v>794</v>
      </c>
      <c r="B2787" s="134">
        <v>320</v>
      </c>
      <c r="C2787" s="491">
        <v>1</v>
      </c>
      <c r="D2787" s="491">
        <v>14</v>
      </c>
      <c r="E2787" s="491">
        <v>0</v>
      </c>
      <c r="F2787" s="491">
        <v>0</v>
      </c>
      <c r="G2787" s="491">
        <f t="shared" si="43"/>
        <v>15</v>
      </c>
    </row>
    <row r="2788" spans="1:7" ht="12.75">
      <c r="A2788" s="134" t="s">
        <v>794</v>
      </c>
      <c r="B2788" s="134">
        <v>324</v>
      </c>
      <c r="C2788" s="491">
        <v>0</v>
      </c>
      <c r="D2788" s="491">
        <v>1</v>
      </c>
      <c r="E2788" s="491">
        <v>0</v>
      </c>
      <c r="F2788" s="491">
        <v>0</v>
      </c>
      <c r="G2788" s="491">
        <f t="shared" si="43"/>
        <v>1</v>
      </c>
    </row>
    <row r="2789" spans="1:7" ht="12.75">
      <c r="A2789" s="134" t="s">
        <v>794</v>
      </c>
      <c r="B2789" s="134">
        <v>330</v>
      </c>
      <c r="C2789" s="491">
        <v>0</v>
      </c>
      <c r="D2789" s="491">
        <v>9</v>
      </c>
      <c r="E2789" s="491">
        <v>0</v>
      </c>
      <c r="F2789" s="491">
        <v>0</v>
      </c>
      <c r="G2789" s="491">
        <f t="shared" si="43"/>
        <v>9</v>
      </c>
    </row>
    <row r="2790" spans="1:7" ht="12.75">
      <c r="A2790" s="134" t="s">
        <v>794</v>
      </c>
      <c r="B2790" s="134">
        <v>340</v>
      </c>
      <c r="C2790" s="491">
        <v>0</v>
      </c>
      <c r="D2790" s="491">
        <v>3</v>
      </c>
      <c r="E2790" s="491">
        <v>0</v>
      </c>
      <c r="F2790" s="491">
        <v>0</v>
      </c>
      <c r="G2790" s="491">
        <f t="shared" si="43"/>
        <v>3</v>
      </c>
    </row>
    <row r="2791" spans="1:7" ht="12.75">
      <c r="A2791" s="134" t="s">
        <v>794</v>
      </c>
      <c r="B2791" s="134">
        <v>341</v>
      </c>
      <c r="C2791" s="491">
        <v>0</v>
      </c>
      <c r="D2791" s="491">
        <v>2</v>
      </c>
      <c r="E2791" s="491">
        <v>0</v>
      </c>
      <c r="F2791" s="491">
        <v>0</v>
      </c>
      <c r="G2791" s="491">
        <f t="shared" si="43"/>
        <v>2</v>
      </c>
    </row>
    <row r="2792" spans="1:7" ht="12.75">
      <c r="A2792" s="134" t="s">
        <v>794</v>
      </c>
      <c r="B2792" s="134">
        <v>350</v>
      </c>
      <c r="C2792" s="491">
        <v>0</v>
      </c>
      <c r="D2792" s="491">
        <v>2</v>
      </c>
      <c r="E2792" s="491">
        <v>0</v>
      </c>
      <c r="F2792" s="491">
        <v>0</v>
      </c>
      <c r="G2792" s="491">
        <f t="shared" si="43"/>
        <v>2</v>
      </c>
    </row>
    <row r="2793" spans="1:7" ht="12.75">
      <c r="A2793" s="134" t="s">
        <v>794</v>
      </c>
      <c r="B2793" s="134">
        <v>361</v>
      </c>
      <c r="C2793" s="491">
        <v>0</v>
      </c>
      <c r="D2793" s="491">
        <v>4</v>
      </c>
      <c r="E2793" s="491">
        <v>0</v>
      </c>
      <c r="F2793" s="491">
        <v>0</v>
      </c>
      <c r="G2793" s="491">
        <f t="shared" si="43"/>
        <v>4</v>
      </c>
    </row>
    <row r="2794" spans="1:7" ht="12.75">
      <c r="A2794" s="134" t="s">
        <v>794</v>
      </c>
      <c r="B2794" s="134">
        <v>370</v>
      </c>
      <c r="C2794" s="491">
        <v>0</v>
      </c>
      <c r="D2794" s="491">
        <v>6</v>
      </c>
      <c r="E2794" s="491">
        <v>0</v>
      </c>
      <c r="F2794" s="491">
        <v>0</v>
      </c>
      <c r="G2794" s="491">
        <f t="shared" si="43"/>
        <v>6</v>
      </c>
    </row>
    <row r="2795" spans="1:7" ht="12.75">
      <c r="A2795" s="134" t="s">
        <v>794</v>
      </c>
      <c r="B2795" s="134">
        <v>400</v>
      </c>
      <c r="C2795" s="491">
        <v>0</v>
      </c>
      <c r="D2795" s="491">
        <v>9</v>
      </c>
      <c r="E2795" s="491">
        <v>0</v>
      </c>
      <c r="F2795" s="491">
        <v>0</v>
      </c>
      <c r="G2795" s="491">
        <f t="shared" si="43"/>
        <v>9</v>
      </c>
    </row>
    <row r="2796" spans="1:7" ht="12.75">
      <c r="A2796" s="134" t="s">
        <v>794</v>
      </c>
      <c r="B2796" s="134">
        <v>410</v>
      </c>
      <c r="C2796" s="491">
        <v>0</v>
      </c>
      <c r="D2796" s="491">
        <v>17</v>
      </c>
      <c r="E2796" s="491">
        <v>0</v>
      </c>
      <c r="F2796" s="491">
        <v>0</v>
      </c>
      <c r="G2796" s="491">
        <f t="shared" si="43"/>
        <v>17</v>
      </c>
    </row>
    <row r="2797" spans="1:7" ht="12.75">
      <c r="A2797" s="134" t="s">
        <v>794</v>
      </c>
      <c r="B2797" s="134">
        <v>450</v>
      </c>
      <c r="C2797" s="491">
        <v>102</v>
      </c>
      <c r="D2797" s="491">
        <v>55</v>
      </c>
      <c r="E2797" s="491">
        <v>0</v>
      </c>
      <c r="F2797" s="491">
        <v>0</v>
      </c>
      <c r="G2797" s="491">
        <f t="shared" si="43"/>
        <v>157</v>
      </c>
    </row>
    <row r="2798" spans="1:7" ht="12.75">
      <c r="A2798" s="134" t="s">
        <v>794</v>
      </c>
      <c r="B2798" s="134">
        <v>501</v>
      </c>
      <c r="C2798" s="491">
        <v>0</v>
      </c>
      <c r="D2798" s="491">
        <v>13</v>
      </c>
      <c r="E2798" s="491">
        <v>0</v>
      </c>
      <c r="F2798" s="491">
        <v>0</v>
      </c>
      <c r="G2798" s="491">
        <f t="shared" si="43"/>
        <v>13</v>
      </c>
    </row>
    <row r="2799" spans="1:7" ht="12.75">
      <c r="A2799" s="134" t="s">
        <v>794</v>
      </c>
      <c r="B2799" s="134">
        <v>502</v>
      </c>
      <c r="C2799" s="491">
        <v>0</v>
      </c>
      <c r="D2799" s="491">
        <v>5</v>
      </c>
      <c r="E2799" s="491">
        <v>0</v>
      </c>
      <c r="F2799" s="491">
        <v>0</v>
      </c>
      <c r="G2799" s="491">
        <f t="shared" si="43"/>
        <v>5</v>
      </c>
    </row>
    <row r="2800" spans="1:7" ht="12.75">
      <c r="A2800" s="134" t="s">
        <v>794</v>
      </c>
      <c r="B2800" s="134">
        <v>503</v>
      </c>
      <c r="C2800" s="491">
        <v>0</v>
      </c>
      <c r="D2800" s="491">
        <v>2</v>
      </c>
      <c r="E2800" s="491">
        <v>0</v>
      </c>
      <c r="F2800" s="491">
        <v>0</v>
      </c>
      <c r="G2800" s="491">
        <f t="shared" si="43"/>
        <v>2</v>
      </c>
    </row>
    <row r="2801" spans="1:7" ht="12.75">
      <c r="A2801" s="134" t="s">
        <v>794</v>
      </c>
      <c r="B2801" s="134">
        <v>560</v>
      </c>
      <c r="C2801" s="491">
        <v>0</v>
      </c>
      <c r="D2801" s="491">
        <v>5</v>
      </c>
      <c r="E2801" s="491">
        <v>0</v>
      </c>
      <c r="F2801" s="491">
        <v>0</v>
      </c>
      <c r="G2801" s="491">
        <f t="shared" si="43"/>
        <v>5</v>
      </c>
    </row>
    <row r="2802" spans="1:7" ht="12.75">
      <c r="A2802" s="134" t="s">
        <v>794</v>
      </c>
      <c r="B2802" s="134">
        <v>650</v>
      </c>
      <c r="C2802" s="491">
        <v>0</v>
      </c>
      <c r="D2802" s="491">
        <v>17</v>
      </c>
      <c r="E2802" s="491">
        <v>0</v>
      </c>
      <c r="F2802" s="491">
        <v>0</v>
      </c>
      <c r="G2802" s="491">
        <f t="shared" si="43"/>
        <v>17</v>
      </c>
    </row>
    <row r="2803" spans="1:7" ht="12.75">
      <c r="A2803" s="134" t="s">
        <v>794</v>
      </c>
      <c r="B2803" s="134">
        <v>652</v>
      </c>
      <c r="C2803" s="491">
        <v>0</v>
      </c>
      <c r="D2803" s="491">
        <v>1</v>
      </c>
      <c r="E2803" s="491">
        <v>0</v>
      </c>
      <c r="F2803" s="491">
        <v>0</v>
      </c>
      <c r="G2803" s="491">
        <f t="shared" si="43"/>
        <v>1</v>
      </c>
    </row>
    <row r="2804" spans="1:7" ht="12.75">
      <c r="A2804" s="134" t="s">
        <v>794</v>
      </c>
      <c r="B2804" s="134">
        <v>653</v>
      </c>
      <c r="C2804" s="491">
        <v>0</v>
      </c>
      <c r="D2804" s="491">
        <v>1</v>
      </c>
      <c r="E2804" s="491">
        <v>0</v>
      </c>
      <c r="F2804" s="491">
        <v>0</v>
      </c>
      <c r="G2804" s="491">
        <f t="shared" si="43"/>
        <v>1</v>
      </c>
    </row>
    <row r="2805" spans="1:7" ht="12.75">
      <c r="A2805" s="134" t="s">
        <v>794</v>
      </c>
      <c r="B2805" s="134">
        <v>800</v>
      </c>
      <c r="C2805" s="491">
        <v>22</v>
      </c>
      <c r="D2805" s="491">
        <v>0</v>
      </c>
      <c r="E2805" s="491">
        <v>0</v>
      </c>
      <c r="F2805" s="491">
        <v>0</v>
      </c>
      <c r="G2805" s="491">
        <f t="shared" si="43"/>
        <v>22</v>
      </c>
    </row>
    <row r="2806" spans="1:7" ht="12.75">
      <c r="A2806" s="134" t="s">
        <v>794</v>
      </c>
      <c r="B2806" s="134">
        <v>812</v>
      </c>
      <c r="C2806" s="491">
        <v>1</v>
      </c>
      <c r="D2806" s="491">
        <v>0</v>
      </c>
      <c r="E2806" s="491">
        <v>0</v>
      </c>
      <c r="F2806" s="491">
        <v>0</v>
      </c>
      <c r="G2806" s="491">
        <f t="shared" si="43"/>
        <v>1</v>
      </c>
    </row>
    <row r="2807" spans="1:7" ht="12.75">
      <c r="A2807" s="134" t="s">
        <v>795</v>
      </c>
      <c r="B2807" s="134">
        <v>110</v>
      </c>
      <c r="C2807" s="491">
        <v>0</v>
      </c>
      <c r="D2807" s="491">
        <v>3</v>
      </c>
      <c r="E2807" s="491">
        <v>0</v>
      </c>
      <c r="F2807" s="491">
        <v>0</v>
      </c>
      <c r="G2807" s="491">
        <f t="shared" si="43"/>
        <v>3</v>
      </c>
    </row>
    <row r="2808" spans="1:7" ht="12.75">
      <c r="A2808" s="134" t="s">
        <v>795</v>
      </c>
      <c r="B2808" s="134">
        <v>140</v>
      </c>
      <c r="C2808" s="491">
        <v>546</v>
      </c>
      <c r="D2808" s="491">
        <v>46</v>
      </c>
      <c r="E2808" s="491">
        <v>3</v>
      </c>
      <c r="F2808" s="491">
        <v>0</v>
      </c>
      <c r="G2808" s="491">
        <f t="shared" si="43"/>
        <v>595</v>
      </c>
    </row>
    <row r="2809" spans="1:7" ht="12.75">
      <c r="A2809" s="134" t="s">
        <v>795</v>
      </c>
      <c r="B2809" s="134">
        <v>141</v>
      </c>
      <c r="C2809" s="491">
        <v>459</v>
      </c>
      <c r="D2809" s="491">
        <v>33</v>
      </c>
      <c r="E2809" s="491">
        <v>3</v>
      </c>
      <c r="F2809" s="491">
        <v>0</v>
      </c>
      <c r="G2809" s="491">
        <f t="shared" si="43"/>
        <v>495</v>
      </c>
    </row>
    <row r="2810" spans="1:7" ht="12.75">
      <c r="A2810" s="134" t="s">
        <v>795</v>
      </c>
      <c r="B2810" s="134">
        <v>142</v>
      </c>
      <c r="C2810" s="491">
        <v>6188</v>
      </c>
      <c r="D2810" s="491">
        <v>238</v>
      </c>
      <c r="E2810" s="491">
        <v>47</v>
      </c>
      <c r="F2810" s="491">
        <v>1</v>
      </c>
      <c r="G2810" s="491">
        <f t="shared" si="43"/>
        <v>6474</v>
      </c>
    </row>
    <row r="2811" spans="1:7" ht="12.75">
      <c r="A2811" s="134" t="s">
        <v>795</v>
      </c>
      <c r="B2811" s="134">
        <v>143</v>
      </c>
      <c r="C2811" s="491">
        <v>107</v>
      </c>
      <c r="D2811" s="491">
        <v>3</v>
      </c>
      <c r="E2811" s="491">
        <v>5</v>
      </c>
      <c r="F2811" s="491">
        <v>0</v>
      </c>
      <c r="G2811" s="491">
        <f t="shared" si="43"/>
        <v>115</v>
      </c>
    </row>
    <row r="2812" spans="1:7" ht="12.75">
      <c r="A2812" s="134" t="s">
        <v>795</v>
      </c>
      <c r="B2812" s="134">
        <v>144</v>
      </c>
      <c r="C2812" s="491">
        <v>1</v>
      </c>
      <c r="D2812" s="491">
        <v>2</v>
      </c>
      <c r="E2812" s="491">
        <v>1</v>
      </c>
      <c r="F2812" s="491">
        <v>0</v>
      </c>
      <c r="G2812" s="491">
        <f t="shared" si="43"/>
        <v>4</v>
      </c>
    </row>
    <row r="2813" spans="1:7" ht="12.75">
      <c r="A2813" s="134" t="s">
        <v>795</v>
      </c>
      <c r="B2813" s="134">
        <v>160</v>
      </c>
      <c r="C2813" s="491">
        <v>0</v>
      </c>
      <c r="D2813" s="491">
        <v>1</v>
      </c>
      <c r="E2813" s="491">
        <v>0</v>
      </c>
      <c r="F2813" s="491">
        <v>0</v>
      </c>
      <c r="G2813" s="491">
        <f t="shared" si="43"/>
        <v>1</v>
      </c>
    </row>
    <row r="2814" spans="1:7" ht="12.75">
      <c r="A2814" s="134" t="s">
        <v>795</v>
      </c>
      <c r="B2814" s="134">
        <v>190</v>
      </c>
      <c r="C2814" s="491">
        <v>1</v>
      </c>
      <c r="D2814" s="491">
        <v>0</v>
      </c>
      <c r="E2814" s="491">
        <v>0</v>
      </c>
      <c r="F2814" s="491">
        <v>0</v>
      </c>
      <c r="G2814" s="491">
        <f t="shared" si="43"/>
        <v>1</v>
      </c>
    </row>
    <row r="2815" spans="1:7" ht="12.75">
      <c r="A2815" s="134" t="s">
        <v>795</v>
      </c>
      <c r="B2815" s="134">
        <v>211</v>
      </c>
      <c r="C2815" s="491">
        <v>0</v>
      </c>
      <c r="D2815" s="491">
        <v>1</v>
      </c>
      <c r="E2815" s="491">
        <v>0</v>
      </c>
      <c r="F2815" s="491">
        <v>0</v>
      </c>
      <c r="G2815" s="491">
        <f t="shared" si="43"/>
        <v>1</v>
      </c>
    </row>
    <row r="2816" spans="1:7" ht="12.75">
      <c r="A2816" s="134" t="s">
        <v>795</v>
      </c>
      <c r="B2816" s="134">
        <v>217</v>
      </c>
      <c r="C2816" s="491">
        <v>0</v>
      </c>
      <c r="D2816" s="491">
        <v>1</v>
      </c>
      <c r="E2816" s="491">
        <v>0</v>
      </c>
      <c r="F2816" s="491">
        <v>0</v>
      </c>
      <c r="G2816" s="491">
        <f t="shared" si="43"/>
        <v>1</v>
      </c>
    </row>
    <row r="2817" spans="1:7" ht="12.75">
      <c r="A2817" s="134" t="s">
        <v>795</v>
      </c>
      <c r="B2817" s="134">
        <v>241</v>
      </c>
      <c r="C2817" s="491">
        <v>0</v>
      </c>
      <c r="D2817" s="491">
        <v>1</v>
      </c>
      <c r="E2817" s="491">
        <v>0</v>
      </c>
      <c r="F2817" s="491">
        <v>0</v>
      </c>
      <c r="G2817" s="491">
        <f t="shared" si="43"/>
        <v>1</v>
      </c>
    </row>
    <row r="2818" spans="1:7" ht="12.75">
      <c r="A2818" s="134" t="s">
        <v>795</v>
      </c>
      <c r="B2818" s="134">
        <v>251</v>
      </c>
      <c r="C2818" s="491">
        <v>0</v>
      </c>
      <c r="D2818" s="491">
        <v>1</v>
      </c>
      <c r="E2818" s="491">
        <v>0</v>
      </c>
      <c r="F2818" s="491">
        <v>0</v>
      </c>
      <c r="G2818" s="491">
        <f t="shared" si="43"/>
        <v>1</v>
      </c>
    </row>
    <row r="2819" spans="1:7" ht="12.75">
      <c r="A2819" s="134" t="s">
        <v>795</v>
      </c>
      <c r="B2819" s="134">
        <v>252</v>
      </c>
      <c r="C2819" s="491">
        <v>0</v>
      </c>
      <c r="D2819" s="491">
        <v>1</v>
      </c>
      <c r="E2819" s="491">
        <v>0</v>
      </c>
      <c r="F2819" s="491">
        <v>0</v>
      </c>
      <c r="G2819" s="491">
        <f t="shared" si="43"/>
        <v>1</v>
      </c>
    </row>
    <row r="2820" spans="1:7" ht="12.75">
      <c r="A2820" s="134" t="s">
        <v>795</v>
      </c>
      <c r="B2820" s="134">
        <v>258</v>
      </c>
      <c r="C2820" s="491">
        <v>0</v>
      </c>
      <c r="D2820" s="491">
        <v>2</v>
      </c>
      <c r="E2820" s="491">
        <v>0</v>
      </c>
      <c r="F2820" s="491">
        <v>0</v>
      </c>
      <c r="G2820" s="491">
        <f t="shared" ref="G2820:G2883" si="44">SUM(C2820:F2820)</f>
        <v>2</v>
      </c>
    </row>
    <row r="2821" spans="1:7" ht="12.75">
      <c r="A2821" s="134" t="s">
        <v>795</v>
      </c>
      <c r="B2821" s="134">
        <v>340</v>
      </c>
      <c r="C2821" s="491">
        <v>0</v>
      </c>
      <c r="D2821" s="491">
        <v>1</v>
      </c>
      <c r="E2821" s="491">
        <v>0</v>
      </c>
      <c r="F2821" s="491">
        <v>0</v>
      </c>
      <c r="G2821" s="491">
        <f t="shared" si="44"/>
        <v>1</v>
      </c>
    </row>
    <row r="2822" spans="1:7" ht="12.75">
      <c r="A2822" s="134" t="s">
        <v>795</v>
      </c>
      <c r="B2822" s="134">
        <v>410</v>
      </c>
      <c r="C2822" s="491">
        <v>0</v>
      </c>
      <c r="D2822" s="491">
        <v>1</v>
      </c>
      <c r="E2822" s="491">
        <v>0</v>
      </c>
      <c r="F2822" s="491">
        <v>0</v>
      </c>
      <c r="G2822" s="491">
        <f t="shared" si="44"/>
        <v>1</v>
      </c>
    </row>
    <row r="2823" spans="1:7" ht="12.75">
      <c r="A2823" s="134" t="s">
        <v>795</v>
      </c>
      <c r="B2823" s="134">
        <v>420</v>
      </c>
      <c r="C2823" s="491">
        <v>0</v>
      </c>
      <c r="D2823" s="491">
        <v>6</v>
      </c>
      <c r="E2823" s="491">
        <v>0</v>
      </c>
      <c r="F2823" s="491">
        <v>0</v>
      </c>
      <c r="G2823" s="491">
        <f t="shared" si="44"/>
        <v>6</v>
      </c>
    </row>
    <row r="2824" spans="1:7" ht="12.75">
      <c r="A2824" s="134" t="s">
        <v>795</v>
      </c>
      <c r="B2824" s="134">
        <v>421</v>
      </c>
      <c r="C2824" s="491">
        <v>0</v>
      </c>
      <c r="D2824" s="491">
        <v>1</v>
      </c>
      <c r="E2824" s="491">
        <v>0</v>
      </c>
      <c r="F2824" s="491">
        <v>0</v>
      </c>
      <c r="G2824" s="491">
        <f t="shared" si="44"/>
        <v>1</v>
      </c>
    </row>
    <row r="2825" spans="1:7" ht="12.75">
      <c r="A2825" s="134" t="s">
        <v>795</v>
      </c>
      <c r="B2825" s="134">
        <v>450</v>
      </c>
      <c r="C2825" s="491">
        <v>9</v>
      </c>
      <c r="D2825" s="491">
        <v>1</v>
      </c>
      <c r="E2825" s="491">
        <v>0</v>
      </c>
      <c r="F2825" s="491">
        <v>0</v>
      </c>
      <c r="G2825" s="491">
        <f t="shared" si="44"/>
        <v>10</v>
      </c>
    </row>
    <row r="2826" spans="1:7" ht="12.75">
      <c r="A2826" s="134" t="s">
        <v>795</v>
      </c>
      <c r="B2826" s="134">
        <v>650</v>
      </c>
      <c r="C2826" s="491">
        <v>0</v>
      </c>
      <c r="D2826" s="491">
        <v>2</v>
      </c>
      <c r="E2826" s="491">
        <v>0</v>
      </c>
      <c r="F2826" s="491">
        <v>0</v>
      </c>
      <c r="G2826" s="491">
        <f t="shared" si="44"/>
        <v>2</v>
      </c>
    </row>
    <row r="2827" spans="1:7" ht="12.75">
      <c r="A2827" s="134" t="s">
        <v>796</v>
      </c>
      <c r="B2827" s="134">
        <v>100</v>
      </c>
      <c r="C2827" s="491">
        <v>1</v>
      </c>
      <c r="D2827" s="491">
        <v>2</v>
      </c>
      <c r="E2827" s="491">
        <v>0</v>
      </c>
      <c r="F2827" s="491">
        <v>0</v>
      </c>
      <c r="G2827" s="491">
        <f t="shared" si="44"/>
        <v>3</v>
      </c>
    </row>
    <row r="2828" spans="1:7" ht="12.75">
      <c r="A2828" s="134" t="s">
        <v>796</v>
      </c>
      <c r="B2828" s="134">
        <v>101</v>
      </c>
      <c r="C2828" s="491">
        <v>0</v>
      </c>
      <c r="D2828" s="491">
        <v>9</v>
      </c>
      <c r="E2828" s="491">
        <v>0</v>
      </c>
      <c r="F2828" s="491">
        <v>0</v>
      </c>
      <c r="G2828" s="491">
        <f t="shared" si="44"/>
        <v>9</v>
      </c>
    </row>
    <row r="2829" spans="1:7" ht="12.75">
      <c r="A2829" s="134" t="s">
        <v>796</v>
      </c>
      <c r="B2829" s="134">
        <v>102</v>
      </c>
      <c r="C2829" s="491">
        <v>0</v>
      </c>
      <c r="D2829" s="491">
        <v>1</v>
      </c>
      <c r="E2829" s="491">
        <v>0</v>
      </c>
      <c r="F2829" s="491">
        <v>0</v>
      </c>
      <c r="G2829" s="491">
        <f t="shared" si="44"/>
        <v>1</v>
      </c>
    </row>
    <row r="2830" spans="1:7" ht="12.75">
      <c r="A2830" s="134" t="s">
        <v>796</v>
      </c>
      <c r="B2830" s="134">
        <v>103</v>
      </c>
      <c r="C2830" s="491">
        <v>0</v>
      </c>
      <c r="D2830" s="491">
        <v>3</v>
      </c>
      <c r="E2830" s="491">
        <v>0</v>
      </c>
      <c r="F2830" s="491">
        <v>0</v>
      </c>
      <c r="G2830" s="491">
        <f t="shared" si="44"/>
        <v>3</v>
      </c>
    </row>
    <row r="2831" spans="1:7" ht="12.75">
      <c r="A2831" s="134" t="s">
        <v>796</v>
      </c>
      <c r="B2831" s="134">
        <v>104</v>
      </c>
      <c r="C2831" s="491">
        <v>0</v>
      </c>
      <c r="D2831" s="491">
        <v>7</v>
      </c>
      <c r="E2831" s="491">
        <v>0</v>
      </c>
      <c r="F2831" s="491">
        <v>0</v>
      </c>
      <c r="G2831" s="491">
        <f t="shared" si="44"/>
        <v>7</v>
      </c>
    </row>
    <row r="2832" spans="1:7" ht="12.75">
      <c r="A2832" s="134" t="s">
        <v>796</v>
      </c>
      <c r="B2832" s="134">
        <v>106</v>
      </c>
      <c r="C2832" s="491">
        <v>0</v>
      </c>
      <c r="D2832" s="491">
        <v>2</v>
      </c>
      <c r="E2832" s="491">
        <v>0</v>
      </c>
      <c r="F2832" s="491">
        <v>0</v>
      </c>
      <c r="G2832" s="491">
        <f t="shared" si="44"/>
        <v>2</v>
      </c>
    </row>
    <row r="2833" spans="1:7" ht="12.75">
      <c r="A2833" s="134" t="s">
        <v>796</v>
      </c>
      <c r="B2833" s="134">
        <v>107</v>
      </c>
      <c r="C2833" s="491">
        <v>0</v>
      </c>
      <c r="D2833" s="491">
        <v>2</v>
      </c>
      <c r="E2833" s="491">
        <v>0</v>
      </c>
      <c r="F2833" s="491">
        <v>0</v>
      </c>
      <c r="G2833" s="491">
        <f t="shared" si="44"/>
        <v>2</v>
      </c>
    </row>
    <row r="2834" spans="1:7" ht="12.75">
      <c r="A2834" s="134" t="s">
        <v>796</v>
      </c>
      <c r="B2834" s="134">
        <v>110</v>
      </c>
      <c r="C2834" s="491">
        <v>4</v>
      </c>
      <c r="D2834" s="491">
        <v>20</v>
      </c>
      <c r="E2834" s="491">
        <v>0</v>
      </c>
      <c r="F2834" s="491">
        <v>0</v>
      </c>
      <c r="G2834" s="491">
        <f t="shared" si="44"/>
        <v>24</v>
      </c>
    </row>
    <row r="2835" spans="1:7" ht="12.75">
      <c r="A2835" s="134" t="s">
        <v>796</v>
      </c>
      <c r="B2835" s="134">
        <v>120</v>
      </c>
      <c r="C2835" s="491">
        <v>8</v>
      </c>
      <c r="D2835" s="491">
        <v>14</v>
      </c>
      <c r="E2835" s="491">
        <v>0</v>
      </c>
      <c r="F2835" s="491">
        <v>0</v>
      </c>
      <c r="G2835" s="491">
        <f t="shared" si="44"/>
        <v>22</v>
      </c>
    </row>
    <row r="2836" spans="1:7" ht="12.75">
      <c r="A2836" s="134" t="s">
        <v>796</v>
      </c>
      <c r="B2836" s="134">
        <v>130</v>
      </c>
      <c r="C2836" s="491">
        <v>3</v>
      </c>
      <c r="D2836" s="491">
        <v>0</v>
      </c>
      <c r="E2836" s="491">
        <v>0</v>
      </c>
      <c r="F2836" s="491">
        <v>0</v>
      </c>
      <c r="G2836" s="491">
        <f t="shared" si="44"/>
        <v>3</v>
      </c>
    </row>
    <row r="2837" spans="1:7" ht="12.75">
      <c r="A2837" s="134" t="s">
        <v>796</v>
      </c>
      <c r="B2837" s="134">
        <v>140</v>
      </c>
      <c r="C2837" s="491">
        <v>3408</v>
      </c>
      <c r="D2837" s="491">
        <v>971</v>
      </c>
      <c r="E2837" s="491">
        <v>31</v>
      </c>
      <c r="F2837" s="491">
        <v>14</v>
      </c>
      <c r="G2837" s="491">
        <f t="shared" si="44"/>
        <v>4424</v>
      </c>
    </row>
    <row r="2838" spans="1:7" ht="12.75">
      <c r="A2838" s="134" t="s">
        <v>796</v>
      </c>
      <c r="B2838" s="134">
        <v>141</v>
      </c>
      <c r="C2838" s="491">
        <v>7169</v>
      </c>
      <c r="D2838" s="491">
        <v>375</v>
      </c>
      <c r="E2838" s="491">
        <v>7</v>
      </c>
      <c r="F2838" s="491">
        <v>2</v>
      </c>
      <c r="G2838" s="491">
        <f t="shared" si="44"/>
        <v>7553</v>
      </c>
    </row>
    <row r="2839" spans="1:7" ht="12.75">
      <c r="A2839" s="134" t="s">
        <v>796</v>
      </c>
      <c r="B2839" s="134">
        <v>142</v>
      </c>
      <c r="C2839" s="491">
        <v>3</v>
      </c>
      <c r="D2839" s="491">
        <v>0</v>
      </c>
      <c r="E2839" s="491">
        <v>0</v>
      </c>
      <c r="F2839" s="491">
        <v>0</v>
      </c>
      <c r="G2839" s="491">
        <f t="shared" si="44"/>
        <v>3</v>
      </c>
    </row>
    <row r="2840" spans="1:7" ht="12.75">
      <c r="A2840" s="134" t="s">
        <v>796</v>
      </c>
      <c r="B2840" s="134">
        <v>143</v>
      </c>
      <c r="C2840" s="491">
        <v>5958</v>
      </c>
      <c r="D2840" s="491">
        <v>395</v>
      </c>
      <c r="E2840" s="491">
        <v>89</v>
      </c>
      <c r="F2840" s="491">
        <v>13</v>
      </c>
      <c r="G2840" s="491">
        <f t="shared" si="44"/>
        <v>6455</v>
      </c>
    </row>
    <row r="2841" spans="1:7" ht="12.75">
      <c r="A2841" s="134" t="s">
        <v>796</v>
      </c>
      <c r="B2841" s="134">
        <v>144</v>
      </c>
      <c r="C2841" s="491">
        <v>1229</v>
      </c>
      <c r="D2841" s="491">
        <v>535</v>
      </c>
      <c r="E2841" s="491">
        <v>26</v>
      </c>
      <c r="F2841" s="491">
        <v>12</v>
      </c>
      <c r="G2841" s="491">
        <f t="shared" si="44"/>
        <v>1802</v>
      </c>
    </row>
    <row r="2842" spans="1:7" ht="12.75">
      <c r="A2842" s="134" t="s">
        <v>796</v>
      </c>
      <c r="B2842" s="134">
        <v>150</v>
      </c>
      <c r="C2842" s="491">
        <v>1</v>
      </c>
      <c r="D2842" s="491">
        <v>3</v>
      </c>
      <c r="E2842" s="491">
        <v>0</v>
      </c>
      <c r="F2842" s="491">
        <v>0</v>
      </c>
      <c r="G2842" s="491">
        <f t="shared" si="44"/>
        <v>4</v>
      </c>
    </row>
    <row r="2843" spans="1:7" ht="12.75">
      <c r="A2843" s="134" t="s">
        <v>796</v>
      </c>
      <c r="B2843" s="134">
        <v>160</v>
      </c>
      <c r="C2843" s="491">
        <v>0</v>
      </c>
      <c r="D2843" s="491">
        <v>7</v>
      </c>
      <c r="E2843" s="491">
        <v>0</v>
      </c>
      <c r="F2843" s="491">
        <v>0</v>
      </c>
      <c r="G2843" s="491">
        <f t="shared" si="44"/>
        <v>7</v>
      </c>
    </row>
    <row r="2844" spans="1:7" ht="12.75">
      <c r="A2844" s="134" t="s">
        <v>796</v>
      </c>
      <c r="B2844" s="134">
        <v>172</v>
      </c>
      <c r="C2844" s="491">
        <v>0</v>
      </c>
      <c r="D2844" s="491">
        <v>1</v>
      </c>
      <c r="E2844" s="491">
        <v>0</v>
      </c>
      <c r="F2844" s="491">
        <v>0</v>
      </c>
      <c r="G2844" s="491">
        <f t="shared" si="44"/>
        <v>1</v>
      </c>
    </row>
    <row r="2845" spans="1:7" ht="12.75">
      <c r="A2845" s="134" t="s">
        <v>796</v>
      </c>
      <c r="B2845" s="134">
        <v>173</v>
      </c>
      <c r="C2845" s="491">
        <v>0</v>
      </c>
      <c r="D2845" s="491">
        <v>2</v>
      </c>
      <c r="E2845" s="491">
        <v>0</v>
      </c>
      <c r="F2845" s="491">
        <v>0</v>
      </c>
      <c r="G2845" s="491">
        <f t="shared" si="44"/>
        <v>2</v>
      </c>
    </row>
    <row r="2846" spans="1:7" ht="12.75">
      <c r="A2846" s="134" t="s">
        <v>796</v>
      </c>
      <c r="B2846" s="134">
        <v>180</v>
      </c>
      <c r="C2846" s="491">
        <v>0</v>
      </c>
      <c r="D2846" s="491">
        <v>1</v>
      </c>
      <c r="E2846" s="491">
        <v>0</v>
      </c>
      <c r="F2846" s="491">
        <v>0</v>
      </c>
      <c r="G2846" s="491">
        <f t="shared" si="44"/>
        <v>1</v>
      </c>
    </row>
    <row r="2847" spans="1:7" ht="12.75">
      <c r="A2847" s="134" t="s">
        <v>796</v>
      </c>
      <c r="B2847" s="134">
        <v>190</v>
      </c>
      <c r="C2847" s="491">
        <v>0</v>
      </c>
      <c r="D2847" s="491">
        <v>1</v>
      </c>
      <c r="E2847" s="491">
        <v>0</v>
      </c>
      <c r="F2847" s="491">
        <v>0</v>
      </c>
      <c r="G2847" s="491">
        <f t="shared" si="44"/>
        <v>1</v>
      </c>
    </row>
    <row r="2848" spans="1:7" ht="12.75">
      <c r="A2848" s="134" t="s">
        <v>796</v>
      </c>
      <c r="B2848" s="134">
        <v>217</v>
      </c>
      <c r="C2848" s="491">
        <v>4</v>
      </c>
      <c r="D2848" s="491">
        <v>0</v>
      </c>
      <c r="E2848" s="491">
        <v>0</v>
      </c>
      <c r="F2848" s="491">
        <v>0</v>
      </c>
      <c r="G2848" s="491">
        <f t="shared" si="44"/>
        <v>4</v>
      </c>
    </row>
    <row r="2849" spans="1:7" ht="12.75">
      <c r="A2849" s="134" t="s">
        <v>796</v>
      </c>
      <c r="B2849" s="134">
        <v>300</v>
      </c>
      <c r="C2849" s="491">
        <v>0</v>
      </c>
      <c r="D2849" s="491">
        <v>5</v>
      </c>
      <c r="E2849" s="491">
        <v>0</v>
      </c>
      <c r="F2849" s="491">
        <v>0</v>
      </c>
      <c r="G2849" s="491">
        <f t="shared" si="44"/>
        <v>5</v>
      </c>
    </row>
    <row r="2850" spans="1:7" ht="12.75">
      <c r="A2850" s="134" t="s">
        <v>796</v>
      </c>
      <c r="B2850" s="134">
        <v>301</v>
      </c>
      <c r="C2850" s="491">
        <v>2</v>
      </c>
      <c r="D2850" s="491">
        <v>4</v>
      </c>
      <c r="E2850" s="491">
        <v>0</v>
      </c>
      <c r="F2850" s="491">
        <v>0</v>
      </c>
      <c r="G2850" s="491">
        <f t="shared" si="44"/>
        <v>6</v>
      </c>
    </row>
    <row r="2851" spans="1:7" ht="12.75">
      <c r="A2851" s="134" t="s">
        <v>796</v>
      </c>
      <c r="B2851" s="134">
        <v>302</v>
      </c>
      <c r="C2851" s="491">
        <v>0</v>
      </c>
      <c r="D2851" s="491">
        <v>3</v>
      </c>
      <c r="E2851" s="491">
        <v>0</v>
      </c>
      <c r="F2851" s="491">
        <v>0</v>
      </c>
      <c r="G2851" s="491">
        <f t="shared" si="44"/>
        <v>3</v>
      </c>
    </row>
    <row r="2852" spans="1:7" ht="12.75">
      <c r="A2852" s="134" t="s">
        <v>796</v>
      </c>
      <c r="B2852" s="134">
        <v>303</v>
      </c>
      <c r="C2852" s="491">
        <v>2</v>
      </c>
      <c r="D2852" s="491">
        <v>7</v>
      </c>
      <c r="E2852" s="491">
        <v>0</v>
      </c>
      <c r="F2852" s="491">
        <v>0</v>
      </c>
      <c r="G2852" s="491">
        <f t="shared" si="44"/>
        <v>9</v>
      </c>
    </row>
    <row r="2853" spans="1:7" ht="12.75">
      <c r="A2853" s="134" t="s">
        <v>796</v>
      </c>
      <c r="B2853" s="134">
        <v>306</v>
      </c>
      <c r="C2853" s="491">
        <v>0</v>
      </c>
      <c r="D2853" s="491">
        <v>2</v>
      </c>
      <c r="E2853" s="491">
        <v>0</v>
      </c>
      <c r="F2853" s="491">
        <v>0</v>
      </c>
      <c r="G2853" s="491">
        <f t="shared" si="44"/>
        <v>2</v>
      </c>
    </row>
    <row r="2854" spans="1:7" ht="12.75">
      <c r="A2854" s="134" t="s">
        <v>796</v>
      </c>
      <c r="B2854" s="134">
        <v>307</v>
      </c>
      <c r="C2854" s="491">
        <v>0</v>
      </c>
      <c r="D2854" s="491">
        <v>6</v>
      </c>
      <c r="E2854" s="491">
        <v>0</v>
      </c>
      <c r="F2854" s="491">
        <v>0</v>
      </c>
      <c r="G2854" s="491">
        <f t="shared" si="44"/>
        <v>6</v>
      </c>
    </row>
    <row r="2855" spans="1:7" ht="12.75">
      <c r="A2855" s="134" t="s">
        <v>796</v>
      </c>
      <c r="B2855" s="134">
        <v>310</v>
      </c>
      <c r="C2855" s="491">
        <v>0</v>
      </c>
      <c r="D2855" s="491">
        <v>12</v>
      </c>
      <c r="E2855" s="491">
        <v>0</v>
      </c>
      <c r="F2855" s="491">
        <v>0</v>
      </c>
      <c r="G2855" s="491">
        <f t="shared" si="44"/>
        <v>12</v>
      </c>
    </row>
    <row r="2856" spans="1:7" ht="12.75">
      <c r="A2856" s="134" t="s">
        <v>796</v>
      </c>
      <c r="B2856" s="134">
        <v>314</v>
      </c>
      <c r="C2856" s="491">
        <v>0</v>
      </c>
      <c r="D2856" s="491">
        <v>2</v>
      </c>
      <c r="E2856" s="491">
        <v>0</v>
      </c>
      <c r="F2856" s="491">
        <v>0</v>
      </c>
      <c r="G2856" s="491">
        <f t="shared" si="44"/>
        <v>2</v>
      </c>
    </row>
    <row r="2857" spans="1:7" ht="12.75">
      <c r="A2857" s="134" t="s">
        <v>796</v>
      </c>
      <c r="B2857" s="134">
        <v>320</v>
      </c>
      <c r="C2857" s="491">
        <v>2</v>
      </c>
      <c r="D2857" s="491">
        <v>18</v>
      </c>
      <c r="E2857" s="491">
        <v>0</v>
      </c>
      <c r="F2857" s="491">
        <v>0</v>
      </c>
      <c r="G2857" s="491">
        <f t="shared" si="44"/>
        <v>20</v>
      </c>
    </row>
    <row r="2858" spans="1:7" ht="12.75">
      <c r="A2858" s="134" t="s">
        <v>796</v>
      </c>
      <c r="B2858" s="134">
        <v>324</v>
      </c>
      <c r="C2858" s="491">
        <v>0</v>
      </c>
      <c r="D2858" s="491">
        <v>6</v>
      </c>
      <c r="E2858" s="491">
        <v>0</v>
      </c>
      <c r="F2858" s="491">
        <v>0</v>
      </c>
      <c r="G2858" s="491">
        <f t="shared" si="44"/>
        <v>6</v>
      </c>
    </row>
    <row r="2859" spans="1:7" ht="12.75">
      <c r="A2859" s="134" t="s">
        <v>796</v>
      </c>
      <c r="B2859" s="134">
        <v>330</v>
      </c>
      <c r="C2859" s="491">
        <v>1</v>
      </c>
      <c r="D2859" s="491">
        <v>11</v>
      </c>
      <c r="E2859" s="491">
        <v>0</v>
      </c>
      <c r="F2859" s="491">
        <v>0</v>
      </c>
      <c r="G2859" s="491">
        <f t="shared" si="44"/>
        <v>12</v>
      </c>
    </row>
    <row r="2860" spans="1:7" ht="12.75">
      <c r="A2860" s="134" t="s">
        <v>796</v>
      </c>
      <c r="B2860" s="134">
        <v>340</v>
      </c>
      <c r="C2860" s="491">
        <v>0</v>
      </c>
      <c r="D2860" s="491">
        <v>6</v>
      </c>
      <c r="E2860" s="491">
        <v>0</v>
      </c>
      <c r="F2860" s="491">
        <v>0</v>
      </c>
      <c r="G2860" s="491">
        <f t="shared" si="44"/>
        <v>6</v>
      </c>
    </row>
    <row r="2861" spans="1:7" ht="12.75">
      <c r="A2861" s="134" t="s">
        <v>796</v>
      </c>
      <c r="B2861" s="134">
        <v>341</v>
      </c>
      <c r="C2861" s="491">
        <v>2</v>
      </c>
      <c r="D2861" s="491">
        <v>3</v>
      </c>
      <c r="E2861" s="491">
        <v>0</v>
      </c>
      <c r="F2861" s="491">
        <v>0</v>
      </c>
      <c r="G2861" s="491">
        <f t="shared" si="44"/>
        <v>5</v>
      </c>
    </row>
    <row r="2862" spans="1:7" ht="12.75">
      <c r="A2862" s="134" t="s">
        <v>796</v>
      </c>
      <c r="B2862" s="134">
        <v>361</v>
      </c>
      <c r="C2862" s="491">
        <v>0</v>
      </c>
      <c r="D2862" s="491">
        <v>1</v>
      </c>
      <c r="E2862" s="491">
        <v>0</v>
      </c>
      <c r="F2862" s="491">
        <v>0</v>
      </c>
      <c r="G2862" s="491">
        <f t="shared" si="44"/>
        <v>1</v>
      </c>
    </row>
    <row r="2863" spans="1:7" ht="12.75">
      <c r="A2863" s="134" t="s">
        <v>796</v>
      </c>
      <c r="B2863" s="134">
        <v>370</v>
      </c>
      <c r="C2863" s="491">
        <v>3</v>
      </c>
      <c r="D2863" s="491">
        <v>5</v>
      </c>
      <c r="E2863" s="491">
        <v>0</v>
      </c>
      <c r="F2863" s="491">
        <v>0</v>
      </c>
      <c r="G2863" s="491">
        <f t="shared" si="44"/>
        <v>8</v>
      </c>
    </row>
    <row r="2864" spans="1:7" ht="12.75">
      <c r="A2864" s="134" t="s">
        <v>796</v>
      </c>
      <c r="B2864" s="134">
        <v>400</v>
      </c>
      <c r="C2864" s="491">
        <v>1</v>
      </c>
      <c r="D2864" s="491">
        <v>12</v>
      </c>
      <c r="E2864" s="491">
        <v>0</v>
      </c>
      <c r="F2864" s="491">
        <v>0</v>
      </c>
      <c r="G2864" s="491">
        <f t="shared" si="44"/>
        <v>13</v>
      </c>
    </row>
    <row r="2865" spans="1:7" ht="12.75">
      <c r="A2865" s="134" t="s">
        <v>796</v>
      </c>
      <c r="B2865" s="134">
        <v>410</v>
      </c>
      <c r="C2865" s="491">
        <v>0</v>
      </c>
      <c r="D2865" s="491">
        <v>6</v>
      </c>
      <c r="E2865" s="491">
        <v>0</v>
      </c>
      <c r="F2865" s="491">
        <v>0</v>
      </c>
      <c r="G2865" s="491">
        <f t="shared" si="44"/>
        <v>6</v>
      </c>
    </row>
    <row r="2866" spans="1:7" ht="12.75">
      <c r="A2866" s="134" t="s">
        <v>796</v>
      </c>
      <c r="B2866" s="134">
        <v>430</v>
      </c>
      <c r="C2866" s="491">
        <v>0</v>
      </c>
      <c r="D2866" s="491">
        <v>1</v>
      </c>
      <c r="E2866" s="491">
        <v>0</v>
      </c>
      <c r="F2866" s="491">
        <v>0</v>
      </c>
      <c r="G2866" s="491">
        <f t="shared" si="44"/>
        <v>1</v>
      </c>
    </row>
    <row r="2867" spans="1:7" ht="12.75">
      <c r="A2867" s="134" t="s">
        <v>796</v>
      </c>
      <c r="B2867" s="134">
        <v>450</v>
      </c>
      <c r="C2867" s="491">
        <v>66</v>
      </c>
      <c r="D2867" s="491">
        <v>41</v>
      </c>
      <c r="E2867" s="491">
        <v>2</v>
      </c>
      <c r="F2867" s="491">
        <v>2</v>
      </c>
      <c r="G2867" s="491">
        <f t="shared" si="44"/>
        <v>111</v>
      </c>
    </row>
    <row r="2868" spans="1:7" ht="12.75">
      <c r="A2868" s="134" t="s">
        <v>796</v>
      </c>
      <c r="B2868" s="134">
        <v>501</v>
      </c>
      <c r="C2868" s="491">
        <v>0</v>
      </c>
      <c r="D2868" s="491">
        <v>8</v>
      </c>
      <c r="E2868" s="491">
        <v>0</v>
      </c>
      <c r="F2868" s="491">
        <v>0</v>
      </c>
      <c r="G2868" s="491">
        <f t="shared" si="44"/>
        <v>8</v>
      </c>
    </row>
    <row r="2869" spans="1:7" ht="12.75">
      <c r="A2869" s="134" t="s">
        <v>796</v>
      </c>
      <c r="B2869" s="134">
        <v>502</v>
      </c>
      <c r="C2869" s="491">
        <v>1</v>
      </c>
      <c r="D2869" s="491">
        <v>12</v>
      </c>
      <c r="E2869" s="491">
        <v>0</v>
      </c>
      <c r="F2869" s="491">
        <v>0</v>
      </c>
      <c r="G2869" s="491">
        <f t="shared" si="44"/>
        <v>13</v>
      </c>
    </row>
    <row r="2870" spans="1:7" ht="12.75">
      <c r="A2870" s="134" t="s">
        <v>796</v>
      </c>
      <c r="B2870" s="134">
        <v>503</v>
      </c>
      <c r="C2870" s="491">
        <v>0</v>
      </c>
      <c r="D2870" s="491">
        <v>6</v>
      </c>
      <c r="E2870" s="491">
        <v>0</v>
      </c>
      <c r="F2870" s="491">
        <v>0</v>
      </c>
      <c r="G2870" s="491">
        <f t="shared" si="44"/>
        <v>6</v>
      </c>
    </row>
    <row r="2871" spans="1:7" ht="12.75">
      <c r="A2871" s="134" t="s">
        <v>796</v>
      </c>
      <c r="B2871" s="134">
        <v>560</v>
      </c>
      <c r="C2871" s="491">
        <v>0</v>
      </c>
      <c r="D2871" s="491">
        <v>5</v>
      </c>
      <c r="E2871" s="491">
        <v>0</v>
      </c>
      <c r="F2871" s="491">
        <v>0</v>
      </c>
      <c r="G2871" s="491">
        <f t="shared" si="44"/>
        <v>5</v>
      </c>
    </row>
    <row r="2872" spans="1:7" ht="12.75">
      <c r="A2872" s="134" t="s">
        <v>796</v>
      </c>
      <c r="B2872" s="134">
        <v>650</v>
      </c>
      <c r="C2872" s="491">
        <v>0</v>
      </c>
      <c r="D2872" s="491">
        <v>25</v>
      </c>
      <c r="E2872" s="491">
        <v>0</v>
      </c>
      <c r="F2872" s="491">
        <v>0</v>
      </c>
      <c r="G2872" s="491">
        <f t="shared" si="44"/>
        <v>25</v>
      </c>
    </row>
    <row r="2873" spans="1:7" ht="12.75">
      <c r="A2873" s="134" t="s">
        <v>796</v>
      </c>
      <c r="B2873" s="134">
        <v>653</v>
      </c>
      <c r="C2873" s="491">
        <v>0</v>
      </c>
      <c r="D2873" s="491">
        <v>1</v>
      </c>
      <c r="E2873" s="491">
        <v>0</v>
      </c>
      <c r="F2873" s="491">
        <v>0</v>
      </c>
      <c r="G2873" s="491">
        <f t="shared" si="44"/>
        <v>1</v>
      </c>
    </row>
    <row r="2874" spans="1:7" ht="12.75">
      <c r="A2874" s="134" t="s">
        <v>796</v>
      </c>
      <c r="B2874" s="134">
        <v>654</v>
      </c>
      <c r="C2874" s="491">
        <v>0</v>
      </c>
      <c r="D2874" s="491">
        <v>1</v>
      </c>
      <c r="E2874" s="491">
        <v>0</v>
      </c>
      <c r="F2874" s="491">
        <v>0</v>
      </c>
      <c r="G2874" s="491">
        <f t="shared" si="44"/>
        <v>1</v>
      </c>
    </row>
    <row r="2875" spans="1:7" ht="12.75">
      <c r="A2875" s="134" t="s">
        <v>796</v>
      </c>
      <c r="B2875" s="134">
        <v>657</v>
      </c>
      <c r="C2875" s="491">
        <v>3</v>
      </c>
      <c r="D2875" s="491">
        <v>0</v>
      </c>
      <c r="E2875" s="491">
        <v>0</v>
      </c>
      <c r="F2875" s="491">
        <v>0</v>
      </c>
      <c r="G2875" s="491">
        <f t="shared" si="44"/>
        <v>3</v>
      </c>
    </row>
    <row r="2876" spans="1:7" ht="12.75">
      <c r="A2876" s="134" t="s">
        <v>796</v>
      </c>
      <c r="B2876" s="134">
        <v>800</v>
      </c>
      <c r="C2876" s="491">
        <v>1</v>
      </c>
      <c r="D2876" s="491">
        <v>0</v>
      </c>
      <c r="E2876" s="491">
        <v>0</v>
      </c>
      <c r="F2876" s="491">
        <v>0</v>
      </c>
      <c r="G2876" s="491">
        <f t="shared" si="44"/>
        <v>1</v>
      </c>
    </row>
    <row r="2877" spans="1:7" ht="12.75">
      <c r="A2877" s="134" t="s">
        <v>796</v>
      </c>
      <c r="B2877" s="134">
        <v>812</v>
      </c>
      <c r="C2877" s="491">
        <v>0</v>
      </c>
      <c r="D2877" s="491">
        <v>1</v>
      </c>
      <c r="E2877" s="491">
        <v>0</v>
      </c>
      <c r="F2877" s="491">
        <v>0</v>
      </c>
      <c r="G2877" s="491">
        <f t="shared" si="44"/>
        <v>1</v>
      </c>
    </row>
    <row r="2878" spans="1:7" ht="12.75">
      <c r="A2878" s="134" t="s">
        <v>797</v>
      </c>
      <c r="B2878" s="134">
        <v>110</v>
      </c>
      <c r="C2878" s="491">
        <v>0</v>
      </c>
      <c r="D2878" s="491">
        <v>3</v>
      </c>
      <c r="E2878" s="491">
        <v>0</v>
      </c>
      <c r="F2878" s="491">
        <v>0</v>
      </c>
      <c r="G2878" s="491">
        <f t="shared" si="44"/>
        <v>3</v>
      </c>
    </row>
    <row r="2879" spans="1:7" ht="12.75">
      <c r="A2879" s="134" t="s">
        <v>797</v>
      </c>
      <c r="B2879" s="134">
        <v>120</v>
      </c>
      <c r="C2879" s="491">
        <v>0</v>
      </c>
      <c r="D2879" s="491">
        <v>2</v>
      </c>
      <c r="E2879" s="491">
        <v>0</v>
      </c>
      <c r="F2879" s="491">
        <v>0</v>
      </c>
      <c r="G2879" s="491">
        <f t="shared" si="44"/>
        <v>2</v>
      </c>
    </row>
    <row r="2880" spans="1:7" ht="12.75">
      <c r="A2880" s="134" t="s">
        <v>797</v>
      </c>
      <c r="B2880" s="134">
        <v>130</v>
      </c>
      <c r="C2880" s="491">
        <v>1</v>
      </c>
      <c r="D2880" s="491">
        <v>0</v>
      </c>
      <c r="E2880" s="491">
        <v>0</v>
      </c>
      <c r="F2880" s="491">
        <v>0</v>
      </c>
      <c r="G2880" s="491">
        <f t="shared" si="44"/>
        <v>1</v>
      </c>
    </row>
    <row r="2881" spans="1:7" ht="12.75">
      <c r="A2881" s="134" t="s">
        <v>797</v>
      </c>
      <c r="B2881" s="134">
        <v>140</v>
      </c>
      <c r="C2881" s="491">
        <v>349</v>
      </c>
      <c r="D2881" s="491">
        <v>103</v>
      </c>
      <c r="E2881" s="491">
        <v>10</v>
      </c>
      <c r="F2881" s="491">
        <v>4</v>
      </c>
      <c r="G2881" s="491">
        <f t="shared" si="44"/>
        <v>466</v>
      </c>
    </row>
    <row r="2882" spans="1:7" ht="12.75">
      <c r="A2882" s="134" t="s">
        <v>797</v>
      </c>
      <c r="B2882" s="134">
        <v>141</v>
      </c>
      <c r="C2882" s="491">
        <v>313</v>
      </c>
      <c r="D2882" s="491">
        <v>49</v>
      </c>
      <c r="E2882" s="491">
        <v>0</v>
      </c>
      <c r="F2882" s="491">
        <v>0</v>
      </c>
      <c r="G2882" s="491">
        <f t="shared" si="44"/>
        <v>362</v>
      </c>
    </row>
    <row r="2883" spans="1:7" ht="12.75">
      <c r="A2883" s="134" t="s">
        <v>797</v>
      </c>
      <c r="B2883" s="134">
        <v>142</v>
      </c>
      <c r="C2883" s="491">
        <v>453</v>
      </c>
      <c r="D2883" s="491">
        <v>35</v>
      </c>
      <c r="E2883" s="491">
        <v>5</v>
      </c>
      <c r="F2883" s="491">
        <v>2</v>
      </c>
      <c r="G2883" s="491">
        <f t="shared" si="44"/>
        <v>495</v>
      </c>
    </row>
    <row r="2884" spans="1:7" ht="12.75">
      <c r="A2884" s="134" t="s">
        <v>797</v>
      </c>
      <c r="B2884" s="134">
        <v>143</v>
      </c>
      <c r="C2884" s="491">
        <v>20454</v>
      </c>
      <c r="D2884" s="491">
        <v>730</v>
      </c>
      <c r="E2884" s="491">
        <v>125</v>
      </c>
      <c r="F2884" s="491">
        <v>7</v>
      </c>
      <c r="G2884" s="491">
        <f t="shared" ref="G2884:G2947" si="45">SUM(C2884:F2884)</f>
        <v>21316</v>
      </c>
    </row>
    <row r="2885" spans="1:7" ht="12.75">
      <c r="A2885" s="134" t="s">
        <v>797</v>
      </c>
      <c r="B2885" s="134">
        <v>144</v>
      </c>
      <c r="C2885" s="491">
        <v>92</v>
      </c>
      <c r="D2885" s="491">
        <v>48</v>
      </c>
      <c r="E2885" s="491">
        <v>5</v>
      </c>
      <c r="F2885" s="491">
        <v>1</v>
      </c>
      <c r="G2885" s="491">
        <f t="shared" si="45"/>
        <v>146</v>
      </c>
    </row>
    <row r="2886" spans="1:7" ht="12.75">
      <c r="A2886" s="134" t="s">
        <v>797</v>
      </c>
      <c r="B2886" s="134">
        <v>150</v>
      </c>
      <c r="C2886" s="491">
        <v>0</v>
      </c>
      <c r="D2886" s="491">
        <v>0</v>
      </c>
      <c r="E2886" s="491">
        <v>1</v>
      </c>
      <c r="F2886" s="491">
        <v>0</v>
      </c>
      <c r="G2886" s="491">
        <f t="shared" si="45"/>
        <v>1</v>
      </c>
    </row>
    <row r="2887" spans="1:7" ht="12.75">
      <c r="A2887" s="134" t="s">
        <v>797</v>
      </c>
      <c r="B2887" s="134">
        <v>160</v>
      </c>
      <c r="C2887" s="491">
        <v>0</v>
      </c>
      <c r="D2887" s="491">
        <v>1</v>
      </c>
      <c r="E2887" s="491">
        <v>0</v>
      </c>
      <c r="F2887" s="491">
        <v>0</v>
      </c>
      <c r="G2887" s="491">
        <f t="shared" si="45"/>
        <v>1</v>
      </c>
    </row>
    <row r="2888" spans="1:7" ht="12.75">
      <c r="A2888" s="134" t="s">
        <v>797</v>
      </c>
      <c r="B2888" s="134">
        <v>171</v>
      </c>
      <c r="C2888" s="491">
        <v>0</v>
      </c>
      <c r="D2888" s="491">
        <v>2</v>
      </c>
      <c r="E2888" s="491">
        <v>0</v>
      </c>
      <c r="F2888" s="491">
        <v>0</v>
      </c>
      <c r="G2888" s="491">
        <f t="shared" si="45"/>
        <v>2</v>
      </c>
    </row>
    <row r="2889" spans="1:7" ht="12.75">
      <c r="A2889" s="134" t="s">
        <v>797</v>
      </c>
      <c r="B2889" s="134">
        <v>180</v>
      </c>
      <c r="C2889" s="491">
        <v>0</v>
      </c>
      <c r="D2889" s="491">
        <v>1</v>
      </c>
      <c r="E2889" s="491">
        <v>0</v>
      </c>
      <c r="F2889" s="491">
        <v>0</v>
      </c>
      <c r="G2889" s="491">
        <f t="shared" si="45"/>
        <v>1</v>
      </c>
    </row>
    <row r="2890" spans="1:7" ht="12.75">
      <c r="A2890" s="134" t="s">
        <v>797</v>
      </c>
      <c r="B2890" s="134">
        <v>211</v>
      </c>
      <c r="C2890" s="491">
        <v>0</v>
      </c>
      <c r="D2890" s="491">
        <v>1</v>
      </c>
      <c r="E2890" s="491">
        <v>0</v>
      </c>
      <c r="F2890" s="491">
        <v>0</v>
      </c>
      <c r="G2890" s="491">
        <f t="shared" si="45"/>
        <v>1</v>
      </c>
    </row>
    <row r="2891" spans="1:7" ht="12.75">
      <c r="A2891" s="134" t="s">
        <v>797</v>
      </c>
      <c r="B2891" s="134">
        <v>215</v>
      </c>
      <c r="C2891" s="491">
        <v>0</v>
      </c>
      <c r="D2891" s="491">
        <v>2</v>
      </c>
      <c r="E2891" s="491">
        <v>0</v>
      </c>
      <c r="F2891" s="491">
        <v>0</v>
      </c>
      <c r="G2891" s="491">
        <f t="shared" si="45"/>
        <v>2</v>
      </c>
    </row>
    <row r="2892" spans="1:7" ht="12.75">
      <c r="A2892" s="134" t="s">
        <v>797</v>
      </c>
      <c r="B2892" s="134">
        <v>217</v>
      </c>
      <c r="C2892" s="491">
        <v>2</v>
      </c>
      <c r="D2892" s="491">
        <v>1</v>
      </c>
      <c r="E2892" s="491">
        <v>0</v>
      </c>
      <c r="F2892" s="491">
        <v>0</v>
      </c>
      <c r="G2892" s="491">
        <f t="shared" si="45"/>
        <v>3</v>
      </c>
    </row>
    <row r="2893" spans="1:7" ht="12.75">
      <c r="A2893" s="134" t="s">
        <v>797</v>
      </c>
      <c r="B2893" s="134">
        <v>219</v>
      </c>
      <c r="C2893" s="491">
        <v>1</v>
      </c>
      <c r="D2893" s="491">
        <v>0</v>
      </c>
      <c r="E2893" s="491">
        <v>0</v>
      </c>
      <c r="F2893" s="491">
        <v>0</v>
      </c>
      <c r="G2893" s="491">
        <f t="shared" si="45"/>
        <v>1</v>
      </c>
    </row>
    <row r="2894" spans="1:7" ht="12.75">
      <c r="A2894" s="134" t="s">
        <v>797</v>
      </c>
      <c r="B2894" s="134">
        <v>252</v>
      </c>
      <c r="C2894" s="491">
        <v>0</v>
      </c>
      <c r="D2894" s="491">
        <v>3</v>
      </c>
      <c r="E2894" s="491">
        <v>0</v>
      </c>
      <c r="F2894" s="491">
        <v>0</v>
      </c>
      <c r="G2894" s="491">
        <f t="shared" si="45"/>
        <v>3</v>
      </c>
    </row>
    <row r="2895" spans="1:7" ht="12.75">
      <c r="A2895" s="134" t="s">
        <v>797</v>
      </c>
      <c r="B2895" s="134">
        <v>258</v>
      </c>
      <c r="C2895" s="491">
        <v>0</v>
      </c>
      <c r="D2895" s="491">
        <v>1</v>
      </c>
      <c r="E2895" s="491">
        <v>0</v>
      </c>
      <c r="F2895" s="491">
        <v>0</v>
      </c>
      <c r="G2895" s="491">
        <f t="shared" si="45"/>
        <v>1</v>
      </c>
    </row>
    <row r="2896" spans="1:7" ht="12.75">
      <c r="A2896" s="134" t="s">
        <v>797</v>
      </c>
      <c r="B2896" s="134">
        <v>263</v>
      </c>
      <c r="C2896" s="491">
        <v>1</v>
      </c>
      <c r="D2896" s="491">
        <v>0</v>
      </c>
      <c r="E2896" s="491">
        <v>0</v>
      </c>
      <c r="F2896" s="491">
        <v>0</v>
      </c>
      <c r="G2896" s="491">
        <f t="shared" si="45"/>
        <v>1</v>
      </c>
    </row>
    <row r="2897" spans="1:7" ht="12.75">
      <c r="A2897" s="134" t="s">
        <v>797</v>
      </c>
      <c r="B2897" s="134">
        <v>310</v>
      </c>
      <c r="C2897" s="491">
        <v>0</v>
      </c>
      <c r="D2897" s="491">
        <v>3</v>
      </c>
      <c r="E2897" s="491">
        <v>0</v>
      </c>
      <c r="F2897" s="491">
        <v>0</v>
      </c>
      <c r="G2897" s="491">
        <f t="shared" si="45"/>
        <v>3</v>
      </c>
    </row>
    <row r="2898" spans="1:7" ht="12.75">
      <c r="A2898" s="134" t="s">
        <v>797</v>
      </c>
      <c r="B2898" s="134">
        <v>330</v>
      </c>
      <c r="C2898" s="491">
        <v>0</v>
      </c>
      <c r="D2898" s="491">
        <v>1</v>
      </c>
      <c r="E2898" s="491">
        <v>0</v>
      </c>
      <c r="F2898" s="491">
        <v>0</v>
      </c>
      <c r="G2898" s="491">
        <f t="shared" si="45"/>
        <v>1</v>
      </c>
    </row>
    <row r="2899" spans="1:7" ht="12.75">
      <c r="A2899" s="134" t="s">
        <v>797</v>
      </c>
      <c r="B2899" s="134">
        <v>420</v>
      </c>
      <c r="C2899" s="491">
        <v>2</v>
      </c>
      <c r="D2899" s="491">
        <v>3</v>
      </c>
      <c r="E2899" s="491">
        <v>0</v>
      </c>
      <c r="F2899" s="491">
        <v>0</v>
      </c>
      <c r="G2899" s="491">
        <f t="shared" si="45"/>
        <v>5</v>
      </c>
    </row>
    <row r="2900" spans="1:7" ht="12.75">
      <c r="A2900" s="134" t="s">
        <v>797</v>
      </c>
      <c r="B2900" s="134">
        <v>421</v>
      </c>
      <c r="C2900" s="491">
        <v>0</v>
      </c>
      <c r="D2900" s="491">
        <v>0</v>
      </c>
      <c r="E2900" s="491">
        <v>1</v>
      </c>
      <c r="F2900" s="491">
        <v>0</v>
      </c>
      <c r="G2900" s="491">
        <f t="shared" si="45"/>
        <v>1</v>
      </c>
    </row>
    <row r="2901" spans="1:7" ht="12.75">
      <c r="A2901" s="134" t="s">
        <v>797</v>
      </c>
      <c r="B2901" s="134">
        <v>450</v>
      </c>
      <c r="C2901" s="491">
        <v>4</v>
      </c>
      <c r="D2901" s="491">
        <v>2</v>
      </c>
      <c r="E2901" s="491">
        <v>0</v>
      </c>
      <c r="F2901" s="491">
        <v>0</v>
      </c>
      <c r="G2901" s="491">
        <f t="shared" si="45"/>
        <v>6</v>
      </c>
    </row>
    <row r="2902" spans="1:7" ht="12.75">
      <c r="A2902" s="134" t="s">
        <v>797</v>
      </c>
      <c r="B2902" s="134">
        <v>501</v>
      </c>
      <c r="C2902" s="491">
        <v>0</v>
      </c>
      <c r="D2902" s="491">
        <v>1</v>
      </c>
      <c r="E2902" s="491">
        <v>0</v>
      </c>
      <c r="F2902" s="491">
        <v>0</v>
      </c>
      <c r="G2902" s="491">
        <f t="shared" si="45"/>
        <v>1</v>
      </c>
    </row>
    <row r="2903" spans="1:7" ht="12.75">
      <c r="A2903" s="134" t="s">
        <v>797</v>
      </c>
      <c r="B2903" s="134">
        <v>650</v>
      </c>
      <c r="C2903" s="491">
        <v>0</v>
      </c>
      <c r="D2903" s="491">
        <v>5</v>
      </c>
      <c r="E2903" s="491">
        <v>0</v>
      </c>
      <c r="F2903" s="491">
        <v>0</v>
      </c>
      <c r="G2903" s="491">
        <f t="shared" si="45"/>
        <v>5</v>
      </c>
    </row>
    <row r="2904" spans="1:7" ht="12.75">
      <c r="A2904" s="134" t="s">
        <v>797</v>
      </c>
      <c r="B2904" s="134">
        <v>812</v>
      </c>
      <c r="C2904" s="491">
        <v>1</v>
      </c>
      <c r="D2904" s="491">
        <v>0</v>
      </c>
      <c r="E2904" s="491">
        <v>0</v>
      </c>
      <c r="F2904" s="491">
        <v>0</v>
      </c>
      <c r="G2904" s="491">
        <f t="shared" si="45"/>
        <v>1</v>
      </c>
    </row>
    <row r="2905" spans="1:7" ht="12.75">
      <c r="A2905" s="134" t="s">
        <v>798</v>
      </c>
      <c r="B2905" s="134">
        <v>100</v>
      </c>
      <c r="C2905" s="491">
        <v>2</v>
      </c>
      <c r="D2905" s="491">
        <v>1</v>
      </c>
      <c r="E2905" s="491">
        <v>0</v>
      </c>
      <c r="F2905" s="491">
        <v>0</v>
      </c>
      <c r="G2905" s="491">
        <f t="shared" si="45"/>
        <v>3</v>
      </c>
    </row>
    <row r="2906" spans="1:7" ht="12.75">
      <c r="A2906" s="134" t="s">
        <v>798</v>
      </c>
      <c r="B2906" s="134">
        <v>101</v>
      </c>
      <c r="C2906" s="491">
        <v>1</v>
      </c>
      <c r="D2906" s="491">
        <v>22</v>
      </c>
      <c r="E2906" s="491">
        <v>0</v>
      </c>
      <c r="F2906" s="491">
        <v>0</v>
      </c>
      <c r="G2906" s="491">
        <f t="shared" si="45"/>
        <v>23</v>
      </c>
    </row>
    <row r="2907" spans="1:7" ht="12.75">
      <c r="A2907" s="134" t="s">
        <v>798</v>
      </c>
      <c r="B2907" s="134">
        <v>102</v>
      </c>
      <c r="C2907" s="491">
        <v>0</v>
      </c>
      <c r="D2907" s="491">
        <v>2</v>
      </c>
      <c r="E2907" s="491">
        <v>0</v>
      </c>
      <c r="F2907" s="491">
        <v>0</v>
      </c>
      <c r="G2907" s="491">
        <f t="shared" si="45"/>
        <v>2</v>
      </c>
    </row>
    <row r="2908" spans="1:7" ht="12.75">
      <c r="A2908" s="134" t="s">
        <v>798</v>
      </c>
      <c r="B2908" s="134">
        <v>103</v>
      </c>
      <c r="C2908" s="491">
        <v>0</v>
      </c>
      <c r="D2908" s="491">
        <v>4</v>
      </c>
      <c r="E2908" s="491">
        <v>0</v>
      </c>
      <c r="F2908" s="491">
        <v>0</v>
      </c>
      <c r="G2908" s="491">
        <f t="shared" si="45"/>
        <v>4</v>
      </c>
    </row>
    <row r="2909" spans="1:7" ht="12.75">
      <c r="A2909" s="134" t="s">
        <v>798</v>
      </c>
      <c r="B2909" s="134">
        <v>104</v>
      </c>
      <c r="C2909" s="491">
        <v>0</v>
      </c>
      <c r="D2909" s="491">
        <v>11</v>
      </c>
      <c r="E2909" s="491">
        <v>0</v>
      </c>
      <c r="F2909" s="491">
        <v>0</v>
      </c>
      <c r="G2909" s="491">
        <f t="shared" si="45"/>
        <v>11</v>
      </c>
    </row>
    <row r="2910" spans="1:7" ht="12.75">
      <c r="A2910" s="134" t="s">
        <v>798</v>
      </c>
      <c r="B2910" s="134">
        <v>106</v>
      </c>
      <c r="C2910" s="491">
        <v>0</v>
      </c>
      <c r="D2910" s="491">
        <v>4</v>
      </c>
      <c r="E2910" s="491">
        <v>0</v>
      </c>
      <c r="F2910" s="491">
        <v>0</v>
      </c>
      <c r="G2910" s="491">
        <f t="shared" si="45"/>
        <v>4</v>
      </c>
    </row>
    <row r="2911" spans="1:7" ht="12.75">
      <c r="A2911" s="134" t="s">
        <v>798</v>
      </c>
      <c r="B2911" s="134">
        <v>107</v>
      </c>
      <c r="C2911" s="491">
        <v>0</v>
      </c>
      <c r="D2911" s="491">
        <v>1</v>
      </c>
      <c r="E2911" s="491">
        <v>0</v>
      </c>
      <c r="F2911" s="491">
        <v>0</v>
      </c>
      <c r="G2911" s="491">
        <f t="shared" si="45"/>
        <v>1</v>
      </c>
    </row>
    <row r="2912" spans="1:7" ht="12.75">
      <c r="A2912" s="134" t="s">
        <v>798</v>
      </c>
      <c r="B2912" s="134">
        <v>110</v>
      </c>
      <c r="C2912" s="491">
        <v>76</v>
      </c>
      <c r="D2912" s="491">
        <v>90</v>
      </c>
      <c r="E2912" s="491">
        <v>263</v>
      </c>
      <c r="F2912" s="491">
        <v>229</v>
      </c>
      <c r="G2912" s="491">
        <f t="shared" si="45"/>
        <v>658</v>
      </c>
    </row>
    <row r="2913" spans="1:7" ht="12.75">
      <c r="A2913" s="134" t="s">
        <v>798</v>
      </c>
      <c r="B2913" s="134">
        <v>120</v>
      </c>
      <c r="C2913" s="491">
        <v>9</v>
      </c>
      <c r="D2913" s="491">
        <v>11</v>
      </c>
      <c r="E2913" s="491">
        <v>0</v>
      </c>
      <c r="F2913" s="491">
        <v>0</v>
      </c>
      <c r="G2913" s="491">
        <f t="shared" si="45"/>
        <v>20</v>
      </c>
    </row>
    <row r="2914" spans="1:7" ht="12.75">
      <c r="A2914" s="134" t="s">
        <v>798</v>
      </c>
      <c r="B2914" s="134">
        <v>130</v>
      </c>
      <c r="C2914" s="491">
        <v>8</v>
      </c>
      <c r="D2914" s="491">
        <v>1</v>
      </c>
      <c r="E2914" s="491">
        <v>0</v>
      </c>
      <c r="F2914" s="491">
        <v>0</v>
      </c>
      <c r="G2914" s="491">
        <f t="shared" si="45"/>
        <v>9</v>
      </c>
    </row>
    <row r="2915" spans="1:7" ht="12.75">
      <c r="A2915" s="134" t="s">
        <v>798</v>
      </c>
      <c r="B2915" s="134">
        <v>140</v>
      </c>
      <c r="C2915" s="491">
        <v>3068</v>
      </c>
      <c r="D2915" s="491">
        <v>305</v>
      </c>
      <c r="E2915" s="491">
        <v>20</v>
      </c>
      <c r="F2915" s="491">
        <v>2</v>
      </c>
      <c r="G2915" s="491">
        <f t="shared" si="45"/>
        <v>3395</v>
      </c>
    </row>
    <row r="2916" spans="1:7" ht="12.75">
      <c r="A2916" s="134" t="s">
        <v>798</v>
      </c>
      <c r="B2916" s="134">
        <v>141</v>
      </c>
      <c r="C2916" s="491">
        <v>11326</v>
      </c>
      <c r="D2916" s="491">
        <v>104</v>
      </c>
      <c r="E2916" s="491">
        <v>11</v>
      </c>
      <c r="F2916" s="491">
        <v>1</v>
      </c>
      <c r="G2916" s="491">
        <f t="shared" si="45"/>
        <v>11442</v>
      </c>
    </row>
    <row r="2917" spans="1:7" ht="12.75">
      <c r="A2917" s="134" t="s">
        <v>798</v>
      </c>
      <c r="B2917" s="134">
        <v>142</v>
      </c>
      <c r="C2917" s="491">
        <v>9</v>
      </c>
      <c r="D2917" s="491">
        <v>0</v>
      </c>
      <c r="E2917" s="491">
        <v>0</v>
      </c>
      <c r="F2917" s="491">
        <v>0</v>
      </c>
      <c r="G2917" s="491">
        <f t="shared" si="45"/>
        <v>9</v>
      </c>
    </row>
    <row r="2918" spans="1:7" ht="12.75">
      <c r="A2918" s="134" t="s">
        <v>798</v>
      </c>
      <c r="B2918" s="134">
        <v>143</v>
      </c>
      <c r="C2918" s="491">
        <v>13080</v>
      </c>
      <c r="D2918" s="491">
        <v>129</v>
      </c>
      <c r="E2918" s="491">
        <v>61</v>
      </c>
      <c r="F2918" s="491">
        <v>2</v>
      </c>
      <c r="G2918" s="491">
        <f t="shared" si="45"/>
        <v>13272</v>
      </c>
    </row>
    <row r="2919" spans="1:7" ht="12.75">
      <c r="A2919" s="134" t="s">
        <v>798</v>
      </c>
      <c r="B2919" s="134">
        <v>144</v>
      </c>
      <c r="C2919" s="491">
        <v>778</v>
      </c>
      <c r="D2919" s="491">
        <v>94</v>
      </c>
      <c r="E2919" s="491">
        <v>8</v>
      </c>
      <c r="F2919" s="491">
        <v>0</v>
      </c>
      <c r="G2919" s="491">
        <f t="shared" si="45"/>
        <v>880</v>
      </c>
    </row>
    <row r="2920" spans="1:7" ht="12.75">
      <c r="A2920" s="134" t="s">
        <v>798</v>
      </c>
      <c r="B2920" s="134">
        <v>150</v>
      </c>
      <c r="C2920" s="491">
        <v>0</v>
      </c>
      <c r="D2920" s="491">
        <v>7</v>
      </c>
      <c r="E2920" s="491">
        <v>1</v>
      </c>
      <c r="F2920" s="491">
        <v>0</v>
      </c>
      <c r="G2920" s="491">
        <f t="shared" si="45"/>
        <v>8</v>
      </c>
    </row>
    <row r="2921" spans="1:7" ht="12.75">
      <c r="A2921" s="134" t="s">
        <v>798</v>
      </c>
      <c r="B2921" s="134">
        <v>160</v>
      </c>
      <c r="C2921" s="491">
        <v>0</v>
      </c>
      <c r="D2921" s="491">
        <v>13</v>
      </c>
      <c r="E2921" s="491">
        <v>0</v>
      </c>
      <c r="F2921" s="491">
        <v>0</v>
      </c>
      <c r="G2921" s="491">
        <f t="shared" si="45"/>
        <v>13</v>
      </c>
    </row>
    <row r="2922" spans="1:7" ht="12.75">
      <c r="A2922" s="134" t="s">
        <v>798</v>
      </c>
      <c r="B2922" s="134">
        <v>172</v>
      </c>
      <c r="C2922" s="491">
        <v>0</v>
      </c>
      <c r="D2922" s="491">
        <v>3</v>
      </c>
      <c r="E2922" s="491">
        <v>0</v>
      </c>
      <c r="F2922" s="491">
        <v>0</v>
      </c>
      <c r="G2922" s="491">
        <f t="shared" si="45"/>
        <v>3</v>
      </c>
    </row>
    <row r="2923" spans="1:7" ht="12.75">
      <c r="A2923" s="134" t="s">
        <v>798</v>
      </c>
      <c r="B2923" s="134">
        <v>173</v>
      </c>
      <c r="C2923" s="491">
        <v>0</v>
      </c>
      <c r="D2923" s="491">
        <v>1</v>
      </c>
      <c r="E2923" s="491">
        <v>0</v>
      </c>
      <c r="F2923" s="491">
        <v>0</v>
      </c>
      <c r="G2923" s="491">
        <f t="shared" si="45"/>
        <v>1</v>
      </c>
    </row>
    <row r="2924" spans="1:7" ht="12.75">
      <c r="A2924" s="134" t="s">
        <v>798</v>
      </c>
      <c r="B2924" s="134">
        <v>180</v>
      </c>
      <c r="C2924" s="491">
        <v>0</v>
      </c>
      <c r="D2924" s="491">
        <v>1</v>
      </c>
      <c r="E2924" s="491">
        <v>0</v>
      </c>
      <c r="F2924" s="491">
        <v>0</v>
      </c>
      <c r="G2924" s="491">
        <f t="shared" si="45"/>
        <v>1</v>
      </c>
    </row>
    <row r="2925" spans="1:7" ht="12.75">
      <c r="A2925" s="134" t="s">
        <v>798</v>
      </c>
      <c r="B2925" s="134">
        <v>190</v>
      </c>
      <c r="C2925" s="491">
        <v>0</v>
      </c>
      <c r="D2925" s="491">
        <v>3</v>
      </c>
      <c r="E2925" s="491">
        <v>0</v>
      </c>
      <c r="F2925" s="491">
        <v>0</v>
      </c>
      <c r="G2925" s="491">
        <f t="shared" si="45"/>
        <v>3</v>
      </c>
    </row>
    <row r="2926" spans="1:7" ht="12.75">
      <c r="A2926" s="134" t="s">
        <v>798</v>
      </c>
      <c r="B2926" s="134">
        <v>191</v>
      </c>
      <c r="C2926" s="491">
        <v>1</v>
      </c>
      <c r="D2926" s="491">
        <v>3</v>
      </c>
      <c r="E2926" s="491">
        <v>0</v>
      </c>
      <c r="F2926" s="491">
        <v>0</v>
      </c>
      <c r="G2926" s="491">
        <f t="shared" si="45"/>
        <v>4</v>
      </c>
    </row>
    <row r="2927" spans="1:7" ht="12.75">
      <c r="A2927" s="134" t="s">
        <v>798</v>
      </c>
      <c r="B2927" s="134">
        <v>217</v>
      </c>
      <c r="C2927" s="491">
        <v>1</v>
      </c>
      <c r="D2927" s="491">
        <v>0</v>
      </c>
      <c r="E2927" s="491">
        <v>0</v>
      </c>
      <c r="F2927" s="491">
        <v>0</v>
      </c>
      <c r="G2927" s="491">
        <f t="shared" si="45"/>
        <v>1</v>
      </c>
    </row>
    <row r="2928" spans="1:7" ht="12.75">
      <c r="A2928" s="134" t="s">
        <v>798</v>
      </c>
      <c r="B2928" s="134">
        <v>219</v>
      </c>
      <c r="C2928" s="491">
        <v>1</v>
      </c>
      <c r="D2928" s="491">
        <v>0</v>
      </c>
      <c r="E2928" s="491">
        <v>0</v>
      </c>
      <c r="F2928" s="491">
        <v>0</v>
      </c>
      <c r="G2928" s="491">
        <f t="shared" si="45"/>
        <v>1</v>
      </c>
    </row>
    <row r="2929" spans="1:7" ht="12.75">
      <c r="A2929" s="134" t="s">
        <v>798</v>
      </c>
      <c r="B2929" s="134">
        <v>300</v>
      </c>
      <c r="C2929" s="491">
        <v>1</v>
      </c>
      <c r="D2929" s="491">
        <v>2</v>
      </c>
      <c r="E2929" s="491">
        <v>0</v>
      </c>
      <c r="F2929" s="491">
        <v>0</v>
      </c>
      <c r="G2929" s="491">
        <f t="shared" si="45"/>
        <v>3</v>
      </c>
    </row>
    <row r="2930" spans="1:7" ht="12.75">
      <c r="A2930" s="134" t="s">
        <v>798</v>
      </c>
      <c r="B2930" s="134">
        <v>301</v>
      </c>
      <c r="C2930" s="491">
        <v>2</v>
      </c>
      <c r="D2930" s="491">
        <v>17</v>
      </c>
      <c r="E2930" s="491">
        <v>0</v>
      </c>
      <c r="F2930" s="491">
        <v>0</v>
      </c>
      <c r="G2930" s="491">
        <f t="shared" si="45"/>
        <v>19</v>
      </c>
    </row>
    <row r="2931" spans="1:7" ht="12.75">
      <c r="A2931" s="134" t="s">
        <v>798</v>
      </c>
      <c r="B2931" s="134">
        <v>302</v>
      </c>
      <c r="C2931" s="491">
        <v>0</v>
      </c>
      <c r="D2931" s="491">
        <v>6</v>
      </c>
      <c r="E2931" s="491">
        <v>0</v>
      </c>
      <c r="F2931" s="491">
        <v>0</v>
      </c>
      <c r="G2931" s="491">
        <f t="shared" si="45"/>
        <v>6</v>
      </c>
    </row>
    <row r="2932" spans="1:7" ht="12.75">
      <c r="A2932" s="134" t="s">
        <v>798</v>
      </c>
      <c r="B2932" s="134">
        <v>303</v>
      </c>
      <c r="C2932" s="491">
        <v>1</v>
      </c>
      <c r="D2932" s="491">
        <v>10</v>
      </c>
      <c r="E2932" s="491">
        <v>0</v>
      </c>
      <c r="F2932" s="491">
        <v>0</v>
      </c>
      <c r="G2932" s="491">
        <f t="shared" si="45"/>
        <v>11</v>
      </c>
    </row>
    <row r="2933" spans="1:7" ht="12.75">
      <c r="A2933" s="134" t="s">
        <v>798</v>
      </c>
      <c r="B2933" s="134">
        <v>306</v>
      </c>
      <c r="C2933" s="491">
        <v>0</v>
      </c>
      <c r="D2933" s="491">
        <v>2</v>
      </c>
      <c r="E2933" s="491">
        <v>0</v>
      </c>
      <c r="F2933" s="491">
        <v>0</v>
      </c>
      <c r="G2933" s="491">
        <f t="shared" si="45"/>
        <v>2</v>
      </c>
    </row>
    <row r="2934" spans="1:7" ht="12.75">
      <c r="A2934" s="134" t="s">
        <v>798</v>
      </c>
      <c r="B2934" s="134">
        <v>307</v>
      </c>
      <c r="C2934" s="491">
        <v>0</v>
      </c>
      <c r="D2934" s="491">
        <v>6</v>
      </c>
      <c r="E2934" s="491">
        <v>0</v>
      </c>
      <c r="F2934" s="491">
        <v>0</v>
      </c>
      <c r="G2934" s="491">
        <f t="shared" si="45"/>
        <v>6</v>
      </c>
    </row>
    <row r="2935" spans="1:7" ht="12.75">
      <c r="A2935" s="134" t="s">
        <v>798</v>
      </c>
      <c r="B2935" s="134">
        <v>310</v>
      </c>
      <c r="C2935" s="491">
        <v>1</v>
      </c>
      <c r="D2935" s="491">
        <v>9</v>
      </c>
      <c r="E2935" s="491">
        <v>0</v>
      </c>
      <c r="F2935" s="491">
        <v>0</v>
      </c>
      <c r="G2935" s="491">
        <f t="shared" si="45"/>
        <v>10</v>
      </c>
    </row>
    <row r="2936" spans="1:7" ht="12.75">
      <c r="A2936" s="134" t="s">
        <v>798</v>
      </c>
      <c r="B2936" s="134">
        <v>311</v>
      </c>
      <c r="C2936" s="491">
        <v>0</v>
      </c>
      <c r="D2936" s="491">
        <v>1</v>
      </c>
      <c r="E2936" s="491">
        <v>0</v>
      </c>
      <c r="F2936" s="491">
        <v>0</v>
      </c>
      <c r="G2936" s="491">
        <f t="shared" si="45"/>
        <v>1</v>
      </c>
    </row>
    <row r="2937" spans="1:7" ht="12.75">
      <c r="A2937" s="134" t="s">
        <v>798</v>
      </c>
      <c r="B2937" s="134">
        <v>314</v>
      </c>
      <c r="C2937" s="491">
        <v>1</v>
      </c>
      <c r="D2937" s="491">
        <v>3</v>
      </c>
      <c r="E2937" s="491">
        <v>0</v>
      </c>
      <c r="F2937" s="491">
        <v>0</v>
      </c>
      <c r="G2937" s="491">
        <f t="shared" si="45"/>
        <v>4</v>
      </c>
    </row>
    <row r="2938" spans="1:7" ht="12.75">
      <c r="A2938" s="134" t="s">
        <v>798</v>
      </c>
      <c r="B2938" s="134">
        <v>320</v>
      </c>
      <c r="C2938" s="491">
        <v>4</v>
      </c>
      <c r="D2938" s="491">
        <v>24</v>
      </c>
      <c r="E2938" s="491">
        <v>0</v>
      </c>
      <c r="F2938" s="491">
        <v>0</v>
      </c>
      <c r="G2938" s="491">
        <f t="shared" si="45"/>
        <v>28</v>
      </c>
    </row>
    <row r="2939" spans="1:7" ht="12.75">
      <c r="A2939" s="134" t="s">
        <v>798</v>
      </c>
      <c r="B2939" s="134">
        <v>324</v>
      </c>
      <c r="C2939" s="491">
        <v>0</v>
      </c>
      <c r="D2939" s="491">
        <v>4</v>
      </c>
      <c r="E2939" s="491">
        <v>0</v>
      </c>
      <c r="F2939" s="491">
        <v>0</v>
      </c>
      <c r="G2939" s="491">
        <f t="shared" si="45"/>
        <v>4</v>
      </c>
    </row>
    <row r="2940" spans="1:7" ht="12.75">
      <c r="A2940" s="134" t="s">
        <v>798</v>
      </c>
      <c r="B2940" s="134">
        <v>330</v>
      </c>
      <c r="C2940" s="491">
        <v>0</v>
      </c>
      <c r="D2940" s="491">
        <v>18</v>
      </c>
      <c r="E2940" s="491">
        <v>0</v>
      </c>
      <c r="F2940" s="491">
        <v>0</v>
      </c>
      <c r="G2940" s="491">
        <f t="shared" si="45"/>
        <v>18</v>
      </c>
    </row>
    <row r="2941" spans="1:7" ht="12.75">
      <c r="A2941" s="134" t="s">
        <v>798</v>
      </c>
      <c r="B2941" s="134">
        <v>340</v>
      </c>
      <c r="C2941" s="491">
        <v>2</v>
      </c>
      <c r="D2941" s="491">
        <v>16</v>
      </c>
      <c r="E2941" s="491">
        <v>0</v>
      </c>
      <c r="F2941" s="491">
        <v>0</v>
      </c>
      <c r="G2941" s="491">
        <f t="shared" si="45"/>
        <v>18</v>
      </c>
    </row>
    <row r="2942" spans="1:7" ht="12.75">
      <c r="A2942" s="134" t="s">
        <v>798</v>
      </c>
      <c r="B2942" s="134">
        <v>341</v>
      </c>
      <c r="C2942" s="491">
        <v>159</v>
      </c>
      <c r="D2942" s="491">
        <v>10</v>
      </c>
      <c r="E2942" s="491">
        <v>0</v>
      </c>
      <c r="F2942" s="491">
        <v>0</v>
      </c>
      <c r="G2942" s="491">
        <f t="shared" si="45"/>
        <v>169</v>
      </c>
    </row>
    <row r="2943" spans="1:7" ht="12.75">
      <c r="A2943" s="134" t="s">
        <v>798</v>
      </c>
      <c r="B2943" s="134">
        <v>350</v>
      </c>
      <c r="C2943" s="491">
        <v>0</v>
      </c>
      <c r="D2943" s="491">
        <v>1</v>
      </c>
      <c r="E2943" s="491">
        <v>0</v>
      </c>
      <c r="F2943" s="491">
        <v>0</v>
      </c>
      <c r="G2943" s="491">
        <f t="shared" si="45"/>
        <v>1</v>
      </c>
    </row>
    <row r="2944" spans="1:7" ht="12.75">
      <c r="A2944" s="134" t="s">
        <v>798</v>
      </c>
      <c r="B2944" s="134">
        <v>361</v>
      </c>
      <c r="C2944" s="491">
        <v>0</v>
      </c>
      <c r="D2944" s="491">
        <v>3</v>
      </c>
      <c r="E2944" s="491">
        <v>0</v>
      </c>
      <c r="F2944" s="491">
        <v>0</v>
      </c>
      <c r="G2944" s="491">
        <f t="shared" si="45"/>
        <v>3</v>
      </c>
    </row>
    <row r="2945" spans="1:7" ht="12.75">
      <c r="A2945" s="134" t="s">
        <v>798</v>
      </c>
      <c r="B2945" s="134">
        <v>370</v>
      </c>
      <c r="C2945" s="491">
        <v>1</v>
      </c>
      <c r="D2945" s="491">
        <v>8</v>
      </c>
      <c r="E2945" s="491">
        <v>0</v>
      </c>
      <c r="F2945" s="491">
        <v>0</v>
      </c>
      <c r="G2945" s="491">
        <f t="shared" si="45"/>
        <v>9</v>
      </c>
    </row>
    <row r="2946" spans="1:7" ht="12.75">
      <c r="A2946" s="134" t="s">
        <v>798</v>
      </c>
      <c r="B2946" s="134">
        <v>400</v>
      </c>
      <c r="C2946" s="491">
        <v>4</v>
      </c>
      <c r="D2946" s="491">
        <v>9</v>
      </c>
      <c r="E2946" s="491">
        <v>0</v>
      </c>
      <c r="F2946" s="491">
        <v>0</v>
      </c>
      <c r="G2946" s="491">
        <f t="shared" si="45"/>
        <v>13</v>
      </c>
    </row>
    <row r="2947" spans="1:7" ht="12.75">
      <c r="A2947" s="134" t="s">
        <v>798</v>
      </c>
      <c r="B2947" s="134">
        <v>410</v>
      </c>
      <c r="C2947" s="491">
        <v>25</v>
      </c>
      <c r="D2947" s="491">
        <v>24</v>
      </c>
      <c r="E2947" s="491">
        <v>51</v>
      </c>
      <c r="F2947" s="491">
        <v>21</v>
      </c>
      <c r="G2947" s="491">
        <f t="shared" si="45"/>
        <v>121</v>
      </c>
    </row>
    <row r="2948" spans="1:7" ht="12.75">
      <c r="A2948" s="134" t="s">
        <v>798</v>
      </c>
      <c r="B2948" s="134">
        <v>430</v>
      </c>
      <c r="C2948" s="491">
        <v>0</v>
      </c>
      <c r="D2948" s="491">
        <v>2</v>
      </c>
      <c r="E2948" s="491">
        <v>0</v>
      </c>
      <c r="F2948" s="491">
        <v>0</v>
      </c>
      <c r="G2948" s="491">
        <f t="shared" ref="G2948:G3011" si="46">SUM(C2948:F2948)</f>
        <v>2</v>
      </c>
    </row>
    <row r="2949" spans="1:7" ht="12.75">
      <c r="A2949" s="134" t="s">
        <v>798</v>
      </c>
      <c r="B2949" s="134">
        <v>450</v>
      </c>
      <c r="C2949" s="491">
        <v>58</v>
      </c>
      <c r="D2949" s="491">
        <v>9</v>
      </c>
      <c r="E2949" s="491">
        <v>0</v>
      </c>
      <c r="F2949" s="491">
        <v>0</v>
      </c>
      <c r="G2949" s="491">
        <f t="shared" si="46"/>
        <v>67</v>
      </c>
    </row>
    <row r="2950" spans="1:7" ht="12.75">
      <c r="A2950" s="134" t="s">
        <v>798</v>
      </c>
      <c r="B2950" s="134">
        <v>501</v>
      </c>
      <c r="C2950" s="491">
        <v>3</v>
      </c>
      <c r="D2950" s="491">
        <v>10</v>
      </c>
      <c r="E2950" s="491">
        <v>0</v>
      </c>
      <c r="F2950" s="491">
        <v>0</v>
      </c>
      <c r="G2950" s="491">
        <f t="shared" si="46"/>
        <v>13</v>
      </c>
    </row>
    <row r="2951" spans="1:7" ht="12.75">
      <c r="A2951" s="134" t="s">
        <v>798</v>
      </c>
      <c r="B2951" s="134">
        <v>502</v>
      </c>
      <c r="C2951" s="491">
        <v>4</v>
      </c>
      <c r="D2951" s="491">
        <v>13</v>
      </c>
      <c r="E2951" s="491">
        <v>0</v>
      </c>
      <c r="F2951" s="491">
        <v>0</v>
      </c>
      <c r="G2951" s="491">
        <f t="shared" si="46"/>
        <v>17</v>
      </c>
    </row>
    <row r="2952" spans="1:7" ht="12.75">
      <c r="A2952" s="134" t="s">
        <v>798</v>
      </c>
      <c r="B2952" s="134">
        <v>503</v>
      </c>
      <c r="C2952" s="491">
        <v>0</v>
      </c>
      <c r="D2952" s="491">
        <v>5</v>
      </c>
      <c r="E2952" s="491">
        <v>0</v>
      </c>
      <c r="F2952" s="491">
        <v>0</v>
      </c>
      <c r="G2952" s="491">
        <f t="shared" si="46"/>
        <v>5</v>
      </c>
    </row>
    <row r="2953" spans="1:7" ht="12.75">
      <c r="A2953" s="134" t="s">
        <v>798</v>
      </c>
      <c r="B2953" s="134">
        <v>560</v>
      </c>
      <c r="C2953" s="491">
        <v>1</v>
      </c>
      <c r="D2953" s="491">
        <v>14</v>
      </c>
      <c r="E2953" s="491">
        <v>0</v>
      </c>
      <c r="F2953" s="491">
        <v>0</v>
      </c>
      <c r="G2953" s="491">
        <f t="shared" si="46"/>
        <v>15</v>
      </c>
    </row>
    <row r="2954" spans="1:7" ht="12.75">
      <c r="A2954" s="134" t="s">
        <v>798</v>
      </c>
      <c r="B2954" s="134">
        <v>650</v>
      </c>
      <c r="C2954" s="491">
        <v>0</v>
      </c>
      <c r="D2954" s="491">
        <v>40</v>
      </c>
      <c r="E2954" s="491">
        <v>0</v>
      </c>
      <c r="F2954" s="491">
        <v>0</v>
      </c>
      <c r="G2954" s="491">
        <f t="shared" si="46"/>
        <v>40</v>
      </c>
    </row>
    <row r="2955" spans="1:7" ht="12.75">
      <c r="A2955" s="134" t="s">
        <v>798</v>
      </c>
      <c r="B2955" s="134">
        <v>652</v>
      </c>
      <c r="C2955" s="491">
        <v>0</v>
      </c>
      <c r="D2955" s="491">
        <v>1</v>
      </c>
      <c r="E2955" s="491">
        <v>0</v>
      </c>
      <c r="F2955" s="491">
        <v>0</v>
      </c>
      <c r="G2955" s="491">
        <f t="shared" si="46"/>
        <v>1</v>
      </c>
    </row>
    <row r="2956" spans="1:7" ht="12.75">
      <c r="A2956" s="134" t="s">
        <v>798</v>
      </c>
      <c r="B2956" s="134">
        <v>653</v>
      </c>
      <c r="C2956" s="491">
        <v>0</v>
      </c>
      <c r="D2956" s="491">
        <v>2</v>
      </c>
      <c r="E2956" s="491">
        <v>0</v>
      </c>
      <c r="F2956" s="491">
        <v>0</v>
      </c>
      <c r="G2956" s="491">
        <f t="shared" si="46"/>
        <v>2</v>
      </c>
    </row>
    <row r="2957" spans="1:7" ht="12.75">
      <c r="A2957" s="134" t="s">
        <v>798</v>
      </c>
      <c r="B2957" s="134">
        <v>657</v>
      </c>
      <c r="C2957" s="491">
        <v>8</v>
      </c>
      <c r="D2957" s="491">
        <v>0</v>
      </c>
      <c r="E2957" s="491">
        <v>1</v>
      </c>
      <c r="F2957" s="491">
        <v>0</v>
      </c>
      <c r="G2957" s="491">
        <f t="shared" si="46"/>
        <v>9</v>
      </c>
    </row>
    <row r="2958" spans="1:7" ht="12.75">
      <c r="A2958" s="134" t="s">
        <v>798</v>
      </c>
      <c r="B2958" s="134">
        <v>800</v>
      </c>
      <c r="C2958" s="491">
        <v>3</v>
      </c>
      <c r="D2958" s="491">
        <v>0</v>
      </c>
      <c r="E2958" s="491">
        <v>0</v>
      </c>
      <c r="F2958" s="491">
        <v>0</v>
      </c>
      <c r="G2958" s="491">
        <f t="shared" si="46"/>
        <v>3</v>
      </c>
    </row>
    <row r="2959" spans="1:7" ht="12.75">
      <c r="A2959" s="134" t="s">
        <v>798</v>
      </c>
      <c r="B2959" s="134">
        <v>811</v>
      </c>
      <c r="C2959" s="491">
        <v>0</v>
      </c>
      <c r="D2959" s="491">
        <v>1</v>
      </c>
      <c r="E2959" s="491">
        <v>0</v>
      </c>
      <c r="F2959" s="491">
        <v>0</v>
      </c>
      <c r="G2959" s="491">
        <f t="shared" si="46"/>
        <v>1</v>
      </c>
    </row>
    <row r="2960" spans="1:7" ht="12.75">
      <c r="A2960" s="134" t="s">
        <v>798</v>
      </c>
      <c r="B2960" s="134">
        <v>812</v>
      </c>
      <c r="C2960" s="491">
        <v>3</v>
      </c>
      <c r="D2960" s="491">
        <v>0</v>
      </c>
      <c r="E2960" s="491">
        <v>0</v>
      </c>
      <c r="F2960" s="491">
        <v>0</v>
      </c>
      <c r="G2960" s="491">
        <f t="shared" si="46"/>
        <v>3</v>
      </c>
    </row>
    <row r="2961" spans="1:7" ht="12.75">
      <c r="A2961" s="134" t="s">
        <v>799</v>
      </c>
      <c r="B2961" s="134">
        <v>101</v>
      </c>
      <c r="C2961" s="491">
        <v>0</v>
      </c>
      <c r="D2961" s="491">
        <v>1</v>
      </c>
      <c r="E2961" s="491">
        <v>0</v>
      </c>
      <c r="F2961" s="491">
        <v>0</v>
      </c>
      <c r="G2961" s="491">
        <f t="shared" si="46"/>
        <v>1</v>
      </c>
    </row>
    <row r="2962" spans="1:7" ht="12.75">
      <c r="A2962" s="134" t="s">
        <v>799</v>
      </c>
      <c r="B2962" s="134">
        <v>110</v>
      </c>
      <c r="C2962" s="491">
        <v>10</v>
      </c>
      <c r="D2962" s="491">
        <v>15</v>
      </c>
      <c r="E2962" s="491">
        <v>44</v>
      </c>
      <c r="F2962" s="491">
        <v>58</v>
      </c>
      <c r="G2962" s="491">
        <f t="shared" si="46"/>
        <v>127</v>
      </c>
    </row>
    <row r="2963" spans="1:7" ht="12.75">
      <c r="A2963" s="134" t="s">
        <v>799</v>
      </c>
      <c r="B2963" s="134">
        <v>120</v>
      </c>
      <c r="C2963" s="491">
        <v>1</v>
      </c>
      <c r="D2963" s="491">
        <v>1</v>
      </c>
      <c r="E2963" s="491">
        <v>0</v>
      </c>
      <c r="F2963" s="491">
        <v>0</v>
      </c>
      <c r="G2963" s="491">
        <f t="shared" si="46"/>
        <v>2</v>
      </c>
    </row>
    <row r="2964" spans="1:7" ht="12.75">
      <c r="A2964" s="134" t="s">
        <v>799</v>
      </c>
      <c r="B2964" s="134">
        <v>130</v>
      </c>
      <c r="C2964" s="491">
        <v>1</v>
      </c>
      <c r="D2964" s="491">
        <v>0</v>
      </c>
      <c r="E2964" s="491">
        <v>0</v>
      </c>
      <c r="F2964" s="491">
        <v>0</v>
      </c>
      <c r="G2964" s="491">
        <f t="shared" si="46"/>
        <v>1</v>
      </c>
    </row>
    <row r="2965" spans="1:7" ht="12.75">
      <c r="A2965" s="134" t="s">
        <v>799</v>
      </c>
      <c r="B2965" s="134">
        <v>140</v>
      </c>
      <c r="C2965" s="491">
        <v>326</v>
      </c>
      <c r="D2965" s="491">
        <v>33</v>
      </c>
      <c r="E2965" s="491">
        <v>2</v>
      </c>
      <c r="F2965" s="491">
        <v>0</v>
      </c>
      <c r="G2965" s="491">
        <f t="shared" si="46"/>
        <v>361</v>
      </c>
    </row>
    <row r="2966" spans="1:7" ht="12.75">
      <c r="A2966" s="134" t="s">
        <v>799</v>
      </c>
      <c r="B2966" s="134">
        <v>141</v>
      </c>
      <c r="C2966" s="491">
        <v>524</v>
      </c>
      <c r="D2966" s="491">
        <v>6</v>
      </c>
      <c r="E2966" s="491">
        <v>2</v>
      </c>
      <c r="F2966" s="491">
        <v>0</v>
      </c>
      <c r="G2966" s="491">
        <f t="shared" si="46"/>
        <v>532</v>
      </c>
    </row>
    <row r="2967" spans="1:7" ht="12.75">
      <c r="A2967" s="134" t="s">
        <v>799</v>
      </c>
      <c r="B2967" s="134">
        <v>142</v>
      </c>
      <c r="C2967" s="491">
        <v>1089</v>
      </c>
      <c r="D2967" s="491">
        <v>23</v>
      </c>
      <c r="E2967" s="491">
        <v>3</v>
      </c>
      <c r="F2967" s="491">
        <v>0</v>
      </c>
      <c r="G2967" s="491">
        <f t="shared" si="46"/>
        <v>1115</v>
      </c>
    </row>
    <row r="2968" spans="1:7" ht="12.75">
      <c r="A2968" s="134" t="s">
        <v>799</v>
      </c>
      <c r="B2968" s="134">
        <v>143</v>
      </c>
      <c r="C2968" s="491">
        <v>58071</v>
      </c>
      <c r="D2968" s="491">
        <v>329</v>
      </c>
      <c r="E2968" s="491">
        <v>144</v>
      </c>
      <c r="F2968" s="491">
        <v>1</v>
      </c>
      <c r="G2968" s="491">
        <f t="shared" si="46"/>
        <v>58545</v>
      </c>
    </row>
    <row r="2969" spans="1:7" ht="12.75">
      <c r="A2969" s="134" t="s">
        <v>799</v>
      </c>
      <c r="B2969" s="134">
        <v>144</v>
      </c>
      <c r="C2969" s="491">
        <v>150</v>
      </c>
      <c r="D2969" s="491">
        <v>21</v>
      </c>
      <c r="E2969" s="491">
        <v>5</v>
      </c>
      <c r="F2969" s="491">
        <v>0</v>
      </c>
      <c r="G2969" s="491">
        <f t="shared" si="46"/>
        <v>176</v>
      </c>
    </row>
    <row r="2970" spans="1:7" ht="12.75">
      <c r="A2970" s="134" t="s">
        <v>799</v>
      </c>
      <c r="B2970" s="134">
        <v>150</v>
      </c>
      <c r="C2970" s="491">
        <v>0</v>
      </c>
      <c r="D2970" s="491">
        <v>1</v>
      </c>
      <c r="E2970" s="491">
        <v>0</v>
      </c>
      <c r="F2970" s="491">
        <v>0</v>
      </c>
      <c r="G2970" s="491">
        <f t="shared" si="46"/>
        <v>1</v>
      </c>
    </row>
    <row r="2971" spans="1:7" ht="12.75">
      <c r="A2971" s="134" t="s">
        <v>799</v>
      </c>
      <c r="B2971" s="134">
        <v>160</v>
      </c>
      <c r="C2971" s="491">
        <v>0</v>
      </c>
      <c r="D2971" s="491">
        <v>4</v>
      </c>
      <c r="E2971" s="491">
        <v>0</v>
      </c>
      <c r="F2971" s="491">
        <v>0</v>
      </c>
      <c r="G2971" s="491">
        <f t="shared" si="46"/>
        <v>4</v>
      </c>
    </row>
    <row r="2972" spans="1:7" ht="12.75">
      <c r="A2972" s="134" t="s">
        <v>799</v>
      </c>
      <c r="B2972" s="134">
        <v>211</v>
      </c>
      <c r="C2972" s="491">
        <v>0</v>
      </c>
      <c r="D2972" s="491">
        <v>2</v>
      </c>
      <c r="E2972" s="491">
        <v>0</v>
      </c>
      <c r="F2972" s="491">
        <v>0</v>
      </c>
      <c r="G2972" s="491">
        <f t="shared" si="46"/>
        <v>2</v>
      </c>
    </row>
    <row r="2973" spans="1:7" ht="12.75">
      <c r="A2973" s="134" t="s">
        <v>799</v>
      </c>
      <c r="B2973" s="134">
        <v>214</v>
      </c>
      <c r="C2973" s="491">
        <v>2</v>
      </c>
      <c r="D2973" s="491">
        <v>1</v>
      </c>
      <c r="E2973" s="491">
        <v>0</v>
      </c>
      <c r="F2973" s="491">
        <v>0</v>
      </c>
      <c r="G2973" s="491">
        <f t="shared" si="46"/>
        <v>3</v>
      </c>
    </row>
    <row r="2974" spans="1:7" ht="12.75">
      <c r="A2974" s="134" t="s">
        <v>799</v>
      </c>
      <c r="B2974" s="134">
        <v>215</v>
      </c>
      <c r="C2974" s="491">
        <v>1</v>
      </c>
      <c r="D2974" s="491">
        <v>1</v>
      </c>
      <c r="E2974" s="491">
        <v>0</v>
      </c>
      <c r="F2974" s="491">
        <v>0</v>
      </c>
      <c r="G2974" s="491">
        <f t="shared" si="46"/>
        <v>2</v>
      </c>
    </row>
    <row r="2975" spans="1:7" ht="12.75">
      <c r="A2975" s="134" t="s">
        <v>799</v>
      </c>
      <c r="B2975" s="134">
        <v>217</v>
      </c>
      <c r="C2975" s="491">
        <v>3</v>
      </c>
      <c r="D2975" s="491">
        <v>1</v>
      </c>
      <c r="E2975" s="491">
        <v>0</v>
      </c>
      <c r="F2975" s="491">
        <v>0</v>
      </c>
      <c r="G2975" s="491">
        <f t="shared" si="46"/>
        <v>4</v>
      </c>
    </row>
    <row r="2976" spans="1:7" ht="12.75">
      <c r="A2976" s="134" t="s">
        <v>799</v>
      </c>
      <c r="B2976" s="134">
        <v>219</v>
      </c>
      <c r="C2976" s="491">
        <v>1</v>
      </c>
      <c r="D2976" s="491">
        <v>0</v>
      </c>
      <c r="E2976" s="491">
        <v>0</v>
      </c>
      <c r="F2976" s="491">
        <v>0</v>
      </c>
      <c r="G2976" s="491">
        <f t="shared" si="46"/>
        <v>1</v>
      </c>
    </row>
    <row r="2977" spans="1:7" ht="12.75">
      <c r="A2977" s="134" t="s">
        <v>799</v>
      </c>
      <c r="B2977" s="134">
        <v>251</v>
      </c>
      <c r="C2977" s="491">
        <v>0</v>
      </c>
      <c r="D2977" s="491">
        <v>1</v>
      </c>
      <c r="E2977" s="491">
        <v>0</v>
      </c>
      <c r="F2977" s="491">
        <v>0</v>
      </c>
      <c r="G2977" s="491">
        <f t="shared" si="46"/>
        <v>1</v>
      </c>
    </row>
    <row r="2978" spans="1:7" ht="12.75">
      <c r="A2978" s="134" t="s">
        <v>799</v>
      </c>
      <c r="B2978" s="134">
        <v>252</v>
      </c>
      <c r="C2978" s="491">
        <v>0</v>
      </c>
      <c r="D2978" s="491">
        <v>1</v>
      </c>
      <c r="E2978" s="491">
        <v>0</v>
      </c>
      <c r="F2978" s="491">
        <v>0</v>
      </c>
      <c r="G2978" s="491">
        <f t="shared" si="46"/>
        <v>1</v>
      </c>
    </row>
    <row r="2979" spans="1:7" ht="12.75">
      <c r="A2979" s="134" t="s">
        <v>799</v>
      </c>
      <c r="B2979" s="134">
        <v>258</v>
      </c>
      <c r="C2979" s="491">
        <v>0</v>
      </c>
      <c r="D2979" s="491">
        <v>1</v>
      </c>
      <c r="E2979" s="491">
        <v>0</v>
      </c>
      <c r="F2979" s="491">
        <v>0</v>
      </c>
      <c r="G2979" s="491">
        <f t="shared" si="46"/>
        <v>1</v>
      </c>
    </row>
    <row r="2980" spans="1:7" ht="12.75">
      <c r="A2980" s="134" t="s">
        <v>799</v>
      </c>
      <c r="B2980" s="134">
        <v>314</v>
      </c>
      <c r="C2980" s="491">
        <v>0</v>
      </c>
      <c r="D2980" s="491">
        <v>1</v>
      </c>
      <c r="E2980" s="491">
        <v>0</v>
      </c>
      <c r="F2980" s="491">
        <v>0</v>
      </c>
      <c r="G2980" s="491">
        <f t="shared" si="46"/>
        <v>1</v>
      </c>
    </row>
    <row r="2981" spans="1:7" ht="12.75">
      <c r="A2981" s="134" t="s">
        <v>799</v>
      </c>
      <c r="B2981" s="134">
        <v>320</v>
      </c>
      <c r="C2981" s="491">
        <v>0</v>
      </c>
      <c r="D2981" s="491">
        <v>3</v>
      </c>
      <c r="E2981" s="491">
        <v>0</v>
      </c>
      <c r="F2981" s="491">
        <v>0</v>
      </c>
      <c r="G2981" s="491">
        <f t="shared" si="46"/>
        <v>3</v>
      </c>
    </row>
    <row r="2982" spans="1:7" ht="12.75">
      <c r="A2982" s="134" t="s">
        <v>799</v>
      </c>
      <c r="B2982" s="134">
        <v>330</v>
      </c>
      <c r="C2982" s="491">
        <v>0</v>
      </c>
      <c r="D2982" s="491">
        <v>6</v>
      </c>
      <c r="E2982" s="491">
        <v>0</v>
      </c>
      <c r="F2982" s="491">
        <v>0</v>
      </c>
      <c r="G2982" s="491">
        <f t="shared" si="46"/>
        <v>6</v>
      </c>
    </row>
    <row r="2983" spans="1:7" ht="12.75">
      <c r="A2983" s="134" t="s">
        <v>799</v>
      </c>
      <c r="B2983" s="134">
        <v>410</v>
      </c>
      <c r="C2983" s="491">
        <v>0</v>
      </c>
      <c r="D2983" s="491">
        <v>2</v>
      </c>
      <c r="E2983" s="491">
        <v>0</v>
      </c>
      <c r="F2983" s="491">
        <v>0</v>
      </c>
      <c r="G2983" s="491">
        <f t="shared" si="46"/>
        <v>2</v>
      </c>
    </row>
    <row r="2984" spans="1:7" ht="12.75">
      <c r="A2984" s="134" t="s">
        <v>799</v>
      </c>
      <c r="B2984" s="134">
        <v>420</v>
      </c>
      <c r="C2984" s="491">
        <v>2</v>
      </c>
      <c r="D2984" s="491">
        <v>13</v>
      </c>
      <c r="E2984" s="491">
        <v>0</v>
      </c>
      <c r="F2984" s="491">
        <v>0</v>
      </c>
      <c r="G2984" s="491">
        <f t="shared" si="46"/>
        <v>15</v>
      </c>
    </row>
    <row r="2985" spans="1:7" ht="12.75">
      <c r="A2985" s="134" t="s">
        <v>799</v>
      </c>
      <c r="B2985" s="134">
        <v>421</v>
      </c>
      <c r="C2985" s="491">
        <v>0</v>
      </c>
      <c r="D2985" s="491">
        <v>1</v>
      </c>
      <c r="E2985" s="491">
        <v>0</v>
      </c>
      <c r="F2985" s="491">
        <v>0</v>
      </c>
      <c r="G2985" s="491">
        <f t="shared" si="46"/>
        <v>1</v>
      </c>
    </row>
    <row r="2986" spans="1:7" ht="12.75">
      <c r="A2986" s="134" t="s">
        <v>799</v>
      </c>
      <c r="B2986" s="134">
        <v>422</v>
      </c>
      <c r="C2986" s="491">
        <v>0</v>
      </c>
      <c r="D2986" s="491">
        <v>2</v>
      </c>
      <c r="E2986" s="491">
        <v>0</v>
      </c>
      <c r="F2986" s="491">
        <v>0</v>
      </c>
      <c r="G2986" s="491">
        <f t="shared" si="46"/>
        <v>2</v>
      </c>
    </row>
    <row r="2987" spans="1:7" ht="12.75">
      <c r="A2987" s="134" t="s">
        <v>799</v>
      </c>
      <c r="B2987" s="134">
        <v>450</v>
      </c>
      <c r="C2987" s="491">
        <v>11</v>
      </c>
      <c r="D2987" s="491">
        <v>0</v>
      </c>
      <c r="E2987" s="491">
        <v>0</v>
      </c>
      <c r="F2987" s="491">
        <v>0</v>
      </c>
      <c r="G2987" s="491">
        <f t="shared" si="46"/>
        <v>11</v>
      </c>
    </row>
    <row r="2988" spans="1:7" ht="12.75">
      <c r="A2988" s="134" t="s">
        <v>799</v>
      </c>
      <c r="B2988" s="134">
        <v>501</v>
      </c>
      <c r="C2988" s="491">
        <v>1</v>
      </c>
      <c r="D2988" s="491">
        <v>1</v>
      </c>
      <c r="E2988" s="491">
        <v>0</v>
      </c>
      <c r="F2988" s="491">
        <v>0</v>
      </c>
      <c r="G2988" s="491">
        <f t="shared" si="46"/>
        <v>2</v>
      </c>
    </row>
    <row r="2989" spans="1:7" ht="12.75">
      <c r="A2989" s="134" t="s">
        <v>799</v>
      </c>
      <c r="B2989" s="134">
        <v>650</v>
      </c>
      <c r="C2989" s="491">
        <v>0</v>
      </c>
      <c r="D2989" s="491">
        <v>4</v>
      </c>
      <c r="E2989" s="491">
        <v>0</v>
      </c>
      <c r="F2989" s="491">
        <v>0</v>
      </c>
      <c r="G2989" s="491">
        <f t="shared" si="46"/>
        <v>4</v>
      </c>
    </row>
    <row r="2990" spans="1:7" ht="12.75">
      <c r="A2990" s="134" t="s">
        <v>799</v>
      </c>
      <c r="B2990" s="134">
        <v>651</v>
      </c>
      <c r="C2990" s="491">
        <v>1</v>
      </c>
      <c r="D2990" s="491">
        <v>0</v>
      </c>
      <c r="E2990" s="491">
        <v>0</v>
      </c>
      <c r="F2990" s="491">
        <v>0</v>
      </c>
      <c r="G2990" s="491">
        <f t="shared" si="46"/>
        <v>1</v>
      </c>
    </row>
    <row r="2991" spans="1:7" ht="12.75">
      <c r="A2991" s="134" t="s">
        <v>799</v>
      </c>
      <c r="B2991" s="134">
        <v>652</v>
      </c>
      <c r="C2991" s="491">
        <v>0</v>
      </c>
      <c r="D2991" s="491">
        <v>1</v>
      </c>
      <c r="E2991" s="491">
        <v>0</v>
      </c>
      <c r="F2991" s="491">
        <v>0</v>
      </c>
      <c r="G2991" s="491">
        <f t="shared" si="46"/>
        <v>1</v>
      </c>
    </row>
    <row r="2992" spans="1:7" ht="12.75">
      <c r="A2992" s="134" t="s">
        <v>799</v>
      </c>
      <c r="B2992" s="134">
        <v>654</v>
      </c>
      <c r="C2992" s="491">
        <v>0</v>
      </c>
      <c r="D2992" s="491">
        <v>1</v>
      </c>
      <c r="E2992" s="491">
        <v>0</v>
      </c>
      <c r="F2992" s="491">
        <v>0</v>
      </c>
      <c r="G2992" s="491">
        <f t="shared" si="46"/>
        <v>1</v>
      </c>
    </row>
    <row r="2993" spans="1:7" ht="12.75">
      <c r="A2993" s="134" t="s">
        <v>799</v>
      </c>
      <c r="B2993" s="134">
        <v>657</v>
      </c>
      <c r="C2993" s="491">
        <v>0</v>
      </c>
      <c r="D2993" s="491">
        <v>0</v>
      </c>
      <c r="E2993" s="491">
        <v>1</v>
      </c>
      <c r="F2993" s="491">
        <v>0</v>
      </c>
      <c r="G2993" s="491">
        <f t="shared" si="46"/>
        <v>1</v>
      </c>
    </row>
    <row r="2994" spans="1:7" ht="12.75">
      <c r="A2994" s="134" t="s">
        <v>799</v>
      </c>
      <c r="B2994" s="134">
        <v>812</v>
      </c>
      <c r="C2994" s="491">
        <v>10</v>
      </c>
      <c r="D2994" s="491">
        <v>0</v>
      </c>
      <c r="E2994" s="491">
        <v>0</v>
      </c>
      <c r="F2994" s="491">
        <v>0</v>
      </c>
      <c r="G2994" s="491">
        <f t="shared" si="46"/>
        <v>10</v>
      </c>
    </row>
    <row r="2995" spans="1:7" ht="12.75">
      <c r="A2995" s="134" t="s">
        <v>800</v>
      </c>
      <c r="B2995" s="134">
        <v>100</v>
      </c>
      <c r="C2995" s="491">
        <v>2</v>
      </c>
      <c r="D2995" s="491">
        <v>1</v>
      </c>
      <c r="E2995" s="491">
        <v>0</v>
      </c>
      <c r="F2995" s="491">
        <v>0</v>
      </c>
      <c r="G2995" s="491">
        <f t="shared" si="46"/>
        <v>3</v>
      </c>
    </row>
    <row r="2996" spans="1:7" ht="12.75">
      <c r="A2996" s="134" t="s">
        <v>800</v>
      </c>
      <c r="B2996" s="134">
        <v>101</v>
      </c>
      <c r="C2996" s="491">
        <v>2</v>
      </c>
      <c r="D2996" s="491">
        <v>30</v>
      </c>
      <c r="E2996" s="491">
        <v>0</v>
      </c>
      <c r="F2996" s="491">
        <v>0</v>
      </c>
      <c r="G2996" s="491">
        <f t="shared" si="46"/>
        <v>32</v>
      </c>
    </row>
    <row r="2997" spans="1:7" ht="12.75">
      <c r="A2997" s="134" t="s">
        <v>800</v>
      </c>
      <c r="B2997" s="134">
        <v>102</v>
      </c>
      <c r="C2997" s="491">
        <v>0</v>
      </c>
      <c r="D2997" s="491">
        <v>4</v>
      </c>
      <c r="E2997" s="491">
        <v>0</v>
      </c>
      <c r="F2997" s="491">
        <v>0</v>
      </c>
      <c r="G2997" s="491">
        <f t="shared" si="46"/>
        <v>4</v>
      </c>
    </row>
    <row r="2998" spans="1:7" ht="12.75">
      <c r="A2998" s="134" t="s">
        <v>800</v>
      </c>
      <c r="B2998" s="134">
        <v>103</v>
      </c>
      <c r="C2998" s="491">
        <v>2</v>
      </c>
      <c r="D2998" s="491">
        <v>9</v>
      </c>
      <c r="E2998" s="491">
        <v>0</v>
      </c>
      <c r="F2998" s="491">
        <v>0</v>
      </c>
      <c r="G2998" s="491">
        <f t="shared" si="46"/>
        <v>11</v>
      </c>
    </row>
    <row r="2999" spans="1:7" ht="12.75">
      <c r="A2999" s="134" t="s">
        <v>800</v>
      </c>
      <c r="B2999" s="134">
        <v>104</v>
      </c>
      <c r="C2999" s="491">
        <v>2</v>
      </c>
      <c r="D2999" s="491">
        <v>14</v>
      </c>
      <c r="E2999" s="491">
        <v>0</v>
      </c>
      <c r="F2999" s="491">
        <v>0</v>
      </c>
      <c r="G2999" s="491">
        <f t="shared" si="46"/>
        <v>16</v>
      </c>
    </row>
    <row r="3000" spans="1:7" ht="12.75">
      <c r="A3000" s="134" t="s">
        <v>800</v>
      </c>
      <c r="B3000" s="134">
        <v>106</v>
      </c>
      <c r="C3000" s="491">
        <v>0</v>
      </c>
      <c r="D3000" s="491">
        <v>13</v>
      </c>
      <c r="E3000" s="491">
        <v>0</v>
      </c>
      <c r="F3000" s="491">
        <v>0</v>
      </c>
      <c r="G3000" s="491">
        <f t="shared" si="46"/>
        <v>13</v>
      </c>
    </row>
    <row r="3001" spans="1:7" ht="12.75">
      <c r="A3001" s="134" t="s">
        <v>800</v>
      </c>
      <c r="B3001" s="134">
        <v>107</v>
      </c>
      <c r="C3001" s="491">
        <v>2</v>
      </c>
      <c r="D3001" s="491">
        <v>8</v>
      </c>
      <c r="E3001" s="491">
        <v>0</v>
      </c>
      <c r="F3001" s="491">
        <v>0</v>
      </c>
      <c r="G3001" s="491">
        <f t="shared" si="46"/>
        <v>10</v>
      </c>
    </row>
    <row r="3002" spans="1:7" ht="12.75">
      <c r="A3002" s="134" t="s">
        <v>800</v>
      </c>
      <c r="B3002" s="134">
        <v>110</v>
      </c>
      <c r="C3002" s="491">
        <v>17</v>
      </c>
      <c r="D3002" s="491">
        <v>58</v>
      </c>
      <c r="E3002" s="491">
        <v>0</v>
      </c>
      <c r="F3002" s="491">
        <v>5</v>
      </c>
      <c r="G3002" s="491">
        <f t="shared" si="46"/>
        <v>80</v>
      </c>
    </row>
    <row r="3003" spans="1:7" ht="12.75">
      <c r="A3003" s="134" t="s">
        <v>800</v>
      </c>
      <c r="B3003" s="134">
        <v>120</v>
      </c>
      <c r="C3003" s="491">
        <v>4</v>
      </c>
      <c r="D3003" s="491">
        <v>40</v>
      </c>
      <c r="E3003" s="491">
        <v>0</v>
      </c>
      <c r="F3003" s="491">
        <v>0</v>
      </c>
      <c r="G3003" s="491">
        <f t="shared" si="46"/>
        <v>44</v>
      </c>
    </row>
    <row r="3004" spans="1:7" ht="12.75">
      <c r="A3004" s="134" t="s">
        <v>800</v>
      </c>
      <c r="B3004" s="134">
        <v>130</v>
      </c>
      <c r="C3004" s="491">
        <v>11</v>
      </c>
      <c r="D3004" s="491">
        <v>3</v>
      </c>
      <c r="E3004" s="491">
        <v>0</v>
      </c>
      <c r="F3004" s="491">
        <v>0</v>
      </c>
      <c r="G3004" s="491">
        <f t="shared" si="46"/>
        <v>14</v>
      </c>
    </row>
    <row r="3005" spans="1:7" ht="12.75">
      <c r="A3005" s="134" t="s">
        <v>800</v>
      </c>
      <c r="B3005" s="134">
        <v>140</v>
      </c>
      <c r="C3005" s="491">
        <v>355</v>
      </c>
      <c r="D3005" s="491">
        <v>61</v>
      </c>
      <c r="E3005" s="491">
        <v>16</v>
      </c>
      <c r="F3005" s="491">
        <v>2</v>
      </c>
      <c r="G3005" s="491">
        <f t="shared" si="46"/>
        <v>434</v>
      </c>
    </row>
    <row r="3006" spans="1:7" ht="12.75">
      <c r="A3006" s="134" t="s">
        <v>800</v>
      </c>
      <c r="B3006" s="134">
        <v>141</v>
      </c>
      <c r="C3006" s="491">
        <v>102</v>
      </c>
      <c r="D3006" s="491">
        <v>10</v>
      </c>
      <c r="E3006" s="491">
        <v>0</v>
      </c>
      <c r="F3006" s="491">
        <v>0</v>
      </c>
      <c r="G3006" s="491">
        <f t="shared" si="46"/>
        <v>112</v>
      </c>
    </row>
    <row r="3007" spans="1:7" ht="12.75">
      <c r="A3007" s="134" t="s">
        <v>800</v>
      </c>
      <c r="B3007" s="134">
        <v>142</v>
      </c>
      <c r="C3007" s="491">
        <v>10</v>
      </c>
      <c r="D3007" s="491">
        <v>0</v>
      </c>
      <c r="E3007" s="491">
        <v>0</v>
      </c>
      <c r="F3007" s="491">
        <v>0</v>
      </c>
      <c r="G3007" s="491">
        <f t="shared" si="46"/>
        <v>10</v>
      </c>
    </row>
    <row r="3008" spans="1:7" ht="12.75">
      <c r="A3008" s="134" t="s">
        <v>800</v>
      </c>
      <c r="B3008" s="134">
        <v>143</v>
      </c>
      <c r="C3008" s="491">
        <v>46364</v>
      </c>
      <c r="D3008" s="491">
        <v>299</v>
      </c>
      <c r="E3008" s="491">
        <v>457</v>
      </c>
      <c r="F3008" s="491">
        <v>6</v>
      </c>
      <c r="G3008" s="491">
        <f t="shared" si="46"/>
        <v>47126</v>
      </c>
    </row>
    <row r="3009" spans="1:7" ht="12.75">
      <c r="A3009" s="134" t="s">
        <v>800</v>
      </c>
      <c r="B3009" s="134">
        <v>144</v>
      </c>
      <c r="C3009" s="491">
        <v>263</v>
      </c>
      <c r="D3009" s="491">
        <v>32</v>
      </c>
      <c r="E3009" s="491">
        <v>5</v>
      </c>
      <c r="F3009" s="491">
        <v>0</v>
      </c>
      <c r="G3009" s="491">
        <f t="shared" si="46"/>
        <v>300</v>
      </c>
    </row>
    <row r="3010" spans="1:7" ht="12.75">
      <c r="A3010" s="134" t="s">
        <v>800</v>
      </c>
      <c r="B3010" s="134">
        <v>150</v>
      </c>
      <c r="C3010" s="491">
        <v>0</v>
      </c>
      <c r="D3010" s="491">
        <v>13</v>
      </c>
      <c r="E3010" s="491">
        <v>0</v>
      </c>
      <c r="F3010" s="491">
        <v>0</v>
      </c>
      <c r="G3010" s="491">
        <f t="shared" si="46"/>
        <v>13</v>
      </c>
    </row>
    <row r="3011" spans="1:7" ht="12.75">
      <c r="A3011" s="134" t="s">
        <v>800</v>
      </c>
      <c r="B3011" s="134">
        <v>160</v>
      </c>
      <c r="C3011" s="491">
        <v>0</v>
      </c>
      <c r="D3011" s="491">
        <v>19</v>
      </c>
      <c r="E3011" s="491">
        <v>0</v>
      </c>
      <c r="F3011" s="491">
        <v>0</v>
      </c>
      <c r="G3011" s="491">
        <f t="shared" si="46"/>
        <v>19</v>
      </c>
    </row>
    <row r="3012" spans="1:7" ht="12.75">
      <c r="A3012" s="134" t="s">
        <v>800</v>
      </c>
      <c r="B3012" s="134">
        <v>172</v>
      </c>
      <c r="C3012" s="491">
        <v>0</v>
      </c>
      <c r="D3012" s="491">
        <v>2</v>
      </c>
      <c r="E3012" s="491">
        <v>0</v>
      </c>
      <c r="F3012" s="491">
        <v>0</v>
      </c>
      <c r="G3012" s="491">
        <f t="shared" ref="G3012:G3075" si="47">SUM(C3012:F3012)</f>
        <v>2</v>
      </c>
    </row>
    <row r="3013" spans="1:7" ht="12.75">
      <c r="A3013" s="134" t="s">
        <v>800</v>
      </c>
      <c r="B3013" s="134">
        <v>173</v>
      </c>
      <c r="C3013" s="491">
        <v>0</v>
      </c>
      <c r="D3013" s="491">
        <v>1</v>
      </c>
      <c r="E3013" s="491">
        <v>0</v>
      </c>
      <c r="F3013" s="491">
        <v>0</v>
      </c>
      <c r="G3013" s="491">
        <f t="shared" si="47"/>
        <v>1</v>
      </c>
    </row>
    <row r="3014" spans="1:7" ht="12.75">
      <c r="A3014" s="134" t="s">
        <v>800</v>
      </c>
      <c r="B3014" s="134">
        <v>190</v>
      </c>
      <c r="C3014" s="491">
        <v>3</v>
      </c>
      <c r="D3014" s="491">
        <v>6</v>
      </c>
      <c r="E3014" s="491">
        <v>0</v>
      </c>
      <c r="F3014" s="491">
        <v>0</v>
      </c>
      <c r="G3014" s="491">
        <f t="shared" si="47"/>
        <v>9</v>
      </c>
    </row>
    <row r="3015" spans="1:7" ht="12.75">
      <c r="A3015" s="134" t="s">
        <v>800</v>
      </c>
      <c r="B3015" s="134">
        <v>191</v>
      </c>
      <c r="C3015" s="491">
        <v>4</v>
      </c>
      <c r="D3015" s="491">
        <v>4</v>
      </c>
      <c r="E3015" s="491">
        <v>0</v>
      </c>
      <c r="F3015" s="491">
        <v>0</v>
      </c>
      <c r="G3015" s="491">
        <f t="shared" si="47"/>
        <v>8</v>
      </c>
    </row>
    <row r="3016" spans="1:7" ht="12.75">
      <c r="A3016" s="134" t="s">
        <v>800</v>
      </c>
      <c r="B3016" s="134">
        <v>217</v>
      </c>
      <c r="C3016" s="491">
        <v>1</v>
      </c>
      <c r="D3016" s="491">
        <v>0</v>
      </c>
      <c r="E3016" s="491">
        <v>0</v>
      </c>
      <c r="F3016" s="491">
        <v>0</v>
      </c>
      <c r="G3016" s="491">
        <f t="shared" si="47"/>
        <v>1</v>
      </c>
    </row>
    <row r="3017" spans="1:7" ht="12.75">
      <c r="A3017" s="134" t="s">
        <v>800</v>
      </c>
      <c r="B3017" s="134">
        <v>300</v>
      </c>
      <c r="C3017" s="491">
        <v>4</v>
      </c>
      <c r="D3017" s="491">
        <v>8</v>
      </c>
      <c r="E3017" s="491">
        <v>0</v>
      </c>
      <c r="F3017" s="491">
        <v>0</v>
      </c>
      <c r="G3017" s="491">
        <f t="shared" si="47"/>
        <v>12</v>
      </c>
    </row>
    <row r="3018" spans="1:7" ht="12.75">
      <c r="A3018" s="134" t="s">
        <v>800</v>
      </c>
      <c r="B3018" s="134">
        <v>301</v>
      </c>
      <c r="C3018" s="491">
        <v>1</v>
      </c>
      <c r="D3018" s="491">
        <v>24</v>
      </c>
      <c r="E3018" s="491">
        <v>0</v>
      </c>
      <c r="F3018" s="491">
        <v>0</v>
      </c>
      <c r="G3018" s="491">
        <f t="shared" si="47"/>
        <v>25</v>
      </c>
    </row>
    <row r="3019" spans="1:7" ht="12.75">
      <c r="A3019" s="134" t="s">
        <v>800</v>
      </c>
      <c r="B3019" s="134">
        <v>302</v>
      </c>
      <c r="C3019" s="491">
        <v>0</v>
      </c>
      <c r="D3019" s="491">
        <v>7</v>
      </c>
      <c r="E3019" s="491">
        <v>0</v>
      </c>
      <c r="F3019" s="491">
        <v>0</v>
      </c>
      <c r="G3019" s="491">
        <f t="shared" si="47"/>
        <v>7</v>
      </c>
    </row>
    <row r="3020" spans="1:7" ht="12.75">
      <c r="A3020" s="134" t="s">
        <v>800</v>
      </c>
      <c r="B3020" s="134">
        <v>303</v>
      </c>
      <c r="C3020" s="491">
        <v>2</v>
      </c>
      <c r="D3020" s="491">
        <v>9</v>
      </c>
      <c r="E3020" s="491">
        <v>0</v>
      </c>
      <c r="F3020" s="491">
        <v>0</v>
      </c>
      <c r="G3020" s="491">
        <f t="shared" si="47"/>
        <v>11</v>
      </c>
    </row>
    <row r="3021" spans="1:7" ht="12.75">
      <c r="A3021" s="134" t="s">
        <v>800</v>
      </c>
      <c r="B3021" s="134">
        <v>306</v>
      </c>
      <c r="C3021" s="491">
        <v>0</v>
      </c>
      <c r="D3021" s="491">
        <v>9</v>
      </c>
      <c r="E3021" s="491">
        <v>0</v>
      </c>
      <c r="F3021" s="491">
        <v>0</v>
      </c>
      <c r="G3021" s="491">
        <f t="shared" si="47"/>
        <v>9</v>
      </c>
    </row>
    <row r="3022" spans="1:7" ht="12.75">
      <c r="A3022" s="134" t="s">
        <v>800</v>
      </c>
      <c r="B3022" s="134">
        <v>307</v>
      </c>
      <c r="C3022" s="491">
        <v>0</v>
      </c>
      <c r="D3022" s="491">
        <v>18</v>
      </c>
      <c r="E3022" s="491">
        <v>0</v>
      </c>
      <c r="F3022" s="491">
        <v>0</v>
      </c>
      <c r="G3022" s="491">
        <f t="shared" si="47"/>
        <v>18</v>
      </c>
    </row>
    <row r="3023" spans="1:7" ht="12.75">
      <c r="A3023" s="134" t="s">
        <v>800</v>
      </c>
      <c r="B3023" s="134">
        <v>310</v>
      </c>
      <c r="C3023" s="491">
        <v>0</v>
      </c>
      <c r="D3023" s="491">
        <v>22</v>
      </c>
      <c r="E3023" s="491">
        <v>0</v>
      </c>
      <c r="F3023" s="491">
        <v>0</v>
      </c>
      <c r="G3023" s="491">
        <f t="shared" si="47"/>
        <v>22</v>
      </c>
    </row>
    <row r="3024" spans="1:7" ht="12.75">
      <c r="A3024" s="134" t="s">
        <v>800</v>
      </c>
      <c r="B3024" s="134">
        <v>311</v>
      </c>
      <c r="C3024" s="491">
        <v>1</v>
      </c>
      <c r="D3024" s="491">
        <v>1</v>
      </c>
      <c r="E3024" s="491">
        <v>0</v>
      </c>
      <c r="F3024" s="491">
        <v>0</v>
      </c>
      <c r="G3024" s="491">
        <f t="shared" si="47"/>
        <v>2</v>
      </c>
    </row>
    <row r="3025" spans="1:7" ht="12.75">
      <c r="A3025" s="134" t="s">
        <v>800</v>
      </c>
      <c r="B3025" s="134">
        <v>314</v>
      </c>
      <c r="C3025" s="491">
        <v>1</v>
      </c>
      <c r="D3025" s="491">
        <v>3</v>
      </c>
      <c r="E3025" s="491">
        <v>0</v>
      </c>
      <c r="F3025" s="491">
        <v>0</v>
      </c>
      <c r="G3025" s="491">
        <f t="shared" si="47"/>
        <v>4</v>
      </c>
    </row>
    <row r="3026" spans="1:7" ht="12.75">
      <c r="A3026" s="134" t="s">
        <v>800</v>
      </c>
      <c r="B3026" s="134">
        <v>317</v>
      </c>
      <c r="C3026" s="491">
        <v>0</v>
      </c>
      <c r="D3026" s="491">
        <v>1</v>
      </c>
      <c r="E3026" s="491">
        <v>0</v>
      </c>
      <c r="F3026" s="491">
        <v>0</v>
      </c>
      <c r="G3026" s="491">
        <f t="shared" si="47"/>
        <v>1</v>
      </c>
    </row>
    <row r="3027" spans="1:7" ht="12.75">
      <c r="A3027" s="134" t="s">
        <v>800</v>
      </c>
      <c r="B3027" s="134">
        <v>320</v>
      </c>
      <c r="C3027" s="491">
        <v>7</v>
      </c>
      <c r="D3027" s="491">
        <v>51</v>
      </c>
      <c r="E3027" s="491">
        <v>0</v>
      </c>
      <c r="F3027" s="491">
        <v>0</v>
      </c>
      <c r="G3027" s="491">
        <f t="shared" si="47"/>
        <v>58</v>
      </c>
    </row>
    <row r="3028" spans="1:7" ht="12.75">
      <c r="A3028" s="134" t="s">
        <v>800</v>
      </c>
      <c r="B3028" s="134">
        <v>324</v>
      </c>
      <c r="C3028" s="491">
        <v>0</v>
      </c>
      <c r="D3028" s="491">
        <v>10</v>
      </c>
      <c r="E3028" s="491">
        <v>0</v>
      </c>
      <c r="F3028" s="491">
        <v>0</v>
      </c>
      <c r="G3028" s="491">
        <f t="shared" si="47"/>
        <v>10</v>
      </c>
    </row>
    <row r="3029" spans="1:7" ht="12.75">
      <c r="A3029" s="134" t="s">
        <v>800</v>
      </c>
      <c r="B3029" s="134">
        <v>330</v>
      </c>
      <c r="C3029" s="491">
        <v>10</v>
      </c>
      <c r="D3029" s="491">
        <v>41</v>
      </c>
      <c r="E3029" s="491">
        <v>0</v>
      </c>
      <c r="F3029" s="491">
        <v>0</v>
      </c>
      <c r="G3029" s="491">
        <f t="shared" si="47"/>
        <v>51</v>
      </c>
    </row>
    <row r="3030" spans="1:7" ht="12.75">
      <c r="A3030" s="134" t="s">
        <v>800</v>
      </c>
      <c r="B3030" s="134">
        <v>340</v>
      </c>
      <c r="C3030" s="491">
        <v>4</v>
      </c>
      <c r="D3030" s="491">
        <v>24</v>
      </c>
      <c r="E3030" s="491">
        <v>0</v>
      </c>
      <c r="F3030" s="491">
        <v>0</v>
      </c>
      <c r="G3030" s="491">
        <f t="shared" si="47"/>
        <v>28</v>
      </c>
    </row>
    <row r="3031" spans="1:7" ht="12.75">
      <c r="A3031" s="134" t="s">
        <v>800</v>
      </c>
      <c r="B3031" s="134">
        <v>341</v>
      </c>
      <c r="C3031" s="491">
        <v>2</v>
      </c>
      <c r="D3031" s="491">
        <v>7</v>
      </c>
      <c r="E3031" s="491">
        <v>0</v>
      </c>
      <c r="F3031" s="491">
        <v>0</v>
      </c>
      <c r="G3031" s="491">
        <f t="shared" si="47"/>
        <v>9</v>
      </c>
    </row>
    <row r="3032" spans="1:7" ht="12.75">
      <c r="A3032" s="134" t="s">
        <v>800</v>
      </c>
      <c r="B3032" s="134">
        <v>350</v>
      </c>
      <c r="C3032" s="491">
        <v>0</v>
      </c>
      <c r="D3032" s="491">
        <v>2</v>
      </c>
      <c r="E3032" s="491">
        <v>0</v>
      </c>
      <c r="F3032" s="491">
        <v>0</v>
      </c>
      <c r="G3032" s="491">
        <f t="shared" si="47"/>
        <v>2</v>
      </c>
    </row>
    <row r="3033" spans="1:7" ht="12.75">
      <c r="A3033" s="134" t="s">
        <v>800</v>
      </c>
      <c r="B3033" s="134">
        <v>361</v>
      </c>
      <c r="C3033" s="491">
        <v>1</v>
      </c>
      <c r="D3033" s="491">
        <v>11</v>
      </c>
      <c r="E3033" s="491">
        <v>0</v>
      </c>
      <c r="F3033" s="491">
        <v>0</v>
      </c>
      <c r="G3033" s="491">
        <f t="shared" si="47"/>
        <v>12</v>
      </c>
    </row>
    <row r="3034" spans="1:7" ht="12.75">
      <c r="A3034" s="134" t="s">
        <v>800</v>
      </c>
      <c r="B3034" s="134">
        <v>370</v>
      </c>
      <c r="C3034" s="491">
        <v>2</v>
      </c>
      <c r="D3034" s="491">
        <v>11</v>
      </c>
      <c r="E3034" s="491">
        <v>0</v>
      </c>
      <c r="F3034" s="491">
        <v>0</v>
      </c>
      <c r="G3034" s="491">
        <f t="shared" si="47"/>
        <v>13</v>
      </c>
    </row>
    <row r="3035" spans="1:7" ht="12.75">
      <c r="A3035" s="134" t="s">
        <v>800</v>
      </c>
      <c r="B3035" s="134">
        <v>400</v>
      </c>
      <c r="C3035" s="491">
        <v>2</v>
      </c>
      <c r="D3035" s="491">
        <v>24</v>
      </c>
      <c r="E3035" s="491">
        <v>0</v>
      </c>
      <c r="F3035" s="491">
        <v>0</v>
      </c>
      <c r="G3035" s="491">
        <f t="shared" si="47"/>
        <v>26</v>
      </c>
    </row>
    <row r="3036" spans="1:7" ht="12.75">
      <c r="A3036" s="134" t="s">
        <v>800</v>
      </c>
      <c r="B3036" s="134">
        <v>410</v>
      </c>
      <c r="C3036" s="491">
        <v>0</v>
      </c>
      <c r="D3036" s="491">
        <v>41</v>
      </c>
      <c r="E3036" s="491">
        <v>0</v>
      </c>
      <c r="F3036" s="491">
        <v>0</v>
      </c>
      <c r="G3036" s="491">
        <f t="shared" si="47"/>
        <v>41</v>
      </c>
    </row>
    <row r="3037" spans="1:7" ht="12.75">
      <c r="A3037" s="134" t="s">
        <v>800</v>
      </c>
      <c r="B3037" s="134">
        <v>430</v>
      </c>
      <c r="C3037" s="491">
        <v>0</v>
      </c>
      <c r="D3037" s="491">
        <v>1</v>
      </c>
      <c r="E3037" s="491">
        <v>0</v>
      </c>
      <c r="F3037" s="491">
        <v>0</v>
      </c>
      <c r="G3037" s="491">
        <f t="shared" si="47"/>
        <v>1</v>
      </c>
    </row>
    <row r="3038" spans="1:7" ht="12.75">
      <c r="A3038" s="134" t="s">
        <v>800</v>
      </c>
      <c r="B3038" s="134">
        <v>501</v>
      </c>
      <c r="C3038" s="491">
        <v>2</v>
      </c>
      <c r="D3038" s="491">
        <v>24</v>
      </c>
      <c r="E3038" s="491">
        <v>0</v>
      </c>
      <c r="F3038" s="491">
        <v>0</v>
      </c>
      <c r="G3038" s="491">
        <f t="shared" si="47"/>
        <v>26</v>
      </c>
    </row>
    <row r="3039" spans="1:7" ht="12.75">
      <c r="A3039" s="134" t="s">
        <v>800</v>
      </c>
      <c r="B3039" s="134">
        <v>502</v>
      </c>
      <c r="C3039" s="491">
        <v>2</v>
      </c>
      <c r="D3039" s="491">
        <v>33</v>
      </c>
      <c r="E3039" s="491">
        <v>0</v>
      </c>
      <c r="F3039" s="491">
        <v>0</v>
      </c>
      <c r="G3039" s="491">
        <f t="shared" si="47"/>
        <v>35</v>
      </c>
    </row>
    <row r="3040" spans="1:7" ht="12.75">
      <c r="A3040" s="134" t="s">
        <v>800</v>
      </c>
      <c r="B3040" s="134">
        <v>503</v>
      </c>
      <c r="C3040" s="491">
        <v>0</v>
      </c>
      <c r="D3040" s="491">
        <v>3</v>
      </c>
      <c r="E3040" s="491">
        <v>0</v>
      </c>
      <c r="F3040" s="491">
        <v>0</v>
      </c>
      <c r="G3040" s="491">
        <f t="shared" si="47"/>
        <v>3</v>
      </c>
    </row>
    <row r="3041" spans="1:7" ht="12.75">
      <c r="A3041" s="134" t="s">
        <v>800</v>
      </c>
      <c r="B3041" s="134">
        <v>560</v>
      </c>
      <c r="C3041" s="491">
        <v>1</v>
      </c>
      <c r="D3041" s="491">
        <v>24</v>
      </c>
      <c r="E3041" s="491">
        <v>0</v>
      </c>
      <c r="F3041" s="491">
        <v>0</v>
      </c>
      <c r="G3041" s="491">
        <f t="shared" si="47"/>
        <v>25</v>
      </c>
    </row>
    <row r="3042" spans="1:7" ht="12.75">
      <c r="A3042" s="134" t="s">
        <v>800</v>
      </c>
      <c r="B3042" s="134">
        <v>650</v>
      </c>
      <c r="C3042" s="491">
        <v>1</v>
      </c>
      <c r="D3042" s="491">
        <v>71</v>
      </c>
      <c r="E3042" s="491">
        <v>0</v>
      </c>
      <c r="F3042" s="491">
        <v>0</v>
      </c>
      <c r="G3042" s="491">
        <f t="shared" si="47"/>
        <v>72</v>
      </c>
    </row>
    <row r="3043" spans="1:7" ht="12.75">
      <c r="A3043" s="134" t="s">
        <v>800</v>
      </c>
      <c r="B3043" s="134">
        <v>651</v>
      </c>
      <c r="C3043" s="491">
        <v>0</v>
      </c>
      <c r="D3043" s="491">
        <v>1</v>
      </c>
      <c r="E3043" s="491">
        <v>0</v>
      </c>
      <c r="F3043" s="491">
        <v>0</v>
      </c>
      <c r="G3043" s="491">
        <f t="shared" si="47"/>
        <v>1</v>
      </c>
    </row>
    <row r="3044" spans="1:7" ht="12.75">
      <c r="A3044" s="134" t="s">
        <v>800</v>
      </c>
      <c r="B3044" s="134">
        <v>653</v>
      </c>
      <c r="C3044" s="491">
        <v>0</v>
      </c>
      <c r="D3044" s="491">
        <v>5</v>
      </c>
      <c r="E3044" s="491">
        <v>0</v>
      </c>
      <c r="F3044" s="491">
        <v>0</v>
      </c>
      <c r="G3044" s="491">
        <f t="shared" si="47"/>
        <v>5</v>
      </c>
    </row>
    <row r="3045" spans="1:7" ht="12.75">
      <c r="A3045" s="134" t="s">
        <v>800</v>
      </c>
      <c r="B3045" s="134">
        <v>654</v>
      </c>
      <c r="C3045" s="491">
        <v>1</v>
      </c>
      <c r="D3045" s="491">
        <v>2</v>
      </c>
      <c r="E3045" s="491">
        <v>0</v>
      </c>
      <c r="F3045" s="491">
        <v>1</v>
      </c>
      <c r="G3045" s="491">
        <f t="shared" si="47"/>
        <v>4</v>
      </c>
    </row>
    <row r="3046" spans="1:7" ht="12.75">
      <c r="A3046" s="134" t="s">
        <v>800</v>
      </c>
      <c r="B3046" s="134">
        <v>658</v>
      </c>
      <c r="C3046" s="491">
        <v>1</v>
      </c>
      <c r="D3046" s="491">
        <v>0</v>
      </c>
      <c r="E3046" s="491">
        <v>0</v>
      </c>
      <c r="F3046" s="491">
        <v>0</v>
      </c>
      <c r="G3046" s="491">
        <f t="shared" si="47"/>
        <v>1</v>
      </c>
    </row>
    <row r="3047" spans="1:7" ht="12.75">
      <c r="A3047" s="134" t="s">
        <v>800</v>
      </c>
      <c r="B3047" s="134">
        <v>800</v>
      </c>
      <c r="C3047" s="491">
        <v>4</v>
      </c>
      <c r="D3047" s="491">
        <v>0</v>
      </c>
      <c r="E3047" s="491">
        <v>0</v>
      </c>
      <c r="F3047" s="491">
        <v>0</v>
      </c>
      <c r="G3047" s="491">
        <f t="shared" si="47"/>
        <v>4</v>
      </c>
    </row>
    <row r="3048" spans="1:7" ht="12.75">
      <c r="A3048" s="134" t="s">
        <v>800</v>
      </c>
      <c r="B3048" s="134">
        <v>811</v>
      </c>
      <c r="C3048" s="491">
        <v>0</v>
      </c>
      <c r="D3048" s="491">
        <v>2</v>
      </c>
      <c r="E3048" s="491">
        <v>0</v>
      </c>
      <c r="F3048" s="491">
        <v>0</v>
      </c>
      <c r="G3048" s="491">
        <f t="shared" si="47"/>
        <v>2</v>
      </c>
    </row>
    <row r="3049" spans="1:7" ht="12.75">
      <c r="A3049" s="134" t="s">
        <v>800</v>
      </c>
      <c r="B3049" s="134">
        <v>812</v>
      </c>
      <c r="C3049" s="491">
        <v>16</v>
      </c>
      <c r="D3049" s="491">
        <v>0</v>
      </c>
      <c r="E3049" s="491">
        <v>0</v>
      </c>
      <c r="F3049" s="491">
        <v>0</v>
      </c>
      <c r="G3049" s="491">
        <f t="shared" si="47"/>
        <v>16</v>
      </c>
    </row>
    <row r="3050" spans="1:7" ht="12.75">
      <c r="A3050" s="134" t="s">
        <v>801</v>
      </c>
      <c r="B3050" s="134">
        <v>110</v>
      </c>
      <c r="C3050" s="491">
        <v>4</v>
      </c>
      <c r="D3050" s="491">
        <v>5</v>
      </c>
      <c r="E3050" s="491">
        <v>1</v>
      </c>
      <c r="F3050" s="491">
        <v>0</v>
      </c>
      <c r="G3050" s="491">
        <f t="shared" si="47"/>
        <v>10</v>
      </c>
    </row>
    <row r="3051" spans="1:7" ht="12.75">
      <c r="A3051" s="134" t="s">
        <v>801</v>
      </c>
      <c r="B3051" s="134">
        <v>120</v>
      </c>
      <c r="C3051" s="491">
        <v>3</v>
      </c>
      <c r="D3051" s="491">
        <v>5</v>
      </c>
      <c r="E3051" s="491">
        <v>0</v>
      </c>
      <c r="F3051" s="491">
        <v>0</v>
      </c>
      <c r="G3051" s="491">
        <f t="shared" si="47"/>
        <v>8</v>
      </c>
    </row>
    <row r="3052" spans="1:7" ht="12.75">
      <c r="A3052" s="134" t="s">
        <v>801</v>
      </c>
      <c r="B3052" s="134">
        <v>130</v>
      </c>
      <c r="C3052" s="491">
        <v>3</v>
      </c>
      <c r="D3052" s="491">
        <v>1</v>
      </c>
      <c r="E3052" s="491">
        <v>0</v>
      </c>
      <c r="F3052" s="491">
        <v>0</v>
      </c>
      <c r="G3052" s="491">
        <f t="shared" si="47"/>
        <v>4</v>
      </c>
    </row>
    <row r="3053" spans="1:7" ht="12.75">
      <c r="A3053" s="134" t="s">
        <v>801</v>
      </c>
      <c r="B3053" s="134">
        <v>140</v>
      </c>
      <c r="C3053" s="491">
        <v>441</v>
      </c>
      <c r="D3053" s="491">
        <v>18</v>
      </c>
      <c r="E3053" s="491">
        <v>7</v>
      </c>
      <c r="F3053" s="491">
        <v>1</v>
      </c>
      <c r="G3053" s="491">
        <f t="shared" si="47"/>
        <v>467</v>
      </c>
    </row>
    <row r="3054" spans="1:7" ht="12.75">
      <c r="A3054" s="134" t="s">
        <v>801</v>
      </c>
      <c r="B3054" s="134">
        <v>141</v>
      </c>
      <c r="C3054" s="491">
        <v>170</v>
      </c>
      <c r="D3054" s="491">
        <v>2</v>
      </c>
      <c r="E3054" s="491">
        <v>2</v>
      </c>
      <c r="F3054" s="491">
        <v>0</v>
      </c>
      <c r="G3054" s="491">
        <f t="shared" si="47"/>
        <v>174</v>
      </c>
    </row>
    <row r="3055" spans="1:7" ht="12.75">
      <c r="A3055" s="134" t="s">
        <v>801</v>
      </c>
      <c r="B3055" s="134">
        <v>142</v>
      </c>
      <c r="C3055" s="491">
        <v>208</v>
      </c>
      <c r="D3055" s="491">
        <v>9</v>
      </c>
      <c r="E3055" s="491">
        <v>0</v>
      </c>
      <c r="F3055" s="491">
        <v>0</v>
      </c>
      <c r="G3055" s="491">
        <f t="shared" si="47"/>
        <v>217</v>
      </c>
    </row>
    <row r="3056" spans="1:7" ht="12.75">
      <c r="A3056" s="134" t="s">
        <v>801</v>
      </c>
      <c r="B3056" s="134">
        <v>143</v>
      </c>
      <c r="C3056" s="491">
        <v>171764</v>
      </c>
      <c r="D3056" s="491">
        <v>799</v>
      </c>
      <c r="E3056" s="491">
        <v>568</v>
      </c>
      <c r="F3056" s="491">
        <v>6</v>
      </c>
      <c r="G3056" s="491">
        <f t="shared" si="47"/>
        <v>173137</v>
      </c>
    </row>
    <row r="3057" spans="1:7" ht="12.75">
      <c r="A3057" s="134" t="s">
        <v>801</v>
      </c>
      <c r="B3057" s="134">
        <v>144</v>
      </c>
      <c r="C3057" s="491">
        <v>245</v>
      </c>
      <c r="D3057" s="491">
        <v>6</v>
      </c>
      <c r="E3057" s="491">
        <v>4</v>
      </c>
      <c r="F3057" s="491">
        <v>0</v>
      </c>
      <c r="G3057" s="491">
        <f t="shared" si="47"/>
        <v>255</v>
      </c>
    </row>
    <row r="3058" spans="1:7" ht="12.75">
      <c r="A3058" s="134" t="s">
        <v>801</v>
      </c>
      <c r="B3058" s="134">
        <v>150</v>
      </c>
      <c r="C3058" s="491">
        <v>0</v>
      </c>
      <c r="D3058" s="491">
        <v>2</v>
      </c>
      <c r="E3058" s="491">
        <v>0</v>
      </c>
      <c r="F3058" s="491">
        <v>0</v>
      </c>
      <c r="G3058" s="491">
        <f t="shared" si="47"/>
        <v>2</v>
      </c>
    </row>
    <row r="3059" spans="1:7" ht="12.75">
      <c r="A3059" s="134" t="s">
        <v>801</v>
      </c>
      <c r="B3059" s="134">
        <v>160</v>
      </c>
      <c r="C3059" s="491">
        <v>0</v>
      </c>
      <c r="D3059" s="491">
        <v>6</v>
      </c>
      <c r="E3059" s="491">
        <v>0</v>
      </c>
      <c r="F3059" s="491">
        <v>0</v>
      </c>
      <c r="G3059" s="491">
        <f t="shared" si="47"/>
        <v>6</v>
      </c>
    </row>
    <row r="3060" spans="1:7" ht="12.75">
      <c r="A3060" s="134" t="s">
        <v>801</v>
      </c>
      <c r="B3060" s="134">
        <v>171</v>
      </c>
      <c r="C3060" s="491">
        <v>0</v>
      </c>
      <c r="D3060" s="491">
        <v>3</v>
      </c>
      <c r="E3060" s="491">
        <v>0</v>
      </c>
      <c r="F3060" s="491">
        <v>0</v>
      </c>
      <c r="G3060" s="491">
        <f t="shared" si="47"/>
        <v>3</v>
      </c>
    </row>
    <row r="3061" spans="1:7" ht="12.75">
      <c r="A3061" s="134" t="s">
        <v>801</v>
      </c>
      <c r="B3061" s="134">
        <v>190</v>
      </c>
      <c r="C3061" s="491">
        <v>0</v>
      </c>
      <c r="D3061" s="491">
        <v>1</v>
      </c>
      <c r="E3061" s="491">
        <v>0</v>
      </c>
      <c r="F3061" s="491">
        <v>0</v>
      </c>
      <c r="G3061" s="491">
        <f t="shared" si="47"/>
        <v>1</v>
      </c>
    </row>
    <row r="3062" spans="1:7" ht="12.75">
      <c r="A3062" s="134" t="s">
        <v>801</v>
      </c>
      <c r="B3062" s="134">
        <v>211</v>
      </c>
      <c r="C3062" s="491">
        <v>0</v>
      </c>
      <c r="D3062" s="491">
        <v>5</v>
      </c>
      <c r="E3062" s="491">
        <v>0</v>
      </c>
      <c r="F3062" s="491">
        <v>0</v>
      </c>
      <c r="G3062" s="491">
        <f t="shared" si="47"/>
        <v>5</v>
      </c>
    </row>
    <row r="3063" spans="1:7" ht="12.75">
      <c r="A3063" s="134" t="s">
        <v>801</v>
      </c>
      <c r="B3063" s="134">
        <v>214</v>
      </c>
      <c r="C3063" s="491">
        <v>2</v>
      </c>
      <c r="D3063" s="491">
        <v>2</v>
      </c>
      <c r="E3063" s="491">
        <v>0</v>
      </c>
      <c r="F3063" s="491">
        <v>0</v>
      </c>
      <c r="G3063" s="491">
        <f t="shared" si="47"/>
        <v>4</v>
      </c>
    </row>
    <row r="3064" spans="1:7" ht="12.75">
      <c r="A3064" s="134" t="s">
        <v>801</v>
      </c>
      <c r="B3064" s="134">
        <v>215</v>
      </c>
      <c r="C3064" s="491">
        <v>0</v>
      </c>
      <c r="D3064" s="491">
        <v>1</v>
      </c>
      <c r="E3064" s="491">
        <v>0</v>
      </c>
      <c r="F3064" s="491">
        <v>0</v>
      </c>
      <c r="G3064" s="491">
        <f t="shared" si="47"/>
        <v>1</v>
      </c>
    </row>
    <row r="3065" spans="1:7" ht="12.75">
      <c r="A3065" s="134" t="s">
        <v>801</v>
      </c>
      <c r="B3065" s="134">
        <v>216</v>
      </c>
      <c r="C3065" s="491">
        <v>1</v>
      </c>
      <c r="D3065" s="491">
        <v>0</v>
      </c>
      <c r="E3065" s="491">
        <v>0</v>
      </c>
      <c r="F3065" s="491">
        <v>0</v>
      </c>
      <c r="G3065" s="491">
        <f t="shared" si="47"/>
        <v>1</v>
      </c>
    </row>
    <row r="3066" spans="1:7" ht="12.75">
      <c r="A3066" s="134" t="s">
        <v>801</v>
      </c>
      <c r="B3066" s="134">
        <v>217</v>
      </c>
      <c r="C3066" s="491">
        <v>3</v>
      </c>
      <c r="D3066" s="491">
        <v>1</v>
      </c>
      <c r="E3066" s="491">
        <v>2</v>
      </c>
      <c r="F3066" s="491">
        <v>0</v>
      </c>
      <c r="G3066" s="491">
        <f t="shared" si="47"/>
        <v>6</v>
      </c>
    </row>
    <row r="3067" spans="1:7" ht="12.75">
      <c r="A3067" s="134" t="s">
        <v>801</v>
      </c>
      <c r="B3067" s="134">
        <v>219</v>
      </c>
      <c r="C3067" s="491">
        <v>3</v>
      </c>
      <c r="D3067" s="491">
        <v>0</v>
      </c>
      <c r="E3067" s="491">
        <v>0</v>
      </c>
      <c r="F3067" s="491">
        <v>0</v>
      </c>
      <c r="G3067" s="491">
        <f t="shared" si="47"/>
        <v>3</v>
      </c>
    </row>
    <row r="3068" spans="1:7" ht="12.75">
      <c r="A3068" s="134" t="s">
        <v>801</v>
      </c>
      <c r="B3068" s="134">
        <v>251</v>
      </c>
      <c r="C3068" s="491">
        <v>0</v>
      </c>
      <c r="D3068" s="491">
        <v>2</v>
      </c>
      <c r="E3068" s="491">
        <v>0</v>
      </c>
      <c r="F3068" s="491">
        <v>0</v>
      </c>
      <c r="G3068" s="491">
        <f t="shared" si="47"/>
        <v>2</v>
      </c>
    </row>
    <row r="3069" spans="1:7" ht="12.75">
      <c r="A3069" s="134" t="s">
        <v>801</v>
      </c>
      <c r="B3069" s="134">
        <v>252</v>
      </c>
      <c r="C3069" s="491">
        <v>0</v>
      </c>
      <c r="D3069" s="491">
        <v>1</v>
      </c>
      <c r="E3069" s="491">
        <v>0</v>
      </c>
      <c r="F3069" s="491">
        <v>0</v>
      </c>
      <c r="G3069" s="491">
        <f t="shared" si="47"/>
        <v>1</v>
      </c>
    </row>
    <row r="3070" spans="1:7" ht="12.75">
      <c r="A3070" s="134" t="s">
        <v>801</v>
      </c>
      <c r="B3070" s="134">
        <v>253</v>
      </c>
      <c r="C3070" s="491">
        <v>0</v>
      </c>
      <c r="D3070" s="491">
        <v>3</v>
      </c>
      <c r="E3070" s="491">
        <v>0</v>
      </c>
      <c r="F3070" s="491">
        <v>0</v>
      </c>
      <c r="G3070" s="491">
        <f t="shared" si="47"/>
        <v>3</v>
      </c>
    </row>
    <row r="3071" spans="1:7" ht="12.75">
      <c r="A3071" s="134" t="s">
        <v>801</v>
      </c>
      <c r="B3071" s="134">
        <v>257</v>
      </c>
      <c r="C3071" s="491">
        <v>1</v>
      </c>
      <c r="D3071" s="491">
        <v>0</v>
      </c>
      <c r="E3071" s="491">
        <v>0</v>
      </c>
      <c r="F3071" s="491">
        <v>0</v>
      </c>
      <c r="G3071" s="491">
        <f t="shared" si="47"/>
        <v>1</v>
      </c>
    </row>
    <row r="3072" spans="1:7" ht="12.75">
      <c r="A3072" s="134" t="s">
        <v>801</v>
      </c>
      <c r="B3072" s="134">
        <v>258</v>
      </c>
      <c r="C3072" s="491">
        <v>0</v>
      </c>
      <c r="D3072" s="491">
        <v>3</v>
      </c>
      <c r="E3072" s="491">
        <v>0</v>
      </c>
      <c r="F3072" s="491">
        <v>0</v>
      </c>
      <c r="G3072" s="491">
        <f t="shared" si="47"/>
        <v>3</v>
      </c>
    </row>
    <row r="3073" spans="1:7" ht="12.75">
      <c r="A3073" s="134" t="s">
        <v>801</v>
      </c>
      <c r="B3073" s="134">
        <v>263</v>
      </c>
      <c r="C3073" s="491">
        <v>2</v>
      </c>
      <c r="D3073" s="491">
        <v>0</v>
      </c>
      <c r="E3073" s="491">
        <v>0</v>
      </c>
      <c r="F3073" s="491">
        <v>0</v>
      </c>
      <c r="G3073" s="491">
        <f t="shared" si="47"/>
        <v>2</v>
      </c>
    </row>
    <row r="3074" spans="1:7" ht="12.75">
      <c r="A3074" s="134" t="s">
        <v>801</v>
      </c>
      <c r="B3074" s="134">
        <v>290</v>
      </c>
      <c r="C3074" s="491">
        <v>1</v>
      </c>
      <c r="D3074" s="491">
        <v>0</v>
      </c>
      <c r="E3074" s="491">
        <v>0</v>
      </c>
      <c r="F3074" s="491">
        <v>0</v>
      </c>
      <c r="G3074" s="491">
        <f t="shared" si="47"/>
        <v>1</v>
      </c>
    </row>
    <row r="3075" spans="1:7" ht="12.75">
      <c r="A3075" s="134" t="s">
        <v>801</v>
      </c>
      <c r="B3075" s="134">
        <v>301</v>
      </c>
      <c r="C3075" s="491">
        <v>0</v>
      </c>
      <c r="D3075" s="491">
        <v>1</v>
      </c>
      <c r="E3075" s="491">
        <v>0</v>
      </c>
      <c r="F3075" s="491">
        <v>0</v>
      </c>
      <c r="G3075" s="491">
        <f t="shared" si="47"/>
        <v>1</v>
      </c>
    </row>
    <row r="3076" spans="1:7" ht="12.75">
      <c r="A3076" s="134" t="s">
        <v>801</v>
      </c>
      <c r="B3076" s="134">
        <v>310</v>
      </c>
      <c r="C3076" s="491">
        <v>0</v>
      </c>
      <c r="D3076" s="491">
        <v>3</v>
      </c>
      <c r="E3076" s="491">
        <v>0</v>
      </c>
      <c r="F3076" s="491">
        <v>0</v>
      </c>
      <c r="G3076" s="491">
        <f t="shared" ref="G3076:G3139" si="48">SUM(C3076:F3076)</f>
        <v>3</v>
      </c>
    </row>
    <row r="3077" spans="1:7" ht="12.75">
      <c r="A3077" s="134" t="s">
        <v>801</v>
      </c>
      <c r="B3077" s="134">
        <v>311</v>
      </c>
      <c r="C3077" s="491">
        <v>0</v>
      </c>
      <c r="D3077" s="491">
        <v>1</v>
      </c>
      <c r="E3077" s="491">
        <v>0</v>
      </c>
      <c r="F3077" s="491">
        <v>0</v>
      </c>
      <c r="G3077" s="491">
        <f t="shared" si="48"/>
        <v>1</v>
      </c>
    </row>
    <row r="3078" spans="1:7" ht="12.75">
      <c r="A3078" s="134" t="s">
        <v>801</v>
      </c>
      <c r="B3078" s="134">
        <v>321</v>
      </c>
      <c r="C3078" s="491">
        <v>1</v>
      </c>
      <c r="D3078" s="491">
        <v>0</v>
      </c>
      <c r="E3078" s="491">
        <v>1</v>
      </c>
      <c r="F3078" s="491">
        <v>0</v>
      </c>
      <c r="G3078" s="491">
        <f t="shared" si="48"/>
        <v>2</v>
      </c>
    </row>
    <row r="3079" spans="1:7" ht="12.75">
      <c r="A3079" s="134" t="s">
        <v>801</v>
      </c>
      <c r="B3079" s="134">
        <v>330</v>
      </c>
      <c r="C3079" s="491">
        <v>1</v>
      </c>
      <c r="D3079" s="491">
        <v>4</v>
      </c>
      <c r="E3079" s="491">
        <v>0</v>
      </c>
      <c r="F3079" s="491">
        <v>0</v>
      </c>
      <c r="G3079" s="491">
        <f t="shared" si="48"/>
        <v>5</v>
      </c>
    </row>
    <row r="3080" spans="1:7" ht="12.75">
      <c r="A3080" s="134" t="s">
        <v>801</v>
      </c>
      <c r="B3080" s="134">
        <v>340</v>
      </c>
      <c r="C3080" s="491">
        <v>0</v>
      </c>
      <c r="D3080" s="491">
        <v>2</v>
      </c>
      <c r="E3080" s="491">
        <v>0</v>
      </c>
      <c r="F3080" s="491">
        <v>0</v>
      </c>
      <c r="G3080" s="491">
        <f t="shared" si="48"/>
        <v>2</v>
      </c>
    </row>
    <row r="3081" spans="1:7" ht="12.75">
      <c r="A3081" s="134" t="s">
        <v>801</v>
      </c>
      <c r="B3081" s="134">
        <v>361</v>
      </c>
      <c r="C3081" s="491">
        <v>1</v>
      </c>
      <c r="D3081" s="491">
        <v>0</v>
      </c>
      <c r="E3081" s="491">
        <v>0</v>
      </c>
      <c r="F3081" s="491">
        <v>0</v>
      </c>
      <c r="G3081" s="491">
        <f t="shared" si="48"/>
        <v>1</v>
      </c>
    </row>
    <row r="3082" spans="1:7" ht="12.75">
      <c r="A3082" s="134" t="s">
        <v>801</v>
      </c>
      <c r="B3082" s="134">
        <v>400</v>
      </c>
      <c r="C3082" s="491">
        <v>0</v>
      </c>
      <c r="D3082" s="491">
        <v>2</v>
      </c>
      <c r="E3082" s="491">
        <v>0</v>
      </c>
      <c r="F3082" s="491">
        <v>0</v>
      </c>
      <c r="G3082" s="491">
        <f t="shared" si="48"/>
        <v>2</v>
      </c>
    </row>
    <row r="3083" spans="1:7" ht="12.75">
      <c r="A3083" s="134" t="s">
        <v>801</v>
      </c>
      <c r="B3083" s="134">
        <v>410</v>
      </c>
      <c r="C3083" s="491">
        <v>0</v>
      </c>
      <c r="D3083" s="491">
        <v>2</v>
      </c>
      <c r="E3083" s="491">
        <v>0</v>
      </c>
      <c r="F3083" s="491">
        <v>0</v>
      </c>
      <c r="G3083" s="491">
        <f t="shared" si="48"/>
        <v>2</v>
      </c>
    </row>
    <row r="3084" spans="1:7" ht="12.75">
      <c r="A3084" s="134" t="s">
        <v>801</v>
      </c>
      <c r="B3084" s="134">
        <v>420</v>
      </c>
      <c r="C3084" s="491">
        <v>6</v>
      </c>
      <c r="D3084" s="491">
        <v>21</v>
      </c>
      <c r="E3084" s="491">
        <v>0</v>
      </c>
      <c r="F3084" s="491">
        <v>0</v>
      </c>
      <c r="G3084" s="491">
        <f t="shared" si="48"/>
        <v>27</v>
      </c>
    </row>
    <row r="3085" spans="1:7" ht="12.75">
      <c r="A3085" s="134" t="s">
        <v>801</v>
      </c>
      <c r="B3085" s="134">
        <v>421</v>
      </c>
      <c r="C3085" s="491">
        <v>0</v>
      </c>
      <c r="D3085" s="491">
        <v>2</v>
      </c>
      <c r="E3085" s="491">
        <v>0</v>
      </c>
      <c r="F3085" s="491">
        <v>0</v>
      </c>
      <c r="G3085" s="491">
        <f t="shared" si="48"/>
        <v>2</v>
      </c>
    </row>
    <row r="3086" spans="1:7" ht="12.75">
      <c r="A3086" s="134" t="s">
        <v>801</v>
      </c>
      <c r="B3086" s="134">
        <v>422</v>
      </c>
      <c r="C3086" s="491">
        <v>0</v>
      </c>
      <c r="D3086" s="491">
        <v>4</v>
      </c>
      <c r="E3086" s="491">
        <v>0</v>
      </c>
      <c r="F3086" s="491">
        <v>0</v>
      </c>
      <c r="G3086" s="491">
        <f t="shared" si="48"/>
        <v>4</v>
      </c>
    </row>
    <row r="3087" spans="1:7" ht="12.75">
      <c r="A3087" s="134" t="s">
        <v>801</v>
      </c>
      <c r="B3087" s="134">
        <v>450</v>
      </c>
      <c r="C3087" s="491">
        <v>22</v>
      </c>
      <c r="D3087" s="491">
        <v>0</v>
      </c>
      <c r="E3087" s="491">
        <v>0</v>
      </c>
      <c r="F3087" s="491">
        <v>0</v>
      </c>
      <c r="G3087" s="491">
        <f t="shared" si="48"/>
        <v>22</v>
      </c>
    </row>
    <row r="3088" spans="1:7" ht="12.75">
      <c r="A3088" s="134" t="s">
        <v>801</v>
      </c>
      <c r="B3088" s="134">
        <v>501</v>
      </c>
      <c r="C3088" s="491">
        <v>2</v>
      </c>
      <c r="D3088" s="491">
        <v>1</v>
      </c>
      <c r="E3088" s="491">
        <v>0</v>
      </c>
      <c r="F3088" s="491">
        <v>0</v>
      </c>
      <c r="G3088" s="491">
        <f t="shared" si="48"/>
        <v>3</v>
      </c>
    </row>
    <row r="3089" spans="1:7" ht="12.75">
      <c r="A3089" s="134" t="s">
        <v>801</v>
      </c>
      <c r="B3089" s="134">
        <v>502</v>
      </c>
      <c r="C3089" s="491">
        <v>0</v>
      </c>
      <c r="D3089" s="491">
        <v>3</v>
      </c>
      <c r="E3089" s="491">
        <v>0</v>
      </c>
      <c r="F3089" s="491">
        <v>0</v>
      </c>
      <c r="G3089" s="491">
        <f t="shared" si="48"/>
        <v>3</v>
      </c>
    </row>
    <row r="3090" spans="1:7" ht="12.75">
      <c r="A3090" s="134" t="s">
        <v>801</v>
      </c>
      <c r="B3090" s="134">
        <v>650</v>
      </c>
      <c r="C3090" s="491">
        <v>0</v>
      </c>
      <c r="D3090" s="491">
        <v>7</v>
      </c>
      <c r="E3090" s="491">
        <v>0</v>
      </c>
      <c r="F3090" s="491">
        <v>0</v>
      </c>
      <c r="G3090" s="491">
        <f t="shared" si="48"/>
        <v>7</v>
      </c>
    </row>
    <row r="3091" spans="1:7" ht="12.75">
      <c r="A3091" s="134" t="s">
        <v>801</v>
      </c>
      <c r="B3091" s="134">
        <v>651</v>
      </c>
      <c r="C3091" s="491">
        <v>2</v>
      </c>
      <c r="D3091" s="491">
        <v>0</v>
      </c>
      <c r="E3091" s="491">
        <v>0</v>
      </c>
      <c r="F3091" s="491">
        <v>0</v>
      </c>
      <c r="G3091" s="491">
        <f t="shared" si="48"/>
        <v>2</v>
      </c>
    </row>
    <row r="3092" spans="1:7" ht="12.75">
      <c r="A3092" s="134" t="s">
        <v>801</v>
      </c>
      <c r="B3092" s="134">
        <v>654</v>
      </c>
      <c r="C3092" s="491">
        <v>0</v>
      </c>
      <c r="D3092" s="491">
        <v>1</v>
      </c>
      <c r="E3092" s="491">
        <v>0</v>
      </c>
      <c r="F3092" s="491">
        <v>0</v>
      </c>
      <c r="G3092" s="491">
        <f t="shared" si="48"/>
        <v>1</v>
      </c>
    </row>
    <row r="3093" spans="1:7" ht="12.75">
      <c r="A3093" s="134" t="s">
        <v>801</v>
      </c>
      <c r="B3093" s="134">
        <v>812</v>
      </c>
      <c r="C3093" s="491">
        <v>20</v>
      </c>
      <c r="D3093" s="491">
        <v>0</v>
      </c>
      <c r="E3093" s="491">
        <v>0</v>
      </c>
      <c r="F3093" s="491">
        <v>0</v>
      </c>
      <c r="G3093" s="491">
        <f t="shared" si="48"/>
        <v>20</v>
      </c>
    </row>
    <row r="3094" spans="1:7" ht="12.75">
      <c r="A3094" s="134" t="s">
        <v>801</v>
      </c>
      <c r="B3094" s="134">
        <v>822</v>
      </c>
      <c r="C3094" s="491">
        <v>0</v>
      </c>
      <c r="D3094" s="491">
        <v>2</v>
      </c>
      <c r="E3094" s="491">
        <v>0</v>
      </c>
      <c r="F3094" s="491">
        <v>0</v>
      </c>
      <c r="G3094" s="491">
        <f t="shared" si="48"/>
        <v>2</v>
      </c>
    </row>
    <row r="3095" spans="1:7" ht="12.75">
      <c r="A3095" s="134" t="s">
        <v>801</v>
      </c>
      <c r="B3095" s="134">
        <v>840</v>
      </c>
      <c r="C3095" s="491">
        <v>1</v>
      </c>
      <c r="D3095" s="491">
        <v>0</v>
      </c>
      <c r="E3095" s="491">
        <v>0</v>
      </c>
      <c r="F3095" s="491">
        <v>0</v>
      </c>
      <c r="G3095" s="491">
        <f t="shared" si="48"/>
        <v>1</v>
      </c>
    </row>
    <row r="3096" spans="1:7" ht="12.75">
      <c r="A3096" s="134" t="s">
        <v>92</v>
      </c>
      <c r="B3096" s="134">
        <v>120</v>
      </c>
      <c r="C3096" s="491">
        <v>2</v>
      </c>
      <c r="D3096" s="491">
        <v>0</v>
      </c>
      <c r="E3096" s="491">
        <v>0</v>
      </c>
      <c r="F3096" s="491">
        <v>0</v>
      </c>
      <c r="G3096" s="491">
        <f t="shared" si="48"/>
        <v>2</v>
      </c>
    </row>
    <row r="3097" spans="1:7" ht="12.75">
      <c r="A3097" s="134" t="s">
        <v>92</v>
      </c>
      <c r="B3097" s="134">
        <v>420</v>
      </c>
      <c r="C3097" s="491">
        <v>1</v>
      </c>
      <c r="D3097" s="491">
        <v>1</v>
      </c>
      <c r="E3097" s="491">
        <v>0</v>
      </c>
      <c r="F3097" s="491">
        <v>0</v>
      </c>
      <c r="G3097" s="491">
        <f t="shared" si="48"/>
        <v>2</v>
      </c>
    </row>
    <row r="3098" spans="1:7" ht="12.75">
      <c r="A3098" s="134" t="s">
        <v>802</v>
      </c>
      <c r="B3098" s="134">
        <v>110</v>
      </c>
      <c r="C3098" s="491">
        <v>1</v>
      </c>
      <c r="D3098" s="491">
        <v>0</v>
      </c>
      <c r="E3098" s="491">
        <v>0</v>
      </c>
      <c r="F3098" s="491">
        <v>0</v>
      </c>
      <c r="G3098" s="491">
        <f t="shared" si="48"/>
        <v>1</v>
      </c>
    </row>
    <row r="3099" spans="1:7" ht="12.75">
      <c r="A3099" s="134" t="s">
        <v>802</v>
      </c>
      <c r="B3099" s="134">
        <v>120</v>
      </c>
      <c r="C3099" s="491">
        <v>44</v>
      </c>
      <c r="D3099" s="491">
        <v>10</v>
      </c>
      <c r="E3099" s="491">
        <v>0</v>
      </c>
      <c r="F3099" s="491">
        <v>0</v>
      </c>
      <c r="G3099" s="491">
        <f t="shared" si="48"/>
        <v>54</v>
      </c>
    </row>
    <row r="3100" spans="1:7" ht="12.75">
      <c r="A3100" s="134" t="s">
        <v>802</v>
      </c>
      <c r="B3100" s="134">
        <v>300</v>
      </c>
      <c r="C3100" s="491">
        <v>1</v>
      </c>
      <c r="D3100" s="491">
        <v>0</v>
      </c>
      <c r="E3100" s="491">
        <v>0</v>
      </c>
      <c r="F3100" s="491">
        <v>0</v>
      </c>
      <c r="G3100" s="491">
        <f t="shared" si="48"/>
        <v>1</v>
      </c>
    </row>
    <row r="3101" spans="1:7" ht="12.75">
      <c r="A3101" s="134" t="s">
        <v>802</v>
      </c>
      <c r="B3101" s="134">
        <v>340</v>
      </c>
      <c r="C3101" s="491">
        <v>4</v>
      </c>
      <c r="D3101" s="491">
        <v>2</v>
      </c>
      <c r="E3101" s="491">
        <v>0</v>
      </c>
      <c r="F3101" s="491">
        <v>1</v>
      </c>
      <c r="G3101" s="491">
        <f t="shared" si="48"/>
        <v>7</v>
      </c>
    </row>
    <row r="3102" spans="1:7" ht="12.75">
      <c r="A3102" s="134" t="s">
        <v>802</v>
      </c>
      <c r="B3102" s="134">
        <v>370</v>
      </c>
      <c r="C3102" s="491">
        <v>1</v>
      </c>
      <c r="D3102" s="491">
        <v>0</v>
      </c>
      <c r="E3102" s="491">
        <v>1</v>
      </c>
      <c r="F3102" s="491">
        <v>0</v>
      </c>
      <c r="G3102" s="491">
        <f t="shared" si="48"/>
        <v>2</v>
      </c>
    </row>
    <row r="3103" spans="1:7" ht="12.75">
      <c r="A3103" s="134" t="s">
        <v>802</v>
      </c>
      <c r="B3103" s="134">
        <v>502</v>
      </c>
      <c r="C3103" s="491">
        <v>0</v>
      </c>
      <c r="D3103" s="491">
        <v>1</v>
      </c>
      <c r="E3103" s="491">
        <v>0</v>
      </c>
      <c r="F3103" s="491">
        <v>0</v>
      </c>
      <c r="G3103" s="491">
        <f t="shared" si="48"/>
        <v>1</v>
      </c>
    </row>
    <row r="3104" spans="1:7" ht="12.75">
      <c r="A3104" s="134" t="s">
        <v>802</v>
      </c>
      <c r="B3104" s="134">
        <v>560</v>
      </c>
      <c r="C3104" s="491">
        <v>1</v>
      </c>
      <c r="D3104" s="491">
        <v>0</v>
      </c>
      <c r="E3104" s="491">
        <v>0</v>
      </c>
      <c r="F3104" s="491">
        <v>0</v>
      </c>
      <c r="G3104" s="491">
        <f t="shared" si="48"/>
        <v>1</v>
      </c>
    </row>
    <row r="3105" spans="1:7" ht="12.75">
      <c r="A3105" s="134" t="s">
        <v>803</v>
      </c>
      <c r="B3105" s="134">
        <v>120</v>
      </c>
      <c r="C3105" s="491">
        <v>1</v>
      </c>
      <c r="D3105" s="491">
        <v>1</v>
      </c>
      <c r="E3105" s="491">
        <v>1</v>
      </c>
      <c r="F3105" s="491">
        <v>0</v>
      </c>
      <c r="G3105" s="491">
        <f t="shared" si="48"/>
        <v>3</v>
      </c>
    </row>
    <row r="3106" spans="1:7" ht="12.75">
      <c r="A3106" s="134" t="s">
        <v>803</v>
      </c>
      <c r="B3106" s="134">
        <v>215</v>
      </c>
      <c r="C3106" s="491">
        <v>0</v>
      </c>
      <c r="D3106" s="491">
        <v>1</v>
      </c>
      <c r="E3106" s="491">
        <v>0</v>
      </c>
      <c r="F3106" s="491">
        <v>0</v>
      </c>
      <c r="G3106" s="491">
        <f t="shared" si="48"/>
        <v>1</v>
      </c>
    </row>
    <row r="3107" spans="1:7" ht="12.75">
      <c r="A3107" s="134" t="s">
        <v>803</v>
      </c>
      <c r="B3107" s="134">
        <v>420</v>
      </c>
      <c r="C3107" s="491">
        <v>0</v>
      </c>
      <c r="D3107" s="491">
        <v>1</v>
      </c>
      <c r="E3107" s="491">
        <v>1</v>
      </c>
      <c r="F3107" s="491">
        <v>0</v>
      </c>
      <c r="G3107" s="491">
        <f t="shared" si="48"/>
        <v>2</v>
      </c>
    </row>
    <row r="3108" spans="1:7" ht="12.75">
      <c r="A3108" s="134" t="s">
        <v>804</v>
      </c>
      <c r="B3108" s="134">
        <v>420</v>
      </c>
      <c r="C3108" s="491">
        <v>0</v>
      </c>
      <c r="D3108" s="491">
        <v>0</v>
      </c>
      <c r="E3108" s="491">
        <v>1</v>
      </c>
      <c r="F3108" s="491">
        <v>0</v>
      </c>
      <c r="G3108" s="491">
        <f t="shared" si="48"/>
        <v>1</v>
      </c>
    </row>
    <row r="3109" spans="1:7" ht="12.75">
      <c r="A3109" s="134" t="s">
        <v>805</v>
      </c>
      <c r="B3109" s="134">
        <v>100</v>
      </c>
      <c r="C3109" s="491">
        <v>8</v>
      </c>
      <c r="D3109" s="491">
        <v>2</v>
      </c>
      <c r="E3109" s="491">
        <v>4</v>
      </c>
      <c r="F3109" s="491">
        <v>1</v>
      </c>
      <c r="G3109" s="491">
        <f t="shared" si="48"/>
        <v>15</v>
      </c>
    </row>
    <row r="3110" spans="1:7" ht="12.75">
      <c r="A3110" s="134" t="s">
        <v>805</v>
      </c>
      <c r="B3110" s="134">
        <v>101</v>
      </c>
      <c r="C3110" s="491">
        <v>3</v>
      </c>
      <c r="D3110" s="491">
        <v>0</v>
      </c>
      <c r="E3110" s="491">
        <v>0</v>
      </c>
      <c r="F3110" s="491">
        <v>0</v>
      </c>
      <c r="G3110" s="491">
        <f t="shared" si="48"/>
        <v>3</v>
      </c>
    </row>
    <row r="3111" spans="1:7" ht="12.75">
      <c r="A3111" s="134" t="s">
        <v>805</v>
      </c>
      <c r="B3111" s="134">
        <v>103</v>
      </c>
      <c r="C3111" s="491">
        <v>18</v>
      </c>
      <c r="D3111" s="491">
        <v>3</v>
      </c>
      <c r="E3111" s="491">
        <v>0</v>
      </c>
      <c r="F3111" s="491">
        <v>0</v>
      </c>
      <c r="G3111" s="491">
        <f t="shared" si="48"/>
        <v>21</v>
      </c>
    </row>
    <row r="3112" spans="1:7" ht="12.75">
      <c r="A3112" s="134" t="s">
        <v>805</v>
      </c>
      <c r="B3112" s="134">
        <v>104</v>
      </c>
      <c r="C3112" s="491">
        <v>4</v>
      </c>
      <c r="D3112" s="491">
        <v>1</v>
      </c>
      <c r="E3112" s="491">
        <v>0</v>
      </c>
      <c r="F3112" s="491">
        <v>0</v>
      </c>
      <c r="G3112" s="491">
        <f t="shared" si="48"/>
        <v>5</v>
      </c>
    </row>
    <row r="3113" spans="1:7" ht="12.75">
      <c r="A3113" s="134" t="s">
        <v>805</v>
      </c>
      <c r="B3113" s="134">
        <v>106</v>
      </c>
      <c r="C3113" s="491">
        <v>2</v>
      </c>
      <c r="D3113" s="491">
        <v>0</v>
      </c>
      <c r="E3113" s="491">
        <v>1</v>
      </c>
      <c r="F3113" s="491">
        <v>0</v>
      </c>
      <c r="G3113" s="491">
        <f t="shared" si="48"/>
        <v>3</v>
      </c>
    </row>
    <row r="3114" spans="1:7" ht="12.75">
      <c r="A3114" s="134" t="s">
        <v>805</v>
      </c>
      <c r="B3114" s="134">
        <v>110</v>
      </c>
      <c r="C3114" s="491">
        <v>1</v>
      </c>
      <c r="D3114" s="491">
        <v>2</v>
      </c>
      <c r="E3114" s="491">
        <v>0</v>
      </c>
      <c r="F3114" s="491">
        <v>0</v>
      </c>
      <c r="G3114" s="491">
        <f t="shared" si="48"/>
        <v>3</v>
      </c>
    </row>
    <row r="3115" spans="1:7" ht="12.75">
      <c r="A3115" s="134" t="s">
        <v>805</v>
      </c>
      <c r="B3115" s="134">
        <v>120</v>
      </c>
      <c r="C3115" s="491">
        <v>67</v>
      </c>
      <c r="D3115" s="491">
        <v>29</v>
      </c>
      <c r="E3115" s="491">
        <v>0</v>
      </c>
      <c r="F3115" s="491">
        <v>0</v>
      </c>
      <c r="G3115" s="491">
        <f t="shared" si="48"/>
        <v>96</v>
      </c>
    </row>
    <row r="3116" spans="1:7" ht="12.75">
      <c r="A3116" s="134" t="s">
        <v>805</v>
      </c>
      <c r="B3116" s="134">
        <v>130</v>
      </c>
      <c r="C3116" s="491">
        <v>3</v>
      </c>
      <c r="D3116" s="491">
        <v>4</v>
      </c>
      <c r="E3116" s="491">
        <v>0</v>
      </c>
      <c r="F3116" s="491">
        <v>0</v>
      </c>
      <c r="G3116" s="491">
        <f t="shared" si="48"/>
        <v>7</v>
      </c>
    </row>
    <row r="3117" spans="1:7" ht="12.75">
      <c r="A3117" s="134" t="s">
        <v>805</v>
      </c>
      <c r="B3117" s="134">
        <v>140</v>
      </c>
      <c r="C3117" s="491">
        <v>0</v>
      </c>
      <c r="D3117" s="491">
        <v>1</v>
      </c>
      <c r="E3117" s="491">
        <v>0</v>
      </c>
      <c r="F3117" s="491">
        <v>0</v>
      </c>
      <c r="G3117" s="491">
        <f t="shared" si="48"/>
        <v>1</v>
      </c>
    </row>
    <row r="3118" spans="1:7" ht="12.75">
      <c r="A3118" s="134" t="s">
        <v>805</v>
      </c>
      <c r="B3118" s="134">
        <v>160</v>
      </c>
      <c r="C3118" s="491">
        <v>17</v>
      </c>
      <c r="D3118" s="491">
        <v>2</v>
      </c>
      <c r="E3118" s="491">
        <v>0</v>
      </c>
      <c r="F3118" s="491">
        <v>0</v>
      </c>
      <c r="G3118" s="491">
        <f t="shared" si="48"/>
        <v>19</v>
      </c>
    </row>
    <row r="3119" spans="1:7" ht="12.75">
      <c r="A3119" s="134" t="s">
        <v>805</v>
      </c>
      <c r="B3119" s="134">
        <v>170</v>
      </c>
      <c r="C3119" s="491">
        <v>7</v>
      </c>
      <c r="D3119" s="491">
        <v>2</v>
      </c>
      <c r="E3119" s="491">
        <v>0</v>
      </c>
      <c r="F3119" s="491">
        <v>0</v>
      </c>
      <c r="G3119" s="491">
        <f t="shared" si="48"/>
        <v>9</v>
      </c>
    </row>
    <row r="3120" spans="1:7" ht="12.75">
      <c r="A3120" s="134" t="s">
        <v>805</v>
      </c>
      <c r="B3120" s="134">
        <v>172</v>
      </c>
      <c r="C3120" s="491">
        <v>0</v>
      </c>
      <c r="D3120" s="491">
        <v>1</v>
      </c>
      <c r="E3120" s="491">
        <v>0</v>
      </c>
      <c r="F3120" s="491">
        <v>0</v>
      </c>
      <c r="G3120" s="491">
        <f t="shared" si="48"/>
        <v>1</v>
      </c>
    </row>
    <row r="3121" spans="1:7" ht="12.75">
      <c r="A3121" s="134" t="s">
        <v>805</v>
      </c>
      <c r="B3121" s="134">
        <v>173</v>
      </c>
      <c r="C3121" s="491">
        <v>50</v>
      </c>
      <c r="D3121" s="491">
        <v>1</v>
      </c>
      <c r="E3121" s="491">
        <v>2</v>
      </c>
      <c r="F3121" s="491">
        <v>0</v>
      </c>
      <c r="G3121" s="491">
        <f t="shared" si="48"/>
        <v>53</v>
      </c>
    </row>
    <row r="3122" spans="1:7" ht="12.75">
      <c r="A3122" s="134" t="s">
        <v>805</v>
      </c>
      <c r="B3122" s="134">
        <v>180</v>
      </c>
      <c r="C3122" s="491">
        <v>1</v>
      </c>
      <c r="D3122" s="491">
        <v>2</v>
      </c>
      <c r="E3122" s="491">
        <v>0</v>
      </c>
      <c r="F3122" s="491">
        <v>0</v>
      </c>
      <c r="G3122" s="491">
        <f t="shared" si="48"/>
        <v>3</v>
      </c>
    </row>
    <row r="3123" spans="1:7" ht="12.75">
      <c r="A3123" s="134" t="s">
        <v>805</v>
      </c>
      <c r="B3123" s="134">
        <v>300</v>
      </c>
      <c r="C3123" s="491">
        <v>187</v>
      </c>
      <c r="D3123" s="491">
        <v>65</v>
      </c>
      <c r="E3123" s="491">
        <v>0</v>
      </c>
      <c r="F3123" s="491">
        <v>1</v>
      </c>
      <c r="G3123" s="491">
        <f t="shared" si="48"/>
        <v>253</v>
      </c>
    </row>
    <row r="3124" spans="1:7" ht="12.75">
      <c r="A3124" s="134" t="s">
        <v>805</v>
      </c>
      <c r="B3124" s="134">
        <v>301</v>
      </c>
      <c r="C3124" s="491">
        <v>26</v>
      </c>
      <c r="D3124" s="491">
        <v>2</v>
      </c>
      <c r="E3124" s="491">
        <v>0</v>
      </c>
      <c r="F3124" s="491">
        <v>0</v>
      </c>
      <c r="G3124" s="491">
        <f t="shared" si="48"/>
        <v>28</v>
      </c>
    </row>
    <row r="3125" spans="1:7" ht="12.75">
      <c r="A3125" s="134" t="s">
        <v>805</v>
      </c>
      <c r="B3125" s="134">
        <v>303</v>
      </c>
      <c r="C3125" s="491">
        <v>16</v>
      </c>
      <c r="D3125" s="491">
        <v>1</v>
      </c>
      <c r="E3125" s="491">
        <v>0</v>
      </c>
      <c r="F3125" s="491">
        <v>0</v>
      </c>
      <c r="G3125" s="491">
        <f t="shared" si="48"/>
        <v>17</v>
      </c>
    </row>
    <row r="3126" spans="1:7" ht="12.75">
      <c r="A3126" s="134" t="s">
        <v>805</v>
      </c>
      <c r="B3126" s="134">
        <v>305</v>
      </c>
      <c r="C3126" s="491">
        <v>1</v>
      </c>
      <c r="D3126" s="491">
        <v>0</v>
      </c>
      <c r="E3126" s="491">
        <v>0</v>
      </c>
      <c r="F3126" s="491">
        <v>0</v>
      </c>
      <c r="G3126" s="491">
        <f t="shared" si="48"/>
        <v>1</v>
      </c>
    </row>
    <row r="3127" spans="1:7" ht="12.75">
      <c r="A3127" s="134" t="s">
        <v>805</v>
      </c>
      <c r="B3127" s="134">
        <v>306</v>
      </c>
      <c r="C3127" s="491">
        <v>1</v>
      </c>
      <c r="D3127" s="491">
        <v>0</v>
      </c>
      <c r="E3127" s="491">
        <v>0</v>
      </c>
      <c r="F3127" s="491">
        <v>0</v>
      </c>
      <c r="G3127" s="491">
        <f t="shared" si="48"/>
        <v>1</v>
      </c>
    </row>
    <row r="3128" spans="1:7" ht="12.75">
      <c r="A3128" s="134" t="s">
        <v>805</v>
      </c>
      <c r="B3128" s="134">
        <v>307</v>
      </c>
      <c r="C3128" s="491">
        <v>0</v>
      </c>
      <c r="D3128" s="491">
        <v>1</v>
      </c>
      <c r="E3128" s="491">
        <v>0</v>
      </c>
      <c r="F3128" s="491">
        <v>0</v>
      </c>
      <c r="G3128" s="491">
        <f t="shared" si="48"/>
        <v>1</v>
      </c>
    </row>
    <row r="3129" spans="1:7" ht="12.75">
      <c r="A3129" s="134" t="s">
        <v>805</v>
      </c>
      <c r="B3129" s="134">
        <v>315</v>
      </c>
      <c r="C3129" s="491">
        <v>4</v>
      </c>
      <c r="D3129" s="491">
        <v>0</v>
      </c>
      <c r="E3129" s="491">
        <v>0</v>
      </c>
      <c r="F3129" s="491">
        <v>0</v>
      </c>
      <c r="G3129" s="491">
        <f t="shared" si="48"/>
        <v>4</v>
      </c>
    </row>
    <row r="3130" spans="1:7" ht="12.75">
      <c r="A3130" s="134" t="s">
        <v>805</v>
      </c>
      <c r="B3130" s="134">
        <v>320</v>
      </c>
      <c r="C3130" s="491">
        <v>30</v>
      </c>
      <c r="D3130" s="491">
        <v>15</v>
      </c>
      <c r="E3130" s="491">
        <v>0</v>
      </c>
      <c r="F3130" s="491">
        <v>0</v>
      </c>
      <c r="G3130" s="491">
        <f t="shared" si="48"/>
        <v>45</v>
      </c>
    </row>
    <row r="3131" spans="1:7" ht="12.75">
      <c r="A3131" s="134" t="s">
        <v>805</v>
      </c>
      <c r="B3131" s="134">
        <v>330</v>
      </c>
      <c r="C3131" s="491">
        <v>2</v>
      </c>
      <c r="D3131" s="491">
        <v>0</v>
      </c>
      <c r="E3131" s="491">
        <v>0</v>
      </c>
      <c r="F3131" s="491">
        <v>0</v>
      </c>
      <c r="G3131" s="491">
        <f t="shared" si="48"/>
        <v>2</v>
      </c>
    </row>
    <row r="3132" spans="1:7" ht="12.75">
      <c r="A3132" s="134" t="s">
        <v>805</v>
      </c>
      <c r="B3132" s="134">
        <v>340</v>
      </c>
      <c r="C3132" s="491">
        <v>416</v>
      </c>
      <c r="D3132" s="491">
        <v>405</v>
      </c>
      <c r="E3132" s="491">
        <v>28</v>
      </c>
      <c r="F3132" s="491">
        <v>62</v>
      </c>
      <c r="G3132" s="491">
        <f t="shared" si="48"/>
        <v>911</v>
      </c>
    </row>
    <row r="3133" spans="1:7" ht="12.75">
      <c r="A3133" s="134" t="s">
        <v>805</v>
      </c>
      <c r="B3133" s="134">
        <v>341</v>
      </c>
      <c r="C3133" s="491">
        <v>15</v>
      </c>
      <c r="D3133" s="491">
        <v>1</v>
      </c>
      <c r="E3133" s="491">
        <v>0</v>
      </c>
      <c r="F3133" s="491">
        <v>0</v>
      </c>
      <c r="G3133" s="491">
        <f t="shared" si="48"/>
        <v>16</v>
      </c>
    </row>
    <row r="3134" spans="1:7" ht="12.75">
      <c r="A3134" s="134" t="s">
        <v>805</v>
      </c>
      <c r="B3134" s="134">
        <v>342</v>
      </c>
      <c r="C3134" s="491">
        <v>1</v>
      </c>
      <c r="D3134" s="491">
        <v>1</v>
      </c>
      <c r="E3134" s="491">
        <v>0</v>
      </c>
      <c r="F3134" s="491">
        <v>0</v>
      </c>
      <c r="G3134" s="491">
        <f t="shared" si="48"/>
        <v>2</v>
      </c>
    </row>
    <row r="3135" spans="1:7" ht="12.75">
      <c r="A3135" s="134" t="s">
        <v>805</v>
      </c>
      <c r="B3135" s="134">
        <v>350</v>
      </c>
      <c r="C3135" s="491">
        <v>3</v>
      </c>
      <c r="D3135" s="491">
        <v>2</v>
      </c>
      <c r="E3135" s="491">
        <v>0</v>
      </c>
      <c r="F3135" s="491">
        <v>0</v>
      </c>
      <c r="G3135" s="491">
        <f t="shared" si="48"/>
        <v>5</v>
      </c>
    </row>
    <row r="3136" spans="1:7" ht="12.75">
      <c r="A3136" s="134" t="s">
        <v>805</v>
      </c>
      <c r="B3136" s="134">
        <v>361</v>
      </c>
      <c r="C3136" s="491">
        <v>3</v>
      </c>
      <c r="D3136" s="491">
        <v>2</v>
      </c>
      <c r="E3136" s="491">
        <v>1</v>
      </c>
      <c r="F3136" s="491">
        <v>0</v>
      </c>
      <c r="G3136" s="491">
        <f t="shared" si="48"/>
        <v>6</v>
      </c>
    </row>
    <row r="3137" spans="1:7" ht="12.75">
      <c r="A3137" s="134" t="s">
        <v>805</v>
      </c>
      <c r="B3137" s="134">
        <v>370</v>
      </c>
      <c r="C3137" s="491">
        <v>41</v>
      </c>
      <c r="D3137" s="491">
        <v>4</v>
      </c>
      <c r="E3137" s="491">
        <v>1</v>
      </c>
      <c r="F3137" s="491">
        <v>2</v>
      </c>
      <c r="G3137" s="491">
        <f t="shared" si="48"/>
        <v>48</v>
      </c>
    </row>
    <row r="3138" spans="1:7" ht="12.75">
      <c r="A3138" s="134" t="s">
        <v>805</v>
      </c>
      <c r="B3138" s="134">
        <v>400</v>
      </c>
      <c r="C3138" s="491">
        <v>0</v>
      </c>
      <c r="D3138" s="491">
        <v>1</v>
      </c>
      <c r="E3138" s="491">
        <v>0</v>
      </c>
      <c r="F3138" s="491">
        <v>0</v>
      </c>
      <c r="G3138" s="491">
        <f t="shared" si="48"/>
        <v>1</v>
      </c>
    </row>
    <row r="3139" spans="1:7" ht="12.75">
      <c r="A3139" s="134" t="s">
        <v>805</v>
      </c>
      <c r="B3139" s="134">
        <v>410</v>
      </c>
      <c r="C3139" s="491">
        <v>3</v>
      </c>
      <c r="D3139" s="491">
        <v>0</v>
      </c>
      <c r="E3139" s="491">
        <v>0</v>
      </c>
      <c r="F3139" s="491">
        <v>0</v>
      </c>
      <c r="G3139" s="491">
        <f t="shared" si="48"/>
        <v>3</v>
      </c>
    </row>
    <row r="3140" spans="1:7" ht="12.75">
      <c r="A3140" s="134" t="s">
        <v>805</v>
      </c>
      <c r="B3140" s="134">
        <v>430</v>
      </c>
      <c r="C3140" s="491">
        <v>1</v>
      </c>
      <c r="D3140" s="491">
        <v>4</v>
      </c>
      <c r="E3140" s="491">
        <v>0</v>
      </c>
      <c r="F3140" s="491">
        <v>0</v>
      </c>
      <c r="G3140" s="491">
        <f t="shared" ref="G3140:G3203" si="49">SUM(C3140:F3140)</f>
        <v>5</v>
      </c>
    </row>
    <row r="3141" spans="1:7" ht="12.75">
      <c r="A3141" s="134" t="s">
        <v>805</v>
      </c>
      <c r="B3141" s="134">
        <v>460</v>
      </c>
      <c r="C3141" s="491">
        <v>1</v>
      </c>
      <c r="D3141" s="491">
        <v>0</v>
      </c>
      <c r="E3141" s="491">
        <v>0</v>
      </c>
      <c r="F3141" s="491">
        <v>0</v>
      </c>
      <c r="G3141" s="491">
        <f t="shared" si="49"/>
        <v>1</v>
      </c>
    </row>
    <row r="3142" spans="1:7" ht="12.75">
      <c r="A3142" s="134" t="s">
        <v>805</v>
      </c>
      <c r="B3142" s="134">
        <v>656</v>
      </c>
      <c r="C3142" s="491">
        <v>1</v>
      </c>
      <c r="D3142" s="491">
        <v>0</v>
      </c>
      <c r="E3142" s="491">
        <v>0</v>
      </c>
      <c r="F3142" s="491">
        <v>0</v>
      </c>
      <c r="G3142" s="491">
        <f t="shared" si="49"/>
        <v>1</v>
      </c>
    </row>
    <row r="3143" spans="1:7" ht="12.75">
      <c r="A3143" s="134" t="s">
        <v>805</v>
      </c>
      <c r="B3143" s="134">
        <v>800</v>
      </c>
      <c r="C3143" s="491">
        <v>29</v>
      </c>
      <c r="D3143" s="491">
        <v>4</v>
      </c>
      <c r="E3143" s="491">
        <v>5</v>
      </c>
      <c r="F3143" s="491">
        <v>0</v>
      </c>
      <c r="G3143" s="491">
        <f t="shared" si="49"/>
        <v>38</v>
      </c>
    </row>
    <row r="3144" spans="1:7" ht="12.75">
      <c r="A3144" s="134" t="s">
        <v>805</v>
      </c>
      <c r="B3144" s="134">
        <v>811</v>
      </c>
      <c r="C3144" s="491">
        <v>10</v>
      </c>
      <c r="D3144" s="491">
        <v>82</v>
      </c>
      <c r="E3144" s="491">
        <v>0</v>
      </c>
      <c r="F3144" s="491">
        <v>0</v>
      </c>
      <c r="G3144" s="491">
        <f t="shared" si="49"/>
        <v>92</v>
      </c>
    </row>
    <row r="3145" spans="1:7" ht="12.75">
      <c r="A3145" s="134" t="s">
        <v>805</v>
      </c>
      <c r="B3145" s="134">
        <v>812</v>
      </c>
      <c r="C3145" s="491">
        <v>192</v>
      </c>
      <c r="D3145" s="491">
        <v>144</v>
      </c>
      <c r="E3145" s="491">
        <v>0</v>
      </c>
      <c r="F3145" s="491">
        <v>0</v>
      </c>
      <c r="G3145" s="491">
        <f t="shared" si="49"/>
        <v>336</v>
      </c>
    </row>
    <row r="3146" spans="1:7" ht="12.75">
      <c r="A3146" s="134" t="s">
        <v>806</v>
      </c>
      <c r="B3146" s="134">
        <v>110</v>
      </c>
      <c r="C3146" s="491">
        <v>1</v>
      </c>
      <c r="D3146" s="491">
        <v>0</v>
      </c>
      <c r="E3146" s="491">
        <v>0</v>
      </c>
      <c r="F3146" s="491">
        <v>0</v>
      </c>
      <c r="G3146" s="491">
        <f t="shared" si="49"/>
        <v>1</v>
      </c>
    </row>
    <row r="3147" spans="1:7" ht="12.75">
      <c r="A3147" s="134" t="s">
        <v>806</v>
      </c>
      <c r="B3147" s="134">
        <v>120</v>
      </c>
      <c r="C3147" s="491">
        <v>4</v>
      </c>
      <c r="D3147" s="491">
        <v>2</v>
      </c>
      <c r="E3147" s="491">
        <v>0</v>
      </c>
      <c r="F3147" s="491">
        <v>0</v>
      </c>
      <c r="G3147" s="491">
        <f t="shared" si="49"/>
        <v>6</v>
      </c>
    </row>
    <row r="3148" spans="1:7" ht="12.75">
      <c r="A3148" s="134" t="s">
        <v>806</v>
      </c>
      <c r="B3148" s="134">
        <v>143</v>
      </c>
      <c r="C3148" s="491">
        <v>1</v>
      </c>
      <c r="D3148" s="491">
        <v>1</v>
      </c>
      <c r="E3148" s="491">
        <v>0</v>
      </c>
      <c r="F3148" s="491">
        <v>0</v>
      </c>
      <c r="G3148" s="491">
        <f t="shared" si="49"/>
        <v>2</v>
      </c>
    </row>
    <row r="3149" spans="1:7" ht="12.75">
      <c r="A3149" s="134" t="s">
        <v>806</v>
      </c>
      <c r="B3149" s="134">
        <v>180</v>
      </c>
      <c r="C3149" s="491">
        <v>0</v>
      </c>
      <c r="D3149" s="491">
        <v>1</v>
      </c>
      <c r="E3149" s="491">
        <v>0</v>
      </c>
      <c r="F3149" s="491">
        <v>0</v>
      </c>
      <c r="G3149" s="491">
        <f t="shared" si="49"/>
        <v>1</v>
      </c>
    </row>
    <row r="3150" spans="1:7" ht="12.75">
      <c r="A3150" s="134" t="s">
        <v>806</v>
      </c>
      <c r="B3150" s="134">
        <v>340</v>
      </c>
      <c r="C3150" s="491">
        <v>1</v>
      </c>
      <c r="D3150" s="491">
        <v>0</v>
      </c>
      <c r="E3150" s="491">
        <v>0</v>
      </c>
      <c r="F3150" s="491">
        <v>0</v>
      </c>
      <c r="G3150" s="491">
        <f t="shared" si="49"/>
        <v>1</v>
      </c>
    </row>
    <row r="3151" spans="1:7" ht="12.75">
      <c r="A3151" s="134" t="s">
        <v>806</v>
      </c>
      <c r="B3151" s="134">
        <v>341</v>
      </c>
      <c r="C3151" s="491">
        <v>2</v>
      </c>
      <c r="D3151" s="491">
        <v>0</v>
      </c>
      <c r="E3151" s="491">
        <v>0</v>
      </c>
      <c r="F3151" s="491">
        <v>0</v>
      </c>
      <c r="G3151" s="491">
        <f t="shared" si="49"/>
        <v>2</v>
      </c>
    </row>
    <row r="3152" spans="1:7" ht="12.75">
      <c r="A3152" s="134" t="s">
        <v>93</v>
      </c>
      <c r="B3152" s="134">
        <v>100</v>
      </c>
      <c r="C3152" s="491">
        <v>2</v>
      </c>
      <c r="D3152" s="491">
        <v>0</v>
      </c>
      <c r="E3152" s="491">
        <v>0</v>
      </c>
      <c r="F3152" s="491">
        <v>0</v>
      </c>
      <c r="G3152" s="491">
        <f t="shared" si="49"/>
        <v>2</v>
      </c>
    </row>
    <row r="3153" spans="1:7" ht="12.75">
      <c r="A3153" s="134" t="s">
        <v>93</v>
      </c>
      <c r="B3153" s="134">
        <v>110</v>
      </c>
      <c r="C3153" s="491">
        <v>2</v>
      </c>
      <c r="D3153" s="491">
        <v>0</v>
      </c>
      <c r="E3153" s="491">
        <v>0</v>
      </c>
      <c r="F3153" s="491">
        <v>0</v>
      </c>
      <c r="G3153" s="491">
        <f t="shared" si="49"/>
        <v>2</v>
      </c>
    </row>
    <row r="3154" spans="1:7" ht="12.75">
      <c r="A3154" s="134" t="s">
        <v>93</v>
      </c>
      <c r="B3154" s="134">
        <v>120</v>
      </c>
      <c r="C3154" s="491">
        <v>26</v>
      </c>
      <c r="D3154" s="491">
        <v>66</v>
      </c>
      <c r="E3154" s="491">
        <v>0</v>
      </c>
      <c r="F3154" s="491">
        <v>0</v>
      </c>
      <c r="G3154" s="491">
        <f t="shared" si="49"/>
        <v>92</v>
      </c>
    </row>
    <row r="3155" spans="1:7" ht="12.75">
      <c r="A3155" s="134" t="s">
        <v>93</v>
      </c>
      <c r="B3155" s="134">
        <v>141</v>
      </c>
      <c r="C3155" s="491">
        <v>1</v>
      </c>
      <c r="D3155" s="491">
        <v>0</v>
      </c>
      <c r="E3155" s="491">
        <v>0</v>
      </c>
      <c r="F3155" s="491">
        <v>0</v>
      </c>
      <c r="G3155" s="491">
        <f t="shared" si="49"/>
        <v>1</v>
      </c>
    </row>
    <row r="3156" spans="1:7" ht="12.75">
      <c r="A3156" s="134" t="s">
        <v>93</v>
      </c>
      <c r="B3156" s="134">
        <v>174</v>
      </c>
      <c r="C3156" s="491">
        <v>50</v>
      </c>
      <c r="D3156" s="491">
        <v>0</v>
      </c>
      <c r="E3156" s="491">
        <v>0</v>
      </c>
      <c r="F3156" s="491">
        <v>0</v>
      </c>
      <c r="G3156" s="491">
        <f t="shared" si="49"/>
        <v>50</v>
      </c>
    </row>
    <row r="3157" spans="1:7" ht="12.75">
      <c r="A3157" s="134" t="s">
        <v>93</v>
      </c>
      <c r="B3157" s="134">
        <v>300</v>
      </c>
      <c r="C3157" s="491">
        <v>14</v>
      </c>
      <c r="D3157" s="491">
        <v>8</v>
      </c>
      <c r="E3157" s="491">
        <v>0</v>
      </c>
      <c r="F3157" s="491">
        <v>0</v>
      </c>
      <c r="G3157" s="491">
        <f t="shared" si="49"/>
        <v>22</v>
      </c>
    </row>
    <row r="3158" spans="1:7" ht="12.75">
      <c r="A3158" s="134" t="s">
        <v>93</v>
      </c>
      <c r="B3158" s="134">
        <v>340</v>
      </c>
      <c r="C3158" s="491">
        <v>208</v>
      </c>
      <c r="D3158" s="491">
        <v>126</v>
      </c>
      <c r="E3158" s="491">
        <v>1</v>
      </c>
      <c r="F3158" s="491">
        <v>3</v>
      </c>
      <c r="G3158" s="491">
        <f t="shared" si="49"/>
        <v>338</v>
      </c>
    </row>
    <row r="3159" spans="1:7" ht="12.75">
      <c r="A3159" s="134" t="s">
        <v>93</v>
      </c>
      <c r="B3159" s="134">
        <v>800</v>
      </c>
      <c r="C3159" s="491">
        <v>1</v>
      </c>
      <c r="D3159" s="491">
        <v>0</v>
      </c>
      <c r="E3159" s="491">
        <v>0</v>
      </c>
      <c r="F3159" s="491">
        <v>0</v>
      </c>
      <c r="G3159" s="491">
        <f t="shared" si="49"/>
        <v>1</v>
      </c>
    </row>
    <row r="3160" spans="1:7" ht="12.75">
      <c r="A3160" s="134" t="s">
        <v>94</v>
      </c>
      <c r="B3160" s="134">
        <v>110</v>
      </c>
      <c r="C3160" s="491">
        <v>1</v>
      </c>
      <c r="D3160" s="491">
        <v>0</v>
      </c>
      <c r="E3160" s="491">
        <v>0</v>
      </c>
      <c r="F3160" s="491">
        <v>0</v>
      </c>
      <c r="G3160" s="491">
        <f t="shared" si="49"/>
        <v>1</v>
      </c>
    </row>
    <row r="3161" spans="1:7" ht="12.75">
      <c r="A3161" s="134" t="s">
        <v>94</v>
      </c>
      <c r="B3161" s="134">
        <v>120</v>
      </c>
      <c r="C3161" s="491">
        <v>1</v>
      </c>
      <c r="D3161" s="491">
        <v>2</v>
      </c>
      <c r="E3161" s="491">
        <v>0</v>
      </c>
      <c r="F3161" s="491">
        <v>0</v>
      </c>
      <c r="G3161" s="491">
        <f t="shared" si="49"/>
        <v>3</v>
      </c>
    </row>
    <row r="3162" spans="1:7" ht="12.75">
      <c r="A3162" s="134" t="s">
        <v>94</v>
      </c>
      <c r="B3162" s="134">
        <v>174</v>
      </c>
      <c r="C3162" s="491">
        <v>1</v>
      </c>
      <c r="D3162" s="491">
        <v>0</v>
      </c>
      <c r="E3162" s="491">
        <v>0</v>
      </c>
      <c r="F3162" s="491">
        <v>0</v>
      </c>
      <c r="G3162" s="491">
        <f t="shared" si="49"/>
        <v>1</v>
      </c>
    </row>
    <row r="3163" spans="1:7" ht="12.75">
      <c r="A3163" s="134" t="s">
        <v>94</v>
      </c>
      <c r="B3163" s="134">
        <v>215</v>
      </c>
      <c r="C3163" s="491">
        <v>1</v>
      </c>
      <c r="D3163" s="491">
        <v>0</v>
      </c>
      <c r="E3163" s="491">
        <v>0</v>
      </c>
      <c r="F3163" s="491">
        <v>0</v>
      </c>
      <c r="G3163" s="491">
        <f t="shared" si="49"/>
        <v>1</v>
      </c>
    </row>
    <row r="3164" spans="1:7" ht="12.75">
      <c r="A3164" s="134" t="s">
        <v>94</v>
      </c>
      <c r="B3164" s="134">
        <v>340</v>
      </c>
      <c r="C3164" s="491">
        <v>1</v>
      </c>
      <c r="D3164" s="491">
        <v>1</v>
      </c>
      <c r="E3164" s="491">
        <v>0</v>
      </c>
      <c r="F3164" s="491">
        <v>0</v>
      </c>
      <c r="G3164" s="491">
        <f t="shared" si="49"/>
        <v>2</v>
      </c>
    </row>
    <row r="3165" spans="1:7" ht="12.75">
      <c r="A3165" s="134" t="s">
        <v>95</v>
      </c>
      <c r="B3165" s="134">
        <v>120</v>
      </c>
      <c r="C3165" s="491">
        <v>4</v>
      </c>
      <c r="D3165" s="491">
        <v>6</v>
      </c>
      <c r="E3165" s="491">
        <v>0</v>
      </c>
      <c r="F3165" s="491">
        <v>0</v>
      </c>
      <c r="G3165" s="491">
        <f t="shared" si="49"/>
        <v>10</v>
      </c>
    </row>
    <row r="3166" spans="1:7" ht="12.75">
      <c r="A3166" s="134" t="s">
        <v>95</v>
      </c>
      <c r="B3166" s="134">
        <v>215</v>
      </c>
      <c r="C3166" s="491">
        <v>0</v>
      </c>
      <c r="D3166" s="491">
        <v>3</v>
      </c>
      <c r="E3166" s="491">
        <v>0</v>
      </c>
      <c r="F3166" s="491">
        <v>0</v>
      </c>
      <c r="G3166" s="491">
        <f t="shared" si="49"/>
        <v>3</v>
      </c>
    </row>
    <row r="3167" spans="1:7" ht="12.75">
      <c r="A3167" s="134" t="s">
        <v>95</v>
      </c>
      <c r="B3167" s="134">
        <v>301</v>
      </c>
      <c r="C3167" s="491">
        <v>1</v>
      </c>
      <c r="D3167" s="491">
        <v>0</v>
      </c>
      <c r="E3167" s="491">
        <v>0</v>
      </c>
      <c r="F3167" s="491">
        <v>0</v>
      </c>
      <c r="G3167" s="491">
        <f t="shared" si="49"/>
        <v>1</v>
      </c>
    </row>
    <row r="3168" spans="1:7" ht="12.75">
      <c r="A3168" s="134" t="s">
        <v>95</v>
      </c>
      <c r="B3168" s="134">
        <v>340</v>
      </c>
      <c r="C3168" s="491">
        <v>3</v>
      </c>
      <c r="D3168" s="491">
        <v>3</v>
      </c>
      <c r="E3168" s="491">
        <v>0</v>
      </c>
      <c r="F3168" s="491">
        <v>0</v>
      </c>
      <c r="G3168" s="491">
        <f t="shared" si="49"/>
        <v>6</v>
      </c>
    </row>
    <row r="3169" spans="1:7" ht="12.75">
      <c r="A3169" s="134" t="s">
        <v>96</v>
      </c>
      <c r="B3169" s="134">
        <v>100</v>
      </c>
      <c r="C3169" s="491">
        <v>0</v>
      </c>
      <c r="D3169" s="491">
        <v>1</v>
      </c>
      <c r="E3169" s="491">
        <v>0</v>
      </c>
      <c r="F3169" s="491">
        <v>0</v>
      </c>
      <c r="G3169" s="491">
        <f t="shared" si="49"/>
        <v>1</v>
      </c>
    </row>
    <row r="3170" spans="1:7" ht="12.75">
      <c r="A3170" s="134" t="s">
        <v>96</v>
      </c>
      <c r="B3170" s="134">
        <v>120</v>
      </c>
      <c r="C3170" s="491">
        <v>12</v>
      </c>
      <c r="D3170" s="491">
        <v>2</v>
      </c>
      <c r="E3170" s="491">
        <v>0</v>
      </c>
      <c r="F3170" s="491">
        <v>0</v>
      </c>
      <c r="G3170" s="491">
        <f t="shared" si="49"/>
        <v>14</v>
      </c>
    </row>
    <row r="3171" spans="1:7" ht="12.75">
      <c r="A3171" s="134" t="s">
        <v>96</v>
      </c>
      <c r="B3171" s="134">
        <v>160</v>
      </c>
      <c r="C3171" s="491">
        <v>0</v>
      </c>
      <c r="D3171" s="491">
        <v>1</v>
      </c>
      <c r="E3171" s="491">
        <v>0</v>
      </c>
      <c r="F3171" s="491">
        <v>0</v>
      </c>
      <c r="G3171" s="491">
        <f t="shared" si="49"/>
        <v>1</v>
      </c>
    </row>
    <row r="3172" spans="1:7" ht="12.75">
      <c r="A3172" s="134" t="s">
        <v>96</v>
      </c>
      <c r="B3172" s="134">
        <v>171</v>
      </c>
      <c r="C3172" s="491">
        <v>1</v>
      </c>
      <c r="D3172" s="491">
        <v>0</v>
      </c>
      <c r="E3172" s="491">
        <v>0</v>
      </c>
      <c r="F3172" s="491">
        <v>0</v>
      </c>
      <c r="G3172" s="491">
        <f t="shared" si="49"/>
        <v>1</v>
      </c>
    </row>
    <row r="3173" spans="1:7" ht="12.75">
      <c r="A3173" s="134" t="s">
        <v>96</v>
      </c>
      <c r="B3173" s="134">
        <v>215</v>
      </c>
      <c r="C3173" s="491">
        <v>1</v>
      </c>
      <c r="D3173" s="491">
        <v>2</v>
      </c>
      <c r="E3173" s="491">
        <v>0</v>
      </c>
      <c r="F3173" s="491">
        <v>0</v>
      </c>
      <c r="G3173" s="491">
        <f t="shared" si="49"/>
        <v>3</v>
      </c>
    </row>
    <row r="3174" spans="1:7" ht="12.75">
      <c r="A3174" s="134" t="s">
        <v>96</v>
      </c>
      <c r="B3174" s="134">
        <v>253</v>
      </c>
      <c r="C3174" s="491">
        <v>0</v>
      </c>
      <c r="D3174" s="491">
        <v>1</v>
      </c>
      <c r="E3174" s="491">
        <v>1</v>
      </c>
      <c r="F3174" s="491">
        <v>0</v>
      </c>
      <c r="G3174" s="491">
        <f t="shared" si="49"/>
        <v>2</v>
      </c>
    </row>
    <row r="3175" spans="1:7" ht="12.75">
      <c r="A3175" s="134" t="s">
        <v>96</v>
      </c>
      <c r="B3175" s="134">
        <v>258</v>
      </c>
      <c r="C3175" s="491">
        <v>23</v>
      </c>
      <c r="D3175" s="491">
        <v>3</v>
      </c>
      <c r="E3175" s="491">
        <v>6</v>
      </c>
      <c r="F3175" s="491">
        <v>1</v>
      </c>
      <c r="G3175" s="491">
        <f t="shared" si="49"/>
        <v>33</v>
      </c>
    </row>
    <row r="3176" spans="1:7" ht="12.75">
      <c r="A3176" s="134" t="s">
        <v>96</v>
      </c>
      <c r="B3176" s="134">
        <v>259</v>
      </c>
      <c r="C3176" s="491">
        <v>2</v>
      </c>
      <c r="D3176" s="491">
        <v>0</v>
      </c>
      <c r="E3176" s="491">
        <v>0</v>
      </c>
      <c r="F3176" s="491">
        <v>0</v>
      </c>
      <c r="G3176" s="491">
        <f t="shared" si="49"/>
        <v>2</v>
      </c>
    </row>
    <row r="3177" spans="1:7" ht="12.75">
      <c r="A3177" s="134" t="s">
        <v>96</v>
      </c>
      <c r="B3177" s="134">
        <v>260</v>
      </c>
      <c r="C3177" s="491">
        <v>1</v>
      </c>
      <c r="D3177" s="491">
        <v>0</v>
      </c>
      <c r="E3177" s="491">
        <v>0</v>
      </c>
      <c r="F3177" s="491">
        <v>0</v>
      </c>
      <c r="G3177" s="491">
        <f t="shared" si="49"/>
        <v>1</v>
      </c>
    </row>
    <row r="3178" spans="1:7" ht="12.75">
      <c r="A3178" s="134" t="s">
        <v>96</v>
      </c>
      <c r="B3178" s="134">
        <v>264</v>
      </c>
      <c r="C3178" s="491">
        <v>38</v>
      </c>
      <c r="D3178" s="491">
        <v>0</v>
      </c>
      <c r="E3178" s="491">
        <v>75</v>
      </c>
      <c r="F3178" s="491">
        <v>0</v>
      </c>
      <c r="G3178" s="491">
        <f t="shared" si="49"/>
        <v>113</v>
      </c>
    </row>
    <row r="3179" spans="1:7" ht="12.75">
      <c r="A3179" s="134" t="s">
        <v>96</v>
      </c>
      <c r="B3179" s="134">
        <v>300</v>
      </c>
      <c r="C3179" s="491">
        <v>26</v>
      </c>
      <c r="D3179" s="491">
        <v>4</v>
      </c>
      <c r="E3179" s="491">
        <v>15</v>
      </c>
      <c r="F3179" s="491">
        <v>1</v>
      </c>
      <c r="G3179" s="491">
        <f t="shared" si="49"/>
        <v>46</v>
      </c>
    </row>
    <row r="3180" spans="1:7" ht="12.75">
      <c r="A3180" s="134" t="s">
        <v>96</v>
      </c>
      <c r="B3180" s="134">
        <v>303</v>
      </c>
      <c r="C3180" s="491">
        <v>274</v>
      </c>
      <c r="D3180" s="491">
        <v>0</v>
      </c>
      <c r="E3180" s="491">
        <v>0</v>
      </c>
      <c r="F3180" s="491">
        <v>0</v>
      </c>
      <c r="G3180" s="491">
        <f t="shared" si="49"/>
        <v>274</v>
      </c>
    </row>
    <row r="3181" spans="1:7" ht="12.75">
      <c r="A3181" s="134" t="s">
        <v>96</v>
      </c>
      <c r="B3181" s="134">
        <v>304</v>
      </c>
      <c r="C3181" s="491">
        <v>6</v>
      </c>
      <c r="D3181" s="491">
        <v>2</v>
      </c>
      <c r="E3181" s="491">
        <v>0</v>
      </c>
      <c r="F3181" s="491">
        <v>0</v>
      </c>
      <c r="G3181" s="491">
        <f t="shared" si="49"/>
        <v>8</v>
      </c>
    </row>
    <row r="3182" spans="1:7" ht="12.75">
      <c r="A3182" s="134" t="s">
        <v>96</v>
      </c>
      <c r="B3182" s="134">
        <v>307</v>
      </c>
      <c r="C3182" s="491">
        <v>0</v>
      </c>
      <c r="D3182" s="491">
        <v>0</v>
      </c>
      <c r="E3182" s="491">
        <v>1</v>
      </c>
      <c r="F3182" s="491">
        <v>0</v>
      </c>
      <c r="G3182" s="491">
        <f t="shared" si="49"/>
        <v>1</v>
      </c>
    </row>
    <row r="3183" spans="1:7" ht="12.75">
      <c r="A3183" s="134" t="s">
        <v>96</v>
      </c>
      <c r="B3183" s="134">
        <v>308</v>
      </c>
      <c r="C3183" s="491">
        <v>1</v>
      </c>
      <c r="D3183" s="491">
        <v>0</v>
      </c>
      <c r="E3183" s="491">
        <v>0</v>
      </c>
      <c r="F3183" s="491">
        <v>0</v>
      </c>
      <c r="G3183" s="491">
        <f t="shared" si="49"/>
        <v>1</v>
      </c>
    </row>
    <row r="3184" spans="1:7" ht="12.75">
      <c r="A3184" s="134" t="s">
        <v>96</v>
      </c>
      <c r="B3184" s="134">
        <v>313</v>
      </c>
      <c r="C3184" s="491">
        <v>5</v>
      </c>
      <c r="D3184" s="491">
        <v>0</v>
      </c>
      <c r="E3184" s="491">
        <v>0</v>
      </c>
      <c r="F3184" s="491">
        <v>0</v>
      </c>
      <c r="G3184" s="491">
        <f t="shared" si="49"/>
        <v>5</v>
      </c>
    </row>
    <row r="3185" spans="1:7" ht="12.75">
      <c r="A3185" s="134" t="s">
        <v>96</v>
      </c>
      <c r="B3185" s="134">
        <v>314</v>
      </c>
      <c r="C3185" s="491">
        <v>1</v>
      </c>
      <c r="D3185" s="491">
        <v>0</v>
      </c>
      <c r="E3185" s="491">
        <v>0</v>
      </c>
      <c r="F3185" s="491">
        <v>0</v>
      </c>
      <c r="G3185" s="491">
        <f t="shared" si="49"/>
        <v>1</v>
      </c>
    </row>
    <row r="3186" spans="1:7" ht="12.75">
      <c r="A3186" s="134" t="s">
        <v>96</v>
      </c>
      <c r="B3186" s="134">
        <v>320</v>
      </c>
      <c r="C3186" s="491">
        <v>1</v>
      </c>
      <c r="D3186" s="491">
        <v>0</v>
      </c>
      <c r="E3186" s="491">
        <v>0</v>
      </c>
      <c r="F3186" s="491">
        <v>0</v>
      </c>
      <c r="G3186" s="491">
        <f t="shared" si="49"/>
        <v>1</v>
      </c>
    </row>
    <row r="3187" spans="1:7" ht="12.75">
      <c r="A3187" s="134" t="s">
        <v>96</v>
      </c>
      <c r="B3187" s="134">
        <v>340</v>
      </c>
      <c r="C3187" s="491">
        <v>1075</v>
      </c>
      <c r="D3187" s="491">
        <v>619</v>
      </c>
      <c r="E3187" s="491">
        <v>76</v>
      </c>
      <c r="F3187" s="491">
        <v>17</v>
      </c>
      <c r="G3187" s="491">
        <f t="shared" si="49"/>
        <v>1787</v>
      </c>
    </row>
    <row r="3188" spans="1:7" ht="12.75">
      <c r="A3188" s="134" t="s">
        <v>96</v>
      </c>
      <c r="B3188" s="134">
        <v>341</v>
      </c>
      <c r="C3188" s="491">
        <v>94</v>
      </c>
      <c r="D3188" s="491">
        <v>14</v>
      </c>
      <c r="E3188" s="491">
        <v>0</v>
      </c>
      <c r="F3188" s="491">
        <v>0</v>
      </c>
      <c r="G3188" s="491">
        <f t="shared" si="49"/>
        <v>108</v>
      </c>
    </row>
    <row r="3189" spans="1:7" ht="12.75">
      <c r="A3189" s="134" t="s">
        <v>96</v>
      </c>
      <c r="B3189" s="134">
        <v>342</v>
      </c>
      <c r="C3189" s="491">
        <v>109</v>
      </c>
      <c r="D3189" s="491">
        <v>135</v>
      </c>
      <c r="E3189" s="491">
        <v>0</v>
      </c>
      <c r="F3189" s="491">
        <v>0</v>
      </c>
      <c r="G3189" s="491">
        <f t="shared" si="49"/>
        <v>244</v>
      </c>
    </row>
    <row r="3190" spans="1:7" ht="12.75">
      <c r="A3190" s="134" t="s">
        <v>96</v>
      </c>
      <c r="B3190" s="134">
        <v>343</v>
      </c>
      <c r="C3190" s="491">
        <v>369</v>
      </c>
      <c r="D3190" s="491">
        <v>10</v>
      </c>
      <c r="E3190" s="491">
        <v>12</v>
      </c>
      <c r="F3190" s="491">
        <v>0</v>
      </c>
      <c r="G3190" s="491">
        <f t="shared" si="49"/>
        <v>391</v>
      </c>
    </row>
    <row r="3191" spans="1:7" ht="12.75">
      <c r="A3191" s="134" t="s">
        <v>96</v>
      </c>
      <c r="B3191" s="134">
        <v>370</v>
      </c>
      <c r="C3191" s="491">
        <v>1</v>
      </c>
      <c r="D3191" s="491">
        <v>0</v>
      </c>
      <c r="E3191" s="491">
        <v>0</v>
      </c>
      <c r="F3191" s="491">
        <v>0</v>
      </c>
      <c r="G3191" s="491">
        <f t="shared" si="49"/>
        <v>1</v>
      </c>
    </row>
    <row r="3192" spans="1:7" ht="12.75">
      <c r="A3192" s="134" t="s">
        <v>96</v>
      </c>
      <c r="B3192" s="134">
        <v>410</v>
      </c>
      <c r="C3192" s="491">
        <v>3</v>
      </c>
      <c r="D3192" s="491">
        <v>0</v>
      </c>
      <c r="E3192" s="491">
        <v>0</v>
      </c>
      <c r="F3192" s="491">
        <v>0</v>
      </c>
      <c r="G3192" s="491">
        <f t="shared" si="49"/>
        <v>3</v>
      </c>
    </row>
    <row r="3193" spans="1:7" ht="12.75">
      <c r="A3193" s="134" t="s">
        <v>96</v>
      </c>
      <c r="B3193" s="134">
        <v>420</v>
      </c>
      <c r="C3193" s="491">
        <v>226</v>
      </c>
      <c r="D3193" s="491">
        <v>91</v>
      </c>
      <c r="E3193" s="491">
        <v>1</v>
      </c>
      <c r="F3193" s="491">
        <v>0</v>
      </c>
      <c r="G3193" s="491">
        <f t="shared" si="49"/>
        <v>318</v>
      </c>
    </row>
    <row r="3194" spans="1:7" ht="12.75">
      <c r="A3194" s="134" t="s">
        <v>96</v>
      </c>
      <c r="B3194" s="134">
        <v>430</v>
      </c>
      <c r="C3194" s="491">
        <v>12</v>
      </c>
      <c r="D3194" s="491">
        <v>0</v>
      </c>
      <c r="E3194" s="491">
        <v>0</v>
      </c>
      <c r="F3194" s="491">
        <v>0</v>
      </c>
      <c r="G3194" s="491">
        <f t="shared" si="49"/>
        <v>12</v>
      </c>
    </row>
    <row r="3195" spans="1:7" ht="12.75">
      <c r="A3195" s="134" t="s">
        <v>96</v>
      </c>
      <c r="B3195" s="134">
        <v>650</v>
      </c>
      <c r="C3195" s="491">
        <v>18</v>
      </c>
      <c r="D3195" s="491">
        <v>44</v>
      </c>
      <c r="E3195" s="491">
        <v>0</v>
      </c>
      <c r="F3195" s="491">
        <v>0</v>
      </c>
      <c r="G3195" s="491">
        <f t="shared" si="49"/>
        <v>62</v>
      </c>
    </row>
    <row r="3196" spans="1:7" ht="12.75">
      <c r="A3196" s="134" t="s">
        <v>96</v>
      </c>
      <c r="B3196" s="134">
        <v>654</v>
      </c>
      <c r="C3196" s="491">
        <v>0</v>
      </c>
      <c r="D3196" s="491">
        <v>1</v>
      </c>
      <c r="E3196" s="491">
        <v>0</v>
      </c>
      <c r="F3196" s="491">
        <v>0</v>
      </c>
      <c r="G3196" s="491">
        <f t="shared" si="49"/>
        <v>1</v>
      </c>
    </row>
    <row r="3197" spans="1:7" ht="12.75">
      <c r="A3197" s="134" t="s">
        <v>504</v>
      </c>
      <c r="B3197" s="134">
        <v>100</v>
      </c>
      <c r="C3197" s="491">
        <v>80</v>
      </c>
      <c r="D3197" s="491">
        <v>28</v>
      </c>
      <c r="E3197" s="491">
        <v>0</v>
      </c>
      <c r="F3197" s="491">
        <v>0</v>
      </c>
      <c r="G3197" s="491">
        <f t="shared" si="49"/>
        <v>108</v>
      </c>
    </row>
    <row r="3198" spans="1:7" ht="12.75">
      <c r="A3198" s="134" t="s">
        <v>504</v>
      </c>
      <c r="B3198" s="134">
        <v>101</v>
      </c>
      <c r="C3198" s="491">
        <v>99</v>
      </c>
      <c r="D3198" s="491">
        <v>4</v>
      </c>
      <c r="E3198" s="491">
        <v>0</v>
      </c>
      <c r="F3198" s="491">
        <v>0</v>
      </c>
      <c r="G3198" s="491">
        <f t="shared" si="49"/>
        <v>103</v>
      </c>
    </row>
    <row r="3199" spans="1:7" ht="12.75">
      <c r="A3199" s="134" t="s">
        <v>504</v>
      </c>
      <c r="B3199" s="134">
        <v>103</v>
      </c>
      <c r="C3199" s="491">
        <v>3</v>
      </c>
      <c r="D3199" s="491">
        <v>0</v>
      </c>
      <c r="E3199" s="491">
        <v>0</v>
      </c>
      <c r="F3199" s="491">
        <v>0</v>
      </c>
      <c r="G3199" s="491">
        <f t="shared" si="49"/>
        <v>3</v>
      </c>
    </row>
    <row r="3200" spans="1:7" ht="12.75">
      <c r="A3200" s="134" t="s">
        <v>504</v>
      </c>
      <c r="B3200" s="134">
        <v>104</v>
      </c>
      <c r="C3200" s="491">
        <v>37</v>
      </c>
      <c r="D3200" s="491">
        <v>4</v>
      </c>
      <c r="E3200" s="491">
        <v>0</v>
      </c>
      <c r="F3200" s="491">
        <v>0</v>
      </c>
      <c r="G3200" s="491">
        <f t="shared" si="49"/>
        <v>41</v>
      </c>
    </row>
    <row r="3201" spans="1:7" ht="12.75">
      <c r="A3201" s="134" t="s">
        <v>504</v>
      </c>
      <c r="B3201" s="134">
        <v>105</v>
      </c>
      <c r="C3201" s="491">
        <v>0</v>
      </c>
      <c r="D3201" s="491">
        <v>0</v>
      </c>
      <c r="E3201" s="491">
        <v>7</v>
      </c>
      <c r="F3201" s="491">
        <v>0</v>
      </c>
      <c r="G3201" s="491">
        <f t="shared" si="49"/>
        <v>7</v>
      </c>
    </row>
    <row r="3202" spans="1:7" ht="12.75">
      <c r="A3202" s="134" t="s">
        <v>504</v>
      </c>
      <c r="B3202" s="134">
        <v>106</v>
      </c>
      <c r="C3202" s="491">
        <v>33</v>
      </c>
      <c r="D3202" s="491">
        <v>5</v>
      </c>
      <c r="E3202" s="491">
        <v>2</v>
      </c>
      <c r="F3202" s="491">
        <v>0</v>
      </c>
      <c r="G3202" s="491">
        <f t="shared" si="49"/>
        <v>40</v>
      </c>
    </row>
    <row r="3203" spans="1:7" ht="12.75">
      <c r="A3203" s="134" t="s">
        <v>504</v>
      </c>
      <c r="B3203" s="134">
        <v>107</v>
      </c>
      <c r="C3203" s="491">
        <v>39</v>
      </c>
      <c r="D3203" s="491">
        <v>0</v>
      </c>
      <c r="E3203" s="491">
        <v>2</v>
      </c>
      <c r="F3203" s="491">
        <v>0</v>
      </c>
      <c r="G3203" s="491">
        <f t="shared" si="49"/>
        <v>41</v>
      </c>
    </row>
    <row r="3204" spans="1:7" ht="12.75">
      <c r="A3204" s="134" t="s">
        <v>504</v>
      </c>
      <c r="B3204" s="134">
        <v>110</v>
      </c>
      <c r="C3204" s="491">
        <v>3</v>
      </c>
      <c r="D3204" s="491">
        <v>1</v>
      </c>
      <c r="E3204" s="491">
        <v>0</v>
      </c>
      <c r="F3204" s="491">
        <v>0</v>
      </c>
      <c r="G3204" s="491">
        <f t="shared" ref="G3204:G3267" si="50">SUM(C3204:F3204)</f>
        <v>4</v>
      </c>
    </row>
    <row r="3205" spans="1:7" ht="12.75">
      <c r="A3205" s="134" t="s">
        <v>504</v>
      </c>
      <c r="B3205" s="134">
        <v>120</v>
      </c>
      <c r="C3205" s="491">
        <v>1</v>
      </c>
      <c r="D3205" s="491">
        <v>0</v>
      </c>
      <c r="E3205" s="491">
        <v>0</v>
      </c>
      <c r="F3205" s="491">
        <v>0</v>
      </c>
      <c r="G3205" s="491">
        <f t="shared" si="50"/>
        <v>1</v>
      </c>
    </row>
    <row r="3206" spans="1:7" ht="12.75">
      <c r="A3206" s="134" t="s">
        <v>504</v>
      </c>
      <c r="B3206" s="134">
        <v>160</v>
      </c>
      <c r="C3206" s="491">
        <v>1</v>
      </c>
      <c r="D3206" s="491">
        <v>0</v>
      </c>
      <c r="E3206" s="491">
        <v>0</v>
      </c>
      <c r="F3206" s="491">
        <v>0</v>
      </c>
      <c r="G3206" s="491">
        <f t="shared" si="50"/>
        <v>1</v>
      </c>
    </row>
    <row r="3207" spans="1:7" ht="12.75">
      <c r="A3207" s="134" t="s">
        <v>504</v>
      </c>
      <c r="B3207" s="134">
        <v>172</v>
      </c>
      <c r="C3207" s="491">
        <v>6</v>
      </c>
      <c r="D3207" s="491">
        <v>6</v>
      </c>
      <c r="E3207" s="491">
        <v>6</v>
      </c>
      <c r="F3207" s="491">
        <v>0</v>
      </c>
      <c r="G3207" s="491">
        <f t="shared" si="50"/>
        <v>18</v>
      </c>
    </row>
    <row r="3208" spans="1:7" ht="12.75">
      <c r="A3208" s="134" t="s">
        <v>504</v>
      </c>
      <c r="B3208" s="134">
        <v>174</v>
      </c>
      <c r="C3208" s="491">
        <v>0</v>
      </c>
      <c r="D3208" s="491">
        <v>0</v>
      </c>
      <c r="E3208" s="491">
        <v>8</v>
      </c>
      <c r="F3208" s="491">
        <v>2</v>
      </c>
      <c r="G3208" s="491">
        <f t="shared" si="50"/>
        <v>10</v>
      </c>
    </row>
    <row r="3209" spans="1:7" ht="12.75">
      <c r="A3209" s="134" t="s">
        <v>504</v>
      </c>
      <c r="B3209" s="134">
        <v>190</v>
      </c>
      <c r="C3209" s="491">
        <v>137</v>
      </c>
      <c r="D3209" s="491">
        <v>1000</v>
      </c>
      <c r="E3209" s="491">
        <v>7</v>
      </c>
      <c r="F3209" s="491">
        <v>168</v>
      </c>
      <c r="G3209" s="491">
        <f t="shared" si="50"/>
        <v>1312</v>
      </c>
    </row>
    <row r="3210" spans="1:7" ht="12.75">
      <c r="A3210" s="134" t="s">
        <v>504</v>
      </c>
      <c r="B3210" s="134">
        <v>191</v>
      </c>
      <c r="C3210" s="491">
        <v>535</v>
      </c>
      <c r="D3210" s="491">
        <v>184</v>
      </c>
      <c r="E3210" s="491">
        <v>0</v>
      </c>
      <c r="F3210" s="491">
        <v>0</v>
      </c>
      <c r="G3210" s="491">
        <f t="shared" si="50"/>
        <v>719</v>
      </c>
    </row>
    <row r="3211" spans="1:7" ht="12.75">
      <c r="A3211" s="134" t="s">
        <v>504</v>
      </c>
      <c r="B3211" s="134">
        <v>255</v>
      </c>
      <c r="C3211" s="491">
        <v>3</v>
      </c>
      <c r="D3211" s="491">
        <v>0</v>
      </c>
      <c r="E3211" s="491">
        <v>6</v>
      </c>
      <c r="F3211" s="491">
        <v>0</v>
      </c>
      <c r="G3211" s="491">
        <f t="shared" si="50"/>
        <v>9</v>
      </c>
    </row>
    <row r="3212" spans="1:7" ht="12.75">
      <c r="A3212" s="134" t="s">
        <v>504</v>
      </c>
      <c r="B3212" s="134">
        <v>258</v>
      </c>
      <c r="C3212" s="491">
        <v>16</v>
      </c>
      <c r="D3212" s="491">
        <v>5</v>
      </c>
      <c r="E3212" s="491">
        <v>8</v>
      </c>
      <c r="F3212" s="491">
        <v>0</v>
      </c>
      <c r="G3212" s="491">
        <f t="shared" si="50"/>
        <v>29</v>
      </c>
    </row>
    <row r="3213" spans="1:7" ht="12.75">
      <c r="A3213" s="134" t="s">
        <v>504</v>
      </c>
      <c r="B3213" s="134">
        <v>262</v>
      </c>
      <c r="C3213" s="491">
        <v>1</v>
      </c>
      <c r="D3213" s="491">
        <v>0</v>
      </c>
      <c r="E3213" s="491">
        <v>0</v>
      </c>
      <c r="F3213" s="491">
        <v>0</v>
      </c>
      <c r="G3213" s="491">
        <f t="shared" si="50"/>
        <v>1</v>
      </c>
    </row>
    <row r="3214" spans="1:7" ht="12.75">
      <c r="A3214" s="134" t="s">
        <v>504</v>
      </c>
      <c r="B3214" s="134">
        <v>264</v>
      </c>
      <c r="C3214" s="491">
        <v>2</v>
      </c>
      <c r="D3214" s="491">
        <v>0</v>
      </c>
      <c r="E3214" s="491">
        <v>3</v>
      </c>
      <c r="F3214" s="491">
        <v>0</v>
      </c>
      <c r="G3214" s="491">
        <f t="shared" si="50"/>
        <v>5</v>
      </c>
    </row>
    <row r="3215" spans="1:7" ht="12.75">
      <c r="A3215" s="134" t="s">
        <v>504</v>
      </c>
      <c r="B3215" s="134">
        <v>300</v>
      </c>
      <c r="C3215" s="491">
        <v>174</v>
      </c>
      <c r="D3215" s="491">
        <v>444</v>
      </c>
      <c r="E3215" s="491">
        <v>0</v>
      </c>
      <c r="F3215" s="491">
        <v>0</v>
      </c>
      <c r="G3215" s="491">
        <f t="shared" si="50"/>
        <v>618</v>
      </c>
    </row>
    <row r="3216" spans="1:7" ht="12.75">
      <c r="A3216" s="134" t="s">
        <v>504</v>
      </c>
      <c r="B3216" s="134">
        <v>301</v>
      </c>
      <c r="C3216" s="491">
        <v>5</v>
      </c>
      <c r="D3216" s="491">
        <v>0</v>
      </c>
      <c r="E3216" s="491">
        <v>0</v>
      </c>
      <c r="F3216" s="491">
        <v>0</v>
      </c>
      <c r="G3216" s="491">
        <f t="shared" si="50"/>
        <v>5</v>
      </c>
    </row>
    <row r="3217" spans="1:7" ht="12.75">
      <c r="A3217" s="134" t="s">
        <v>504</v>
      </c>
      <c r="B3217" s="134">
        <v>303</v>
      </c>
      <c r="C3217" s="491">
        <v>1</v>
      </c>
      <c r="D3217" s="491">
        <v>0</v>
      </c>
      <c r="E3217" s="491">
        <v>0</v>
      </c>
      <c r="F3217" s="491">
        <v>0</v>
      </c>
      <c r="G3217" s="491">
        <f t="shared" si="50"/>
        <v>1</v>
      </c>
    </row>
    <row r="3218" spans="1:7" ht="12.75">
      <c r="A3218" s="134" t="s">
        <v>504</v>
      </c>
      <c r="B3218" s="134">
        <v>304</v>
      </c>
      <c r="C3218" s="491">
        <v>9</v>
      </c>
      <c r="D3218" s="491">
        <v>186</v>
      </c>
      <c r="E3218" s="491">
        <v>0</v>
      </c>
      <c r="F3218" s="491">
        <v>0</v>
      </c>
      <c r="G3218" s="491">
        <f t="shared" si="50"/>
        <v>195</v>
      </c>
    </row>
    <row r="3219" spans="1:7" ht="12.75">
      <c r="A3219" s="134" t="s">
        <v>504</v>
      </c>
      <c r="B3219" s="134">
        <v>316</v>
      </c>
      <c r="C3219" s="491">
        <v>5</v>
      </c>
      <c r="D3219" s="491">
        <v>0</v>
      </c>
      <c r="E3219" s="491">
        <v>0</v>
      </c>
      <c r="F3219" s="491">
        <v>0</v>
      </c>
      <c r="G3219" s="491">
        <f t="shared" si="50"/>
        <v>5</v>
      </c>
    </row>
    <row r="3220" spans="1:7" ht="12.75">
      <c r="A3220" s="134" t="s">
        <v>504</v>
      </c>
      <c r="B3220" s="134">
        <v>317</v>
      </c>
      <c r="C3220" s="491">
        <v>3</v>
      </c>
      <c r="D3220" s="491">
        <v>10</v>
      </c>
      <c r="E3220" s="491">
        <v>0</v>
      </c>
      <c r="F3220" s="491">
        <v>0</v>
      </c>
      <c r="G3220" s="491">
        <f t="shared" si="50"/>
        <v>13</v>
      </c>
    </row>
    <row r="3221" spans="1:7" ht="12.75">
      <c r="A3221" s="134" t="s">
        <v>504</v>
      </c>
      <c r="B3221" s="134">
        <v>320</v>
      </c>
      <c r="C3221" s="491">
        <v>931</v>
      </c>
      <c r="D3221" s="491">
        <v>1882</v>
      </c>
      <c r="E3221" s="491">
        <v>0</v>
      </c>
      <c r="F3221" s="491">
        <v>0</v>
      </c>
      <c r="G3221" s="491">
        <f t="shared" si="50"/>
        <v>2813</v>
      </c>
    </row>
    <row r="3222" spans="1:7" ht="12.75">
      <c r="A3222" s="134" t="s">
        <v>504</v>
      </c>
      <c r="B3222" s="134">
        <v>321</v>
      </c>
      <c r="C3222" s="491">
        <v>4</v>
      </c>
      <c r="D3222" s="491">
        <v>0</v>
      </c>
      <c r="E3222" s="491">
        <v>0</v>
      </c>
      <c r="F3222" s="491">
        <v>0</v>
      </c>
      <c r="G3222" s="491">
        <f t="shared" si="50"/>
        <v>4</v>
      </c>
    </row>
    <row r="3223" spans="1:7" ht="12.75">
      <c r="A3223" s="134" t="s">
        <v>504</v>
      </c>
      <c r="B3223" s="134">
        <v>324</v>
      </c>
      <c r="C3223" s="491">
        <v>1</v>
      </c>
      <c r="D3223" s="491">
        <v>0</v>
      </c>
      <c r="E3223" s="491">
        <v>0</v>
      </c>
      <c r="F3223" s="491">
        <v>0</v>
      </c>
      <c r="G3223" s="491">
        <f t="shared" si="50"/>
        <v>1</v>
      </c>
    </row>
    <row r="3224" spans="1:7" ht="12.75">
      <c r="A3224" s="134" t="s">
        <v>504</v>
      </c>
      <c r="B3224" s="134">
        <v>340</v>
      </c>
      <c r="C3224" s="491">
        <v>6616</v>
      </c>
      <c r="D3224" s="491">
        <v>5461</v>
      </c>
      <c r="E3224" s="491">
        <v>6</v>
      </c>
      <c r="F3224" s="491">
        <v>36</v>
      </c>
      <c r="G3224" s="491">
        <f t="shared" si="50"/>
        <v>12119</v>
      </c>
    </row>
    <row r="3225" spans="1:7" ht="12.75">
      <c r="A3225" s="134" t="s">
        <v>504</v>
      </c>
      <c r="B3225" s="134">
        <v>341</v>
      </c>
      <c r="C3225" s="491">
        <v>648</v>
      </c>
      <c r="D3225" s="491">
        <v>7665</v>
      </c>
      <c r="E3225" s="491">
        <v>0</v>
      </c>
      <c r="F3225" s="491">
        <v>0</v>
      </c>
      <c r="G3225" s="491">
        <f t="shared" si="50"/>
        <v>8313</v>
      </c>
    </row>
    <row r="3226" spans="1:7" ht="12.75">
      <c r="A3226" s="134" t="s">
        <v>504</v>
      </c>
      <c r="B3226" s="134">
        <v>343</v>
      </c>
      <c r="C3226" s="491">
        <v>1</v>
      </c>
      <c r="D3226" s="491">
        <v>0</v>
      </c>
      <c r="E3226" s="491">
        <v>0</v>
      </c>
      <c r="F3226" s="491">
        <v>0</v>
      </c>
      <c r="G3226" s="491">
        <f t="shared" si="50"/>
        <v>1</v>
      </c>
    </row>
    <row r="3227" spans="1:7" ht="12.75">
      <c r="A3227" s="134" t="s">
        <v>504</v>
      </c>
      <c r="B3227" s="134">
        <v>350</v>
      </c>
      <c r="C3227" s="491">
        <v>1</v>
      </c>
      <c r="D3227" s="491">
        <v>0</v>
      </c>
      <c r="E3227" s="491">
        <v>0</v>
      </c>
      <c r="F3227" s="491">
        <v>0</v>
      </c>
      <c r="G3227" s="491">
        <f t="shared" si="50"/>
        <v>1</v>
      </c>
    </row>
    <row r="3228" spans="1:7" ht="12.75">
      <c r="A3228" s="134" t="s">
        <v>504</v>
      </c>
      <c r="B3228" s="134">
        <v>361</v>
      </c>
      <c r="C3228" s="491">
        <v>4</v>
      </c>
      <c r="D3228" s="491">
        <v>0</v>
      </c>
      <c r="E3228" s="491">
        <v>0</v>
      </c>
      <c r="F3228" s="491">
        <v>0</v>
      </c>
      <c r="G3228" s="491">
        <f t="shared" si="50"/>
        <v>4</v>
      </c>
    </row>
    <row r="3229" spans="1:7" ht="12.75">
      <c r="A3229" s="134" t="s">
        <v>504</v>
      </c>
      <c r="B3229" s="134">
        <v>400</v>
      </c>
      <c r="C3229" s="491">
        <v>1</v>
      </c>
      <c r="D3229" s="491">
        <v>0</v>
      </c>
      <c r="E3229" s="491">
        <v>0</v>
      </c>
      <c r="F3229" s="491">
        <v>0</v>
      </c>
      <c r="G3229" s="491">
        <f t="shared" si="50"/>
        <v>1</v>
      </c>
    </row>
    <row r="3230" spans="1:7" ht="12.75">
      <c r="A3230" s="134" t="s">
        <v>504</v>
      </c>
      <c r="B3230" s="134">
        <v>410</v>
      </c>
      <c r="C3230" s="491">
        <v>17</v>
      </c>
      <c r="D3230" s="491">
        <v>7</v>
      </c>
      <c r="E3230" s="491">
        <v>0</v>
      </c>
      <c r="F3230" s="491">
        <v>0</v>
      </c>
      <c r="G3230" s="491">
        <f t="shared" si="50"/>
        <v>24</v>
      </c>
    </row>
    <row r="3231" spans="1:7" ht="12.75">
      <c r="A3231" s="134" t="s">
        <v>504</v>
      </c>
      <c r="B3231" s="134">
        <v>420</v>
      </c>
      <c r="C3231" s="491">
        <v>51</v>
      </c>
      <c r="D3231" s="491">
        <v>5</v>
      </c>
      <c r="E3231" s="491">
        <v>0</v>
      </c>
      <c r="F3231" s="491">
        <v>0</v>
      </c>
      <c r="G3231" s="491">
        <f t="shared" si="50"/>
        <v>56</v>
      </c>
    </row>
    <row r="3232" spans="1:7" ht="12.75">
      <c r="A3232" s="134" t="s">
        <v>504</v>
      </c>
      <c r="B3232" s="134">
        <v>421</v>
      </c>
      <c r="C3232" s="491">
        <v>2</v>
      </c>
      <c r="D3232" s="491">
        <v>0</v>
      </c>
      <c r="E3232" s="491">
        <v>0</v>
      </c>
      <c r="F3232" s="491">
        <v>0</v>
      </c>
      <c r="G3232" s="491">
        <f t="shared" si="50"/>
        <v>2</v>
      </c>
    </row>
    <row r="3233" spans="1:7" ht="12.75">
      <c r="A3233" s="134" t="s">
        <v>504</v>
      </c>
      <c r="B3233" s="134">
        <v>430</v>
      </c>
      <c r="C3233" s="491">
        <v>0</v>
      </c>
      <c r="D3233" s="491">
        <v>1</v>
      </c>
      <c r="E3233" s="491">
        <v>0</v>
      </c>
      <c r="F3233" s="491">
        <v>0</v>
      </c>
      <c r="G3233" s="491">
        <f t="shared" si="50"/>
        <v>1</v>
      </c>
    </row>
    <row r="3234" spans="1:7" ht="12.75">
      <c r="A3234" s="134" t="s">
        <v>504</v>
      </c>
      <c r="B3234" s="134">
        <v>650</v>
      </c>
      <c r="C3234" s="491">
        <v>2</v>
      </c>
      <c r="D3234" s="491">
        <v>2</v>
      </c>
      <c r="E3234" s="491">
        <v>0</v>
      </c>
      <c r="F3234" s="491">
        <v>0</v>
      </c>
      <c r="G3234" s="491">
        <f t="shared" si="50"/>
        <v>4</v>
      </c>
    </row>
    <row r="3235" spans="1:7" ht="12.75">
      <c r="A3235" s="134" t="s">
        <v>494</v>
      </c>
      <c r="B3235" s="134">
        <v>100</v>
      </c>
      <c r="C3235" s="491">
        <v>23</v>
      </c>
      <c r="D3235" s="491">
        <v>0</v>
      </c>
      <c r="E3235" s="491">
        <v>0</v>
      </c>
      <c r="F3235" s="491">
        <v>0</v>
      </c>
      <c r="G3235" s="491">
        <f t="shared" si="50"/>
        <v>23</v>
      </c>
    </row>
    <row r="3236" spans="1:7" ht="12.75">
      <c r="A3236" s="134" t="s">
        <v>494</v>
      </c>
      <c r="B3236" s="134">
        <v>101</v>
      </c>
      <c r="C3236" s="491">
        <v>13</v>
      </c>
      <c r="D3236" s="491">
        <v>0</v>
      </c>
      <c r="E3236" s="491">
        <v>1</v>
      </c>
      <c r="F3236" s="491">
        <v>0</v>
      </c>
      <c r="G3236" s="491">
        <f t="shared" si="50"/>
        <v>14</v>
      </c>
    </row>
    <row r="3237" spans="1:7" ht="12.75">
      <c r="A3237" s="134" t="s">
        <v>494</v>
      </c>
      <c r="B3237" s="134">
        <v>107</v>
      </c>
      <c r="C3237" s="491">
        <v>1</v>
      </c>
      <c r="D3237" s="491">
        <v>0</v>
      </c>
      <c r="E3237" s="491">
        <v>1</v>
      </c>
      <c r="F3237" s="491">
        <v>0</v>
      </c>
      <c r="G3237" s="491">
        <f t="shared" si="50"/>
        <v>2</v>
      </c>
    </row>
    <row r="3238" spans="1:7" ht="12.75">
      <c r="A3238" s="134" t="s">
        <v>494</v>
      </c>
      <c r="B3238" s="134">
        <v>108</v>
      </c>
      <c r="C3238" s="491">
        <v>2</v>
      </c>
      <c r="D3238" s="491">
        <v>0</v>
      </c>
      <c r="E3238" s="491">
        <v>0</v>
      </c>
      <c r="F3238" s="491">
        <v>0</v>
      </c>
      <c r="G3238" s="491">
        <f t="shared" si="50"/>
        <v>2</v>
      </c>
    </row>
    <row r="3239" spans="1:7" ht="12.75">
      <c r="A3239" s="134" t="s">
        <v>494</v>
      </c>
      <c r="B3239" s="134">
        <v>110</v>
      </c>
      <c r="C3239" s="491">
        <v>10</v>
      </c>
      <c r="D3239" s="491">
        <v>1</v>
      </c>
      <c r="E3239" s="491">
        <v>0</v>
      </c>
      <c r="F3239" s="491">
        <v>0</v>
      </c>
      <c r="G3239" s="491">
        <f t="shared" si="50"/>
        <v>11</v>
      </c>
    </row>
    <row r="3240" spans="1:7" ht="12.75">
      <c r="A3240" s="134" t="s">
        <v>494</v>
      </c>
      <c r="B3240" s="134">
        <v>120</v>
      </c>
      <c r="C3240" s="491">
        <v>3</v>
      </c>
      <c r="D3240" s="491">
        <v>0</v>
      </c>
      <c r="E3240" s="491">
        <v>1</v>
      </c>
      <c r="F3240" s="491">
        <v>0</v>
      </c>
      <c r="G3240" s="491">
        <f t="shared" si="50"/>
        <v>4</v>
      </c>
    </row>
    <row r="3241" spans="1:7" ht="12.75">
      <c r="A3241" s="134" t="s">
        <v>494</v>
      </c>
      <c r="B3241" s="134">
        <v>130</v>
      </c>
      <c r="C3241" s="491">
        <v>1</v>
      </c>
      <c r="D3241" s="491">
        <v>0</v>
      </c>
      <c r="E3241" s="491">
        <v>0</v>
      </c>
      <c r="F3241" s="491">
        <v>0</v>
      </c>
      <c r="G3241" s="491">
        <f t="shared" si="50"/>
        <v>1</v>
      </c>
    </row>
    <row r="3242" spans="1:7" ht="12.75">
      <c r="A3242" s="134" t="s">
        <v>494</v>
      </c>
      <c r="B3242" s="134">
        <v>170</v>
      </c>
      <c r="C3242" s="491">
        <v>2</v>
      </c>
      <c r="D3242" s="491">
        <v>1</v>
      </c>
      <c r="E3242" s="491">
        <v>0</v>
      </c>
      <c r="F3242" s="491">
        <v>0</v>
      </c>
      <c r="G3242" s="491">
        <f t="shared" si="50"/>
        <v>3</v>
      </c>
    </row>
    <row r="3243" spans="1:7" ht="12.75">
      <c r="A3243" s="134" t="s">
        <v>494</v>
      </c>
      <c r="B3243" s="134">
        <v>171</v>
      </c>
      <c r="C3243" s="491">
        <v>0</v>
      </c>
      <c r="D3243" s="491">
        <v>1</v>
      </c>
      <c r="E3243" s="491">
        <v>2</v>
      </c>
      <c r="F3243" s="491">
        <v>7</v>
      </c>
      <c r="G3243" s="491">
        <f t="shared" si="50"/>
        <v>10</v>
      </c>
    </row>
    <row r="3244" spans="1:7" ht="12.75">
      <c r="A3244" s="134" t="s">
        <v>494</v>
      </c>
      <c r="B3244" s="134">
        <v>172</v>
      </c>
      <c r="C3244" s="491">
        <v>40</v>
      </c>
      <c r="D3244" s="491">
        <v>941</v>
      </c>
      <c r="E3244" s="491">
        <v>236</v>
      </c>
      <c r="F3244" s="491">
        <v>0</v>
      </c>
      <c r="G3244" s="491">
        <f t="shared" si="50"/>
        <v>1217</v>
      </c>
    </row>
    <row r="3245" spans="1:7" ht="12.75">
      <c r="A3245" s="134" t="s">
        <v>494</v>
      </c>
      <c r="B3245" s="134">
        <v>173</v>
      </c>
      <c r="C3245" s="491">
        <v>1</v>
      </c>
      <c r="D3245" s="491">
        <v>0</v>
      </c>
      <c r="E3245" s="491">
        <v>0</v>
      </c>
      <c r="F3245" s="491">
        <v>0</v>
      </c>
      <c r="G3245" s="491">
        <f t="shared" si="50"/>
        <v>1</v>
      </c>
    </row>
    <row r="3246" spans="1:7" ht="12.75">
      <c r="A3246" s="134" t="s">
        <v>494</v>
      </c>
      <c r="B3246" s="134">
        <v>174</v>
      </c>
      <c r="C3246" s="491">
        <v>0</v>
      </c>
      <c r="D3246" s="491">
        <v>0</v>
      </c>
      <c r="E3246" s="491">
        <v>8</v>
      </c>
      <c r="F3246" s="491">
        <v>3</v>
      </c>
      <c r="G3246" s="491">
        <f t="shared" si="50"/>
        <v>11</v>
      </c>
    </row>
    <row r="3247" spans="1:7" ht="12.75">
      <c r="A3247" s="134" t="s">
        <v>494</v>
      </c>
      <c r="B3247" s="134">
        <v>180</v>
      </c>
      <c r="C3247" s="491">
        <v>1</v>
      </c>
      <c r="D3247" s="491">
        <v>0</v>
      </c>
      <c r="E3247" s="491">
        <v>0</v>
      </c>
      <c r="F3247" s="491">
        <v>0</v>
      </c>
      <c r="G3247" s="491">
        <f t="shared" si="50"/>
        <v>1</v>
      </c>
    </row>
    <row r="3248" spans="1:7" ht="12.75">
      <c r="A3248" s="134" t="s">
        <v>494</v>
      </c>
      <c r="B3248" s="134">
        <v>191</v>
      </c>
      <c r="C3248" s="491">
        <v>2</v>
      </c>
      <c r="D3248" s="491">
        <v>0</v>
      </c>
      <c r="E3248" s="491">
        <v>0</v>
      </c>
      <c r="F3248" s="491">
        <v>0</v>
      </c>
      <c r="G3248" s="491">
        <f t="shared" si="50"/>
        <v>2</v>
      </c>
    </row>
    <row r="3249" spans="1:7" ht="12.75">
      <c r="A3249" s="134" t="s">
        <v>494</v>
      </c>
      <c r="B3249" s="134">
        <v>255</v>
      </c>
      <c r="C3249" s="491">
        <v>28</v>
      </c>
      <c r="D3249" s="491">
        <v>11</v>
      </c>
      <c r="E3249" s="491">
        <v>13</v>
      </c>
      <c r="F3249" s="491">
        <v>5</v>
      </c>
      <c r="G3249" s="491">
        <f t="shared" si="50"/>
        <v>57</v>
      </c>
    </row>
    <row r="3250" spans="1:7" ht="12.75">
      <c r="A3250" s="134" t="s">
        <v>494</v>
      </c>
      <c r="B3250" s="134">
        <v>258</v>
      </c>
      <c r="C3250" s="491">
        <v>156</v>
      </c>
      <c r="D3250" s="491">
        <v>59</v>
      </c>
      <c r="E3250" s="491">
        <v>392</v>
      </c>
      <c r="F3250" s="491">
        <v>34</v>
      </c>
      <c r="G3250" s="491">
        <f t="shared" si="50"/>
        <v>641</v>
      </c>
    </row>
    <row r="3251" spans="1:7" ht="12.75">
      <c r="A3251" s="134" t="s">
        <v>494</v>
      </c>
      <c r="B3251" s="134">
        <v>262</v>
      </c>
      <c r="C3251" s="491">
        <v>0</v>
      </c>
      <c r="D3251" s="491">
        <v>0</v>
      </c>
      <c r="E3251" s="491">
        <v>2</v>
      </c>
      <c r="F3251" s="491">
        <v>0</v>
      </c>
      <c r="G3251" s="491">
        <f t="shared" si="50"/>
        <v>2</v>
      </c>
    </row>
    <row r="3252" spans="1:7" ht="12.75">
      <c r="A3252" s="134" t="s">
        <v>494</v>
      </c>
      <c r="B3252" s="134">
        <v>263</v>
      </c>
      <c r="C3252" s="491">
        <v>0</v>
      </c>
      <c r="D3252" s="491">
        <v>0</v>
      </c>
      <c r="E3252" s="491">
        <v>1</v>
      </c>
      <c r="F3252" s="491">
        <v>0</v>
      </c>
      <c r="G3252" s="491">
        <f t="shared" si="50"/>
        <v>1</v>
      </c>
    </row>
    <row r="3253" spans="1:7" ht="12.75">
      <c r="A3253" s="134" t="s">
        <v>494</v>
      </c>
      <c r="B3253" s="134">
        <v>264</v>
      </c>
      <c r="C3253" s="491">
        <v>6</v>
      </c>
      <c r="D3253" s="491">
        <v>0</v>
      </c>
      <c r="E3253" s="491">
        <v>38</v>
      </c>
      <c r="F3253" s="491">
        <v>0</v>
      </c>
      <c r="G3253" s="491">
        <f t="shared" si="50"/>
        <v>44</v>
      </c>
    </row>
    <row r="3254" spans="1:7" ht="12.75">
      <c r="A3254" s="134" t="s">
        <v>494</v>
      </c>
      <c r="B3254" s="134">
        <v>300</v>
      </c>
      <c r="C3254" s="491">
        <v>271</v>
      </c>
      <c r="D3254" s="491">
        <v>123</v>
      </c>
      <c r="E3254" s="491">
        <v>0</v>
      </c>
      <c r="F3254" s="491">
        <v>14</v>
      </c>
      <c r="G3254" s="491">
        <f t="shared" si="50"/>
        <v>408</v>
      </c>
    </row>
    <row r="3255" spans="1:7" ht="12.75">
      <c r="A3255" s="134" t="s">
        <v>494</v>
      </c>
      <c r="B3255" s="134">
        <v>303</v>
      </c>
      <c r="C3255" s="491">
        <v>2</v>
      </c>
      <c r="D3255" s="491">
        <v>1</v>
      </c>
      <c r="E3255" s="491">
        <v>0</v>
      </c>
      <c r="F3255" s="491">
        <v>0</v>
      </c>
      <c r="G3255" s="491">
        <f t="shared" si="50"/>
        <v>3</v>
      </c>
    </row>
    <row r="3256" spans="1:7" ht="12.75">
      <c r="A3256" s="134" t="s">
        <v>494</v>
      </c>
      <c r="B3256" s="134">
        <v>304</v>
      </c>
      <c r="C3256" s="491">
        <v>277</v>
      </c>
      <c r="D3256" s="491">
        <v>705</v>
      </c>
      <c r="E3256" s="491">
        <v>0</v>
      </c>
      <c r="F3256" s="491">
        <v>0</v>
      </c>
      <c r="G3256" s="491">
        <f t="shared" si="50"/>
        <v>982</v>
      </c>
    </row>
    <row r="3257" spans="1:7" ht="12.75">
      <c r="A3257" s="134" t="s">
        <v>494</v>
      </c>
      <c r="B3257" s="134">
        <v>317</v>
      </c>
      <c r="C3257" s="491">
        <v>5</v>
      </c>
      <c r="D3257" s="491">
        <v>13</v>
      </c>
      <c r="E3257" s="491">
        <v>0</v>
      </c>
      <c r="F3257" s="491">
        <v>0</v>
      </c>
      <c r="G3257" s="491">
        <f t="shared" si="50"/>
        <v>18</v>
      </c>
    </row>
    <row r="3258" spans="1:7" ht="12.75">
      <c r="A3258" s="134" t="s">
        <v>494</v>
      </c>
      <c r="B3258" s="134">
        <v>320</v>
      </c>
      <c r="C3258" s="491">
        <v>1255</v>
      </c>
      <c r="D3258" s="491">
        <v>829</v>
      </c>
      <c r="E3258" s="491">
        <v>0</v>
      </c>
      <c r="F3258" s="491">
        <v>0</v>
      </c>
      <c r="G3258" s="491">
        <f t="shared" si="50"/>
        <v>2084</v>
      </c>
    </row>
    <row r="3259" spans="1:7" ht="12.75">
      <c r="A3259" s="134" t="s">
        <v>494</v>
      </c>
      <c r="B3259" s="134">
        <v>328</v>
      </c>
      <c r="C3259" s="491">
        <v>0</v>
      </c>
      <c r="D3259" s="491">
        <v>1</v>
      </c>
      <c r="E3259" s="491">
        <v>0</v>
      </c>
      <c r="F3259" s="491">
        <v>0</v>
      </c>
      <c r="G3259" s="491">
        <f t="shared" si="50"/>
        <v>1</v>
      </c>
    </row>
    <row r="3260" spans="1:7" ht="12.75">
      <c r="A3260" s="134" t="s">
        <v>494</v>
      </c>
      <c r="B3260" s="134">
        <v>329</v>
      </c>
      <c r="C3260" s="491">
        <v>1</v>
      </c>
      <c r="D3260" s="491">
        <v>0</v>
      </c>
      <c r="E3260" s="491">
        <v>0</v>
      </c>
      <c r="F3260" s="491">
        <v>0</v>
      </c>
      <c r="G3260" s="491">
        <f t="shared" si="50"/>
        <v>1</v>
      </c>
    </row>
    <row r="3261" spans="1:7" ht="12.75">
      <c r="A3261" s="134" t="s">
        <v>494</v>
      </c>
      <c r="B3261" s="134">
        <v>340</v>
      </c>
      <c r="C3261" s="491">
        <v>2920</v>
      </c>
      <c r="D3261" s="491">
        <v>1532</v>
      </c>
      <c r="E3261" s="491">
        <v>265</v>
      </c>
      <c r="F3261" s="491">
        <v>418</v>
      </c>
      <c r="G3261" s="491">
        <f t="shared" si="50"/>
        <v>5135</v>
      </c>
    </row>
    <row r="3262" spans="1:7" ht="12.75">
      <c r="A3262" s="134" t="s">
        <v>494</v>
      </c>
      <c r="B3262" s="134">
        <v>341</v>
      </c>
      <c r="C3262" s="491">
        <v>927</v>
      </c>
      <c r="D3262" s="491">
        <v>909</v>
      </c>
      <c r="E3262" s="491">
        <v>0</v>
      </c>
      <c r="F3262" s="491">
        <v>0</v>
      </c>
      <c r="G3262" s="491">
        <f t="shared" si="50"/>
        <v>1836</v>
      </c>
    </row>
    <row r="3263" spans="1:7" ht="12.75">
      <c r="A3263" s="134" t="s">
        <v>494</v>
      </c>
      <c r="B3263" s="134">
        <v>342</v>
      </c>
      <c r="C3263" s="491">
        <v>2</v>
      </c>
      <c r="D3263" s="491">
        <v>160</v>
      </c>
      <c r="E3263" s="491">
        <v>0</v>
      </c>
      <c r="F3263" s="491">
        <v>0</v>
      </c>
      <c r="G3263" s="491">
        <f t="shared" si="50"/>
        <v>162</v>
      </c>
    </row>
    <row r="3264" spans="1:7" ht="12.75">
      <c r="A3264" s="134" t="s">
        <v>494</v>
      </c>
      <c r="B3264" s="134">
        <v>343</v>
      </c>
      <c r="C3264" s="491">
        <v>2</v>
      </c>
      <c r="D3264" s="491">
        <v>0</v>
      </c>
      <c r="E3264" s="491">
        <v>0</v>
      </c>
      <c r="F3264" s="491">
        <v>0</v>
      </c>
      <c r="G3264" s="491">
        <f t="shared" si="50"/>
        <v>2</v>
      </c>
    </row>
    <row r="3265" spans="1:7" ht="12.75">
      <c r="A3265" s="134" t="s">
        <v>494</v>
      </c>
      <c r="B3265" s="134">
        <v>350</v>
      </c>
      <c r="C3265" s="491">
        <v>1</v>
      </c>
      <c r="D3265" s="491">
        <v>1</v>
      </c>
      <c r="E3265" s="491">
        <v>0</v>
      </c>
      <c r="F3265" s="491">
        <v>0</v>
      </c>
      <c r="G3265" s="491">
        <f t="shared" si="50"/>
        <v>2</v>
      </c>
    </row>
    <row r="3266" spans="1:7" ht="12.75">
      <c r="A3266" s="134" t="s">
        <v>494</v>
      </c>
      <c r="B3266" s="134">
        <v>361</v>
      </c>
      <c r="C3266" s="491">
        <v>1</v>
      </c>
      <c r="D3266" s="491">
        <v>0</v>
      </c>
      <c r="E3266" s="491">
        <v>0</v>
      </c>
      <c r="F3266" s="491">
        <v>0</v>
      </c>
      <c r="G3266" s="491">
        <f t="shared" si="50"/>
        <v>1</v>
      </c>
    </row>
    <row r="3267" spans="1:7" ht="12.75">
      <c r="A3267" s="134" t="s">
        <v>494</v>
      </c>
      <c r="B3267" s="134">
        <v>370</v>
      </c>
      <c r="C3267" s="491">
        <v>2</v>
      </c>
      <c r="D3267" s="491">
        <v>0</v>
      </c>
      <c r="E3267" s="491">
        <v>0</v>
      </c>
      <c r="F3267" s="491">
        <v>0</v>
      </c>
      <c r="G3267" s="491">
        <f t="shared" si="50"/>
        <v>2</v>
      </c>
    </row>
    <row r="3268" spans="1:7" ht="12.75">
      <c r="A3268" s="134" t="s">
        <v>494</v>
      </c>
      <c r="B3268" s="134">
        <v>400</v>
      </c>
      <c r="C3268" s="491">
        <v>2</v>
      </c>
      <c r="D3268" s="491">
        <v>0</v>
      </c>
      <c r="E3268" s="491">
        <v>1</v>
      </c>
      <c r="F3268" s="491">
        <v>0</v>
      </c>
      <c r="G3268" s="491">
        <f t="shared" ref="G3268:G3331" si="51">SUM(C3268:F3268)</f>
        <v>3</v>
      </c>
    </row>
    <row r="3269" spans="1:7" ht="12.75">
      <c r="A3269" s="134" t="s">
        <v>494</v>
      </c>
      <c r="B3269" s="134">
        <v>410</v>
      </c>
      <c r="C3269" s="491">
        <v>42</v>
      </c>
      <c r="D3269" s="491">
        <v>26</v>
      </c>
      <c r="E3269" s="491">
        <v>0</v>
      </c>
      <c r="F3269" s="491">
        <v>0</v>
      </c>
      <c r="G3269" s="491">
        <f t="shared" si="51"/>
        <v>68</v>
      </c>
    </row>
    <row r="3270" spans="1:7" ht="12.75">
      <c r="A3270" s="134" t="s">
        <v>494</v>
      </c>
      <c r="B3270" s="134">
        <v>420</v>
      </c>
      <c r="C3270" s="491">
        <v>153</v>
      </c>
      <c r="D3270" s="491">
        <v>34</v>
      </c>
      <c r="E3270" s="491">
        <v>20</v>
      </c>
      <c r="F3270" s="491">
        <v>4</v>
      </c>
      <c r="G3270" s="491">
        <f t="shared" si="51"/>
        <v>211</v>
      </c>
    </row>
    <row r="3271" spans="1:7" ht="12.75">
      <c r="A3271" s="134" t="s">
        <v>494</v>
      </c>
      <c r="B3271" s="134">
        <v>421</v>
      </c>
      <c r="C3271" s="491">
        <v>3</v>
      </c>
      <c r="D3271" s="491">
        <v>1</v>
      </c>
      <c r="E3271" s="491">
        <v>15</v>
      </c>
      <c r="F3271" s="491">
        <v>3</v>
      </c>
      <c r="G3271" s="491">
        <f t="shared" si="51"/>
        <v>22</v>
      </c>
    </row>
    <row r="3272" spans="1:7" ht="12.75">
      <c r="A3272" s="134" t="s">
        <v>494</v>
      </c>
      <c r="B3272" s="134">
        <v>430</v>
      </c>
      <c r="C3272" s="491">
        <v>0</v>
      </c>
      <c r="D3272" s="491">
        <v>10</v>
      </c>
      <c r="E3272" s="491">
        <v>0</v>
      </c>
      <c r="F3272" s="491">
        <v>0</v>
      </c>
      <c r="G3272" s="491">
        <f t="shared" si="51"/>
        <v>10</v>
      </c>
    </row>
    <row r="3273" spans="1:7" ht="12.75">
      <c r="A3273" s="134" t="s">
        <v>494</v>
      </c>
      <c r="B3273" s="134">
        <v>502</v>
      </c>
      <c r="C3273" s="491">
        <v>5</v>
      </c>
      <c r="D3273" s="491">
        <v>0</v>
      </c>
      <c r="E3273" s="491">
        <v>0</v>
      </c>
      <c r="F3273" s="491">
        <v>0</v>
      </c>
      <c r="G3273" s="491">
        <f t="shared" si="51"/>
        <v>5</v>
      </c>
    </row>
    <row r="3274" spans="1:7" ht="12.75">
      <c r="A3274" s="134" t="s">
        <v>494</v>
      </c>
      <c r="B3274" s="134">
        <v>650</v>
      </c>
      <c r="C3274" s="491">
        <v>10</v>
      </c>
      <c r="D3274" s="491">
        <v>0</v>
      </c>
      <c r="E3274" s="491">
        <v>203</v>
      </c>
      <c r="F3274" s="491">
        <v>17</v>
      </c>
      <c r="G3274" s="491">
        <f t="shared" si="51"/>
        <v>230</v>
      </c>
    </row>
    <row r="3275" spans="1:7" ht="12.75">
      <c r="A3275" s="134" t="s">
        <v>97</v>
      </c>
      <c r="B3275" s="134">
        <v>107</v>
      </c>
      <c r="C3275" s="491">
        <v>1</v>
      </c>
      <c r="D3275" s="491">
        <v>0</v>
      </c>
      <c r="E3275" s="491">
        <v>0</v>
      </c>
      <c r="F3275" s="491">
        <v>0</v>
      </c>
      <c r="G3275" s="491">
        <f t="shared" si="51"/>
        <v>1</v>
      </c>
    </row>
    <row r="3276" spans="1:7" ht="12.75">
      <c r="A3276" s="134" t="s">
        <v>97</v>
      </c>
      <c r="B3276" s="134">
        <v>110</v>
      </c>
      <c r="C3276" s="491">
        <v>2</v>
      </c>
      <c r="D3276" s="491">
        <v>2</v>
      </c>
      <c r="E3276" s="491">
        <v>0</v>
      </c>
      <c r="F3276" s="491">
        <v>0</v>
      </c>
      <c r="G3276" s="491">
        <f t="shared" si="51"/>
        <v>4</v>
      </c>
    </row>
    <row r="3277" spans="1:7" ht="12.75">
      <c r="A3277" s="134" t="s">
        <v>97</v>
      </c>
      <c r="B3277" s="134">
        <v>130</v>
      </c>
      <c r="C3277" s="491">
        <v>1</v>
      </c>
      <c r="D3277" s="491">
        <v>0</v>
      </c>
      <c r="E3277" s="491">
        <v>0</v>
      </c>
      <c r="F3277" s="491">
        <v>0</v>
      </c>
      <c r="G3277" s="491">
        <f t="shared" si="51"/>
        <v>1</v>
      </c>
    </row>
    <row r="3278" spans="1:7" ht="12.75">
      <c r="A3278" s="134" t="s">
        <v>97</v>
      </c>
      <c r="B3278" s="134">
        <v>140</v>
      </c>
      <c r="C3278" s="491">
        <v>1</v>
      </c>
      <c r="D3278" s="491">
        <v>1</v>
      </c>
      <c r="E3278" s="491">
        <v>0</v>
      </c>
      <c r="F3278" s="491">
        <v>0</v>
      </c>
      <c r="G3278" s="491">
        <f t="shared" si="51"/>
        <v>2</v>
      </c>
    </row>
    <row r="3279" spans="1:7" ht="12.75">
      <c r="A3279" s="134" t="s">
        <v>97</v>
      </c>
      <c r="B3279" s="134">
        <v>143</v>
      </c>
      <c r="C3279" s="491">
        <v>1</v>
      </c>
      <c r="D3279" s="491">
        <v>0</v>
      </c>
      <c r="E3279" s="491">
        <v>0</v>
      </c>
      <c r="F3279" s="491">
        <v>0</v>
      </c>
      <c r="G3279" s="491">
        <f t="shared" si="51"/>
        <v>1</v>
      </c>
    </row>
    <row r="3280" spans="1:7" ht="12.75">
      <c r="A3280" s="134" t="s">
        <v>97</v>
      </c>
      <c r="B3280" s="134">
        <v>191</v>
      </c>
      <c r="C3280" s="491">
        <v>1</v>
      </c>
      <c r="D3280" s="491">
        <v>1</v>
      </c>
      <c r="E3280" s="491">
        <v>0</v>
      </c>
      <c r="F3280" s="491">
        <v>0</v>
      </c>
      <c r="G3280" s="491">
        <f t="shared" si="51"/>
        <v>2</v>
      </c>
    </row>
    <row r="3281" spans="1:7" ht="12.75">
      <c r="A3281" s="134" t="s">
        <v>97</v>
      </c>
      <c r="B3281" s="134">
        <v>211</v>
      </c>
      <c r="C3281" s="491">
        <v>1</v>
      </c>
      <c r="D3281" s="491">
        <v>0</v>
      </c>
      <c r="E3281" s="491">
        <v>0</v>
      </c>
      <c r="F3281" s="491">
        <v>0</v>
      </c>
      <c r="G3281" s="491">
        <f t="shared" si="51"/>
        <v>1</v>
      </c>
    </row>
    <row r="3282" spans="1:7" ht="12.75">
      <c r="A3282" s="134" t="s">
        <v>97</v>
      </c>
      <c r="B3282" s="134">
        <v>214</v>
      </c>
      <c r="C3282" s="491">
        <v>1</v>
      </c>
      <c r="D3282" s="491">
        <v>0</v>
      </c>
      <c r="E3282" s="491">
        <v>0</v>
      </c>
      <c r="F3282" s="491">
        <v>0</v>
      </c>
      <c r="G3282" s="491">
        <f t="shared" si="51"/>
        <v>1</v>
      </c>
    </row>
    <row r="3283" spans="1:7" ht="12.75">
      <c r="A3283" s="134" t="s">
        <v>97</v>
      </c>
      <c r="B3283" s="134">
        <v>303</v>
      </c>
      <c r="C3283" s="491">
        <v>0</v>
      </c>
      <c r="D3283" s="491">
        <v>1</v>
      </c>
      <c r="E3283" s="491">
        <v>0</v>
      </c>
      <c r="F3283" s="491">
        <v>0</v>
      </c>
      <c r="G3283" s="491">
        <f t="shared" si="51"/>
        <v>1</v>
      </c>
    </row>
    <row r="3284" spans="1:7" ht="12.75">
      <c r="A3284" s="134" t="s">
        <v>97</v>
      </c>
      <c r="B3284" s="134">
        <v>307</v>
      </c>
      <c r="C3284" s="491">
        <v>1</v>
      </c>
      <c r="D3284" s="491">
        <v>2</v>
      </c>
      <c r="E3284" s="491">
        <v>0</v>
      </c>
      <c r="F3284" s="491">
        <v>0</v>
      </c>
      <c r="G3284" s="491">
        <f t="shared" si="51"/>
        <v>3</v>
      </c>
    </row>
    <row r="3285" spans="1:7" ht="12.75">
      <c r="A3285" s="134" t="s">
        <v>97</v>
      </c>
      <c r="B3285" s="134">
        <v>340</v>
      </c>
      <c r="C3285" s="491">
        <v>1</v>
      </c>
      <c r="D3285" s="491">
        <v>1</v>
      </c>
      <c r="E3285" s="491">
        <v>0</v>
      </c>
      <c r="F3285" s="491">
        <v>0</v>
      </c>
      <c r="G3285" s="491">
        <f t="shared" si="51"/>
        <v>2</v>
      </c>
    </row>
    <row r="3286" spans="1:7" ht="12.75">
      <c r="A3286" s="134" t="s">
        <v>97</v>
      </c>
      <c r="B3286" s="134">
        <v>420</v>
      </c>
      <c r="C3286" s="491">
        <v>1</v>
      </c>
      <c r="D3286" s="491">
        <v>2</v>
      </c>
      <c r="E3286" s="491">
        <v>0</v>
      </c>
      <c r="F3286" s="491">
        <v>0</v>
      </c>
      <c r="G3286" s="491">
        <f t="shared" si="51"/>
        <v>3</v>
      </c>
    </row>
    <row r="3287" spans="1:7" ht="12.75">
      <c r="A3287" s="134" t="s">
        <v>97</v>
      </c>
      <c r="B3287" s="134">
        <v>502</v>
      </c>
      <c r="C3287" s="491">
        <v>1</v>
      </c>
      <c r="D3287" s="491">
        <v>1</v>
      </c>
      <c r="E3287" s="491">
        <v>0</v>
      </c>
      <c r="F3287" s="491">
        <v>0</v>
      </c>
      <c r="G3287" s="491">
        <f t="shared" si="51"/>
        <v>2</v>
      </c>
    </row>
    <row r="3288" spans="1:7" ht="12.75">
      <c r="A3288" s="134" t="s">
        <v>97</v>
      </c>
      <c r="B3288" s="134">
        <v>560</v>
      </c>
      <c r="C3288" s="491">
        <v>0</v>
      </c>
      <c r="D3288" s="491">
        <v>1</v>
      </c>
      <c r="E3288" s="491">
        <v>0</v>
      </c>
      <c r="F3288" s="491">
        <v>0</v>
      </c>
      <c r="G3288" s="491">
        <f t="shared" si="51"/>
        <v>1</v>
      </c>
    </row>
    <row r="3289" spans="1:7" ht="12.75">
      <c r="A3289" s="134" t="s">
        <v>100</v>
      </c>
      <c r="B3289" s="134">
        <v>258</v>
      </c>
      <c r="C3289" s="491">
        <v>3</v>
      </c>
      <c r="D3289" s="491">
        <v>1</v>
      </c>
      <c r="E3289" s="491">
        <v>2</v>
      </c>
      <c r="F3289" s="491">
        <v>1</v>
      </c>
      <c r="G3289" s="491">
        <f t="shared" si="51"/>
        <v>7</v>
      </c>
    </row>
    <row r="3290" spans="1:7" ht="12.75">
      <c r="A3290" s="134" t="s">
        <v>100</v>
      </c>
      <c r="B3290" s="134">
        <v>300</v>
      </c>
      <c r="C3290" s="491">
        <v>141</v>
      </c>
      <c r="D3290" s="491">
        <v>32</v>
      </c>
      <c r="E3290" s="491">
        <v>0</v>
      </c>
      <c r="F3290" s="491">
        <v>0</v>
      </c>
      <c r="G3290" s="491">
        <f t="shared" si="51"/>
        <v>173</v>
      </c>
    </row>
    <row r="3291" spans="1:7" ht="12.75">
      <c r="A3291" s="134" t="s">
        <v>100</v>
      </c>
      <c r="B3291" s="134">
        <v>304</v>
      </c>
      <c r="C3291" s="491">
        <v>88</v>
      </c>
      <c r="D3291" s="491">
        <v>12</v>
      </c>
      <c r="E3291" s="491">
        <v>0</v>
      </c>
      <c r="F3291" s="491">
        <v>0</v>
      </c>
      <c r="G3291" s="491">
        <f t="shared" si="51"/>
        <v>100</v>
      </c>
    </row>
    <row r="3292" spans="1:7" ht="12.75">
      <c r="A3292" s="134" t="s">
        <v>100</v>
      </c>
      <c r="B3292" s="134">
        <v>317</v>
      </c>
      <c r="C3292" s="491">
        <v>0</v>
      </c>
      <c r="D3292" s="491">
        <v>1</v>
      </c>
      <c r="E3292" s="491">
        <v>0</v>
      </c>
      <c r="F3292" s="491">
        <v>0</v>
      </c>
      <c r="G3292" s="491">
        <f t="shared" si="51"/>
        <v>1</v>
      </c>
    </row>
    <row r="3293" spans="1:7" ht="12.75">
      <c r="A3293" s="134" t="s">
        <v>100</v>
      </c>
      <c r="B3293" s="134">
        <v>320</v>
      </c>
      <c r="C3293" s="491">
        <v>29</v>
      </c>
      <c r="D3293" s="491">
        <v>71</v>
      </c>
      <c r="E3293" s="491">
        <v>0</v>
      </c>
      <c r="F3293" s="491">
        <v>0</v>
      </c>
      <c r="G3293" s="491">
        <f t="shared" si="51"/>
        <v>100</v>
      </c>
    </row>
    <row r="3294" spans="1:7" ht="12.75">
      <c r="A3294" s="134" t="s">
        <v>100</v>
      </c>
      <c r="B3294" s="134">
        <v>340</v>
      </c>
      <c r="C3294" s="491">
        <v>527</v>
      </c>
      <c r="D3294" s="491">
        <v>301</v>
      </c>
      <c r="E3294" s="491">
        <v>1</v>
      </c>
      <c r="F3294" s="491">
        <v>0</v>
      </c>
      <c r="G3294" s="491">
        <f t="shared" si="51"/>
        <v>829</v>
      </c>
    </row>
    <row r="3295" spans="1:7" ht="12.75">
      <c r="A3295" s="134" t="s">
        <v>100</v>
      </c>
      <c r="B3295" s="134">
        <v>341</v>
      </c>
      <c r="C3295" s="491">
        <v>130</v>
      </c>
      <c r="D3295" s="491">
        <v>13</v>
      </c>
      <c r="E3295" s="491">
        <v>0</v>
      </c>
      <c r="F3295" s="491">
        <v>0</v>
      </c>
      <c r="G3295" s="491">
        <f t="shared" si="51"/>
        <v>143</v>
      </c>
    </row>
    <row r="3296" spans="1:7" ht="12.75">
      <c r="A3296" s="134" t="s">
        <v>100</v>
      </c>
      <c r="B3296" s="134">
        <v>342</v>
      </c>
      <c r="C3296" s="491">
        <v>1</v>
      </c>
      <c r="D3296" s="491">
        <v>0</v>
      </c>
      <c r="E3296" s="491">
        <v>0</v>
      </c>
      <c r="F3296" s="491">
        <v>0</v>
      </c>
      <c r="G3296" s="491">
        <f t="shared" si="51"/>
        <v>1</v>
      </c>
    </row>
    <row r="3297" spans="1:7" ht="12.75">
      <c r="A3297" s="134" t="s">
        <v>100</v>
      </c>
      <c r="B3297" s="134">
        <v>420</v>
      </c>
      <c r="C3297" s="491">
        <v>3</v>
      </c>
      <c r="D3297" s="491">
        <v>0</v>
      </c>
      <c r="E3297" s="491">
        <v>0</v>
      </c>
      <c r="F3297" s="491">
        <v>0</v>
      </c>
      <c r="G3297" s="491">
        <f t="shared" si="51"/>
        <v>3</v>
      </c>
    </row>
    <row r="3298" spans="1:7" ht="12.75">
      <c r="A3298" s="134" t="s">
        <v>100</v>
      </c>
      <c r="B3298" s="134">
        <v>650</v>
      </c>
      <c r="C3298" s="491">
        <v>0</v>
      </c>
      <c r="D3298" s="491">
        <v>6</v>
      </c>
      <c r="E3298" s="491">
        <v>0</v>
      </c>
      <c r="F3298" s="491">
        <v>0</v>
      </c>
      <c r="G3298" s="491">
        <f t="shared" si="51"/>
        <v>6</v>
      </c>
    </row>
    <row r="3299" spans="1:7" ht="12.75">
      <c r="A3299" s="134" t="s">
        <v>486</v>
      </c>
      <c r="B3299" s="134">
        <v>100</v>
      </c>
      <c r="C3299" s="491">
        <v>2</v>
      </c>
      <c r="D3299" s="491">
        <v>0</v>
      </c>
      <c r="E3299" s="491">
        <v>0</v>
      </c>
      <c r="F3299" s="491">
        <v>0</v>
      </c>
      <c r="G3299" s="491">
        <f t="shared" si="51"/>
        <v>2</v>
      </c>
    </row>
    <row r="3300" spans="1:7" ht="12.75">
      <c r="A3300" s="134" t="s">
        <v>486</v>
      </c>
      <c r="B3300" s="134">
        <v>101</v>
      </c>
      <c r="C3300" s="491">
        <v>1</v>
      </c>
      <c r="D3300" s="491">
        <v>0</v>
      </c>
      <c r="E3300" s="491">
        <v>0</v>
      </c>
      <c r="F3300" s="491">
        <v>0</v>
      </c>
      <c r="G3300" s="491">
        <f t="shared" si="51"/>
        <v>1</v>
      </c>
    </row>
    <row r="3301" spans="1:7" ht="12.75">
      <c r="A3301" s="134" t="s">
        <v>486</v>
      </c>
      <c r="B3301" s="134">
        <v>104</v>
      </c>
      <c r="C3301" s="491">
        <v>1</v>
      </c>
      <c r="D3301" s="491">
        <v>0</v>
      </c>
      <c r="E3301" s="491">
        <v>0</v>
      </c>
      <c r="F3301" s="491">
        <v>0</v>
      </c>
      <c r="G3301" s="491">
        <f t="shared" si="51"/>
        <v>1</v>
      </c>
    </row>
    <row r="3302" spans="1:7" ht="12.75">
      <c r="A3302" s="134" t="s">
        <v>486</v>
      </c>
      <c r="B3302" s="134">
        <v>120</v>
      </c>
      <c r="C3302" s="491">
        <v>17</v>
      </c>
      <c r="D3302" s="491">
        <v>5</v>
      </c>
      <c r="E3302" s="491">
        <v>0</v>
      </c>
      <c r="F3302" s="491">
        <v>0</v>
      </c>
      <c r="G3302" s="491">
        <f t="shared" si="51"/>
        <v>22</v>
      </c>
    </row>
    <row r="3303" spans="1:7" ht="12.75">
      <c r="A3303" s="134" t="s">
        <v>486</v>
      </c>
      <c r="B3303" s="134">
        <v>130</v>
      </c>
      <c r="C3303" s="491">
        <v>2</v>
      </c>
      <c r="D3303" s="491">
        <v>0</v>
      </c>
      <c r="E3303" s="491">
        <v>0</v>
      </c>
      <c r="F3303" s="491">
        <v>0</v>
      </c>
      <c r="G3303" s="491">
        <f t="shared" si="51"/>
        <v>2</v>
      </c>
    </row>
    <row r="3304" spans="1:7" ht="12.75">
      <c r="A3304" s="134" t="s">
        <v>486</v>
      </c>
      <c r="B3304" s="134">
        <v>300</v>
      </c>
      <c r="C3304" s="491">
        <v>915</v>
      </c>
      <c r="D3304" s="491">
        <v>526</v>
      </c>
      <c r="E3304" s="491">
        <v>0</v>
      </c>
      <c r="F3304" s="491">
        <v>1</v>
      </c>
      <c r="G3304" s="491">
        <f t="shared" si="51"/>
        <v>1442</v>
      </c>
    </row>
    <row r="3305" spans="1:7" ht="12.75">
      <c r="A3305" s="134" t="s">
        <v>486</v>
      </c>
      <c r="B3305" s="134">
        <v>302</v>
      </c>
      <c r="C3305" s="491">
        <v>2</v>
      </c>
      <c r="D3305" s="491">
        <v>0</v>
      </c>
      <c r="E3305" s="491">
        <v>0</v>
      </c>
      <c r="F3305" s="491">
        <v>0</v>
      </c>
      <c r="G3305" s="491">
        <f t="shared" si="51"/>
        <v>2</v>
      </c>
    </row>
    <row r="3306" spans="1:7" ht="12.75">
      <c r="A3306" s="134" t="s">
        <v>486</v>
      </c>
      <c r="B3306" s="134">
        <v>303</v>
      </c>
      <c r="C3306" s="491">
        <v>2</v>
      </c>
      <c r="D3306" s="491">
        <v>0</v>
      </c>
      <c r="E3306" s="491">
        <v>0</v>
      </c>
      <c r="F3306" s="491">
        <v>0</v>
      </c>
      <c r="G3306" s="491">
        <f t="shared" si="51"/>
        <v>2</v>
      </c>
    </row>
    <row r="3307" spans="1:7" ht="12.75">
      <c r="A3307" s="134" t="s">
        <v>486</v>
      </c>
      <c r="B3307" s="134">
        <v>304</v>
      </c>
      <c r="C3307" s="491">
        <v>1501</v>
      </c>
      <c r="D3307" s="491">
        <v>973</v>
      </c>
      <c r="E3307" s="491">
        <v>0</v>
      </c>
      <c r="F3307" s="491">
        <v>0</v>
      </c>
      <c r="G3307" s="491">
        <f t="shared" si="51"/>
        <v>2474</v>
      </c>
    </row>
    <row r="3308" spans="1:7" ht="12.75">
      <c r="A3308" s="134" t="s">
        <v>486</v>
      </c>
      <c r="B3308" s="134">
        <v>307</v>
      </c>
      <c r="C3308" s="491">
        <v>1</v>
      </c>
      <c r="D3308" s="491">
        <v>0</v>
      </c>
      <c r="E3308" s="491">
        <v>0</v>
      </c>
      <c r="F3308" s="491">
        <v>0</v>
      </c>
      <c r="G3308" s="491">
        <f t="shared" si="51"/>
        <v>1</v>
      </c>
    </row>
    <row r="3309" spans="1:7" ht="12.75">
      <c r="A3309" s="134" t="s">
        <v>486</v>
      </c>
      <c r="B3309" s="134">
        <v>320</v>
      </c>
      <c r="C3309" s="491">
        <v>63</v>
      </c>
      <c r="D3309" s="491">
        <v>472</v>
      </c>
      <c r="E3309" s="491">
        <v>0</v>
      </c>
      <c r="F3309" s="491">
        <v>0</v>
      </c>
      <c r="G3309" s="491">
        <f t="shared" si="51"/>
        <v>535</v>
      </c>
    </row>
    <row r="3310" spans="1:7" ht="12.75">
      <c r="A3310" s="134" t="s">
        <v>486</v>
      </c>
      <c r="B3310" s="134">
        <v>330</v>
      </c>
      <c r="C3310" s="491">
        <v>1</v>
      </c>
      <c r="D3310" s="491">
        <v>0</v>
      </c>
      <c r="E3310" s="491">
        <v>0</v>
      </c>
      <c r="F3310" s="491">
        <v>0</v>
      </c>
      <c r="G3310" s="491">
        <f t="shared" si="51"/>
        <v>1</v>
      </c>
    </row>
    <row r="3311" spans="1:7" ht="12.75">
      <c r="A3311" s="134" t="s">
        <v>486</v>
      </c>
      <c r="B3311" s="134">
        <v>340</v>
      </c>
      <c r="C3311" s="491">
        <v>11641</v>
      </c>
      <c r="D3311" s="491">
        <v>4377</v>
      </c>
      <c r="E3311" s="491">
        <v>70</v>
      </c>
      <c r="F3311" s="491">
        <v>14</v>
      </c>
      <c r="G3311" s="491">
        <f t="shared" si="51"/>
        <v>16102</v>
      </c>
    </row>
    <row r="3312" spans="1:7" ht="12.75">
      <c r="A3312" s="134" t="s">
        <v>486</v>
      </c>
      <c r="B3312" s="134">
        <v>341</v>
      </c>
      <c r="C3312" s="491">
        <v>1038</v>
      </c>
      <c r="D3312" s="491">
        <v>1049</v>
      </c>
      <c r="E3312" s="491">
        <v>1</v>
      </c>
      <c r="F3312" s="491">
        <v>4</v>
      </c>
      <c r="G3312" s="491">
        <f t="shared" si="51"/>
        <v>2092</v>
      </c>
    </row>
    <row r="3313" spans="1:7" ht="12.75">
      <c r="A3313" s="134" t="s">
        <v>486</v>
      </c>
      <c r="B3313" s="134">
        <v>342</v>
      </c>
      <c r="C3313" s="491">
        <v>1</v>
      </c>
      <c r="D3313" s="491">
        <v>0</v>
      </c>
      <c r="E3313" s="491">
        <v>0</v>
      </c>
      <c r="F3313" s="491">
        <v>0</v>
      </c>
      <c r="G3313" s="491">
        <f t="shared" si="51"/>
        <v>1</v>
      </c>
    </row>
    <row r="3314" spans="1:7" ht="12.75">
      <c r="A3314" s="134" t="s">
        <v>486</v>
      </c>
      <c r="B3314" s="134">
        <v>343</v>
      </c>
      <c r="C3314" s="491">
        <v>2</v>
      </c>
      <c r="D3314" s="491">
        <v>0</v>
      </c>
      <c r="E3314" s="491">
        <v>3</v>
      </c>
      <c r="F3314" s="491">
        <v>0</v>
      </c>
      <c r="G3314" s="491">
        <f t="shared" si="51"/>
        <v>5</v>
      </c>
    </row>
    <row r="3315" spans="1:7" ht="12.75">
      <c r="A3315" s="134" t="s">
        <v>486</v>
      </c>
      <c r="B3315" s="134">
        <v>361</v>
      </c>
      <c r="C3315" s="491">
        <v>1</v>
      </c>
      <c r="D3315" s="491">
        <v>0</v>
      </c>
      <c r="E3315" s="491">
        <v>0</v>
      </c>
      <c r="F3315" s="491">
        <v>0</v>
      </c>
      <c r="G3315" s="491">
        <f t="shared" si="51"/>
        <v>1</v>
      </c>
    </row>
    <row r="3316" spans="1:7" ht="12.75">
      <c r="A3316" s="134" t="s">
        <v>486</v>
      </c>
      <c r="B3316" s="134">
        <v>370</v>
      </c>
      <c r="C3316" s="491">
        <v>1</v>
      </c>
      <c r="D3316" s="491">
        <v>0</v>
      </c>
      <c r="E3316" s="491">
        <v>1</v>
      </c>
      <c r="F3316" s="491">
        <v>0</v>
      </c>
      <c r="G3316" s="491">
        <f t="shared" si="51"/>
        <v>2</v>
      </c>
    </row>
    <row r="3317" spans="1:7" ht="12.75">
      <c r="A3317" s="134" t="s">
        <v>486</v>
      </c>
      <c r="B3317" s="134">
        <v>400</v>
      </c>
      <c r="C3317" s="491">
        <v>0</v>
      </c>
      <c r="D3317" s="491">
        <v>1</v>
      </c>
      <c r="E3317" s="491">
        <v>1</v>
      </c>
      <c r="F3317" s="491">
        <v>1</v>
      </c>
      <c r="G3317" s="491">
        <f t="shared" si="51"/>
        <v>3</v>
      </c>
    </row>
    <row r="3318" spans="1:7" ht="12.75">
      <c r="A3318" s="134" t="s">
        <v>486</v>
      </c>
      <c r="B3318" s="134">
        <v>420</v>
      </c>
      <c r="C3318" s="491">
        <v>1</v>
      </c>
      <c r="D3318" s="491">
        <v>0</v>
      </c>
      <c r="E3318" s="491">
        <v>0</v>
      </c>
      <c r="F3318" s="491">
        <v>0</v>
      </c>
      <c r="G3318" s="491">
        <f t="shared" si="51"/>
        <v>1</v>
      </c>
    </row>
    <row r="3319" spans="1:7" ht="12.75">
      <c r="A3319" s="134" t="s">
        <v>486</v>
      </c>
      <c r="B3319" s="134">
        <v>650</v>
      </c>
      <c r="C3319" s="491">
        <v>1</v>
      </c>
      <c r="D3319" s="491">
        <v>3</v>
      </c>
      <c r="E3319" s="491">
        <v>0</v>
      </c>
      <c r="F3319" s="491">
        <v>0</v>
      </c>
      <c r="G3319" s="491">
        <f t="shared" si="51"/>
        <v>4</v>
      </c>
    </row>
    <row r="3320" spans="1:7" ht="12.75">
      <c r="A3320" s="134" t="s">
        <v>101</v>
      </c>
      <c r="B3320" s="134">
        <v>215</v>
      </c>
      <c r="C3320" s="491">
        <v>3</v>
      </c>
      <c r="D3320" s="491">
        <v>3</v>
      </c>
      <c r="E3320" s="491">
        <v>0</v>
      </c>
      <c r="F3320" s="491">
        <v>0</v>
      </c>
      <c r="G3320" s="491">
        <f t="shared" si="51"/>
        <v>6</v>
      </c>
    </row>
    <row r="3321" spans="1:7" ht="12.75">
      <c r="A3321" s="134" t="s">
        <v>101</v>
      </c>
      <c r="B3321" s="134">
        <v>258</v>
      </c>
      <c r="C3321" s="491">
        <v>7</v>
      </c>
      <c r="D3321" s="491">
        <v>9</v>
      </c>
      <c r="E3321" s="491">
        <v>0</v>
      </c>
      <c r="F3321" s="491">
        <v>1</v>
      </c>
      <c r="G3321" s="491">
        <f t="shared" si="51"/>
        <v>17</v>
      </c>
    </row>
    <row r="3322" spans="1:7" ht="12.75">
      <c r="A3322" s="134" t="s">
        <v>101</v>
      </c>
      <c r="B3322" s="134">
        <v>264</v>
      </c>
      <c r="C3322" s="491">
        <v>1</v>
      </c>
      <c r="D3322" s="491">
        <v>0</v>
      </c>
      <c r="E3322" s="491">
        <v>0</v>
      </c>
      <c r="F3322" s="491">
        <v>0</v>
      </c>
      <c r="G3322" s="491">
        <f t="shared" si="51"/>
        <v>1</v>
      </c>
    </row>
    <row r="3323" spans="1:7" ht="12.75">
      <c r="A3323" s="134" t="s">
        <v>101</v>
      </c>
      <c r="B3323" s="134">
        <v>290</v>
      </c>
      <c r="C3323" s="491">
        <v>193</v>
      </c>
      <c r="D3323" s="491">
        <v>112</v>
      </c>
      <c r="E3323" s="491">
        <v>0</v>
      </c>
      <c r="F3323" s="491">
        <v>0</v>
      </c>
      <c r="G3323" s="491">
        <f t="shared" si="51"/>
        <v>305</v>
      </c>
    </row>
    <row r="3324" spans="1:7" ht="12.75">
      <c r="A3324" s="134" t="s">
        <v>101</v>
      </c>
      <c r="B3324" s="134">
        <v>300</v>
      </c>
      <c r="C3324" s="491">
        <v>1</v>
      </c>
      <c r="D3324" s="491">
        <v>3</v>
      </c>
      <c r="E3324" s="491">
        <v>0</v>
      </c>
      <c r="F3324" s="491">
        <v>0</v>
      </c>
      <c r="G3324" s="491">
        <f t="shared" si="51"/>
        <v>4</v>
      </c>
    </row>
    <row r="3325" spans="1:7" ht="12.75">
      <c r="A3325" s="134" t="s">
        <v>101</v>
      </c>
      <c r="B3325" s="134">
        <v>304</v>
      </c>
      <c r="C3325" s="491">
        <v>35</v>
      </c>
      <c r="D3325" s="491">
        <v>4</v>
      </c>
      <c r="E3325" s="491">
        <v>0</v>
      </c>
      <c r="F3325" s="491">
        <v>0</v>
      </c>
      <c r="G3325" s="491">
        <f t="shared" si="51"/>
        <v>39</v>
      </c>
    </row>
    <row r="3326" spans="1:7" ht="12.75">
      <c r="A3326" s="134" t="s">
        <v>101</v>
      </c>
      <c r="B3326" s="134">
        <v>320</v>
      </c>
      <c r="C3326" s="491">
        <v>0</v>
      </c>
      <c r="D3326" s="491">
        <v>1</v>
      </c>
      <c r="E3326" s="491">
        <v>0</v>
      </c>
      <c r="F3326" s="491">
        <v>0</v>
      </c>
      <c r="G3326" s="491">
        <f t="shared" si="51"/>
        <v>1</v>
      </c>
    </row>
    <row r="3327" spans="1:7" ht="12.75">
      <c r="A3327" s="134" t="s">
        <v>101</v>
      </c>
      <c r="B3327" s="134">
        <v>340</v>
      </c>
      <c r="C3327" s="491">
        <v>28</v>
      </c>
      <c r="D3327" s="491">
        <v>43</v>
      </c>
      <c r="E3327" s="491">
        <v>0</v>
      </c>
      <c r="F3327" s="491">
        <v>1</v>
      </c>
      <c r="G3327" s="491">
        <f t="shared" si="51"/>
        <v>72</v>
      </c>
    </row>
    <row r="3328" spans="1:7" ht="12.75">
      <c r="A3328" s="134" t="s">
        <v>101</v>
      </c>
      <c r="B3328" s="134">
        <v>341</v>
      </c>
      <c r="C3328" s="491">
        <v>1</v>
      </c>
      <c r="D3328" s="491">
        <v>3</v>
      </c>
      <c r="E3328" s="491">
        <v>0</v>
      </c>
      <c r="F3328" s="491">
        <v>0</v>
      </c>
      <c r="G3328" s="491">
        <f t="shared" si="51"/>
        <v>4</v>
      </c>
    </row>
    <row r="3329" spans="1:7" ht="12.75">
      <c r="A3329" s="134" t="s">
        <v>101</v>
      </c>
      <c r="B3329" s="134">
        <v>343</v>
      </c>
      <c r="C3329" s="491">
        <v>0</v>
      </c>
      <c r="D3329" s="491">
        <v>0</v>
      </c>
      <c r="E3329" s="491">
        <v>1</v>
      </c>
      <c r="F3329" s="491">
        <v>0</v>
      </c>
      <c r="G3329" s="491">
        <f t="shared" si="51"/>
        <v>1</v>
      </c>
    </row>
    <row r="3330" spans="1:7" ht="12.75">
      <c r="A3330" s="134" t="s">
        <v>101</v>
      </c>
      <c r="B3330" s="134">
        <v>420</v>
      </c>
      <c r="C3330" s="491">
        <v>489</v>
      </c>
      <c r="D3330" s="491">
        <v>41</v>
      </c>
      <c r="E3330" s="491">
        <v>1</v>
      </c>
      <c r="F3330" s="491">
        <v>0</v>
      </c>
      <c r="G3330" s="491">
        <f t="shared" si="51"/>
        <v>531</v>
      </c>
    </row>
    <row r="3331" spans="1:7" ht="12.75">
      <c r="A3331" s="134" t="s">
        <v>101</v>
      </c>
      <c r="B3331" s="134">
        <v>422</v>
      </c>
      <c r="C3331" s="491">
        <v>62</v>
      </c>
      <c r="D3331" s="491">
        <v>1</v>
      </c>
      <c r="E3331" s="491">
        <v>0</v>
      </c>
      <c r="F3331" s="491">
        <v>0</v>
      </c>
      <c r="G3331" s="491">
        <f t="shared" si="51"/>
        <v>63</v>
      </c>
    </row>
    <row r="3332" spans="1:7" ht="12.75">
      <c r="A3332" s="134" t="s">
        <v>102</v>
      </c>
      <c r="B3332" s="134">
        <v>100</v>
      </c>
      <c r="C3332" s="491">
        <v>1</v>
      </c>
      <c r="D3332" s="491">
        <v>0</v>
      </c>
      <c r="E3332" s="491">
        <v>0</v>
      </c>
      <c r="F3332" s="491">
        <v>0</v>
      </c>
      <c r="G3332" s="491">
        <f t="shared" ref="G3332:G3395" si="52">SUM(C3332:F3332)</f>
        <v>1</v>
      </c>
    </row>
    <row r="3333" spans="1:7" ht="12.75">
      <c r="A3333" s="134" t="s">
        <v>102</v>
      </c>
      <c r="B3333" s="134">
        <v>110</v>
      </c>
      <c r="C3333" s="491">
        <v>1</v>
      </c>
      <c r="D3333" s="491">
        <v>0</v>
      </c>
      <c r="E3333" s="491">
        <v>0</v>
      </c>
      <c r="F3333" s="491">
        <v>0</v>
      </c>
      <c r="G3333" s="491">
        <f t="shared" si="52"/>
        <v>1</v>
      </c>
    </row>
    <row r="3334" spans="1:7" ht="12.75">
      <c r="A3334" s="134" t="s">
        <v>102</v>
      </c>
      <c r="B3334" s="134">
        <v>120</v>
      </c>
      <c r="C3334" s="491">
        <v>1</v>
      </c>
      <c r="D3334" s="491">
        <v>0</v>
      </c>
      <c r="E3334" s="491">
        <v>0</v>
      </c>
      <c r="F3334" s="491">
        <v>0</v>
      </c>
      <c r="G3334" s="491">
        <f t="shared" si="52"/>
        <v>1</v>
      </c>
    </row>
    <row r="3335" spans="1:7" ht="12.75">
      <c r="A3335" s="134" t="s">
        <v>102</v>
      </c>
      <c r="B3335" s="134">
        <v>130</v>
      </c>
      <c r="C3335" s="491">
        <v>5</v>
      </c>
      <c r="D3335" s="491">
        <v>2</v>
      </c>
      <c r="E3335" s="491">
        <v>0</v>
      </c>
      <c r="F3335" s="491">
        <v>0</v>
      </c>
      <c r="G3335" s="491">
        <f t="shared" si="52"/>
        <v>7</v>
      </c>
    </row>
    <row r="3336" spans="1:7" ht="12.75">
      <c r="A3336" s="134" t="s">
        <v>102</v>
      </c>
      <c r="B3336" s="134">
        <v>253</v>
      </c>
      <c r="C3336" s="491">
        <v>0</v>
      </c>
      <c r="D3336" s="491">
        <v>0</v>
      </c>
      <c r="E3336" s="491">
        <v>3</v>
      </c>
      <c r="F3336" s="491">
        <v>0</v>
      </c>
      <c r="G3336" s="491">
        <f t="shared" si="52"/>
        <v>3</v>
      </c>
    </row>
    <row r="3337" spans="1:7" ht="12.75">
      <c r="A3337" s="134" t="s">
        <v>102</v>
      </c>
      <c r="B3337" s="134">
        <v>258</v>
      </c>
      <c r="C3337" s="491">
        <v>1</v>
      </c>
      <c r="D3337" s="491">
        <v>0</v>
      </c>
      <c r="E3337" s="491">
        <v>0</v>
      </c>
      <c r="F3337" s="491">
        <v>0</v>
      </c>
      <c r="G3337" s="491">
        <f t="shared" si="52"/>
        <v>1</v>
      </c>
    </row>
    <row r="3338" spans="1:7" ht="12.75">
      <c r="A3338" s="134" t="s">
        <v>102</v>
      </c>
      <c r="B3338" s="134">
        <v>300</v>
      </c>
      <c r="C3338" s="491">
        <v>416</v>
      </c>
      <c r="D3338" s="491">
        <v>111</v>
      </c>
      <c r="E3338" s="491">
        <v>1</v>
      </c>
      <c r="F3338" s="491">
        <v>1</v>
      </c>
      <c r="G3338" s="491">
        <f t="shared" si="52"/>
        <v>529</v>
      </c>
    </row>
    <row r="3339" spans="1:7" ht="12.75">
      <c r="A3339" s="134" t="s">
        <v>102</v>
      </c>
      <c r="B3339" s="134">
        <v>302</v>
      </c>
      <c r="C3339" s="491">
        <v>1</v>
      </c>
      <c r="D3339" s="491">
        <v>0</v>
      </c>
      <c r="E3339" s="491">
        <v>0</v>
      </c>
      <c r="F3339" s="491">
        <v>0</v>
      </c>
      <c r="G3339" s="491">
        <f t="shared" si="52"/>
        <v>1</v>
      </c>
    </row>
    <row r="3340" spans="1:7" ht="12.75">
      <c r="A3340" s="134" t="s">
        <v>102</v>
      </c>
      <c r="B3340" s="134">
        <v>303</v>
      </c>
      <c r="C3340" s="491">
        <v>1</v>
      </c>
      <c r="D3340" s="491">
        <v>0</v>
      </c>
      <c r="E3340" s="491">
        <v>0</v>
      </c>
      <c r="F3340" s="491">
        <v>0</v>
      </c>
      <c r="G3340" s="491">
        <f t="shared" si="52"/>
        <v>1</v>
      </c>
    </row>
    <row r="3341" spans="1:7" ht="12.75">
      <c r="A3341" s="134" t="s">
        <v>102</v>
      </c>
      <c r="B3341" s="134">
        <v>304</v>
      </c>
      <c r="C3341" s="491">
        <v>68</v>
      </c>
      <c r="D3341" s="491">
        <v>167</v>
      </c>
      <c r="E3341" s="491">
        <v>0</v>
      </c>
      <c r="F3341" s="491">
        <v>0</v>
      </c>
      <c r="G3341" s="491">
        <f t="shared" si="52"/>
        <v>235</v>
      </c>
    </row>
    <row r="3342" spans="1:7" ht="12.75">
      <c r="A3342" s="134" t="s">
        <v>102</v>
      </c>
      <c r="B3342" s="134">
        <v>310</v>
      </c>
      <c r="C3342" s="491">
        <v>1</v>
      </c>
      <c r="D3342" s="491">
        <v>0</v>
      </c>
      <c r="E3342" s="491">
        <v>0</v>
      </c>
      <c r="F3342" s="491">
        <v>0</v>
      </c>
      <c r="G3342" s="491">
        <f t="shared" si="52"/>
        <v>1</v>
      </c>
    </row>
    <row r="3343" spans="1:7" ht="12.75">
      <c r="A3343" s="134" t="s">
        <v>102</v>
      </c>
      <c r="B3343" s="134">
        <v>320</v>
      </c>
      <c r="C3343" s="491">
        <v>16</v>
      </c>
      <c r="D3343" s="491">
        <v>16</v>
      </c>
      <c r="E3343" s="491">
        <v>0</v>
      </c>
      <c r="F3343" s="491">
        <v>0</v>
      </c>
      <c r="G3343" s="491">
        <f t="shared" si="52"/>
        <v>32</v>
      </c>
    </row>
    <row r="3344" spans="1:7" ht="12.75">
      <c r="A3344" s="134" t="s">
        <v>102</v>
      </c>
      <c r="B3344" s="134">
        <v>321</v>
      </c>
      <c r="C3344" s="491">
        <v>1</v>
      </c>
      <c r="D3344" s="491">
        <v>3</v>
      </c>
      <c r="E3344" s="491">
        <v>0</v>
      </c>
      <c r="F3344" s="491">
        <v>0</v>
      </c>
      <c r="G3344" s="491">
        <f t="shared" si="52"/>
        <v>4</v>
      </c>
    </row>
    <row r="3345" spans="1:7" ht="12.75">
      <c r="A3345" s="134" t="s">
        <v>102</v>
      </c>
      <c r="B3345" s="134">
        <v>330</v>
      </c>
      <c r="C3345" s="491">
        <v>3</v>
      </c>
      <c r="D3345" s="491">
        <v>0</v>
      </c>
      <c r="E3345" s="491">
        <v>0</v>
      </c>
      <c r="F3345" s="491">
        <v>0</v>
      </c>
      <c r="G3345" s="491">
        <f t="shared" si="52"/>
        <v>3</v>
      </c>
    </row>
    <row r="3346" spans="1:7" ht="12.75">
      <c r="A3346" s="134" t="s">
        <v>102</v>
      </c>
      <c r="B3346" s="134">
        <v>340</v>
      </c>
      <c r="C3346" s="491">
        <v>4699</v>
      </c>
      <c r="D3346" s="491">
        <v>2020</v>
      </c>
      <c r="E3346" s="491">
        <v>401</v>
      </c>
      <c r="F3346" s="491">
        <v>232</v>
      </c>
      <c r="G3346" s="491">
        <f t="shared" si="52"/>
        <v>7352</v>
      </c>
    </row>
    <row r="3347" spans="1:7" ht="12.75">
      <c r="A3347" s="134" t="s">
        <v>102</v>
      </c>
      <c r="B3347" s="134">
        <v>341</v>
      </c>
      <c r="C3347" s="491">
        <v>935</v>
      </c>
      <c r="D3347" s="491">
        <v>514</v>
      </c>
      <c r="E3347" s="491">
        <v>0</v>
      </c>
      <c r="F3347" s="491">
        <v>0</v>
      </c>
      <c r="G3347" s="491">
        <f t="shared" si="52"/>
        <v>1449</v>
      </c>
    </row>
    <row r="3348" spans="1:7" ht="12.75">
      <c r="A3348" s="134" t="s">
        <v>102</v>
      </c>
      <c r="B3348" s="134">
        <v>342</v>
      </c>
      <c r="C3348" s="491">
        <v>473</v>
      </c>
      <c r="D3348" s="491">
        <v>205</v>
      </c>
      <c r="E3348" s="491">
        <v>0</v>
      </c>
      <c r="F3348" s="491">
        <v>0</v>
      </c>
      <c r="G3348" s="491">
        <f t="shared" si="52"/>
        <v>678</v>
      </c>
    </row>
    <row r="3349" spans="1:7" ht="12.75">
      <c r="A3349" s="134" t="s">
        <v>102</v>
      </c>
      <c r="B3349" s="134">
        <v>410</v>
      </c>
      <c r="C3349" s="491">
        <v>3</v>
      </c>
      <c r="D3349" s="491">
        <v>0</v>
      </c>
      <c r="E3349" s="491">
        <v>0</v>
      </c>
      <c r="F3349" s="491">
        <v>0</v>
      </c>
      <c r="G3349" s="491">
        <f t="shared" si="52"/>
        <v>3</v>
      </c>
    </row>
    <row r="3350" spans="1:7" ht="12.75">
      <c r="A3350" s="134" t="s">
        <v>102</v>
      </c>
      <c r="B3350" s="134">
        <v>420</v>
      </c>
      <c r="C3350" s="491">
        <v>132</v>
      </c>
      <c r="D3350" s="491">
        <v>6</v>
      </c>
      <c r="E3350" s="491">
        <v>3</v>
      </c>
      <c r="F3350" s="491">
        <v>0</v>
      </c>
      <c r="G3350" s="491">
        <f t="shared" si="52"/>
        <v>141</v>
      </c>
    </row>
    <row r="3351" spans="1:7" ht="12.75">
      <c r="A3351" s="134" t="s">
        <v>102</v>
      </c>
      <c r="B3351" s="134">
        <v>650</v>
      </c>
      <c r="C3351" s="491">
        <v>15</v>
      </c>
      <c r="D3351" s="491">
        <v>5</v>
      </c>
      <c r="E3351" s="491">
        <v>0</v>
      </c>
      <c r="F3351" s="491">
        <v>0</v>
      </c>
      <c r="G3351" s="491">
        <f t="shared" si="52"/>
        <v>20</v>
      </c>
    </row>
    <row r="3352" spans="1:7" ht="12.75">
      <c r="A3352" s="134" t="s">
        <v>102</v>
      </c>
      <c r="B3352" s="134">
        <v>651</v>
      </c>
      <c r="C3352" s="491">
        <v>0</v>
      </c>
      <c r="D3352" s="491">
        <v>1</v>
      </c>
      <c r="E3352" s="491">
        <v>0</v>
      </c>
      <c r="F3352" s="491">
        <v>0</v>
      </c>
      <c r="G3352" s="491">
        <f t="shared" si="52"/>
        <v>1</v>
      </c>
    </row>
    <row r="3353" spans="1:7" ht="12.75">
      <c r="A3353" s="134" t="s">
        <v>102</v>
      </c>
      <c r="B3353" s="134">
        <v>800</v>
      </c>
      <c r="C3353" s="491">
        <v>5</v>
      </c>
      <c r="D3353" s="491">
        <v>0</v>
      </c>
      <c r="E3353" s="491">
        <v>0</v>
      </c>
      <c r="F3353" s="491">
        <v>0</v>
      </c>
      <c r="G3353" s="491">
        <f t="shared" si="52"/>
        <v>5</v>
      </c>
    </row>
    <row r="3354" spans="1:7" ht="12.75">
      <c r="A3354" s="134" t="s">
        <v>102</v>
      </c>
      <c r="B3354" s="134">
        <v>822</v>
      </c>
      <c r="C3354" s="491">
        <v>1</v>
      </c>
      <c r="D3354" s="491">
        <v>0</v>
      </c>
      <c r="E3354" s="491">
        <v>0</v>
      </c>
      <c r="F3354" s="491">
        <v>0</v>
      </c>
      <c r="G3354" s="491">
        <f t="shared" si="52"/>
        <v>1</v>
      </c>
    </row>
    <row r="3355" spans="1:7" ht="12.75">
      <c r="A3355" s="134" t="s">
        <v>506</v>
      </c>
      <c r="B3355" s="134">
        <v>100</v>
      </c>
      <c r="C3355" s="491">
        <v>1</v>
      </c>
      <c r="D3355" s="491">
        <v>1</v>
      </c>
      <c r="E3355" s="491">
        <v>0</v>
      </c>
      <c r="F3355" s="491">
        <v>1</v>
      </c>
      <c r="G3355" s="491">
        <f t="shared" si="52"/>
        <v>3</v>
      </c>
    </row>
    <row r="3356" spans="1:7" ht="12.75">
      <c r="A3356" s="134" t="s">
        <v>506</v>
      </c>
      <c r="B3356" s="134">
        <v>101</v>
      </c>
      <c r="C3356" s="491">
        <v>337</v>
      </c>
      <c r="D3356" s="491">
        <v>22</v>
      </c>
      <c r="E3356" s="491">
        <v>0</v>
      </c>
      <c r="F3356" s="491">
        <v>0</v>
      </c>
      <c r="G3356" s="491">
        <f t="shared" si="52"/>
        <v>359</v>
      </c>
    </row>
    <row r="3357" spans="1:7" ht="12.75">
      <c r="A3357" s="134" t="s">
        <v>506</v>
      </c>
      <c r="B3357" s="134">
        <v>110</v>
      </c>
      <c r="C3357" s="491">
        <v>0</v>
      </c>
      <c r="D3357" s="491">
        <v>1</v>
      </c>
      <c r="E3357" s="491">
        <v>0</v>
      </c>
      <c r="F3357" s="491">
        <v>0</v>
      </c>
      <c r="G3357" s="491">
        <f t="shared" si="52"/>
        <v>1</v>
      </c>
    </row>
    <row r="3358" spans="1:7" ht="12.75">
      <c r="A3358" s="134" t="s">
        <v>506</v>
      </c>
      <c r="B3358" s="134">
        <v>120</v>
      </c>
      <c r="C3358" s="491">
        <v>1</v>
      </c>
      <c r="D3358" s="491">
        <v>1</v>
      </c>
      <c r="E3358" s="491">
        <v>0</v>
      </c>
      <c r="F3358" s="491">
        <v>0</v>
      </c>
      <c r="G3358" s="491">
        <f t="shared" si="52"/>
        <v>2</v>
      </c>
    </row>
    <row r="3359" spans="1:7" ht="12.75">
      <c r="A3359" s="134" t="s">
        <v>506</v>
      </c>
      <c r="B3359" s="134">
        <v>130</v>
      </c>
      <c r="C3359" s="491">
        <v>2</v>
      </c>
      <c r="D3359" s="491">
        <v>0</v>
      </c>
      <c r="E3359" s="491">
        <v>0</v>
      </c>
      <c r="F3359" s="491">
        <v>0</v>
      </c>
      <c r="G3359" s="491">
        <f t="shared" si="52"/>
        <v>2</v>
      </c>
    </row>
    <row r="3360" spans="1:7" ht="12.75">
      <c r="A3360" s="134" t="s">
        <v>506</v>
      </c>
      <c r="B3360" s="134">
        <v>150</v>
      </c>
      <c r="C3360" s="491">
        <v>1</v>
      </c>
      <c r="D3360" s="491">
        <v>0</v>
      </c>
      <c r="E3360" s="491">
        <v>0</v>
      </c>
      <c r="F3360" s="491">
        <v>0</v>
      </c>
      <c r="G3360" s="491">
        <f t="shared" si="52"/>
        <v>1</v>
      </c>
    </row>
    <row r="3361" spans="1:7" ht="12.75">
      <c r="A3361" s="134" t="s">
        <v>506</v>
      </c>
      <c r="B3361" s="134">
        <v>170</v>
      </c>
      <c r="C3361" s="491">
        <v>0</v>
      </c>
      <c r="D3361" s="491">
        <v>1</v>
      </c>
      <c r="E3361" s="491">
        <v>0</v>
      </c>
      <c r="F3361" s="491">
        <v>0</v>
      </c>
      <c r="G3361" s="491">
        <f t="shared" si="52"/>
        <v>1</v>
      </c>
    </row>
    <row r="3362" spans="1:7" ht="12.75">
      <c r="A3362" s="134" t="s">
        <v>506</v>
      </c>
      <c r="B3362" s="134">
        <v>191</v>
      </c>
      <c r="C3362" s="491">
        <v>1</v>
      </c>
      <c r="D3362" s="491">
        <v>10</v>
      </c>
      <c r="E3362" s="491">
        <v>0</v>
      </c>
      <c r="F3362" s="491">
        <v>0</v>
      </c>
      <c r="G3362" s="491">
        <f t="shared" si="52"/>
        <v>11</v>
      </c>
    </row>
    <row r="3363" spans="1:7" ht="12.75">
      <c r="A3363" s="134" t="s">
        <v>506</v>
      </c>
      <c r="B3363" s="134">
        <v>211</v>
      </c>
      <c r="C3363" s="491">
        <v>0</v>
      </c>
      <c r="D3363" s="491">
        <v>1</v>
      </c>
      <c r="E3363" s="491">
        <v>0</v>
      </c>
      <c r="F3363" s="491">
        <v>0</v>
      </c>
      <c r="G3363" s="491">
        <f t="shared" si="52"/>
        <v>1</v>
      </c>
    </row>
    <row r="3364" spans="1:7" ht="12.75">
      <c r="A3364" s="134" t="s">
        <v>506</v>
      </c>
      <c r="B3364" s="134">
        <v>255</v>
      </c>
      <c r="C3364" s="491">
        <v>1</v>
      </c>
      <c r="D3364" s="491">
        <v>4</v>
      </c>
      <c r="E3364" s="491">
        <v>0</v>
      </c>
      <c r="F3364" s="491">
        <v>0</v>
      </c>
      <c r="G3364" s="491">
        <f t="shared" si="52"/>
        <v>5</v>
      </c>
    </row>
    <row r="3365" spans="1:7" ht="12.75">
      <c r="A3365" s="134" t="s">
        <v>506</v>
      </c>
      <c r="B3365" s="134">
        <v>258</v>
      </c>
      <c r="C3365" s="491">
        <v>398</v>
      </c>
      <c r="D3365" s="491">
        <v>788</v>
      </c>
      <c r="E3365" s="491">
        <v>0</v>
      </c>
      <c r="F3365" s="491">
        <v>2</v>
      </c>
      <c r="G3365" s="491">
        <f t="shared" si="52"/>
        <v>1188</v>
      </c>
    </row>
    <row r="3366" spans="1:7" ht="12.75">
      <c r="A3366" s="134" t="s">
        <v>506</v>
      </c>
      <c r="B3366" s="134">
        <v>263</v>
      </c>
      <c r="C3366" s="491">
        <v>1</v>
      </c>
      <c r="D3366" s="491">
        <v>0</v>
      </c>
      <c r="E3366" s="491">
        <v>1</v>
      </c>
      <c r="F3366" s="491">
        <v>0</v>
      </c>
      <c r="G3366" s="491">
        <f t="shared" si="52"/>
        <v>2</v>
      </c>
    </row>
    <row r="3367" spans="1:7" ht="12.75">
      <c r="A3367" s="134" t="s">
        <v>506</v>
      </c>
      <c r="B3367" s="134">
        <v>300</v>
      </c>
      <c r="C3367" s="491">
        <v>64</v>
      </c>
      <c r="D3367" s="491">
        <v>287</v>
      </c>
      <c r="E3367" s="491">
        <v>0</v>
      </c>
      <c r="F3367" s="491">
        <v>4</v>
      </c>
      <c r="G3367" s="491">
        <f t="shared" si="52"/>
        <v>355</v>
      </c>
    </row>
    <row r="3368" spans="1:7" ht="12.75">
      <c r="A3368" s="134" t="s">
        <v>506</v>
      </c>
      <c r="B3368" s="134">
        <v>301</v>
      </c>
      <c r="C3368" s="491">
        <v>6</v>
      </c>
      <c r="D3368" s="491">
        <v>3</v>
      </c>
      <c r="E3368" s="491">
        <v>0</v>
      </c>
      <c r="F3368" s="491">
        <v>0</v>
      </c>
      <c r="G3368" s="491">
        <f t="shared" si="52"/>
        <v>9</v>
      </c>
    </row>
    <row r="3369" spans="1:7" ht="12.75">
      <c r="A3369" s="134" t="s">
        <v>506</v>
      </c>
      <c r="B3369" s="134">
        <v>302</v>
      </c>
      <c r="C3369" s="491">
        <v>1</v>
      </c>
      <c r="D3369" s="491">
        <v>4</v>
      </c>
      <c r="E3369" s="491">
        <v>0</v>
      </c>
      <c r="F3369" s="491">
        <v>0</v>
      </c>
      <c r="G3369" s="491">
        <f t="shared" si="52"/>
        <v>5</v>
      </c>
    </row>
    <row r="3370" spans="1:7" ht="12.75">
      <c r="A3370" s="134" t="s">
        <v>506</v>
      </c>
      <c r="B3370" s="134">
        <v>303</v>
      </c>
      <c r="C3370" s="491">
        <v>10</v>
      </c>
      <c r="D3370" s="491">
        <v>0</v>
      </c>
      <c r="E3370" s="491">
        <v>0</v>
      </c>
      <c r="F3370" s="491">
        <v>0</v>
      </c>
      <c r="G3370" s="491">
        <f t="shared" si="52"/>
        <v>10</v>
      </c>
    </row>
    <row r="3371" spans="1:7" ht="12.75">
      <c r="A3371" s="134" t="s">
        <v>506</v>
      </c>
      <c r="B3371" s="134">
        <v>304</v>
      </c>
      <c r="C3371" s="491">
        <v>1</v>
      </c>
      <c r="D3371" s="491">
        <v>0</v>
      </c>
      <c r="E3371" s="491">
        <v>0</v>
      </c>
      <c r="F3371" s="491">
        <v>0</v>
      </c>
      <c r="G3371" s="491">
        <f t="shared" si="52"/>
        <v>1</v>
      </c>
    </row>
    <row r="3372" spans="1:7" ht="12.75">
      <c r="A3372" s="134" t="s">
        <v>506</v>
      </c>
      <c r="B3372" s="134">
        <v>307</v>
      </c>
      <c r="C3372" s="491">
        <v>7</v>
      </c>
      <c r="D3372" s="491">
        <v>3</v>
      </c>
      <c r="E3372" s="491">
        <v>0</v>
      </c>
      <c r="F3372" s="491">
        <v>0</v>
      </c>
      <c r="G3372" s="491">
        <f t="shared" si="52"/>
        <v>10</v>
      </c>
    </row>
    <row r="3373" spans="1:7" ht="12.75">
      <c r="A3373" s="134" t="s">
        <v>506</v>
      </c>
      <c r="B3373" s="134">
        <v>310</v>
      </c>
      <c r="C3373" s="491">
        <v>0</v>
      </c>
      <c r="D3373" s="491">
        <v>1</v>
      </c>
      <c r="E3373" s="491">
        <v>0</v>
      </c>
      <c r="F3373" s="491">
        <v>0</v>
      </c>
      <c r="G3373" s="491">
        <f t="shared" si="52"/>
        <v>1</v>
      </c>
    </row>
    <row r="3374" spans="1:7" ht="12.75">
      <c r="A3374" s="134" t="s">
        <v>506</v>
      </c>
      <c r="B3374" s="134">
        <v>317</v>
      </c>
      <c r="C3374" s="491">
        <v>14</v>
      </c>
      <c r="D3374" s="491">
        <v>0</v>
      </c>
      <c r="E3374" s="491">
        <v>0</v>
      </c>
      <c r="F3374" s="491">
        <v>0</v>
      </c>
      <c r="G3374" s="491">
        <f t="shared" si="52"/>
        <v>14</v>
      </c>
    </row>
    <row r="3375" spans="1:7" ht="12.75">
      <c r="A3375" s="134" t="s">
        <v>506</v>
      </c>
      <c r="B3375" s="134">
        <v>320</v>
      </c>
      <c r="C3375" s="491">
        <v>2</v>
      </c>
      <c r="D3375" s="491">
        <v>1</v>
      </c>
      <c r="E3375" s="491">
        <v>0</v>
      </c>
      <c r="F3375" s="491">
        <v>0</v>
      </c>
      <c r="G3375" s="491">
        <f t="shared" si="52"/>
        <v>3</v>
      </c>
    </row>
    <row r="3376" spans="1:7" ht="12.75">
      <c r="A3376" s="134" t="s">
        <v>506</v>
      </c>
      <c r="B3376" s="134">
        <v>330</v>
      </c>
      <c r="C3376" s="491">
        <v>0</v>
      </c>
      <c r="D3376" s="491">
        <v>0</v>
      </c>
      <c r="E3376" s="491">
        <v>1</v>
      </c>
      <c r="F3376" s="491">
        <v>0</v>
      </c>
      <c r="G3376" s="491">
        <f t="shared" si="52"/>
        <v>1</v>
      </c>
    </row>
    <row r="3377" spans="1:7" ht="12.75">
      <c r="A3377" s="134" t="s">
        <v>506</v>
      </c>
      <c r="B3377" s="134">
        <v>340</v>
      </c>
      <c r="C3377" s="491">
        <v>3584</v>
      </c>
      <c r="D3377" s="491">
        <v>5109</v>
      </c>
      <c r="E3377" s="491">
        <v>135</v>
      </c>
      <c r="F3377" s="491">
        <v>525</v>
      </c>
      <c r="G3377" s="491">
        <f t="shared" si="52"/>
        <v>9353</v>
      </c>
    </row>
    <row r="3378" spans="1:7" ht="12.75">
      <c r="A3378" s="134" t="s">
        <v>506</v>
      </c>
      <c r="B3378" s="134">
        <v>341</v>
      </c>
      <c r="C3378" s="491">
        <v>1</v>
      </c>
      <c r="D3378" s="491">
        <v>1</v>
      </c>
      <c r="E3378" s="491">
        <v>0</v>
      </c>
      <c r="F3378" s="491">
        <v>0</v>
      </c>
      <c r="G3378" s="491">
        <f t="shared" si="52"/>
        <v>2</v>
      </c>
    </row>
    <row r="3379" spans="1:7" ht="12.75">
      <c r="A3379" s="134" t="s">
        <v>506</v>
      </c>
      <c r="B3379" s="134">
        <v>342</v>
      </c>
      <c r="C3379" s="491">
        <v>0</v>
      </c>
      <c r="D3379" s="491">
        <v>2</v>
      </c>
      <c r="E3379" s="491">
        <v>0</v>
      </c>
      <c r="F3379" s="491">
        <v>0</v>
      </c>
      <c r="G3379" s="491">
        <f t="shared" si="52"/>
        <v>2</v>
      </c>
    </row>
    <row r="3380" spans="1:7" ht="12.75">
      <c r="A3380" s="134" t="s">
        <v>506</v>
      </c>
      <c r="B3380" s="134">
        <v>343</v>
      </c>
      <c r="C3380" s="491">
        <v>1</v>
      </c>
      <c r="D3380" s="491">
        <v>0</v>
      </c>
      <c r="E3380" s="491">
        <v>1</v>
      </c>
      <c r="F3380" s="491">
        <v>0</v>
      </c>
      <c r="G3380" s="491">
        <f t="shared" si="52"/>
        <v>2</v>
      </c>
    </row>
    <row r="3381" spans="1:7" ht="12.75">
      <c r="A3381" s="134" t="s">
        <v>506</v>
      </c>
      <c r="B3381" s="134">
        <v>350</v>
      </c>
      <c r="C3381" s="491">
        <v>205</v>
      </c>
      <c r="D3381" s="491">
        <v>167</v>
      </c>
      <c r="E3381" s="491">
        <v>10</v>
      </c>
      <c r="F3381" s="491">
        <v>51</v>
      </c>
      <c r="G3381" s="491">
        <f t="shared" si="52"/>
        <v>433</v>
      </c>
    </row>
    <row r="3382" spans="1:7" ht="12.75">
      <c r="A3382" s="134" t="s">
        <v>506</v>
      </c>
      <c r="B3382" s="134">
        <v>361</v>
      </c>
      <c r="C3382" s="491">
        <v>5</v>
      </c>
      <c r="D3382" s="491">
        <v>3</v>
      </c>
      <c r="E3382" s="491">
        <v>0</v>
      </c>
      <c r="F3382" s="491">
        <v>0</v>
      </c>
      <c r="G3382" s="491">
        <f t="shared" si="52"/>
        <v>8</v>
      </c>
    </row>
    <row r="3383" spans="1:7" ht="12.75">
      <c r="A3383" s="134" t="s">
        <v>506</v>
      </c>
      <c r="B3383" s="134">
        <v>410</v>
      </c>
      <c r="C3383" s="491">
        <v>113</v>
      </c>
      <c r="D3383" s="491">
        <v>0</v>
      </c>
      <c r="E3383" s="491">
        <v>1</v>
      </c>
      <c r="F3383" s="491">
        <v>0</v>
      </c>
      <c r="G3383" s="491">
        <f t="shared" si="52"/>
        <v>114</v>
      </c>
    </row>
    <row r="3384" spans="1:7" ht="12.75">
      <c r="A3384" s="134" t="s">
        <v>506</v>
      </c>
      <c r="B3384" s="134">
        <v>420</v>
      </c>
      <c r="C3384" s="491">
        <v>422</v>
      </c>
      <c r="D3384" s="491">
        <v>5567</v>
      </c>
      <c r="E3384" s="491">
        <v>8</v>
      </c>
      <c r="F3384" s="491">
        <v>8</v>
      </c>
      <c r="G3384" s="491">
        <f t="shared" si="52"/>
        <v>6005</v>
      </c>
    </row>
    <row r="3385" spans="1:7" ht="12.75">
      <c r="A3385" s="134" t="s">
        <v>506</v>
      </c>
      <c r="B3385" s="134">
        <v>422</v>
      </c>
      <c r="C3385" s="491">
        <v>1</v>
      </c>
      <c r="D3385" s="491">
        <v>1</v>
      </c>
      <c r="E3385" s="491">
        <v>0</v>
      </c>
      <c r="F3385" s="491">
        <v>0</v>
      </c>
      <c r="G3385" s="491">
        <f t="shared" si="52"/>
        <v>2</v>
      </c>
    </row>
    <row r="3386" spans="1:7" ht="12.75">
      <c r="A3386" s="134" t="s">
        <v>506</v>
      </c>
      <c r="B3386" s="134">
        <v>430</v>
      </c>
      <c r="C3386" s="491">
        <v>1</v>
      </c>
      <c r="D3386" s="491">
        <v>1</v>
      </c>
      <c r="E3386" s="491">
        <v>0</v>
      </c>
      <c r="F3386" s="491">
        <v>0</v>
      </c>
      <c r="G3386" s="491">
        <f t="shared" si="52"/>
        <v>2</v>
      </c>
    </row>
    <row r="3387" spans="1:7" ht="12.75">
      <c r="A3387" s="134" t="s">
        <v>506</v>
      </c>
      <c r="B3387" s="134">
        <v>460</v>
      </c>
      <c r="C3387" s="491">
        <v>1</v>
      </c>
      <c r="D3387" s="491">
        <v>1</v>
      </c>
      <c r="E3387" s="491">
        <v>0</v>
      </c>
      <c r="F3387" s="491">
        <v>0</v>
      </c>
      <c r="G3387" s="491">
        <f t="shared" si="52"/>
        <v>2</v>
      </c>
    </row>
    <row r="3388" spans="1:7" ht="12.75">
      <c r="A3388" s="134" t="s">
        <v>506</v>
      </c>
      <c r="B3388" s="134">
        <v>501</v>
      </c>
      <c r="C3388" s="491">
        <v>1</v>
      </c>
      <c r="D3388" s="491">
        <v>0</v>
      </c>
      <c r="E3388" s="491">
        <v>0</v>
      </c>
      <c r="F3388" s="491">
        <v>0</v>
      </c>
      <c r="G3388" s="491">
        <f t="shared" si="52"/>
        <v>1</v>
      </c>
    </row>
    <row r="3389" spans="1:7" ht="12.75">
      <c r="A3389" s="134" t="s">
        <v>506</v>
      </c>
      <c r="B3389" s="134">
        <v>560</v>
      </c>
      <c r="C3389" s="491">
        <v>1</v>
      </c>
      <c r="D3389" s="491">
        <v>14</v>
      </c>
      <c r="E3389" s="491">
        <v>0</v>
      </c>
      <c r="F3389" s="491">
        <v>0</v>
      </c>
      <c r="G3389" s="491">
        <f t="shared" si="52"/>
        <v>15</v>
      </c>
    </row>
    <row r="3390" spans="1:7" ht="12.75">
      <c r="A3390" s="134" t="s">
        <v>506</v>
      </c>
      <c r="B3390" s="134">
        <v>650</v>
      </c>
      <c r="C3390" s="491">
        <v>1</v>
      </c>
      <c r="D3390" s="491">
        <v>0</v>
      </c>
      <c r="E3390" s="491">
        <v>0</v>
      </c>
      <c r="F3390" s="491">
        <v>0</v>
      </c>
      <c r="G3390" s="491">
        <f t="shared" si="52"/>
        <v>1</v>
      </c>
    </row>
    <row r="3391" spans="1:7" ht="12.75">
      <c r="A3391" s="134" t="s">
        <v>105</v>
      </c>
      <c r="B3391" s="134">
        <v>100</v>
      </c>
      <c r="C3391" s="491">
        <v>1</v>
      </c>
      <c r="D3391" s="491">
        <v>0</v>
      </c>
      <c r="E3391" s="491">
        <v>0</v>
      </c>
      <c r="F3391" s="491">
        <v>0</v>
      </c>
      <c r="G3391" s="491">
        <f t="shared" si="52"/>
        <v>1</v>
      </c>
    </row>
    <row r="3392" spans="1:7" ht="12.75">
      <c r="A3392" s="134" t="s">
        <v>105</v>
      </c>
      <c r="B3392" s="134">
        <v>103</v>
      </c>
      <c r="C3392" s="491">
        <v>1</v>
      </c>
      <c r="D3392" s="491">
        <v>0</v>
      </c>
      <c r="E3392" s="491">
        <v>0</v>
      </c>
      <c r="F3392" s="491">
        <v>0</v>
      </c>
      <c r="G3392" s="491">
        <f t="shared" si="52"/>
        <v>1</v>
      </c>
    </row>
    <row r="3393" spans="1:7" ht="12.75">
      <c r="A3393" s="134" t="s">
        <v>105</v>
      </c>
      <c r="B3393" s="134">
        <v>104</v>
      </c>
      <c r="C3393" s="491">
        <v>1</v>
      </c>
      <c r="D3393" s="491">
        <v>0</v>
      </c>
      <c r="E3393" s="491">
        <v>0</v>
      </c>
      <c r="F3393" s="491">
        <v>0</v>
      </c>
      <c r="G3393" s="491">
        <f t="shared" si="52"/>
        <v>1</v>
      </c>
    </row>
    <row r="3394" spans="1:7" ht="12.75">
      <c r="A3394" s="134" t="s">
        <v>105</v>
      </c>
      <c r="B3394" s="134">
        <v>106</v>
      </c>
      <c r="C3394" s="491">
        <v>1</v>
      </c>
      <c r="D3394" s="491">
        <v>0</v>
      </c>
      <c r="E3394" s="491">
        <v>0</v>
      </c>
      <c r="F3394" s="491">
        <v>0</v>
      </c>
      <c r="G3394" s="491">
        <f t="shared" si="52"/>
        <v>1</v>
      </c>
    </row>
    <row r="3395" spans="1:7" ht="12.75">
      <c r="A3395" s="134" t="s">
        <v>105</v>
      </c>
      <c r="B3395" s="134">
        <v>107</v>
      </c>
      <c r="C3395" s="491">
        <v>1</v>
      </c>
      <c r="D3395" s="491">
        <v>1</v>
      </c>
      <c r="E3395" s="491">
        <v>0</v>
      </c>
      <c r="F3395" s="491">
        <v>0</v>
      </c>
      <c r="G3395" s="491">
        <f t="shared" si="52"/>
        <v>2</v>
      </c>
    </row>
    <row r="3396" spans="1:7" ht="12.75">
      <c r="A3396" s="134" t="s">
        <v>105</v>
      </c>
      <c r="B3396" s="134">
        <v>110</v>
      </c>
      <c r="C3396" s="491">
        <v>3</v>
      </c>
      <c r="D3396" s="491">
        <v>2</v>
      </c>
      <c r="E3396" s="491">
        <v>0</v>
      </c>
      <c r="F3396" s="491">
        <v>0</v>
      </c>
      <c r="G3396" s="491">
        <f t="shared" ref="G3396:G3459" si="53">SUM(C3396:F3396)</f>
        <v>5</v>
      </c>
    </row>
    <row r="3397" spans="1:7" ht="12.75">
      <c r="A3397" s="134" t="s">
        <v>105</v>
      </c>
      <c r="B3397" s="134">
        <v>120</v>
      </c>
      <c r="C3397" s="491">
        <v>2</v>
      </c>
      <c r="D3397" s="491">
        <v>0</v>
      </c>
      <c r="E3397" s="491">
        <v>0</v>
      </c>
      <c r="F3397" s="491">
        <v>0</v>
      </c>
      <c r="G3397" s="491">
        <f t="shared" si="53"/>
        <v>2</v>
      </c>
    </row>
    <row r="3398" spans="1:7" ht="12.75">
      <c r="A3398" s="134" t="s">
        <v>105</v>
      </c>
      <c r="B3398" s="134">
        <v>130</v>
      </c>
      <c r="C3398" s="491">
        <v>2</v>
      </c>
      <c r="D3398" s="491">
        <v>1</v>
      </c>
      <c r="E3398" s="491">
        <v>0</v>
      </c>
      <c r="F3398" s="491">
        <v>0</v>
      </c>
      <c r="G3398" s="491">
        <f t="shared" si="53"/>
        <v>3</v>
      </c>
    </row>
    <row r="3399" spans="1:7" ht="12.75">
      <c r="A3399" s="134" t="s">
        <v>105</v>
      </c>
      <c r="B3399" s="134">
        <v>170</v>
      </c>
      <c r="C3399" s="491">
        <v>5</v>
      </c>
      <c r="D3399" s="491">
        <v>4</v>
      </c>
      <c r="E3399" s="491">
        <v>0</v>
      </c>
      <c r="F3399" s="491">
        <v>0</v>
      </c>
      <c r="G3399" s="491">
        <f t="shared" si="53"/>
        <v>9</v>
      </c>
    </row>
    <row r="3400" spans="1:7" ht="12.75">
      <c r="A3400" s="134" t="s">
        <v>105</v>
      </c>
      <c r="B3400" s="134">
        <v>190</v>
      </c>
      <c r="C3400" s="491">
        <v>7</v>
      </c>
      <c r="D3400" s="491">
        <v>0</v>
      </c>
      <c r="E3400" s="491">
        <v>0</v>
      </c>
      <c r="F3400" s="491">
        <v>0</v>
      </c>
      <c r="G3400" s="491">
        <f t="shared" si="53"/>
        <v>7</v>
      </c>
    </row>
    <row r="3401" spans="1:7" ht="12.75">
      <c r="A3401" s="134" t="s">
        <v>105</v>
      </c>
      <c r="B3401" s="134">
        <v>258</v>
      </c>
      <c r="C3401" s="491">
        <v>8</v>
      </c>
      <c r="D3401" s="491">
        <v>1</v>
      </c>
      <c r="E3401" s="491">
        <v>20</v>
      </c>
      <c r="F3401" s="491">
        <v>2</v>
      </c>
      <c r="G3401" s="491">
        <f t="shared" si="53"/>
        <v>31</v>
      </c>
    </row>
    <row r="3402" spans="1:7" ht="12.75">
      <c r="A3402" s="134" t="s">
        <v>105</v>
      </c>
      <c r="B3402" s="134">
        <v>264</v>
      </c>
      <c r="C3402" s="491">
        <v>2</v>
      </c>
      <c r="D3402" s="491">
        <v>0</v>
      </c>
      <c r="E3402" s="491">
        <v>0</v>
      </c>
      <c r="F3402" s="491">
        <v>0</v>
      </c>
      <c r="G3402" s="491">
        <f t="shared" si="53"/>
        <v>2</v>
      </c>
    </row>
    <row r="3403" spans="1:7" ht="12.75">
      <c r="A3403" s="134" t="s">
        <v>105</v>
      </c>
      <c r="B3403" s="134">
        <v>300</v>
      </c>
      <c r="C3403" s="491">
        <v>73</v>
      </c>
      <c r="D3403" s="491">
        <v>282</v>
      </c>
      <c r="E3403" s="491">
        <v>1</v>
      </c>
      <c r="F3403" s="491">
        <v>1</v>
      </c>
      <c r="G3403" s="491">
        <f t="shared" si="53"/>
        <v>357</v>
      </c>
    </row>
    <row r="3404" spans="1:7" ht="12.75">
      <c r="A3404" s="134" t="s">
        <v>105</v>
      </c>
      <c r="B3404" s="134">
        <v>301</v>
      </c>
      <c r="C3404" s="491">
        <v>1</v>
      </c>
      <c r="D3404" s="491">
        <v>0</v>
      </c>
      <c r="E3404" s="491">
        <v>0</v>
      </c>
      <c r="F3404" s="491">
        <v>0</v>
      </c>
      <c r="G3404" s="491">
        <f t="shared" si="53"/>
        <v>1</v>
      </c>
    </row>
    <row r="3405" spans="1:7" ht="12.75">
      <c r="A3405" s="134" t="s">
        <v>105</v>
      </c>
      <c r="B3405" s="134">
        <v>303</v>
      </c>
      <c r="C3405" s="491">
        <v>4</v>
      </c>
      <c r="D3405" s="491">
        <v>0</v>
      </c>
      <c r="E3405" s="491">
        <v>0</v>
      </c>
      <c r="F3405" s="491">
        <v>0</v>
      </c>
      <c r="G3405" s="491">
        <f t="shared" si="53"/>
        <v>4</v>
      </c>
    </row>
    <row r="3406" spans="1:7" ht="12.75">
      <c r="A3406" s="134" t="s">
        <v>105</v>
      </c>
      <c r="B3406" s="134">
        <v>304</v>
      </c>
      <c r="C3406" s="491">
        <v>1728</v>
      </c>
      <c r="D3406" s="491">
        <v>117</v>
      </c>
      <c r="E3406" s="491">
        <v>0</v>
      </c>
      <c r="F3406" s="491">
        <v>0</v>
      </c>
      <c r="G3406" s="491">
        <f t="shared" si="53"/>
        <v>1845</v>
      </c>
    </row>
    <row r="3407" spans="1:7" ht="12.75">
      <c r="A3407" s="134" t="s">
        <v>105</v>
      </c>
      <c r="B3407" s="134">
        <v>305</v>
      </c>
      <c r="C3407" s="491">
        <v>1</v>
      </c>
      <c r="D3407" s="491">
        <v>0</v>
      </c>
      <c r="E3407" s="491">
        <v>0</v>
      </c>
      <c r="F3407" s="491">
        <v>0</v>
      </c>
      <c r="G3407" s="491">
        <f t="shared" si="53"/>
        <v>1</v>
      </c>
    </row>
    <row r="3408" spans="1:7" ht="12.75">
      <c r="A3408" s="134" t="s">
        <v>105</v>
      </c>
      <c r="B3408" s="134">
        <v>307</v>
      </c>
      <c r="C3408" s="491">
        <v>2</v>
      </c>
      <c r="D3408" s="491">
        <v>0</v>
      </c>
      <c r="E3408" s="491">
        <v>0</v>
      </c>
      <c r="F3408" s="491">
        <v>0</v>
      </c>
      <c r="G3408" s="491">
        <f t="shared" si="53"/>
        <v>2</v>
      </c>
    </row>
    <row r="3409" spans="1:7" ht="12.75">
      <c r="A3409" s="134" t="s">
        <v>105</v>
      </c>
      <c r="B3409" s="134">
        <v>317</v>
      </c>
      <c r="C3409" s="491">
        <v>1</v>
      </c>
      <c r="D3409" s="491">
        <v>0</v>
      </c>
      <c r="E3409" s="491">
        <v>0</v>
      </c>
      <c r="F3409" s="491">
        <v>0</v>
      </c>
      <c r="G3409" s="491">
        <f t="shared" si="53"/>
        <v>1</v>
      </c>
    </row>
    <row r="3410" spans="1:7" ht="12.75">
      <c r="A3410" s="134" t="s">
        <v>105</v>
      </c>
      <c r="B3410" s="134">
        <v>320</v>
      </c>
      <c r="C3410" s="491">
        <v>231</v>
      </c>
      <c r="D3410" s="491">
        <v>934</v>
      </c>
      <c r="E3410" s="491">
        <v>0</v>
      </c>
      <c r="F3410" s="491">
        <v>0</v>
      </c>
      <c r="G3410" s="491">
        <f t="shared" si="53"/>
        <v>1165</v>
      </c>
    </row>
    <row r="3411" spans="1:7" ht="12.75">
      <c r="A3411" s="134" t="s">
        <v>105</v>
      </c>
      <c r="B3411" s="134">
        <v>330</v>
      </c>
      <c r="C3411" s="491">
        <v>1</v>
      </c>
      <c r="D3411" s="491">
        <v>0</v>
      </c>
      <c r="E3411" s="491">
        <v>0</v>
      </c>
      <c r="F3411" s="491">
        <v>0</v>
      </c>
      <c r="G3411" s="491">
        <f t="shared" si="53"/>
        <v>1</v>
      </c>
    </row>
    <row r="3412" spans="1:7" ht="12.75">
      <c r="A3412" s="134" t="s">
        <v>105</v>
      </c>
      <c r="B3412" s="134">
        <v>340</v>
      </c>
      <c r="C3412" s="491">
        <v>992</v>
      </c>
      <c r="D3412" s="491">
        <v>362</v>
      </c>
      <c r="E3412" s="491">
        <v>95</v>
      </c>
      <c r="F3412" s="491">
        <v>15</v>
      </c>
      <c r="G3412" s="491">
        <f t="shared" si="53"/>
        <v>1464</v>
      </c>
    </row>
    <row r="3413" spans="1:7" ht="12.75">
      <c r="A3413" s="134" t="s">
        <v>105</v>
      </c>
      <c r="B3413" s="134">
        <v>341</v>
      </c>
      <c r="C3413" s="491">
        <v>1491</v>
      </c>
      <c r="D3413" s="491">
        <v>472</v>
      </c>
      <c r="E3413" s="491">
        <v>0</v>
      </c>
      <c r="F3413" s="491">
        <v>1</v>
      </c>
      <c r="G3413" s="491">
        <f t="shared" si="53"/>
        <v>1964</v>
      </c>
    </row>
    <row r="3414" spans="1:7" ht="12.75">
      <c r="A3414" s="134" t="s">
        <v>105</v>
      </c>
      <c r="B3414" s="134">
        <v>343</v>
      </c>
      <c r="C3414" s="491">
        <v>0</v>
      </c>
      <c r="D3414" s="491">
        <v>0</v>
      </c>
      <c r="E3414" s="491">
        <v>1</v>
      </c>
      <c r="F3414" s="491">
        <v>0</v>
      </c>
      <c r="G3414" s="491">
        <f t="shared" si="53"/>
        <v>1</v>
      </c>
    </row>
    <row r="3415" spans="1:7" ht="12.75">
      <c r="A3415" s="134" t="s">
        <v>105</v>
      </c>
      <c r="B3415" s="134">
        <v>361</v>
      </c>
      <c r="C3415" s="491">
        <v>1</v>
      </c>
      <c r="D3415" s="491">
        <v>0</v>
      </c>
      <c r="E3415" s="491">
        <v>0</v>
      </c>
      <c r="F3415" s="491">
        <v>0</v>
      </c>
      <c r="G3415" s="491">
        <f t="shared" si="53"/>
        <v>1</v>
      </c>
    </row>
    <row r="3416" spans="1:7" ht="12.75">
      <c r="A3416" s="134" t="s">
        <v>105</v>
      </c>
      <c r="B3416" s="134">
        <v>400</v>
      </c>
      <c r="C3416" s="491">
        <v>2</v>
      </c>
      <c r="D3416" s="491">
        <v>0</v>
      </c>
      <c r="E3416" s="491">
        <v>0</v>
      </c>
      <c r="F3416" s="491">
        <v>0</v>
      </c>
      <c r="G3416" s="491">
        <f t="shared" si="53"/>
        <v>2</v>
      </c>
    </row>
    <row r="3417" spans="1:7" ht="12.75">
      <c r="A3417" s="134" t="s">
        <v>105</v>
      </c>
      <c r="B3417" s="134">
        <v>410</v>
      </c>
      <c r="C3417" s="491">
        <v>1</v>
      </c>
      <c r="D3417" s="491">
        <v>1</v>
      </c>
      <c r="E3417" s="491">
        <v>0</v>
      </c>
      <c r="F3417" s="491">
        <v>0</v>
      </c>
      <c r="G3417" s="491">
        <f t="shared" si="53"/>
        <v>2</v>
      </c>
    </row>
    <row r="3418" spans="1:7" ht="12.75">
      <c r="A3418" s="134" t="s">
        <v>105</v>
      </c>
      <c r="B3418" s="134">
        <v>420</v>
      </c>
      <c r="C3418" s="491">
        <v>1</v>
      </c>
      <c r="D3418" s="491">
        <v>2</v>
      </c>
      <c r="E3418" s="491">
        <v>1</v>
      </c>
      <c r="F3418" s="491">
        <v>0</v>
      </c>
      <c r="G3418" s="491">
        <f t="shared" si="53"/>
        <v>4</v>
      </c>
    </row>
    <row r="3419" spans="1:7" ht="12.75">
      <c r="A3419" s="134" t="s">
        <v>105</v>
      </c>
      <c r="B3419" s="134">
        <v>430</v>
      </c>
      <c r="C3419" s="491">
        <v>1</v>
      </c>
      <c r="D3419" s="491">
        <v>0</v>
      </c>
      <c r="E3419" s="491">
        <v>0</v>
      </c>
      <c r="F3419" s="491">
        <v>1</v>
      </c>
      <c r="G3419" s="491">
        <f t="shared" si="53"/>
        <v>2</v>
      </c>
    </row>
    <row r="3420" spans="1:7" ht="12.75">
      <c r="A3420" s="134" t="s">
        <v>105</v>
      </c>
      <c r="B3420" s="134">
        <v>560</v>
      </c>
      <c r="C3420" s="491">
        <v>3</v>
      </c>
      <c r="D3420" s="491">
        <v>0</v>
      </c>
      <c r="E3420" s="491">
        <v>0</v>
      </c>
      <c r="F3420" s="491">
        <v>0</v>
      </c>
      <c r="G3420" s="491">
        <f t="shared" si="53"/>
        <v>3</v>
      </c>
    </row>
    <row r="3421" spans="1:7" ht="12.75">
      <c r="A3421" s="134" t="s">
        <v>105</v>
      </c>
      <c r="B3421" s="134">
        <v>650</v>
      </c>
      <c r="C3421" s="491">
        <v>0</v>
      </c>
      <c r="D3421" s="491">
        <v>1</v>
      </c>
      <c r="E3421" s="491">
        <v>0</v>
      </c>
      <c r="F3421" s="491">
        <v>0</v>
      </c>
      <c r="G3421" s="491">
        <f t="shared" si="53"/>
        <v>1</v>
      </c>
    </row>
    <row r="3422" spans="1:7" ht="12.75">
      <c r="A3422" s="134" t="s">
        <v>105</v>
      </c>
      <c r="B3422" s="134">
        <v>822</v>
      </c>
      <c r="C3422" s="491">
        <v>1</v>
      </c>
      <c r="D3422" s="491">
        <v>0</v>
      </c>
      <c r="E3422" s="491">
        <v>0</v>
      </c>
      <c r="F3422" s="491">
        <v>0</v>
      </c>
      <c r="G3422" s="491">
        <f t="shared" si="53"/>
        <v>1</v>
      </c>
    </row>
    <row r="3423" spans="1:7" ht="12.75">
      <c r="A3423" s="134" t="s">
        <v>106</v>
      </c>
      <c r="B3423" s="134">
        <v>120</v>
      </c>
      <c r="C3423" s="491">
        <v>0</v>
      </c>
      <c r="D3423" s="491">
        <v>2</v>
      </c>
      <c r="E3423" s="491">
        <v>0</v>
      </c>
      <c r="F3423" s="491">
        <v>0</v>
      </c>
      <c r="G3423" s="491">
        <f t="shared" si="53"/>
        <v>2</v>
      </c>
    </row>
    <row r="3424" spans="1:7" ht="12.75">
      <c r="A3424" s="134" t="s">
        <v>106</v>
      </c>
      <c r="B3424" s="134">
        <v>300</v>
      </c>
      <c r="C3424" s="491">
        <v>0</v>
      </c>
      <c r="D3424" s="491">
        <v>3</v>
      </c>
      <c r="E3424" s="491">
        <v>0</v>
      </c>
      <c r="F3424" s="491">
        <v>0</v>
      </c>
      <c r="G3424" s="491">
        <f t="shared" si="53"/>
        <v>3</v>
      </c>
    </row>
    <row r="3425" spans="1:7" ht="12.75">
      <c r="A3425" s="134" t="s">
        <v>106</v>
      </c>
      <c r="B3425" s="134">
        <v>304</v>
      </c>
      <c r="C3425" s="491">
        <v>12</v>
      </c>
      <c r="D3425" s="491">
        <v>17</v>
      </c>
      <c r="E3425" s="491">
        <v>0</v>
      </c>
      <c r="F3425" s="491">
        <v>0</v>
      </c>
      <c r="G3425" s="491">
        <f t="shared" si="53"/>
        <v>29</v>
      </c>
    </row>
    <row r="3426" spans="1:7" ht="12.75">
      <c r="A3426" s="134" t="s">
        <v>106</v>
      </c>
      <c r="B3426" s="134">
        <v>320</v>
      </c>
      <c r="C3426" s="491">
        <v>10</v>
      </c>
      <c r="D3426" s="491">
        <v>3</v>
      </c>
      <c r="E3426" s="491">
        <v>0</v>
      </c>
      <c r="F3426" s="491">
        <v>0</v>
      </c>
      <c r="G3426" s="491">
        <f t="shared" si="53"/>
        <v>13</v>
      </c>
    </row>
    <row r="3427" spans="1:7" ht="12.75">
      <c r="A3427" s="134" t="s">
        <v>106</v>
      </c>
      <c r="B3427" s="134">
        <v>340</v>
      </c>
      <c r="C3427" s="491">
        <v>92</v>
      </c>
      <c r="D3427" s="491">
        <v>40</v>
      </c>
      <c r="E3427" s="491">
        <v>3</v>
      </c>
      <c r="F3427" s="491">
        <v>0</v>
      </c>
      <c r="G3427" s="491">
        <f t="shared" si="53"/>
        <v>135</v>
      </c>
    </row>
    <row r="3428" spans="1:7" ht="12.75">
      <c r="A3428" s="134" t="s">
        <v>106</v>
      </c>
      <c r="B3428" s="134">
        <v>341</v>
      </c>
      <c r="C3428" s="491">
        <v>33</v>
      </c>
      <c r="D3428" s="491">
        <v>19</v>
      </c>
      <c r="E3428" s="491">
        <v>0</v>
      </c>
      <c r="F3428" s="491">
        <v>0</v>
      </c>
      <c r="G3428" s="491">
        <f t="shared" si="53"/>
        <v>52</v>
      </c>
    </row>
    <row r="3429" spans="1:7" ht="12.75">
      <c r="A3429" s="134" t="s">
        <v>106</v>
      </c>
      <c r="B3429" s="134">
        <v>343</v>
      </c>
      <c r="C3429" s="491">
        <v>1</v>
      </c>
      <c r="D3429" s="491">
        <v>0</v>
      </c>
      <c r="E3429" s="491">
        <v>0</v>
      </c>
      <c r="F3429" s="491">
        <v>0</v>
      </c>
      <c r="G3429" s="491">
        <f t="shared" si="53"/>
        <v>1</v>
      </c>
    </row>
    <row r="3430" spans="1:7" ht="12.75">
      <c r="A3430" s="134" t="s">
        <v>106</v>
      </c>
      <c r="B3430" s="134">
        <v>350</v>
      </c>
      <c r="C3430" s="491">
        <v>0</v>
      </c>
      <c r="D3430" s="491">
        <v>0</v>
      </c>
      <c r="E3430" s="491">
        <v>0</v>
      </c>
      <c r="F3430" s="491">
        <v>1</v>
      </c>
      <c r="G3430" s="491">
        <f t="shared" si="53"/>
        <v>1</v>
      </c>
    </row>
    <row r="3431" spans="1:7" ht="12.75">
      <c r="A3431" s="134" t="s">
        <v>108</v>
      </c>
      <c r="B3431" s="134">
        <v>100</v>
      </c>
      <c r="C3431" s="491">
        <v>0</v>
      </c>
      <c r="D3431" s="491">
        <v>0</v>
      </c>
      <c r="E3431" s="491">
        <v>1</v>
      </c>
      <c r="F3431" s="491">
        <v>0</v>
      </c>
      <c r="G3431" s="491">
        <f t="shared" si="53"/>
        <v>1</v>
      </c>
    </row>
    <row r="3432" spans="1:7" ht="12.75">
      <c r="A3432" s="134" t="s">
        <v>108</v>
      </c>
      <c r="B3432" s="134">
        <v>101</v>
      </c>
      <c r="C3432" s="491">
        <v>1</v>
      </c>
      <c r="D3432" s="491">
        <v>1</v>
      </c>
      <c r="E3432" s="491">
        <v>0</v>
      </c>
      <c r="F3432" s="491">
        <v>0</v>
      </c>
      <c r="G3432" s="491">
        <f t="shared" si="53"/>
        <v>2</v>
      </c>
    </row>
    <row r="3433" spans="1:7" ht="12.75">
      <c r="A3433" s="134" t="s">
        <v>108</v>
      </c>
      <c r="B3433" s="134">
        <v>103</v>
      </c>
      <c r="C3433" s="491">
        <v>0</v>
      </c>
      <c r="D3433" s="491">
        <v>1</v>
      </c>
      <c r="E3433" s="491">
        <v>0</v>
      </c>
      <c r="F3433" s="491">
        <v>0</v>
      </c>
      <c r="G3433" s="491">
        <f t="shared" si="53"/>
        <v>1</v>
      </c>
    </row>
    <row r="3434" spans="1:7" ht="12.75">
      <c r="A3434" s="134" t="s">
        <v>108</v>
      </c>
      <c r="B3434" s="134">
        <v>104</v>
      </c>
      <c r="C3434" s="491">
        <v>0</v>
      </c>
      <c r="D3434" s="491">
        <v>1</v>
      </c>
      <c r="E3434" s="491">
        <v>0</v>
      </c>
      <c r="F3434" s="491">
        <v>0</v>
      </c>
      <c r="G3434" s="491">
        <f t="shared" si="53"/>
        <v>1</v>
      </c>
    </row>
    <row r="3435" spans="1:7" ht="12.75">
      <c r="A3435" s="134" t="s">
        <v>108</v>
      </c>
      <c r="B3435" s="134">
        <v>106</v>
      </c>
      <c r="C3435" s="491">
        <v>0</v>
      </c>
      <c r="D3435" s="491">
        <v>1</v>
      </c>
      <c r="E3435" s="491">
        <v>0</v>
      </c>
      <c r="F3435" s="491">
        <v>0</v>
      </c>
      <c r="G3435" s="491">
        <f t="shared" si="53"/>
        <v>1</v>
      </c>
    </row>
    <row r="3436" spans="1:7" ht="12.75">
      <c r="A3436" s="134" t="s">
        <v>108</v>
      </c>
      <c r="B3436" s="134">
        <v>107</v>
      </c>
      <c r="C3436" s="491">
        <v>3</v>
      </c>
      <c r="D3436" s="491">
        <v>1</v>
      </c>
      <c r="E3436" s="491">
        <v>0</v>
      </c>
      <c r="F3436" s="491">
        <v>0</v>
      </c>
      <c r="G3436" s="491">
        <f t="shared" si="53"/>
        <v>4</v>
      </c>
    </row>
    <row r="3437" spans="1:7" ht="12.75">
      <c r="A3437" s="134" t="s">
        <v>108</v>
      </c>
      <c r="B3437" s="134">
        <v>110</v>
      </c>
      <c r="C3437" s="491">
        <v>0</v>
      </c>
      <c r="D3437" s="491">
        <v>1</v>
      </c>
      <c r="E3437" s="491">
        <v>0</v>
      </c>
      <c r="F3437" s="491">
        <v>0</v>
      </c>
      <c r="G3437" s="491">
        <f t="shared" si="53"/>
        <v>1</v>
      </c>
    </row>
    <row r="3438" spans="1:7" ht="12.75">
      <c r="A3438" s="134" t="s">
        <v>108</v>
      </c>
      <c r="B3438" s="134">
        <v>120</v>
      </c>
      <c r="C3438" s="491">
        <v>1</v>
      </c>
      <c r="D3438" s="491">
        <v>4</v>
      </c>
      <c r="E3438" s="491">
        <v>0</v>
      </c>
      <c r="F3438" s="491">
        <v>0</v>
      </c>
      <c r="G3438" s="491">
        <f t="shared" si="53"/>
        <v>5</v>
      </c>
    </row>
    <row r="3439" spans="1:7" ht="12.75">
      <c r="A3439" s="134" t="s">
        <v>108</v>
      </c>
      <c r="B3439" s="134">
        <v>140</v>
      </c>
      <c r="C3439" s="491">
        <v>0</v>
      </c>
      <c r="D3439" s="491">
        <v>2</v>
      </c>
      <c r="E3439" s="491">
        <v>0</v>
      </c>
      <c r="F3439" s="491">
        <v>0</v>
      </c>
      <c r="G3439" s="491">
        <f t="shared" si="53"/>
        <v>2</v>
      </c>
    </row>
    <row r="3440" spans="1:7" ht="12.75">
      <c r="A3440" s="134" t="s">
        <v>108</v>
      </c>
      <c r="B3440" s="134">
        <v>144</v>
      </c>
      <c r="C3440" s="491">
        <v>0</v>
      </c>
      <c r="D3440" s="491">
        <v>1</v>
      </c>
      <c r="E3440" s="491">
        <v>0</v>
      </c>
      <c r="F3440" s="491">
        <v>0</v>
      </c>
      <c r="G3440" s="491">
        <f t="shared" si="53"/>
        <v>1</v>
      </c>
    </row>
    <row r="3441" spans="1:7" ht="12.75">
      <c r="A3441" s="134" t="s">
        <v>108</v>
      </c>
      <c r="B3441" s="134">
        <v>150</v>
      </c>
      <c r="C3441" s="491">
        <v>0</v>
      </c>
      <c r="D3441" s="491">
        <v>1</v>
      </c>
      <c r="E3441" s="491">
        <v>0</v>
      </c>
      <c r="F3441" s="491">
        <v>0</v>
      </c>
      <c r="G3441" s="491">
        <f t="shared" si="53"/>
        <v>1</v>
      </c>
    </row>
    <row r="3442" spans="1:7" ht="12.75">
      <c r="A3442" s="134" t="s">
        <v>108</v>
      </c>
      <c r="B3442" s="134">
        <v>160</v>
      </c>
      <c r="C3442" s="491">
        <v>0</v>
      </c>
      <c r="D3442" s="491">
        <v>4</v>
      </c>
      <c r="E3442" s="491">
        <v>0</v>
      </c>
      <c r="F3442" s="491">
        <v>0</v>
      </c>
      <c r="G3442" s="491">
        <f t="shared" si="53"/>
        <v>4</v>
      </c>
    </row>
    <row r="3443" spans="1:7" ht="12.75">
      <c r="A3443" s="134" t="s">
        <v>108</v>
      </c>
      <c r="B3443" s="134">
        <v>170</v>
      </c>
      <c r="C3443" s="491">
        <v>131</v>
      </c>
      <c r="D3443" s="491">
        <v>36</v>
      </c>
      <c r="E3443" s="491">
        <v>3</v>
      </c>
      <c r="F3443" s="491">
        <v>4</v>
      </c>
      <c r="G3443" s="491">
        <f t="shared" si="53"/>
        <v>174</v>
      </c>
    </row>
    <row r="3444" spans="1:7" ht="12.75">
      <c r="A3444" s="134" t="s">
        <v>108</v>
      </c>
      <c r="B3444" s="134">
        <v>171</v>
      </c>
      <c r="C3444" s="491">
        <v>2</v>
      </c>
      <c r="D3444" s="491">
        <v>0</v>
      </c>
      <c r="E3444" s="491">
        <v>0</v>
      </c>
      <c r="F3444" s="491">
        <v>0</v>
      </c>
      <c r="G3444" s="491">
        <f t="shared" si="53"/>
        <v>2</v>
      </c>
    </row>
    <row r="3445" spans="1:7" ht="12.75">
      <c r="A3445" s="134" t="s">
        <v>108</v>
      </c>
      <c r="B3445" s="134">
        <v>173</v>
      </c>
      <c r="C3445" s="491">
        <v>2</v>
      </c>
      <c r="D3445" s="491">
        <v>2</v>
      </c>
      <c r="E3445" s="491">
        <v>108</v>
      </c>
      <c r="F3445" s="491">
        <v>114</v>
      </c>
      <c r="G3445" s="491">
        <f t="shared" si="53"/>
        <v>226</v>
      </c>
    </row>
    <row r="3446" spans="1:7" ht="12.75">
      <c r="A3446" s="134" t="s">
        <v>108</v>
      </c>
      <c r="B3446" s="134">
        <v>216</v>
      </c>
      <c r="C3446" s="491">
        <v>1</v>
      </c>
      <c r="D3446" s="491">
        <v>0</v>
      </c>
      <c r="E3446" s="491">
        <v>0</v>
      </c>
      <c r="F3446" s="491">
        <v>0</v>
      </c>
      <c r="G3446" s="491">
        <f t="shared" si="53"/>
        <v>1</v>
      </c>
    </row>
    <row r="3447" spans="1:7" ht="12.75">
      <c r="A3447" s="134" t="s">
        <v>108</v>
      </c>
      <c r="B3447" s="134">
        <v>251</v>
      </c>
      <c r="C3447" s="491">
        <v>1</v>
      </c>
      <c r="D3447" s="491">
        <v>1</v>
      </c>
      <c r="E3447" s="491">
        <v>0</v>
      </c>
      <c r="F3447" s="491">
        <v>0</v>
      </c>
      <c r="G3447" s="491">
        <f t="shared" si="53"/>
        <v>2</v>
      </c>
    </row>
    <row r="3448" spans="1:7" ht="12.75">
      <c r="A3448" s="134" t="s">
        <v>108</v>
      </c>
      <c r="B3448" s="134">
        <v>252</v>
      </c>
      <c r="C3448" s="491">
        <v>1</v>
      </c>
      <c r="D3448" s="491">
        <v>1</v>
      </c>
      <c r="E3448" s="491">
        <v>0</v>
      </c>
      <c r="F3448" s="491">
        <v>0</v>
      </c>
      <c r="G3448" s="491">
        <f t="shared" si="53"/>
        <v>2</v>
      </c>
    </row>
    <row r="3449" spans="1:7" ht="12.75">
      <c r="A3449" s="134" t="s">
        <v>108</v>
      </c>
      <c r="B3449" s="134">
        <v>255</v>
      </c>
      <c r="C3449" s="491">
        <v>16</v>
      </c>
      <c r="D3449" s="491">
        <v>7</v>
      </c>
      <c r="E3449" s="491">
        <v>1</v>
      </c>
      <c r="F3449" s="491">
        <v>2</v>
      </c>
      <c r="G3449" s="491">
        <f t="shared" si="53"/>
        <v>26</v>
      </c>
    </row>
    <row r="3450" spans="1:7" ht="12.75">
      <c r="A3450" s="134" t="s">
        <v>108</v>
      </c>
      <c r="B3450" s="134">
        <v>258</v>
      </c>
      <c r="C3450" s="491">
        <v>1383</v>
      </c>
      <c r="D3450" s="491">
        <v>452</v>
      </c>
      <c r="E3450" s="491">
        <v>112</v>
      </c>
      <c r="F3450" s="491">
        <v>51</v>
      </c>
      <c r="G3450" s="491">
        <f t="shared" si="53"/>
        <v>1998</v>
      </c>
    </row>
    <row r="3451" spans="1:7" ht="12.75">
      <c r="A3451" s="134" t="s">
        <v>108</v>
      </c>
      <c r="B3451" s="134">
        <v>263</v>
      </c>
      <c r="C3451" s="491">
        <v>85</v>
      </c>
      <c r="D3451" s="491">
        <v>3</v>
      </c>
      <c r="E3451" s="491">
        <v>23</v>
      </c>
      <c r="F3451" s="491">
        <v>2</v>
      </c>
      <c r="G3451" s="491">
        <f t="shared" si="53"/>
        <v>113</v>
      </c>
    </row>
    <row r="3452" spans="1:7" ht="12.75">
      <c r="A3452" s="134" t="s">
        <v>108</v>
      </c>
      <c r="B3452" s="134">
        <v>264</v>
      </c>
      <c r="C3452" s="491">
        <v>5</v>
      </c>
      <c r="D3452" s="491">
        <v>0</v>
      </c>
      <c r="E3452" s="491">
        <v>53</v>
      </c>
      <c r="F3452" s="491">
        <v>3</v>
      </c>
      <c r="G3452" s="491">
        <f t="shared" si="53"/>
        <v>61</v>
      </c>
    </row>
    <row r="3453" spans="1:7" ht="12.75">
      <c r="A3453" s="134" t="s">
        <v>108</v>
      </c>
      <c r="B3453" s="134">
        <v>300</v>
      </c>
      <c r="C3453" s="491">
        <v>845</v>
      </c>
      <c r="D3453" s="491">
        <v>104</v>
      </c>
      <c r="E3453" s="491">
        <v>29</v>
      </c>
      <c r="F3453" s="491">
        <v>6</v>
      </c>
      <c r="G3453" s="491">
        <f t="shared" si="53"/>
        <v>984</v>
      </c>
    </row>
    <row r="3454" spans="1:7" ht="12.75">
      <c r="A3454" s="134" t="s">
        <v>108</v>
      </c>
      <c r="B3454" s="134">
        <v>301</v>
      </c>
      <c r="C3454" s="491">
        <v>0</v>
      </c>
      <c r="D3454" s="491">
        <v>1</v>
      </c>
      <c r="E3454" s="491">
        <v>0</v>
      </c>
      <c r="F3454" s="491">
        <v>0</v>
      </c>
      <c r="G3454" s="491">
        <f t="shared" si="53"/>
        <v>1</v>
      </c>
    </row>
    <row r="3455" spans="1:7" ht="12.75">
      <c r="A3455" s="134" t="s">
        <v>108</v>
      </c>
      <c r="B3455" s="134">
        <v>302</v>
      </c>
      <c r="C3455" s="491">
        <v>1</v>
      </c>
      <c r="D3455" s="491">
        <v>1</v>
      </c>
      <c r="E3455" s="491">
        <v>0</v>
      </c>
      <c r="F3455" s="491">
        <v>0</v>
      </c>
      <c r="G3455" s="491">
        <f t="shared" si="53"/>
        <v>2</v>
      </c>
    </row>
    <row r="3456" spans="1:7" ht="12.75">
      <c r="A3456" s="134" t="s">
        <v>108</v>
      </c>
      <c r="B3456" s="134">
        <v>306</v>
      </c>
      <c r="C3456" s="491">
        <v>0</v>
      </c>
      <c r="D3456" s="491">
        <v>3</v>
      </c>
      <c r="E3456" s="491">
        <v>0</v>
      </c>
      <c r="F3456" s="491">
        <v>0</v>
      </c>
      <c r="G3456" s="491">
        <f t="shared" si="53"/>
        <v>3</v>
      </c>
    </row>
    <row r="3457" spans="1:7" ht="12.75">
      <c r="A3457" s="134" t="s">
        <v>108</v>
      </c>
      <c r="B3457" s="134">
        <v>310</v>
      </c>
      <c r="C3457" s="491">
        <v>0</v>
      </c>
      <c r="D3457" s="491">
        <v>1</v>
      </c>
      <c r="E3457" s="491">
        <v>0</v>
      </c>
      <c r="F3457" s="491">
        <v>0</v>
      </c>
      <c r="G3457" s="491">
        <f t="shared" si="53"/>
        <v>1</v>
      </c>
    </row>
    <row r="3458" spans="1:7" ht="12.75">
      <c r="A3458" s="134" t="s">
        <v>108</v>
      </c>
      <c r="B3458" s="134">
        <v>317</v>
      </c>
      <c r="C3458" s="491">
        <v>53</v>
      </c>
      <c r="D3458" s="491">
        <v>17</v>
      </c>
      <c r="E3458" s="491">
        <v>0</v>
      </c>
      <c r="F3458" s="491">
        <v>1</v>
      </c>
      <c r="G3458" s="491">
        <f t="shared" si="53"/>
        <v>71</v>
      </c>
    </row>
    <row r="3459" spans="1:7" ht="12.75">
      <c r="A3459" s="134" t="s">
        <v>108</v>
      </c>
      <c r="B3459" s="134">
        <v>320</v>
      </c>
      <c r="C3459" s="491">
        <v>13</v>
      </c>
      <c r="D3459" s="491">
        <v>19</v>
      </c>
      <c r="E3459" s="491">
        <v>0</v>
      </c>
      <c r="F3459" s="491">
        <v>0</v>
      </c>
      <c r="G3459" s="491">
        <f t="shared" si="53"/>
        <v>32</v>
      </c>
    </row>
    <row r="3460" spans="1:7" ht="12.75">
      <c r="A3460" s="134" t="s">
        <v>108</v>
      </c>
      <c r="B3460" s="134">
        <v>321</v>
      </c>
      <c r="C3460" s="491">
        <v>0</v>
      </c>
      <c r="D3460" s="491">
        <v>1</v>
      </c>
      <c r="E3460" s="491">
        <v>0</v>
      </c>
      <c r="F3460" s="491">
        <v>0</v>
      </c>
      <c r="G3460" s="491">
        <f t="shared" ref="G3460:G3523" si="54">SUM(C3460:F3460)</f>
        <v>1</v>
      </c>
    </row>
    <row r="3461" spans="1:7" ht="12.75">
      <c r="A3461" s="134" t="s">
        <v>108</v>
      </c>
      <c r="B3461" s="134">
        <v>330</v>
      </c>
      <c r="C3461" s="491">
        <v>1</v>
      </c>
      <c r="D3461" s="491">
        <v>7</v>
      </c>
      <c r="E3461" s="491">
        <v>0</v>
      </c>
      <c r="F3461" s="491">
        <v>0</v>
      </c>
      <c r="G3461" s="491">
        <f t="shared" si="54"/>
        <v>8</v>
      </c>
    </row>
    <row r="3462" spans="1:7" ht="12.75">
      <c r="A3462" s="134" t="s">
        <v>108</v>
      </c>
      <c r="B3462" s="134">
        <v>340</v>
      </c>
      <c r="C3462" s="491">
        <v>7388</v>
      </c>
      <c r="D3462" s="491">
        <v>2144</v>
      </c>
      <c r="E3462" s="491">
        <v>1071</v>
      </c>
      <c r="F3462" s="491">
        <v>264</v>
      </c>
      <c r="G3462" s="491">
        <f t="shared" si="54"/>
        <v>10867</v>
      </c>
    </row>
    <row r="3463" spans="1:7" ht="12.75">
      <c r="A3463" s="134" t="s">
        <v>108</v>
      </c>
      <c r="B3463" s="134">
        <v>341</v>
      </c>
      <c r="C3463" s="491">
        <v>834</v>
      </c>
      <c r="D3463" s="491">
        <v>190</v>
      </c>
      <c r="E3463" s="491">
        <v>0</v>
      </c>
      <c r="F3463" s="491">
        <v>0</v>
      </c>
      <c r="G3463" s="491">
        <f t="shared" si="54"/>
        <v>1024</v>
      </c>
    </row>
    <row r="3464" spans="1:7" ht="12.75">
      <c r="A3464" s="134" t="s">
        <v>108</v>
      </c>
      <c r="B3464" s="134">
        <v>342</v>
      </c>
      <c r="C3464" s="491">
        <v>1524</v>
      </c>
      <c r="D3464" s="491">
        <v>154</v>
      </c>
      <c r="E3464" s="491">
        <v>0</v>
      </c>
      <c r="F3464" s="491">
        <v>0</v>
      </c>
      <c r="G3464" s="491">
        <f t="shared" si="54"/>
        <v>1678</v>
      </c>
    </row>
    <row r="3465" spans="1:7" ht="12.75">
      <c r="A3465" s="134" t="s">
        <v>108</v>
      </c>
      <c r="B3465" s="134">
        <v>343</v>
      </c>
      <c r="C3465" s="491">
        <v>3</v>
      </c>
      <c r="D3465" s="491">
        <v>0</v>
      </c>
      <c r="E3465" s="491">
        <v>0</v>
      </c>
      <c r="F3465" s="491">
        <v>0</v>
      </c>
      <c r="G3465" s="491">
        <f t="shared" si="54"/>
        <v>3</v>
      </c>
    </row>
    <row r="3466" spans="1:7" ht="12.75">
      <c r="A3466" s="134" t="s">
        <v>108</v>
      </c>
      <c r="B3466" s="134">
        <v>400</v>
      </c>
      <c r="C3466" s="491">
        <v>0</v>
      </c>
      <c r="D3466" s="491">
        <v>1</v>
      </c>
      <c r="E3466" s="491">
        <v>0</v>
      </c>
      <c r="F3466" s="491">
        <v>0</v>
      </c>
      <c r="G3466" s="491">
        <f t="shared" si="54"/>
        <v>1</v>
      </c>
    </row>
    <row r="3467" spans="1:7" ht="12.75">
      <c r="A3467" s="134" t="s">
        <v>108</v>
      </c>
      <c r="B3467" s="134">
        <v>410</v>
      </c>
      <c r="C3467" s="491">
        <v>1</v>
      </c>
      <c r="D3467" s="491">
        <v>1</v>
      </c>
      <c r="E3467" s="491">
        <v>1</v>
      </c>
      <c r="F3467" s="491">
        <v>0</v>
      </c>
      <c r="G3467" s="491">
        <f t="shared" si="54"/>
        <v>3</v>
      </c>
    </row>
    <row r="3468" spans="1:7" ht="12.75">
      <c r="A3468" s="134" t="s">
        <v>108</v>
      </c>
      <c r="B3468" s="134">
        <v>420</v>
      </c>
      <c r="C3468" s="491">
        <v>1650</v>
      </c>
      <c r="D3468" s="491">
        <v>396</v>
      </c>
      <c r="E3468" s="491">
        <v>191</v>
      </c>
      <c r="F3468" s="491">
        <v>66</v>
      </c>
      <c r="G3468" s="491">
        <f t="shared" si="54"/>
        <v>2303</v>
      </c>
    </row>
    <row r="3469" spans="1:7" ht="12.75">
      <c r="A3469" s="134" t="s">
        <v>108</v>
      </c>
      <c r="B3469" s="134">
        <v>421</v>
      </c>
      <c r="C3469" s="491">
        <v>1</v>
      </c>
      <c r="D3469" s="491">
        <v>1</v>
      </c>
      <c r="E3469" s="491">
        <v>0</v>
      </c>
      <c r="F3469" s="491">
        <v>0</v>
      </c>
      <c r="G3469" s="491">
        <f t="shared" si="54"/>
        <v>2</v>
      </c>
    </row>
    <row r="3470" spans="1:7" ht="12.75">
      <c r="A3470" s="134" t="s">
        <v>108</v>
      </c>
      <c r="B3470" s="134">
        <v>422</v>
      </c>
      <c r="C3470" s="491">
        <v>4</v>
      </c>
      <c r="D3470" s="491">
        <v>1</v>
      </c>
      <c r="E3470" s="491">
        <v>0</v>
      </c>
      <c r="F3470" s="491">
        <v>0</v>
      </c>
      <c r="G3470" s="491">
        <f t="shared" si="54"/>
        <v>5</v>
      </c>
    </row>
    <row r="3471" spans="1:7" ht="12.75">
      <c r="A3471" s="134" t="s">
        <v>108</v>
      </c>
      <c r="B3471" s="134">
        <v>430</v>
      </c>
      <c r="C3471" s="491">
        <v>0</v>
      </c>
      <c r="D3471" s="491">
        <v>1</v>
      </c>
      <c r="E3471" s="491">
        <v>0</v>
      </c>
      <c r="F3471" s="491">
        <v>0</v>
      </c>
      <c r="G3471" s="491">
        <f t="shared" si="54"/>
        <v>1</v>
      </c>
    </row>
    <row r="3472" spans="1:7" ht="12.75">
      <c r="A3472" s="134" t="s">
        <v>108</v>
      </c>
      <c r="B3472" s="134">
        <v>501</v>
      </c>
      <c r="C3472" s="491">
        <v>0</v>
      </c>
      <c r="D3472" s="491">
        <v>3</v>
      </c>
      <c r="E3472" s="491">
        <v>0</v>
      </c>
      <c r="F3472" s="491">
        <v>0</v>
      </c>
      <c r="G3472" s="491">
        <f t="shared" si="54"/>
        <v>3</v>
      </c>
    </row>
    <row r="3473" spans="1:7" ht="12.75">
      <c r="A3473" s="134" t="s">
        <v>108</v>
      </c>
      <c r="B3473" s="134">
        <v>502</v>
      </c>
      <c r="C3473" s="491">
        <v>0</v>
      </c>
      <c r="D3473" s="491">
        <v>2</v>
      </c>
      <c r="E3473" s="491">
        <v>0</v>
      </c>
      <c r="F3473" s="491">
        <v>0</v>
      </c>
      <c r="G3473" s="491">
        <f t="shared" si="54"/>
        <v>2</v>
      </c>
    </row>
    <row r="3474" spans="1:7" ht="12.75">
      <c r="A3474" s="134" t="s">
        <v>108</v>
      </c>
      <c r="B3474" s="134">
        <v>503</v>
      </c>
      <c r="C3474" s="491">
        <v>0</v>
      </c>
      <c r="D3474" s="491">
        <v>1</v>
      </c>
      <c r="E3474" s="491">
        <v>0</v>
      </c>
      <c r="F3474" s="491">
        <v>0</v>
      </c>
      <c r="G3474" s="491">
        <f t="shared" si="54"/>
        <v>1</v>
      </c>
    </row>
    <row r="3475" spans="1:7" ht="12.75">
      <c r="A3475" s="134" t="s">
        <v>108</v>
      </c>
      <c r="B3475" s="134">
        <v>650</v>
      </c>
      <c r="C3475" s="491">
        <v>0</v>
      </c>
      <c r="D3475" s="491">
        <v>5</v>
      </c>
      <c r="E3475" s="491">
        <v>0</v>
      </c>
      <c r="F3475" s="491">
        <v>0</v>
      </c>
      <c r="G3475" s="491">
        <f t="shared" si="54"/>
        <v>5</v>
      </c>
    </row>
    <row r="3476" spans="1:7" ht="12.75">
      <c r="A3476" s="134" t="s">
        <v>108</v>
      </c>
      <c r="B3476" s="134">
        <v>654</v>
      </c>
      <c r="C3476" s="491">
        <v>1</v>
      </c>
      <c r="D3476" s="491">
        <v>0</v>
      </c>
      <c r="E3476" s="491">
        <v>0</v>
      </c>
      <c r="F3476" s="491">
        <v>0</v>
      </c>
      <c r="G3476" s="491">
        <f t="shared" si="54"/>
        <v>1</v>
      </c>
    </row>
    <row r="3477" spans="1:7" ht="12.75">
      <c r="A3477" s="134" t="s">
        <v>489</v>
      </c>
      <c r="B3477" s="134">
        <v>101</v>
      </c>
      <c r="C3477" s="491">
        <v>1</v>
      </c>
      <c r="D3477" s="491">
        <v>0</v>
      </c>
      <c r="E3477" s="491">
        <v>0</v>
      </c>
      <c r="F3477" s="491">
        <v>0</v>
      </c>
      <c r="G3477" s="491">
        <f t="shared" si="54"/>
        <v>1</v>
      </c>
    </row>
    <row r="3478" spans="1:7" ht="12.75">
      <c r="A3478" s="134" t="s">
        <v>489</v>
      </c>
      <c r="B3478" s="134">
        <v>120</v>
      </c>
      <c r="C3478" s="491">
        <v>27</v>
      </c>
      <c r="D3478" s="491">
        <v>6</v>
      </c>
      <c r="E3478" s="491">
        <v>2</v>
      </c>
      <c r="F3478" s="491">
        <v>0</v>
      </c>
      <c r="G3478" s="491">
        <f t="shared" si="54"/>
        <v>35</v>
      </c>
    </row>
    <row r="3479" spans="1:7" ht="12.75">
      <c r="A3479" s="134" t="s">
        <v>489</v>
      </c>
      <c r="B3479" s="134">
        <v>130</v>
      </c>
      <c r="C3479" s="491">
        <v>1</v>
      </c>
      <c r="D3479" s="491">
        <v>0</v>
      </c>
      <c r="E3479" s="491">
        <v>0</v>
      </c>
      <c r="F3479" s="491">
        <v>0</v>
      </c>
      <c r="G3479" s="491">
        <f t="shared" si="54"/>
        <v>1</v>
      </c>
    </row>
    <row r="3480" spans="1:7" ht="12.75">
      <c r="A3480" s="134" t="s">
        <v>489</v>
      </c>
      <c r="B3480" s="134">
        <v>300</v>
      </c>
      <c r="C3480" s="491">
        <v>2</v>
      </c>
      <c r="D3480" s="491">
        <v>0</v>
      </c>
      <c r="E3480" s="491">
        <v>0</v>
      </c>
      <c r="F3480" s="491">
        <v>0</v>
      </c>
      <c r="G3480" s="491">
        <f t="shared" si="54"/>
        <v>2</v>
      </c>
    </row>
    <row r="3481" spans="1:7" ht="12.75">
      <c r="A3481" s="134" t="s">
        <v>489</v>
      </c>
      <c r="B3481" s="134">
        <v>302</v>
      </c>
      <c r="C3481" s="491">
        <v>3</v>
      </c>
      <c r="D3481" s="491">
        <v>0</v>
      </c>
      <c r="E3481" s="491">
        <v>0</v>
      </c>
      <c r="F3481" s="491">
        <v>0</v>
      </c>
      <c r="G3481" s="491">
        <f t="shared" si="54"/>
        <v>3</v>
      </c>
    </row>
    <row r="3482" spans="1:7" ht="12.75">
      <c r="A3482" s="134" t="s">
        <v>489</v>
      </c>
      <c r="B3482" s="134">
        <v>304</v>
      </c>
      <c r="C3482" s="491">
        <v>674</v>
      </c>
      <c r="D3482" s="491">
        <v>652</v>
      </c>
      <c r="E3482" s="491">
        <v>0</v>
      </c>
      <c r="F3482" s="491">
        <v>0</v>
      </c>
      <c r="G3482" s="491">
        <f t="shared" si="54"/>
        <v>1326</v>
      </c>
    </row>
    <row r="3483" spans="1:7" ht="12.75">
      <c r="A3483" s="134" t="s">
        <v>489</v>
      </c>
      <c r="B3483" s="134">
        <v>317</v>
      </c>
      <c r="C3483" s="491">
        <v>1</v>
      </c>
      <c r="D3483" s="491">
        <v>0</v>
      </c>
      <c r="E3483" s="491">
        <v>0</v>
      </c>
      <c r="F3483" s="491">
        <v>0</v>
      </c>
      <c r="G3483" s="491">
        <f t="shared" si="54"/>
        <v>1</v>
      </c>
    </row>
    <row r="3484" spans="1:7" ht="12.75">
      <c r="A3484" s="134" t="s">
        <v>489</v>
      </c>
      <c r="B3484" s="134">
        <v>320</v>
      </c>
      <c r="C3484" s="491">
        <v>1283</v>
      </c>
      <c r="D3484" s="491">
        <v>1</v>
      </c>
      <c r="E3484" s="491">
        <v>0</v>
      </c>
      <c r="F3484" s="491">
        <v>0</v>
      </c>
      <c r="G3484" s="491">
        <f t="shared" si="54"/>
        <v>1284</v>
      </c>
    </row>
    <row r="3485" spans="1:7" ht="12.75">
      <c r="A3485" s="134" t="s">
        <v>489</v>
      </c>
      <c r="B3485" s="134">
        <v>330</v>
      </c>
      <c r="C3485" s="491">
        <v>0</v>
      </c>
      <c r="D3485" s="491">
        <v>1</v>
      </c>
      <c r="E3485" s="491">
        <v>0</v>
      </c>
      <c r="F3485" s="491">
        <v>0</v>
      </c>
      <c r="G3485" s="491">
        <f t="shared" si="54"/>
        <v>1</v>
      </c>
    </row>
    <row r="3486" spans="1:7" ht="12.75">
      <c r="A3486" s="134" t="s">
        <v>489</v>
      </c>
      <c r="B3486" s="134">
        <v>340</v>
      </c>
      <c r="C3486" s="491">
        <v>558</v>
      </c>
      <c r="D3486" s="491">
        <v>712</v>
      </c>
      <c r="E3486" s="491">
        <v>2</v>
      </c>
      <c r="F3486" s="491">
        <v>3</v>
      </c>
      <c r="G3486" s="491">
        <f t="shared" si="54"/>
        <v>1275</v>
      </c>
    </row>
    <row r="3487" spans="1:7" ht="12.75">
      <c r="A3487" s="134" t="s">
        <v>489</v>
      </c>
      <c r="B3487" s="134">
        <v>341</v>
      </c>
      <c r="C3487" s="491">
        <v>2039</v>
      </c>
      <c r="D3487" s="491">
        <v>2628</v>
      </c>
      <c r="E3487" s="491">
        <v>0</v>
      </c>
      <c r="F3487" s="491">
        <v>1</v>
      </c>
      <c r="G3487" s="491">
        <f t="shared" si="54"/>
        <v>4668</v>
      </c>
    </row>
    <row r="3488" spans="1:7" ht="12.75">
      <c r="A3488" s="134" t="s">
        <v>489</v>
      </c>
      <c r="B3488" s="134">
        <v>420</v>
      </c>
      <c r="C3488" s="491">
        <v>33</v>
      </c>
      <c r="D3488" s="491">
        <v>5</v>
      </c>
      <c r="E3488" s="491">
        <v>0</v>
      </c>
      <c r="F3488" s="491">
        <v>0</v>
      </c>
      <c r="G3488" s="491">
        <f t="shared" si="54"/>
        <v>38</v>
      </c>
    </row>
    <row r="3489" spans="1:7" ht="12.75">
      <c r="A3489" s="134" t="s">
        <v>507</v>
      </c>
      <c r="B3489" s="134">
        <v>100</v>
      </c>
      <c r="C3489" s="491">
        <v>1</v>
      </c>
      <c r="D3489" s="491">
        <v>1</v>
      </c>
      <c r="E3489" s="491">
        <v>0</v>
      </c>
      <c r="F3489" s="491">
        <v>0</v>
      </c>
      <c r="G3489" s="491">
        <f t="shared" si="54"/>
        <v>2</v>
      </c>
    </row>
    <row r="3490" spans="1:7" ht="12.75">
      <c r="A3490" s="134" t="s">
        <v>507</v>
      </c>
      <c r="B3490" s="134">
        <v>103</v>
      </c>
      <c r="C3490" s="491">
        <v>0</v>
      </c>
      <c r="D3490" s="491">
        <v>0</v>
      </c>
      <c r="E3490" s="491">
        <v>1</v>
      </c>
      <c r="F3490" s="491">
        <v>0</v>
      </c>
      <c r="G3490" s="491">
        <f t="shared" si="54"/>
        <v>1</v>
      </c>
    </row>
    <row r="3491" spans="1:7" ht="12.75">
      <c r="A3491" s="134" t="s">
        <v>507</v>
      </c>
      <c r="B3491" s="134">
        <v>104</v>
      </c>
      <c r="C3491" s="491">
        <v>0</v>
      </c>
      <c r="D3491" s="491">
        <v>1</v>
      </c>
      <c r="E3491" s="491">
        <v>0</v>
      </c>
      <c r="F3491" s="491">
        <v>0</v>
      </c>
      <c r="G3491" s="491">
        <f t="shared" si="54"/>
        <v>1</v>
      </c>
    </row>
    <row r="3492" spans="1:7" ht="12.75">
      <c r="A3492" s="134" t="s">
        <v>507</v>
      </c>
      <c r="B3492" s="134">
        <v>106</v>
      </c>
      <c r="C3492" s="491">
        <v>0</v>
      </c>
      <c r="D3492" s="491">
        <v>1</v>
      </c>
      <c r="E3492" s="491">
        <v>0</v>
      </c>
      <c r="F3492" s="491">
        <v>0</v>
      </c>
      <c r="G3492" s="491">
        <f t="shared" si="54"/>
        <v>1</v>
      </c>
    </row>
    <row r="3493" spans="1:7" ht="12.75">
      <c r="A3493" s="134" t="s">
        <v>507</v>
      </c>
      <c r="B3493" s="134">
        <v>110</v>
      </c>
      <c r="C3493" s="491">
        <v>1</v>
      </c>
      <c r="D3493" s="491">
        <v>1</v>
      </c>
      <c r="E3493" s="491">
        <v>0</v>
      </c>
      <c r="F3493" s="491">
        <v>0</v>
      </c>
      <c r="G3493" s="491">
        <f t="shared" si="54"/>
        <v>2</v>
      </c>
    </row>
    <row r="3494" spans="1:7" ht="12.75">
      <c r="A3494" s="134" t="s">
        <v>507</v>
      </c>
      <c r="B3494" s="134">
        <v>141</v>
      </c>
      <c r="C3494" s="491">
        <v>1</v>
      </c>
      <c r="D3494" s="491">
        <v>0</v>
      </c>
      <c r="E3494" s="491">
        <v>0</v>
      </c>
      <c r="F3494" s="491">
        <v>0</v>
      </c>
      <c r="G3494" s="491">
        <f t="shared" si="54"/>
        <v>1</v>
      </c>
    </row>
    <row r="3495" spans="1:7" ht="12.75">
      <c r="A3495" s="134" t="s">
        <v>507</v>
      </c>
      <c r="B3495" s="134">
        <v>170</v>
      </c>
      <c r="C3495" s="491">
        <v>0</v>
      </c>
      <c r="D3495" s="491">
        <v>4</v>
      </c>
      <c r="E3495" s="491">
        <v>0</v>
      </c>
      <c r="F3495" s="491">
        <v>0</v>
      </c>
      <c r="G3495" s="491">
        <f t="shared" si="54"/>
        <v>4</v>
      </c>
    </row>
    <row r="3496" spans="1:7" ht="12.75">
      <c r="A3496" s="134" t="s">
        <v>507</v>
      </c>
      <c r="B3496" s="134">
        <v>300</v>
      </c>
      <c r="C3496" s="491">
        <v>371</v>
      </c>
      <c r="D3496" s="491">
        <v>422</v>
      </c>
      <c r="E3496" s="491">
        <v>1</v>
      </c>
      <c r="F3496" s="491">
        <v>0</v>
      </c>
      <c r="G3496" s="491">
        <f t="shared" si="54"/>
        <v>794</v>
      </c>
    </row>
    <row r="3497" spans="1:7" ht="12.75">
      <c r="A3497" s="134" t="s">
        <v>507</v>
      </c>
      <c r="B3497" s="134">
        <v>302</v>
      </c>
      <c r="C3497" s="491">
        <v>0</v>
      </c>
      <c r="D3497" s="491">
        <v>1</v>
      </c>
      <c r="E3497" s="491">
        <v>0</v>
      </c>
      <c r="F3497" s="491">
        <v>0</v>
      </c>
      <c r="G3497" s="491">
        <f t="shared" si="54"/>
        <v>1</v>
      </c>
    </row>
    <row r="3498" spans="1:7" ht="12.75">
      <c r="A3498" s="134" t="s">
        <v>507</v>
      </c>
      <c r="B3498" s="134">
        <v>303</v>
      </c>
      <c r="C3498" s="491">
        <v>10</v>
      </c>
      <c r="D3498" s="491">
        <v>0</v>
      </c>
      <c r="E3498" s="491">
        <v>0</v>
      </c>
      <c r="F3498" s="491">
        <v>0</v>
      </c>
      <c r="G3498" s="491">
        <f t="shared" si="54"/>
        <v>10</v>
      </c>
    </row>
    <row r="3499" spans="1:7" ht="12.75">
      <c r="A3499" s="134" t="s">
        <v>507</v>
      </c>
      <c r="B3499" s="134">
        <v>304</v>
      </c>
      <c r="C3499" s="491">
        <v>14</v>
      </c>
      <c r="D3499" s="491">
        <v>262</v>
      </c>
      <c r="E3499" s="491">
        <v>0</v>
      </c>
      <c r="F3499" s="491">
        <v>0</v>
      </c>
      <c r="G3499" s="491">
        <f t="shared" si="54"/>
        <v>276</v>
      </c>
    </row>
    <row r="3500" spans="1:7" ht="12.75">
      <c r="A3500" s="134" t="s">
        <v>507</v>
      </c>
      <c r="B3500" s="134">
        <v>307</v>
      </c>
      <c r="C3500" s="491">
        <v>1</v>
      </c>
      <c r="D3500" s="491">
        <v>0</v>
      </c>
      <c r="E3500" s="491">
        <v>0</v>
      </c>
      <c r="F3500" s="491">
        <v>0</v>
      </c>
      <c r="G3500" s="491">
        <f t="shared" si="54"/>
        <v>1</v>
      </c>
    </row>
    <row r="3501" spans="1:7" ht="12.75">
      <c r="A3501" s="134" t="s">
        <v>507</v>
      </c>
      <c r="B3501" s="134">
        <v>310</v>
      </c>
      <c r="C3501" s="491">
        <v>1</v>
      </c>
      <c r="D3501" s="491">
        <v>0</v>
      </c>
      <c r="E3501" s="491">
        <v>0</v>
      </c>
      <c r="F3501" s="491">
        <v>0</v>
      </c>
      <c r="G3501" s="491">
        <f t="shared" si="54"/>
        <v>1</v>
      </c>
    </row>
    <row r="3502" spans="1:7" ht="12.75">
      <c r="A3502" s="134" t="s">
        <v>507</v>
      </c>
      <c r="B3502" s="134">
        <v>320</v>
      </c>
      <c r="C3502" s="491">
        <v>171</v>
      </c>
      <c r="D3502" s="491">
        <v>617</v>
      </c>
      <c r="E3502" s="491">
        <v>0</v>
      </c>
      <c r="F3502" s="491">
        <v>0</v>
      </c>
      <c r="G3502" s="491">
        <f t="shared" si="54"/>
        <v>788</v>
      </c>
    </row>
    <row r="3503" spans="1:7" ht="12.75">
      <c r="A3503" s="134" t="s">
        <v>507</v>
      </c>
      <c r="B3503" s="134">
        <v>324</v>
      </c>
      <c r="C3503" s="491">
        <v>0</v>
      </c>
      <c r="D3503" s="491">
        <v>1</v>
      </c>
      <c r="E3503" s="491">
        <v>0</v>
      </c>
      <c r="F3503" s="491">
        <v>0</v>
      </c>
      <c r="G3503" s="491">
        <f t="shared" si="54"/>
        <v>1</v>
      </c>
    </row>
    <row r="3504" spans="1:7" ht="12.75">
      <c r="A3504" s="134" t="s">
        <v>507</v>
      </c>
      <c r="B3504" s="134">
        <v>340</v>
      </c>
      <c r="C3504" s="491">
        <v>3009</v>
      </c>
      <c r="D3504" s="491">
        <v>2383</v>
      </c>
      <c r="E3504" s="491">
        <v>31</v>
      </c>
      <c r="F3504" s="491">
        <v>42</v>
      </c>
      <c r="G3504" s="491">
        <f t="shared" si="54"/>
        <v>5465</v>
      </c>
    </row>
    <row r="3505" spans="1:7" ht="12.75">
      <c r="A3505" s="134" t="s">
        <v>507</v>
      </c>
      <c r="B3505" s="134">
        <v>341</v>
      </c>
      <c r="C3505" s="491">
        <v>71</v>
      </c>
      <c r="D3505" s="491">
        <v>135</v>
      </c>
      <c r="E3505" s="491">
        <v>0</v>
      </c>
      <c r="F3505" s="491">
        <v>0</v>
      </c>
      <c r="G3505" s="491">
        <f t="shared" si="54"/>
        <v>206</v>
      </c>
    </row>
    <row r="3506" spans="1:7" ht="12.75">
      <c r="A3506" s="134" t="s">
        <v>507</v>
      </c>
      <c r="B3506" s="134">
        <v>343</v>
      </c>
      <c r="C3506" s="491">
        <v>2</v>
      </c>
      <c r="D3506" s="491">
        <v>0</v>
      </c>
      <c r="E3506" s="491">
        <v>0</v>
      </c>
      <c r="F3506" s="491">
        <v>0</v>
      </c>
      <c r="G3506" s="491">
        <f t="shared" si="54"/>
        <v>2</v>
      </c>
    </row>
    <row r="3507" spans="1:7" ht="12.75">
      <c r="A3507" s="134" t="s">
        <v>507</v>
      </c>
      <c r="B3507" s="134">
        <v>361</v>
      </c>
      <c r="C3507" s="491">
        <v>1</v>
      </c>
      <c r="D3507" s="491">
        <v>0</v>
      </c>
      <c r="E3507" s="491">
        <v>0</v>
      </c>
      <c r="F3507" s="491">
        <v>0</v>
      </c>
      <c r="G3507" s="491">
        <f t="shared" si="54"/>
        <v>1</v>
      </c>
    </row>
    <row r="3508" spans="1:7" ht="12.75">
      <c r="A3508" s="134" t="s">
        <v>507</v>
      </c>
      <c r="B3508" s="134">
        <v>410</v>
      </c>
      <c r="C3508" s="491">
        <v>14</v>
      </c>
      <c r="D3508" s="491">
        <v>1</v>
      </c>
      <c r="E3508" s="491">
        <v>0</v>
      </c>
      <c r="F3508" s="491">
        <v>0</v>
      </c>
      <c r="G3508" s="491">
        <f t="shared" si="54"/>
        <v>15</v>
      </c>
    </row>
    <row r="3509" spans="1:7" ht="12.75">
      <c r="A3509" s="134" t="s">
        <v>507</v>
      </c>
      <c r="B3509" s="134">
        <v>430</v>
      </c>
      <c r="C3509" s="491">
        <v>0</v>
      </c>
      <c r="D3509" s="491">
        <v>0</v>
      </c>
      <c r="E3509" s="491">
        <v>1</v>
      </c>
      <c r="F3509" s="491">
        <v>0</v>
      </c>
      <c r="G3509" s="491">
        <f t="shared" si="54"/>
        <v>1</v>
      </c>
    </row>
    <row r="3510" spans="1:7" ht="12.75">
      <c r="A3510" s="134" t="s">
        <v>507</v>
      </c>
      <c r="B3510" s="134">
        <v>655</v>
      </c>
      <c r="C3510" s="491">
        <v>1</v>
      </c>
      <c r="D3510" s="491">
        <v>0</v>
      </c>
      <c r="E3510" s="491">
        <v>0</v>
      </c>
      <c r="F3510" s="491">
        <v>0</v>
      </c>
      <c r="G3510" s="491">
        <f t="shared" si="54"/>
        <v>1</v>
      </c>
    </row>
    <row r="3511" spans="1:7" ht="12.75">
      <c r="A3511" s="134" t="s">
        <v>807</v>
      </c>
      <c r="B3511" s="134">
        <v>120</v>
      </c>
      <c r="C3511" s="491">
        <v>1</v>
      </c>
      <c r="D3511" s="491">
        <v>0</v>
      </c>
      <c r="E3511" s="491">
        <v>0</v>
      </c>
      <c r="F3511" s="491">
        <v>1</v>
      </c>
      <c r="G3511" s="491">
        <f t="shared" si="54"/>
        <v>2</v>
      </c>
    </row>
    <row r="3512" spans="1:7" ht="12.75">
      <c r="A3512" s="134" t="s">
        <v>807</v>
      </c>
      <c r="B3512" s="134">
        <v>216</v>
      </c>
      <c r="C3512" s="491">
        <v>1</v>
      </c>
      <c r="D3512" s="491">
        <v>0</v>
      </c>
      <c r="E3512" s="491">
        <v>0</v>
      </c>
      <c r="F3512" s="491">
        <v>0</v>
      </c>
      <c r="G3512" s="491">
        <f t="shared" si="54"/>
        <v>1</v>
      </c>
    </row>
    <row r="3513" spans="1:7" ht="12.75">
      <c r="A3513" s="134" t="s">
        <v>807</v>
      </c>
      <c r="B3513" s="134">
        <v>252</v>
      </c>
      <c r="C3513" s="491">
        <v>2</v>
      </c>
      <c r="D3513" s="491">
        <v>0</v>
      </c>
      <c r="E3513" s="491">
        <v>1</v>
      </c>
      <c r="F3513" s="491">
        <v>0</v>
      </c>
      <c r="G3513" s="491">
        <f t="shared" si="54"/>
        <v>3</v>
      </c>
    </row>
    <row r="3514" spans="1:7" ht="12.75">
      <c r="A3514" s="134" t="s">
        <v>807</v>
      </c>
      <c r="B3514" s="134">
        <v>257</v>
      </c>
      <c r="C3514" s="491">
        <v>2</v>
      </c>
      <c r="D3514" s="491">
        <v>0</v>
      </c>
      <c r="E3514" s="491">
        <v>0</v>
      </c>
      <c r="F3514" s="491">
        <v>0</v>
      </c>
      <c r="G3514" s="491">
        <f t="shared" si="54"/>
        <v>2</v>
      </c>
    </row>
    <row r="3515" spans="1:7" ht="12.75">
      <c r="A3515" s="134" t="s">
        <v>807</v>
      </c>
      <c r="B3515" s="134">
        <v>258</v>
      </c>
      <c r="C3515" s="491">
        <v>138</v>
      </c>
      <c r="D3515" s="491">
        <v>17</v>
      </c>
      <c r="E3515" s="491">
        <v>6</v>
      </c>
      <c r="F3515" s="491">
        <v>10</v>
      </c>
      <c r="G3515" s="491">
        <f t="shared" si="54"/>
        <v>171</v>
      </c>
    </row>
    <row r="3516" spans="1:7" ht="12.75">
      <c r="A3516" s="134" t="s">
        <v>807</v>
      </c>
      <c r="B3516" s="134">
        <v>263</v>
      </c>
      <c r="C3516" s="491">
        <v>0</v>
      </c>
      <c r="D3516" s="491">
        <v>0</v>
      </c>
      <c r="E3516" s="491">
        <v>1</v>
      </c>
      <c r="F3516" s="491">
        <v>0</v>
      </c>
      <c r="G3516" s="491">
        <f t="shared" si="54"/>
        <v>1</v>
      </c>
    </row>
    <row r="3517" spans="1:7" ht="12.75">
      <c r="A3517" s="134" t="s">
        <v>807</v>
      </c>
      <c r="B3517" s="134">
        <v>264</v>
      </c>
      <c r="C3517" s="491">
        <v>2</v>
      </c>
      <c r="D3517" s="491">
        <v>2</v>
      </c>
      <c r="E3517" s="491">
        <v>9</v>
      </c>
      <c r="F3517" s="491">
        <v>2</v>
      </c>
      <c r="G3517" s="491">
        <f t="shared" si="54"/>
        <v>15</v>
      </c>
    </row>
    <row r="3518" spans="1:7" ht="12.75">
      <c r="A3518" s="134" t="s">
        <v>807</v>
      </c>
      <c r="B3518" s="134">
        <v>300</v>
      </c>
      <c r="C3518" s="491">
        <v>99</v>
      </c>
      <c r="D3518" s="491">
        <v>335</v>
      </c>
      <c r="E3518" s="491">
        <v>0</v>
      </c>
      <c r="F3518" s="491">
        <v>0</v>
      </c>
      <c r="G3518" s="491">
        <f t="shared" si="54"/>
        <v>434</v>
      </c>
    </row>
    <row r="3519" spans="1:7" ht="12.75">
      <c r="A3519" s="134" t="s">
        <v>807</v>
      </c>
      <c r="B3519" s="134">
        <v>302</v>
      </c>
      <c r="C3519" s="491">
        <v>0</v>
      </c>
      <c r="D3519" s="491">
        <v>1</v>
      </c>
      <c r="E3519" s="491">
        <v>0</v>
      </c>
      <c r="F3519" s="491">
        <v>0</v>
      </c>
      <c r="G3519" s="491">
        <f t="shared" si="54"/>
        <v>1</v>
      </c>
    </row>
    <row r="3520" spans="1:7" ht="12.75">
      <c r="A3520" s="134" t="s">
        <v>807</v>
      </c>
      <c r="B3520" s="134">
        <v>303</v>
      </c>
      <c r="C3520" s="491">
        <v>1</v>
      </c>
      <c r="D3520" s="491">
        <v>0</v>
      </c>
      <c r="E3520" s="491">
        <v>0</v>
      </c>
      <c r="F3520" s="491">
        <v>0</v>
      </c>
      <c r="G3520" s="491">
        <f t="shared" si="54"/>
        <v>1</v>
      </c>
    </row>
    <row r="3521" spans="1:7" ht="12.75">
      <c r="A3521" s="134" t="s">
        <v>807</v>
      </c>
      <c r="B3521" s="134">
        <v>304</v>
      </c>
      <c r="C3521" s="491">
        <v>383</v>
      </c>
      <c r="D3521" s="491">
        <v>243</v>
      </c>
      <c r="E3521" s="491">
        <v>0</v>
      </c>
      <c r="F3521" s="491">
        <v>0</v>
      </c>
      <c r="G3521" s="491">
        <f t="shared" si="54"/>
        <v>626</v>
      </c>
    </row>
    <row r="3522" spans="1:7" ht="12.75">
      <c r="A3522" s="134" t="s">
        <v>807</v>
      </c>
      <c r="B3522" s="134">
        <v>313</v>
      </c>
      <c r="C3522" s="491">
        <v>2</v>
      </c>
      <c r="D3522" s="491">
        <v>0</v>
      </c>
      <c r="E3522" s="491">
        <v>0</v>
      </c>
      <c r="F3522" s="491">
        <v>0</v>
      </c>
      <c r="G3522" s="491">
        <f t="shared" si="54"/>
        <v>2</v>
      </c>
    </row>
    <row r="3523" spans="1:7" ht="12.75">
      <c r="A3523" s="134" t="s">
        <v>807</v>
      </c>
      <c r="B3523" s="134">
        <v>317</v>
      </c>
      <c r="C3523" s="491">
        <v>32</v>
      </c>
      <c r="D3523" s="491">
        <v>28</v>
      </c>
      <c r="E3523" s="491">
        <v>0</v>
      </c>
      <c r="F3523" s="491">
        <v>0</v>
      </c>
      <c r="G3523" s="491">
        <f t="shared" si="54"/>
        <v>60</v>
      </c>
    </row>
    <row r="3524" spans="1:7" ht="12.75">
      <c r="A3524" s="134" t="s">
        <v>807</v>
      </c>
      <c r="B3524" s="134">
        <v>320</v>
      </c>
      <c r="C3524" s="491">
        <v>311</v>
      </c>
      <c r="D3524" s="491">
        <v>854</v>
      </c>
      <c r="E3524" s="491">
        <v>0</v>
      </c>
      <c r="F3524" s="491">
        <v>1</v>
      </c>
      <c r="G3524" s="491">
        <f t="shared" ref="G3524:G3587" si="55">SUM(C3524:F3524)</f>
        <v>1166</v>
      </c>
    </row>
    <row r="3525" spans="1:7" ht="12.75">
      <c r="A3525" s="134" t="s">
        <v>807</v>
      </c>
      <c r="B3525" s="134">
        <v>340</v>
      </c>
      <c r="C3525" s="491">
        <v>1717</v>
      </c>
      <c r="D3525" s="491">
        <v>1966</v>
      </c>
      <c r="E3525" s="491">
        <v>5</v>
      </c>
      <c r="F3525" s="491">
        <v>33</v>
      </c>
      <c r="G3525" s="491">
        <f t="shared" si="55"/>
        <v>3721</v>
      </c>
    </row>
    <row r="3526" spans="1:7" ht="12.75">
      <c r="A3526" s="134" t="s">
        <v>807</v>
      </c>
      <c r="B3526" s="134">
        <v>341</v>
      </c>
      <c r="C3526" s="491">
        <v>853</v>
      </c>
      <c r="D3526" s="491">
        <v>93</v>
      </c>
      <c r="E3526" s="491">
        <v>0</v>
      </c>
      <c r="F3526" s="491">
        <v>0</v>
      </c>
      <c r="G3526" s="491">
        <f t="shared" si="55"/>
        <v>946</v>
      </c>
    </row>
    <row r="3527" spans="1:7" ht="12.75">
      <c r="A3527" s="134" t="s">
        <v>807</v>
      </c>
      <c r="B3527" s="134">
        <v>343</v>
      </c>
      <c r="C3527" s="491">
        <v>36</v>
      </c>
      <c r="D3527" s="491">
        <v>0</v>
      </c>
      <c r="E3527" s="491">
        <v>4</v>
      </c>
      <c r="F3527" s="491">
        <v>0</v>
      </c>
      <c r="G3527" s="491">
        <f t="shared" si="55"/>
        <v>40</v>
      </c>
    </row>
    <row r="3528" spans="1:7" ht="12.75">
      <c r="A3528" s="134" t="s">
        <v>807</v>
      </c>
      <c r="B3528" s="134">
        <v>350</v>
      </c>
      <c r="C3528" s="491">
        <v>4</v>
      </c>
      <c r="D3528" s="491">
        <v>1</v>
      </c>
      <c r="E3528" s="491">
        <v>0</v>
      </c>
      <c r="F3528" s="491">
        <v>0</v>
      </c>
      <c r="G3528" s="491">
        <f t="shared" si="55"/>
        <v>5</v>
      </c>
    </row>
    <row r="3529" spans="1:7" ht="12.75">
      <c r="A3529" s="134" t="s">
        <v>807</v>
      </c>
      <c r="B3529" s="134">
        <v>420</v>
      </c>
      <c r="C3529" s="491">
        <v>92</v>
      </c>
      <c r="D3529" s="491">
        <v>16</v>
      </c>
      <c r="E3529" s="491">
        <v>4</v>
      </c>
      <c r="F3529" s="491">
        <v>1</v>
      </c>
      <c r="G3529" s="491">
        <f t="shared" si="55"/>
        <v>113</v>
      </c>
    </row>
    <row r="3530" spans="1:7" ht="12.75">
      <c r="A3530" s="134" t="s">
        <v>807</v>
      </c>
      <c r="B3530" s="134">
        <v>430</v>
      </c>
      <c r="C3530" s="491">
        <v>1</v>
      </c>
      <c r="D3530" s="491">
        <v>0</v>
      </c>
      <c r="E3530" s="491">
        <v>0</v>
      </c>
      <c r="F3530" s="491">
        <v>0</v>
      </c>
      <c r="G3530" s="491">
        <f t="shared" si="55"/>
        <v>1</v>
      </c>
    </row>
    <row r="3531" spans="1:7" ht="12.75">
      <c r="A3531" s="134" t="s">
        <v>807</v>
      </c>
      <c r="B3531" s="134">
        <v>654</v>
      </c>
      <c r="C3531" s="491">
        <v>0</v>
      </c>
      <c r="D3531" s="491">
        <v>1</v>
      </c>
      <c r="E3531" s="491">
        <v>0</v>
      </c>
      <c r="F3531" s="491">
        <v>0</v>
      </c>
      <c r="G3531" s="491">
        <f t="shared" si="55"/>
        <v>1</v>
      </c>
    </row>
    <row r="3532" spans="1:7" ht="12.75">
      <c r="A3532" s="134" t="s">
        <v>807</v>
      </c>
      <c r="B3532" s="134">
        <v>800</v>
      </c>
      <c r="C3532" s="491">
        <v>1</v>
      </c>
      <c r="D3532" s="491">
        <v>0</v>
      </c>
      <c r="E3532" s="491">
        <v>0</v>
      </c>
      <c r="F3532" s="491">
        <v>0</v>
      </c>
      <c r="G3532" s="491">
        <f t="shared" si="55"/>
        <v>1</v>
      </c>
    </row>
    <row r="3533" spans="1:7" ht="12.75">
      <c r="A3533" s="134" t="s">
        <v>808</v>
      </c>
      <c r="B3533" s="134">
        <v>101</v>
      </c>
      <c r="C3533" s="491">
        <v>1</v>
      </c>
      <c r="D3533" s="491">
        <v>1</v>
      </c>
      <c r="E3533" s="491">
        <v>0</v>
      </c>
      <c r="F3533" s="491">
        <v>0</v>
      </c>
      <c r="G3533" s="491">
        <f t="shared" si="55"/>
        <v>2</v>
      </c>
    </row>
    <row r="3534" spans="1:7" ht="12.75">
      <c r="A3534" s="134" t="s">
        <v>808</v>
      </c>
      <c r="B3534" s="134">
        <v>130</v>
      </c>
      <c r="C3534" s="491">
        <v>1</v>
      </c>
      <c r="D3534" s="491">
        <v>0</v>
      </c>
      <c r="E3534" s="491">
        <v>0</v>
      </c>
      <c r="F3534" s="491">
        <v>0</v>
      </c>
      <c r="G3534" s="491">
        <f t="shared" si="55"/>
        <v>1</v>
      </c>
    </row>
    <row r="3535" spans="1:7" ht="12.75">
      <c r="A3535" s="134" t="s">
        <v>808</v>
      </c>
      <c r="B3535" s="134">
        <v>150</v>
      </c>
      <c r="C3535" s="491">
        <v>1</v>
      </c>
      <c r="D3535" s="491">
        <v>0</v>
      </c>
      <c r="E3535" s="491">
        <v>0</v>
      </c>
      <c r="F3535" s="491">
        <v>0</v>
      </c>
      <c r="G3535" s="491">
        <f t="shared" si="55"/>
        <v>1</v>
      </c>
    </row>
    <row r="3536" spans="1:7" ht="12.75">
      <c r="A3536" s="134" t="s">
        <v>808</v>
      </c>
      <c r="B3536" s="134">
        <v>170</v>
      </c>
      <c r="C3536" s="491">
        <v>4</v>
      </c>
      <c r="D3536" s="491">
        <v>1</v>
      </c>
      <c r="E3536" s="491">
        <v>0</v>
      </c>
      <c r="F3536" s="491">
        <v>0</v>
      </c>
      <c r="G3536" s="491">
        <f t="shared" si="55"/>
        <v>5</v>
      </c>
    </row>
    <row r="3537" spans="1:7" ht="12.75">
      <c r="A3537" s="134" t="s">
        <v>808</v>
      </c>
      <c r="B3537" s="134">
        <v>173</v>
      </c>
      <c r="C3537" s="491">
        <v>0</v>
      </c>
      <c r="D3537" s="491">
        <v>6</v>
      </c>
      <c r="E3537" s="491">
        <v>0</v>
      </c>
      <c r="F3537" s="491">
        <v>0</v>
      </c>
      <c r="G3537" s="491">
        <f t="shared" si="55"/>
        <v>6</v>
      </c>
    </row>
    <row r="3538" spans="1:7" ht="12.75">
      <c r="A3538" s="134" t="s">
        <v>808</v>
      </c>
      <c r="B3538" s="134">
        <v>258</v>
      </c>
      <c r="C3538" s="491">
        <v>2</v>
      </c>
      <c r="D3538" s="491">
        <v>2</v>
      </c>
      <c r="E3538" s="491">
        <v>2</v>
      </c>
      <c r="F3538" s="491">
        <v>0</v>
      </c>
      <c r="G3538" s="491">
        <f t="shared" si="55"/>
        <v>6</v>
      </c>
    </row>
    <row r="3539" spans="1:7" ht="12.75">
      <c r="A3539" s="134" t="s">
        <v>808</v>
      </c>
      <c r="B3539" s="134">
        <v>300</v>
      </c>
      <c r="C3539" s="491">
        <v>1417</v>
      </c>
      <c r="D3539" s="491">
        <v>1291</v>
      </c>
      <c r="E3539" s="491">
        <v>0</v>
      </c>
      <c r="F3539" s="491">
        <v>2</v>
      </c>
      <c r="G3539" s="491">
        <f t="shared" si="55"/>
        <v>2710</v>
      </c>
    </row>
    <row r="3540" spans="1:7" ht="12.75">
      <c r="A3540" s="134" t="s">
        <v>808</v>
      </c>
      <c r="B3540" s="134">
        <v>301</v>
      </c>
      <c r="C3540" s="491">
        <v>0</v>
      </c>
      <c r="D3540" s="491">
        <v>1</v>
      </c>
      <c r="E3540" s="491">
        <v>0</v>
      </c>
      <c r="F3540" s="491">
        <v>0</v>
      </c>
      <c r="G3540" s="491">
        <f t="shared" si="55"/>
        <v>1</v>
      </c>
    </row>
    <row r="3541" spans="1:7" ht="12.75">
      <c r="A3541" s="134" t="s">
        <v>808</v>
      </c>
      <c r="B3541" s="134">
        <v>304</v>
      </c>
      <c r="C3541" s="491">
        <v>822</v>
      </c>
      <c r="D3541" s="491">
        <v>1528</v>
      </c>
      <c r="E3541" s="491">
        <v>0</v>
      </c>
      <c r="F3541" s="491">
        <v>0</v>
      </c>
      <c r="G3541" s="491">
        <f t="shared" si="55"/>
        <v>2350</v>
      </c>
    </row>
    <row r="3542" spans="1:7" ht="12.75">
      <c r="A3542" s="134" t="s">
        <v>808</v>
      </c>
      <c r="B3542" s="134">
        <v>320</v>
      </c>
      <c r="C3542" s="491">
        <v>208</v>
      </c>
      <c r="D3542" s="491">
        <v>1478</v>
      </c>
      <c r="E3542" s="491">
        <v>0</v>
      </c>
      <c r="F3542" s="491">
        <v>0</v>
      </c>
      <c r="G3542" s="491">
        <f t="shared" si="55"/>
        <v>1686</v>
      </c>
    </row>
    <row r="3543" spans="1:7" ht="12.75">
      <c r="A3543" s="134" t="s">
        <v>808</v>
      </c>
      <c r="B3543" s="134">
        <v>330</v>
      </c>
      <c r="C3543" s="491">
        <v>0</v>
      </c>
      <c r="D3543" s="491">
        <v>1</v>
      </c>
      <c r="E3543" s="491">
        <v>0</v>
      </c>
      <c r="F3543" s="491">
        <v>0</v>
      </c>
      <c r="G3543" s="491">
        <f t="shared" si="55"/>
        <v>1</v>
      </c>
    </row>
    <row r="3544" spans="1:7" ht="12.75">
      <c r="A3544" s="134" t="s">
        <v>808</v>
      </c>
      <c r="B3544" s="134">
        <v>340</v>
      </c>
      <c r="C3544" s="491">
        <v>12881</v>
      </c>
      <c r="D3544" s="491">
        <v>9095</v>
      </c>
      <c r="E3544" s="491">
        <v>54</v>
      </c>
      <c r="F3544" s="491">
        <v>94</v>
      </c>
      <c r="G3544" s="491">
        <f t="shared" si="55"/>
        <v>22124</v>
      </c>
    </row>
    <row r="3545" spans="1:7" ht="12.75">
      <c r="A3545" s="134" t="s">
        <v>808</v>
      </c>
      <c r="B3545" s="134">
        <v>341</v>
      </c>
      <c r="C3545" s="491">
        <v>1810</v>
      </c>
      <c r="D3545" s="491">
        <v>1921</v>
      </c>
      <c r="E3545" s="491">
        <v>0</v>
      </c>
      <c r="F3545" s="491">
        <v>0</v>
      </c>
      <c r="G3545" s="491">
        <f t="shared" si="55"/>
        <v>3731</v>
      </c>
    </row>
    <row r="3546" spans="1:7" ht="12.75">
      <c r="A3546" s="134" t="s">
        <v>808</v>
      </c>
      <c r="B3546" s="134">
        <v>343</v>
      </c>
      <c r="C3546" s="491">
        <v>98</v>
      </c>
      <c r="D3546" s="491">
        <v>0</v>
      </c>
      <c r="E3546" s="491">
        <v>1</v>
      </c>
      <c r="F3546" s="491">
        <v>0</v>
      </c>
      <c r="G3546" s="491">
        <f t="shared" si="55"/>
        <v>99</v>
      </c>
    </row>
    <row r="3547" spans="1:7" ht="12.75">
      <c r="A3547" s="134" t="s">
        <v>808</v>
      </c>
      <c r="B3547" s="134">
        <v>361</v>
      </c>
      <c r="C3547" s="491">
        <v>4</v>
      </c>
      <c r="D3547" s="491">
        <v>0</v>
      </c>
      <c r="E3547" s="491">
        <v>0</v>
      </c>
      <c r="F3547" s="491">
        <v>0</v>
      </c>
      <c r="G3547" s="491">
        <f t="shared" si="55"/>
        <v>4</v>
      </c>
    </row>
    <row r="3548" spans="1:7" ht="12.75">
      <c r="A3548" s="134" t="s">
        <v>808</v>
      </c>
      <c r="B3548" s="134">
        <v>370</v>
      </c>
      <c r="C3548" s="491">
        <v>0</v>
      </c>
      <c r="D3548" s="491">
        <v>1</v>
      </c>
      <c r="E3548" s="491">
        <v>3</v>
      </c>
      <c r="F3548" s="491">
        <v>0</v>
      </c>
      <c r="G3548" s="491">
        <f t="shared" si="55"/>
        <v>4</v>
      </c>
    </row>
    <row r="3549" spans="1:7" ht="12.75">
      <c r="A3549" s="134" t="s">
        <v>808</v>
      </c>
      <c r="B3549" s="134">
        <v>410</v>
      </c>
      <c r="C3549" s="491">
        <v>2</v>
      </c>
      <c r="D3549" s="491">
        <v>1</v>
      </c>
      <c r="E3549" s="491">
        <v>0</v>
      </c>
      <c r="F3549" s="491">
        <v>0</v>
      </c>
      <c r="G3549" s="491">
        <f t="shared" si="55"/>
        <v>3</v>
      </c>
    </row>
    <row r="3550" spans="1:7" ht="12.75">
      <c r="A3550" s="134" t="s">
        <v>808</v>
      </c>
      <c r="B3550" s="134">
        <v>430</v>
      </c>
      <c r="C3550" s="491">
        <v>0</v>
      </c>
      <c r="D3550" s="491">
        <v>0</v>
      </c>
      <c r="E3550" s="491">
        <v>0</v>
      </c>
      <c r="F3550" s="491">
        <v>1</v>
      </c>
      <c r="G3550" s="491">
        <f t="shared" si="55"/>
        <v>1</v>
      </c>
    </row>
    <row r="3551" spans="1:7" ht="12.75">
      <c r="A3551" s="134" t="s">
        <v>808</v>
      </c>
      <c r="B3551" s="134">
        <v>560</v>
      </c>
      <c r="C3551" s="491">
        <v>1</v>
      </c>
      <c r="D3551" s="491">
        <v>0</v>
      </c>
      <c r="E3551" s="491">
        <v>0</v>
      </c>
      <c r="F3551" s="491">
        <v>0</v>
      </c>
      <c r="G3551" s="491">
        <f t="shared" si="55"/>
        <v>1</v>
      </c>
    </row>
    <row r="3552" spans="1:7" ht="12.75">
      <c r="A3552" s="134" t="s">
        <v>808</v>
      </c>
      <c r="B3552" s="134">
        <v>800</v>
      </c>
      <c r="C3552" s="491">
        <v>0</v>
      </c>
      <c r="D3552" s="491">
        <v>3</v>
      </c>
      <c r="E3552" s="491">
        <v>0</v>
      </c>
      <c r="F3552" s="491">
        <v>0</v>
      </c>
      <c r="G3552" s="491">
        <f t="shared" si="55"/>
        <v>3</v>
      </c>
    </row>
    <row r="3553" spans="1:7" ht="12.75">
      <c r="A3553" s="134" t="s">
        <v>809</v>
      </c>
      <c r="B3553" s="134">
        <v>100</v>
      </c>
      <c r="C3553" s="491">
        <v>6</v>
      </c>
      <c r="D3553" s="491">
        <v>29</v>
      </c>
      <c r="E3553" s="491">
        <v>1</v>
      </c>
      <c r="F3553" s="491">
        <v>15</v>
      </c>
      <c r="G3553" s="491">
        <f t="shared" si="55"/>
        <v>51</v>
      </c>
    </row>
    <row r="3554" spans="1:7" ht="12.75">
      <c r="A3554" s="134" t="s">
        <v>809</v>
      </c>
      <c r="B3554" s="134">
        <v>101</v>
      </c>
      <c r="C3554" s="491">
        <v>2</v>
      </c>
      <c r="D3554" s="491">
        <v>12</v>
      </c>
      <c r="E3554" s="491">
        <v>1</v>
      </c>
      <c r="F3554" s="491">
        <v>2</v>
      </c>
      <c r="G3554" s="491">
        <f t="shared" si="55"/>
        <v>17</v>
      </c>
    </row>
    <row r="3555" spans="1:7" ht="12.75">
      <c r="A3555" s="134" t="s">
        <v>809</v>
      </c>
      <c r="B3555" s="134">
        <v>103</v>
      </c>
      <c r="C3555" s="491">
        <v>2</v>
      </c>
      <c r="D3555" s="491">
        <v>1</v>
      </c>
      <c r="E3555" s="491">
        <v>0</v>
      </c>
      <c r="F3555" s="491">
        <v>0</v>
      </c>
      <c r="G3555" s="491">
        <f t="shared" si="55"/>
        <v>3</v>
      </c>
    </row>
    <row r="3556" spans="1:7" ht="12.75">
      <c r="A3556" s="134" t="s">
        <v>809</v>
      </c>
      <c r="B3556" s="134">
        <v>104</v>
      </c>
      <c r="C3556" s="491">
        <v>0</v>
      </c>
      <c r="D3556" s="491">
        <v>0</v>
      </c>
      <c r="E3556" s="491">
        <v>1</v>
      </c>
      <c r="F3556" s="491">
        <v>0</v>
      </c>
      <c r="G3556" s="491">
        <f t="shared" si="55"/>
        <v>1</v>
      </c>
    </row>
    <row r="3557" spans="1:7" ht="12.75">
      <c r="A3557" s="134" t="s">
        <v>809</v>
      </c>
      <c r="B3557" s="134">
        <v>107</v>
      </c>
      <c r="C3557" s="491">
        <v>5</v>
      </c>
      <c r="D3557" s="491">
        <v>0</v>
      </c>
      <c r="E3557" s="491">
        <v>0</v>
      </c>
      <c r="F3557" s="491">
        <v>0</v>
      </c>
      <c r="G3557" s="491">
        <f t="shared" si="55"/>
        <v>5</v>
      </c>
    </row>
    <row r="3558" spans="1:7" ht="12.75">
      <c r="A3558" s="134" t="s">
        <v>809</v>
      </c>
      <c r="B3558" s="134">
        <v>110</v>
      </c>
      <c r="C3558" s="491">
        <v>4</v>
      </c>
      <c r="D3558" s="491">
        <v>2</v>
      </c>
      <c r="E3558" s="491">
        <v>1</v>
      </c>
      <c r="F3558" s="491">
        <v>1</v>
      </c>
      <c r="G3558" s="491">
        <f t="shared" si="55"/>
        <v>8</v>
      </c>
    </row>
    <row r="3559" spans="1:7" ht="12.75">
      <c r="A3559" s="134" t="s">
        <v>809</v>
      </c>
      <c r="B3559" s="134">
        <v>120</v>
      </c>
      <c r="C3559" s="491">
        <v>1</v>
      </c>
      <c r="D3559" s="491">
        <v>6</v>
      </c>
      <c r="E3559" s="491">
        <v>1</v>
      </c>
      <c r="F3559" s="491">
        <v>0</v>
      </c>
      <c r="G3559" s="491">
        <f t="shared" si="55"/>
        <v>8</v>
      </c>
    </row>
    <row r="3560" spans="1:7" ht="12.75">
      <c r="A3560" s="134" t="s">
        <v>809</v>
      </c>
      <c r="B3560" s="134">
        <v>130</v>
      </c>
      <c r="C3560" s="491">
        <v>131</v>
      </c>
      <c r="D3560" s="491">
        <v>27</v>
      </c>
      <c r="E3560" s="491">
        <v>4</v>
      </c>
      <c r="F3560" s="491">
        <v>0</v>
      </c>
      <c r="G3560" s="491">
        <f t="shared" si="55"/>
        <v>162</v>
      </c>
    </row>
    <row r="3561" spans="1:7" ht="12.75">
      <c r="A3561" s="134" t="s">
        <v>809</v>
      </c>
      <c r="B3561" s="134">
        <v>140</v>
      </c>
      <c r="C3561" s="491">
        <v>1</v>
      </c>
      <c r="D3561" s="491">
        <v>1</v>
      </c>
      <c r="E3561" s="491">
        <v>1</v>
      </c>
      <c r="F3561" s="491">
        <v>0</v>
      </c>
      <c r="G3561" s="491">
        <f t="shared" si="55"/>
        <v>3</v>
      </c>
    </row>
    <row r="3562" spans="1:7" ht="12.75">
      <c r="A3562" s="134" t="s">
        <v>809</v>
      </c>
      <c r="B3562" s="134">
        <v>143</v>
      </c>
      <c r="C3562" s="491">
        <v>9</v>
      </c>
      <c r="D3562" s="491">
        <v>19</v>
      </c>
      <c r="E3562" s="491">
        <v>0</v>
      </c>
      <c r="F3562" s="491">
        <v>0</v>
      </c>
      <c r="G3562" s="491">
        <f t="shared" si="55"/>
        <v>28</v>
      </c>
    </row>
    <row r="3563" spans="1:7" ht="12.75">
      <c r="A3563" s="134" t="s">
        <v>809</v>
      </c>
      <c r="B3563" s="134">
        <v>144</v>
      </c>
      <c r="C3563" s="491">
        <v>0</v>
      </c>
      <c r="D3563" s="491">
        <v>1</v>
      </c>
      <c r="E3563" s="491">
        <v>0</v>
      </c>
      <c r="F3563" s="491">
        <v>0</v>
      </c>
      <c r="G3563" s="491">
        <f t="shared" si="55"/>
        <v>1</v>
      </c>
    </row>
    <row r="3564" spans="1:7" ht="12.75">
      <c r="A3564" s="134" t="s">
        <v>809</v>
      </c>
      <c r="B3564" s="134">
        <v>170</v>
      </c>
      <c r="C3564" s="491">
        <v>5</v>
      </c>
      <c r="D3564" s="491">
        <v>4</v>
      </c>
      <c r="E3564" s="491">
        <v>0</v>
      </c>
      <c r="F3564" s="491">
        <v>0</v>
      </c>
      <c r="G3564" s="491">
        <f t="shared" si="55"/>
        <v>9</v>
      </c>
    </row>
    <row r="3565" spans="1:7" ht="12.75">
      <c r="A3565" s="134" t="s">
        <v>809</v>
      </c>
      <c r="B3565" s="134">
        <v>173</v>
      </c>
      <c r="C3565" s="491">
        <v>1</v>
      </c>
      <c r="D3565" s="491">
        <v>0</v>
      </c>
      <c r="E3565" s="491">
        <v>0</v>
      </c>
      <c r="F3565" s="491">
        <v>0</v>
      </c>
      <c r="G3565" s="491">
        <f t="shared" si="55"/>
        <v>1</v>
      </c>
    </row>
    <row r="3566" spans="1:7" ht="12.75">
      <c r="A3566" s="134" t="s">
        <v>809</v>
      </c>
      <c r="B3566" s="134">
        <v>190</v>
      </c>
      <c r="C3566" s="491">
        <v>6</v>
      </c>
      <c r="D3566" s="491">
        <v>1</v>
      </c>
      <c r="E3566" s="491">
        <v>0</v>
      </c>
      <c r="F3566" s="491">
        <v>0</v>
      </c>
      <c r="G3566" s="491">
        <f t="shared" si="55"/>
        <v>7</v>
      </c>
    </row>
    <row r="3567" spans="1:7" ht="12.75">
      <c r="A3567" s="134" t="s">
        <v>809</v>
      </c>
      <c r="B3567" s="134">
        <v>191</v>
      </c>
      <c r="C3567" s="491">
        <v>0</v>
      </c>
      <c r="D3567" s="491">
        <v>0</v>
      </c>
      <c r="E3567" s="491">
        <v>0</v>
      </c>
      <c r="F3567" s="491">
        <v>1</v>
      </c>
      <c r="G3567" s="491">
        <f t="shared" si="55"/>
        <v>1</v>
      </c>
    </row>
    <row r="3568" spans="1:7" ht="12.75">
      <c r="A3568" s="134" t="s">
        <v>809</v>
      </c>
      <c r="B3568" s="134">
        <v>215</v>
      </c>
      <c r="C3568" s="491">
        <v>329</v>
      </c>
      <c r="D3568" s="491">
        <v>0</v>
      </c>
      <c r="E3568" s="491">
        <v>2</v>
      </c>
      <c r="F3568" s="491">
        <v>0</v>
      </c>
      <c r="G3568" s="491">
        <f t="shared" si="55"/>
        <v>331</v>
      </c>
    </row>
    <row r="3569" spans="1:7" ht="12.75">
      <c r="A3569" s="134" t="s">
        <v>809</v>
      </c>
      <c r="B3569" s="134">
        <v>221</v>
      </c>
      <c r="C3569" s="491">
        <v>15</v>
      </c>
      <c r="D3569" s="491">
        <v>1</v>
      </c>
      <c r="E3569" s="491">
        <v>3</v>
      </c>
      <c r="F3569" s="491">
        <v>0</v>
      </c>
      <c r="G3569" s="491">
        <f t="shared" si="55"/>
        <v>19</v>
      </c>
    </row>
    <row r="3570" spans="1:7" ht="12.75">
      <c r="A3570" s="134" t="s">
        <v>809</v>
      </c>
      <c r="B3570" s="134">
        <v>251</v>
      </c>
      <c r="C3570" s="491">
        <v>1</v>
      </c>
      <c r="D3570" s="491">
        <v>0</v>
      </c>
      <c r="E3570" s="491">
        <v>4</v>
      </c>
      <c r="F3570" s="491">
        <v>3</v>
      </c>
      <c r="G3570" s="491">
        <f t="shared" si="55"/>
        <v>8</v>
      </c>
    </row>
    <row r="3571" spans="1:7" ht="12.75">
      <c r="A3571" s="134" t="s">
        <v>809</v>
      </c>
      <c r="B3571" s="134">
        <v>252</v>
      </c>
      <c r="C3571" s="491">
        <v>1</v>
      </c>
      <c r="D3571" s="491">
        <v>4</v>
      </c>
      <c r="E3571" s="491">
        <v>0</v>
      </c>
      <c r="F3571" s="491">
        <v>0</v>
      </c>
      <c r="G3571" s="491">
        <f t="shared" si="55"/>
        <v>5</v>
      </c>
    </row>
    <row r="3572" spans="1:7" ht="12.75">
      <c r="A3572" s="134" t="s">
        <v>809</v>
      </c>
      <c r="B3572" s="134">
        <v>253</v>
      </c>
      <c r="C3572" s="491">
        <v>40</v>
      </c>
      <c r="D3572" s="491">
        <v>1</v>
      </c>
      <c r="E3572" s="491">
        <v>40</v>
      </c>
      <c r="F3572" s="491">
        <v>0</v>
      </c>
      <c r="G3572" s="491">
        <f t="shared" si="55"/>
        <v>81</v>
      </c>
    </row>
    <row r="3573" spans="1:7" ht="12.75">
      <c r="A3573" s="134" t="s">
        <v>809</v>
      </c>
      <c r="B3573" s="134">
        <v>255</v>
      </c>
      <c r="C3573" s="491">
        <v>53</v>
      </c>
      <c r="D3573" s="491">
        <v>15</v>
      </c>
      <c r="E3573" s="491">
        <v>0</v>
      </c>
      <c r="F3573" s="491">
        <v>0</v>
      </c>
      <c r="G3573" s="491">
        <f t="shared" si="55"/>
        <v>68</v>
      </c>
    </row>
    <row r="3574" spans="1:7" ht="12.75">
      <c r="A3574" s="134" t="s">
        <v>809</v>
      </c>
      <c r="B3574" s="134">
        <v>258</v>
      </c>
      <c r="C3574" s="491">
        <v>368</v>
      </c>
      <c r="D3574" s="491">
        <v>102</v>
      </c>
      <c r="E3574" s="491">
        <v>191</v>
      </c>
      <c r="F3574" s="491">
        <v>35</v>
      </c>
      <c r="G3574" s="491">
        <f t="shared" si="55"/>
        <v>696</v>
      </c>
    </row>
    <row r="3575" spans="1:7" ht="12.75">
      <c r="A3575" s="134" t="s">
        <v>809</v>
      </c>
      <c r="B3575" s="134">
        <v>260</v>
      </c>
      <c r="C3575" s="491">
        <v>1</v>
      </c>
      <c r="D3575" s="491">
        <v>0</v>
      </c>
      <c r="E3575" s="491">
        <v>0</v>
      </c>
      <c r="F3575" s="491">
        <v>0</v>
      </c>
      <c r="G3575" s="491">
        <f t="shared" si="55"/>
        <v>1</v>
      </c>
    </row>
    <row r="3576" spans="1:7" ht="12.75">
      <c r="A3576" s="134" t="s">
        <v>809</v>
      </c>
      <c r="B3576" s="134">
        <v>263</v>
      </c>
      <c r="C3576" s="491">
        <v>1</v>
      </c>
      <c r="D3576" s="491">
        <v>0</v>
      </c>
      <c r="E3576" s="491">
        <v>0</v>
      </c>
      <c r="F3576" s="491">
        <v>0</v>
      </c>
      <c r="G3576" s="491">
        <f t="shared" si="55"/>
        <v>1</v>
      </c>
    </row>
    <row r="3577" spans="1:7" ht="12.75">
      <c r="A3577" s="134" t="s">
        <v>809</v>
      </c>
      <c r="B3577" s="134">
        <v>264</v>
      </c>
      <c r="C3577" s="491">
        <v>218</v>
      </c>
      <c r="D3577" s="491">
        <v>5</v>
      </c>
      <c r="E3577" s="491">
        <v>278</v>
      </c>
      <c r="F3577" s="491">
        <v>5</v>
      </c>
      <c r="G3577" s="491">
        <f t="shared" si="55"/>
        <v>506</v>
      </c>
    </row>
    <row r="3578" spans="1:7" ht="12.75">
      <c r="A3578" s="134" t="s">
        <v>809</v>
      </c>
      <c r="B3578" s="134">
        <v>290</v>
      </c>
      <c r="C3578" s="491">
        <v>158</v>
      </c>
      <c r="D3578" s="491">
        <v>20</v>
      </c>
      <c r="E3578" s="491">
        <v>0</v>
      </c>
      <c r="F3578" s="491">
        <v>0</v>
      </c>
      <c r="G3578" s="491">
        <f t="shared" si="55"/>
        <v>178</v>
      </c>
    </row>
    <row r="3579" spans="1:7" ht="12.75">
      <c r="A3579" s="134" t="s">
        <v>809</v>
      </c>
      <c r="B3579" s="134">
        <v>300</v>
      </c>
      <c r="C3579" s="491">
        <v>2881</v>
      </c>
      <c r="D3579" s="491">
        <v>564</v>
      </c>
      <c r="E3579" s="491">
        <v>9</v>
      </c>
      <c r="F3579" s="491">
        <v>12</v>
      </c>
      <c r="G3579" s="491">
        <f t="shared" si="55"/>
        <v>3466</v>
      </c>
    </row>
    <row r="3580" spans="1:7" ht="12.75">
      <c r="A3580" s="134" t="s">
        <v>809</v>
      </c>
      <c r="B3580" s="134">
        <v>301</v>
      </c>
      <c r="C3580" s="491">
        <v>6</v>
      </c>
      <c r="D3580" s="491">
        <v>1</v>
      </c>
      <c r="E3580" s="491">
        <v>0</v>
      </c>
      <c r="F3580" s="491">
        <v>0</v>
      </c>
      <c r="G3580" s="491">
        <f t="shared" si="55"/>
        <v>7</v>
      </c>
    </row>
    <row r="3581" spans="1:7" ht="12.75">
      <c r="A3581" s="134" t="s">
        <v>809</v>
      </c>
      <c r="B3581" s="134">
        <v>302</v>
      </c>
      <c r="C3581" s="491">
        <v>1</v>
      </c>
      <c r="D3581" s="491">
        <v>0</v>
      </c>
      <c r="E3581" s="491">
        <v>0</v>
      </c>
      <c r="F3581" s="491">
        <v>0</v>
      </c>
      <c r="G3581" s="491">
        <f t="shared" si="55"/>
        <v>1</v>
      </c>
    </row>
    <row r="3582" spans="1:7" ht="12.75">
      <c r="A3582" s="134" t="s">
        <v>809</v>
      </c>
      <c r="B3582" s="134">
        <v>303</v>
      </c>
      <c r="C3582" s="491">
        <v>269</v>
      </c>
      <c r="D3582" s="491">
        <v>57</v>
      </c>
      <c r="E3582" s="491">
        <v>821</v>
      </c>
      <c r="F3582" s="491">
        <v>93</v>
      </c>
      <c r="G3582" s="491">
        <f t="shared" si="55"/>
        <v>1240</v>
      </c>
    </row>
    <row r="3583" spans="1:7" ht="12.75">
      <c r="A3583" s="134" t="s">
        <v>809</v>
      </c>
      <c r="B3583" s="134">
        <v>304</v>
      </c>
      <c r="C3583" s="491">
        <v>32</v>
      </c>
      <c r="D3583" s="491">
        <v>218</v>
      </c>
      <c r="E3583" s="491">
        <v>0</v>
      </c>
      <c r="F3583" s="491">
        <v>0</v>
      </c>
      <c r="G3583" s="491">
        <f t="shared" si="55"/>
        <v>250</v>
      </c>
    </row>
    <row r="3584" spans="1:7" ht="12.75">
      <c r="A3584" s="134" t="s">
        <v>809</v>
      </c>
      <c r="B3584" s="134">
        <v>306</v>
      </c>
      <c r="C3584" s="491">
        <v>10</v>
      </c>
      <c r="D3584" s="491">
        <v>1</v>
      </c>
      <c r="E3584" s="491">
        <v>1</v>
      </c>
      <c r="F3584" s="491">
        <v>0</v>
      </c>
      <c r="G3584" s="491">
        <f t="shared" si="55"/>
        <v>12</v>
      </c>
    </row>
    <row r="3585" spans="1:7" ht="12.75">
      <c r="A3585" s="134" t="s">
        <v>809</v>
      </c>
      <c r="B3585" s="134">
        <v>307</v>
      </c>
      <c r="C3585" s="491">
        <v>7</v>
      </c>
      <c r="D3585" s="491">
        <v>2</v>
      </c>
      <c r="E3585" s="491">
        <v>0</v>
      </c>
      <c r="F3585" s="491">
        <v>0</v>
      </c>
      <c r="G3585" s="491">
        <f t="shared" si="55"/>
        <v>9</v>
      </c>
    </row>
    <row r="3586" spans="1:7" ht="12.75">
      <c r="A3586" s="134" t="s">
        <v>809</v>
      </c>
      <c r="B3586" s="134">
        <v>315</v>
      </c>
      <c r="C3586" s="491">
        <v>2</v>
      </c>
      <c r="D3586" s="491">
        <v>0</v>
      </c>
      <c r="E3586" s="491">
        <v>0</v>
      </c>
      <c r="F3586" s="491">
        <v>0</v>
      </c>
      <c r="G3586" s="491">
        <f t="shared" si="55"/>
        <v>2</v>
      </c>
    </row>
    <row r="3587" spans="1:7" ht="12.75">
      <c r="A3587" s="134" t="s">
        <v>809</v>
      </c>
      <c r="B3587" s="134">
        <v>317</v>
      </c>
      <c r="C3587" s="491">
        <v>1</v>
      </c>
      <c r="D3587" s="491">
        <v>0</v>
      </c>
      <c r="E3587" s="491">
        <v>0</v>
      </c>
      <c r="F3587" s="491">
        <v>0</v>
      </c>
      <c r="G3587" s="491">
        <f t="shared" si="55"/>
        <v>1</v>
      </c>
    </row>
    <row r="3588" spans="1:7" ht="12.75">
      <c r="A3588" s="134" t="s">
        <v>809</v>
      </c>
      <c r="B3588" s="134">
        <v>320</v>
      </c>
      <c r="C3588" s="491">
        <v>298</v>
      </c>
      <c r="D3588" s="491">
        <v>312</v>
      </c>
      <c r="E3588" s="491">
        <v>1</v>
      </c>
      <c r="F3588" s="491">
        <v>0</v>
      </c>
      <c r="G3588" s="491">
        <f t="shared" ref="G3588:G3651" si="56">SUM(C3588:F3588)</f>
        <v>611</v>
      </c>
    </row>
    <row r="3589" spans="1:7" ht="12.75">
      <c r="A3589" s="134" t="s">
        <v>809</v>
      </c>
      <c r="B3589" s="134">
        <v>321</v>
      </c>
      <c r="C3589" s="491">
        <v>1046</v>
      </c>
      <c r="D3589" s="491">
        <v>78</v>
      </c>
      <c r="E3589" s="491">
        <v>73</v>
      </c>
      <c r="F3589" s="491">
        <v>5</v>
      </c>
      <c r="G3589" s="491">
        <f t="shared" si="56"/>
        <v>1202</v>
      </c>
    </row>
    <row r="3590" spans="1:7" ht="12.75">
      <c r="A3590" s="134" t="s">
        <v>809</v>
      </c>
      <c r="B3590" s="134">
        <v>324</v>
      </c>
      <c r="C3590" s="491">
        <v>0</v>
      </c>
      <c r="D3590" s="491">
        <v>0</v>
      </c>
      <c r="E3590" s="491">
        <v>5</v>
      </c>
      <c r="F3590" s="491">
        <v>0</v>
      </c>
      <c r="G3590" s="491">
        <f t="shared" si="56"/>
        <v>5</v>
      </c>
    </row>
    <row r="3591" spans="1:7" ht="12.75">
      <c r="A3591" s="134" t="s">
        <v>809</v>
      </c>
      <c r="B3591" s="134">
        <v>328</v>
      </c>
      <c r="C3591" s="491">
        <v>24</v>
      </c>
      <c r="D3591" s="491">
        <v>1</v>
      </c>
      <c r="E3591" s="491">
        <v>0</v>
      </c>
      <c r="F3591" s="491">
        <v>0</v>
      </c>
      <c r="G3591" s="491">
        <f t="shared" si="56"/>
        <v>25</v>
      </c>
    </row>
    <row r="3592" spans="1:7" ht="12.75">
      <c r="A3592" s="134" t="s">
        <v>809</v>
      </c>
      <c r="B3592" s="134">
        <v>329</v>
      </c>
      <c r="C3592" s="491">
        <v>0</v>
      </c>
      <c r="D3592" s="491">
        <v>4</v>
      </c>
      <c r="E3592" s="491">
        <v>0</v>
      </c>
      <c r="F3592" s="491">
        <v>0</v>
      </c>
      <c r="G3592" s="491">
        <f t="shared" si="56"/>
        <v>4</v>
      </c>
    </row>
    <row r="3593" spans="1:7" ht="12.75">
      <c r="A3593" s="134" t="s">
        <v>809</v>
      </c>
      <c r="B3593" s="134">
        <v>330</v>
      </c>
      <c r="C3593" s="491">
        <v>4</v>
      </c>
      <c r="D3593" s="491">
        <v>0</v>
      </c>
      <c r="E3593" s="491">
        <v>0</v>
      </c>
      <c r="F3593" s="491">
        <v>0</v>
      </c>
      <c r="G3593" s="491">
        <f t="shared" si="56"/>
        <v>4</v>
      </c>
    </row>
    <row r="3594" spans="1:7" ht="12.75">
      <c r="A3594" s="134" t="s">
        <v>809</v>
      </c>
      <c r="B3594" s="134">
        <v>340</v>
      </c>
      <c r="C3594" s="491">
        <v>19906</v>
      </c>
      <c r="D3594" s="491">
        <v>12437</v>
      </c>
      <c r="E3594" s="491">
        <v>2219</v>
      </c>
      <c r="F3594" s="491">
        <v>683</v>
      </c>
      <c r="G3594" s="491">
        <f t="shared" si="56"/>
        <v>35245</v>
      </c>
    </row>
    <row r="3595" spans="1:7" ht="12.75">
      <c r="A3595" s="134" t="s">
        <v>809</v>
      </c>
      <c r="B3595" s="134">
        <v>341</v>
      </c>
      <c r="C3595" s="491">
        <v>223</v>
      </c>
      <c r="D3595" s="491">
        <v>319</v>
      </c>
      <c r="E3595" s="491">
        <v>22</v>
      </c>
      <c r="F3595" s="491">
        <v>11</v>
      </c>
      <c r="G3595" s="491">
        <f t="shared" si="56"/>
        <v>575</v>
      </c>
    </row>
    <row r="3596" spans="1:7" ht="12.75">
      <c r="A3596" s="134" t="s">
        <v>809</v>
      </c>
      <c r="B3596" s="134">
        <v>342</v>
      </c>
      <c r="C3596" s="491">
        <v>5</v>
      </c>
      <c r="D3596" s="491">
        <v>4</v>
      </c>
      <c r="E3596" s="491">
        <v>0</v>
      </c>
      <c r="F3596" s="491">
        <v>0</v>
      </c>
      <c r="G3596" s="491">
        <f t="shared" si="56"/>
        <v>9</v>
      </c>
    </row>
    <row r="3597" spans="1:7" ht="12.75">
      <c r="A3597" s="134" t="s">
        <v>809</v>
      </c>
      <c r="B3597" s="134">
        <v>343</v>
      </c>
      <c r="C3597" s="491">
        <v>9</v>
      </c>
      <c r="D3597" s="491">
        <v>0</v>
      </c>
      <c r="E3597" s="491">
        <v>27</v>
      </c>
      <c r="F3597" s="491">
        <v>2</v>
      </c>
      <c r="G3597" s="491">
        <f t="shared" si="56"/>
        <v>38</v>
      </c>
    </row>
    <row r="3598" spans="1:7" ht="12.75">
      <c r="A3598" s="134" t="s">
        <v>809</v>
      </c>
      <c r="B3598" s="134">
        <v>361</v>
      </c>
      <c r="C3598" s="491">
        <v>1</v>
      </c>
      <c r="D3598" s="491">
        <v>0</v>
      </c>
      <c r="E3598" s="491">
        <v>0</v>
      </c>
      <c r="F3598" s="491">
        <v>0</v>
      </c>
      <c r="G3598" s="491">
        <f t="shared" si="56"/>
        <v>1</v>
      </c>
    </row>
    <row r="3599" spans="1:7" ht="12.75">
      <c r="A3599" s="134" t="s">
        <v>809</v>
      </c>
      <c r="B3599" s="134">
        <v>370</v>
      </c>
      <c r="C3599" s="491">
        <v>25</v>
      </c>
      <c r="D3599" s="491">
        <v>0</v>
      </c>
      <c r="E3599" s="491">
        <v>3</v>
      </c>
      <c r="F3599" s="491">
        <v>2</v>
      </c>
      <c r="G3599" s="491">
        <f t="shared" si="56"/>
        <v>30</v>
      </c>
    </row>
    <row r="3600" spans="1:7" ht="12.75">
      <c r="A3600" s="134" t="s">
        <v>809</v>
      </c>
      <c r="B3600" s="134">
        <v>371</v>
      </c>
      <c r="C3600" s="491">
        <v>0</v>
      </c>
      <c r="D3600" s="491">
        <v>1</v>
      </c>
      <c r="E3600" s="491">
        <v>0</v>
      </c>
      <c r="F3600" s="491">
        <v>0</v>
      </c>
      <c r="G3600" s="491">
        <f t="shared" si="56"/>
        <v>1</v>
      </c>
    </row>
    <row r="3601" spans="1:7" ht="12.75">
      <c r="A3601" s="134" t="s">
        <v>809</v>
      </c>
      <c r="B3601" s="134">
        <v>400</v>
      </c>
      <c r="C3601" s="491">
        <v>3</v>
      </c>
      <c r="D3601" s="491">
        <v>1</v>
      </c>
      <c r="E3601" s="491">
        <v>7</v>
      </c>
      <c r="F3601" s="491">
        <v>0</v>
      </c>
      <c r="G3601" s="491">
        <f t="shared" si="56"/>
        <v>11</v>
      </c>
    </row>
    <row r="3602" spans="1:7" ht="12.75">
      <c r="A3602" s="134" t="s">
        <v>809</v>
      </c>
      <c r="B3602" s="134">
        <v>410</v>
      </c>
      <c r="C3602" s="491">
        <v>6</v>
      </c>
      <c r="D3602" s="491">
        <v>2</v>
      </c>
      <c r="E3602" s="491">
        <v>0</v>
      </c>
      <c r="F3602" s="491">
        <v>0</v>
      </c>
      <c r="G3602" s="491">
        <f t="shared" si="56"/>
        <v>8</v>
      </c>
    </row>
    <row r="3603" spans="1:7" ht="12.75">
      <c r="A3603" s="134" t="s">
        <v>809</v>
      </c>
      <c r="B3603" s="134">
        <v>420</v>
      </c>
      <c r="C3603" s="491">
        <v>360</v>
      </c>
      <c r="D3603" s="491">
        <v>138</v>
      </c>
      <c r="E3603" s="491">
        <v>31</v>
      </c>
      <c r="F3603" s="491">
        <v>3</v>
      </c>
      <c r="G3603" s="491">
        <f t="shared" si="56"/>
        <v>532</v>
      </c>
    </row>
    <row r="3604" spans="1:7" ht="12.75">
      <c r="A3604" s="134" t="s">
        <v>809</v>
      </c>
      <c r="B3604" s="134">
        <v>422</v>
      </c>
      <c r="C3604" s="491">
        <v>97</v>
      </c>
      <c r="D3604" s="491">
        <v>2</v>
      </c>
      <c r="E3604" s="491">
        <v>0</v>
      </c>
      <c r="F3604" s="491">
        <v>0</v>
      </c>
      <c r="G3604" s="491">
        <f t="shared" si="56"/>
        <v>99</v>
      </c>
    </row>
    <row r="3605" spans="1:7" ht="12.75">
      <c r="A3605" s="134" t="s">
        <v>809</v>
      </c>
      <c r="B3605" s="134">
        <v>430</v>
      </c>
      <c r="C3605" s="491">
        <v>45</v>
      </c>
      <c r="D3605" s="491">
        <v>15</v>
      </c>
      <c r="E3605" s="491">
        <v>0</v>
      </c>
      <c r="F3605" s="491">
        <v>0</v>
      </c>
      <c r="G3605" s="491">
        <f t="shared" si="56"/>
        <v>60</v>
      </c>
    </row>
    <row r="3606" spans="1:7" ht="12.75">
      <c r="A3606" s="134" t="s">
        <v>809</v>
      </c>
      <c r="B3606" s="134">
        <v>502</v>
      </c>
      <c r="C3606" s="491">
        <v>2</v>
      </c>
      <c r="D3606" s="491">
        <v>0</v>
      </c>
      <c r="E3606" s="491">
        <v>1</v>
      </c>
      <c r="F3606" s="491">
        <v>0</v>
      </c>
      <c r="G3606" s="491">
        <f t="shared" si="56"/>
        <v>3</v>
      </c>
    </row>
    <row r="3607" spans="1:7" ht="12.75">
      <c r="A3607" s="134" t="s">
        <v>809</v>
      </c>
      <c r="B3607" s="134">
        <v>560</v>
      </c>
      <c r="C3607" s="491">
        <v>8</v>
      </c>
      <c r="D3607" s="491">
        <v>1</v>
      </c>
      <c r="E3607" s="491">
        <v>0</v>
      </c>
      <c r="F3607" s="491">
        <v>0</v>
      </c>
      <c r="G3607" s="491">
        <f t="shared" si="56"/>
        <v>9</v>
      </c>
    </row>
    <row r="3608" spans="1:7" ht="12.75">
      <c r="A3608" s="134" t="s">
        <v>809</v>
      </c>
      <c r="B3608" s="134">
        <v>650</v>
      </c>
      <c r="C3608" s="491">
        <v>3</v>
      </c>
      <c r="D3608" s="491">
        <v>1</v>
      </c>
      <c r="E3608" s="491">
        <v>0</v>
      </c>
      <c r="F3608" s="491">
        <v>0</v>
      </c>
      <c r="G3608" s="491">
        <f t="shared" si="56"/>
        <v>4</v>
      </c>
    </row>
    <row r="3609" spans="1:7" ht="12.75">
      <c r="A3609" s="134" t="s">
        <v>809</v>
      </c>
      <c r="B3609" s="134">
        <v>652</v>
      </c>
      <c r="C3609" s="491">
        <v>1</v>
      </c>
      <c r="D3609" s="491">
        <v>0</v>
      </c>
      <c r="E3609" s="491">
        <v>0</v>
      </c>
      <c r="F3609" s="491">
        <v>0</v>
      </c>
      <c r="G3609" s="491">
        <f t="shared" si="56"/>
        <v>1</v>
      </c>
    </row>
    <row r="3610" spans="1:7" ht="12.75">
      <c r="A3610" s="134" t="s">
        <v>809</v>
      </c>
      <c r="B3610" s="134">
        <v>653</v>
      </c>
      <c r="C3610" s="491">
        <v>0</v>
      </c>
      <c r="D3610" s="491">
        <v>0</v>
      </c>
      <c r="E3610" s="491">
        <v>1</v>
      </c>
      <c r="F3610" s="491">
        <v>0</v>
      </c>
      <c r="G3610" s="491">
        <f t="shared" si="56"/>
        <v>1</v>
      </c>
    </row>
    <row r="3611" spans="1:7" ht="12.75">
      <c r="A3611" s="134" t="s">
        <v>809</v>
      </c>
      <c r="B3611" s="134">
        <v>655</v>
      </c>
      <c r="C3611" s="491">
        <v>1</v>
      </c>
      <c r="D3611" s="491">
        <v>0</v>
      </c>
      <c r="E3611" s="491">
        <v>0</v>
      </c>
      <c r="F3611" s="491">
        <v>0</v>
      </c>
      <c r="G3611" s="491">
        <f t="shared" si="56"/>
        <v>1</v>
      </c>
    </row>
    <row r="3612" spans="1:7" ht="12.75">
      <c r="A3612" s="134" t="s">
        <v>809</v>
      </c>
      <c r="B3612" s="134">
        <v>800</v>
      </c>
      <c r="C3612" s="491">
        <v>6</v>
      </c>
      <c r="D3612" s="491">
        <v>0</v>
      </c>
      <c r="E3612" s="491">
        <v>3</v>
      </c>
      <c r="F3612" s="491">
        <v>2</v>
      </c>
      <c r="G3612" s="491">
        <f t="shared" si="56"/>
        <v>11</v>
      </c>
    </row>
    <row r="3613" spans="1:7" ht="12.75">
      <c r="A3613" s="134" t="s">
        <v>810</v>
      </c>
      <c r="B3613" s="134">
        <v>101</v>
      </c>
      <c r="C3613" s="491">
        <v>1</v>
      </c>
      <c r="D3613" s="491">
        <v>0</v>
      </c>
      <c r="E3613" s="491">
        <v>0</v>
      </c>
      <c r="F3613" s="491">
        <v>0</v>
      </c>
      <c r="G3613" s="491">
        <f t="shared" si="56"/>
        <v>1</v>
      </c>
    </row>
    <row r="3614" spans="1:7" ht="12.75">
      <c r="A3614" s="134" t="s">
        <v>810</v>
      </c>
      <c r="B3614" s="134">
        <v>140</v>
      </c>
      <c r="C3614" s="491">
        <v>2</v>
      </c>
      <c r="D3614" s="491">
        <v>10</v>
      </c>
      <c r="E3614" s="491">
        <v>0</v>
      </c>
      <c r="F3614" s="491">
        <v>0</v>
      </c>
      <c r="G3614" s="491">
        <f t="shared" si="56"/>
        <v>12</v>
      </c>
    </row>
    <row r="3615" spans="1:7" ht="12.75">
      <c r="A3615" s="134" t="s">
        <v>810</v>
      </c>
      <c r="B3615" s="134">
        <v>143</v>
      </c>
      <c r="C3615" s="491">
        <v>0</v>
      </c>
      <c r="D3615" s="491">
        <v>1</v>
      </c>
      <c r="E3615" s="491">
        <v>0</v>
      </c>
      <c r="F3615" s="491">
        <v>0</v>
      </c>
      <c r="G3615" s="491">
        <f t="shared" si="56"/>
        <v>1</v>
      </c>
    </row>
    <row r="3616" spans="1:7" ht="12.75">
      <c r="A3616" s="134" t="s">
        <v>810</v>
      </c>
      <c r="B3616" s="134">
        <v>258</v>
      </c>
      <c r="C3616" s="491">
        <v>2</v>
      </c>
      <c r="D3616" s="491">
        <v>0</v>
      </c>
      <c r="E3616" s="491">
        <v>0</v>
      </c>
      <c r="F3616" s="491">
        <v>1</v>
      </c>
      <c r="G3616" s="491">
        <f t="shared" si="56"/>
        <v>3</v>
      </c>
    </row>
    <row r="3617" spans="1:7" ht="12.75">
      <c r="A3617" s="134" t="s">
        <v>810</v>
      </c>
      <c r="B3617" s="134">
        <v>264</v>
      </c>
      <c r="C3617" s="491">
        <v>1</v>
      </c>
      <c r="D3617" s="491">
        <v>0</v>
      </c>
      <c r="E3617" s="491">
        <v>7</v>
      </c>
      <c r="F3617" s="491">
        <v>0</v>
      </c>
      <c r="G3617" s="491">
        <f t="shared" si="56"/>
        <v>8</v>
      </c>
    </row>
    <row r="3618" spans="1:7" ht="12.75">
      <c r="A3618" s="134" t="s">
        <v>810</v>
      </c>
      <c r="B3618" s="134">
        <v>300</v>
      </c>
      <c r="C3618" s="491">
        <v>0</v>
      </c>
      <c r="D3618" s="491">
        <v>5</v>
      </c>
      <c r="E3618" s="491">
        <v>0</v>
      </c>
      <c r="F3618" s="491">
        <v>0</v>
      </c>
      <c r="G3618" s="491">
        <f t="shared" si="56"/>
        <v>5</v>
      </c>
    </row>
    <row r="3619" spans="1:7" ht="12.75">
      <c r="A3619" s="134" t="s">
        <v>810</v>
      </c>
      <c r="B3619" s="134">
        <v>320</v>
      </c>
      <c r="C3619" s="491">
        <v>0</v>
      </c>
      <c r="D3619" s="491">
        <v>4</v>
      </c>
      <c r="E3619" s="491">
        <v>0</v>
      </c>
      <c r="F3619" s="491">
        <v>0</v>
      </c>
      <c r="G3619" s="491">
        <f t="shared" si="56"/>
        <v>4</v>
      </c>
    </row>
    <row r="3620" spans="1:7" ht="12.75">
      <c r="A3620" s="134" t="s">
        <v>810</v>
      </c>
      <c r="B3620" s="134">
        <v>340</v>
      </c>
      <c r="C3620" s="491">
        <v>86</v>
      </c>
      <c r="D3620" s="491">
        <v>53</v>
      </c>
      <c r="E3620" s="491">
        <v>7</v>
      </c>
      <c r="F3620" s="491">
        <v>4</v>
      </c>
      <c r="G3620" s="491">
        <f t="shared" si="56"/>
        <v>150</v>
      </c>
    </row>
    <row r="3621" spans="1:7" ht="12.75">
      <c r="A3621" s="134" t="s">
        <v>810</v>
      </c>
      <c r="B3621" s="134">
        <v>341</v>
      </c>
      <c r="C3621" s="491">
        <v>1</v>
      </c>
      <c r="D3621" s="491">
        <v>0</v>
      </c>
      <c r="E3621" s="491">
        <v>0</v>
      </c>
      <c r="F3621" s="491">
        <v>0</v>
      </c>
      <c r="G3621" s="491">
        <f t="shared" si="56"/>
        <v>1</v>
      </c>
    </row>
    <row r="3622" spans="1:7" ht="12.75">
      <c r="A3622" s="134" t="s">
        <v>810</v>
      </c>
      <c r="B3622" s="134">
        <v>342</v>
      </c>
      <c r="C3622" s="491">
        <v>1</v>
      </c>
      <c r="D3622" s="491">
        <v>0</v>
      </c>
      <c r="E3622" s="491">
        <v>0</v>
      </c>
      <c r="F3622" s="491">
        <v>0</v>
      </c>
      <c r="G3622" s="491">
        <f t="shared" si="56"/>
        <v>1</v>
      </c>
    </row>
    <row r="3623" spans="1:7" ht="12.75">
      <c r="A3623" s="134" t="s">
        <v>810</v>
      </c>
      <c r="B3623" s="134">
        <v>420</v>
      </c>
      <c r="C3623" s="491">
        <v>1</v>
      </c>
      <c r="D3623" s="491">
        <v>1</v>
      </c>
      <c r="E3623" s="491">
        <v>0</v>
      </c>
      <c r="F3623" s="491">
        <v>0</v>
      </c>
      <c r="G3623" s="491">
        <f t="shared" si="56"/>
        <v>2</v>
      </c>
    </row>
    <row r="3624" spans="1:7" ht="12.75">
      <c r="A3624" s="134" t="s">
        <v>810</v>
      </c>
      <c r="B3624" s="134">
        <v>450</v>
      </c>
      <c r="C3624" s="491">
        <v>74</v>
      </c>
      <c r="D3624" s="491">
        <v>86</v>
      </c>
      <c r="E3624" s="491">
        <v>0</v>
      </c>
      <c r="F3624" s="491">
        <v>0</v>
      </c>
      <c r="G3624" s="491">
        <f t="shared" si="56"/>
        <v>160</v>
      </c>
    </row>
    <row r="3625" spans="1:7" ht="12.75">
      <c r="A3625" s="134" t="s">
        <v>810</v>
      </c>
      <c r="B3625" s="134">
        <v>501</v>
      </c>
      <c r="C3625" s="491">
        <v>13</v>
      </c>
      <c r="D3625" s="491">
        <v>101</v>
      </c>
      <c r="E3625" s="491">
        <v>3</v>
      </c>
      <c r="F3625" s="491">
        <v>1</v>
      </c>
      <c r="G3625" s="491">
        <f t="shared" si="56"/>
        <v>118</v>
      </c>
    </row>
    <row r="3626" spans="1:7" ht="12.75">
      <c r="A3626" s="134" t="s">
        <v>810</v>
      </c>
      <c r="B3626" s="134">
        <v>560</v>
      </c>
      <c r="C3626" s="491">
        <v>1769</v>
      </c>
      <c r="D3626" s="491">
        <v>19</v>
      </c>
      <c r="E3626" s="491">
        <v>4</v>
      </c>
      <c r="F3626" s="491">
        <v>0</v>
      </c>
      <c r="G3626" s="491">
        <f t="shared" si="56"/>
        <v>1792</v>
      </c>
    </row>
    <row r="3627" spans="1:7" ht="12.75">
      <c r="A3627" s="134" t="s">
        <v>811</v>
      </c>
      <c r="B3627" s="134">
        <v>100</v>
      </c>
      <c r="C3627" s="491">
        <v>583</v>
      </c>
      <c r="D3627" s="491">
        <v>12</v>
      </c>
      <c r="E3627" s="491">
        <v>89</v>
      </c>
      <c r="F3627" s="491">
        <v>0</v>
      </c>
      <c r="G3627" s="491">
        <f t="shared" si="56"/>
        <v>684</v>
      </c>
    </row>
    <row r="3628" spans="1:7" ht="12.75">
      <c r="A3628" s="134" t="s">
        <v>811</v>
      </c>
      <c r="B3628" s="134">
        <v>101</v>
      </c>
      <c r="C3628" s="491">
        <v>391</v>
      </c>
      <c r="D3628" s="491">
        <v>12</v>
      </c>
      <c r="E3628" s="491">
        <v>0</v>
      </c>
      <c r="F3628" s="491">
        <v>0</v>
      </c>
      <c r="G3628" s="491">
        <f t="shared" si="56"/>
        <v>403</v>
      </c>
    </row>
    <row r="3629" spans="1:7" ht="12.75">
      <c r="A3629" s="134" t="s">
        <v>811</v>
      </c>
      <c r="B3629" s="134">
        <v>102</v>
      </c>
      <c r="C3629" s="491">
        <v>1</v>
      </c>
      <c r="D3629" s="491">
        <v>1</v>
      </c>
      <c r="E3629" s="491">
        <v>0</v>
      </c>
      <c r="F3629" s="491">
        <v>0</v>
      </c>
      <c r="G3629" s="491">
        <f t="shared" si="56"/>
        <v>2</v>
      </c>
    </row>
    <row r="3630" spans="1:7" ht="12.75">
      <c r="A3630" s="134" t="s">
        <v>811</v>
      </c>
      <c r="B3630" s="134">
        <v>103</v>
      </c>
      <c r="C3630" s="491">
        <v>162</v>
      </c>
      <c r="D3630" s="491">
        <v>6</v>
      </c>
      <c r="E3630" s="491">
        <v>84</v>
      </c>
      <c r="F3630" s="491">
        <v>1</v>
      </c>
      <c r="G3630" s="491">
        <f t="shared" si="56"/>
        <v>253</v>
      </c>
    </row>
    <row r="3631" spans="1:7" ht="12.75">
      <c r="A3631" s="134" t="s">
        <v>811</v>
      </c>
      <c r="B3631" s="134">
        <v>104</v>
      </c>
      <c r="C3631" s="491">
        <v>175</v>
      </c>
      <c r="D3631" s="491">
        <v>18</v>
      </c>
      <c r="E3631" s="491">
        <v>0</v>
      </c>
      <c r="F3631" s="491">
        <v>0</v>
      </c>
      <c r="G3631" s="491">
        <f t="shared" si="56"/>
        <v>193</v>
      </c>
    </row>
    <row r="3632" spans="1:7" ht="12.75">
      <c r="A3632" s="134" t="s">
        <v>811</v>
      </c>
      <c r="B3632" s="134">
        <v>106</v>
      </c>
      <c r="C3632" s="491">
        <v>59</v>
      </c>
      <c r="D3632" s="491">
        <v>4</v>
      </c>
      <c r="E3632" s="491">
        <v>0</v>
      </c>
      <c r="F3632" s="491">
        <v>0</v>
      </c>
      <c r="G3632" s="491">
        <f t="shared" si="56"/>
        <v>63</v>
      </c>
    </row>
    <row r="3633" spans="1:7" ht="12.75">
      <c r="A3633" s="134" t="s">
        <v>811</v>
      </c>
      <c r="B3633" s="134">
        <v>107</v>
      </c>
      <c r="C3633" s="491">
        <v>13</v>
      </c>
      <c r="D3633" s="491">
        <v>8</v>
      </c>
      <c r="E3633" s="491">
        <v>0</v>
      </c>
      <c r="F3633" s="491">
        <v>0</v>
      </c>
      <c r="G3633" s="491">
        <f t="shared" si="56"/>
        <v>21</v>
      </c>
    </row>
    <row r="3634" spans="1:7" ht="12.75">
      <c r="A3634" s="134" t="s">
        <v>811</v>
      </c>
      <c r="B3634" s="134">
        <v>108</v>
      </c>
      <c r="C3634" s="491">
        <v>16</v>
      </c>
      <c r="D3634" s="491">
        <v>0</v>
      </c>
      <c r="E3634" s="491">
        <v>0</v>
      </c>
      <c r="F3634" s="491">
        <v>0</v>
      </c>
      <c r="G3634" s="491">
        <f t="shared" si="56"/>
        <v>16</v>
      </c>
    </row>
    <row r="3635" spans="1:7" ht="12.75">
      <c r="A3635" s="134" t="s">
        <v>811</v>
      </c>
      <c r="B3635" s="134">
        <v>110</v>
      </c>
      <c r="C3635" s="491">
        <v>1011</v>
      </c>
      <c r="D3635" s="491">
        <v>21</v>
      </c>
      <c r="E3635" s="491">
        <v>4</v>
      </c>
      <c r="F3635" s="491">
        <v>1</v>
      </c>
      <c r="G3635" s="491">
        <f t="shared" si="56"/>
        <v>1037</v>
      </c>
    </row>
    <row r="3636" spans="1:7" ht="12.75">
      <c r="A3636" s="134" t="s">
        <v>811</v>
      </c>
      <c r="B3636" s="134">
        <v>120</v>
      </c>
      <c r="C3636" s="491">
        <v>194</v>
      </c>
      <c r="D3636" s="491">
        <v>24</v>
      </c>
      <c r="E3636" s="491">
        <v>0</v>
      </c>
      <c r="F3636" s="491">
        <v>2</v>
      </c>
      <c r="G3636" s="491">
        <f t="shared" si="56"/>
        <v>220</v>
      </c>
    </row>
    <row r="3637" spans="1:7" ht="12.75">
      <c r="A3637" s="134" t="s">
        <v>811</v>
      </c>
      <c r="B3637" s="134">
        <v>130</v>
      </c>
      <c r="C3637" s="491">
        <v>12</v>
      </c>
      <c r="D3637" s="491">
        <v>1</v>
      </c>
      <c r="E3637" s="491">
        <v>0</v>
      </c>
      <c r="F3637" s="491">
        <v>1</v>
      </c>
      <c r="G3637" s="491">
        <f t="shared" si="56"/>
        <v>14</v>
      </c>
    </row>
    <row r="3638" spans="1:7" ht="12.75">
      <c r="A3638" s="134" t="s">
        <v>811</v>
      </c>
      <c r="B3638" s="134">
        <v>140</v>
      </c>
      <c r="C3638" s="491">
        <v>42</v>
      </c>
      <c r="D3638" s="491">
        <v>5</v>
      </c>
      <c r="E3638" s="491">
        <v>0</v>
      </c>
      <c r="F3638" s="491">
        <v>0</v>
      </c>
      <c r="G3638" s="491">
        <f t="shared" si="56"/>
        <v>47</v>
      </c>
    </row>
    <row r="3639" spans="1:7" ht="12.75">
      <c r="A3639" s="134" t="s">
        <v>811</v>
      </c>
      <c r="B3639" s="134">
        <v>141</v>
      </c>
      <c r="C3639" s="491">
        <v>1</v>
      </c>
      <c r="D3639" s="491">
        <v>1</v>
      </c>
      <c r="E3639" s="491">
        <v>0</v>
      </c>
      <c r="F3639" s="491">
        <v>0</v>
      </c>
      <c r="G3639" s="491">
        <f t="shared" si="56"/>
        <v>2</v>
      </c>
    </row>
    <row r="3640" spans="1:7" ht="12.75">
      <c r="A3640" s="134" t="s">
        <v>811</v>
      </c>
      <c r="B3640" s="134">
        <v>143</v>
      </c>
      <c r="C3640" s="491">
        <v>0</v>
      </c>
      <c r="D3640" s="491">
        <v>4</v>
      </c>
      <c r="E3640" s="491">
        <v>0</v>
      </c>
      <c r="F3640" s="491">
        <v>0</v>
      </c>
      <c r="G3640" s="491">
        <f t="shared" si="56"/>
        <v>4</v>
      </c>
    </row>
    <row r="3641" spans="1:7" ht="12.75">
      <c r="A3641" s="134" t="s">
        <v>811</v>
      </c>
      <c r="B3641" s="134">
        <v>144</v>
      </c>
      <c r="C3641" s="491">
        <v>0</v>
      </c>
      <c r="D3641" s="491">
        <v>6</v>
      </c>
      <c r="E3641" s="491">
        <v>0</v>
      </c>
      <c r="F3641" s="491">
        <v>0</v>
      </c>
      <c r="G3641" s="491">
        <f t="shared" si="56"/>
        <v>6</v>
      </c>
    </row>
    <row r="3642" spans="1:7" ht="12.75">
      <c r="A3642" s="134" t="s">
        <v>811</v>
      </c>
      <c r="B3642" s="134">
        <v>150</v>
      </c>
      <c r="C3642" s="491">
        <v>643</v>
      </c>
      <c r="D3642" s="491">
        <v>6</v>
      </c>
      <c r="E3642" s="491">
        <v>0</v>
      </c>
      <c r="F3642" s="491">
        <v>0</v>
      </c>
      <c r="G3642" s="491">
        <f t="shared" si="56"/>
        <v>649</v>
      </c>
    </row>
    <row r="3643" spans="1:7" ht="12.75">
      <c r="A3643" s="134" t="s">
        <v>811</v>
      </c>
      <c r="B3643" s="134">
        <v>160</v>
      </c>
      <c r="C3643" s="491">
        <v>0</v>
      </c>
      <c r="D3643" s="491">
        <v>4</v>
      </c>
      <c r="E3643" s="491">
        <v>0</v>
      </c>
      <c r="F3643" s="491">
        <v>0</v>
      </c>
      <c r="G3643" s="491">
        <f t="shared" si="56"/>
        <v>4</v>
      </c>
    </row>
    <row r="3644" spans="1:7" ht="12.75">
      <c r="A3644" s="134" t="s">
        <v>811</v>
      </c>
      <c r="B3644" s="134">
        <v>170</v>
      </c>
      <c r="C3644" s="491">
        <v>5</v>
      </c>
      <c r="D3644" s="491">
        <v>2</v>
      </c>
      <c r="E3644" s="491">
        <v>0</v>
      </c>
      <c r="F3644" s="491">
        <v>0</v>
      </c>
      <c r="G3644" s="491">
        <f t="shared" si="56"/>
        <v>7</v>
      </c>
    </row>
    <row r="3645" spans="1:7" ht="12.75">
      <c r="A3645" s="134" t="s">
        <v>811</v>
      </c>
      <c r="B3645" s="134">
        <v>172</v>
      </c>
      <c r="C3645" s="491">
        <v>0</v>
      </c>
      <c r="D3645" s="491">
        <v>1</v>
      </c>
      <c r="E3645" s="491">
        <v>0</v>
      </c>
      <c r="F3645" s="491">
        <v>0</v>
      </c>
      <c r="G3645" s="491">
        <f t="shared" si="56"/>
        <v>1</v>
      </c>
    </row>
    <row r="3646" spans="1:7" ht="12.75">
      <c r="A3646" s="134" t="s">
        <v>811</v>
      </c>
      <c r="B3646" s="134">
        <v>173</v>
      </c>
      <c r="C3646" s="491">
        <v>1</v>
      </c>
      <c r="D3646" s="491">
        <v>4</v>
      </c>
      <c r="E3646" s="491">
        <v>0</v>
      </c>
      <c r="F3646" s="491">
        <v>2</v>
      </c>
      <c r="G3646" s="491">
        <f t="shared" si="56"/>
        <v>7</v>
      </c>
    </row>
    <row r="3647" spans="1:7" ht="12.75">
      <c r="A3647" s="134" t="s">
        <v>811</v>
      </c>
      <c r="B3647" s="134">
        <v>174</v>
      </c>
      <c r="C3647" s="491">
        <v>753</v>
      </c>
      <c r="D3647" s="491">
        <v>1</v>
      </c>
      <c r="E3647" s="491">
        <v>0</v>
      </c>
      <c r="F3647" s="491">
        <v>0</v>
      </c>
      <c r="G3647" s="491">
        <f t="shared" si="56"/>
        <v>754</v>
      </c>
    </row>
    <row r="3648" spans="1:7" ht="12.75">
      <c r="A3648" s="134" t="s">
        <v>811</v>
      </c>
      <c r="B3648" s="134">
        <v>190</v>
      </c>
      <c r="C3648" s="491">
        <v>109</v>
      </c>
      <c r="D3648" s="491">
        <v>6</v>
      </c>
      <c r="E3648" s="491">
        <v>158</v>
      </c>
      <c r="F3648" s="491">
        <v>0</v>
      </c>
      <c r="G3648" s="491">
        <f t="shared" si="56"/>
        <v>273</v>
      </c>
    </row>
    <row r="3649" spans="1:7" ht="12.75">
      <c r="A3649" s="134" t="s">
        <v>811</v>
      </c>
      <c r="B3649" s="134">
        <v>191</v>
      </c>
      <c r="C3649" s="491">
        <v>0</v>
      </c>
      <c r="D3649" s="491">
        <v>2</v>
      </c>
      <c r="E3649" s="491">
        <v>0</v>
      </c>
      <c r="F3649" s="491">
        <v>0</v>
      </c>
      <c r="G3649" s="491">
        <f t="shared" si="56"/>
        <v>2</v>
      </c>
    </row>
    <row r="3650" spans="1:7" ht="12.75">
      <c r="A3650" s="134" t="s">
        <v>811</v>
      </c>
      <c r="B3650" s="134">
        <v>192</v>
      </c>
      <c r="C3650" s="491">
        <v>1</v>
      </c>
      <c r="D3650" s="491">
        <v>0</v>
      </c>
      <c r="E3650" s="491">
        <v>0</v>
      </c>
      <c r="F3650" s="491">
        <v>0</v>
      </c>
      <c r="G3650" s="491">
        <f t="shared" si="56"/>
        <v>1</v>
      </c>
    </row>
    <row r="3651" spans="1:7" ht="12.75">
      <c r="A3651" s="134" t="s">
        <v>811</v>
      </c>
      <c r="B3651" s="134">
        <v>211</v>
      </c>
      <c r="C3651" s="491">
        <v>0</v>
      </c>
      <c r="D3651" s="491">
        <v>5</v>
      </c>
      <c r="E3651" s="491">
        <v>0</v>
      </c>
      <c r="F3651" s="491">
        <v>0</v>
      </c>
      <c r="G3651" s="491">
        <f t="shared" si="56"/>
        <v>5</v>
      </c>
    </row>
    <row r="3652" spans="1:7" ht="12.75">
      <c r="A3652" s="134" t="s">
        <v>811</v>
      </c>
      <c r="B3652" s="134">
        <v>214</v>
      </c>
      <c r="C3652" s="491">
        <v>1</v>
      </c>
      <c r="D3652" s="491">
        <v>0</v>
      </c>
      <c r="E3652" s="491">
        <v>0</v>
      </c>
      <c r="F3652" s="491">
        <v>0</v>
      </c>
      <c r="G3652" s="491">
        <f t="shared" ref="G3652:G3715" si="57">SUM(C3652:F3652)</f>
        <v>1</v>
      </c>
    </row>
    <row r="3653" spans="1:7" ht="12.75">
      <c r="A3653" s="134" t="s">
        <v>811</v>
      </c>
      <c r="B3653" s="134">
        <v>215</v>
      </c>
      <c r="C3653" s="491">
        <v>6</v>
      </c>
      <c r="D3653" s="491">
        <v>1</v>
      </c>
      <c r="E3653" s="491">
        <v>0</v>
      </c>
      <c r="F3653" s="491">
        <v>0</v>
      </c>
      <c r="G3653" s="491">
        <f t="shared" si="57"/>
        <v>7</v>
      </c>
    </row>
    <row r="3654" spans="1:7" ht="12.75">
      <c r="A3654" s="134" t="s">
        <v>811</v>
      </c>
      <c r="B3654" s="134">
        <v>251</v>
      </c>
      <c r="C3654" s="491">
        <v>1</v>
      </c>
      <c r="D3654" s="491">
        <v>5</v>
      </c>
      <c r="E3654" s="491">
        <v>0</v>
      </c>
      <c r="F3654" s="491">
        <v>0</v>
      </c>
      <c r="G3654" s="491">
        <f t="shared" si="57"/>
        <v>6</v>
      </c>
    </row>
    <row r="3655" spans="1:7" ht="12.75">
      <c r="A3655" s="134" t="s">
        <v>811</v>
      </c>
      <c r="B3655" s="134">
        <v>252</v>
      </c>
      <c r="C3655" s="491">
        <v>0</v>
      </c>
      <c r="D3655" s="491">
        <v>1</v>
      </c>
      <c r="E3655" s="491">
        <v>1</v>
      </c>
      <c r="F3655" s="491">
        <v>0</v>
      </c>
      <c r="G3655" s="491">
        <f t="shared" si="57"/>
        <v>2</v>
      </c>
    </row>
    <row r="3656" spans="1:7" ht="12.75">
      <c r="A3656" s="134" t="s">
        <v>811</v>
      </c>
      <c r="B3656" s="134">
        <v>253</v>
      </c>
      <c r="C3656" s="491">
        <v>0</v>
      </c>
      <c r="D3656" s="491">
        <v>2</v>
      </c>
      <c r="E3656" s="491">
        <v>0</v>
      </c>
      <c r="F3656" s="491">
        <v>0</v>
      </c>
      <c r="G3656" s="491">
        <f t="shared" si="57"/>
        <v>2</v>
      </c>
    </row>
    <row r="3657" spans="1:7" ht="12.75">
      <c r="A3657" s="134" t="s">
        <v>811</v>
      </c>
      <c r="B3657" s="134">
        <v>255</v>
      </c>
      <c r="C3657" s="491">
        <v>7</v>
      </c>
      <c r="D3657" s="491">
        <v>3</v>
      </c>
      <c r="E3657" s="491">
        <v>31</v>
      </c>
      <c r="F3657" s="491">
        <v>29</v>
      </c>
      <c r="G3657" s="491">
        <f t="shared" si="57"/>
        <v>70</v>
      </c>
    </row>
    <row r="3658" spans="1:7" ht="12.75">
      <c r="A3658" s="134" t="s">
        <v>811</v>
      </c>
      <c r="B3658" s="134">
        <v>258</v>
      </c>
      <c r="C3658" s="491">
        <v>1605</v>
      </c>
      <c r="D3658" s="491">
        <v>386</v>
      </c>
      <c r="E3658" s="491">
        <v>501</v>
      </c>
      <c r="F3658" s="491">
        <v>71</v>
      </c>
      <c r="G3658" s="491">
        <f t="shared" si="57"/>
        <v>2563</v>
      </c>
    </row>
    <row r="3659" spans="1:7" ht="12.75">
      <c r="A3659" s="134" t="s">
        <v>811</v>
      </c>
      <c r="B3659" s="134">
        <v>260</v>
      </c>
      <c r="C3659" s="491">
        <v>0</v>
      </c>
      <c r="D3659" s="491">
        <v>0</v>
      </c>
      <c r="E3659" s="491">
        <v>11</v>
      </c>
      <c r="F3659" s="491">
        <v>2</v>
      </c>
      <c r="G3659" s="491">
        <f t="shared" si="57"/>
        <v>13</v>
      </c>
    </row>
    <row r="3660" spans="1:7" ht="12.75">
      <c r="A3660" s="134" t="s">
        <v>811</v>
      </c>
      <c r="B3660" s="134">
        <v>262</v>
      </c>
      <c r="C3660" s="491">
        <v>5</v>
      </c>
      <c r="D3660" s="491">
        <v>0</v>
      </c>
      <c r="E3660" s="491">
        <v>3</v>
      </c>
      <c r="F3660" s="491">
        <v>0</v>
      </c>
      <c r="G3660" s="491">
        <f t="shared" si="57"/>
        <v>8</v>
      </c>
    </row>
    <row r="3661" spans="1:7" ht="12.75">
      <c r="A3661" s="134" t="s">
        <v>811</v>
      </c>
      <c r="B3661" s="134">
        <v>263</v>
      </c>
      <c r="C3661" s="491">
        <v>1</v>
      </c>
      <c r="D3661" s="491">
        <v>0</v>
      </c>
      <c r="E3661" s="491">
        <v>1</v>
      </c>
      <c r="F3661" s="491">
        <v>0</v>
      </c>
      <c r="G3661" s="491">
        <f t="shared" si="57"/>
        <v>2</v>
      </c>
    </row>
    <row r="3662" spans="1:7" ht="12.75">
      <c r="A3662" s="134" t="s">
        <v>811</v>
      </c>
      <c r="B3662" s="134">
        <v>264</v>
      </c>
      <c r="C3662" s="491">
        <v>205</v>
      </c>
      <c r="D3662" s="491">
        <v>4</v>
      </c>
      <c r="E3662" s="491">
        <v>926</v>
      </c>
      <c r="F3662" s="491">
        <v>12</v>
      </c>
      <c r="G3662" s="491">
        <f t="shared" si="57"/>
        <v>1147</v>
      </c>
    </row>
    <row r="3663" spans="1:7" ht="12.75">
      <c r="A3663" s="134" t="s">
        <v>811</v>
      </c>
      <c r="B3663" s="134">
        <v>290</v>
      </c>
      <c r="C3663" s="491">
        <v>1</v>
      </c>
      <c r="D3663" s="491">
        <v>0</v>
      </c>
      <c r="E3663" s="491">
        <v>0</v>
      </c>
      <c r="F3663" s="491">
        <v>0</v>
      </c>
      <c r="G3663" s="491">
        <f t="shared" si="57"/>
        <v>1</v>
      </c>
    </row>
    <row r="3664" spans="1:7" ht="12.75">
      <c r="A3664" s="134" t="s">
        <v>811</v>
      </c>
      <c r="B3664" s="134">
        <v>300</v>
      </c>
      <c r="C3664" s="491">
        <v>3194</v>
      </c>
      <c r="D3664" s="491">
        <v>2170</v>
      </c>
      <c r="E3664" s="491">
        <v>47</v>
      </c>
      <c r="F3664" s="491">
        <v>36</v>
      </c>
      <c r="G3664" s="491">
        <f t="shared" si="57"/>
        <v>5447</v>
      </c>
    </row>
    <row r="3665" spans="1:7" ht="12.75">
      <c r="A3665" s="134" t="s">
        <v>811</v>
      </c>
      <c r="B3665" s="134">
        <v>301</v>
      </c>
      <c r="C3665" s="491">
        <v>66</v>
      </c>
      <c r="D3665" s="491">
        <v>10</v>
      </c>
      <c r="E3665" s="491">
        <v>0</v>
      </c>
      <c r="F3665" s="491">
        <v>0</v>
      </c>
      <c r="G3665" s="491">
        <f t="shared" si="57"/>
        <v>76</v>
      </c>
    </row>
    <row r="3666" spans="1:7" ht="12.75">
      <c r="A3666" s="134" t="s">
        <v>811</v>
      </c>
      <c r="B3666" s="134">
        <v>302</v>
      </c>
      <c r="C3666" s="491">
        <v>11</v>
      </c>
      <c r="D3666" s="491">
        <v>5</v>
      </c>
      <c r="E3666" s="491">
        <v>0</v>
      </c>
      <c r="F3666" s="491">
        <v>0</v>
      </c>
      <c r="G3666" s="491">
        <f t="shared" si="57"/>
        <v>16</v>
      </c>
    </row>
    <row r="3667" spans="1:7" ht="12.75">
      <c r="A3667" s="134" t="s">
        <v>811</v>
      </c>
      <c r="B3667" s="134">
        <v>303</v>
      </c>
      <c r="C3667" s="491">
        <v>11</v>
      </c>
      <c r="D3667" s="491">
        <v>5</v>
      </c>
      <c r="E3667" s="491">
        <v>3</v>
      </c>
      <c r="F3667" s="491">
        <v>2</v>
      </c>
      <c r="G3667" s="491">
        <f t="shared" si="57"/>
        <v>21</v>
      </c>
    </row>
    <row r="3668" spans="1:7" ht="12.75">
      <c r="A3668" s="134" t="s">
        <v>811</v>
      </c>
      <c r="B3668" s="134">
        <v>304</v>
      </c>
      <c r="C3668" s="491">
        <v>283</v>
      </c>
      <c r="D3668" s="491">
        <v>1973</v>
      </c>
      <c r="E3668" s="491">
        <v>0</v>
      </c>
      <c r="F3668" s="491">
        <v>0</v>
      </c>
      <c r="G3668" s="491">
        <f t="shared" si="57"/>
        <v>2256</v>
      </c>
    </row>
    <row r="3669" spans="1:7" ht="12.75">
      <c r="A3669" s="134" t="s">
        <v>811</v>
      </c>
      <c r="B3669" s="134">
        <v>305</v>
      </c>
      <c r="C3669" s="491">
        <v>0</v>
      </c>
      <c r="D3669" s="491">
        <v>1</v>
      </c>
      <c r="E3669" s="491">
        <v>0</v>
      </c>
      <c r="F3669" s="491">
        <v>0</v>
      </c>
      <c r="G3669" s="491">
        <f t="shared" si="57"/>
        <v>1</v>
      </c>
    </row>
    <row r="3670" spans="1:7" ht="12.75">
      <c r="A3670" s="134" t="s">
        <v>811</v>
      </c>
      <c r="B3670" s="134">
        <v>306</v>
      </c>
      <c r="C3670" s="491">
        <v>1</v>
      </c>
      <c r="D3670" s="491">
        <v>4</v>
      </c>
      <c r="E3670" s="491">
        <v>0</v>
      </c>
      <c r="F3670" s="491">
        <v>0</v>
      </c>
      <c r="G3670" s="491">
        <f t="shared" si="57"/>
        <v>5</v>
      </c>
    </row>
    <row r="3671" spans="1:7" ht="12.75">
      <c r="A3671" s="134" t="s">
        <v>811</v>
      </c>
      <c r="B3671" s="134">
        <v>307</v>
      </c>
      <c r="C3671" s="491">
        <v>0</v>
      </c>
      <c r="D3671" s="491">
        <v>8</v>
      </c>
      <c r="E3671" s="491">
        <v>0</v>
      </c>
      <c r="F3671" s="491">
        <v>0</v>
      </c>
      <c r="G3671" s="491">
        <f t="shared" si="57"/>
        <v>8</v>
      </c>
    </row>
    <row r="3672" spans="1:7" ht="12.75">
      <c r="A3672" s="134" t="s">
        <v>811</v>
      </c>
      <c r="B3672" s="134">
        <v>310</v>
      </c>
      <c r="C3672" s="491">
        <v>2</v>
      </c>
      <c r="D3672" s="491">
        <v>6</v>
      </c>
      <c r="E3672" s="491">
        <v>0</v>
      </c>
      <c r="F3672" s="491">
        <v>0</v>
      </c>
      <c r="G3672" s="491">
        <f t="shared" si="57"/>
        <v>8</v>
      </c>
    </row>
    <row r="3673" spans="1:7" ht="12.75">
      <c r="A3673" s="134" t="s">
        <v>811</v>
      </c>
      <c r="B3673" s="134">
        <v>313</v>
      </c>
      <c r="C3673" s="491">
        <v>10</v>
      </c>
      <c r="D3673" s="491">
        <v>7</v>
      </c>
      <c r="E3673" s="491">
        <v>0</v>
      </c>
      <c r="F3673" s="491">
        <v>0</v>
      </c>
      <c r="G3673" s="491">
        <f t="shared" si="57"/>
        <v>17</v>
      </c>
    </row>
    <row r="3674" spans="1:7" ht="12.75">
      <c r="A3674" s="134" t="s">
        <v>811</v>
      </c>
      <c r="B3674" s="134">
        <v>314</v>
      </c>
      <c r="C3674" s="491">
        <v>5</v>
      </c>
      <c r="D3674" s="491">
        <v>1</v>
      </c>
      <c r="E3674" s="491">
        <v>0</v>
      </c>
      <c r="F3674" s="491">
        <v>1</v>
      </c>
      <c r="G3674" s="491">
        <f t="shared" si="57"/>
        <v>7</v>
      </c>
    </row>
    <row r="3675" spans="1:7" ht="12.75">
      <c r="A3675" s="134" t="s">
        <v>811</v>
      </c>
      <c r="B3675" s="134">
        <v>316</v>
      </c>
      <c r="C3675" s="491">
        <v>8</v>
      </c>
      <c r="D3675" s="491">
        <v>5</v>
      </c>
      <c r="E3675" s="491">
        <v>0</v>
      </c>
      <c r="F3675" s="491">
        <v>0</v>
      </c>
      <c r="G3675" s="491">
        <f t="shared" si="57"/>
        <v>13</v>
      </c>
    </row>
    <row r="3676" spans="1:7" ht="12.75">
      <c r="A3676" s="134" t="s">
        <v>811</v>
      </c>
      <c r="B3676" s="134">
        <v>317</v>
      </c>
      <c r="C3676" s="491">
        <v>371</v>
      </c>
      <c r="D3676" s="491">
        <v>130</v>
      </c>
      <c r="E3676" s="491">
        <v>83</v>
      </c>
      <c r="F3676" s="491">
        <v>26</v>
      </c>
      <c r="G3676" s="491">
        <f t="shared" si="57"/>
        <v>610</v>
      </c>
    </row>
    <row r="3677" spans="1:7" ht="12.75">
      <c r="A3677" s="134" t="s">
        <v>811</v>
      </c>
      <c r="B3677" s="134">
        <v>320</v>
      </c>
      <c r="C3677" s="491">
        <v>3072</v>
      </c>
      <c r="D3677" s="491">
        <v>3124</v>
      </c>
      <c r="E3677" s="491">
        <v>1</v>
      </c>
      <c r="F3677" s="491">
        <v>0</v>
      </c>
      <c r="G3677" s="491">
        <f t="shared" si="57"/>
        <v>6197</v>
      </c>
    </row>
    <row r="3678" spans="1:7" ht="12.75">
      <c r="A3678" s="134" t="s">
        <v>811</v>
      </c>
      <c r="B3678" s="134">
        <v>321</v>
      </c>
      <c r="C3678" s="491">
        <v>6</v>
      </c>
      <c r="D3678" s="491">
        <v>1</v>
      </c>
      <c r="E3678" s="491">
        <v>0</v>
      </c>
      <c r="F3678" s="491">
        <v>0</v>
      </c>
      <c r="G3678" s="491">
        <f t="shared" si="57"/>
        <v>7</v>
      </c>
    </row>
    <row r="3679" spans="1:7" ht="12.75">
      <c r="A3679" s="134" t="s">
        <v>811</v>
      </c>
      <c r="B3679" s="134">
        <v>324</v>
      </c>
      <c r="C3679" s="491">
        <v>1</v>
      </c>
      <c r="D3679" s="491">
        <v>5</v>
      </c>
      <c r="E3679" s="491">
        <v>0</v>
      </c>
      <c r="F3679" s="491">
        <v>0</v>
      </c>
      <c r="G3679" s="491">
        <f t="shared" si="57"/>
        <v>6</v>
      </c>
    </row>
    <row r="3680" spans="1:7" ht="12.75">
      <c r="A3680" s="134" t="s">
        <v>811</v>
      </c>
      <c r="B3680" s="134">
        <v>328</v>
      </c>
      <c r="C3680" s="491">
        <v>1</v>
      </c>
      <c r="D3680" s="491">
        <v>1</v>
      </c>
      <c r="E3680" s="491">
        <v>0</v>
      </c>
      <c r="F3680" s="491">
        <v>0</v>
      </c>
      <c r="G3680" s="491">
        <f t="shared" si="57"/>
        <v>2</v>
      </c>
    </row>
    <row r="3681" spans="1:7" ht="12.75">
      <c r="A3681" s="134" t="s">
        <v>811</v>
      </c>
      <c r="B3681" s="134">
        <v>329</v>
      </c>
      <c r="C3681" s="491">
        <v>1</v>
      </c>
      <c r="D3681" s="491">
        <v>1</v>
      </c>
      <c r="E3681" s="491">
        <v>0</v>
      </c>
      <c r="F3681" s="491">
        <v>0</v>
      </c>
      <c r="G3681" s="491">
        <f t="shared" si="57"/>
        <v>2</v>
      </c>
    </row>
    <row r="3682" spans="1:7" ht="12.75">
      <c r="A3682" s="134" t="s">
        <v>811</v>
      </c>
      <c r="B3682" s="134">
        <v>330</v>
      </c>
      <c r="C3682" s="491">
        <v>7</v>
      </c>
      <c r="D3682" s="491">
        <v>24</v>
      </c>
      <c r="E3682" s="491">
        <v>0</v>
      </c>
      <c r="F3682" s="491">
        <v>0</v>
      </c>
      <c r="G3682" s="491">
        <f t="shared" si="57"/>
        <v>31</v>
      </c>
    </row>
    <row r="3683" spans="1:7" ht="12.75">
      <c r="A3683" s="134" t="s">
        <v>811</v>
      </c>
      <c r="B3683" s="134">
        <v>340</v>
      </c>
      <c r="C3683" s="491">
        <v>44157</v>
      </c>
      <c r="D3683" s="491">
        <v>29962</v>
      </c>
      <c r="E3683" s="491">
        <v>1409</v>
      </c>
      <c r="F3683" s="491">
        <v>1455</v>
      </c>
      <c r="G3683" s="491">
        <f t="shared" si="57"/>
        <v>76983</v>
      </c>
    </row>
    <row r="3684" spans="1:7" ht="12.75">
      <c r="A3684" s="134" t="s">
        <v>811</v>
      </c>
      <c r="B3684" s="134">
        <v>341</v>
      </c>
      <c r="C3684" s="491">
        <v>817</v>
      </c>
      <c r="D3684" s="491">
        <v>2255</v>
      </c>
      <c r="E3684" s="491">
        <v>1</v>
      </c>
      <c r="F3684" s="491">
        <v>0</v>
      </c>
      <c r="G3684" s="491">
        <f t="shared" si="57"/>
        <v>3073</v>
      </c>
    </row>
    <row r="3685" spans="1:7" ht="12.75">
      <c r="A3685" s="134" t="s">
        <v>811</v>
      </c>
      <c r="B3685" s="134">
        <v>342</v>
      </c>
      <c r="C3685" s="491">
        <v>6</v>
      </c>
      <c r="D3685" s="491">
        <v>10</v>
      </c>
      <c r="E3685" s="491">
        <v>0</v>
      </c>
      <c r="F3685" s="491">
        <v>0</v>
      </c>
      <c r="G3685" s="491">
        <f t="shared" si="57"/>
        <v>16</v>
      </c>
    </row>
    <row r="3686" spans="1:7" ht="12.75">
      <c r="A3686" s="134" t="s">
        <v>811</v>
      </c>
      <c r="B3686" s="134">
        <v>343</v>
      </c>
      <c r="C3686" s="491">
        <v>3455</v>
      </c>
      <c r="D3686" s="491">
        <v>37</v>
      </c>
      <c r="E3686" s="491">
        <v>876</v>
      </c>
      <c r="F3686" s="491">
        <v>11</v>
      </c>
      <c r="G3686" s="491">
        <f t="shared" si="57"/>
        <v>4379</v>
      </c>
    </row>
    <row r="3687" spans="1:7" ht="12.75">
      <c r="A3687" s="134" t="s">
        <v>811</v>
      </c>
      <c r="B3687" s="134">
        <v>350</v>
      </c>
      <c r="C3687" s="491">
        <v>0</v>
      </c>
      <c r="D3687" s="491">
        <v>2</v>
      </c>
      <c r="E3687" s="491">
        <v>0</v>
      </c>
      <c r="F3687" s="491">
        <v>0</v>
      </c>
      <c r="G3687" s="491">
        <f t="shared" si="57"/>
        <v>2</v>
      </c>
    </row>
    <row r="3688" spans="1:7" ht="12.75">
      <c r="A3688" s="134" t="s">
        <v>811</v>
      </c>
      <c r="B3688" s="134">
        <v>361</v>
      </c>
      <c r="C3688" s="491">
        <v>33</v>
      </c>
      <c r="D3688" s="491">
        <v>4</v>
      </c>
      <c r="E3688" s="491">
        <v>0</v>
      </c>
      <c r="F3688" s="491">
        <v>0</v>
      </c>
      <c r="G3688" s="491">
        <f t="shared" si="57"/>
        <v>37</v>
      </c>
    </row>
    <row r="3689" spans="1:7" ht="12.75">
      <c r="A3689" s="134" t="s">
        <v>811</v>
      </c>
      <c r="B3689" s="134">
        <v>370</v>
      </c>
      <c r="C3689" s="491">
        <v>4</v>
      </c>
      <c r="D3689" s="491">
        <v>5</v>
      </c>
      <c r="E3689" s="491">
        <v>2</v>
      </c>
      <c r="F3689" s="491">
        <v>3</v>
      </c>
      <c r="G3689" s="491">
        <f t="shared" si="57"/>
        <v>14</v>
      </c>
    </row>
    <row r="3690" spans="1:7" ht="12.75">
      <c r="A3690" s="134" t="s">
        <v>811</v>
      </c>
      <c r="B3690" s="134">
        <v>371</v>
      </c>
      <c r="C3690" s="491">
        <v>2</v>
      </c>
      <c r="D3690" s="491">
        <v>2</v>
      </c>
      <c r="E3690" s="491">
        <v>0</v>
      </c>
      <c r="F3690" s="491">
        <v>0</v>
      </c>
      <c r="G3690" s="491">
        <f t="shared" si="57"/>
        <v>4</v>
      </c>
    </row>
    <row r="3691" spans="1:7" ht="12.75">
      <c r="A3691" s="134" t="s">
        <v>811</v>
      </c>
      <c r="B3691" s="134">
        <v>400</v>
      </c>
      <c r="C3691" s="491">
        <v>3</v>
      </c>
      <c r="D3691" s="491">
        <v>18</v>
      </c>
      <c r="E3691" s="491">
        <v>1</v>
      </c>
      <c r="F3691" s="491">
        <v>0</v>
      </c>
      <c r="G3691" s="491">
        <f t="shared" si="57"/>
        <v>22</v>
      </c>
    </row>
    <row r="3692" spans="1:7" ht="12.75">
      <c r="A3692" s="134" t="s">
        <v>811</v>
      </c>
      <c r="B3692" s="134">
        <v>410</v>
      </c>
      <c r="C3692" s="491">
        <v>70</v>
      </c>
      <c r="D3692" s="491">
        <v>49</v>
      </c>
      <c r="E3692" s="491">
        <v>13</v>
      </c>
      <c r="F3692" s="491">
        <v>3</v>
      </c>
      <c r="G3692" s="491">
        <f t="shared" si="57"/>
        <v>135</v>
      </c>
    </row>
    <row r="3693" spans="1:7" ht="12.75">
      <c r="A3693" s="134" t="s">
        <v>811</v>
      </c>
      <c r="B3693" s="134">
        <v>420</v>
      </c>
      <c r="C3693" s="491">
        <v>1787</v>
      </c>
      <c r="D3693" s="491">
        <v>184</v>
      </c>
      <c r="E3693" s="491">
        <v>339</v>
      </c>
      <c r="F3693" s="491">
        <v>51</v>
      </c>
      <c r="G3693" s="491">
        <f t="shared" si="57"/>
        <v>2361</v>
      </c>
    </row>
    <row r="3694" spans="1:7" ht="12.75">
      <c r="A3694" s="134" t="s">
        <v>811</v>
      </c>
      <c r="B3694" s="134">
        <v>421</v>
      </c>
      <c r="C3694" s="491">
        <v>2</v>
      </c>
      <c r="D3694" s="491">
        <v>1</v>
      </c>
      <c r="E3694" s="491">
        <v>5</v>
      </c>
      <c r="F3694" s="491">
        <v>0</v>
      </c>
      <c r="G3694" s="491">
        <f t="shared" si="57"/>
        <v>8</v>
      </c>
    </row>
    <row r="3695" spans="1:7" ht="12.75">
      <c r="A3695" s="134" t="s">
        <v>811</v>
      </c>
      <c r="B3695" s="134">
        <v>430</v>
      </c>
      <c r="C3695" s="491">
        <v>14</v>
      </c>
      <c r="D3695" s="491">
        <v>8</v>
      </c>
      <c r="E3695" s="491">
        <v>2</v>
      </c>
      <c r="F3695" s="491">
        <v>4</v>
      </c>
      <c r="G3695" s="491">
        <f t="shared" si="57"/>
        <v>28</v>
      </c>
    </row>
    <row r="3696" spans="1:7" ht="12.75">
      <c r="A3696" s="134" t="s">
        <v>811</v>
      </c>
      <c r="B3696" s="134">
        <v>501</v>
      </c>
      <c r="C3696" s="491">
        <v>1</v>
      </c>
      <c r="D3696" s="491">
        <v>4</v>
      </c>
      <c r="E3696" s="491">
        <v>0</v>
      </c>
      <c r="F3696" s="491">
        <v>0</v>
      </c>
      <c r="G3696" s="491">
        <f t="shared" si="57"/>
        <v>5</v>
      </c>
    </row>
    <row r="3697" spans="1:7" ht="12.75">
      <c r="A3697" s="134" t="s">
        <v>811</v>
      </c>
      <c r="B3697" s="134">
        <v>502</v>
      </c>
      <c r="C3697" s="491">
        <v>123</v>
      </c>
      <c r="D3697" s="491">
        <v>12</v>
      </c>
      <c r="E3697" s="491">
        <v>96</v>
      </c>
      <c r="F3697" s="491">
        <v>0</v>
      </c>
      <c r="G3697" s="491">
        <f t="shared" si="57"/>
        <v>231</v>
      </c>
    </row>
    <row r="3698" spans="1:7" ht="12.75">
      <c r="A3698" s="134" t="s">
        <v>811</v>
      </c>
      <c r="B3698" s="134">
        <v>503</v>
      </c>
      <c r="C3698" s="491">
        <v>41</v>
      </c>
      <c r="D3698" s="491">
        <v>0</v>
      </c>
      <c r="E3698" s="491">
        <v>0</v>
      </c>
      <c r="F3698" s="491">
        <v>0</v>
      </c>
      <c r="G3698" s="491">
        <f t="shared" si="57"/>
        <v>41</v>
      </c>
    </row>
    <row r="3699" spans="1:7" ht="12.75">
      <c r="A3699" s="134" t="s">
        <v>811</v>
      </c>
      <c r="B3699" s="134">
        <v>560</v>
      </c>
      <c r="C3699" s="491">
        <v>0</v>
      </c>
      <c r="D3699" s="491">
        <v>7</v>
      </c>
      <c r="E3699" s="491">
        <v>0</v>
      </c>
      <c r="F3699" s="491">
        <v>0</v>
      </c>
      <c r="G3699" s="491">
        <f t="shared" si="57"/>
        <v>7</v>
      </c>
    </row>
    <row r="3700" spans="1:7" ht="12.75">
      <c r="A3700" s="134" t="s">
        <v>811</v>
      </c>
      <c r="B3700" s="134">
        <v>650</v>
      </c>
      <c r="C3700" s="491">
        <v>5</v>
      </c>
      <c r="D3700" s="491">
        <v>19</v>
      </c>
      <c r="E3700" s="491">
        <v>0</v>
      </c>
      <c r="F3700" s="491">
        <v>0</v>
      </c>
      <c r="G3700" s="491">
        <f t="shared" si="57"/>
        <v>24</v>
      </c>
    </row>
    <row r="3701" spans="1:7" ht="12.75">
      <c r="A3701" s="134" t="s">
        <v>811</v>
      </c>
      <c r="B3701" s="134">
        <v>651</v>
      </c>
      <c r="C3701" s="491">
        <v>1</v>
      </c>
      <c r="D3701" s="491">
        <v>1</v>
      </c>
      <c r="E3701" s="491">
        <v>0</v>
      </c>
      <c r="F3701" s="491">
        <v>0</v>
      </c>
      <c r="G3701" s="491">
        <f t="shared" si="57"/>
        <v>2</v>
      </c>
    </row>
    <row r="3702" spans="1:7" ht="12.75">
      <c r="A3702" s="134" t="s">
        <v>811</v>
      </c>
      <c r="B3702" s="134">
        <v>653</v>
      </c>
      <c r="C3702" s="491">
        <v>0</v>
      </c>
      <c r="D3702" s="491">
        <v>2</v>
      </c>
      <c r="E3702" s="491">
        <v>0</v>
      </c>
      <c r="F3702" s="491">
        <v>0</v>
      </c>
      <c r="G3702" s="491">
        <f t="shared" si="57"/>
        <v>2</v>
      </c>
    </row>
    <row r="3703" spans="1:7" ht="12.75">
      <c r="A3703" s="134" t="s">
        <v>811</v>
      </c>
      <c r="B3703" s="134">
        <v>654</v>
      </c>
      <c r="C3703" s="491">
        <v>1</v>
      </c>
      <c r="D3703" s="491">
        <v>1</v>
      </c>
      <c r="E3703" s="491">
        <v>1</v>
      </c>
      <c r="F3703" s="491">
        <v>0</v>
      </c>
      <c r="G3703" s="491">
        <f t="shared" si="57"/>
        <v>3</v>
      </c>
    </row>
    <row r="3704" spans="1:7" ht="12.75">
      <c r="A3704" s="134" t="s">
        <v>811</v>
      </c>
      <c r="B3704" s="134">
        <v>800</v>
      </c>
      <c r="C3704" s="491">
        <v>2</v>
      </c>
      <c r="D3704" s="491">
        <v>2</v>
      </c>
      <c r="E3704" s="491">
        <v>0</v>
      </c>
      <c r="F3704" s="491">
        <v>0</v>
      </c>
      <c r="G3704" s="491">
        <f t="shared" si="57"/>
        <v>4</v>
      </c>
    </row>
    <row r="3705" spans="1:7" ht="12.75">
      <c r="A3705" s="134" t="s">
        <v>811</v>
      </c>
      <c r="B3705" s="134">
        <v>811</v>
      </c>
      <c r="C3705" s="491">
        <v>5</v>
      </c>
      <c r="D3705" s="491">
        <v>0</v>
      </c>
      <c r="E3705" s="491">
        <v>0</v>
      </c>
      <c r="F3705" s="491">
        <v>0</v>
      </c>
      <c r="G3705" s="491">
        <f t="shared" si="57"/>
        <v>5</v>
      </c>
    </row>
    <row r="3706" spans="1:7" ht="12.75">
      <c r="A3706" s="134" t="s">
        <v>811</v>
      </c>
      <c r="B3706" s="134">
        <v>822</v>
      </c>
      <c r="C3706" s="491">
        <v>1</v>
      </c>
      <c r="D3706" s="491">
        <v>0</v>
      </c>
      <c r="E3706" s="491">
        <v>0</v>
      </c>
      <c r="F3706" s="491">
        <v>0</v>
      </c>
      <c r="G3706" s="491">
        <f t="shared" si="57"/>
        <v>1</v>
      </c>
    </row>
    <row r="3707" spans="1:7" ht="12.75">
      <c r="A3707" s="134" t="s">
        <v>811</v>
      </c>
      <c r="B3707" s="134">
        <v>840</v>
      </c>
      <c r="C3707" s="491">
        <v>0</v>
      </c>
      <c r="D3707" s="491">
        <v>1</v>
      </c>
      <c r="E3707" s="491">
        <v>0</v>
      </c>
      <c r="F3707" s="491">
        <v>0</v>
      </c>
      <c r="G3707" s="491">
        <f t="shared" si="57"/>
        <v>1</v>
      </c>
    </row>
    <row r="3708" spans="1:7" ht="12.75">
      <c r="A3708" s="134" t="s">
        <v>812</v>
      </c>
      <c r="B3708" s="134">
        <v>300</v>
      </c>
      <c r="C3708" s="491">
        <v>1</v>
      </c>
      <c r="D3708" s="491">
        <v>2</v>
      </c>
      <c r="E3708" s="491">
        <v>0</v>
      </c>
      <c r="F3708" s="491">
        <v>0</v>
      </c>
      <c r="G3708" s="491">
        <f t="shared" si="57"/>
        <v>3</v>
      </c>
    </row>
    <row r="3709" spans="1:7" ht="12.75">
      <c r="A3709" s="134" t="s">
        <v>812</v>
      </c>
      <c r="B3709" s="134">
        <v>304</v>
      </c>
      <c r="C3709" s="491">
        <v>3</v>
      </c>
      <c r="D3709" s="491">
        <v>9</v>
      </c>
      <c r="E3709" s="491">
        <v>0</v>
      </c>
      <c r="F3709" s="491">
        <v>0</v>
      </c>
      <c r="G3709" s="491">
        <f t="shared" si="57"/>
        <v>12</v>
      </c>
    </row>
    <row r="3710" spans="1:7" ht="12.75">
      <c r="A3710" s="134" t="s">
        <v>812</v>
      </c>
      <c r="B3710" s="134">
        <v>320</v>
      </c>
      <c r="C3710" s="491">
        <v>4</v>
      </c>
      <c r="D3710" s="491">
        <v>12</v>
      </c>
      <c r="E3710" s="491">
        <v>0</v>
      </c>
      <c r="F3710" s="491">
        <v>0</v>
      </c>
      <c r="G3710" s="491">
        <f t="shared" si="57"/>
        <v>16</v>
      </c>
    </row>
    <row r="3711" spans="1:7" ht="12.75">
      <c r="A3711" s="134" t="s">
        <v>812</v>
      </c>
      <c r="B3711" s="134">
        <v>340</v>
      </c>
      <c r="C3711" s="491">
        <v>306</v>
      </c>
      <c r="D3711" s="491">
        <v>252</v>
      </c>
      <c r="E3711" s="491">
        <v>3</v>
      </c>
      <c r="F3711" s="491">
        <v>1</v>
      </c>
      <c r="G3711" s="491">
        <f t="shared" si="57"/>
        <v>562</v>
      </c>
    </row>
    <row r="3712" spans="1:7" ht="12.75">
      <c r="A3712" s="134" t="s">
        <v>812</v>
      </c>
      <c r="B3712" s="134">
        <v>341</v>
      </c>
      <c r="C3712" s="491">
        <v>23</v>
      </c>
      <c r="D3712" s="491">
        <v>18</v>
      </c>
      <c r="E3712" s="491">
        <v>0</v>
      </c>
      <c r="F3712" s="491">
        <v>0</v>
      </c>
      <c r="G3712" s="491">
        <f t="shared" si="57"/>
        <v>41</v>
      </c>
    </row>
    <row r="3713" spans="1:7" ht="12.75">
      <c r="A3713" s="134" t="s">
        <v>812</v>
      </c>
      <c r="B3713" s="134">
        <v>342</v>
      </c>
      <c r="C3713" s="491">
        <v>2</v>
      </c>
      <c r="D3713" s="491">
        <v>8</v>
      </c>
      <c r="E3713" s="491">
        <v>0</v>
      </c>
      <c r="F3713" s="491">
        <v>0</v>
      </c>
      <c r="G3713" s="491">
        <f t="shared" si="57"/>
        <v>10</v>
      </c>
    </row>
    <row r="3714" spans="1:7" ht="12.75">
      <c r="A3714" s="134" t="s">
        <v>812</v>
      </c>
      <c r="B3714" s="134">
        <v>343</v>
      </c>
      <c r="C3714" s="491">
        <v>5</v>
      </c>
      <c r="D3714" s="491">
        <v>0</v>
      </c>
      <c r="E3714" s="491">
        <v>0</v>
      </c>
      <c r="F3714" s="491">
        <v>0</v>
      </c>
      <c r="G3714" s="491">
        <f t="shared" si="57"/>
        <v>5</v>
      </c>
    </row>
    <row r="3715" spans="1:7" ht="12.75">
      <c r="A3715" s="134" t="s">
        <v>812</v>
      </c>
      <c r="B3715" s="134">
        <v>650</v>
      </c>
      <c r="C3715" s="491">
        <v>2</v>
      </c>
      <c r="D3715" s="491">
        <v>0</v>
      </c>
      <c r="E3715" s="491">
        <v>0</v>
      </c>
      <c r="F3715" s="491">
        <v>0</v>
      </c>
      <c r="G3715" s="491">
        <f t="shared" si="57"/>
        <v>2</v>
      </c>
    </row>
    <row r="3716" spans="1:7" ht="12.75">
      <c r="A3716" s="134" t="s">
        <v>813</v>
      </c>
      <c r="B3716" s="134">
        <v>103</v>
      </c>
      <c r="C3716" s="491">
        <v>0</v>
      </c>
      <c r="D3716" s="491">
        <v>1</v>
      </c>
      <c r="E3716" s="491">
        <v>0</v>
      </c>
      <c r="F3716" s="491">
        <v>0</v>
      </c>
      <c r="G3716" s="491">
        <f t="shared" ref="G3716:G3779" si="58">SUM(C3716:F3716)</f>
        <v>1</v>
      </c>
    </row>
    <row r="3717" spans="1:7" ht="12.75">
      <c r="A3717" s="134" t="s">
        <v>813</v>
      </c>
      <c r="B3717" s="134">
        <v>106</v>
      </c>
      <c r="C3717" s="491">
        <v>1</v>
      </c>
      <c r="D3717" s="491">
        <v>0</v>
      </c>
      <c r="E3717" s="491">
        <v>0</v>
      </c>
      <c r="F3717" s="491">
        <v>0</v>
      </c>
      <c r="G3717" s="491">
        <f t="shared" si="58"/>
        <v>1</v>
      </c>
    </row>
    <row r="3718" spans="1:7" ht="12.75">
      <c r="A3718" s="134" t="s">
        <v>813</v>
      </c>
      <c r="B3718" s="134">
        <v>120</v>
      </c>
      <c r="C3718" s="491">
        <v>206</v>
      </c>
      <c r="D3718" s="491">
        <v>54</v>
      </c>
      <c r="E3718" s="491">
        <v>10</v>
      </c>
      <c r="F3718" s="491">
        <v>0</v>
      </c>
      <c r="G3718" s="491">
        <f t="shared" si="58"/>
        <v>270</v>
      </c>
    </row>
    <row r="3719" spans="1:7" ht="12.75">
      <c r="A3719" s="134" t="s">
        <v>813</v>
      </c>
      <c r="B3719" s="134">
        <v>130</v>
      </c>
      <c r="C3719" s="491">
        <v>1</v>
      </c>
      <c r="D3719" s="491">
        <v>0</v>
      </c>
      <c r="E3719" s="491">
        <v>0</v>
      </c>
      <c r="F3719" s="491">
        <v>0</v>
      </c>
      <c r="G3719" s="491">
        <f t="shared" si="58"/>
        <v>1</v>
      </c>
    </row>
    <row r="3720" spans="1:7" ht="12.75">
      <c r="A3720" s="134" t="s">
        <v>813</v>
      </c>
      <c r="B3720" s="134">
        <v>140</v>
      </c>
      <c r="C3720" s="491">
        <v>29</v>
      </c>
      <c r="D3720" s="491">
        <v>2</v>
      </c>
      <c r="E3720" s="491">
        <v>1</v>
      </c>
      <c r="F3720" s="491">
        <v>0</v>
      </c>
      <c r="G3720" s="491">
        <f t="shared" si="58"/>
        <v>32</v>
      </c>
    </row>
    <row r="3721" spans="1:7" ht="12.75">
      <c r="A3721" s="134" t="s">
        <v>813</v>
      </c>
      <c r="B3721" s="134">
        <v>141</v>
      </c>
      <c r="C3721" s="491">
        <v>1</v>
      </c>
      <c r="D3721" s="491">
        <v>0</v>
      </c>
      <c r="E3721" s="491">
        <v>0</v>
      </c>
      <c r="F3721" s="491">
        <v>0</v>
      </c>
      <c r="G3721" s="491">
        <f t="shared" si="58"/>
        <v>1</v>
      </c>
    </row>
    <row r="3722" spans="1:7" ht="12.75">
      <c r="A3722" s="134" t="s">
        <v>813</v>
      </c>
      <c r="B3722" s="134">
        <v>160</v>
      </c>
      <c r="C3722" s="491">
        <v>1</v>
      </c>
      <c r="D3722" s="491">
        <v>0</v>
      </c>
      <c r="E3722" s="491">
        <v>0</v>
      </c>
      <c r="F3722" s="491">
        <v>0</v>
      </c>
      <c r="G3722" s="491">
        <f t="shared" si="58"/>
        <v>1</v>
      </c>
    </row>
    <row r="3723" spans="1:7" ht="12.75">
      <c r="A3723" s="134" t="s">
        <v>813</v>
      </c>
      <c r="B3723" s="134">
        <v>301</v>
      </c>
      <c r="C3723" s="491">
        <v>0</v>
      </c>
      <c r="D3723" s="491">
        <v>0</v>
      </c>
      <c r="E3723" s="491">
        <v>0</v>
      </c>
      <c r="F3723" s="491">
        <v>1</v>
      </c>
      <c r="G3723" s="491">
        <f t="shared" si="58"/>
        <v>1</v>
      </c>
    </row>
    <row r="3724" spans="1:7" ht="12.75">
      <c r="A3724" s="134" t="s">
        <v>813</v>
      </c>
      <c r="B3724" s="134">
        <v>306</v>
      </c>
      <c r="C3724" s="491">
        <v>20</v>
      </c>
      <c r="D3724" s="491">
        <v>1</v>
      </c>
      <c r="E3724" s="491">
        <v>33</v>
      </c>
      <c r="F3724" s="491">
        <v>9</v>
      </c>
      <c r="G3724" s="491">
        <f t="shared" si="58"/>
        <v>63</v>
      </c>
    </row>
    <row r="3725" spans="1:7" ht="12.75">
      <c r="A3725" s="134" t="s">
        <v>813</v>
      </c>
      <c r="B3725" s="134">
        <v>330</v>
      </c>
      <c r="C3725" s="491">
        <v>1</v>
      </c>
      <c r="D3725" s="491">
        <v>0</v>
      </c>
      <c r="E3725" s="491">
        <v>0</v>
      </c>
      <c r="F3725" s="491">
        <v>0</v>
      </c>
      <c r="G3725" s="491">
        <f t="shared" si="58"/>
        <v>1</v>
      </c>
    </row>
    <row r="3726" spans="1:7" ht="12.75">
      <c r="A3726" s="134" t="s">
        <v>813</v>
      </c>
      <c r="B3726" s="134">
        <v>340</v>
      </c>
      <c r="C3726" s="491">
        <v>4</v>
      </c>
      <c r="D3726" s="491">
        <v>1</v>
      </c>
      <c r="E3726" s="491">
        <v>0</v>
      </c>
      <c r="F3726" s="491">
        <v>0</v>
      </c>
      <c r="G3726" s="491">
        <f t="shared" si="58"/>
        <v>5</v>
      </c>
    </row>
    <row r="3727" spans="1:7" ht="12.75">
      <c r="A3727" s="134" t="s">
        <v>813</v>
      </c>
      <c r="B3727" s="134">
        <v>501</v>
      </c>
      <c r="C3727" s="491">
        <v>1</v>
      </c>
      <c r="D3727" s="491">
        <v>0</v>
      </c>
      <c r="E3727" s="491">
        <v>0</v>
      </c>
      <c r="F3727" s="491">
        <v>0</v>
      </c>
      <c r="G3727" s="491">
        <f t="shared" si="58"/>
        <v>1</v>
      </c>
    </row>
    <row r="3728" spans="1:7" ht="12.75">
      <c r="A3728" s="134" t="s">
        <v>813</v>
      </c>
      <c r="B3728" s="134">
        <v>502</v>
      </c>
      <c r="C3728" s="491">
        <v>0</v>
      </c>
      <c r="D3728" s="491">
        <v>1</v>
      </c>
      <c r="E3728" s="491">
        <v>0</v>
      </c>
      <c r="F3728" s="491">
        <v>0</v>
      </c>
      <c r="G3728" s="491">
        <f t="shared" si="58"/>
        <v>1</v>
      </c>
    </row>
    <row r="3729" spans="1:7" ht="12.75">
      <c r="A3729" s="134" t="s">
        <v>813</v>
      </c>
      <c r="B3729" s="134">
        <v>652</v>
      </c>
      <c r="C3729" s="491">
        <v>2</v>
      </c>
      <c r="D3729" s="491">
        <v>0</v>
      </c>
      <c r="E3729" s="491">
        <v>0</v>
      </c>
      <c r="F3729" s="491">
        <v>0</v>
      </c>
      <c r="G3729" s="491">
        <f t="shared" si="58"/>
        <v>2</v>
      </c>
    </row>
    <row r="3730" spans="1:7" ht="12.75">
      <c r="A3730" s="134" t="s">
        <v>813</v>
      </c>
      <c r="B3730" s="134">
        <v>654</v>
      </c>
      <c r="C3730" s="491">
        <v>1</v>
      </c>
      <c r="D3730" s="491">
        <v>0</v>
      </c>
      <c r="E3730" s="491">
        <v>0</v>
      </c>
      <c r="F3730" s="491">
        <v>0</v>
      </c>
      <c r="G3730" s="491">
        <f t="shared" si="58"/>
        <v>1</v>
      </c>
    </row>
    <row r="3731" spans="1:7" ht="12.75">
      <c r="A3731" s="134" t="s">
        <v>813</v>
      </c>
      <c r="B3731" s="134">
        <v>800</v>
      </c>
      <c r="C3731" s="491">
        <v>0</v>
      </c>
      <c r="D3731" s="491">
        <v>0</v>
      </c>
      <c r="E3731" s="491">
        <v>1</v>
      </c>
      <c r="F3731" s="491">
        <v>0</v>
      </c>
      <c r="G3731" s="491">
        <f t="shared" si="58"/>
        <v>1</v>
      </c>
    </row>
    <row r="3732" spans="1:7" ht="12.75">
      <c r="A3732" s="134" t="s">
        <v>813</v>
      </c>
      <c r="B3732" s="134">
        <v>812</v>
      </c>
      <c r="C3732" s="491">
        <v>1</v>
      </c>
      <c r="D3732" s="491">
        <v>0</v>
      </c>
      <c r="E3732" s="491">
        <v>0</v>
      </c>
      <c r="F3732" s="491">
        <v>0</v>
      </c>
      <c r="G3732" s="491">
        <f t="shared" si="58"/>
        <v>1</v>
      </c>
    </row>
    <row r="3733" spans="1:7" ht="12.75">
      <c r="A3733" s="134" t="s">
        <v>814</v>
      </c>
      <c r="B3733" s="134">
        <v>141</v>
      </c>
      <c r="C3733" s="491">
        <v>1</v>
      </c>
      <c r="D3733" s="491">
        <v>0</v>
      </c>
      <c r="E3733" s="491">
        <v>0</v>
      </c>
      <c r="F3733" s="491">
        <v>0</v>
      </c>
      <c r="G3733" s="491">
        <f t="shared" si="58"/>
        <v>1</v>
      </c>
    </row>
    <row r="3734" spans="1:7" ht="12.75">
      <c r="A3734" s="134" t="s">
        <v>814</v>
      </c>
      <c r="B3734" s="134">
        <v>264</v>
      </c>
      <c r="C3734" s="491">
        <v>0</v>
      </c>
      <c r="D3734" s="491">
        <v>0</v>
      </c>
      <c r="E3734" s="491">
        <v>1</v>
      </c>
      <c r="F3734" s="491">
        <v>0</v>
      </c>
      <c r="G3734" s="491">
        <f t="shared" si="58"/>
        <v>1</v>
      </c>
    </row>
    <row r="3735" spans="1:7" ht="12.75">
      <c r="A3735" s="134" t="s">
        <v>815</v>
      </c>
      <c r="B3735" s="134">
        <v>103</v>
      </c>
      <c r="C3735" s="491">
        <v>2</v>
      </c>
      <c r="D3735" s="491">
        <v>0</v>
      </c>
      <c r="E3735" s="491">
        <v>0</v>
      </c>
      <c r="F3735" s="491">
        <v>0</v>
      </c>
      <c r="G3735" s="491">
        <f t="shared" si="58"/>
        <v>2</v>
      </c>
    </row>
    <row r="3736" spans="1:7" ht="12.75">
      <c r="A3736" s="134" t="s">
        <v>815</v>
      </c>
      <c r="B3736" s="134">
        <v>120</v>
      </c>
      <c r="C3736" s="491">
        <v>10</v>
      </c>
      <c r="D3736" s="491">
        <v>8</v>
      </c>
      <c r="E3736" s="491">
        <v>3</v>
      </c>
      <c r="F3736" s="491">
        <v>2</v>
      </c>
      <c r="G3736" s="491">
        <f t="shared" si="58"/>
        <v>23</v>
      </c>
    </row>
    <row r="3737" spans="1:7" ht="12.75">
      <c r="A3737" s="134" t="s">
        <v>815</v>
      </c>
      <c r="B3737" s="134">
        <v>300</v>
      </c>
      <c r="C3737" s="491">
        <v>3</v>
      </c>
      <c r="D3737" s="491">
        <v>6</v>
      </c>
      <c r="E3737" s="491">
        <v>0</v>
      </c>
      <c r="F3737" s="491">
        <v>0</v>
      </c>
      <c r="G3737" s="491">
        <f t="shared" si="58"/>
        <v>9</v>
      </c>
    </row>
    <row r="3738" spans="1:7" ht="12.75">
      <c r="A3738" s="134" t="s">
        <v>815</v>
      </c>
      <c r="B3738" s="134">
        <v>320</v>
      </c>
      <c r="C3738" s="491">
        <v>0</v>
      </c>
      <c r="D3738" s="491">
        <v>1</v>
      </c>
      <c r="E3738" s="491">
        <v>0</v>
      </c>
      <c r="F3738" s="491">
        <v>0</v>
      </c>
      <c r="G3738" s="491">
        <f t="shared" si="58"/>
        <v>1</v>
      </c>
    </row>
    <row r="3739" spans="1:7" ht="12.75">
      <c r="A3739" s="134" t="s">
        <v>815</v>
      </c>
      <c r="B3739" s="134">
        <v>340</v>
      </c>
      <c r="C3739" s="491">
        <v>0</v>
      </c>
      <c r="D3739" s="491">
        <v>1</v>
      </c>
      <c r="E3739" s="491">
        <v>0</v>
      </c>
      <c r="F3739" s="491">
        <v>0</v>
      </c>
      <c r="G3739" s="491">
        <f t="shared" si="58"/>
        <v>1</v>
      </c>
    </row>
    <row r="3740" spans="1:7" ht="12.75">
      <c r="A3740" s="134" t="s">
        <v>815</v>
      </c>
      <c r="B3740" s="134">
        <v>341</v>
      </c>
      <c r="C3740" s="491">
        <v>0</v>
      </c>
      <c r="D3740" s="491">
        <v>1</v>
      </c>
      <c r="E3740" s="491">
        <v>0</v>
      </c>
      <c r="F3740" s="491">
        <v>0</v>
      </c>
      <c r="G3740" s="491">
        <f t="shared" si="58"/>
        <v>1</v>
      </c>
    </row>
    <row r="3741" spans="1:7" ht="12.75">
      <c r="A3741" s="134" t="s">
        <v>815</v>
      </c>
      <c r="B3741" s="134">
        <v>370</v>
      </c>
      <c r="C3741" s="491">
        <v>2</v>
      </c>
      <c r="D3741" s="491">
        <v>0</v>
      </c>
      <c r="E3741" s="491">
        <v>1</v>
      </c>
      <c r="F3741" s="491">
        <v>0</v>
      </c>
      <c r="G3741" s="491">
        <f t="shared" si="58"/>
        <v>3</v>
      </c>
    </row>
    <row r="3742" spans="1:7" ht="12.75">
      <c r="A3742" s="134" t="s">
        <v>815</v>
      </c>
      <c r="B3742" s="134">
        <v>501</v>
      </c>
      <c r="C3742" s="491">
        <v>1</v>
      </c>
      <c r="D3742" s="491">
        <v>0</v>
      </c>
      <c r="E3742" s="491">
        <v>0</v>
      </c>
      <c r="F3742" s="491">
        <v>0</v>
      </c>
      <c r="G3742" s="491">
        <f t="shared" si="58"/>
        <v>1</v>
      </c>
    </row>
    <row r="3743" spans="1:7" ht="12.75">
      <c r="A3743" s="134" t="s">
        <v>815</v>
      </c>
      <c r="B3743" s="134">
        <v>652</v>
      </c>
      <c r="C3743" s="491">
        <v>1</v>
      </c>
      <c r="D3743" s="491">
        <v>0</v>
      </c>
      <c r="E3743" s="491">
        <v>0</v>
      </c>
      <c r="F3743" s="491">
        <v>0</v>
      </c>
      <c r="G3743" s="491">
        <f t="shared" si="58"/>
        <v>1</v>
      </c>
    </row>
    <row r="3744" spans="1:7" ht="12.75">
      <c r="A3744" s="134" t="s">
        <v>815</v>
      </c>
      <c r="B3744" s="134">
        <v>812</v>
      </c>
      <c r="C3744" s="491">
        <v>32</v>
      </c>
      <c r="D3744" s="491">
        <v>4</v>
      </c>
      <c r="E3744" s="491">
        <v>0</v>
      </c>
      <c r="F3744" s="491">
        <v>0</v>
      </c>
      <c r="G3744" s="491">
        <f t="shared" si="58"/>
        <v>36</v>
      </c>
    </row>
    <row r="3745" spans="1:7" ht="12.75">
      <c r="A3745" s="134" t="s">
        <v>815</v>
      </c>
      <c r="B3745" s="134">
        <v>840</v>
      </c>
      <c r="C3745" s="491">
        <v>1</v>
      </c>
      <c r="D3745" s="491">
        <v>0</v>
      </c>
      <c r="E3745" s="491">
        <v>0</v>
      </c>
      <c r="F3745" s="491">
        <v>0</v>
      </c>
      <c r="G3745" s="491">
        <f t="shared" si="58"/>
        <v>1</v>
      </c>
    </row>
    <row r="3746" spans="1:7" ht="12.75">
      <c r="A3746" s="134" t="s">
        <v>816</v>
      </c>
      <c r="B3746" s="134">
        <v>812</v>
      </c>
      <c r="C3746" s="491">
        <v>2</v>
      </c>
      <c r="D3746" s="491">
        <v>0</v>
      </c>
      <c r="E3746" s="491">
        <v>0</v>
      </c>
      <c r="F3746" s="491">
        <v>0</v>
      </c>
      <c r="G3746" s="491">
        <f t="shared" si="58"/>
        <v>2</v>
      </c>
    </row>
    <row r="3747" spans="1:7" ht="12.75">
      <c r="A3747" s="134" t="s">
        <v>816</v>
      </c>
      <c r="B3747" s="134">
        <v>840</v>
      </c>
      <c r="C3747" s="491">
        <v>1</v>
      </c>
      <c r="D3747" s="491">
        <v>0</v>
      </c>
      <c r="E3747" s="491">
        <v>0</v>
      </c>
      <c r="F3747" s="491">
        <v>0</v>
      </c>
      <c r="G3747" s="491">
        <f t="shared" si="58"/>
        <v>1</v>
      </c>
    </row>
    <row r="3748" spans="1:7" ht="12.75">
      <c r="A3748" s="134" t="s">
        <v>817</v>
      </c>
      <c r="B3748" s="134">
        <v>420</v>
      </c>
      <c r="C3748" s="491">
        <v>0</v>
      </c>
      <c r="D3748" s="491">
        <v>6</v>
      </c>
      <c r="E3748" s="491">
        <v>0</v>
      </c>
      <c r="F3748" s="491">
        <v>0</v>
      </c>
      <c r="G3748" s="491">
        <f t="shared" si="58"/>
        <v>6</v>
      </c>
    </row>
    <row r="3749" spans="1:7" ht="12.75">
      <c r="A3749" s="134" t="s">
        <v>376</v>
      </c>
      <c r="B3749" s="134">
        <v>143</v>
      </c>
      <c r="C3749" s="491">
        <v>0</v>
      </c>
      <c r="D3749" s="491">
        <v>4</v>
      </c>
      <c r="E3749" s="491">
        <v>0</v>
      </c>
      <c r="F3749" s="491">
        <v>0</v>
      </c>
      <c r="G3749" s="491">
        <f t="shared" si="58"/>
        <v>4</v>
      </c>
    </row>
    <row r="3750" spans="1:7" ht="12.75">
      <c r="A3750" s="134" t="s">
        <v>109</v>
      </c>
      <c r="B3750" s="134">
        <v>140</v>
      </c>
      <c r="C3750" s="491">
        <v>3</v>
      </c>
      <c r="D3750" s="491">
        <v>7</v>
      </c>
      <c r="E3750" s="491">
        <v>0</v>
      </c>
      <c r="F3750" s="491">
        <v>0</v>
      </c>
      <c r="G3750" s="491">
        <f t="shared" si="58"/>
        <v>10</v>
      </c>
    </row>
    <row r="3751" spans="1:7" ht="12.75">
      <c r="A3751" s="134" t="s">
        <v>109</v>
      </c>
      <c r="B3751" s="134">
        <v>141</v>
      </c>
      <c r="C3751" s="491">
        <v>0</v>
      </c>
      <c r="D3751" s="491">
        <v>1</v>
      </c>
      <c r="E3751" s="491">
        <v>0</v>
      </c>
      <c r="F3751" s="491">
        <v>0</v>
      </c>
      <c r="G3751" s="491">
        <f t="shared" si="58"/>
        <v>1</v>
      </c>
    </row>
    <row r="3752" spans="1:7" ht="12.75">
      <c r="A3752" s="134" t="s">
        <v>109</v>
      </c>
      <c r="B3752" s="134">
        <v>143</v>
      </c>
      <c r="C3752" s="491">
        <v>0</v>
      </c>
      <c r="D3752" s="491">
        <v>1</v>
      </c>
      <c r="E3752" s="491">
        <v>0</v>
      </c>
      <c r="F3752" s="491">
        <v>0</v>
      </c>
      <c r="G3752" s="491">
        <f t="shared" si="58"/>
        <v>1</v>
      </c>
    </row>
    <row r="3753" spans="1:7" ht="12.75">
      <c r="A3753" s="134" t="s">
        <v>109</v>
      </c>
      <c r="B3753" s="134">
        <v>144</v>
      </c>
      <c r="C3753" s="491">
        <v>10</v>
      </c>
      <c r="D3753" s="491">
        <v>0</v>
      </c>
      <c r="E3753" s="491">
        <v>0</v>
      </c>
      <c r="F3753" s="491">
        <v>0</v>
      </c>
      <c r="G3753" s="491">
        <f t="shared" si="58"/>
        <v>10</v>
      </c>
    </row>
    <row r="3754" spans="1:7" ht="12.75">
      <c r="A3754" s="134" t="s">
        <v>818</v>
      </c>
      <c r="B3754" s="134">
        <v>100</v>
      </c>
      <c r="C3754" s="491">
        <v>3</v>
      </c>
      <c r="D3754" s="491">
        <v>2</v>
      </c>
      <c r="E3754" s="491">
        <v>0</v>
      </c>
      <c r="F3754" s="491">
        <v>0</v>
      </c>
      <c r="G3754" s="491">
        <f t="shared" si="58"/>
        <v>5</v>
      </c>
    </row>
    <row r="3755" spans="1:7" ht="12.75">
      <c r="A3755" s="134" t="s">
        <v>818</v>
      </c>
      <c r="B3755" s="134">
        <v>101</v>
      </c>
      <c r="C3755" s="491">
        <v>3</v>
      </c>
      <c r="D3755" s="491">
        <v>0</v>
      </c>
      <c r="E3755" s="491">
        <v>0</v>
      </c>
      <c r="F3755" s="491">
        <v>0</v>
      </c>
      <c r="G3755" s="491">
        <f t="shared" si="58"/>
        <v>3</v>
      </c>
    </row>
    <row r="3756" spans="1:7" ht="12.75">
      <c r="A3756" s="134" t="s">
        <v>818</v>
      </c>
      <c r="B3756" s="134">
        <v>104</v>
      </c>
      <c r="C3756" s="491">
        <v>0</v>
      </c>
      <c r="D3756" s="491">
        <v>1</v>
      </c>
      <c r="E3756" s="491">
        <v>0</v>
      </c>
      <c r="F3756" s="491">
        <v>0</v>
      </c>
      <c r="G3756" s="491">
        <f t="shared" si="58"/>
        <v>1</v>
      </c>
    </row>
    <row r="3757" spans="1:7" ht="12.75">
      <c r="A3757" s="134" t="s">
        <v>818</v>
      </c>
      <c r="B3757" s="134">
        <v>107</v>
      </c>
      <c r="C3757" s="491">
        <v>0</v>
      </c>
      <c r="D3757" s="491">
        <v>1</v>
      </c>
      <c r="E3757" s="491">
        <v>0</v>
      </c>
      <c r="F3757" s="491">
        <v>0</v>
      </c>
      <c r="G3757" s="491">
        <f t="shared" si="58"/>
        <v>1</v>
      </c>
    </row>
    <row r="3758" spans="1:7" ht="12.75">
      <c r="A3758" s="134" t="s">
        <v>818</v>
      </c>
      <c r="B3758" s="134">
        <v>110</v>
      </c>
      <c r="C3758" s="491">
        <v>4</v>
      </c>
      <c r="D3758" s="491">
        <v>1</v>
      </c>
      <c r="E3758" s="491">
        <v>0</v>
      </c>
      <c r="F3758" s="491">
        <v>0</v>
      </c>
      <c r="G3758" s="491">
        <f t="shared" si="58"/>
        <v>5</v>
      </c>
    </row>
    <row r="3759" spans="1:7" ht="12.75">
      <c r="A3759" s="134" t="s">
        <v>818</v>
      </c>
      <c r="B3759" s="134">
        <v>120</v>
      </c>
      <c r="C3759" s="491">
        <v>1</v>
      </c>
      <c r="D3759" s="491">
        <v>1</v>
      </c>
      <c r="E3759" s="491">
        <v>1</v>
      </c>
      <c r="F3759" s="491">
        <v>0</v>
      </c>
      <c r="G3759" s="491">
        <f t="shared" si="58"/>
        <v>3</v>
      </c>
    </row>
    <row r="3760" spans="1:7" ht="12.75">
      <c r="A3760" s="134" t="s">
        <v>818</v>
      </c>
      <c r="B3760" s="134">
        <v>130</v>
      </c>
      <c r="C3760" s="491">
        <v>4</v>
      </c>
      <c r="D3760" s="491">
        <v>1</v>
      </c>
      <c r="E3760" s="491">
        <v>0</v>
      </c>
      <c r="F3760" s="491">
        <v>0</v>
      </c>
      <c r="G3760" s="491">
        <f t="shared" si="58"/>
        <v>5</v>
      </c>
    </row>
    <row r="3761" spans="1:7" ht="12.75">
      <c r="A3761" s="134" t="s">
        <v>818</v>
      </c>
      <c r="B3761" s="134">
        <v>170</v>
      </c>
      <c r="C3761" s="491">
        <v>1</v>
      </c>
      <c r="D3761" s="491">
        <v>0</v>
      </c>
      <c r="E3761" s="491">
        <v>0</v>
      </c>
      <c r="F3761" s="491">
        <v>0</v>
      </c>
      <c r="G3761" s="491">
        <f t="shared" si="58"/>
        <v>1</v>
      </c>
    </row>
    <row r="3762" spans="1:7" ht="12.75">
      <c r="A3762" s="134" t="s">
        <v>818</v>
      </c>
      <c r="B3762" s="134">
        <v>172</v>
      </c>
      <c r="C3762" s="491">
        <v>0</v>
      </c>
      <c r="D3762" s="491">
        <v>1</v>
      </c>
      <c r="E3762" s="491">
        <v>0</v>
      </c>
      <c r="F3762" s="491">
        <v>0</v>
      </c>
      <c r="G3762" s="491">
        <f t="shared" si="58"/>
        <v>1</v>
      </c>
    </row>
    <row r="3763" spans="1:7" ht="12.75">
      <c r="A3763" s="134" t="s">
        <v>818</v>
      </c>
      <c r="B3763" s="134">
        <v>190</v>
      </c>
      <c r="C3763" s="491">
        <v>0</v>
      </c>
      <c r="D3763" s="491">
        <v>1</v>
      </c>
      <c r="E3763" s="491">
        <v>0</v>
      </c>
      <c r="F3763" s="491">
        <v>0</v>
      </c>
      <c r="G3763" s="491">
        <f t="shared" si="58"/>
        <v>1</v>
      </c>
    </row>
    <row r="3764" spans="1:7" ht="12.75">
      <c r="A3764" s="134" t="s">
        <v>818</v>
      </c>
      <c r="B3764" s="134">
        <v>300</v>
      </c>
      <c r="C3764" s="491">
        <v>441</v>
      </c>
      <c r="D3764" s="491">
        <v>7</v>
      </c>
      <c r="E3764" s="491">
        <v>0</v>
      </c>
      <c r="F3764" s="491">
        <v>0</v>
      </c>
      <c r="G3764" s="491">
        <f t="shared" si="58"/>
        <v>448</v>
      </c>
    </row>
    <row r="3765" spans="1:7" ht="12.75">
      <c r="A3765" s="134" t="s">
        <v>818</v>
      </c>
      <c r="B3765" s="134">
        <v>304</v>
      </c>
      <c r="C3765" s="491">
        <v>1561</v>
      </c>
      <c r="D3765" s="491">
        <v>80</v>
      </c>
      <c r="E3765" s="491">
        <v>0</v>
      </c>
      <c r="F3765" s="491">
        <v>0</v>
      </c>
      <c r="G3765" s="491">
        <f t="shared" si="58"/>
        <v>1641</v>
      </c>
    </row>
    <row r="3766" spans="1:7" ht="12.75">
      <c r="A3766" s="134" t="s">
        <v>818</v>
      </c>
      <c r="B3766" s="134">
        <v>307</v>
      </c>
      <c r="C3766" s="491">
        <v>0</v>
      </c>
      <c r="D3766" s="491">
        <v>1</v>
      </c>
      <c r="E3766" s="491">
        <v>0</v>
      </c>
      <c r="F3766" s="491">
        <v>0</v>
      </c>
      <c r="G3766" s="491">
        <f t="shared" si="58"/>
        <v>1</v>
      </c>
    </row>
    <row r="3767" spans="1:7" ht="12.75">
      <c r="A3767" s="134" t="s">
        <v>818</v>
      </c>
      <c r="B3767" s="134">
        <v>310</v>
      </c>
      <c r="C3767" s="491">
        <v>1</v>
      </c>
      <c r="D3767" s="491">
        <v>0</v>
      </c>
      <c r="E3767" s="491">
        <v>0</v>
      </c>
      <c r="F3767" s="491">
        <v>0</v>
      </c>
      <c r="G3767" s="491">
        <f t="shared" si="58"/>
        <v>1</v>
      </c>
    </row>
    <row r="3768" spans="1:7" ht="12.75">
      <c r="A3768" s="134" t="s">
        <v>818</v>
      </c>
      <c r="B3768" s="134">
        <v>320</v>
      </c>
      <c r="C3768" s="491">
        <v>4937</v>
      </c>
      <c r="D3768" s="491">
        <v>529</v>
      </c>
      <c r="E3768" s="491">
        <v>0</v>
      </c>
      <c r="F3768" s="491">
        <v>2</v>
      </c>
      <c r="G3768" s="491">
        <f t="shared" si="58"/>
        <v>5468</v>
      </c>
    </row>
    <row r="3769" spans="1:7" ht="12.75">
      <c r="A3769" s="134" t="s">
        <v>818</v>
      </c>
      <c r="B3769" s="134">
        <v>321</v>
      </c>
      <c r="C3769" s="491">
        <v>10</v>
      </c>
      <c r="D3769" s="491">
        <v>1</v>
      </c>
      <c r="E3769" s="491">
        <v>6</v>
      </c>
      <c r="F3769" s="491">
        <v>1</v>
      </c>
      <c r="G3769" s="491">
        <f t="shared" si="58"/>
        <v>18</v>
      </c>
    </row>
    <row r="3770" spans="1:7" ht="12.75">
      <c r="A3770" s="134" t="s">
        <v>818</v>
      </c>
      <c r="B3770" s="134">
        <v>324</v>
      </c>
      <c r="C3770" s="491">
        <v>1</v>
      </c>
      <c r="D3770" s="491">
        <v>0</v>
      </c>
      <c r="E3770" s="491">
        <v>0</v>
      </c>
      <c r="F3770" s="491">
        <v>0</v>
      </c>
      <c r="G3770" s="491">
        <f t="shared" si="58"/>
        <v>1</v>
      </c>
    </row>
    <row r="3771" spans="1:7" ht="12.75">
      <c r="A3771" s="134" t="s">
        <v>818</v>
      </c>
      <c r="B3771" s="134">
        <v>329</v>
      </c>
      <c r="C3771" s="491">
        <v>0</v>
      </c>
      <c r="D3771" s="491">
        <v>3</v>
      </c>
      <c r="E3771" s="491">
        <v>0</v>
      </c>
      <c r="F3771" s="491">
        <v>3</v>
      </c>
      <c r="G3771" s="491">
        <f t="shared" si="58"/>
        <v>6</v>
      </c>
    </row>
    <row r="3772" spans="1:7" ht="12.75">
      <c r="A3772" s="134" t="s">
        <v>818</v>
      </c>
      <c r="B3772" s="134">
        <v>330</v>
      </c>
      <c r="C3772" s="491">
        <v>4</v>
      </c>
      <c r="D3772" s="491">
        <v>0</v>
      </c>
      <c r="E3772" s="491">
        <v>0</v>
      </c>
      <c r="F3772" s="491">
        <v>0</v>
      </c>
      <c r="G3772" s="491">
        <f t="shared" si="58"/>
        <v>4</v>
      </c>
    </row>
    <row r="3773" spans="1:7" ht="12.75">
      <c r="A3773" s="134" t="s">
        <v>818</v>
      </c>
      <c r="B3773" s="134">
        <v>340</v>
      </c>
      <c r="C3773" s="491">
        <v>1</v>
      </c>
      <c r="D3773" s="491">
        <v>2</v>
      </c>
      <c r="E3773" s="491">
        <v>0</v>
      </c>
      <c r="F3773" s="491">
        <v>0</v>
      </c>
      <c r="G3773" s="491">
        <f t="shared" si="58"/>
        <v>3</v>
      </c>
    </row>
    <row r="3774" spans="1:7" ht="12.75">
      <c r="A3774" s="134" t="s">
        <v>818</v>
      </c>
      <c r="B3774" s="134">
        <v>430</v>
      </c>
      <c r="C3774" s="491">
        <v>0</v>
      </c>
      <c r="D3774" s="491">
        <v>4</v>
      </c>
      <c r="E3774" s="491">
        <v>0</v>
      </c>
      <c r="F3774" s="491">
        <v>0</v>
      </c>
      <c r="G3774" s="491">
        <f t="shared" si="58"/>
        <v>4</v>
      </c>
    </row>
    <row r="3775" spans="1:7" ht="12.75">
      <c r="A3775" s="134" t="s">
        <v>818</v>
      </c>
      <c r="B3775" s="134">
        <v>502</v>
      </c>
      <c r="C3775" s="491">
        <v>1</v>
      </c>
      <c r="D3775" s="491">
        <v>0</v>
      </c>
      <c r="E3775" s="491">
        <v>0</v>
      </c>
      <c r="F3775" s="491">
        <v>0</v>
      </c>
      <c r="G3775" s="491">
        <f t="shared" si="58"/>
        <v>1</v>
      </c>
    </row>
    <row r="3776" spans="1:7" ht="12.75">
      <c r="A3776" s="134" t="s">
        <v>818</v>
      </c>
      <c r="B3776" s="134">
        <v>654</v>
      </c>
      <c r="C3776" s="491">
        <v>1</v>
      </c>
      <c r="D3776" s="491">
        <v>0</v>
      </c>
      <c r="E3776" s="491">
        <v>0</v>
      </c>
      <c r="F3776" s="491">
        <v>0</v>
      </c>
      <c r="G3776" s="491">
        <f t="shared" si="58"/>
        <v>1</v>
      </c>
    </row>
    <row r="3777" spans="1:7" ht="12.75">
      <c r="A3777" s="134" t="s">
        <v>818</v>
      </c>
      <c r="B3777" s="134">
        <v>800</v>
      </c>
      <c r="C3777" s="491">
        <v>1</v>
      </c>
      <c r="D3777" s="491">
        <v>4</v>
      </c>
      <c r="E3777" s="491">
        <v>0</v>
      </c>
      <c r="F3777" s="491">
        <v>0</v>
      </c>
      <c r="G3777" s="491">
        <f t="shared" si="58"/>
        <v>5</v>
      </c>
    </row>
    <row r="3778" spans="1:7" ht="12.75">
      <c r="A3778" s="134" t="s">
        <v>818</v>
      </c>
      <c r="B3778" s="134">
        <v>811</v>
      </c>
      <c r="C3778" s="491">
        <v>0</v>
      </c>
      <c r="D3778" s="491">
        <v>1</v>
      </c>
      <c r="E3778" s="491">
        <v>0</v>
      </c>
      <c r="F3778" s="491">
        <v>0</v>
      </c>
      <c r="G3778" s="491">
        <f t="shared" si="58"/>
        <v>1</v>
      </c>
    </row>
    <row r="3779" spans="1:7" ht="12.75">
      <c r="A3779" s="134" t="s">
        <v>818</v>
      </c>
      <c r="B3779" s="134">
        <v>812</v>
      </c>
      <c r="C3779" s="491">
        <v>32</v>
      </c>
      <c r="D3779" s="491">
        <v>53</v>
      </c>
      <c r="E3779" s="491">
        <v>0</v>
      </c>
      <c r="F3779" s="491">
        <v>0</v>
      </c>
      <c r="G3779" s="491">
        <f t="shared" si="58"/>
        <v>85</v>
      </c>
    </row>
    <row r="3780" spans="1:7" ht="12.75">
      <c r="A3780" s="134" t="s">
        <v>819</v>
      </c>
      <c r="B3780" s="134">
        <v>304</v>
      </c>
      <c r="C3780" s="491">
        <v>61</v>
      </c>
      <c r="D3780" s="491">
        <v>19</v>
      </c>
      <c r="E3780" s="491">
        <v>0</v>
      </c>
      <c r="F3780" s="491">
        <v>0</v>
      </c>
      <c r="G3780" s="491">
        <f t="shared" ref="G3780:G3843" si="59">SUM(C3780:F3780)</f>
        <v>80</v>
      </c>
    </row>
    <row r="3781" spans="1:7" ht="12.75">
      <c r="A3781" s="134" t="s">
        <v>819</v>
      </c>
      <c r="B3781" s="134">
        <v>320</v>
      </c>
      <c r="C3781" s="491">
        <v>3</v>
      </c>
      <c r="D3781" s="491">
        <v>1</v>
      </c>
      <c r="E3781" s="491">
        <v>0</v>
      </c>
      <c r="F3781" s="491">
        <v>0</v>
      </c>
      <c r="G3781" s="491">
        <f t="shared" si="59"/>
        <v>4</v>
      </c>
    </row>
    <row r="3782" spans="1:7" ht="12.75">
      <c r="A3782" s="134" t="s">
        <v>819</v>
      </c>
      <c r="B3782" s="134">
        <v>501</v>
      </c>
      <c r="C3782" s="491">
        <v>1</v>
      </c>
      <c r="D3782" s="491">
        <v>0</v>
      </c>
      <c r="E3782" s="491">
        <v>0</v>
      </c>
      <c r="F3782" s="491">
        <v>0</v>
      </c>
      <c r="G3782" s="491">
        <f t="shared" si="59"/>
        <v>1</v>
      </c>
    </row>
    <row r="3783" spans="1:7" ht="12.75">
      <c r="A3783" s="134" t="s">
        <v>820</v>
      </c>
      <c r="B3783" s="134">
        <v>304</v>
      </c>
      <c r="C3783" s="491">
        <v>63</v>
      </c>
      <c r="D3783" s="491">
        <v>3</v>
      </c>
      <c r="E3783" s="491">
        <v>0</v>
      </c>
      <c r="F3783" s="491">
        <v>0</v>
      </c>
      <c r="G3783" s="491">
        <f t="shared" si="59"/>
        <v>66</v>
      </c>
    </row>
    <row r="3784" spans="1:7" ht="12.75">
      <c r="A3784" s="134" t="s">
        <v>820</v>
      </c>
      <c r="B3784" s="134">
        <v>320</v>
      </c>
      <c r="C3784" s="491">
        <v>2</v>
      </c>
      <c r="D3784" s="491">
        <v>0</v>
      </c>
      <c r="E3784" s="491">
        <v>0</v>
      </c>
      <c r="F3784" s="491">
        <v>0</v>
      </c>
      <c r="G3784" s="491">
        <f t="shared" si="59"/>
        <v>2</v>
      </c>
    </row>
    <row r="3785" spans="1:7" ht="12.75">
      <c r="A3785" s="134" t="s">
        <v>820</v>
      </c>
      <c r="B3785" s="134">
        <v>811</v>
      </c>
      <c r="C3785" s="491">
        <v>0</v>
      </c>
      <c r="D3785" s="491">
        <v>1</v>
      </c>
      <c r="E3785" s="491">
        <v>0</v>
      </c>
      <c r="F3785" s="491">
        <v>0</v>
      </c>
      <c r="G3785" s="491">
        <f t="shared" si="59"/>
        <v>1</v>
      </c>
    </row>
    <row r="3786" spans="1:7" ht="12.75">
      <c r="A3786" s="134" t="s">
        <v>820</v>
      </c>
      <c r="B3786" s="134">
        <v>812</v>
      </c>
      <c r="C3786" s="491">
        <v>1</v>
      </c>
      <c r="D3786" s="491">
        <v>0</v>
      </c>
      <c r="E3786" s="491">
        <v>0</v>
      </c>
      <c r="F3786" s="491">
        <v>0</v>
      </c>
      <c r="G3786" s="491">
        <f t="shared" si="59"/>
        <v>1</v>
      </c>
    </row>
    <row r="3787" spans="1:7" ht="12.75">
      <c r="A3787" s="134" t="s">
        <v>821</v>
      </c>
      <c r="B3787" s="134">
        <v>107</v>
      </c>
      <c r="C3787" s="491">
        <v>0</v>
      </c>
      <c r="D3787" s="491">
        <v>1</v>
      </c>
      <c r="E3787" s="491">
        <v>0</v>
      </c>
      <c r="F3787" s="491">
        <v>0</v>
      </c>
      <c r="G3787" s="491">
        <f t="shared" si="59"/>
        <v>1</v>
      </c>
    </row>
    <row r="3788" spans="1:7" ht="12.75">
      <c r="A3788" s="134" t="s">
        <v>821</v>
      </c>
      <c r="B3788" s="134">
        <v>300</v>
      </c>
      <c r="C3788" s="491">
        <v>3</v>
      </c>
      <c r="D3788" s="491">
        <v>3</v>
      </c>
      <c r="E3788" s="491">
        <v>0</v>
      </c>
      <c r="F3788" s="491">
        <v>0</v>
      </c>
      <c r="G3788" s="491">
        <f t="shared" si="59"/>
        <v>6</v>
      </c>
    </row>
    <row r="3789" spans="1:7" ht="12.75">
      <c r="A3789" s="134" t="s">
        <v>821</v>
      </c>
      <c r="B3789" s="134">
        <v>301</v>
      </c>
      <c r="C3789" s="491">
        <v>1</v>
      </c>
      <c r="D3789" s="491">
        <v>0</v>
      </c>
      <c r="E3789" s="491">
        <v>0</v>
      </c>
      <c r="F3789" s="491">
        <v>0</v>
      </c>
      <c r="G3789" s="491">
        <f t="shared" si="59"/>
        <v>1</v>
      </c>
    </row>
    <row r="3790" spans="1:7" ht="12.75">
      <c r="A3790" s="134" t="s">
        <v>821</v>
      </c>
      <c r="B3790" s="134">
        <v>350</v>
      </c>
      <c r="C3790" s="491">
        <v>4</v>
      </c>
      <c r="D3790" s="491">
        <v>0</v>
      </c>
      <c r="E3790" s="491">
        <v>0</v>
      </c>
      <c r="F3790" s="491">
        <v>0</v>
      </c>
      <c r="G3790" s="491">
        <f t="shared" si="59"/>
        <v>4</v>
      </c>
    </row>
    <row r="3791" spans="1:7" ht="12.75">
      <c r="A3791" s="134" t="s">
        <v>821</v>
      </c>
      <c r="B3791" s="134">
        <v>361</v>
      </c>
      <c r="C3791" s="491">
        <v>1</v>
      </c>
      <c r="D3791" s="491">
        <v>0</v>
      </c>
      <c r="E3791" s="491">
        <v>0</v>
      </c>
      <c r="F3791" s="491">
        <v>0</v>
      </c>
      <c r="G3791" s="491">
        <f t="shared" si="59"/>
        <v>1</v>
      </c>
    </row>
    <row r="3792" spans="1:7" ht="12.75">
      <c r="A3792" s="134" t="s">
        <v>821</v>
      </c>
      <c r="B3792" s="134">
        <v>800</v>
      </c>
      <c r="C3792" s="491">
        <v>1</v>
      </c>
      <c r="D3792" s="491">
        <v>0</v>
      </c>
      <c r="E3792" s="491">
        <v>0</v>
      </c>
      <c r="F3792" s="491">
        <v>0</v>
      </c>
      <c r="G3792" s="491">
        <f t="shared" si="59"/>
        <v>1</v>
      </c>
    </row>
    <row r="3793" spans="1:7" ht="12.75">
      <c r="A3793" s="134" t="s">
        <v>821</v>
      </c>
      <c r="B3793" s="134">
        <v>812</v>
      </c>
      <c r="C3793" s="491">
        <v>4</v>
      </c>
      <c r="D3793" s="491">
        <v>3</v>
      </c>
      <c r="E3793" s="491">
        <v>0</v>
      </c>
      <c r="F3793" s="491">
        <v>0</v>
      </c>
      <c r="G3793" s="491">
        <f t="shared" si="59"/>
        <v>7</v>
      </c>
    </row>
    <row r="3794" spans="1:7" ht="12.75">
      <c r="A3794" s="134" t="s">
        <v>822</v>
      </c>
      <c r="B3794" s="134">
        <v>300</v>
      </c>
      <c r="C3794" s="491">
        <v>1</v>
      </c>
      <c r="D3794" s="491">
        <v>0</v>
      </c>
      <c r="E3794" s="491">
        <v>0</v>
      </c>
      <c r="F3794" s="491">
        <v>0</v>
      </c>
      <c r="G3794" s="491">
        <f t="shared" si="59"/>
        <v>1</v>
      </c>
    </row>
    <row r="3795" spans="1:7" ht="12.75">
      <c r="A3795" s="134" t="s">
        <v>822</v>
      </c>
      <c r="B3795" s="134">
        <v>304</v>
      </c>
      <c r="C3795" s="491">
        <v>118</v>
      </c>
      <c r="D3795" s="491">
        <v>6</v>
      </c>
      <c r="E3795" s="491">
        <v>0</v>
      </c>
      <c r="F3795" s="491">
        <v>0</v>
      </c>
      <c r="G3795" s="491">
        <f t="shared" si="59"/>
        <v>124</v>
      </c>
    </row>
    <row r="3796" spans="1:7" ht="12.75">
      <c r="A3796" s="134" t="s">
        <v>822</v>
      </c>
      <c r="B3796" s="134">
        <v>320</v>
      </c>
      <c r="C3796" s="491">
        <v>898</v>
      </c>
      <c r="D3796" s="491">
        <v>31</v>
      </c>
      <c r="E3796" s="491">
        <v>0</v>
      </c>
      <c r="F3796" s="491">
        <v>0</v>
      </c>
      <c r="G3796" s="491">
        <f t="shared" si="59"/>
        <v>929</v>
      </c>
    </row>
    <row r="3797" spans="1:7" ht="12.75">
      <c r="A3797" s="134" t="s">
        <v>822</v>
      </c>
      <c r="B3797" s="134">
        <v>321</v>
      </c>
      <c r="C3797" s="491">
        <v>3</v>
      </c>
      <c r="D3797" s="491">
        <v>0</v>
      </c>
      <c r="E3797" s="491">
        <v>3</v>
      </c>
      <c r="F3797" s="491">
        <v>0</v>
      </c>
      <c r="G3797" s="491">
        <f t="shared" si="59"/>
        <v>6</v>
      </c>
    </row>
    <row r="3798" spans="1:7" ht="12.75">
      <c r="A3798" s="134" t="s">
        <v>822</v>
      </c>
      <c r="B3798" s="134">
        <v>812</v>
      </c>
      <c r="C3798" s="491">
        <v>1</v>
      </c>
      <c r="D3798" s="491">
        <v>0</v>
      </c>
      <c r="E3798" s="491">
        <v>0</v>
      </c>
      <c r="F3798" s="491">
        <v>0</v>
      </c>
      <c r="G3798" s="491">
        <f t="shared" si="59"/>
        <v>1</v>
      </c>
    </row>
    <row r="3799" spans="1:7" ht="12.75">
      <c r="A3799" s="134" t="s">
        <v>823</v>
      </c>
      <c r="B3799" s="134">
        <v>110</v>
      </c>
      <c r="C3799" s="491">
        <v>1</v>
      </c>
      <c r="D3799" s="491">
        <v>0</v>
      </c>
      <c r="E3799" s="491">
        <v>0</v>
      </c>
      <c r="F3799" s="491">
        <v>0</v>
      </c>
      <c r="G3799" s="491">
        <f t="shared" si="59"/>
        <v>1</v>
      </c>
    </row>
    <row r="3800" spans="1:7" ht="12.75">
      <c r="A3800" s="134" t="s">
        <v>823</v>
      </c>
      <c r="B3800" s="134">
        <v>130</v>
      </c>
      <c r="C3800" s="491">
        <v>1</v>
      </c>
      <c r="D3800" s="491">
        <v>0</v>
      </c>
      <c r="E3800" s="491">
        <v>0</v>
      </c>
      <c r="F3800" s="491">
        <v>0</v>
      </c>
      <c r="G3800" s="491">
        <f t="shared" si="59"/>
        <v>1</v>
      </c>
    </row>
    <row r="3801" spans="1:7" ht="12.75">
      <c r="A3801" s="134" t="s">
        <v>823</v>
      </c>
      <c r="B3801" s="134">
        <v>140</v>
      </c>
      <c r="C3801" s="491">
        <v>0</v>
      </c>
      <c r="D3801" s="491">
        <v>1</v>
      </c>
      <c r="E3801" s="491">
        <v>0</v>
      </c>
      <c r="F3801" s="491">
        <v>0</v>
      </c>
      <c r="G3801" s="491">
        <f t="shared" si="59"/>
        <v>1</v>
      </c>
    </row>
    <row r="3802" spans="1:7" ht="12.75">
      <c r="A3802" s="134" t="s">
        <v>823</v>
      </c>
      <c r="B3802" s="134">
        <v>171</v>
      </c>
      <c r="C3802" s="491">
        <v>0</v>
      </c>
      <c r="D3802" s="491">
        <v>6</v>
      </c>
      <c r="E3802" s="491">
        <v>0</v>
      </c>
      <c r="F3802" s="491">
        <v>0</v>
      </c>
      <c r="G3802" s="491">
        <f t="shared" si="59"/>
        <v>6</v>
      </c>
    </row>
    <row r="3803" spans="1:7" ht="12.75">
      <c r="A3803" s="134" t="s">
        <v>823</v>
      </c>
      <c r="B3803" s="134">
        <v>320</v>
      </c>
      <c r="C3803" s="491">
        <v>1</v>
      </c>
      <c r="D3803" s="491">
        <v>0</v>
      </c>
      <c r="E3803" s="491">
        <v>0</v>
      </c>
      <c r="F3803" s="491">
        <v>0</v>
      </c>
      <c r="G3803" s="491">
        <f t="shared" si="59"/>
        <v>1</v>
      </c>
    </row>
    <row r="3804" spans="1:7" ht="12.75">
      <c r="A3804" s="134" t="s">
        <v>823</v>
      </c>
      <c r="B3804" s="134">
        <v>430</v>
      </c>
      <c r="C3804" s="491">
        <v>1</v>
      </c>
      <c r="D3804" s="491">
        <v>0</v>
      </c>
      <c r="E3804" s="491">
        <v>0</v>
      </c>
      <c r="F3804" s="491">
        <v>0</v>
      </c>
      <c r="G3804" s="491">
        <f t="shared" si="59"/>
        <v>1</v>
      </c>
    </row>
    <row r="3805" spans="1:7" ht="12.75">
      <c r="A3805" s="134" t="s">
        <v>824</v>
      </c>
      <c r="B3805" s="134">
        <v>101</v>
      </c>
      <c r="C3805" s="491">
        <v>2</v>
      </c>
      <c r="D3805" s="491">
        <v>1</v>
      </c>
      <c r="E3805" s="491">
        <v>0</v>
      </c>
      <c r="F3805" s="491">
        <v>0</v>
      </c>
      <c r="G3805" s="491">
        <f t="shared" si="59"/>
        <v>3</v>
      </c>
    </row>
    <row r="3806" spans="1:7" ht="12.75">
      <c r="A3806" s="134" t="s">
        <v>824</v>
      </c>
      <c r="B3806" s="134">
        <v>104</v>
      </c>
      <c r="C3806" s="491">
        <v>0</v>
      </c>
      <c r="D3806" s="491">
        <v>2</v>
      </c>
      <c r="E3806" s="491">
        <v>0</v>
      </c>
      <c r="F3806" s="491">
        <v>0</v>
      </c>
      <c r="G3806" s="491">
        <f t="shared" si="59"/>
        <v>2</v>
      </c>
    </row>
    <row r="3807" spans="1:7" ht="12.75">
      <c r="A3807" s="134" t="s">
        <v>824</v>
      </c>
      <c r="B3807" s="134">
        <v>110</v>
      </c>
      <c r="C3807" s="491">
        <v>1</v>
      </c>
      <c r="D3807" s="491">
        <v>0</v>
      </c>
      <c r="E3807" s="491">
        <v>0</v>
      </c>
      <c r="F3807" s="491">
        <v>0</v>
      </c>
      <c r="G3807" s="491">
        <f t="shared" si="59"/>
        <v>1</v>
      </c>
    </row>
    <row r="3808" spans="1:7" ht="12.75">
      <c r="A3808" s="134" t="s">
        <v>824</v>
      </c>
      <c r="B3808" s="134">
        <v>120</v>
      </c>
      <c r="C3808" s="491">
        <v>1</v>
      </c>
      <c r="D3808" s="491">
        <v>1</v>
      </c>
      <c r="E3808" s="491">
        <v>0</v>
      </c>
      <c r="F3808" s="491">
        <v>0</v>
      </c>
      <c r="G3808" s="491">
        <f t="shared" si="59"/>
        <v>2</v>
      </c>
    </row>
    <row r="3809" spans="1:7" ht="12.75">
      <c r="A3809" s="134" t="s">
        <v>824</v>
      </c>
      <c r="B3809" s="134">
        <v>144</v>
      </c>
      <c r="C3809" s="491">
        <v>1</v>
      </c>
      <c r="D3809" s="491">
        <v>0</v>
      </c>
      <c r="E3809" s="491">
        <v>0</v>
      </c>
      <c r="F3809" s="491">
        <v>0</v>
      </c>
      <c r="G3809" s="491">
        <f t="shared" si="59"/>
        <v>1</v>
      </c>
    </row>
    <row r="3810" spans="1:7" ht="12.75">
      <c r="A3810" s="134" t="s">
        <v>824</v>
      </c>
      <c r="B3810" s="134">
        <v>255</v>
      </c>
      <c r="C3810" s="491">
        <v>1</v>
      </c>
      <c r="D3810" s="491">
        <v>0</v>
      </c>
      <c r="E3810" s="491">
        <v>0</v>
      </c>
      <c r="F3810" s="491">
        <v>0</v>
      </c>
      <c r="G3810" s="491">
        <f t="shared" si="59"/>
        <v>1</v>
      </c>
    </row>
    <row r="3811" spans="1:7" ht="12.75">
      <c r="A3811" s="134" t="s">
        <v>824</v>
      </c>
      <c r="B3811" s="134">
        <v>300</v>
      </c>
      <c r="C3811" s="491">
        <v>1</v>
      </c>
      <c r="D3811" s="491">
        <v>1</v>
      </c>
      <c r="E3811" s="491">
        <v>0</v>
      </c>
      <c r="F3811" s="491">
        <v>0</v>
      </c>
      <c r="G3811" s="491">
        <f t="shared" si="59"/>
        <v>2</v>
      </c>
    </row>
    <row r="3812" spans="1:7" ht="12.75">
      <c r="A3812" s="134" t="s">
        <v>824</v>
      </c>
      <c r="B3812" s="134">
        <v>502</v>
      </c>
      <c r="C3812" s="491">
        <v>0</v>
      </c>
      <c r="D3812" s="491">
        <v>1</v>
      </c>
      <c r="E3812" s="491">
        <v>0</v>
      </c>
      <c r="F3812" s="491">
        <v>0</v>
      </c>
      <c r="G3812" s="491">
        <f t="shared" si="59"/>
        <v>1</v>
      </c>
    </row>
    <row r="3813" spans="1:7" ht="12.75">
      <c r="A3813" s="134" t="s">
        <v>825</v>
      </c>
      <c r="B3813" s="134">
        <v>191</v>
      </c>
      <c r="C3813" s="491">
        <v>0</v>
      </c>
      <c r="D3813" s="491">
        <v>1</v>
      </c>
      <c r="E3813" s="491">
        <v>0</v>
      </c>
      <c r="F3813" s="491">
        <v>0</v>
      </c>
      <c r="G3813" s="491">
        <f t="shared" si="59"/>
        <v>1</v>
      </c>
    </row>
    <row r="3814" spans="1:7" ht="12.75">
      <c r="A3814" s="134" t="s">
        <v>825</v>
      </c>
      <c r="B3814" s="134">
        <v>301</v>
      </c>
      <c r="C3814" s="491">
        <v>0</v>
      </c>
      <c r="D3814" s="491">
        <v>1</v>
      </c>
      <c r="E3814" s="491">
        <v>0</v>
      </c>
      <c r="F3814" s="491">
        <v>0</v>
      </c>
      <c r="G3814" s="491">
        <f t="shared" si="59"/>
        <v>1</v>
      </c>
    </row>
    <row r="3815" spans="1:7" ht="12.75">
      <c r="A3815" s="134" t="s">
        <v>825</v>
      </c>
      <c r="B3815" s="134">
        <v>320</v>
      </c>
      <c r="C3815" s="491">
        <v>1</v>
      </c>
      <c r="D3815" s="491">
        <v>0</v>
      </c>
      <c r="E3815" s="491">
        <v>0</v>
      </c>
      <c r="F3815" s="491">
        <v>0</v>
      </c>
      <c r="G3815" s="491">
        <f t="shared" si="59"/>
        <v>1</v>
      </c>
    </row>
    <row r="3816" spans="1:7" ht="12.75">
      <c r="A3816" s="134" t="s">
        <v>825</v>
      </c>
      <c r="B3816" s="134">
        <v>501</v>
      </c>
      <c r="C3816" s="491">
        <v>1</v>
      </c>
      <c r="D3816" s="491">
        <v>0</v>
      </c>
      <c r="E3816" s="491">
        <v>0</v>
      </c>
      <c r="F3816" s="491">
        <v>0</v>
      </c>
      <c r="G3816" s="491">
        <f t="shared" si="59"/>
        <v>1</v>
      </c>
    </row>
    <row r="3817" spans="1:7" ht="12.75">
      <c r="A3817" s="134" t="s">
        <v>826</v>
      </c>
      <c r="B3817" s="134">
        <v>103</v>
      </c>
      <c r="C3817" s="491">
        <v>1</v>
      </c>
      <c r="D3817" s="491">
        <v>0</v>
      </c>
      <c r="E3817" s="491">
        <v>0</v>
      </c>
      <c r="F3817" s="491">
        <v>0</v>
      </c>
      <c r="G3817" s="491">
        <f t="shared" si="59"/>
        <v>1</v>
      </c>
    </row>
    <row r="3818" spans="1:7" ht="12.75">
      <c r="A3818" s="134" t="s">
        <v>826</v>
      </c>
      <c r="B3818" s="134">
        <v>321</v>
      </c>
      <c r="C3818" s="491">
        <v>0</v>
      </c>
      <c r="D3818" s="491">
        <v>1</v>
      </c>
      <c r="E3818" s="491">
        <v>0</v>
      </c>
      <c r="F3818" s="491">
        <v>0</v>
      </c>
      <c r="G3818" s="491">
        <f t="shared" si="59"/>
        <v>1</v>
      </c>
    </row>
    <row r="3819" spans="1:7" ht="12.75">
      <c r="A3819" s="134" t="s">
        <v>826</v>
      </c>
      <c r="B3819" s="134">
        <v>324</v>
      </c>
      <c r="C3819" s="491">
        <v>1</v>
      </c>
      <c r="D3819" s="491">
        <v>0</v>
      </c>
      <c r="E3819" s="491">
        <v>0</v>
      </c>
      <c r="F3819" s="491">
        <v>0</v>
      </c>
      <c r="G3819" s="491">
        <f t="shared" si="59"/>
        <v>1</v>
      </c>
    </row>
    <row r="3820" spans="1:7" ht="12.75">
      <c r="A3820" s="134" t="s">
        <v>826</v>
      </c>
      <c r="B3820" s="134">
        <v>361</v>
      </c>
      <c r="C3820" s="491">
        <v>1</v>
      </c>
      <c r="D3820" s="491">
        <v>0</v>
      </c>
      <c r="E3820" s="491">
        <v>0</v>
      </c>
      <c r="F3820" s="491">
        <v>0</v>
      </c>
      <c r="G3820" s="491">
        <f t="shared" si="59"/>
        <v>1</v>
      </c>
    </row>
    <row r="3821" spans="1:7" ht="12.75">
      <c r="A3821" s="134" t="s">
        <v>826</v>
      </c>
      <c r="B3821" s="134">
        <v>501</v>
      </c>
      <c r="C3821" s="491">
        <v>0</v>
      </c>
      <c r="D3821" s="491">
        <v>0</v>
      </c>
      <c r="E3821" s="491">
        <v>1</v>
      </c>
      <c r="F3821" s="491">
        <v>0</v>
      </c>
      <c r="G3821" s="491">
        <f t="shared" si="59"/>
        <v>1</v>
      </c>
    </row>
    <row r="3822" spans="1:7" ht="12.75">
      <c r="A3822" s="134" t="s">
        <v>827</v>
      </c>
      <c r="B3822" s="134">
        <v>130</v>
      </c>
      <c r="C3822" s="491">
        <v>1</v>
      </c>
      <c r="D3822" s="491">
        <v>0</v>
      </c>
      <c r="E3822" s="491">
        <v>0</v>
      </c>
      <c r="F3822" s="491">
        <v>0</v>
      </c>
      <c r="G3822" s="491">
        <f t="shared" si="59"/>
        <v>1</v>
      </c>
    </row>
    <row r="3823" spans="1:7" ht="12.75">
      <c r="A3823" s="134" t="s">
        <v>827</v>
      </c>
      <c r="B3823" s="134">
        <v>170</v>
      </c>
      <c r="C3823" s="491">
        <v>0</v>
      </c>
      <c r="D3823" s="491">
        <v>1</v>
      </c>
      <c r="E3823" s="491">
        <v>0</v>
      </c>
      <c r="F3823" s="491">
        <v>0</v>
      </c>
      <c r="G3823" s="491">
        <f t="shared" si="59"/>
        <v>1</v>
      </c>
    </row>
    <row r="3824" spans="1:7" ht="12.75">
      <c r="A3824" s="134" t="s">
        <v>827</v>
      </c>
      <c r="B3824" s="134">
        <v>320</v>
      </c>
      <c r="C3824" s="491">
        <v>53</v>
      </c>
      <c r="D3824" s="491">
        <v>9</v>
      </c>
      <c r="E3824" s="491">
        <v>0</v>
      </c>
      <c r="F3824" s="491">
        <v>0</v>
      </c>
      <c r="G3824" s="491">
        <f t="shared" si="59"/>
        <v>62</v>
      </c>
    </row>
    <row r="3825" spans="1:7" ht="12.75">
      <c r="A3825" s="134" t="s">
        <v>827</v>
      </c>
      <c r="B3825" s="134">
        <v>330</v>
      </c>
      <c r="C3825" s="491">
        <v>0</v>
      </c>
      <c r="D3825" s="491">
        <v>1</v>
      </c>
      <c r="E3825" s="491">
        <v>0</v>
      </c>
      <c r="F3825" s="491">
        <v>0</v>
      </c>
      <c r="G3825" s="491">
        <f t="shared" si="59"/>
        <v>1</v>
      </c>
    </row>
    <row r="3826" spans="1:7" ht="12.75">
      <c r="A3826" s="134" t="s">
        <v>827</v>
      </c>
      <c r="B3826" s="134">
        <v>340</v>
      </c>
      <c r="C3826" s="491">
        <v>1</v>
      </c>
      <c r="D3826" s="491">
        <v>0</v>
      </c>
      <c r="E3826" s="491">
        <v>0</v>
      </c>
      <c r="F3826" s="491">
        <v>0</v>
      </c>
      <c r="G3826" s="491">
        <f t="shared" si="59"/>
        <v>1</v>
      </c>
    </row>
    <row r="3827" spans="1:7" ht="12.75">
      <c r="A3827" s="134" t="s">
        <v>827</v>
      </c>
      <c r="B3827" s="134">
        <v>400</v>
      </c>
      <c r="C3827" s="491">
        <v>0</v>
      </c>
      <c r="D3827" s="491">
        <v>1</v>
      </c>
      <c r="E3827" s="491">
        <v>0</v>
      </c>
      <c r="F3827" s="491">
        <v>0</v>
      </c>
      <c r="G3827" s="491">
        <f t="shared" si="59"/>
        <v>1</v>
      </c>
    </row>
    <row r="3828" spans="1:7" ht="12.75">
      <c r="A3828" s="134" t="s">
        <v>827</v>
      </c>
      <c r="B3828" s="134">
        <v>653</v>
      </c>
      <c r="C3828" s="491">
        <v>0</v>
      </c>
      <c r="D3828" s="491">
        <v>0</v>
      </c>
      <c r="E3828" s="491">
        <v>1</v>
      </c>
      <c r="F3828" s="491">
        <v>0</v>
      </c>
      <c r="G3828" s="491">
        <f t="shared" si="59"/>
        <v>1</v>
      </c>
    </row>
    <row r="3829" spans="1:7" ht="12.75">
      <c r="A3829" s="134" t="s">
        <v>827</v>
      </c>
      <c r="B3829" s="134">
        <v>812</v>
      </c>
      <c r="C3829" s="491">
        <v>111</v>
      </c>
      <c r="D3829" s="491">
        <v>30</v>
      </c>
      <c r="E3829" s="491">
        <v>0</v>
      </c>
      <c r="F3829" s="491">
        <v>0</v>
      </c>
      <c r="G3829" s="491">
        <f t="shared" si="59"/>
        <v>141</v>
      </c>
    </row>
    <row r="3830" spans="1:7" ht="12.75">
      <c r="A3830" s="134" t="s">
        <v>828</v>
      </c>
      <c r="B3830" s="134">
        <v>100</v>
      </c>
      <c r="C3830" s="491">
        <v>1</v>
      </c>
      <c r="D3830" s="491">
        <v>0</v>
      </c>
      <c r="E3830" s="491">
        <v>0</v>
      </c>
      <c r="F3830" s="491">
        <v>0</v>
      </c>
      <c r="G3830" s="491">
        <f t="shared" si="59"/>
        <v>1</v>
      </c>
    </row>
    <row r="3831" spans="1:7" ht="12.75">
      <c r="A3831" s="134" t="s">
        <v>828</v>
      </c>
      <c r="B3831" s="134">
        <v>101</v>
      </c>
      <c r="C3831" s="491">
        <v>0</v>
      </c>
      <c r="D3831" s="491">
        <v>4</v>
      </c>
      <c r="E3831" s="491">
        <v>0</v>
      </c>
      <c r="F3831" s="491">
        <v>0</v>
      </c>
      <c r="G3831" s="491">
        <f t="shared" si="59"/>
        <v>4</v>
      </c>
    </row>
    <row r="3832" spans="1:7" ht="12.75">
      <c r="A3832" s="134" t="s">
        <v>828</v>
      </c>
      <c r="B3832" s="134">
        <v>103</v>
      </c>
      <c r="C3832" s="491">
        <v>3</v>
      </c>
      <c r="D3832" s="491">
        <v>0</v>
      </c>
      <c r="E3832" s="491">
        <v>1</v>
      </c>
      <c r="F3832" s="491">
        <v>0</v>
      </c>
      <c r="G3832" s="491">
        <f t="shared" si="59"/>
        <v>4</v>
      </c>
    </row>
    <row r="3833" spans="1:7" ht="12.75">
      <c r="A3833" s="134" t="s">
        <v>828</v>
      </c>
      <c r="B3833" s="134">
        <v>104</v>
      </c>
      <c r="C3833" s="491">
        <v>0</v>
      </c>
      <c r="D3833" s="491">
        <v>1</v>
      </c>
      <c r="E3833" s="491">
        <v>1</v>
      </c>
      <c r="F3833" s="491">
        <v>0</v>
      </c>
      <c r="G3833" s="491">
        <f t="shared" si="59"/>
        <v>2</v>
      </c>
    </row>
    <row r="3834" spans="1:7" ht="12.75">
      <c r="A3834" s="134" t="s">
        <v>828</v>
      </c>
      <c r="B3834" s="134">
        <v>120</v>
      </c>
      <c r="C3834" s="491">
        <v>1</v>
      </c>
      <c r="D3834" s="491">
        <v>0</v>
      </c>
      <c r="E3834" s="491">
        <v>0</v>
      </c>
      <c r="F3834" s="491">
        <v>0</v>
      </c>
      <c r="G3834" s="491">
        <f t="shared" si="59"/>
        <v>1</v>
      </c>
    </row>
    <row r="3835" spans="1:7" ht="12.75">
      <c r="A3835" s="134" t="s">
        <v>828</v>
      </c>
      <c r="B3835" s="134">
        <v>141</v>
      </c>
      <c r="C3835" s="491">
        <v>2</v>
      </c>
      <c r="D3835" s="491">
        <v>0</v>
      </c>
      <c r="E3835" s="491">
        <v>0</v>
      </c>
      <c r="F3835" s="491">
        <v>0</v>
      </c>
      <c r="G3835" s="491">
        <f t="shared" si="59"/>
        <v>2</v>
      </c>
    </row>
    <row r="3836" spans="1:7" ht="12.75">
      <c r="A3836" s="134" t="s">
        <v>828</v>
      </c>
      <c r="B3836" s="134">
        <v>170</v>
      </c>
      <c r="C3836" s="491">
        <v>0</v>
      </c>
      <c r="D3836" s="491">
        <v>1</v>
      </c>
      <c r="E3836" s="491">
        <v>0</v>
      </c>
      <c r="F3836" s="491">
        <v>0</v>
      </c>
      <c r="G3836" s="491">
        <f t="shared" si="59"/>
        <v>1</v>
      </c>
    </row>
    <row r="3837" spans="1:7" ht="12.75">
      <c r="A3837" s="134" t="s">
        <v>828</v>
      </c>
      <c r="B3837" s="134">
        <v>174</v>
      </c>
      <c r="C3837" s="491">
        <v>370</v>
      </c>
      <c r="D3837" s="491">
        <v>0</v>
      </c>
      <c r="E3837" s="491">
        <v>0</v>
      </c>
      <c r="F3837" s="491">
        <v>0</v>
      </c>
      <c r="G3837" s="491">
        <f t="shared" si="59"/>
        <v>370</v>
      </c>
    </row>
    <row r="3838" spans="1:7" ht="12.75">
      <c r="A3838" s="134" t="s">
        <v>828</v>
      </c>
      <c r="B3838" s="134">
        <v>215</v>
      </c>
      <c r="C3838" s="491">
        <v>1</v>
      </c>
      <c r="D3838" s="491">
        <v>0</v>
      </c>
      <c r="E3838" s="491">
        <v>0</v>
      </c>
      <c r="F3838" s="491">
        <v>0</v>
      </c>
      <c r="G3838" s="491">
        <f t="shared" si="59"/>
        <v>1</v>
      </c>
    </row>
    <row r="3839" spans="1:7" ht="12.75">
      <c r="A3839" s="134" t="s">
        <v>828</v>
      </c>
      <c r="B3839" s="134">
        <v>300</v>
      </c>
      <c r="C3839" s="491">
        <v>16</v>
      </c>
      <c r="D3839" s="491">
        <v>0</v>
      </c>
      <c r="E3839" s="491">
        <v>0</v>
      </c>
      <c r="F3839" s="491">
        <v>0</v>
      </c>
      <c r="G3839" s="491">
        <f t="shared" si="59"/>
        <v>16</v>
      </c>
    </row>
    <row r="3840" spans="1:7" ht="12.75">
      <c r="A3840" s="134" t="s">
        <v>828</v>
      </c>
      <c r="B3840" s="134">
        <v>301</v>
      </c>
      <c r="C3840" s="491">
        <v>82</v>
      </c>
      <c r="D3840" s="491">
        <v>5</v>
      </c>
      <c r="E3840" s="491">
        <v>0</v>
      </c>
      <c r="F3840" s="491">
        <v>0</v>
      </c>
      <c r="G3840" s="491">
        <f t="shared" si="59"/>
        <v>87</v>
      </c>
    </row>
    <row r="3841" spans="1:7" ht="12.75">
      <c r="A3841" s="134" t="s">
        <v>828</v>
      </c>
      <c r="B3841" s="134">
        <v>302</v>
      </c>
      <c r="C3841" s="491">
        <v>2</v>
      </c>
      <c r="D3841" s="491">
        <v>0</v>
      </c>
      <c r="E3841" s="491">
        <v>0</v>
      </c>
      <c r="F3841" s="491">
        <v>0</v>
      </c>
      <c r="G3841" s="491">
        <f t="shared" si="59"/>
        <v>2</v>
      </c>
    </row>
    <row r="3842" spans="1:7" ht="12.75">
      <c r="A3842" s="134" t="s">
        <v>828</v>
      </c>
      <c r="B3842" s="134">
        <v>304</v>
      </c>
      <c r="C3842" s="491">
        <v>0</v>
      </c>
      <c r="D3842" s="491">
        <v>1</v>
      </c>
      <c r="E3842" s="491">
        <v>0</v>
      </c>
      <c r="F3842" s="491">
        <v>0</v>
      </c>
      <c r="G3842" s="491">
        <f t="shared" si="59"/>
        <v>1</v>
      </c>
    </row>
    <row r="3843" spans="1:7" ht="12.75">
      <c r="A3843" s="134" t="s">
        <v>828</v>
      </c>
      <c r="B3843" s="134">
        <v>306</v>
      </c>
      <c r="C3843" s="491">
        <v>15</v>
      </c>
      <c r="D3843" s="491">
        <v>13</v>
      </c>
      <c r="E3843" s="491">
        <v>1</v>
      </c>
      <c r="F3843" s="491">
        <v>0</v>
      </c>
      <c r="G3843" s="491">
        <f t="shared" si="59"/>
        <v>29</v>
      </c>
    </row>
    <row r="3844" spans="1:7" ht="12.75">
      <c r="A3844" s="134" t="s">
        <v>828</v>
      </c>
      <c r="B3844" s="134">
        <v>307</v>
      </c>
      <c r="C3844" s="491">
        <v>1</v>
      </c>
      <c r="D3844" s="491">
        <v>0</v>
      </c>
      <c r="E3844" s="491">
        <v>0</v>
      </c>
      <c r="F3844" s="491">
        <v>0</v>
      </c>
      <c r="G3844" s="491">
        <f t="shared" ref="G3844:G3907" si="60">SUM(C3844:F3844)</f>
        <v>1</v>
      </c>
    </row>
    <row r="3845" spans="1:7" ht="12.75">
      <c r="A3845" s="134" t="s">
        <v>828</v>
      </c>
      <c r="B3845" s="134">
        <v>320</v>
      </c>
      <c r="C3845" s="491">
        <v>172</v>
      </c>
      <c r="D3845" s="491">
        <v>214</v>
      </c>
      <c r="E3845" s="491">
        <v>1</v>
      </c>
      <c r="F3845" s="491">
        <v>0</v>
      </c>
      <c r="G3845" s="491">
        <f t="shared" si="60"/>
        <v>387</v>
      </c>
    </row>
    <row r="3846" spans="1:7" ht="12.75">
      <c r="A3846" s="134" t="s">
        <v>828</v>
      </c>
      <c r="B3846" s="134">
        <v>321</v>
      </c>
      <c r="C3846" s="491">
        <v>85</v>
      </c>
      <c r="D3846" s="491">
        <v>89</v>
      </c>
      <c r="E3846" s="491">
        <v>0</v>
      </c>
      <c r="F3846" s="491">
        <v>0</v>
      </c>
      <c r="G3846" s="491">
        <f t="shared" si="60"/>
        <v>174</v>
      </c>
    </row>
    <row r="3847" spans="1:7" ht="12.75">
      <c r="A3847" s="134" t="s">
        <v>828</v>
      </c>
      <c r="B3847" s="134">
        <v>330</v>
      </c>
      <c r="C3847" s="491">
        <v>1</v>
      </c>
      <c r="D3847" s="491">
        <v>0</v>
      </c>
      <c r="E3847" s="491">
        <v>0</v>
      </c>
      <c r="F3847" s="491">
        <v>0</v>
      </c>
      <c r="G3847" s="491">
        <f t="shared" si="60"/>
        <v>1</v>
      </c>
    </row>
    <row r="3848" spans="1:7" ht="12.75">
      <c r="A3848" s="134" t="s">
        <v>828</v>
      </c>
      <c r="B3848" s="134">
        <v>340</v>
      </c>
      <c r="C3848" s="491">
        <v>7</v>
      </c>
      <c r="D3848" s="491">
        <v>7</v>
      </c>
      <c r="E3848" s="491">
        <v>0</v>
      </c>
      <c r="F3848" s="491">
        <v>0</v>
      </c>
      <c r="G3848" s="491">
        <f t="shared" si="60"/>
        <v>14</v>
      </c>
    </row>
    <row r="3849" spans="1:7" ht="12.75">
      <c r="A3849" s="134" t="s">
        <v>828</v>
      </c>
      <c r="B3849" s="134">
        <v>361</v>
      </c>
      <c r="C3849" s="491">
        <v>0</v>
      </c>
      <c r="D3849" s="491">
        <v>1</v>
      </c>
      <c r="E3849" s="491">
        <v>0</v>
      </c>
      <c r="F3849" s="491">
        <v>0</v>
      </c>
      <c r="G3849" s="491">
        <f t="shared" si="60"/>
        <v>1</v>
      </c>
    </row>
    <row r="3850" spans="1:7" ht="12.75">
      <c r="A3850" s="134" t="s">
        <v>828</v>
      </c>
      <c r="B3850" s="134">
        <v>370</v>
      </c>
      <c r="C3850" s="491">
        <v>2</v>
      </c>
      <c r="D3850" s="491">
        <v>0</v>
      </c>
      <c r="E3850" s="491">
        <v>0</v>
      </c>
      <c r="F3850" s="491">
        <v>0</v>
      </c>
      <c r="G3850" s="491">
        <f t="shared" si="60"/>
        <v>2</v>
      </c>
    </row>
    <row r="3851" spans="1:7" ht="12.75">
      <c r="A3851" s="134" t="s">
        <v>828</v>
      </c>
      <c r="B3851" s="134">
        <v>410</v>
      </c>
      <c r="C3851" s="491">
        <v>1</v>
      </c>
      <c r="D3851" s="491">
        <v>1</v>
      </c>
      <c r="E3851" s="491">
        <v>0</v>
      </c>
      <c r="F3851" s="491">
        <v>0</v>
      </c>
      <c r="G3851" s="491">
        <f t="shared" si="60"/>
        <v>2</v>
      </c>
    </row>
    <row r="3852" spans="1:7" ht="12.75">
      <c r="A3852" s="134" t="s">
        <v>828</v>
      </c>
      <c r="B3852" s="134">
        <v>420</v>
      </c>
      <c r="C3852" s="491">
        <v>50</v>
      </c>
      <c r="D3852" s="491">
        <v>224</v>
      </c>
      <c r="E3852" s="491">
        <v>31</v>
      </c>
      <c r="F3852" s="491">
        <v>140</v>
      </c>
      <c r="G3852" s="491">
        <f t="shared" si="60"/>
        <v>445</v>
      </c>
    </row>
    <row r="3853" spans="1:7" ht="12.75">
      <c r="A3853" s="134" t="s">
        <v>828</v>
      </c>
      <c r="B3853" s="134">
        <v>430</v>
      </c>
      <c r="C3853" s="491">
        <v>0</v>
      </c>
      <c r="D3853" s="491">
        <v>1</v>
      </c>
      <c r="E3853" s="491">
        <v>0</v>
      </c>
      <c r="F3853" s="491">
        <v>0</v>
      </c>
      <c r="G3853" s="491">
        <f t="shared" si="60"/>
        <v>1</v>
      </c>
    </row>
    <row r="3854" spans="1:7" ht="12.75">
      <c r="A3854" s="134" t="s">
        <v>828</v>
      </c>
      <c r="B3854" s="134">
        <v>501</v>
      </c>
      <c r="C3854" s="491">
        <v>5</v>
      </c>
      <c r="D3854" s="491">
        <v>2</v>
      </c>
      <c r="E3854" s="491">
        <v>0</v>
      </c>
      <c r="F3854" s="491">
        <v>1</v>
      </c>
      <c r="G3854" s="491">
        <f t="shared" si="60"/>
        <v>8</v>
      </c>
    </row>
    <row r="3855" spans="1:7" ht="12.75">
      <c r="A3855" s="134" t="s">
        <v>828</v>
      </c>
      <c r="B3855" s="134">
        <v>502</v>
      </c>
      <c r="C3855" s="491">
        <v>26</v>
      </c>
      <c r="D3855" s="491">
        <v>2</v>
      </c>
      <c r="E3855" s="491">
        <v>167</v>
      </c>
      <c r="F3855" s="491">
        <v>5</v>
      </c>
      <c r="G3855" s="491">
        <f t="shared" si="60"/>
        <v>200</v>
      </c>
    </row>
    <row r="3856" spans="1:7" ht="12.75">
      <c r="A3856" s="134" t="s">
        <v>828</v>
      </c>
      <c r="B3856" s="134">
        <v>560</v>
      </c>
      <c r="C3856" s="491">
        <v>3</v>
      </c>
      <c r="D3856" s="491">
        <v>0</v>
      </c>
      <c r="E3856" s="491">
        <v>1</v>
      </c>
      <c r="F3856" s="491">
        <v>0</v>
      </c>
      <c r="G3856" s="491">
        <f t="shared" si="60"/>
        <v>4</v>
      </c>
    </row>
    <row r="3857" spans="1:7" ht="12.75">
      <c r="A3857" s="134" t="s">
        <v>828</v>
      </c>
      <c r="B3857" s="134">
        <v>812</v>
      </c>
      <c r="C3857" s="491">
        <v>1</v>
      </c>
      <c r="D3857" s="491">
        <v>5</v>
      </c>
      <c r="E3857" s="491">
        <v>0</v>
      </c>
      <c r="F3857" s="491">
        <v>0</v>
      </c>
      <c r="G3857" s="491">
        <f t="shared" si="60"/>
        <v>6</v>
      </c>
    </row>
    <row r="3858" spans="1:7" ht="12.75">
      <c r="A3858" s="134" t="s">
        <v>829</v>
      </c>
      <c r="B3858" s="134">
        <v>100</v>
      </c>
      <c r="C3858" s="491">
        <v>6</v>
      </c>
      <c r="D3858" s="491">
        <v>5</v>
      </c>
      <c r="E3858" s="491">
        <v>0</v>
      </c>
      <c r="F3858" s="491">
        <v>0</v>
      </c>
      <c r="G3858" s="491">
        <f t="shared" si="60"/>
        <v>11</v>
      </c>
    </row>
    <row r="3859" spans="1:7" ht="12.75">
      <c r="A3859" s="134" t="s">
        <v>829</v>
      </c>
      <c r="B3859" s="134">
        <v>101</v>
      </c>
      <c r="C3859" s="491">
        <v>4</v>
      </c>
      <c r="D3859" s="491">
        <v>1</v>
      </c>
      <c r="E3859" s="491">
        <v>0</v>
      </c>
      <c r="F3859" s="491">
        <v>0</v>
      </c>
      <c r="G3859" s="491">
        <f t="shared" si="60"/>
        <v>5</v>
      </c>
    </row>
    <row r="3860" spans="1:7" ht="12.75">
      <c r="A3860" s="134" t="s">
        <v>829</v>
      </c>
      <c r="B3860" s="134">
        <v>103</v>
      </c>
      <c r="C3860" s="491">
        <v>0</v>
      </c>
      <c r="D3860" s="491">
        <v>1</v>
      </c>
      <c r="E3860" s="491">
        <v>0</v>
      </c>
      <c r="F3860" s="491">
        <v>0</v>
      </c>
      <c r="G3860" s="491">
        <f t="shared" si="60"/>
        <v>1</v>
      </c>
    </row>
    <row r="3861" spans="1:7" ht="12.75">
      <c r="A3861" s="134" t="s">
        <v>829</v>
      </c>
      <c r="B3861" s="134">
        <v>104</v>
      </c>
      <c r="C3861" s="491">
        <v>2</v>
      </c>
      <c r="D3861" s="491">
        <v>2</v>
      </c>
      <c r="E3861" s="491">
        <v>0</v>
      </c>
      <c r="F3861" s="491">
        <v>0</v>
      </c>
      <c r="G3861" s="491">
        <f t="shared" si="60"/>
        <v>4</v>
      </c>
    </row>
    <row r="3862" spans="1:7" ht="12.75">
      <c r="A3862" s="134" t="s">
        <v>829</v>
      </c>
      <c r="B3862" s="134">
        <v>106</v>
      </c>
      <c r="C3862" s="491">
        <v>0</v>
      </c>
      <c r="D3862" s="491">
        <v>1</v>
      </c>
      <c r="E3862" s="491">
        <v>0</v>
      </c>
      <c r="F3862" s="491">
        <v>0</v>
      </c>
      <c r="G3862" s="491">
        <f t="shared" si="60"/>
        <v>1</v>
      </c>
    </row>
    <row r="3863" spans="1:7" ht="12.75">
      <c r="A3863" s="134" t="s">
        <v>829</v>
      </c>
      <c r="B3863" s="134">
        <v>110</v>
      </c>
      <c r="C3863" s="491">
        <v>1</v>
      </c>
      <c r="D3863" s="491">
        <v>2</v>
      </c>
      <c r="E3863" s="491">
        <v>0</v>
      </c>
      <c r="F3863" s="491">
        <v>0</v>
      </c>
      <c r="G3863" s="491">
        <f t="shared" si="60"/>
        <v>3</v>
      </c>
    </row>
    <row r="3864" spans="1:7" ht="12.75">
      <c r="A3864" s="134" t="s">
        <v>829</v>
      </c>
      <c r="B3864" s="134">
        <v>120</v>
      </c>
      <c r="C3864" s="491">
        <v>1</v>
      </c>
      <c r="D3864" s="491">
        <v>4</v>
      </c>
      <c r="E3864" s="491">
        <v>0</v>
      </c>
      <c r="F3864" s="491">
        <v>0</v>
      </c>
      <c r="G3864" s="491">
        <f t="shared" si="60"/>
        <v>5</v>
      </c>
    </row>
    <row r="3865" spans="1:7" ht="12.75">
      <c r="A3865" s="134" t="s">
        <v>829</v>
      </c>
      <c r="B3865" s="134">
        <v>130</v>
      </c>
      <c r="C3865" s="491">
        <v>10</v>
      </c>
      <c r="D3865" s="491">
        <v>4</v>
      </c>
      <c r="E3865" s="491">
        <v>0</v>
      </c>
      <c r="F3865" s="491">
        <v>0</v>
      </c>
      <c r="G3865" s="491">
        <f t="shared" si="60"/>
        <v>14</v>
      </c>
    </row>
    <row r="3866" spans="1:7" ht="12.75">
      <c r="A3866" s="134" t="s">
        <v>829</v>
      </c>
      <c r="B3866" s="134">
        <v>140</v>
      </c>
      <c r="C3866" s="491">
        <v>2</v>
      </c>
      <c r="D3866" s="491">
        <v>4</v>
      </c>
      <c r="E3866" s="491">
        <v>0</v>
      </c>
      <c r="F3866" s="491">
        <v>0</v>
      </c>
      <c r="G3866" s="491">
        <f t="shared" si="60"/>
        <v>6</v>
      </c>
    </row>
    <row r="3867" spans="1:7" ht="12.75">
      <c r="A3867" s="134" t="s">
        <v>829</v>
      </c>
      <c r="B3867" s="134">
        <v>150</v>
      </c>
      <c r="C3867" s="491">
        <v>0</v>
      </c>
      <c r="D3867" s="491">
        <v>1</v>
      </c>
      <c r="E3867" s="491">
        <v>0</v>
      </c>
      <c r="F3867" s="491">
        <v>0</v>
      </c>
      <c r="G3867" s="491">
        <f t="shared" si="60"/>
        <v>1</v>
      </c>
    </row>
    <row r="3868" spans="1:7" ht="12.75">
      <c r="A3868" s="134" t="s">
        <v>829</v>
      </c>
      <c r="B3868" s="134">
        <v>172</v>
      </c>
      <c r="C3868" s="491">
        <v>0</v>
      </c>
      <c r="D3868" s="491">
        <v>3</v>
      </c>
      <c r="E3868" s="491">
        <v>0</v>
      </c>
      <c r="F3868" s="491">
        <v>0</v>
      </c>
      <c r="G3868" s="491">
        <f t="shared" si="60"/>
        <v>3</v>
      </c>
    </row>
    <row r="3869" spans="1:7" ht="12.75">
      <c r="A3869" s="134" t="s">
        <v>829</v>
      </c>
      <c r="B3869" s="134">
        <v>191</v>
      </c>
      <c r="C3869" s="491">
        <v>1</v>
      </c>
      <c r="D3869" s="491">
        <v>2</v>
      </c>
      <c r="E3869" s="491">
        <v>0</v>
      </c>
      <c r="F3869" s="491">
        <v>0</v>
      </c>
      <c r="G3869" s="491">
        <f t="shared" si="60"/>
        <v>3</v>
      </c>
    </row>
    <row r="3870" spans="1:7" ht="12.75">
      <c r="A3870" s="134" t="s">
        <v>829</v>
      </c>
      <c r="B3870" s="134">
        <v>300</v>
      </c>
      <c r="C3870" s="491">
        <v>14</v>
      </c>
      <c r="D3870" s="491">
        <v>125</v>
      </c>
      <c r="E3870" s="491">
        <v>0</v>
      </c>
      <c r="F3870" s="491">
        <v>1</v>
      </c>
      <c r="G3870" s="491">
        <f t="shared" si="60"/>
        <v>140</v>
      </c>
    </row>
    <row r="3871" spans="1:7" ht="12.75">
      <c r="A3871" s="134" t="s">
        <v>829</v>
      </c>
      <c r="B3871" s="134">
        <v>301</v>
      </c>
      <c r="C3871" s="491">
        <v>0</v>
      </c>
      <c r="D3871" s="491">
        <v>3</v>
      </c>
      <c r="E3871" s="491">
        <v>0</v>
      </c>
      <c r="F3871" s="491">
        <v>0</v>
      </c>
      <c r="G3871" s="491">
        <f t="shared" si="60"/>
        <v>3</v>
      </c>
    </row>
    <row r="3872" spans="1:7" ht="12.75">
      <c r="A3872" s="134" t="s">
        <v>829</v>
      </c>
      <c r="B3872" s="134">
        <v>302</v>
      </c>
      <c r="C3872" s="491">
        <v>0</v>
      </c>
      <c r="D3872" s="491">
        <v>1</v>
      </c>
      <c r="E3872" s="491">
        <v>0</v>
      </c>
      <c r="F3872" s="491">
        <v>0</v>
      </c>
      <c r="G3872" s="491">
        <f t="shared" si="60"/>
        <v>1</v>
      </c>
    </row>
    <row r="3873" spans="1:7" ht="12.75">
      <c r="A3873" s="134" t="s">
        <v>829</v>
      </c>
      <c r="B3873" s="134">
        <v>303</v>
      </c>
      <c r="C3873" s="491">
        <v>4</v>
      </c>
      <c r="D3873" s="491">
        <v>1</v>
      </c>
      <c r="E3873" s="491">
        <v>1</v>
      </c>
      <c r="F3873" s="491">
        <v>0</v>
      </c>
      <c r="G3873" s="491">
        <f t="shared" si="60"/>
        <v>6</v>
      </c>
    </row>
    <row r="3874" spans="1:7" ht="12.75">
      <c r="A3874" s="134" t="s">
        <v>829</v>
      </c>
      <c r="B3874" s="134">
        <v>304</v>
      </c>
      <c r="C3874" s="491">
        <v>536</v>
      </c>
      <c r="D3874" s="491">
        <v>30</v>
      </c>
      <c r="E3874" s="491">
        <v>0</v>
      </c>
      <c r="F3874" s="491">
        <v>0</v>
      </c>
      <c r="G3874" s="491">
        <f t="shared" si="60"/>
        <v>566</v>
      </c>
    </row>
    <row r="3875" spans="1:7" ht="12.75">
      <c r="A3875" s="134" t="s">
        <v>829</v>
      </c>
      <c r="B3875" s="134">
        <v>306</v>
      </c>
      <c r="C3875" s="491">
        <v>0</v>
      </c>
      <c r="D3875" s="491">
        <v>1</v>
      </c>
      <c r="E3875" s="491">
        <v>0</v>
      </c>
      <c r="F3875" s="491">
        <v>0</v>
      </c>
      <c r="G3875" s="491">
        <f t="shared" si="60"/>
        <v>1</v>
      </c>
    </row>
    <row r="3876" spans="1:7" ht="12.75">
      <c r="A3876" s="134" t="s">
        <v>829</v>
      </c>
      <c r="B3876" s="134">
        <v>307</v>
      </c>
      <c r="C3876" s="491">
        <v>2</v>
      </c>
      <c r="D3876" s="491">
        <v>1</v>
      </c>
      <c r="E3876" s="491">
        <v>0</v>
      </c>
      <c r="F3876" s="491">
        <v>0</v>
      </c>
      <c r="G3876" s="491">
        <f t="shared" si="60"/>
        <v>3</v>
      </c>
    </row>
    <row r="3877" spans="1:7" ht="12.75">
      <c r="A3877" s="134" t="s">
        <v>829</v>
      </c>
      <c r="B3877" s="134">
        <v>310</v>
      </c>
      <c r="C3877" s="491">
        <v>1</v>
      </c>
      <c r="D3877" s="491">
        <v>1</v>
      </c>
      <c r="E3877" s="491">
        <v>0</v>
      </c>
      <c r="F3877" s="491">
        <v>0</v>
      </c>
      <c r="G3877" s="491">
        <f t="shared" si="60"/>
        <v>2</v>
      </c>
    </row>
    <row r="3878" spans="1:7" ht="12.75">
      <c r="A3878" s="134" t="s">
        <v>829</v>
      </c>
      <c r="B3878" s="134">
        <v>320</v>
      </c>
      <c r="C3878" s="491">
        <v>882</v>
      </c>
      <c r="D3878" s="491">
        <v>526</v>
      </c>
      <c r="E3878" s="491">
        <v>2</v>
      </c>
      <c r="F3878" s="491">
        <v>1</v>
      </c>
      <c r="G3878" s="491">
        <f t="shared" si="60"/>
        <v>1411</v>
      </c>
    </row>
    <row r="3879" spans="1:7" ht="12.75">
      <c r="A3879" s="134" t="s">
        <v>829</v>
      </c>
      <c r="B3879" s="134">
        <v>324</v>
      </c>
      <c r="C3879" s="491">
        <v>3</v>
      </c>
      <c r="D3879" s="491">
        <v>3</v>
      </c>
      <c r="E3879" s="491">
        <v>0</v>
      </c>
      <c r="F3879" s="491">
        <v>0</v>
      </c>
      <c r="G3879" s="491">
        <f t="shared" si="60"/>
        <v>6</v>
      </c>
    </row>
    <row r="3880" spans="1:7" ht="12.75">
      <c r="A3880" s="134" t="s">
        <v>829</v>
      </c>
      <c r="B3880" s="134">
        <v>327</v>
      </c>
      <c r="C3880" s="491">
        <v>1</v>
      </c>
      <c r="D3880" s="491">
        <v>0</v>
      </c>
      <c r="E3880" s="491">
        <v>0</v>
      </c>
      <c r="F3880" s="491">
        <v>0</v>
      </c>
      <c r="G3880" s="491">
        <f t="shared" si="60"/>
        <v>1</v>
      </c>
    </row>
    <row r="3881" spans="1:7" ht="12.75">
      <c r="A3881" s="134" t="s">
        <v>829</v>
      </c>
      <c r="B3881" s="134">
        <v>330</v>
      </c>
      <c r="C3881" s="491">
        <v>4</v>
      </c>
      <c r="D3881" s="491">
        <v>5</v>
      </c>
      <c r="E3881" s="491">
        <v>0</v>
      </c>
      <c r="F3881" s="491">
        <v>0</v>
      </c>
      <c r="G3881" s="491">
        <f t="shared" si="60"/>
        <v>9</v>
      </c>
    </row>
    <row r="3882" spans="1:7" ht="12.75">
      <c r="A3882" s="134" t="s">
        <v>829</v>
      </c>
      <c r="B3882" s="134">
        <v>340</v>
      </c>
      <c r="C3882" s="491">
        <v>29</v>
      </c>
      <c r="D3882" s="491">
        <v>58</v>
      </c>
      <c r="E3882" s="491">
        <v>1</v>
      </c>
      <c r="F3882" s="491">
        <v>0</v>
      </c>
      <c r="G3882" s="491">
        <f t="shared" si="60"/>
        <v>88</v>
      </c>
    </row>
    <row r="3883" spans="1:7" ht="12.75">
      <c r="A3883" s="134" t="s">
        <v>829</v>
      </c>
      <c r="B3883" s="134">
        <v>350</v>
      </c>
      <c r="C3883" s="491">
        <v>1</v>
      </c>
      <c r="D3883" s="491">
        <v>0</v>
      </c>
      <c r="E3883" s="491">
        <v>0</v>
      </c>
      <c r="F3883" s="491">
        <v>0</v>
      </c>
      <c r="G3883" s="491">
        <f t="shared" si="60"/>
        <v>1</v>
      </c>
    </row>
    <row r="3884" spans="1:7" ht="12.75">
      <c r="A3884" s="134" t="s">
        <v>829</v>
      </c>
      <c r="B3884" s="134">
        <v>361</v>
      </c>
      <c r="C3884" s="491">
        <v>0</v>
      </c>
      <c r="D3884" s="491">
        <v>1</v>
      </c>
      <c r="E3884" s="491">
        <v>0</v>
      </c>
      <c r="F3884" s="491">
        <v>0</v>
      </c>
      <c r="G3884" s="491">
        <f t="shared" si="60"/>
        <v>1</v>
      </c>
    </row>
    <row r="3885" spans="1:7" ht="12.75">
      <c r="A3885" s="134" t="s">
        <v>829</v>
      </c>
      <c r="B3885" s="134">
        <v>370</v>
      </c>
      <c r="C3885" s="491">
        <v>1</v>
      </c>
      <c r="D3885" s="491">
        <v>0</v>
      </c>
      <c r="E3885" s="491">
        <v>2</v>
      </c>
      <c r="F3885" s="491">
        <v>0</v>
      </c>
      <c r="G3885" s="491">
        <f t="shared" si="60"/>
        <v>3</v>
      </c>
    </row>
    <row r="3886" spans="1:7" ht="12.75">
      <c r="A3886" s="134" t="s">
        <v>829</v>
      </c>
      <c r="B3886" s="134">
        <v>400</v>
      </c>
      <c r="C3886" s="491">
        <v>0</v>
      </c>
      <c r="D3886" s="491">
        <v>4</v>
      </c>
      <c r="E3886" s="491">
        <v>0</v>
      </c>
      <c r="F3886" s="491">
        <v>0</v>
      </c>
      <c r="G3886" s="491">
        <f t="shared" si="60"/>
        <v>4</v>
      </c>
    </row>
    <row r="3887" spans="1:7" ht="12.75">
      <c r="A3887" s="134" t="s">
        <v>829</v>
      </c>
      <c r="B3887" s="134">
        <v>410</v>
      </c>
      <c r="C3887" s="491">
        <v>2</v>
      </c>
      <c r="D3887" s="491">
        <v>2</v>
      </c>
      <c r="E3887" s="491">
        <v>0</v>
      </c>
      <c r="F3887" s="491">
        <v>0</v>
      </c>
      <c r="G3887" s="491">
        <f t="shared" si="60"/>
        <v>4</v>
      </c>
    </row>
    <row r="3888" spans="1:7" ht="12.75">
      <c r="A3888" s="134" t="s">
        <v>829</v>
      </c>
      <c r="B3888" s="134">
        <v>430</v>
      </c>
      <c r="C3888" s="491">
        <v>1</v>
      </c>
      <c r="D3888" s="491">
        <v>1</v>
      </c>
      <c r="E3888" s="491">
        <v>3</v>
      </c>
      <c r="F3888" s="491">
        <v>3</v>
      </c>
      <c r="G3888" s="491">
        <f t="shared" si="60"/>
        <v>8</v>
      </c>
    </row>
    <row r="3889" spans="1:7" ht="12.75">
      <c r="A3889" s="134" t="s">
        <v>829</v>
      </c>
      <c r="B3889" s="134">
        <v>501</v>
      </c>
      <c r="C3889" s="491">
        <v>0</v>
      </c>
      <c r="D3889" s="491">
        <v>4</v>
      </c>
      <c r="E3889" s="491">
        <v>0</v>
      </c>
      <c r="F3889" s="491">
        <v>0</v>
      </c>
      <c r="G3889" s="491">
        <f t="shared" si="60"/>
        <v>4</v>
      </c>
    </row>
    <row r="3890" spans="1:7" ht="12.75">
      <c r="A3890" s="134" t="s">
        <v>829</v>
      </c>
      <c r="B3890" s="134">
        <v>502</v>
      </c>
      <c r="C3890" s="491">
        <v>1</v>
      </c>
      <c r="D3890" s="491">
        <v>1</v>
      </c>
      <c r="E3890" s="491">
        <v>0</v>
      </c>
      <c r="F3890" s="491">
        <v>1</v>
      </c>
      <c r="G3890" s="491">
        <f t="shared" si="60"/>
        <v>3</v>
      </c>
    </row>
    <row r="3891" spans="1:7" ht="12.75">
      <c r="A3891" s="134" t="s">
        <v>829</v>
      </c>
      <c r="B3891" s="134">
        <v>503</v>
      </c>
      <c r="C3891" s="491">
        <v>0</v>
      </c>
      <c r="D3891" s="491">
        <v>1</v>
      </c>
      <c r="E3891" s="491">
        <v>0</v>
      </c>
      <c r="F3891" s="491">
        <v>0</v>
      </c>
      <c r="G3891" s="491">
        <f t="shared" si="60"/>
        <v>1</v>
      </c>
    </row>
    <row r="3892" spans="1:7" ht="12.75">
      <c r="A3892" s="134" t="s">
        <v>829</v>
      </c>
      <c r="B3892" s="134">
        <v>650</v>
      </c>
      <c r="C3892" s="491">
        <v>0</v>
      </c>
      <c r="D3892" s="491">
        <v>5</v>
      </c>
      <c r="E3892" s="491">
        <v>0</v>
      </c>
      <c r="F3892" s="491">
        <v>0</v>
      </c>
      <c r="G3892" s="491">
        <f t="shared" si="60"/>
        <v>5</v>
      </c>
    </row>
    <row r="3893" spans="1:7" ht="12.75">
      <c r="A3893" s="134" t="s">
        <v>829</v>
      </c>
      <c r="B3893" s="134">
        <v>654</v>
      </c>
      <c r="C3893" s="491">
        <v>2</v>
      </c>
      <c r="D3893" s="491">
        <v>0</v>
      </c>
      <c r="E3893" s="491">
        <v>0</v>
      </c>
      <c r="F3893" s="491">
        <v>0</v>
      </c>
      <c r="G3893" s="491">
        <f t="shared" si="60"/>
        <v>2</v>
      </c>
    </row>
    <row r="3894" spans="1:7" ht="12.75">
      <c r="A3894" s="134" t="s">
        <v>829</v>
      </c>
      <c r="B3894" s="134">
        <v>811</v>
      </c>
      <c r="C3894" s="491">
        <v>7</v>
      </c>
      <c r="D3894" s="491">
        <v>93</v>
      </c>
      <c r="E3894" s="491">
        <v>0</v>
      </c>
      <c r="F3894" s="491">
        <v>0</v>
      </c>
      <c r="G3894" s="491">
        <f t="shared" si="60"/>
        <v>100</v>
      </c>
    </row>
    <row r="3895" spans="1:7" ht="12.75">
      <c r="A3895" s="134" t="s">
        <v>829</v>
      </c>
      <c r="B3895" s="134">
        <v>812</v>
      </c>
      <c r="C3895" s="491">
        <v>418</v>
      </c>
      <c r="D3895" s="491">
        <v>695</v>
      </c>
      <c r="E3895" s="491">
        <v>0</v>
      </c>
      <c r="F3895" s="491">
        <v>0</v>
      </c>
      <c r="G3895" s="491">
        <f t="shared" si="60"/>
        <v>1113</v>
      </c>
    </row>
    <row r="3896" spans="1:7" ht="12.75">
      <c r="A3896" s="134" t="s">
        <v>830</v>
      </c>
      <c r="B3896" s="134">
        <v>304</v>
      </c>
      <c r="C3896" s="491">
        <v>20</v>
      </c>
      <c r="D3896" s="491">
        <v>1</v>
      </c>
      <c r="E3896" s="491">
        <v>0</v>
      </c>
      <c r="F3896" s="491">
        <v>0</v>
      </c>
      <c r="G3896" s="491">
        <f t="shared" si="60"/>
        <v>21</v>
      </c>
    </row>
    <row r="3897" spans="1:7" ht="12.75">
      <c r="A3897" s="134" t="s">
        <v>830</v>
      </c>
      <c r="B3897" s="134">
        <v>320</v>
      </c>
      <c r="C3897" s="491">
        <v>1</v>
      </c>
      <c r="D3897" s="491">
        <v>3</v>
      </c>
      <c r="E3897" s="491">
        <v>0</v>
      </c>
      <c r="F3897" s="491">
        <v>0</v>
      </c>
      <c r="G3897" s="491">
        <f t="shared" si="60"/>
        <v>4</v>
      </c>
    </row>
    <row r="3898" spans="1:7" ht="12.75">
      <c r="A3898" s="134" t="s">
        <v>110</v>
      </c>
      <c r="B3898" s="134">
        <v>100</v>
      </c>
      <c r="C3898" s="491">
        <v>0</v>
      </c>
      <c r="D3898" s="491">
        <v>0</v>
      </c>
      <c r="E3898" s="491">
        <v>1</v>
      </c>
      <c r="F3898" s="491">
        <v>0</v>
      </c>
      <c r="G3898" s="491">
        <f t="shared" si="60"/>
        <v>1</v>
      </c>
    </row>
    <row r="3899" spans="1:7" ht="12.75">
      <c r="A3899" s="134" t="s">
        <v>110</v>
      </c>
      <c r="B3899" s="134">
        <v>103</v>
      </c>
      <c r="C3899" s="491">
        <v>0</v>
      </c>
      <c r="D3899" s="491">
        <v>0</v>
      </c>
      <c r="E3899" s="491">
        <v>1</v>
      </c>
      <c r="F3899" s="491">
        <v>0</v>
      </c>
      <c r="G3899" s="491">
        <f t="shared" si="60"/>
        <v>1</v>
      </c>
    </row>
    <row r="3900" spans="1:7" ht="12.75">
      <c r="A3900" s="134" t="s">
        <v>110</v>
      </c>
      <c r="B3900" s="134">
        <v>106</v>
      </c>
      <c r="C3900" s="491">
        <v>1</v>
      </c>
      <c r="D3900" s="491">
        <v>0</v>
      </c>
      <c r="E3900" s="491">
        <v>0</v>
      </c>
      <c r="F3900" s="491">
        <v>0</v>
      </c>
      <c r="G3900" s="491">
        <f t="shared" si="60"/>
        <v>1</v>
      </c>
    </row>
    <row r="3901" spans="1:7" ht="12.75">
      <c r="A3901" s="134" t="s">
        <v>110</v>
      </c>
      <c r="B3901" s="134">
        <v>107</v>
      </c>
      <c r="C3901" s="491">
        <v>1</v>
      </c>
      <c r="D3901" s="491">
        <v>0</v>
      </c>
      <c r="E3901" s="491">
        <v>0</v>
      </c>
      <c r="F3901" s="491">
        <v>0</v>
      </c>
      <c r="G3901" s="491">
        <f t="shared" si="60"/>
        <v>1</v>
      </c>
    </row>
    <row r="3902" spans="1:7" ht="12.75">
      <c r="A3902" s="134" t="s">
        <v>110</v>
      </c>
      <c r="B3902" s="134">
        <v>174</v>
      </c>
      <c r="C3902" s="491">
        <v>262</v>
      </c>
      <c r="D3902" s="491">
        <v>0</v>
      </c>
      <c r="E3902" s="491">
        <v>0</v>
      </c>
      <c r="F3902" s="491">
        <v>0</v>
      </c>
      <c r="G3902" s="491">
        <f t="shared" si="60"/>
        <v>262</v>
      </c>
    </row>
    <row r="3903" spans="1:7" ht="12.75">
      <c r="A3903" s="134" t="s">
        <v>110</v>
      </c>
      <c r="B3903" s="134">
        <v>190</v>
      </c>
      <c r="C3903" s="491">
        <v>0</v>
      </c>
      <c r="D3903" s="491">
        <v>0</v>
      </c>
      <c r="E3903" s="491">
        <v>2</v>
      </c>
      <c r="F3903" s="491">
        <v>0</v>
      </c>
      <c r="G3903" s="491">
        <f t="shared" si="60"/>
        <v>2</v>
      </c>
    </row>
    <row r="3904" spans="1:7" ht="12.75">
      <c r="A3904" s="134" t="s">
        <v>110</v>
      </c>
      <c r="B3904" s="134">
        <v>301</v>
      </c>
      <c r="C3904" s="491">
        <v>10</v>
      </c>
      <c r="D3904" s="491">
        <v>5</v>
      </c>
      <c r="E3904" s="491">
        <v>0</v>
      </c>
      <c r="F3904" s="491">
        <v>0</v>
      </c>
      <c r="G3904" s="491">
        <f t="shared" si="60"/>
        <v>15</v>
      </c>
    </row>
    <row r="3905" spans="1:7" ht="12.75">
      <c r="A3905" s="134" t="s">
        <v>110</v>
      </c>
      <c r="B3905" s="134">
        <v>306</v>
      </c>
      <c r="C3905" s="491">
        <v>1</v>
      </c>
      <c r="D3905" s="491">
        <v>0</v>
      </c>
      <c r="E3905" s="491">
        <v>0</v>
      </c>
      <c r="F3905" s="491">
        <v>0</v>
      </c>
      <c r="G3905" s="491">
        <f t="shared" si="60"/>
        <v>1</v>
      </c>
    </row>
    <row r="3906" spans="1:7" ht="12.75">
      <c r="A3906" s="134" t="s">
        <v>110</v>
      </c>
      <c r="B3906" s="134">
        <v>320</v>
      </c>
      <c r="C3906" s="491">
        <v>2</v>
      </c>
      <c r="D3906" s="491">
        <v>1</v>
      </c>
      <c r="E3906" s="491">
        <v>0</v>
      </c>
      <c r="F3906" s="491">
        <v>0</v>
      </c>
      <c r="G3906" s="491">
        <f t="shared" si="60"/>
        <v>3</v>
      </c>
    </row>
    <row r="3907" spans="1:7" ht="12.75">
      <c r="A3907" s="134" t="s">
        <v>110</v>
      </c>
      <c r="B3907" s="134">
        <v>329</v>
      </c>
      <c r="C3907" s="491">
        <v>0</v>
      </c>
      <c r="D3907" s="491">
        <v>2</v>
      </c>
      <c r="E3907" s="491">
        <v>0</v>
      </c>
      <c r="F3907" s="491">
        <v>0</v>
      </c>
      <c r="G3907" s="491">
        <f t="shared" si="60"/>
        <v>2</v>
      </c>
    </row>
    <row r="3908" spans="1:7" ht="12.75">
      <c r="A3908" s="134" t="s">
        <v>110</v>
      </c>
      <c r="B3908" s="134">
        <v>361</v>
      </c>
      <c r="C3908" s="491">
        <v>1</v>
      </c>
      <c r="D3908" s="491">
        <v>0</v>
      </c>
      <c r="E3908" s="491">
        <v>0</v>
      </c>
      <c r="F3908" s="491">
        <v>0</v>
      </c>
      <c r="G3908" s="491">
        <f t="shared" ref="G3908:G3971" si="61">SUM(C3908:F3908)</f>
        <v>1</v>
      </c>
    </row>
    <row r="3909" spans="1:7" ht="12.75">
      <c r="A3909" s="134" t="s">
        <v>110</v>
      </c>
      <c r="B3909" s="134">
        <v>501</v>
      </c>
      <c r="C3909" s="491">
        <v>2</v>
      </c>
      <c r="D3909" s="491">
        <v>0</v>
      </c>
      <c r="E3909" s="491">
        <v>0</v>
      </c>
      <c r="F3909" s="491">
        <v>0</v>
      </c>
      <c r="G3909" s="491">
        <f t="shared" si="61"/>
        <v>2</v>
      </c>
    </row>
    <row r="3910" spans="1:7" ht="12.75">
      <c r="A3910" s="134" t="s">
        <v>110</v>
      </c>
      <c r="B3910" s="134">
        <v>812</v>
      </c>
      <c r="C3910" s="491">
        <v>190</v>
      </c>
      <c r="D3910" s="491">
        <v>0</v>
      </c>
      <c r="E3910" s="491">
        <v>0</v>
      </c>
      <c r="F3910" s="491">
        <v>0</v>
      </c>
      <c r="G3910" s="491">
        <f t="shared" si="61"/>
        <v>190</v>
      </c>
    </row>
    <row r="3911" spans="1:7" ht="12.75">
      <c r="A3911" s="134" t="s">
        <v>831</v>
      </c>
      <c r="B3911" s="134">
        <v>100</v>
      </c>
      <c r="C3911" s="491">
        <v>2</v>
      </c>
      <c r="D3911" s="491">
        <v>0</v>
      </c>
      <c r="E3911" s="491">
        <v>0</v>
      </c>
      <c r="F3911" s="491">
        <v>0</v>
      </c>
      <c r="G3911" s="491">
        <f t="shared" si="61"/>
        <v>2</v>
      </c>
    </row>
    <row r="3912" spans="1:7" ht="12.75">
      <c r="A3912" s="134" t="s">
        <v>831</v>
      </c>
      <c r="B3912" s="134">
        <v>101</v>
      </c>
      <c r="C3912" s="491">
        <v>4</v>
      </c>
      <c r="D3912" s="491">
        <v>0</v>
      </c>
      <c r="E3912" s="491">
        <v>0</v>
      </c>
      <c r="F3912" s="491">
        <v>0</v>
      </c>
      <c r="G3912" s="491">
        <f t="shared" si="61"/>
        <v>4</v>
      </c>
    </row>
    <row r="3913" spans="1:7" ht="12.75">
      <c r="A3913" s="134" t="s">
        <v>831</v>
      </c>
      <c r="B3913" s="134">
        <v>103</v>
      </c>
      <c r="C3913" s="491">
        <v>2</v>
      </c>
      <c r="D3913" s="491">
        <v>2</v>
      </c>
      <c r="E3913" s="491">
        <v>0</v>
      </c>
      <c r="F3913" s="491">
        <v>0</v>
      </c>
      <c r="G3913" s="491">
        <f t="shared" si="61"/>
        <v>4</v>
      </c>
    </row>
    <row r="3914" spans="1:7" ht="12.75">
      <c r="A3914" s="134" t="s">
        <v>831</v>
      </c>
      <c r="B3914" s="134">
        <v>104</v>
      </c>
      <c r="C3914" s="491">
        <v>2</v>
      </c>
      <c r="D3914" s="491">
        <v>0</v>
      </c>
      <c r="E3914" s="491">
        <v>0</v>
      </c>
      <c r="F3914" s="491">
        <v>0</v>
      </c>
      <c r="G3914" s="491">
        <f t="shared" si="61"/>
        <v>2</v>
      </c>
    </row>
    <row r="3915" spans="1:7" ht="12.75">
      <c r="A3915" s="134" t="s">
        <v>831</v>
      </c>
      <c r="B3915" s="134">
        <v>107</v>
      </c>
      <c r="C3915" s="491">
        <v>0</v>
      </c>
      <c r="D3915" s="491">
        <v>1</v>
      </c>
      <c r="E3915" s="491">
        <v>0</v>
      </c>
      <c r="F3915" s="491">
        <v>0</v>
      </c>
      <c r="G3915" s="491">
        <f t="shared" si="61"/>
        <v>1</v>
      </c>
    </row>
    <row r="3916" spans="1:7" ht="12.75">
      <c r="A3916" s="134" t="s">
        <v>831</v>
      </c>
      <c r="B3916" s="134">
        <v>110</v>
      </c>
      <c r="C3916" s="491">
        <v>3</v>
      </c>
      <c r="D3916" s="491">
        <v>2</v>
      </c>
      <c r="E3916" s="491">
        <v>3</v>
      </c>
      <c r="F3916" s="491">
        <v>1</v>
      </c>
      <c r="G3916" s="491">
        <f t="shared" si="61"/>
        <v>9</v>
      </c>
    </row>
    <row r="3917" spans="1:7" ht="12.75">
      <c r="A3917" s="134" t="s">
        <v>831</v>
      </c>
      <c r="B3917" s="134">
        <v>120</v>
      </c>
      <c r="C3917" s="491">
        <v>4</v>
      </c>
      <c r="D3917" s="491">
        <v>0</v>
      </c>
      <c r="E3917" s="491">
        <v>0</v>
      </c>
      <c r="F3917" s="491">
        <v>0</v>
      </c>
      <c r="G3917" s="491">
        <f t="shared" si="61"/>
        <v>4</v>
      </c>
    </row>
    <row r="3918" spans="1:7" ht="12.75">
      <c r="A3918" s="134" t="s">
        <v>831</v>
      </c>
      <c r="B3918" s="134">
        <v>130</v>
      </c>
      <c r="C3918" s="491">
        <v>14</v>
      </c>
      <c r="D3918" s="491">
        <v>5</v>
      </c>
      <c r="E3918" s="491">
        <v>0</v>
      </c>
      <c r="F3918" s="491">
        <v>0</v>
      </c>
      <c r="G3918" s="491">
        <f t="shared" si="61"/>
        <v>19</v>
      </c>
    </row>
    <row r="3919" spans="1:7" ht="12.75">
      <c r="A3919" s="134" t="s">
        <v>831</v>
      </c>
      <c r="B3919" s="134">
        <v>140</v>
      </c>
      <c r="C3919" s="491">
        <v>3</v>
      </c>
      <c r="D3919" s="491">
        <v>0</v>
      </c>
      <c r="E3919" s="491">
        <v>0</v>
      </c>
      <c r="F3919" s="491">
        <v>0</v>
      </c>
      <c r="G3919" s="491">
        <f t="shared" si="61"/>
        <v>3</v>
      </c>
    </row>
    <row r="3920" spans="1:7" ht="12.75">
      <c r="A3920" s="134" t="s">
        <v>831</v>
      </c>
      <c r="B3920" s="134">
        <v>172</v>
      </c>
      <c r="C3920" s="491">
        <v>1</v>
      </c>
      <c r="D3920" s="491">
        <v>0</v>
      </c>
      <c r="E3920" s="491">
        <v>0</v>
      </c>
      <c r="F3920" s="491">
        <v>0</v>
      </c>
      <c r="G3920" s="491">
        <f t="shared" si="61"/>
        <v>1</v>
      </c>
    </row>
    <row r="3921" spans="1:7" ht="12.75">
      <c r="A3921" s="134" t="s">
        <v>831</v>
      </c>
      <c r="B3921" s="134">
        <v>173</v>
      </c>
      <c r="C3921" s="491">
        <v>1</v>
      </c>
      <c r="D3921" s="491">
        <v>0</v>
      </c>
      <c r="E3921" s="491">
        <v>0</v>
      </c>
      <c r="F3921" s="491">
        <v>0</v>
      </c>
      <c r="G3921" s="491">
        <f t="shared" si="61"/>
        <v>1</v>
      </c>
    </row>
    <row r="3922" spans="1:7" ht="12.75">
      <c r="A3922" s="134" t="s">
        <v>831</v>
      </c>
      <c r="B3922" s="134">
        <v>190</v>
      </c>
      <c r="C3922" s="491">
        <v>1</v>
      </c>
      <c r="D3922" s="491">
        <v>0</v>
      </c>
      <c r="E3922" s="491">
        <v>1</v>
      </c>
      <c r="F3922" s="491">
        <v>0</v>
      </c>
      <c r="G3922" s="491">
        <f t="shared" si="61"/>
        <v>2</v>
      </c>
    </row>
    <row r="3923" spans="1:7" ht="12.75">
      <c r="A3923" s="134" t="s">
        <v>831</v>
      </c>
      <c r="B3923" s="134">
        <v>191</v>
      </c>
      <c r="C3923" s="491">
        <v>3</v>
      </c>
      <c r="D3923" s="491">
        <v>2</v>
      </c>
      <c r="E3923" s="491">
        <v>0</v>
      </c>
      <c r="F3923" s="491">
        <v>0</v>
      </c>
      <c r="G3923" s="491">
        <f t="shared" si="61"/>
        <v>5</v>
      </c>
    </row>
    <row r="3924" spans="1:7" ht="12.75">
      <c r="A3924" s="134" t="s">
        <v>831</v>
      </c>
      <c r="B3924" s="134">
        <v>216</v>
      </c>
      <c r="C3924" s="491">
        <v>1</v>
      </c>
      <c r="D3924" s="491">
        <v>0</v>
      </c>
      <c r="E3924" s="491">
        <v>0</v>
      </c>
      <c r="F3924" s="491">
        <v>0</v>
      </c>
      <c r="G3924" s="491">
        <f t="shared" si="61"/>
        <v>1</v>
      </c>
    </row>
    <row r="3925" spans="1:7" ht="12.75">
      <c r="A3925" s="134" t="s">
        <v>831</v>
      </c>
      <c r="B3925" s="134">
        <v>257</v>
      </c>
      <c r="C3925" s="491">
        <v>1</v>
      </c>
      <c r="D3925" s="491">
        <v>0</v>
      </c>
      <c r="E3925" s="491">
        <v>0</v>
      </c>
      <c r="F3925" s="491">
        <v>0</v>
      </c>
      <c r="G3925" s="491">
        <f t="shared" si="61"/>
        <v>1</v>
      </c>
    </row>
    <row r="3926" spans="1:7" ht="12.75">
      <c r="A3926" s="134" t="s">
        <v>831</v>
      </c>
      <c r="B3926" s="134">
        <v>263</v>
      </c>
      <c r="C3926" s="491">
        <v>1</v>
      </c>
      <c r="D3926" s="491">
        <v>0</v>
      </c>
      <c r="E3926" s="491">
        <v>0</v>
      </c>
      <c r="F3926" s="491">
        <v>0</v>
      </c>
      <c r="G3926" s="491">
        <f t="shared" si="61"/>
        <v>1</v>
      </c>
    </row>
    <row r="3927" spans="1:7" ht="12.75">
      <c r="A3927" s="134" t="s">
        <v>831</v>
      </c>
      <c r="B3927" s="134">
        <v>300</v>
      </c>
      <c r="C3927" s="491">
        <v>419</v>
      </c>
      <c r="D3927" s="491">
        <v>2</v>
      </c>
      <c r="E3927" s="491">
        <v>2</v>
      </c>
      <c r="F3927" s="491">
        <v>0</v>
      </c>
      <c r="G3927" s="491">
        <f t="shared" si="61"/>
        <v>423</v>
      </c>
    </row>
    <row r="3928" spans="1:7" ht="12.75">
      <c r="A3928" s="134" t="s">
        <v>831</v>
      </c>
      <c r="B3928" s="134">
        <v>301</v>
      </c>
      <c r="C3928" s="491">
        <v>5</v>
      </c>
      <c r="D3928" s="491">
        <v>0</v>
      </c>
      <c r="E3928" s="491">
        <v>0</v>
      </c>
      <c r="F3928" s="491">
        <v>0</v>
      </c>
      <c r="G3928" s="491">
        <f t="shared" si="61"/>
        <v>5</v>
      </c>
    </row>
    <row r="3929" spans="1:7" ht="12.75">
      <c r="A3929" s="134" t="s">
        <v>831</v>
      </c>
      <c r="B3929" s="134">
        <v>302</v>
      </c>
      <c r="C3929" s="491">
        <v>0</v>
      </c>
      <c r="D3929" s="491">
        <v>1</v>
      </c>
      <c r="E3929" s="491">
        <v>0</v>
      </c>
      <c r="F3929" s="491">
        <v>0</v>
      </c>
      <c r="G3929" s="491">
        <f t="shared" si="61"/>
        <v>1</v>
      </c>
    </row>
    <row r="3930" spans="1:7" ht="12.75">
      <c r="A3930" s="134" t="s">
        <v>831</v>
      </c>
      <c r="B3930" s="134">
        <v>303</v>
      </c>
      <c r="C3930" s="491">
        <v>2</v>
      </c>
      <c r="D3930" s="491">
        <v>0</v>
      </c>
      <c r="E3930" s="491">
        <v>0</v>
      </c>
      <c r="F3930" s="491">
        <v>0</v>
      </c>
      <c r="G3930" s="491">
        <f t="shared" si="61"/>
        <v>2</v>
      </c>
    </row>
    <row r="3931" spans="1:7" ht="12.75">
      <c r="A3931" s="134" t="s">
        <v>831</v>
      </c>
      <c r="B3931" s="134">
        <v>304</v>
      </c>
      <c r="C3931" s="491">
        <v>8553</v>
      </c>
      <c r="D3931" s="491">
        <v>1603</v>
      </c>
      <c r="E3931" s="491">
        <v>349</v>
      </c>
      <c r="F3931" s="491">
        <v>10</v>
      </c>
      <c r="G3931" s="491">
        <f t="shared" si="61"/>
        <v>10515</v>
      </c>
    </row>
    <row r="3932" spans="1:7" ht="12.75">
      <c r="A3932" s="134" t="s">
        <v>831</v>
      </c>
      <c r="B3932" s="134">
        <v>306</v>
      </c>
      <c r="C3932" s="491">
        <v>0</v>
      </c>
      <c r="D3932" s="491">
        <v>0</v>
      </c>
      <c r="E3932" s="491">
        <v>1</v>
      </c>
      <c r="F3932" s="491">
        <v>0</v>
      </c>
      <c r="G3932" s="491">
        <f t="shared" si="61"/>
        <v>1</v>
      </c>
    </row>
    <row r="3933" spans="1:7" ht="12.75">
      <c r="A3933" s="134" t="s">
        <v>831</v>
      </c>
      <c r="B3933" s="134">
        <v>307</v>
      </c>
      <c r="C3933" s="491">
        <v>2</v>
      </c>
      <c r="D3933" s="491">
        <v>0</v>
      </c>
      <c r="E3933" s="491">
        <v>0</v>
      </c>
      <c r="F3933" s="491">
        <v>0</v>
      </c>
      <c r="G3933" s="491">
        <f t="shared" si="61"/>
        <v>2</v>
      </c>
    </row>
    <row r="3934" spans="1:7" ht="12.75">
      <c r="A3934" s="134" t="s">
        <v>831</v>
      </c>
      <c r="B3934" s="134">
        <v>310</v>
      </c>
      <c r="C3934" s="491">
        <v>2</v>
      </c>
      <c r="D3934" s="491">
        <v>0</v>
      </c>
      <c r="E3934" s="491">
        <v>0</v>
      </c>
      <c r="F3934" s="491">
        <v>0</v>
      </c>
      <c r="G3934" s="491">
        <f t="shared" si="61"/>
        <v>2</v>
      </c>
    </row>
    <row r="3935" spans="1:7" ht="12.75">
      <c r="A3935" s="134" t="s">
        <v>831</v>
      </c>
      <c r="B3935" s="134">
        <v>311</v>
      </c>
      <c r="C3935" s="491">
        <v>0</v>
      </c>
      <c r="D3935" s="491">
        <v>0</v>
      </c>
      <c r="E3935" s="491">
        <v>0</v>
      </c>
      <c r="F3935" s="491">
        <v>1</v>
      </c>
      <c r="G3935" s="491">
        <f t="shared" si="61"/>
        <v>1</v>
      </c>
    </row>
    <row r="3936" spans="1:7" ht="12.75">
      <c r="A3936" s="134" t="s">
        <v>831</v>
      </c>
      <c r="B3936" s="134">
        <v>314</v>
      </c>
      <c r="C3936" s="491">
        <v>0</v>
      </c>
      <c r="D3936" s="491">
        <v>0</v>
      </c>
      <c r="E3936" s="491">
        <v>0</v>
      </c>
      <c r="F3936" s="491">
        <v>1</v>
      </c>
      <c r="G3936" s="491">
        <f t="shared" si="61"/>
        <v>1</v>
      </c>
    </row>
    <row r="3937" spans="1:7" ht="12.75">
      <c r="A3937" s="134" t="s">
        <v>831</v>
      </c>
      <c r="B3937" s="134">
        <v>315</v>
      </c>
      <c r="C3937" s="491">
        <v>1</v>
      </c>
      <c r="D3937" s="491">
        <v>0</v>
      </c>
      <c r="E3937" s="491">
        <v>0</v>
      </c>
      <c r="F3937" s="491">
        <v>0</v>
      </c>
      <c r="G3937" s="491">
        <f t="shared" si="61"/>
        <v>1</v>
      </c>
    </row>
    <row r="3938" spans="1:7" ht="12.75">
      <c r="A3938" s="134" t="s">
        <v>831</v>
      </c>
      <c r="B3938" s="134">
        <v>317</v>
      </c>
      <c r="C3938" s="491">
        <v>0</v>
      </c>
      <c r="D3938" s="491">
        <v>1</v>
      </c>
      <c r="E3938" s="491">
        <v>0</v>
      </c>
      <c r="F3938" s="491">
        <v>0</v>
      </c>
      <c r="G3938" s="491">
        <f t="shared" si="61"/>
        <v>1</v>
      </c>
    </row>
    <row r="3939" spans="1:7" ht="12.75">
      <c r="A3939" s="134" t="s">
        <v>831</v>
      </c>
      <c r="B3939" s="134">
        <v>320</v>
      </c>
      <c r="C3939" s="491">
        <v>83803</v>
      </c>
      <c r="D3939" s="491">
        <v>5233</v>
      </c>
      <c r="E3939" s="491">
        <v>3246</v>
      </c>
      <c r="F3939" s="491">
        <v>137</v>
      </c>
      <c r="G3939" s="491">
        <f t="shared" si="61"/>
        <v>92419</v>
      </c>
    </row>
    <row r="3940" spans="1:7" ht="12.75">
      <c r="A3940" s="134" t="s">
        <v>831</v>
      </c>
      <c r="B3940" s="134">
        <v>321</v>
      </c>
      <c r="C3940" s="491">
        <v>142</v>
      </c>
      <c r="D3940" s="491">
        <v>4</v>
      </c>
      <c r="E3940" s="491">
        <v>1</v>
      </c>
      <c r="F3940" s="491">
        <v>0</v>
      </c>
      <c r="G3940" s="491">
        <f t="shared" si="61"/>
        <v>147</v>
      </c>
    </row>
    <row r="3941" spans="1:7" ht="12.75">
      <c r="A3941" s="134" t="s">
        <v>831</v>
      </c>
      <c r="B3941" s="134">
        <v>329</v>
      </c>
      <c r="C3941" s="491">
        <v>0</v>
      </c>
      <c r="D3941" s="491">
        <v>1</v>
      </c>
      <c r="E3941" s="491">
        <v>0</v>
      </c>
      <c r="F3941" s="491">
        <v>0</v>
      </c>
      <c r="G3941" s="491">
        <f t="shared" si="61"/>
        <v>1</v>
      </c>
    </row>
    <row r="3942" spans="1:7" ht="12.75">
      <c r="A3942" s="134" t="s">
        <v>831</v>
      </c>
      <c r="B3942" s="134">
        <v>330</v>
      </c>
      <c r="C3942" s="491">
        <v>3</v>
      </c>
      <c r="D3942" s="491">
        <v>1</v>
      </c>
      <c r="E3942" s="491">
        <v>0</v>
      </c>
      <c r="F3942" s="491">
        <v>0</v>
      </c>
      <c r="G3942" s="491">
        <f t="shared" si="61"/>
        <v>4</v>
      </c>
    </row>
    <row r="3943" spans="1:7" ht="12.75">
      <c r="A3943" s="134" t="s">
        <v>831</v>
      </c>
      <c r="B3943" s="134">
        <v>331</v>
      </c>
      <c r="C3943" s="491">
        <v>1</v>
      </c>
      <c r="D3943" s="491">
        <v>0</v>
      </c>
      <c r="E3943" s="491">
        <v>0</v>
      </c>
      <c r="F3943" s="491">
        <v>0</v>
      </c>
      <c r="G3943" s="491">
        <f t="shared" si="61"/>
        <v>1</v>
      </c>
    </row>
    <row r="3944" spans="1:7" ht="12.75">
      <c r="A3944" s="134" t="s">
        <v>831</v>
      </c>
      <c r="B3944" s="134">
        <v>340</v>
      </c>
      <c r="C3944" s="491">
        <v>3</v>
      </c>
      <c r="D3944" s="491">
        <v>6</v>
      </c>
      <c r="E3944" s="491">
        <v>0</v>
      </c>
      <c r="F3944" s="491">
        <v>2</v>
      </c>
      <c r="G3944" s="491">
        <f t="shared" si="61"/>
        <v>11</v>
      </c>
    </row>
    <row r="3945" spans="1:7" ht="12.75">
      <c r="A3945" s="134" t="s">
        <v>831</v>
      </c>
      <c r="B3945" s="134">
        <v>341</v>
      </c>
      <c r="C3945" s="491">
        <v>10</v>
      </c>
      <c r="D3945" s="491">
        <v>0</v>
      </c>
      <c r="E3945" s="491">
        <v>0</v>
      </c>
      <c r="F3945" s="491">
        <v>0</v>
      </c>
      <c r="G3945" s="491">
        <f t="shared" si="61"/>
        <v>10</v>
      </c>
    </row>
    <row r="3946" spans="1:7" ht="12.75">
      <c r="A3946" s="134" t="s">
        <v>831</v>
      </c>
      <c r="B3946" s="134">
        <v>350</v>
      </c>
      <c r="C3946" s="491">
        <v>1</v>
      </c>
      <c r="D3946" s="491">
        <v>0</v>
      </c>
      <c r="E3946" s="491">
        <v>0</v>
      </c>
      <c r="F3946" s="491">
        <v>0</v>
      </c>
      <c r="G3946" s="491">
        <f t="shared" si="61"/>
        <v>1</v>
      </c>
    </row>
    <row r="3947" spans="1:7" ht="12.75">
      <c r="A3947" s="134" t="s">
        <v>831</v>
      </c>
      <c r="B3947" s="134">
        <v>361</v>
      </c>
      <c r="C3947" s="491">
        <v>9</v>
      </c>
      <c r="D3947" s="491">
        <v>0</v>
      </c>
      <c r="E3947" s="491">
        <v>0</v>
      </c>
      <c r="F3947" s="491">
        <v>0</v>
      </c>
      <c r="G3947" s="491">
        <f t="shared" si="61"/>
        <v>9</v>
      </c>
    </row>
    <row r="3948" spans="1:7" ht="12.75">
      <c r="A3948" s="134" t="s">
        <v>831</v>
      </c>
      <c r="B3948" s="134">
        <v>370</v>
      </c>
      <c r="C3948" s="491">
        <v>4</v>
      </c>
      <c r="D3948" s="491">
        <v>0</v>
      </c>
      <c r="E3948" s="491">
        <v>0</v>
      </c>
      <c r="F3948" s="491">
        <v>0</v>
      </c>
      <c r="G3948" s="491">
        <f t="shared" si="61"/>
        <v>4</v>
      </c>
    </row>
    <row r="3949" spans="1:7" ht="12.75">
      <c r="A3949" s="134" t="s">
        <v>831</v>
      </c>
      <c r="B3949" s="134">
        <v>371</v>
      </c>
      <c r="C3949" s="491">
        <v>0</v>
      </c>
      <c r="D3949" s="491">
        <v>1</v>
      </c>
      <c r="E3949" s="491">
        <v>0</v>
      </c>
      <c r="F3949" s="491">
        <v>0</v>
      </c>
      <c r="G3949" s="491">
        <f t="shared" si="61"/>
        <v>1</v>
      </c>
    </row>
    <row r="3950" spans="1:7" ht="12.75">
      <c r="A3950" s="134" t="s">
        <v>831</v>
      </c>
      <c r="B3950" s="134">
        <v>400</v>
      </c>
      <c r="C3950" s="491">
        <v>2</v>
      </c>
      <c r="D3950" s="491">
        <v>1</v>
      </c>
      <c r="E3950" s="491">
        <v>1</v>
      </c>
      <c r="F3950" s="491">
        <v>0</v>
      </c>
      <c r="G3950" s="491">
        <f t="shared" si="61"/>
        <v>4</v>
      </c>
    </row>
    <row r="3951" spans="1:7" ht="12.75">
      <c r="A3951" s="134" t="s">
        <v>831</v>
      </c>
      <c r="B3951" s="134">
        <v>410</v>
      </c>
      <c r="C3951" s="491">
        <v>4</v>
      </c>
      <c r="D3951" s="491">
        <v>2</v>
      </c>
      <c r="E3951" s="491">
        <v>0</v>
      </c>
      <c r="F3951" s="491">
        <v>0</v>
      </c>
      <c r="G3951" s="491">
        <f t="shared" si="61"/>
        <v>6</v>
      </c>
    </row>
    <row r="3952" spans="1:7" ht="12.75">
      <c r="A3952" s="134" t="s">
        <v>831</v>
      </c>
      <c r="B3952" s="134">
        <v>420</v>
      </c>
      <c r="C3952" s="491">
        <v>3</v>
      </c>
      <c r="D3952" s="491">
        <v>0</v>
      </c>
      <c r="E3952" s="491">
        <v>0</v>
      </c>
      <c r="F3952" s="491">
        <v>0</v>
      </c>
      <c r="G3952" s="491">
        <f t="shared" si="61"/>
        <v>3</v>
      </c>
    </row>
    <row r="3953" spans="1:7" ht="12.75">
      <c r="A3953" s="134" t="s">
        <v>831</v>
      </c>
      <c r="B3953" s="134">
        <v>430</v>
      </c>
      <c r="C3953" s="491">
        <v>2</v>
      </c>
      <c r="D3953" s="491">
        <v>1</v>
      </c>
      <c r="E3953" s="491">
        <v>0</v>
      </c>
      <c r="F3953" s="491">
        <v>0</v>
      </c>
      <c r="G3953" s="491">
        <f t="shared" si="61"/>
        <v>3</v>
      </c>
    </row>
    <row r="3954" spans="1:7" ht="12.75">
      <c r="A3954" s="134" t="s">
        <v>831</v>
      </c>
      <c r="B3954" s="134">
        <v>501</v>
      </c>
      <c r="C3954" s="491">
        <v>1</v>
      </c>
      <c r="D3954" s="491">
        <v>0</v>
      </c>
      <c r="E3954" s="491">
        <v>0</v>
      </c>
      <c r="F3954" s="491">
        <v>0</v>
      </c>
      <c r="G3954" s="491">
        <f t="shared" si="61"/>
        <v>1</v>
      </c>
    </row>
    <row r="3955" spans="1:7" ht="12.75">
      <c r="A3955" s="134" t="s">
        <v>831</v>
      </c>
      <c r="B3955" s="134">
        <v>502</v>
      </c>
      <c r="C3955" s="491">
        <v>1</v>
      </c>
      <c r="D3955" s="491">
        <v>0</v>
      </c>
      <c r="E3955" s="491">
        <v>0</v>
      </c>
      <c r="F3955" s="491">
        <v>0</v>
      </c>
      <c r="G3955" s="491">
        <f t="shared" si="61"/>
        <v>1</v>
      </c>
    </row>
    <row r="3956" spans="1:7" ht="12.75">
      <c r="A3956" s="134" t="s">
        <v>831</v>
      </c>
      <c r="B3956" s="134">
        <v>651</v>
      </c>
      <c r="C3956" s="491">
        <v>1</v>
      </c>
      <c r="D3956" s="491">
        <v>0</v>
      </c>
      <c r="E3956" s="491">
        <v>0</v>
      </c>
      <c r="F3956" s="491">
        <v>0</v>
      </c>
      <c r="G3956" s="491">
        <f t="shared" si="61"/>
        <v>1</v>
      </c>
    </row>
    <row r="3957" spans="1:7" ht="12.75">
      <c r="A3957" s="134" t="s">
        <v>831</v>
      </c>
      <c r="B3957" s="134">
        <v>800</v>
      </c>
      <c r="C3957" s="491">
        <v>4</v>
      </c>
      <c r="D3957" s="491">
        <v>0</v>
      </c>
      <c r="E3957" s="491">
        <v>0</v>
      </c>
      <c r="F3957" s="491">
        <v>0</v>
      </c>
      <c r="G3957" s="491">
        <f t="shared" si="61"/>
        <v>4</v>
      </c>
    </row>
    <row r="3958" spans="1:7" ht="12.75">
      <c r="A3958" s="134" t="s">
        <v>831</v>
      </c>
      <c r="B3958" s="134">
        <v>812</v>
      </c>
      <c r="C3958" s="491">
        <v>0</v>
      </c>
      <c r="D3958" s="491">
        <v>716</v>
      </c>
      <c r="E3958" s="491">
        <v>0</v>
      </c>
      <c r="F3958" s="491">
        <v>0</v>
      </c>
      <c r="G3958" s="491">
        <f t="shared" si="61"/>
        <v>716</v>
      </c>
    </row>
    <row r="3959" spans="1:7" ht="12.75">
      <c r="A3959" s="134" t="s">
        <v>831</v>
      </c>
      <c r="B3959" s="134">
        <v>822</v>
      </c>
      <c r="C3959" s="491">
        <v>2</v>
      </c>
      <c r="D3959" s="491">
        <v>0</v>
      </c>
      <c r="E3959" s="491">
        <v>0</v>
      </c>
      <c r="F3959" s="491">
        <v>0</v>
      </c>
      <c r="G3959" s="491">
        <f t="shared" si="61"/>
        <v>2</v>
      </c>
    </row>
    <row r="3960" spans="1:7" ht="12.75">
      <c r="A3960" s="134" t="s">
        <v>503</v>
      </c>
      <c r="B3960" s="134">
        <v>100</v>
      </c>
      <c r="C3960" s="491">
        <v>4</v>
      </c>
      <c r="D3960" s="491">
        <v>8</v>
      </c>
      <c r="E3960" s="491">
        <v>3</v>
      </c>
      <c r="F3960" s="491">
        <v>0</v>
      </c>
      <c r="G3960" s="491">
        <f t="shared" si="61"/>
        <v>15</v>
      </c>
    </row>
    <row r="3961" spans="1:7" ht="12.75">
      <c r="A3961" s="134" t="s">
        <v>503</v>
      </c>
      <c r="B3961" s="134">
        <v>101</v>
      </c>
      <c r="C3961" s="491">
        <v>7</v>
      </c>
      <c r="D3961" s="491">
        <v>23</v>
      </c>
      <c r="E3961" s="491">
        <v>1</v>
      </c>
      <c r="F3961" s="491">
        <v>0</v>
      </c>
      <c r="G3961" s="491">
        <f t="shared" si="61"/>
        <v>31</v>
      </c>
    </row>
    <row r="3962" spans="1:7" ht="12.75">
      <c r="A3962" s="134" t="s">
        <v>503</v>
      </c>
      <c r="B3962" s="134">
        <v>102</v>
      </c>
      <c r="C3962" s="491">
        <v>3</v>
      </c>
      <c r="D3962" s="491">
        <v>5</v>
      </c>
      <c r="E3962" s="491">
        <v>0</v>
      </c>
      <c r="F3962" s="491">
        <v>0</v>
      </c>
      <c r="G3962" s="491">
        <f t="shared" si="61"/>
        <v>8</v>
      </c>
    </row>
    <row r="3963" spans="1:7" ht="12.75">
      <c r="A3963" s="134" t="s">
        <v>503</v>
      </c>
      <c r="B3963" s="134">
        <v>103</v>
      </c>
      <c r="C3963" s="491">
        <v>1</v>
      </c>
      <c r="D3963" s="491">
        <v>8</v>
      </c>
      <c r="E3963" s="491">
        <v>0</v>
      </c>
      <c r="F3963" s="491">
        <v>0</v>
      </c>
      <c r="G3963" s="491">
        <f t="shared" si="61"/>
        <v>9</v>
      </c>
    </row>
    <row r="3964" spans="1:7" ht="12.75">
      <c r="A3964" s="134" t="s">
        <v>503</v>
      </c>
      <c r="B3964" s="134">
        <v>104</v>
      </c>
      <c r="C3964" s="491">
        <v>1</v>
      </c>
      <c r="D3964" s="491">
        <v>16</v>
      </c>
      <c r="E3964" s="491">
        <v>0</v>
      </c>
      <c r="F3964" s="491">
        <v>0</v>
      </c>
      <c r="G3964" s="491">
        <f t="shared" si="61"/>
        <v>17</v>
      </c>
    </row>
    <row r="3965" spans="1:7" ht="12.75">
      <c r="A3965" s="134" t="s">
        <v>503</v>
      </c>
      <c r="B3965" s="134">
        <v>106</v>
      </c>
      <c r="C3965" s="491">
        <v>1</v>
      </c>
      <c r="D3965" s="491">
        <v>6</v>
      </c>
      <c r="E3965" s="491">
        <v>1</v>
      </c>
      <c r="F3965" s="491">
        <v>0</v>
      </c>
      <c r="G3965" s="491">
        <f t="shared" si="61"/>
        <v>8</v>
      </c>
    </row>
    <row r="3966" spans="1:7" ht="12.75">
      <c r="A3966" s="134" t="s">
        <v>503</v>
      </c>
      <c r="B3966" s="134">
        <v>107</v>
      </c>
      <c r="C3966" s="491">
        <v>8</v>
      </c>
      <c r="D3966" s="491">
        <v>15</v>
      </c>
      <c r="E3966" s="491">
        <v>4</v>
      </c>
      <c r="F3966" s="491">
        <v>0</v>
      </c>
      <c r="G3966" s="491">
        <f t="shared" si="61"/>
        <v>27</v>
      </c>
    </row>
    <row r="3967" spans="1:7" ht="12.75">
      <c r="A3967" s="134" t="s">
        <v>503</v>
      </c>
      <c r="B3967" s="134">
        <v>110</v>
      </c>
      <c r="C3967" s="491">
        <v>3</v>
      </c>
      <c r="D3967" s="491">
        <v>44</v>
      </c>
      <c r="E3967" s="491">
        <v>1</v>
      </c>
      <c r="F3967" s="491">
        <v>1</v>
      </c>
      <c r="G3967" s="491">
        <f t="shared" si="61"/>
        <v>49</v>
      </c>
    </row>
    <row r="3968" spans="1:7" ht="12.75">
      <c r="A3968" s="134" t="s">
        <v>503</v>
      </c>
      <c r="B3968" s="134">
        <v>120</v>
      </c>
      <c r="C3968" s="491">
        <v>2</v>
      </c>
      <c r="D3968" s="491">
        <v>22</v>
      </c>
      <c r="E3968" s="491">
        <v>0</v>
      </c>
      <c r="F3968" s="491">
        <v>0</v>
      </c>
      <c r="G3968" s="491">
        <f t="shared" si="61"/>
        <v>24</v>
      </c>
    </row>
    <row r="3969" spans="1:7" ht="12.75">
      <c r="A3969" s="134" t="s">
        <v>503</v>
      </c>
      <c r="B3969" s="134">
        <v>130</v>
      </c>
      <c r="C3969" s="491">
        <v>6</v>
      </c>
      <c r="D3969" s="491">
        <v>1</v>
      </c>
      <c r="E3969" s="491">
        <v>0</v>
      </c>
      <c r="F3969" s="491">
        <v>0</v>
      </c>
      <c r="G3969" s="491">
        <f t="shared" si="61"/>
        <v>7</v>
      </c>
    </row>
    <row r="3970" spans="1:7" ht="12.75">
      <c r="A3970" s="134" t="s">
        <v>503</v>
      </c>
      <c r="B3970" s="134">
        <v>140</v>
      </c>
      <c r="C3970" s="491">
        <v>0</v>
      </c>
      <c r="D3970" s="491">
        <v>5</v>
      </c>
      <c r="E3970" s="491">
        <v>0</v>
      </c>
      <c r="F3970" s="491">
        <v>0</v>
      </c>
      <c r="G3970" s="491">
        <f t="shared" si="61"/>
        <v>5</v>
      </c>
    </row>
    <row r="3971" spans="1:7" ht="12.75">
      <c r="A3971" s="134" t="s">
        <v>503</v>
      </c>
      <c r="B3971" s="134">
        <v>143</v>
      </c>
      <c r="C3971" s="491">
        <v>0</v>
      </c>
      <c r="D3971" s="491">
        <v>3</v>
      </c>
      <c r="E3971" s="491">
        <v>0</v>
      </c>
      <c r="F3971" s="491">
        <v>0</v>
      </c>
      <c r="G3971" s="491">
        <f t="shared" si="61"/>
        <v>3</v>
      </c>
    </row>
    <row r="3972" spans="1:7" ht="12.75">
      <c r="A3972" s="134" t="s">
        <v>503</v>
      </c>
      <c r="B3972" s="134">
        <v>144</v>
      </c>
      <c r="C3972" s="491">
        <v>2</v>
      </c>
      <c r="D3972" s="491">
        <v>12</v>
      </c>
      <c r="E3972" s="491">
        <v>0</v>
      </c>
      <c r="F3972" s="491">
        <v>0</v>
      </c>
      <c r="G3972" s="491">
        <f t="shared" ref="G3972:G4035" si="62">SUM(C3972:F3972)</f>
        <v>14</v>
      </c>
    </row>
    <row r="3973" spans="1:7" ht="12.75">
      <c r="A3973" s="134" t="s">
        <v>503</v>
      </c>
      <c r="B3973" s="134">
        <v>150</v>
      </c>
      <c r="C3973" s="491">
        <v>0</v>
      </c>
      <c r="D3973" s="491">
        <v>9</v>
      </c>
      <c r="E3973" s="491">
        <v>0</v>
      </c>
      <c r="F3973" s="491">
        <v>0</v>
      </c>
      <c r="G3973" s="491">
        <f t="shared" si="62"/>
        <v>9</v>
      </c>
    </row>
    <row r="3974" spans="1:7" ht="12.75">
      <c r="A3974" s="134" t="s">
        <v>503</v>
      </c>
      <c r="B3974" s="134">
        <v>160</v>
      </c>
      <c r="C3974" s="491">
        <v>1</v>
      </c>
      <c r="D3974" s="491">
        <v>27</v>
      </c>
      <c r="E3974" s="491">
        <v>3</v>
      </c>
      <c r="F3974" s="491">
        <v>0</v>
      </c>
      <c r="G3974" s="491">
        <f t="shared" si="62"/>
        <v>31</v>
      </c>
    </row>
    <row r="3975" spans="1:7" ht="12.75">
      <c r="A3975" s="134" t="s">
        <v>503</v>
      </c>
      <c r="B3975" s="134">
        <v>172</v>
      </c>
      <c r="C3975" s="491">
        <v>1</v>
      </c>
      <c r="D3975" s="491">
        <v>2</v>
      </c>
      <c r="E3975" s="491">
        <v>0</v>
      </c>
      <c r="F3975" s="491">
        <v>0</v>
      </c>
      <c r="G3975" s="491">
        <f t="shared" si="62"/>
        <v>3</v>
      </c>
    </row>
    <row r="3976" spans="1:7" ht="12.75">
      <c r="A3976" s="134" t="s">
        <v>503</v>
      </c>
      <c r="B3976" s="134">
        <v>173</v>
      </c>
      <c r="C3976" s="491">
        <v>0</v>
      </c>
      <c r="D3976" s="491">
        <v>1</v>
      </c>
      <c r="E3976" s="491">
        <v>0</v>
      </c>
      <c r="F3976" s="491">
        <v>0</v>
      </c>
      <c r="G3976" s="491">
        <f t="shared" si="62"/>
        <v>1</v>
      </c>
    </row>
    <row r="3977" spans="1:7" ht="12.75">
      <c r="A3977" s="134" t="s">
        <v>503</v>
      </c>
      <c r="B3977" s="134">
        <v>180</v>
      </c>
      <c r="C3977" s="491">
        <v>0</v>
      </c>
      <c r="D3977" s="491">
        <v>2</v>
      </c>
      <c r="E3977" s="491">
        <v>0</v>
      </c>
      <c r="F3977" s="491">
        <v>0</v>
      </c>
      <c r="G3977" s="491">
        <f t="shared" si="62"/>
        <v>2</v>
      </c>
    </row>
    <row r="3978" spans="1:7" ht="12.75">
      <c r="A3978" s="134" t="s">
        <v>503</v>
      </c>
      <c r="B3978" s="134">
        <v>190</v>
      </c>
      <c r="C3978" s="491">
        <v>3</v>
      </c>
      <c r="D3978" s="491">
        <v>7</v>
      </c>
      <c r="E3978" s="491">
        <v>0</v>
      </c>
      <c r="F3978" s="491">
        <v>0</v>
      </c>
      <c r="G3978" s="491">
        <f t="shared" si="62"/>
        <v>10</v>
      </c>
    </row>
    <row r="3979" spans="1:7" ht="12.75">
      <c r="A3979" s="134" t="s">
        <v>503</v>
      </c>
      <c r="B3979" s="134">
        <v>191</v>
      </c>
      <c r="C3979" s="491">
        <v>1</v>
      </c>
      <c r="D3979" s="491">
        <v>9</v>
      </c>
      <c r="E3979" s="491">
        <v>0</v>
      </c>
      <c r="F3979" s="491">
        <v>0</v>
      </c>
      <c r="G3979" s="491">
        <f t="shared" si="62"/>
        <v>10</v>
      </c>
    </row>
    <row r="3980" spans="1:7" ht="12.75">
      <c r="A3980" s="134" t="s">
        <v>503</v>
      </c>
      <c r="B3980" s="134">
        <v>300</v>
      </c>
      <c r="C3980" s="491">
        <v>102</v>
      </c>
      <c r="D3980" s="491">
        <v>182</v>
      </c>
      <c r="E3980" s="491">
        <v>0</v>
      </c>
      <c r="F3980" s="491">
        <v>0</v>
      </c>
      <c r="G3980" s="491">
        <f t="shared" si="62"/>
        <v>284</v>
      </c>
    </row>
    <row r="3981" spans="1:7" ht="12.75">
      <c r="A3981" s="134" t="s">
        <v>503</v>
      </c>
      <c r="B3981" s="134">
        <v>301</v>
      </c>
      <c r="C3981" s="491">
        <v>3</v>
      </c>
      <c r="D3981" s="491">
        <v>7</v>
      </c>
      <c r="E3981" s="491">
        <v>0</v>
      </c>
      <c r="F3981" s="491">
        <v>0</v>
      </c>
      <c r="G3981" s="491">
        <f t="shared" si="62"/>
        <v>10</v>
      </c>
    </row>
    <row r="3982" spans="1:7" ht="12.75">
      <c r="A3982" s="134" t="s">
        <v>503</v>
      </c>
      <c r="B3982" s="134">
        <v>302</v>
      </c>
      <c r="C3982" s="491">
        <v>1</v>
      </c>
      <c r="D3982" s="491">
        <v>7</v>
      </c>
      <c r="E3982" s="491">
        <v>0</v>
      </c>
      <c r="F3982" s="491">
        <v>0</v>
      </c>
      <c r="G3982" s="491">
        <f t="shared" si="62"/>
        <v>8</v>
      </c>
    </row>
    <row r="3983" spans="1:7" ht="12.75">
      <c r="A3983" s="134" t="s">
        <v>503</v>
      </c>
      <c r="B3983" s="134">
        <v>303</v>
      </c>
      <c r="C3983" s="491">
        <v>3</v>
      </c>
      <c r="D3983" s="491">
        <v>8</v>
      </c>
      <c r="E3983" s="491">
        <v>0</v>
      </c>
      <c r="F3983" s="491">
        <v>0</v>
      </c>
      <c r="G3983" s="491">
        <f t="shared" si="62"/>
        <v>11</v>
      </c>
    </row>
    <row r="3984" spans="1:7" ht="12.75">
      <c r="A3984" s="134" t="s">
        <v>503</v>
      </c>
      <c r="B3984" s="134">
        <v>304</v>
      </c>
      <c r="C3984" s="491">
        <v>234</v>
      </c>
      <c r="D3984" s="491">
        <v>226</v>
      </c>
      <c r="E3984" s="491">
        <v>215</v>
      </c>
      <c r="F3984" s="491">
        <v>5</v>
      </c>
      <c r="G3984" s="491">
        <f t="shared" si="62"/>
        <v>680</v>
      </c>
    </row>
    <row r="3985" spans="1:7" ht="12.75">
      <c r="A3985" s="134" t="s">
        <v>503</v>
      </c>
      <c r="B3985" s="134">
        <v>306</v>
      </c>
      <c r="C3985" s="491">
        <v>0</v>
      </c>
      <c r="D3985" s="491">
        <v>1</v>
      </c>
      <c r="E3985" s="491">
        <v>61</v>
      </c>
      <c r="F3985" s="491">
        <v>0</v>
      </c>
      <c r="G3985" s="491">
        <f t="shared" si="62"/>
        <v>62</v>
      </c>
    </row>
    <row r="3986" spans="1:7" ht="12.75">
      <c r="A3986" s="134" t="s">
        <v>503</v>
      </c>
      <c r="B3986" s="134">
        <v>307</v>
      </c>
      <c r="C3986" s="491">
        <v>11</v>
      </c>
      <c r="D3986" s="491">
        <v>8</v>
      </c>
      <c r="E3986" s="491">
        <v>9</v>
      </c>
      <c r="F3986" s="491">
        <v>3</v>
      </c>
      <c r="G3986" s="491">
        <f t="shared" si="62"/>
        <v>31</v>
      </c>
    </row>
    <row r="3987" spans="1:7" ht="12.75">
      <c r="A3987" s="134" t="s">
        <v>503</v>
      </c>
      <c r="B3987" s="134">
        <v>310</v>
      </c>
      <c r="C3987" s="491">
        <v>1</v>
      </c>
      <c r="D3987" s="491">
        <v>15</v>
      </c>
      <c r="E3987" s="491">
        <v>0</v>
      </c>
      <c r="F3987" s="491">
        <v>0</v>
      </c>
      <c r="G3987" s="491">
        <f t="shared" si="62"/>
        <v>16</v>
      </c>
    </row>
    <row r="3988" spans="1:7" ht="12.75">
      <c r="A3988" s="134" t="s">
        <v>503</v>
      </c>
      <c r="B3988" s="134">
        <v>314</v>
      </c>
      <c r="C3988" s="491">
        <v>1</v>
      </c>
      <c r="D3988" s="491">
        <v>4</v>
      </c>
      <c r="E3988" s="491">
        <v>0</v>
      </c>
      <c r="F3988" s="491">
        <v>1</v>
      </c>
      <c r="G3988" s="491">
        <f t="shared" si="62"/>
        <v>6</v>
      </c>
    </row>
    <row r="3989" spans="1:7" ht="12.75">
      <c r="A3989" s="134" t="s">
        <v>503</v>
      </c>
      <c r="B3989" s="134">
        <v>320</v>
      </c>
      <c r="C3989" s="491">
        <v>10030</v>
      </c>
      <c r="D3989" s="491">
        <v>13264</v>
      </c>
      <c r="E3989" s="491">
        <v>14</v>
      </c>
      <c r="F3989" s="491">
        <v>114</v>
      </c>
      <c r="G3989" s="491">
        <f t="shared" si="62"/>
        <v>23422</v>
      </c>
    </row>
    <row r="3990" spans="1:7" ht="12.75">
      <c r="A3990" s="134" t="s">
        <v>503</v>
      </c>
      <c r="B3990" s="134">
        <v>321</v>
      </c>
      <c r="C3990" s="491">
        <v>1114</v>
      </c>
      <c r="D3990" s="491">
        <v>2691</v>
      </c>
      <c r="E3990" s="491">
        <v>185</v>
      </c>
      <c r="F3990" s="491">
        <v>423</v>
      </c>
      <c r="G3990" s="491">
        <f t="shared" si="62"/>
        <v>4413</v>
      </c>
    </row>
    <row r="3991" spans="1:7" ht="12.75">
      <c r="A3991" s="134" t="s">
        <v>503</v>
      </c>
      <c r="B3991" s="134">
        <v>324</v>
      </c>
      <c r="C3991" s="491">
        <v>1</v>
      </c>
      <c r="D3991" s="491">
        <v>19</v>
      </c>
      <c r="E3991" s="491">
        <v>0</v>
      </c>
      <c r="F3991" s="491">
        <v>0</v>
      </c>
      <c r="G3991" s="491">
        <f t="shared" si="62"/>
        <v>20</v>
      </c>
    </row>
    <row r="3992" spans="1:7" ht="12.75">
      <c r="A3992" s="134" t="s">
        <v>503</v>
      </c>
      <c r="B3992" s="134">
        <v>327</v>
      </c>
      <c r="C3992" s="491">
        <v>3</v>
      </c>
      <c r="D3992" s="491">
        <v>0</v>
      </c>
      <c r="E3992" s="491">
        <v>0</v>
      </c>
      <c r="F3992" s="491">
        <v>0</v>
      </c>
      <c r="G3992" s="491">
        <f t="shared" si="62"/>
        <v>3</v>
      </c>
    </row>
    <row r="3993" spans="1:7" ht="12.75">
      <c r="A3993" s="134" t="s">
        <v>503</v>
      </c>
      <c r="B3993" s="134">
        <v>328</v>
      </c>
      <c r="C3993" s="491">
        <v>1</v>
      </c>
      <c r="D3993" s="491">
        <v>0</v>
      </c>
      <c r="E3993" s="491">
        <v>0</v>
      </c>
      <c r="F3993" s="491">
        <v>0</v>
      </c>
      <c r="G3993" s="491">
        <f t="shared" si="62"/>
        <v>1</v>
      </c>
    </row>
    <row r="3994" spans="1:7" ht="12.75">
      <c r="A3994" s="134" t="s">
        <v>503</v>
      </c>
      <c r="B3994" s="134">
        <v>329</v>
      </c>
      <c r="C3994" s="491">
        <v>2</v>
      </c>
      <c r="D3994" s="491">
        <v>0</v>
      </c>
      <c r="E3994" s="491">
        <v>0</v>
      </c>
      <c r="F3994" s="491">
        <v>0</v>
      </c>
      <c r="G3994" s="491">
        <f t="shared" si="62"/>
        <v>2</v>
      </c>
    </row>
    <row r="3995" spans="1:7" ht="12.75">
      <c r="A3995" s="134" t="s">
        <v>503</v>
      </c>
      <c r="B3995" s="134">
        <v>330</v>
      </c>
      <c r="C3995" s="491">
        <v>1</v>
      </c>
      <c r="D3995" s="491">
        <v>32</v>
      </c>
      <c r="E3995" s="491">
        <v>0</v>
      </c>
      <c r="F3995" s="491">
        <v>0</v>
      </c>
      <c r="G3995" s="491">
        <f t="shared" si="62"/>
        <v>33</v>
      </c>
    </row>
    <row r="3996" spans="1:7" ht="12.75">
      <c r="A3996" s="134" t="s">
        <v>503</v>
      </c>
      <c r="B3996" s="134">
        <v>340</v>
      </c>
      <c r="C3996" s="491">
        <v>7</v>
      </c>
      <c r="D3996" s="491">
        <v>15</v>
      </c>
      <c r="E3996" s="491">
        <v>0</v>
      </c>
      <c r="F3996" s="491">
        <v>0</v>
      </c>
      <c r="G3996" s="491">
        <f t="shared" si="62"/>
        <v>22</v>
      </c>
    </row>
    <row r="3997" spans="1:7" ht="12.75">
      <c r="A3997" s="134" t="s">
        <v>503</v>
      </c>
      <c r="B3997" s="134">
        <v>341</v>
      </c>
      <c r="C3997" s="491">
        <v>0</v>
      </c>
      <c r="D3997" s="491">
        <v>3</v>
      </c>
      <c r="E3997" s="491">
        <v>0</v>
      </c>
      <c r="F3997" s="491">
        <v>0</v>
      </c>
      <c r="G3997" s="491">
        <f t="shared" si="62"/>
        <v>3</v>
      </c>
    </row>
    <row r="3998" spans="1:7" ht="12.75">
      <c r="A3998" s="134" t="s">
        <v>503</v>
      </c>
      <c r="B3998" s="134">
        <v>361</v>
      </c>
      <c r="C3998" s="491">
        <v>1</v>
      </c>
      <c r="D3998" s="491">
        <v>6</v>
      </c>
      <c r="E3998" s="491">
        <v>0</v>
      </c>
      <c r="F3998" s="491">
        <v>0</v>
      </c>
      <c r="G3998" s="491">
        <f t="shared" si="62"/>
        <v>7</v>
      </c>
    </row>
    <row r="3999" spans="1:7" ht="12.75">
      <c r="A3999" s="134" t="s">
        <v>503</v>
      </c>
      <c r="B3999" s="134">
        <v>370</v>
      </c>
      <c r="C3999" s="491">
        <v>1</v>
      </c>
      <c r="D3999" s="491">
        <v>14</v>
      </c>
      <c r="E3999" s="491">
        <v>0</v>
      </c>
      <c r="F3999" s="491">
        <v>0</v>
      </c>
      <c r="G3999" s="491">
        <f t="shared" si="62"/>
        <v>15</v>
      </c>
    </row>
    <row r="4000" spans="1:7" ht="12.75">
      <c r="A4000" s="134" t="s">
        <v>503</v>
      </c>
      <c r="B4000" s="134">
        <v>371</v>
      </c>
      <c r="C4000" s="491">
        <v>17</v>
      </c>
      <c r="D4000" s="491">
        <v>0</v>
      </c>
      <c r="E4000" s="491">
        <v>0</v>
      </c>
      <c r="F4000" s="491">
        <v>0</v>
      </c>
      <c r="G4000" s="491">
        <f t="shared" si="62"/>
        <v>17</v>
      </c>
    </row>
    <row r="4001" spans="1:7" ht="12.75">
      <c r="A4001" s="134" t="s">
        <v>503</v>
      </c>
      <c r="B4001" s="134">
        <v>400</v>
      </c>
      <c r="C4001" s="491">
        <v>13</v>
      </c>
      <c r="D4001" s="491">
        <v>16</v>
      </c>
      <c r="E4001" s="491">
        <v>3</v>
      </c>
      <c r="F4001" s="491">
        <v>0</v>
      </c>
      <c r="G4001" s="491">
        <f t="shared" si="62"/>
        <v>32</v>
      </c>
    </row>
    <row r="4002" spans="1:7" ht="12.75">
      <c r="A4002" s="134" t="s">
        <v>503</v>
      </c>
      <c r="B4002" s="134">
        <v>410</v>
      </c>
      <c r="C4002" s="491">
        <v>0</v>
      </c>
      <c r="D4002" s="491">
        <v>20</v>
      </c>
      <c r="E4002" s="491">
        <v>4</v>
      </c>
      <c r="F4002" s="491">
        <v>0</v>
      </c>
      <c r="G4002" s="491">
        <f t="shared" si="62"/>
        <v>24</v>
      </c>
    </row>
    <row r="4003" spans="1:7" ht="12.75">
      <c r="A4003" s="134" t="s">
        <v>503</v>
      </c>
      <c r="B4003" s="134">
        <v>420</v>
      </c>
      <c r="C4003" s="491">
        <v>0</v>
      </c>
      <c r="D4003" s="491">
        <v>1</v>
      </c>
      <c r="E4003" s="491">
        <v>0</v>
      </c>
      <c r="F4003" s="491">
        <v>0</v>
      </c>
      <c r="G4003" s="491">
        <f t="shared" si="62"/>
        <v>1</v>
      </c>
    </row>
    <row r="4004" spans="1:7" ht="12.75">
      <c r="A4004" s="134" t="s">
        <v>503</v>
      </c>
      <c r="B4004" s="134">
        <v>430</v>
      </c>
      <c r="C4004" s="491">
        <v>1</v>
      </c>
      <c r="D4004" s="491">
        <v>18</v>
      </c>
      <c r="E4004" s="491">
        <v>0</v>
      </c>
      <c r="F4004" s="491">
        <v>0</v>
      </c>
      <c r="G4004" s="491">
        <f t="shared" si="62"/>
        <v>19</v>
      </c>
    </row>
    <row r="4005" spans="1:7" ht="12.75">
      <c r="A4005" s="134" t="s">
        <v>503</v>
      </c>
      <c r="B4005" s="134">
        <v>450</v>
      </c>
      <c r="C4005" s="491">
        <v>1</v>
      </c>
      <c r="D4005" s="491">
        <v>0</v>
      </c>
      <c r="E4005" s="491">
        <v>0</v>
      </c>
      <c r="F4005" s="491">
        <v>0</v>
      </c>
      <c r="G4005" s="491">
        <f t="shared" si="62"/>
        <v>1</v>
      </c>
    </row>
    <row r="4006" spans="1:7" ht="12.75">
      <c r="A4006" s="134" t="s">
        <v>503</v>
      </c>
      <c r="B4006" s="134">
        <v>501</v>
      </c>
      <c r="C4006" s="491">
        <v>1858</v>
      </c>
      <c r="D4006" s="491">
        <v>1727</v>
      </c>
      <c r="E4006" s="491">
        <v>519</v>
      </c>
      <c r="F4006" s="491">
        <v>395</v>
      </c>
      <c r="G4006" s="491">
        <f t="shared" si="62"/>
        <v>4499</v>
      </c>
    </row>
    <row r="4007" spans="1:7" ht="12.75">
      <c r="A4007" s="134" t="s">
        <v>503</v>
      </c>
      <c r="B4007" s="134">
        <v>502</v>
      </c>
      <c r="C4007" s="491">
        <v>52</v>
      </c>
      <c r="D4007" s="491">
        <v>237</v>
      </c>
      <c r="E4007" s="491">
        <v>5</v>
      </c>
      <c r="F4007" s="491">
        <v>22</v>
      </c>
      <c r="G4007" s="491">
        <f t="shared" si="62"/>
        <v>316</v>
      </c>
    </row>
    <row r="4008" spans="1:7" ht="12.75">
      <c r="A4008" s="134" t="s">
        <v>503</v>
      </c>
      <c r="B4008" s="134">
        <v>503</v>
      </c>
      <c r="C4008" s="491">
        <v>0</v>
      </c>
      <c r="D4008" s="491">
        <v>10</v>
      </c>
      <c r="E4008" s="491">
        <v>0</v>
      </c>
      <c r="F4008" s="491">
        <v>0</v>
      </c>
      <c r="G4008" s="491">
        <f t="shared" si="62"/>
        <v>10</v>
      </c>
    </row>
    <row r="4009" spans="1:7" ht="12.75">
      <c r="A4009" s="134" t="s">
        <v>503</v>
      </c>
      <c r="B4009" s="134">
        <v>560</v>
      </c>
      <c r="C4009" s="491">
        <v>2878</v>
      </c>
      <c r="D4009" s="491">
        <v>2645</v>
      </c>
      <c r="E4009" s="491">
        <v>892</v>
      </c>
      <c r="F4009" s="491">
        <v>685</v>
      </c>
      <c r="G4009" s="491">
        <f t="shared" si="62"/>
        <v>7100</v>
      </c>
    </row>
    <row r="4010" spans="1:7" ht="12.75">
      <c r="A4010" s="134" t="s">
        <v>503</v>
      </c>
      <c r="B4010" s="134">
        <v>650</v>
      </c>
      <c r="C4010" s="491">
        <v>0</v>
      </c>
      <c r="D4010" s="491">
        <v>69</v>
      </c>
      <c r="E4010" s="491">
        <v>0</v>
      </c>
      <c r="F4010" s="491">
        <v>0</v>
      </c>
      <c r="G4010" s="491">
        <f t="shared" si="62"/>
        <v>69</v>
      </c>
    </row>
    <row r="4011" spans="1:7" ht="12.75">
      <c r="A4011" s="134" t="s">
        <v>503</v>
      </c>
      <c r="B4011" s="134">
        <v>651</v>
      </c>
      <c r="C4011" s="491">
        <v>0</v>
      </c>
      <c r="D4011" s="491">
        <v>1</v>
      </c>
      <c r="E4011" s="491">
        <v>0</v>
      </c>
      <c r="F4011" s="491">
        <v>0</v>
      </c>
      <c r="G4011" s="491">
        <f t="shared" si="62"/>
        <v>1</v>
      </c>
    </row>
    <row r="4012" spans="1:7" ht="12.75">
      <c r="A4012" s="134" t="s">
        <v>503</v>
      </c>
      <c r="B4012" s="134">
        <v>653</v>
      </c>
      <c r="C4012" s="491">
        <v>0</v>
      </c>
      <c r="D4012" s="491">
        <v>5</v>
      </c>
      <c r="E4012" s="491">
        <v>0</v>
      </c>
      <c r="F4012" s="491">
        <v>0</v>
      </c>
      <c r="G4012" s="491">
        <f t="shared" si="62"/>
        <v>5</v>
      </c>
    </row>
    <row r="4013" spans="1:7" ht="12.75">
      <c r="A4013" s="134" t="s">
        <v>503</v>
      </c>
      <c r="B4013" s="134">
        <v>811</v>
      </c>
      <c r="C4013" s="491">
        <v>1</v>
      </c>
      <c r="D4013" s="491">
        <v>0</v>
      </c>
      <c r="E4013" s="491">
        <v>0</v>
      </c>
      <c r="F4013" s="491">
        <v>0</v>
      </c>
      <c r="G4013" s="491">
        <f t="shared" si="62"/>
        <v>1</v>
      </c>
    </row>
    <row r="4014" spans="1:7" ht="12.75">
      <c r="A4014" s="134" t="s">
        <v>503</v>
      </c>
      <c r="B4014" s="134">
        <v>812</v>
      </c>
      <c r="C4014" s="491">
        <v>5</v>
      </c>
      <c r="D4014" s="491">
        <v>327</v>
      </c>
      <c r="E4014" s="491">
        <v>0</v>
      </c>
      <c r="F4014" s="491">
        <v>0</v>
      </c>
      <c r="G4014" s="491">
        <f t="shared" si="62"/>
        <v>332</v>
      </c>
    </row>
    <row r="4015" spans="1:7" ht="12.75">
      <c r="A4015" s="134" t="s">
        <v>503</v>
      </c>
      <c r="B4015" s="134">
        <v>822</v>
      </c>
      <c r="C4015" s="491">
        <v>1</v>
      </c>
      <c r="D4015" s="491">
        <v>1</v>
      </c>
      <c r="E4015" s="491">
        <v>0</v>
      </c>
      <c r="F4015" s="491">
        <v>0</v>
      </c>
      <c r="G4015" s="491">
        <f t="shared" si="62"/>
        <v>2</v>
      </c>
    </row>
    <row r="4016" spans="1:7" ht="12.75">
      <c r="A4016" s="134" t="s">
        <v>480</v>
      </c>
      <c r="B4016" s="134">
        <v>100</v>
      </c>
      <c r="C4016" s="491">
        <v>16580</v>
      </c>
      <c r="D4016" s="491">
        <v>395</v>
      </c>
      <c r="E4016" s="491">
        <v>775</v>
      </c>
      <c r="F4016" s="491">
        <v>15</v>
      </c>
      <c r="G4016" s="491">
        <f t="shared" si="62"/>
        <v>17765</v>
      </c>
    </row>
    <row r="4017" spans="1:7" ht="12.75">
      <c r="A4017" s="134" t="s">
        <v>480</v>
      </c>
      <c r="B4017" s="134">
        <v>101</v>
      </c>
      <c r="C4017" s="491">
        <v>6610</v>
      </c>
      <c r="D4017" s="491">
        <v>512</v>
      </c>
      <c r="E4017" s="491">
        <v>379</v>
      </c>
      <c r="F4017" s="491">
        <v>1</v>
      </c>
      <c r="G4017" s="491">
        <f t="shared" si="62"/>
        <v>7502</v>
      </c>
    </row>
    <row r="4018" spans="1:7" ht="12.75">
      <c r="A4018" s="134" t="s">
        <v>480</v>
      </c>
      <c r="B4018" s="134">
        <v>102</v>
      </c>
      <c r="C4018" s="491">
        <v>242</v>
      </c>
      <c r="D4018" s="491">
        <v>85</v>
      </c>
      <c r="E4018" s="491">
        <v>82</v>
      </c>
      <c r="F4018" s="491">
        <v>57</v>
      </c>
      <c r="G4018" s="491">
        <f t="shared" si="62"/>
        <v>466</v>
      </c>
    </row>
    <row r="4019" spans="1:7" ht="12.75">
      <c r="A4019" s="134" t="s">
        <v>480</v>
      </c>
      <c r="B4019" s="134">
        <v>103</v>
      </c>
      <c r="C4019" s="491">
        <v>1129</v>
      </c>
      <c r="D4019" s="491">
        <v>53</v>
      </c>
      <c r="E4019" s="491">
        <v>206</v>
      </c>
      <c r="F4019" s="491">
        <v>65</v>
      </c>
      <c r="G4019" s="491">
        <f t="shared" si="62"/>
        <v>1453</v>
      </c>
    </row>
    <row r="4020" spans="1:7" ht="12.75">
      <c r="A4020" s="134" t="s">
        <v>480</v>
      </c>
      <c r="B4020" s="134">
        <v>104</v>
      </c>
      <c r="C4020" s="491">
        <v>3066</v>
      </c>
      <c r="D4020" s="491">
        <v>229</v>
      </c>
      <c r="E4020" s="491">
        <v>196</v>
      </c>
      <c r="F4020" s="491">
        <v>3</v>
      </c>
      <c r="G4020" s="491">
        <f t="shared" si="62"/>
        <v>3494</v>
      </c>
    </row>
    <row r="4021" spans="1:7" ht="12.75">
      <c r="A4021" s="134" t="s">
        <v>480</v>
      </c>
      <c r="B4021" s="134">
        <v>105</v>
      </c>
      <c r="C4021" s="491">
        <v>334</v>
      </c>
      <c r="D4021" s="491">
        <v>26</v>
      </c>
      <c r="E4021" s="491">
        <v>341</v>
      </c>
      <c r="F4021" s="491">
        <v>5</v>
      </c>
      <c r="G4021" s="491">
        <f t="shared" si="62"/>
        <v>706</v>
      </c>
    </row>
    <row r="4022" spans="1:7" ht="12.75">
      <c r="A4022" s="134" t="s">
        <v>480</v>
      </c>
      <c r="B4022" s="134">
        <v>106</v>
      </c>
      <c r="C4022" s="491">
        <v>1025</v>
      </c>
      <c r="D4022" s="491">
        <v>113</v>
      </c>
      <c r="E4022" s="491">
        <v>33</v>
      </c>
      <c r="F4022" s="491">
        <v>0</v>
      </c>
      <c r="G4022" s="491">
        <f t="shared" si="62"/>
        <v>1171</v>
      </c>
    </row>
    <row r="4023" spans="1:7" ht="12.75">
      <c r="A4023" s="134" t="s">
        <v>480</v>
      </c>
      <c r="B4023" s="134">
        <v>107</v>
      </c>
      <c r="C4023" s="491">
        <v>1008</v>
      </c>
      <c r="D4023" s="491">
        <v>428</v>
      </c>
      <c r="E4023" s="491">
        <v>199</v>
      </c>
      <c r="F4023" s="491">
        <v>0</v>
      </c>
      <c r="G4023" s="491">
        <f t="shared" si="62"/>
        <v>1635</v>
      </c>
    </row>
    <row r="4024" spans="1:7" ht="12.75">
      <c r="A4024" s="134" t="s">
        <v>480</v>
      </c>
      <c r="B4024" s="134">
        <v>110</v>
      </c>
      <c r="C4024" s="491">
        <v>18395</v>
      </c>
      <c r="D4024" s="491">
        <v>1012</v>
      </c>
      <c r="E4024" s="491">
        <v>401</v>
      </c>
      <c r="F4024" s="491">
        <v>23</v>
      </c>
      <c r="G4024" s="491">
        <f t="shared" si="62"/>
        <v>19831</v>
      </c>
    </row>
    <row r="4025" spans="1:7" ht="12.75">
      <c r="A4025" s="134" t="s">
        <v>480</v>
      </c>
      <c r="B4025" s="134">
        <v>120</v>
      </c>
      <c r="C4025" s="491">
        <v>4800</v>
      </c>
      <c r="D4025" s="491">
        <v>178</v>
      </c>
      <c r="E4025" s="491">
        <v>12</v>
      </c>
      <c r="F4025" s="491">
        <v>5</v>
      </c>
      <c r="G4025" s="491">
        <f t="shared" si="62"/>
        <v>4995</v>
      </c>
    </row>
    <row r="4026" spans="1:7" ht="12.75">
      <c r="A4026" s="134" t="s">
        <v>480</v>
      </c>
      <c r="B4026" s="134">
        <v>130</v>
      </c>
      <c r="C4026" s="491">
        <v>1780</v>
      </c>
      <c r="D4026" s="491">
        <v>155</v>
      </c>
      <c r="E4026" s="491">
        <v>6</v>
      </c>
      <c r="F4026" s="491">
        <v>2</v>
      </c>
      <c r="G4026" s="491">
        <f t="shared" si="62"/>
        <v>1943</v>
      </c>
    </row>
    <row r="4027" spans="1:7" ht="12.75">
      <c r="A4027" s="134" t="s">
        <v>480</v>
      </c>
      <c r="B4027" s="134">
        <v>140</v>
      </c>
      <c r="C4027" s="491">
        <v>230</v>
      </c>
      <c r="D4027" s="491">
        <v>52</v>
      </c>
      <c r="E4027" s="491">
        <v>4</v>
      </c>
      <c r="F4027" s="491">
        <v>2</v>
      </c>
      <c r="G4027" s="491">
        <f t="shared" si="62"/>
        <v>288</v>
      </c>
    </row>
    <row r="4028" spans="1:7" ht="12.75">
      <c r="A4028" s="134" t="s">
        <v>480</v>
      </c>
      <c r="B4028" s="134">
        <v>141</v>
      </c>
      <c r="C4028" s="491">
        <v>6</v>
      </c>
      <c r="D4028" s="491">
        <v>3</v>
      </c>
      <c r="E4028" s="491">
        <v>0</v>
      </c>
      <c r="F4028" s="491">
        <v>0</v>
      </c>
      <c r="G4028" s="491">
        <f t="shared" si="62"/>
        <v>9</v>
      </c>
    </row>
    <row r="4029" spans="1:7" ht="12.75">
      <c r="A4029" s="134" t="s">
        <v>480</v>
      </c>
      <c r="B4029" s="134">
        <v>142</v>
      </c>
      <c r="C4029" s="491">
        <v>0</v>
      </c>
      <c r="D4029" s="491">
        <v>2</v>
      </c>
      <c r="E4029" s="491">
        <v>0</v>
      </c>
      <c r="F4029" s="491">
        <v>0</v>
      </c>
      <c r="G4029" s="491">
        <f t="shared" si="62"/>
        <v>2</v>
      </c>
    </row>
    <row r="4030" spans="1:7" ht="12.75">
      <c r="A4030" s="134" t="s">
        <v>480</v>
      </c>
      <c r="B4030" s="134">
        <v>143</v>
      </c>
      <c r="C4030" s="491">
        <v>6</v>
      </c>
      <c r="D4030" s="491">
        <v>23</v>
      </c>
      <c r="E4030" s="491">
        <v>0</v>
      </c>
      <c r="F4030" s="491">
        <v>0</v>
      </c>
      <c r="G4030" s="491">
        <f t="shared" si="62"/>
        <v>29</v>
      </c>
    </row>
    <row r="4031" spans="1:7" ht="12.75">
      <c r="A4031" s="134" t="s">
        <v>480</v>
      </c>
      <c r="B4031" s="134">
        <v>144</v>
      </c>
      <c r="C4031" s="491">
        <v>1050</v>
      </c>
      <c r="D4031" s="491">
        <v>34</v>
      </c>
      <c r="E4031" s="491">
        <v>20</v>
      </c>
      <c r="F4031" s="491">
        <v>1</v>
      </c>
      <c r="G4031" s="491">
        <f t="shared" si="62"/>
        <v>1105</v>
      </c>
    </row>
    <row r="4032" spans="1:7" ht="12.75">
      <c r="A4032" s="134" t="s">
        <v>480</v>
      </c>
      <c r="B4032" s="134">
        <v>150</v>
      </c>
      <c r="C4032" s="491">
        <v>2381</v>
      </c>
      <c r="D4032" s="491">
        <v>42</v>
      </c>
      <c r="E4032" s="491">
        <v>3</v>
      </c>
      <c r="F4032" s="491">
        <v>0</v>
      </c>
      <c r="G4032" s="491">
        <f t="shared" si="62"/>
        <v>2426</v>
      </c>
    </row>
    <row r="4033" spans="1:7" ht="12.75">
      <c r="A4033" s="134" t="s">
        <v>480</v>
      </c>
      <c r="B4033" s="134">
        <v>160</v>
      </c>
      <c r="C4033" s="491">
        <v>577</v>
      </c>
      <c r="D4033" s="491">
        <v>67</v>
      </c>
      <c r="E4033" s="491">
        <v>404</v>
      </c>
      <c r="F4033" s="491">
        <v>4</v>
      </c>
      <c r="G4033" s="491">
        <f t="shared" si="62"/>
        <v>1052</v>
      </c>
    </row>
    <row r="4034" spans="1:7" ht="12.75">
      <c r="A4034" s="134" t="s">
        <v>480</v>
      </c>
      <c r="B4034" s="134">
        <v>161</v>
      </c>
      <c r="C4034" s="491">
        <v>3</v>
      </c>
      <c r="D4034" s="491">
        <v>0</v>
      </c>
      <c r="E4034" s="491">
        <v>0</v>
      </c>
      <c r="F4034" s="491">
        <v>0</v>
      </c>
      <c r="G4034" s="491">
        <f t="shared" si="62"/>
        <v>3</v>
      </c>
    </row>
    <row r="4035" spans="1:7" ht="12.75">
      <c r="A4035" s="134" t="s">
        <v>480</v>
      </c>
      <c r="B4035" s="134">
        <v>170</v>
      </c>
      <c r="C4035" s="491">
        <v>653</v>
      </c>
      <c r="D4035" s="491">
        <v>282</v>
      </c>
      <c r="E4035" s="491">
        <v>1</v>
      </c>
      <c r="F4035" s="491">
        <v>0</v>
      </c>
      <c r="G4035" s="491">
        <f t="shared" si="62"/>
        <v>936</v>
      </c>
    </row>
    <row r="4036" spans="1:7" ht="12.75">
      <c r="A4036" s="134" t="s">
        <v>480</v>
      </c>
      <c r="B4036" s="134">
        <v>171</v>
      </c>
      <c r="C4036" s="491">
        <v>2</v>
      </c>
      <c r="D4036" s="491">
        <v>11</v>
      </c>
      <c r="E4036" s="491">
        <v>1</v>
      </c>
      <c r="F4036" s="491">
        <v>0</v>
      </c>
      <c r="G4036" s="491">
        <f t="shared" ref="G4036:G4099" si="63">SUM(C4036:F4036)</f>
        <v>14</v>
      </c>
    </row>
    <row r="4037" spans="1:7" ht="12.75">
      <c r="A4037" s="134" t="s">
        <v>480</v>
      </c>
      <c r="B4037" s="134">
        <v>172</v>
      </c>
      <c r="C4037" s="491">
        <v>2479</v>
      </c>
      <c r="D4037" s="491">
        <v>931</v>
      </c>
      <c r="E4037" s="491">
        <v>321</v>
      </c>
      <c r="F4037" s="491">
        <v>5</v>
      </c>
      <c r="G4037" s="491">
        <f t="shared" si="63"/>
        <v>3736</v>
      </c>
    </row>
    <row r="4038" spans="1:7" ht="12.75">
      <c r="A4038" s="134" t="s">
        <v>480</v>
      </c>
      <c r="B4038" s="134">
        <v>173</v>
      </c>
      <c r="C4038" s="491">
        <v>671</v>
      </c>
      <c r="D4038" s="491">
        <v>1049</v>
      </c>
      <c r="E4038" s="491">
        <v>1</v>
      </c>
      <c r="F4038" s="491">
        <v>1</v>
      </c>
      <c r="G4038" s="491">
        <f t="shared" si="63"/>
        <v>1722</v>
      </c>
    </row>
    <row r="4039" spans="1:7" ht="12.75">
      <c r="A4039" s="134" t="s">
        <v>480</v>
      </c>
      <c r="B4039" s="134">
        <v>174</v>
      </c>
      <c r="C4039" s="491">
        <v>1</v>
      </c>
      <c r="D4039" s="491">
        <v>0</v>
      </c>
      <c r="E4039" s="491">
        <v>5</v>
      </c>
      <c r="F4039" s="491">
        <v>2</v>
      </c>
      <c r="G4039" s="491">
        <f t="shared" si="63"/>
        <v>8</v>
      </c>
    </row>
    <row r="4040" spans="1:7" ht="12.75">
      <c r="A4040" s="134" t="s">
        <v>480</v>
      </c>
      <c r="B4040" s="134">
        <v>180</v>
      </c>
      <c r="C4040" s="491">
        <v>5</v>
      </c>
      <c r="D4040" s="491">
        <v>98</v>
      </c>
      <c r="E4040" s="491">
        <v>0</v>
      </c>
      <c r="F4040" s="491">
        <v>1</v>
      </c>
      <c r="G4040" s="491">
        <f t="shared" si="63"/>
        <v>104</v>
      </c>
    </row>
    <row r="4041" spans="1:7" ht="12.75">
      <c r="A4041" s="134" t="s">
        <v>480</v>
      </c>
      <c r="B4041" s="134">
        <v>190</v>
      </c>
      <c r="C4041" s="491">
        <v>7143</v>
      </c>
      <c r="D4041" s="491">
        <v>1718</v>
      </c>
      <c r="E4041" s="491">
        <v>2987</v>
      </c>
      <c r="F4041" s="491">
        <v>2</v>
      </c>
      <c r="G4041" s="491">
        <f t="shared" si="63"/>
        <v>11850</v>
      </c>
    </row>
    <row r="4042" spans="1:7" ht="12.75">
      <c r="A4042" s="134" t="s">
        <v>480</v>
      </c>
      <c r="B4042" s="134">
        <v>191</v>
      </c>
      <c r="C4042" s="491">
        <v>2104</v>
      </c>
      <c r="D4042" s="491">
        <v>115</v>
      </c>
      <c r="E4042" s="491">
        <v>408</v>
      </c>
      <c r="F4042" s="491">
        <v>160</v>
      </c>
      <c r="G4042" s="491">
        <f t="shared" si="63"/>
        <v>2787</v>
      </c>
    </row>
    <row r="4043" spans="1:7" ht="12.75">
      <c r="A4043" s="134" t="s">
        <v>480</v>
      </c>
      <c r="B4043" s="134">
        <v>192</v>
      </c>
      <c r="C4043" s="491">
        <v>0</v>
      </c>
      <c r="D4043" s="491">
        <v>1</v>
      </c>
      <c r="E4043" s="491">
        <v>0</v>
      </c>
      <c r="F4043" s="491">
        <v>0</v>
      </c>
      <c r="G4043" s="491">
        <f t="shared" si="63"/>
        <v>1</v>
      </c>
    </row>
    <row r="4044" spans="1:7" ht="12.75">
      <c r="A4044" s="134" t="s">
        <v>480</v>
      </c>
      <c r="B4044" s="134">
        <v>211</v>
      </c>
      <c r="C4044" s="491">
        <v>1</v>
      </c>
      <c r="D4044" s="491">
        <v>20</v>
      </c>
      <c r="E4044" s="491">
        <v>0</v>
      </c>
      <c r="F4044" s="491">
        <v>0</v>
      </c>
      <c r="G4044" s="491">
        <f t="shared" si="63"/>
        <v>21</v>
      </c>
    </row>
    <row r="4045" spans="1:7" ht="12.75">
      <c r="A4045" s="134" t="s">
        <v>480</v>
      </c>
      <c r="B4045" s="134">
        <v>212</v>
      </c>
      <c r="C4045" s="491">
        <v>1</v>
      </c>
      <c r="D4045" s="491">
        <v>0</v>
      </c>
      <c r="E4045" s="491">
        <v>0</v>
      </c>
      <c r="F4045" s="491">
        <v>0</v>
      </c>
      <c r="G4045" s="491">
        <f t="shared" si="63"/>
        <v>1</v>
      </c>
    </row>
    <row r="4046" spans="1:7" ht="12.75">
      <c r="A4046" s="134" t="s">
        <v>480</v>
      </c>
      <c r="B4046" s="134">
        <v>214</v>
      </c>
      <c r="C4046" s="491">
        <v>9</v>
      </c>
      <c r="D4046" s="491">
        <v>5</v>
      </c>
      <c r="E4046" s="491">
        <v>0</v>
      </c>
      <c r="F4046" s="491">
        <v>0</v>
      </c>
      <c r="G4046" s="491">
        <f t="shared" si="63"/>
        <v>14</v>
      </c>
    </row>
    <row r="4047" spans="1:7" ht="12.75">
      <c r="A4047" s="134" t="s">
        <v>480</v>
      </c>
      <c r="B4047" s="134">
        <v>215</v>
      </c>
      <c r="C4047" s="491">
        <v>4</v>
      </c>
      <c r="D4047" s="491">
        <v>3</v>
      </c>
      <c r="E4047" s="491">
        <v>0</v>
      </c>
      <c r="F4047" s="491">
        <v>0</v>
      </c>
      <c r="G4047" s="491">
        <f t="shared" si="63"/>
        <v>7</v>
      </c>
    </row>
    <row r="4048" spans="1:7" ht="12.75">
      <c r="A4048" s="134" t="s">
        <v>480</v>
      </c>
      <c r="B4048" s="134">
        <v>216</v>
      </c>
      <c r="C4048" s="491">
        <v>3</v>
      </c>
      <c r="D4048" s="491">
        <v>6</v>
      </c>
      <c r="E4048" s="491">
        <v>0</v>
      </c>
      <c r="F4048" s="491">
        <v>0</v>
      </c>
      <c r="G4048" s="491">
        <f t="shared" si="63"/>
        <v>9</v>
      </c>
    </row>
    <row r="4049" spans="1:7" ht="12.75">
      <c r="A4049" s="134" t="s">
        <v>480</v>
      </c>
      <c r="B4049" s="134">
        <v>217</v>
      </c>
      <c r="C4049" s="491">
        <v>0</v>
      </c>
      <c r="D4049" s="491">
        <v>1</v>
      </c>
      <c r="E4049" s="491">
        <v>0</v>
      </c>
      <c r="F4049" s="491">
        <v>0</v>
      </c>
      <c r="G4049" s="491">
        <f t="shared" si="63"/>
        <v>1</v>
      </c>
    </row>
    <row r="4050" spans="1:7" ht="12.75">
      <c r="A4050" s="134" t="s">
        <v>480</v>
      </c>
      <c r="B4050" s="134">
        <v>221</v>
      </c>
      <c r="C4050" s="491">
        <v>46</v>
      </c>
      <c r="D4050" s="491">
        <v>4</v>
      </c>
      <c r="E4050" s="491">
        <v>4</v>
      </c>
      <c r="F4050" s="491">
        <v>0</v>
      </c>
      <c r="G4050" s="491">
        <f t="shared" si="63"/>
        <v>54</v>
      </c>
    </row>
    <row r="4051" spans="1:7" ht="12.75">
      <c r="A4051" s="134" t="s">
        <v>480</v>
      </c>
      <c r="B4051" s="134">
        <v>251</v>
      </c>
      <c r="C4051" s="491">
        <v>0</v>
      </c>
      <c r="D4051" s="491">
        <v>6</v>
      </c>
      <c r="E4051" s="491">
        <v>0</v>
      </c>
      <c r="F4051" s="491">
        <v>0</v>
      </c>
      <c r="G4051" s="491">
        <f t="shared" si="63"/>
        <v>6</v>
      </c>
    </row>
    <row r="4052" spans="1:7" ht="12.75">
      <c r="A4052" s="134" t="s">
        <v>480</v>
      </c>
      <c r="B4052" s="134">
        <v>252</v>
      </c>
      <c r="C4052" s="491">
        <v>3</v>
      </c>
      <c r="D4052" s="491">
        <v>7</v>
      </c>
      <c r="E4052" s="491">
        <v>1</v>
      </c>
      <c r="F4052" s="491">
        <v>0</v>
      </c>
      <c r="G4052" s="491">
        <f t="shared" si="63"/>
        <v>11</v>
      </c>
    </row>
    <row r="4053" spans="1:7" ht="12.75">
      <c r="A4053" s="134" t="s">
        <v>480</v>
      </c>
      <c r="B4053" s="134">
        <v>253</v>
      </c>
      <c r="C4053" s="491">
        <v>0</v>
      </c>
      <c r="D4053" s="491">
        <v>9</v>
      </c>
      <c r="E4053" s="491">
        <v>1</v>
      </c>
      <c r="F4053" s="491">
        <v>0</v>
      </c>
      <c r="G4053" s="491">
        <f t="shared" si="63"/>
        <v>10</v>
      </c>
    </row>
    <row r="4054" spans="1:7" ht="12.75">
      <c r="A4054" s="134" t="s">
        <v>480</v>
      </c>
      <c r="B4054" s="134">
        <v>257</v>
      </c>
      <c r="C4054" s="491">
        <v>1</v>
      </c>
      <c r="D4054" s="491">
        <v>1</v>
      </c>
      <c r="E4054" s="491">
        <v>0</v>
      </c>
      <c r="F4054" s="491">
        <v>0</v>
      </c>
      <c r="G4054" s="491">
        <f t="shared" si="63"/>
        <v>2</v>
      </c>
    </row>
    <row r="4055" spans="1:7" ht="12.75">
      <c r="A4055" s="134" t="s">
        <v>480</v>
      </c>
      <c r="B4055" s="134">
        <v>258</v>
      </c>
      <c r="C4055" s="491">
        <v>9</v>
      </c>
      <c r="D4055" s="491">
        <v>12</v>
      </c>
      <c r="E4055" s="491">
        <v>1</v>
      </c>
      <c r="F4055" s="491">
        <v>1</v>
      </c>
      <c r="G4055" s="491">
        <f t="shared" si="63"/>
        <v>23</v>
      </c>
    </row>
    <row r="4056" spans="1:7" ht="12.75">
      <c r="A4056" s="134" t="s">
        <v>480</v>
      </c>
      <c r="B4056" s="134">
        <v>259</v>
      </c>
      <c r="C4056" s="491">
        <v>1</v>
      </c>
      <c r="D4056" s="491">
        <v>0</v>
      </c>
      <c r="E4056" s="491">
        <v>0</v>
      </c>
      <c r="F4056" s="491">
        <v>0</v>
      </c>
      <c r="G4056" s="491">
        <f t="shared" si="63"/>
        <v>1</v>
      </c>
    </row>
    <row r="4057" spans="1:7" ht="12.75">
      <c r="A4057" s="134" t="s">
        <v>480</v>
      </c>
      <c r="B4057" s="134">
        <v>260</v>
      </c>
      <c r="C4057" s="491">
        <v>3</v>
      </c>
      <c r="D4057" s="491">
        <v>0</v>
      </c>
      <c r="E4057" s="491">
        <v>1</v>
      </c>
      <c r="F4057" s="491">
        <v>0</v>
      </c>
      <c r="G4057" s="491">
        <f t="shared" si="63"/>
        <v>4</v>
      </c>
    </row>
    <row r="4058" spans="1:7" ht="12.75">
      <c r="A4058" s="134" t="s">
        <v>480</v>
      </c>
      <c r="B4058" s="134">
        <v>262</v>
      </c>
      <c r="C4058" s="491">
        <v>1</v>
      </c>
      <c r="D4058" s="491">
        <v>0</v>
      </c>
      <c r="E4058" s="491">
        <v>0</v>
      </c>
      <c r="F4058" s="491">
        <v>0</v>
      </c>
      <c r="G4058" s="491">
        <f t="shared" si="63"/>
        <v>1</v>
      </c>
    </row>
    <row r="4059" spans="1:7" ht="12.75">
      <c r="A4059" s="134" t="s">
        <v>480</v>
      </c>
      <c r="B4059" s="134">
        <v>263</v>
      </c>
      <c r="C4059" s="491">
        <v>5</v>
      </c>
      <c r="D4059" s="491">
        <v>1</v>
      </c>
      <c r="E4059" s="491">
        <v>1</v>
      </c>
      <c r="F4059" s="491">
        <v>0</v>
      </c>
      <c r="G4059" s="491">
        <f t="shared" si="63"/>
        <v>7</v>
      </c>
    </row>
    <row r="4060" spans="1:7" ht="12.75">
      <c r="A4060" s="134" t="s">
        <v>480</v>
      </c>
      <c r="B4060" s="134">
        <v>264</v>
      </c>
      <c r="C4060" s="491">
        <v>1</v>
      </c>
      <c r="D4060" s="491">
        <v>0</v>
      </c>
      <c r="E4060" s="491">
        <v>0</v>
      </c>
      <c r="F4060" s="491">
        <v>0</v>
      </c>
      <c r="G4060" s="491">
        <f t="shared" si="63"/>
        <v>1</v>
      </c>
    </row>
    <row r="4061" spans="1:7" ht="12.75">
      <c r="A4061" s="134" t="s">
        <v>480</v>
      </c>
      <c r="B4061" s="134">
        <v>290</v>
      </c>
      <c r="C4061" s="491">
        <v>1</v>
      </c>
      <c r="D4061" s="491">
        <v>0</v>
      </c>
      <c r="E4061" s="491">
        <v>0</v>
      </c>
      <c r="F4061" s="491">
        <v>0</v>
      </c>
      <c r="G4061" s="491">
        <f t="shared" si="63"/>
        <v>1</v>
      </c>
    </row>
    <row r="4062" spans="1:7" ht="12.75">
      <c r="A4062" s="134" t="s">
        <v>480</v>
      </c>
      <c r="B4062" s="134">
        <v>291</v>
      </c>
      <c r="C4062" s="491">
        <v>18</v>
      </c>
      <c r="D4062" s="491">
        <v>12</v>
      </c>
      <c r="E4062" s="491">
        <v>0</v>
      </c>
      <c r="F4062" s="491">
        <v>0</v>
      </c>
      <c r="G4062" s="491">
        <f t="shared" si="63"/>
        <v>30</v>
      </c>
    </row>
    <row r="4063" spans="1:7" ht="12.75">
      <c r="A4063" s="134" t="s">
        <v>480</v>
      </c>
      <c r="B4063" s="134">
        <v>300</v>
      </c>
      <c r="C4063" s="491">
        <v>2829</v>
      </c>
      <c r="D4063" s="491">
        <v>11513</v>
      </c>
      <c r="E4063" s="491">
        <v>13</v>
      </c>
      <c r="F4063" s="491">
        <v>163</v>
      </c>
      <c r="G4063" s="491">
        <f t="shared" si="63"/>
        <v>14518</v>
      </c>
    </row>
    <row r="4064" spans="1:7" ht="12.75">
      <c r="A4064" s="134" t="s">
        <v>480</v>
      </c>
      <c r="B4064" s="134">
        <v>301</v>
      </c>
      <c r="C4064" s="491">
        <v>214</v>
      </c>
      <c r="D4064" s="491">
        <v>145</v>
      </c>
      <c r="E4064" s="491">
        <v>1</v>
      </c>
      <c r="F4064" s="491">
        <v>0</v>
      </c>
      <c r="G4064" s="491">
        <f t="shared" si="63"/>
        <v>360</v>
      </c>
    </row>
    <row r="4065" spans="1:7" ht="12.75">
      <c r="A4065" s="134" t="s">
        <v>480</v>
      </c>
      <c r="B4065" s="134">
        <v>302</v>
      </c>
      <c r="C4065" s="491">
        <v>90</v>
      </c>
      <c r="D4065" s="491">
        <v>439</v>
      </c>
      <c r="E4065" s="491">
        <v>6</v>
      </c>
      <c r="F4065" s="491">
        <v>10</v>
      </c>
      <c r="G4065" s="491">
        <f t="shared" si="63"/>
        <v>545</v>
      </c>
    </row>
    <row r="4066" spans="1:7" ht="12.75">
      <c r="A4066" s="134" t="s">
        <v>480</v>
      </c>
      <c r="B4066" s="134">
        <v>303</v>
      </c>
      <c r="C4066" s="491">
        <v>274</v>
      </c>
      <c r="D4066" s="491">
        <v>71</v>
      </c>
      <c r="E4066" s="491">
        <v>4</v>
      </c>
      <c r="F4066" s="491">
        <v>1</v>
      </c>
      <c r="G4066" s="491">
        <f t="shared" si="63"/>
        <v>350</v>
      </c>
    </row>
    <row r="4067" spans="1:7" ht="12.75">
      <c r="A4067" s="134" t="s">
        <v>480</v>
      </c>
      <c r="B4067" s="134">
        <v>304</v>
      </c>
      <c r="C4067" s="491">
        <v>20785</v>
      </c>
      <c r="D4067" s="491">
        <v>58274</v>
      </c>
      <c r="E4067" s="491">
        <v>57</v>
      </c>
      <c r="F4067" s="491">
        <v>823</v>
      </c>
      <c r="G4067" s="491">
        <f t="shared" si="63"/>
        <v>79939</v>
      </c>
    </row>
    <row r="4068" spans="1:7" ht="12.75">
      <c r="A4068" s="134" t="s">
        <v>480</v>
      </c>
      <c r="B4068" s="134">
        <v>305</v>
      </c>
      <c r="C4068" s="491">
        <v>910</v>
      </c>
      <c r="D4068" s="491">
        <v>253</v>
      </c>
      <c r="E4068" s="491">
        <v>0</v>
      </c>
      <c r="F4068" s="491">
        <v>0</v>
      </c>
      <c r="G4068" s="491">
        <f t="shared" si="63"/>
        <v>1163</v>
      </c>
    </row>
    <row r="4069" spans="1:7" ht="12.75">
      <c r="A4069" s="134" t="s">
        <v>480</v>
      </c>
      <c r="B4069" s="134">
        <v>306</v>
      </c>
      <c r="C4069" s="491">
        <v>84</v>
      </c>
      <c r="D4069" s="491">
        <v>13</v>
      </c>
      <c r="E4069" s="491">
        <v>48</v>
      </c>
      <c r="F4069" s="491">
        <v>0</v>
      </c>
      <c r="G4069" s="491">
        <f t="shared" si="63"/>
        <v>145</v>
      </c>
    </row>
    <row r="4070" spans="1:7" ht="12.75">
      <c r="A4070" s="134" t="s">
        <v>480</v>
      </c>
      <c r="B4070" s="134">
        <v>307</v>
      </c>
      <c r="C4070" s="491">
        <v>394</v>
      </c>
      <c r="D4070" s="491">
        <v>100</v>
      </c>
      <c r="E4070" s="491">
        <v>4</v>
      </c>
      <c r="F4070" s="491">
        <v>3</v>
      </c>
      <c r="G4070" s="491">
        <f t="shared" si="63"/>
        <v>501</v>
      </c>
    </row>
    <row r="4071" spans="1:7" ht="12.75">
      <c r="A4071" s="134" t="s">
        <v>480</v>
      </c>
      <c r="B4071" s="134">
        <v>310</v>
      </c>
      <c r="C4071" s="491">
        <v>5</v>
      </c>
      <c r="D4071" s="491">
        <v>62</v>
      </c>
      <c r="E4071" s="491">
        <v>0</v>
      </c>
      <c r="F4071" s="491">
        <v>0</v>
      </c>
      <c r="G4071" s="491">
        <f t="shared" si="63"/>
        <v>67</v>
      </c>
    </row>
    <row r="4072" spans="1:7" ht="12.75">
      <c r="A4072" s="134" t="s">
        <v>480</v>
      </c>
      <c r="B4072" s="134">
        <v>311</v>
      </c>
      <c r="C4072" s="491">
        <v>1</v>
      </c>
      <c r="D4072" s="491">
        <v>3</v>
      </c>
      <c r="E4072" s="491">
        <v>31</v>
      </c>
      <c r="F4072" s="491">
        <v>13</v>
      </c>
      <c r="G4072" s="491">
        <f t="shared" si="63"/>
        <v>48</v>
      </c>
    </row>
    <row r="4073" spans="1:7" ht="12.75">
      <c r="A4073" s="134" t="s">
        <v>480</v>
      </c>
      <c r="B4073" s="134">
        <v>313</v>
      </c>
      <c r="C4073" s="491">
        <v>2</v>
      </c>
      <c r="D4073" s="491">
        <v>1</v>
      </c>
      <c r="E4073" s="491">
        <v>2</v>
      </c>
      <c r="F4073" s="491">
        <v>0</v>
      </c>
      <c r="G4073" s="491">
        <f t="shared" si="63"/>
        <v>5</v>
      </c>
    </row>
    <row r="4074" spans="1:7" ht="12.75">
      <c r="A4074" s="134" t="s">
        <v>480</v>
      </c>
      <c r="B4074" s="134">
        <v>314</v>
      </c>
      <c r="C4074" s="491">
        <v>152</v>
      </c>
      <c r="D4074" s="491">
        <v>410</v>
      </c>
      <c r="E4074" s="491">
        <v>8</v>
      </c>
      <c r="F4074" s="491">
        <v>56</v>
      </c>
      <c r="G4074" s="491">
        <f t="shared" si="63"/>
        <v>626</v>
      </c>
    </row>
    <row r="4075" spans="1:7" ht="12.75">
      <c r="A4075" s="134" t="s">
        <v>480</v>
      </c>
      <c r="B4075" s="134">
        <v>315</v>
      </c>
      <c r="C4075" s="491">
        <v>0</v>
      </c>
      <c r="D4075" s="491">
        <v>0</v>
      </c>
      <c r="E4075" s="491">
        <v>1</v>
      </c>
      <c r="F4075" s="491">
        <v>0</v>
      </c>
      <c r="G4075" s="491">
        <f t="shared" si="63"/>
        <v>1</v>
      </c>
    </row>
    <row r="4076" spans="1:7" ht="12.75">
      <c r="A4076" s="134" t="s">
        <v>480</v>
      </c>
      <c r="B4076" s="134">
        <v>316</v>
      </c>
      <c r="C4076" s="491">
        <v>2</v>
      </c>
      <c r="D4076" s="491">
        <v>0</v>
      </c>
      <c r="E4076" s="491">
        <v>0</v>
      </c>
      <c r="F4076" s="491">
        <v>0</v>
      </c>
      <c r="G4076" s="491">
        <f t="shared" si="63"/>
        <v>2</v>
      </c>
    </row>
    <row r="4077" spans="1:7" ht="12.75">
      <c r="A4077" s="134" t="s">
        <v>480</v>
      </c>
      <c r="B4077" s="134">
        <v>317</v>
      </c>
      <c r="C4077" s="491">
        <v>0</v>
      </c>
      <c r="D4077" s="491">
        <v>2</v>
      </c>
      <c r="E4077" s="491">
        <v>0</v>
      </c>
      <c r="F4077" s="491">
        <v>0</v>
      </c>
      <c r="G4077" s="491">
        <f t="shared" si="63"/>
        <v>2</v>
      </c>
    </row>
    <row r="4078" spans="1:7" ht="12.75">
      <c r="A4078" s="134" t="s">
        <v>480</v>
      </c>
      <c r="B4078" s="134">
        <v>320</v>
      </c>
      <c r="C4078" s="491">
        <v>136382</v>
      </c>
      <c r="D4078" s="491">
        <v>213899</v>
      </c>
      <c r="E4078" s="491">
        <v>1292</v>
      </c>
      <c r="F4078" s="491">
        <v>2900</v>
      </c>
      <c r="G4078" s="491">
        <f t="shared" si="63"/>
        <v>354473</v>
      </c>
    </row>
    <row r="4079" spans="1:7" ht="12.75">
      <c r="A4079" s="134" t="s">
        <v>480</v>
      </c>
      <c r="B4079" s="134">
        <v>321</v>
      </c>
      <c r="C4079" s="491">
        <v>7374</v>
      </c>
      <c r="D4079" s="491">
        <v>4652</v>
      </c>
      <c r="E4079" s="491">
        <v>165</v>
      </c>
      <c r="F4079" s="491">
        <v>109</v>
      </c>
      <c r="G4079" s="491">
        <f t="shared" si="63"/>
        <v>12300</v>
      </c>
    </row>
    <row r="4080" spans="1:7" ht="12.75">
      <c r="A4080" s="134" t="s">
        <v>480</v>
      </c>
      <c r="B4080" s="134">
        <v>324</v>
      </c>
      <c r="C4080" s="491">
        <v>43</v>
      </c>
      <c r="D4080" s="491">
        <v>43</v>
      </c>
      <c r="E4080" s="491">
        <v>0</v>
      </c>
      <c r="F4080" s="491">
        <v>0</v>
      </c>
      <c r="G4080" s="491">
        <f t="shared" si="63"/>
        <v>86</v>
      </c>
    </row>
    <row r="4081" spans="1:7" ht="12.75">
      <c r="A4081" s="134" t="s">
        <v>480</v>
      </c>
      <c r="B4081" s="134">
        <v>327</v>
      </c>
      <c r="C4081" s="491">
        <v>42</v>
      </c>
      <c r="D4081" s="491">
        <v>4</v>
      </c>
      <c r="E4081" s="491">
        <v>0</v>
      </c>
      <c r="F4081" s="491">
        <v>0</v>
      </c>
      <c r="G4081" s="491">
        <f t="shared" si="63"/>
        <v>46</v>
      </c>
    </row>
    <row r="4082" spans="1:7" ht="12.75">
      <c r="A4082" s="134" t="s">
        <v>480</v>
      </c>
      <c r="B4082" s="134">
        <v>328</v>
      </c>
      <c r="C4082" s="491">
        <v>215</v>
      </c>
      <c r="D4082" s="491">
        <v>550</v>
      </c>
      <c r="E4082" s="491">
        <v>2</v>
      </c>
      <c r="F4082" s="491">
        <v>13</v>
      </c>
      <c r="G4082" s="491">
        <f t="shared" si="63"/>
        <v>780</v>
      </c>
    </row>
    <row r="4083" spans="1:7" ht="12.75">
      <c r="A4083" s="134" t="s">
        <v>480</v>
      </c>
      <c r="B4083" s="134">
        <v>329</v>
      </c>
      <c r="C4083" s="491">
        <v>84</v>
      </c>
      <c r="D4083" s="491">
        <v>2771</v>
      </c>
      <c r="E4083" s="491">
        <v>2</v>
      </c>
      <c r="F4083" s="491">
        <v>130</v>
      </c>
      <c r="G4083" s="491">
        <f t="shared" si="63"/>
        <v>2987</v>
      </c>
    </row>
    <row r="4084" spans="1:7" ht="12.75">
      <c r="A4084" s="134" t="s">
        <v>480</v>
      </c>
      <c r="B4084" s="134">
        <v>330</v>
      </c>
      <c r="C4084" s="491">
        <v>65</v>
      </c>
      <c r="D4084" s="491">
        <v>117</v>
      </c>
      <c r="E4084" s="491">
        <v>1</v>
      </c>
      <c r="F4084" s="491">
        <v>1</v>
      </c>
      <c r="G4084" s="491">
        <f t="shared" si="63"/>
        <v>184</v>
      </c>
    </row>
    <row r="4085" spans="1:7" ht="12.75">
      <c r="A4085" s="134" t="s">
        <v>480</v>
      </c>
      <c r="B4085" s="134">
        <v>331</v>
      </c>
      <c r="C4085" s="491">
        <v>72</v>
      </c>
      <c r="D4085" s="491">
        <v>34</v>
      </c>
      <c r="E4085" s="491">
        <v>0</v>
      </c>
      <c r="F4085" s="491">
        <v>0</v>
      </c>
      <c r="G4085" s="491">
        <f t="shared" si="63"/>
        <v>106</v>
      </c>
    </row>
    <row r="4086" spans="1:7" ht="12.75">
      <c r="A4086" s="134" t="s">
        <v>480</v>
      </c>
      <c r="B4086" s="134">
        <v>340</v>
      </c>
      <c r="C4086" s="491">
        <v>441</v>
      </c>
      <c r="D4086" s="491">
        <v>845</v>
      </c>
      <c r="E4086" s="491">
        <v>130</v>
      </c>
      <c r="F4086" s="491">
        <v>367</v>
      </c>
      <c r="G4086" s="491">
        <f t="shared" si="63"/>
        <v>1783</v>
      </c>
    </row>
    <row r="4087" spans="1:7" ht="12.75">
      <c r="A4087" s="134" t="s">
        <v>480</v>
      </c>
      <c r="B4087" s="134">
        <v>341</v>
      </c>
      <c r="C4087" s="491">
        <v>153</v>
      </c>
      <c r="D4087" s="491">
        <v>752</v>
      </c>
      <c r="E4087" s="491">
        <v>0</v>
      </c>
      <c r="F4087" s="491">
        <v>0</v>
      </c>
      <c r="G4087" s="491">
        <f t="shared" si="63"/>
        <v>905</v>
      </c>
    </row>
    <row r="4088" spans="1:7" ht="12.75">
      <c r="A4088" s="134" t="s">
        <v>480</v>
      </c>
      <c r="B4088" s="134">
        <v>343</v>
      </c>
      <c r="C4088" s="491">
        <v>1</v>
      </c>
      <c r="D4088" s="491">
        <v>1</v>
      </c>
      <c r="E4088" s="491">
        <v>0</v>
      </c>
      <c r="F4088" s="491">
        <v>0</v>
      </c>
      <c r="G4088" s="491">
        <f t="shared" si="63"/>
        <v>2</v>
      </c>
    </row>
    <row r="4089" spans="1:7" ht="12.75">
      <c r="A4089" s="134" t="s">
        <v>480</v>
      </c>
      <c r="B4089" s="134">
        <v>350</v>
      </c>
      <c r="C4089" s="491">
        <v>13</v>
      </c>
      <c r="D4089" s="491">
        <v>22</v>
      </c>
      <c r="E4089" s="491">
        <v>0</v>
      </c>
      <c r="F4089" s="491">
        <v>0</v>
      </c>
      <c r="G4089" s="491">
        <f t="shared" si="63"/>
        <v>35</v>
      </c>
    </row>
    <row r="4090" spans="1:7" ht="12.75">
      <c r="A4090" s="134" t="s">
        <v>480</v>
      </c>
      <c r="B4090" s="134">
        <v>361</v>
      </c>
      <c r="C4090" s="491">
        <v>497</v>
      </c>
      <c r="D4090" s="491">
        <v>89</v>
      </c>
      <c r="E4090" s="491">
        <v>27</v>
      </c>
      <c r="F4090" s="491">
        <v>89</v>
      </c>
      <c r="G4090" s="491">
        <f t="shared" si="63"/>
        <v>702</v>
      </c>
    </row>
    <row r="4091" spans="1:7" ht="12.75">
      <c r="A4091" s="134" t="s">
        <v>480</v>
      </c>
      <c r="B4091" s="134">
        <v>370</v>
      </c>
      <c r="C4091" s="491">
        <v>909</v>
      </c>
      <c r="D4091" s="491">
        <v>185</v>
      </c>
      <c r="E4091" s="491">
        <v>93</v>
      </c>
      <c r="F4091" s="491">
        <v>1</v>
      </c>
      <c r="G4091" s="491">
        <f t="shared" si="63"/>
        <v>1188</v>
      </c>
    </row>
    <row r="4092" spans="1:7" ht="12.75">
      <c r="A4092" s="134" t="s">
        <v>480</v>
      </c>
      <c r="B4092" s="134">
        <v>371</v>
      </c>
      <c r="C4092" s="491">
        <v>6</v>
      </c>
      <c r="D4092" s="491">
        <v>0</v>
      </c>
      <c r="E4092" s="491">
        <v>0</v>
      </c>
      <c r="F4092" s="491">
        <v>0</v>
      </c>
      <c r="G4092" s="491">
        <f t="shared" si="63"/>
        <v>6</v>
      </c>
    </row>
    <row r="4093" spans="1:7" ht="12.75">
      <c r="A4093" s="134" t="s">
        <v>480</v>
      </c>
      <c r="B4093" s="134">
        <v>400</v>
      </c>
      <c r="C4093" s="491">
        <v>721</v>
      </c>
      <c r="D4093" s="491">
        <v>643</v>
      </c>
      <c r="E4093" s="491">
        <v>177</v>
      </c>
      <c r="F4093" s="491">
        <v>10</v>
      </c>
      <c r="G4093" s="491">
        <f t="shared" si="63"/>
        <v>1551</v>
      </c>
    </row>
    <row r="4094" spans="1:7" ht="12.75">
      <c r="A4094" s="134" t="s">
        <v>480</v>
      </c>
      <c r="B4094" s="134">
        <v>401</v>
      </c>
      <c r="C4094" s="491">
        <v>3</v>
      </c>
      <c r="D4094" s="491">
        <v>1</v>
      </c>
      <c r="E4094" s="491">
        <v>0</v>
      </c>
      <c r="F4094" s="491">
        <v>0</v>
      </c>
      <c r="G4094" s="491">
        <f t="shared" si="63"/>
        <v>4</v>
      </c>
    </row>
    <row r="4095" spans="1:7" ht="12.75">
      <c r="A4095" s="134" t="s">
        <v>480</v>
      </c>
      <c r="B4095" s="134">
        <v>410</v>
      </c>
      <c r="C4095" s="491">
        <v>112</v>
      </c>
      <c r="D4095" s="491">
        <v>103</v>
      </c>
      <c r="E4095" s="491">
        <v>2</v>
      </c>
      <c r="F4095" s="491">
        <v>0</v>
      </c>
      <c r="G4095" s="491">
        <f t="shared" si="63"/>
        <v>217</v>
      </c>
    </row>
    <row r="4096" spans="1:7" ht="12.75">
      <c r="A4096" s="134" t="s">
        <v>480</v>
      </c>
      <c r="B4096" s="134">
        <v>420</v>
      </c>
      <c r="C4096" s="491">
        <v>853</v>
      </c>
      <c r="D4096" s="491">
        <v>1728</v>
      </c>
      <c r="E4096" s="491">
        <v>341</v>
      </c>
      <c r="F4096" s="491">
        <v>206</v>
      </c>
      <c r="G4096" s="491">
        <f t="shared" si="63"/>
        <v>3128</v>
      </c>
    </row>
    <row r="4097" spans="1:7" ht="12.75">
      <c r="A4097" s="134" t="s">
        <v>480</v>
      </c>
      <c r="B4097" s="134">
        <v>421</v>
      </c>
      <c r="C4097" s="491">
        <v>12</v>
      </c>
      <c r="D4097" s="491">
        <v>26</v>
      </c>
      <c r="E4097" s="491">
        <v>0</v>
      </c>
      <c r="F4097" s="491">
        <v>0</v>
      </c>
      <c r="G4097" s="491">
        <f t="shared" si="63"/>
        <v>38</v>
      </c>
    </row>
    <row r="4098" spans="1:7" ht="12.75">
      <c r="A4098" s="134" t="s">
        <v>480</v>
      </c>
      <c r="B4098" s="134">
        <v>422</v>
      </c>
      <c r="C4098" s="491">
        <v>17</v>
      </c>
      <c r="D4098" s="491">
        <v>24</v>
      </c>
      <c r="E4098" s="491">
        <v>0</v>
      </c>
      <c r="F4098" s="491">
        <v>0</v>
      </c>
      <c r="G4098" s="491">
        <f t="shared" si="63"/>
        <v>41</v>
      </c>
    </row>
    <row r="4099" spans="1:7" ht="12.75">
      <c r="A4099" s="134" t="s">
        <v>480</v>
      </c>
      <c r="B4099" s="134">
        <v>430</v>
      </c>
      <c r="C4099" s="491">
        <v>1407</v>
      </c>
      <c r="D4099" s="491">
        <v>5613</v>
      </c>
      <c r="E4099" s="491">
        <v>17</v>
      </c>
      <c r="F4099" s="491">
        <v>585</v>
      </c>
      <c r="G4099" s="491">
        <f t="shared" si="63"/>
        <v>7622</v>
      </c>
    </row>
    <row r="4100" spans="1:7" ht="12.75">
      <c r="A4100" s="134" t="s">
        <v>480</v>
      </c>
      <c r="B4100" s="134">
        <v>450</v>
      </c>
      <c r="C4100" s="491">
        <v>2</v>
      </c>
      <c r="D4100" s="491">
        <v>7</v>
      </c>
      <c r="E4100" s="491">
        <v>0</v>
      </c>
      <c r="F4100" s="491">
        <v>0</v>
      </c>
      <c r="G4100" s="491">
        <f t="shared" ref="G4100:G4163" si="64">SUM(C4100:F4100)</f>
        <v>9</v>
      </c>
    </row>
    <row r="4101" spans="1:7" ht="12.75">
      <c r="A4101" s="134" t="s">
        <v>480</v>
      </c>
      <c r="B4101" s="134">
        <v>460</v>
      </c>
      <c r="C4101" s="491">
        <v>2</v>
      </c>
      <c r="D4101" s="491">
        <v>0</v>
      </c>
      <c r="E4101" s="491">
        <v>0</v>
      </c>
      <c r="F4101" s="491">
        <v>0</v>
      </c>
      <c r="G4101" s="491">
        <f t="shared" si="64"/>
        <v>2</v>
      </c>
    </row>
    <row r="4102" spans="1:7" ht="12.75">
      <c r="A4102" s="134" t="s">
        <v>480</v>
      </c>
      <c r="B4102" s="134">
        <v>501</v>
      </c>
      <c r="C4102" s="491">
        <v>1776</v>
      </c>
      <c r="D4102" s="491">
        <v>434</v>
      </c>
      <c r="E4102" s="491">
        <v>8</v>
      </c>
      <c r="F4102" s="491">
        <v>5</v>
      </c>
      <c r="G4102" s="491">
        <f t="shared" si="64"/>
        <v>2223</v>
      </c>
    </row>
    <row r="4103" spans="1:7" ht="12.75">
      <c r="A4103" s="134" t="s">
        <v>480</v>
      </c>
      <c r="B4103" s="134">
        <v>502</v>
      </c>
      <c r="C4103" s="491">
        <v>3450</v>
      </c>
      <c r="D4103" s="491">
        <v>330</v>
      </c>
      <c r="E4103" s="491">
        <v>661</v>
      </c>
      <c r="F4103" s="491">
        <v>32</v>
      </c>
      <c r="G4103" s="491">
        <f t="shared" si="64"/>
        <v>4473</v>
      </c>
    </row>
    <row r="4104" spans="1:7" ht="12.75">
      <c r="A4104" s="134" t="s">
        <v>480</v>
      </c>
      <c r="B4104" s="134">
        <v>503</v>
      </c>
      <c r="C4104" s="491">
        <v>253</v>
      </c>
      <c r="D4104" s="491">
        <v>64</v>
      </c>
      <c r="E4104" s="491">
        <v>59</v>
      </c>
      <c r="F4104" s="491">
        <v>0</v>
      </c>
      <c r="G4104" s="491">
        <f t="shared" si="64"/>
        <v>376</v>
      </c>
    </row>
    <row r="4105" spans="1:7" ht="12.75">
      <c r="A4105" s="134" t="s">
        <v>480</v>
      </c>
      <c r="B4105" s="134">
        <v>560</v>
      </c>
      <c r="C4105" s="491">
        <v>958</v>
      </c>
      <c r="D4105" s="491">
        <v>400</v>
      </c>
      <c r="E4105" s="491">
        <v>17</v>
      </c>
      <c r="F4105" s="491">
        <v>0</v>
      </c>
      <c r="G4105" s="491">
        <f t="shared" si="64"/>
        <v>1375</v>
      </c>
    </row>
    <row r="4106" spans="1:7" ht="12.75">
      <c r="A4106" s="134" t="s">
        <v>480</v>
      </c>
      <c r="B4106" s="134">
        <v>650</v>
      </c>
      <c r="C4106" s="491">
        <v>38</v>
      </c>
      <c r="D4106" s="491">
        <v>214</v>
      </c>
      <c r="E4106" s="491">
        <v>0</v>
      </c>
      <c r="F4106" s="491">
        <v>0</v>
      </c>
      <c r="G4106" s="491">
        <f t="shared" si="64"/>
        <v>252</v>
      </c>
    </row>
    <row r="4107" spans="1:7" ht="12.75">
      <c r="A4107" s="134" t="s">
        <v>480</v>
      </c>
      <c r="B4107" s="134">
        <v>651</v>
      </c>
      <c r="C4107" s="491">
        <v>9</v>
      </c>
      <c r="D4107" s="491">
        <v>3</v>
      </c>
      <c r="E4107" s="491">
        <v>0</v>
      </c>
      <c r="F4107" s="491">
        <v>0</v>
      </c>
      <c r="G4107" s="491">
        <f t="shared" si="64"/>
        <v>12</v>
      </c>
    </row>
    <row r="4108" spans="1:7" ht="12.75">
      <c r="A4108" s="134" t="s">
        <v>480</v>
      </c>
      <c r="B4108" s="134">
        <v>652</v>
      </c>
      <c r="C4108" s="491">
        <v>0</v>
      </c>
      <c r="D4108" s="491">
        <v>2</v>
      </c>
      <c r="E4108" s="491">
        <v>0</v>
      </c>
      <c r="F4108" s="491">
        <v>0</v>
      </c>
      <c r="G4108" s="491">
        <f t="shared" si="64"/>
        <v>2</v>
      </c>
    </row>
    <row r="4109" spans="1:7" ht="12.75">
      <c r="A4109" s="134" t="s">
        <v>480</v>
      </c>
      <c r="B4109" s="134">
        <v>653</v>
      </c>
      <c r="C4109" s="491">
        <v>2</v>
      </c>
      <c r="D4109" s="491">
        <v>15</v>
      </c>
      <c r="E4109" s="491">
        <v>0</v>
      </c>
      <c r="F4109" s="491">
        <v>0</v>
      </c>
      <c r="G4109" s="491">
        <f t="shared" si="64"/>
        <v>17</v>
      </c>
    </row>
    <row r="4110" spans="1:7" ht="12.75">
      <c r="A4110" s="134" t="s">
        <v>480</v>
      </c>
      <c r="B4110" s="134">
        <v>654</v>
      </c>
      <c r="C4110" s="491">
        <v>10</v>
      </c>
      <c r="D4110" s="491">
        <v>6</v>
      </c>
      <c r="E4110" s="491">
        <v>0</v>
      </c>
      <c r="F4110" s="491">
        <v>0</v>
      </c>
      <c r="G4110" s="491">
        <f t="shared" si="64"/>
        <v>16</v>
      </c>
    </row>
    <row r="4111" spans="1:7" ht="12.75">
      <c r="A4111" s="134" t="s">
        <v>480</v>
      </c>
      <c r="B4111" s="134">
        <v>655</v>
      </c>
      <c r="C4111" s="491">
        <v>1</v>
      </c>
      <c r="D4111" s="491">
        <v>0</v>
      </c>
      <c r="E4111" s="491">
        <v>0</v>
      </c>
      <c r="F4111" s="491">
        <v>0</v>
      </c>
      <c r="G4111" s="491">
        <f t="shared" si="64"/>
        <v>1</v>
      </c>
    </row>
    <row r="4112" spans="1:7" ht="12.75">
      <c r="A4112" s="134" t="s">
        <v>480</v>
      </c>
      <c r="B4112" s="134">
        <v>656</v>
      </c>
      <c r="C4112" s="491">
        <v>1</v>
      </c>
      <c r="D4112" s="491">
        <v>10</v>
      </c>
      <c r="E4112" s="491">
        <v>0</v>
      </c>
      <c r="F4112" s="491">
        <v>0</v>
      </c>
      <c r="G4112" s="491">
        <f t="shared" si="64"/>
        <v>11</v>
      </c>
    </row>
    <row r="4113" spans="1:7" ht="12.75">
      <c r="A4113" s="134" t="s">
        <v>480</v>
      </c>
      <c r="B4113" s="134">
        <v>658</v>
      </c>
      <c r="C4113" s="491">
        <v>15</v>
      </c>
      <c r="D4113" s="491">
        <v>1</v>
      </c>
      <c r="E4113" s="491">
        <v>0</v>
      </c>
      <c r="F4113" s="491">
        <v>0</v>
      </c>
      <c r="G4113" s="491">
        <f t="shared" si="64"/>
        <v>16</v>
      </c>
    </row>
    <row r="4114" spans="1:7" ht="12.75">
      <c r="A4114" s="134" t="s">
        <v>480</v>
      </c>
      <c r="B4114" s="134">
        <v>711</v>
      </c>
      <c r="C4114" s="491">
        <v>1</v>
      </c>
      <c r="D4114" s="491">
        <v>2</v>
      </c>
      <c r="E4114" s="491">
        <v>0</v>
      </c>
      <c r="F4114" s="491">
        <v>0</v>
      </c>
      <c r="G4114" s="491">
        <f t="shared" si="64"/>
        <v>3</v>
      </c>
    </row>
    <row r="4115" spans="1:7" ht="12.75">
      <c r="A4115" s="134" t="s">
        <v>480</v>
      </c>
      <c r="B4115" s="134">
        <v>800</v>
      </c>
      <c r="C4115" s="491">
        <v>799</v>
      </c>
      <c r="D4115" s="491">
        <v>105</v>
      </c>
      <c r="E4115" s="491">
        <v>6</v>
      </c>
      <c r="F4115" s="491">
        <v>0</v>
      </c>
      <c r="G4115" s="491">
        <f t="shared" si="64"/>
        <v>910</v>
      </c>
    </row>
    <row r="4116" spans="1:7" ht="12.75">
      <c r="A4116" s="134" t="s">
        <v>480</v>
      </c>
      <c r="B4116" s="134">
        <v>811</v>
      </c>
      <c r="C4116" s="491">
        <v>33</v>
      </c>
      <c r="D4116" s="491">
        <v>0</v>
      </c>
      <c r="E4116" s="491">
        <v>4</v>
      </c>
      <c r="F4116" s="491">
        <v>0</v>
      </c>
      <c r="G4116" s="491">
        <f t="shared" si="64"/>
        <v>37</v>
      </c>
    </row>
    <row r="4117" spans="1:7" ht="12.75">
      <c r="A4117" s="134" t="s">
        <v>480</v>
      </c>
      <c r="B4117" s="134">
        <v>812</v>
      </c>
      <c r="C4117" s="491">
        <v>7</v>
      </c>
      <c r="D4117" s="491">
        <v>8291</v>
      </c>
      <c r="E4117" s="491">
        <v>0</v>
      </c>
      <c r="F4117" s="491">
        <v>0</v>
      </c>
      <c r="G4117" s="491">
        <f t="shared" si="64"/>
        <v>8298</v>
      </c>
    </row>
    <row r="4118" spans="1:7" ht="12.75">
      <c r="A4118" s="134" t="s">
        <v>480</v>
      </c>
      <c r="B4118" s="134">
        <v>822</v>
      </c>
      <c r="C4118" s="491">
        <v>43</v>
      </c>
      <c r="D4118" s="491">
        <v>67</v>
      </c>
      <c r="E4118" s="491">
        <v>0</v>
      </c>
      <c r="F4118" s="491">
        <v>26</v>
      </c>
      <c r="G4118" s="491">
        <f t="shared" si="64"/>
        <v>136</v>
      </c>
    </row>
    <row r="4119" spans="1:7" ht="12.75">
      <c r="A4119" s="134" t="s">
        <v>480</v>
      </c>
      <c r="B4119" s="134">
        <v>840</v>
      </c>
      <c r="C4119" s="491">
        <v>6</v>
      </c>
      <c r="D4119" s="491">
        <v>2</v>
      </c>
      <c r="E4119" s="491">
        <v>0</v>
      </c>
      <c r="F4119" s="491">
        <v>0</v>
      </c>
      <c r="G4119" s="491">
        <f t="shared" si="64"/>
        <v>8</v>
      </c>
    </row>
    <row r="4120" spans="1:7" ht="12.75">
      <c r="A4120" s="134" t="s">
        <v>832</v>
      </c>
      <c r="B4120" s="134">
        <v>300</v>
      </c>
      <c r="C4120" s="491">
        <v>2</v>
      </c>
      <c r="D4120" s="491">
        <v>0</v>
      </c>
      <c r="E4120" s="491">
        <v>0</v>
      </c>
      <c r="F4120" s="491">
        <v>0</v>
      </c>
      <c r="G4120" s="491">
        <f t="shared" si="64"/>
        <v>2</v>
      </c>
    </row>
    <row r="4121" spans="1:7" ht="12.75">
      <c r="A4121" s="134" t="s">
        <v>832</v>
      </c>
      <c r="B4121" s="134">
        <v>306</v>
      </c>
      <c r="C4121" s="491">
        <v>5</v>
      </c>
      <c r="D4121" s="491">
        <v>0</v>
      </c>
      <c r="E4121" s="491">
        <v>0</v>
      </c>
      <c r="F4121" s="491">
        <v>0</v>
      </c>
      <c r="G4121" s="491">
        <f t="shared" si="64"/>
        <v>5</v>
      </c>
    </row>
    <row r="4122" spans="1:7" ht="12.75">
      <c r="A4122" s="134" t="s">
        <v>832</v>
      </c>
      <c r="B4122" s="134">
        <v>320</v>
      </c>
      <c r="C4122" s="491">
        <v>0</v>
      </c>
      <c r="D4122" s="491">
        <v>1</v>
      </c>
      <c r="E4122" s="491">
        <v>0</v>
      </c>
      <c r="F4122" s="491">
        <v>0</v>
      </c>
      <c r="G4122" s="491">
        <f t="shared" si="64"/>
        <v>1</v>
      </c>
    </row>
    <row r="4123" spans="1:7" ht="12.75">
      <c r="A4123" s="134" t="s">
        <v>832</v>
      </c>
      <c r="B4123" s="134">
        <v>812</v>
      </c>
      <c r="C4123" s="491">
        <v>0</v>
      </c>
      <c r="D4123" s="491">
        <v>5</v>
      </c>
      <c r="E4123" s="491">
        <v>0</v>
      </c>
      <c r="F4123" s="491">
        <v>0</v>
      </c>
      <c r="G4123" s="491">
        <f t="shared" si="64"/>
        <v>5</v>
      </c>
    </row>
    <row r="4124" spans="1:7" ht="12.75">
      <c r="A4124" s="134" t="s">
        <v>1054</v>
      </c>
      <c r="B4124" s="134">
        <v>301</v>
      </c>
      <c r="C4124" s="491">
        <v>1</v>
      </c>
      <c r="D4124" s="491">
        <v>0</v>
      </c>
      <c r="E4124" s="491">
        <v>0</v>
      </c>
      <c r="F4124" s="491">
        <v>0</v>
      </c>
      <c r="G4124" s="491">
        <f t="shared" si="64"/>
        <v>1</v>
      </c>
    </row>
    <row r="4125" spans="1:7" ht="12.75">
      <c r="A4125" s="134" t="s">
        <v>1054</v>
      </c>
      <c r="B4125" s="134">
        <v>653</v>
      </c>
      <c r="C4125" s="491">
        <v>1</v>
      </c>
      <c r="D4125" s="491">
        <v>0</v>
      </c>
      <c r="E4125" s="491">
        <v>0</v>
      </c>
      <c r="F4125" s="491">
        <v>0</v>
      </c>
      <c r="G4125" s="491">
        <f t="shared" si="64"/>
        <v>1</v>
      </c>
    </row>
    <row r="4126" spans="1:7" ht="12.75">
      <c r="A4126" s="134" t="s">
        <v>1055</v>
      </c>
      <c r="B4126" s="134">
        <v>320</v>
      </c>
      <c r="C4126" s="491">
        <v>7</v>
      </c>
      <c r="D4126" s="491">
        <v>0</v>
      </c>
      <c r="E4126" s="491">
        <v>0</v>
      </c>
      <c r="F4126" s="491">
        <v>0</v>
      </c>
      <c r="G4126" s="491">
        <f t="shared" si="64"/>
        <v>7</v>
      </c>
    </row>
    <row r="4127" spans="1:7" ht="12.75">
      <c r="A4127" s="134" t="s">
        <v>1055</v>
      </c>
      <c r="B4127" s="134">
        <v>812</v>
      </c>
      <c r="C4127" s="491">
        <v>11</v>
      </c>
      <c r="D4127" s="491">
        <v>0</v>
      </c>
      <c r="E4127" s="491">
        <v>0</v>
      </c>
      <c r="F4127" s="491">
        <v>0</v>
      </c>
      <c r="G4127" s="491">
        <f t="shared" si="64"/>
        <v>11</v>
      </c>
    </row>
    <row r="4128" spans="1:7" ht="12.75">
      <c r="A4128" s="134" t="s">
        <v>833</v>
      </c>
      <c r="B4128" s="134">
        <v>304</v>
      </c>
      <c r="C4128" s="491">
        <v>41</v>
      </c>
      <c r="D4128" s="491">
        <v>4</v>
      </c>
      <c r="E4128" s="491">
        <v>0</v>
      </c>
      <c r="F4128" s="491">
        <v>0</v>
      </c>
      <c r="G4128" s="491">
        <f t="shared" si="64"/>
        <v>45</v>
      </c>
    </row>
    <row r="4129" spans="1:7" ht="12.75">
      <c r="A4129" s="134" t="s">
        <v>833</v>
      </c>
      <c r="B4129" s="134">
        <v>320</v>
      </c>
      <c r="C4129" s="491">
        <v>6</v>
      </c>
      <c r="D4129" s="491">
        <v>0</v>
      </c>
      <c r="E4129" s="491">
        <v>0</v>
      </c>
      <c r="F4129" s="491">
        <v>0</v>
      </c>
      <c r="G4129" s="491">
        <f t="shared" si="64"/>
        <v>6</v>
      </c>
    </row>
    <row r="4130" spans="1:7" ht="12.75">
      <c r="A4130" s="134" t="s">
        <v>834</v>
      </c>
      <c r="B4130" s="134">
        <v>370</v>
      </c>
      <c r="C4130" s="491">
        <v>3</v>
      </c>
      <c r="D4130" s="491">
        <v>0</v>
      </c>
      <c r="E4130" s="491">
        <v>0</v>
      </c>
      <c r="F4130" s="491">
        <v>0</v>
      </c>
      <c r="G4130" s="491">
        <f t="shared" si="64"/>
        <v>3</v>
      </c>
    </row>
    <row r="4131" spans="1:7" ht="12.75">
      <c r="A4131" s="134" t="s">
        <v>834</v>
      </c>
      <c r="B4131" s="134">
        <v>800</v>
      </c>
      <c r="C4131" s="491">
        <v>2</v>
      </c>
      <c r="D4131" s="491">
        <v>0</v>
      </c>
      <c r="E4131" s="491">
        <v>0</v>
      </c>
      <c r="F4131" s="491">
        <v>0</v>
      </c>
      <c r="G4131" s="491">
        <f t="shared" si="64"/>
        <v>2</v>
      </c>
    </row>
    <row r="4132" spans="1:7" ht="12.75">
      <c r="A4132" s="134" t="s">
        <v>835</v>
      </c>
      <c r="B4132" s="134">
        <v>100</v>
      </c>
      <c r="C4132" s="491">
        <v>1</v>
      </c>
      <c r="D4132" s="491">
        <v>0</v>
      </c>
      <c r="E4132" s="491">
        <v>0</v>
      </c>
      <c r="F4132" s="491">
        <v>0</v>
      </c>
      <c r="G4132" s="491">
        <f t="shared" si="64"/>
        <v>1</v>
      </c>
    </row>
    <row r="4133" spans="1:7" ht="12.75">
      <c r="A4133" s="134" t="s">
        <v>835</v>
      </c>
      <c r="B4133" s="134">
        <v>110</v>
      </c>
      <c r="C4133" s="491">
        <v>0</v>
      </c>
      <c r="D4133" s="491">
        <v>7</v>
      </c>
      <c r="E4133" s="491">
        <v>0</v>
      </c>
      <c r="F4133" s="491">
        <v>0</v>
      </c>
      <c r="G4133" s="491">
        <f t="shared" si="64"/>
        <v>7</v>
      </c>
    </row>
    <row r="4134" spans="1:7" ht="12.75">
      <c r="A4134" s="134" t="s">
        <v>835</v>
      </c>
      <c r="B4134" s="134">
        <v>120</v>
      </c>
      <c r="C4134" s="491">
        <v>1</v>
      </c>
      <c r="D4134" s="491">
        <v>8</v>
      </c>
      <c r="E4134" s="491">
        <v>0</v>
      </c>
      <c r="F4134" s="491">
        <v>0</v>
      </c>
      <c r="G4134" s="491">
        <f t="shared" si="64"/>
        <v>9</v>
      </c>
    </row>
    <row r="4135" spans="1:7" ht="12.75">
      <c r="A4135" s="134" t="s">
        <v>835</v>
      </c>
      <c r="B4135" s="134">
        <v>140</v>
      </c>
      <c r="C4135" s="491">
        <v>14</v>
      </c>
      <c r="D4135" s="491">
        <v>6</v>
      </c>
      <c r="E4135" s="491">
        <v>1</v>
      </c>
      <c r="F4135" s="491">
        <v>1</v>
      </c>
      <c r="G4135" s="491">
        <f t="shared" si="64"/>
        <v>22</v>
      </c>
    </row>
    <row r="4136" spans="1:7" ht="12.75">
      <c r="A4136" s="134" t="s">
        <v>835</v>
      </c>
      <c r="B4136" s="134">
        <v>141</v>
      </c>
      <c r="C4136" s="491">
        <v>2</v>
      </c>
      <c r="D4136" s="491">
        <v>10</v>
      </c>
      <c r="E4136" s="491">
        <v>0</v>
      </c>
      <c r="F4136" s="491">
        <v>9</v>
      </c>
      <c r="G4136" s="491">
        <f t="shared" si="64"/>
        <v>21</v>
      </c>
    </row>
    <row r="4137" spans="1:7" ht="12.75">
      <c r="A4137" s="134" t="s">
        <v>835</v>
      </c>
      <c r="B4137" s="134">
        <v>142</v>
      </c>
      <c r="C4137" s="491">
        <v>1</v>
      </c>
      <c r="D4137" s="491">
        <v>0</v>
      </c>
      <c r="E4137" s="491">
        <v>0</v>
      </c>
      <c r="F4137" s="491">
        <v>0</v>
      </c>
      <c r="G4137" s="491">
        <f t="shared" si="64"/>
        <v>1</v>
      </c>
    </row>
    <row r="4138" spans="1:7" ht="12.75">
      <c r="A4138" s="134" t="s">
        <v>835</v>
      </c>
      <c r="B4138" s="134">
        <v>143</v>
      </c>
      <c r="C4138" s="491">
        <v>4</v>
      </c>
      <c r="D4138" s="491">
        <v>10</v>
      </c>
      <c r="E4138" s="491">
        <v>0</v>
      </c>
      <c r="F4138" s="491">
        <v>0</v>
      </c>
      <c r="G4138" s="491">
        <f t="shared" si="64"/>
        <v>14</v>
      </c>
    </row>
    <row r="4139" spans="1:7" ht="12.75">
      <c r="A4139" s="134" t="s">
        <v>835</v>
      </c>
      <c r="B4139" s="134">
        <v>144</v>
      </c>
      <c r="C4139" s="491">
        <v>0</v>
      </c>
      <c r="D4139" s="491">
        <v>2</v>
      </c>
      <c r="E4139" s="491">
        <v>0</v>
      </c>
      <c r="F4139" s="491">
        <v>0</v>
      </c>
      <c r="G4139" s="491">
        <f t="shared" si="64"/>
        <v>2</v>
      </c>
    </row>
    <row r="4140" spans="1:7" ht="12.75">
      <c r="A4140" s="134" t="s">
        <v>835</v>
      </c>
      <c r="B4140" s="134">
        <v>150</v>
      </c>
      <c r="C4140" s="491">
        <v>0</v>
      </c>
      <c r="D4140" s="491">
        <v>2</v>
      </c>
      <c r="E4140" s="491">
        <v>0</v>
      </c>
      <c r="F4140" s="491">
        <v>0</v>
      </c>
      <c r="G4140" s="491">
        <f t="shared" si="64"/>
        <v>2</v>
      </c>
    </row>
    <row r="4141" spans="1:7" ht="12.75">
      <c r="A4141" s="134" t="s">
        <v>835</v>
      </c>
      <c r="B4141" s="134">
        <v>160</v>
      </c>
      <c r="C4141" s="491">
        <v>2</v>
      </c>
      <c r="D4141" s="491">
        <v>11</v>
      </c>
      <c r="E4141" s="491">
        <v>0</v>
      </c>
      <c r="F4141" s="491">
        <v>0</v>
      </c>
      <c r="G4141" s="491">
        <f t="shared" si="64"/>
        <v>13</v>
      </c>
    </row>
    <row r="4142" spans="1:7" ht="12.75">
      <c r="A4142" s="134" t="s">
        <v>835</v>
      </c>
      <c r="B4142" s="134">
        <v>171</v>
      </c>
      <c r="C4142" s="491">
        <v>0</v>
      </c>
      <c r="D4142" s="491">
        <v>5</v>
      </c>
      <c r="E4142" s="491">
        <v>0</v>
      </c>
      <c r="F4142" s="491">
        <v>0</v>
      </c>
      <c r="G4142" s="491">
        <f t="shared" si="64"/>
        <v>5</v>
      </c>
    </row>
    <row r="4143" spans="1:7" ht="12.75">
      <c r="A4143" s="134" t="s">
        <v>835</v>
      </c>
      <c r="B4143" s="134">
        <v>190</v>
      </c>
      <c r="C4143" s="491">
        <v>0</v>
      </c>
      <c r="D4143" s="491">
        <v>1</v>
      </c>
      <c r="E4143" s="491">
        <v>0</v>
      </c>
      <c r="F4143" s="491">
        <v>0</v>
      </c>
      <c r="G4143" s="491">
        <f t="shared" si="64"/>
        <v>1</v>
      </c>
    </row>
    <row r="4144" spans="1:7" ht="12.75">
      <c r="A4144" s="134" t="s">
        <v>835</v>
      </c>
      <c r="B4144" s="134">
        <v>211</v>
      </c>
      <c r="C4144" s="491">
        <v>0</v>
      </c>
      <c r="D4144" s="491">
        <v>2</v>
      </c>
      <c r="E4144" s="491">
        <v>0</v>
      </c>
      <c r="F4144" s="491">
        <v>0</v>
      </c>
      <c r="G4144" s="491">
        <f t="shared" si="64"/>
        <v>2</v>
      </c>
    </row>
    <row r="4145" spans="1:7" ht="12.75">
      <c r="A4145" s="134" t="s">
        <v>835</v>
      </c>
      <c r="B4145" s="134">
        <v>221</v>
      </c>
      <c r="C4145" s="491">
        <v>1</v>
      </c>
      <c r="D4145" s="491">
        <v>0</v>
      </c>
      <c r="E4145" s="491">
        <v>0</v>
      </c>
      <c r="F4145" s="491">
        <v>0</v>
      </c>
      <c r="G4145" s="491">
        <f t="shared" si="64"/>
        <v>1</v>
      </c>
    </row>
    <row r="4146" spans="1:7" ht="12.75">
      <c r="A4146" s="134" t="s">
        <v>835</v>
      </c>
      <c r="B4146" s="134">
        <v>251</v>
      </c>
      <c r="C4146" s="491">
        <v>0</v>
      </c>
      <c r="D4146" s="491">
        <v>1</v>
      </c>
      <c r="E4146" s="491">
        <v>0</v>
      </c>
      <c r="F4146" s="491">
        <v>0</v>
      </c>
      <c r="G4146" s="491">
        <f t="shared" si="64"/>
        <v>1</v>
      </c>
    </row>
    <row r="4147" spans="1:7" ht="12.75">
      <c r="A4147" s="134" t="s">
        <v>835</v>
      </c>
      <c r="B4147" s="134">
        <v>252</v>
      </c>
      <c r="C4147" s="491">
        <v>0</v>
      </c>
      <c r="D4147" s="491">
        <v>2</v>
      </c>
      <c r="E4147" s="491">
        <v>0</v>
      </c>
      <c r="F4147" s="491">
        <v>0</v>
      </c>
      <c r="G4147" s="491">
        <f t="shared" si="64"/>
        <v>2</v>
      </c>
    </row>
    <row r="4148" spans="1:7" ht="12.75">
      <c r="A4148" s="134" t="s">
        <v>835</v>
      </c>
      <c r="B4148" s="134">
        <v>253</v>
      </c>
      <c r="C4148" s="491">
        <v>1</v>
      </c>
      <c r="D4148" s="491">
        <v>0</v>
      </c>
      <c r="E4148" s="491">
        <v>0</v>
      </c>
      <c r="F4148" s="491">
        <v>0</v>
      </c>
      <c r="G4148" s="491">
        <f t="shared" si="64"/>
        <v>1</v>
      </c>
    </row>
    <row r="4149" spans="1:7" ht="12.75">
      <c r="A4149" s="134" t="s">
        <v>835</v>
      </c>
      <c r="B4149" s="134">
        <v>258</v>
      </c>
      <c r="C4149" s="491">
        <v>1</v>
      </c>
      <c r="D4149" s="491">
        <v>4</v>
      </c>
      <c r="E4149" s="491">
        <v>0</v>
      </c>
      <c r="F4149" s="491">
        <v>0</v>
      </c>
      <c r="G4149" s="491">
        <f t="shared" si="64"/>
        <v>5</v>
      </c>
    </row>
    <row r="4150" spans="1:7" ht="12.75">
      <c r="A4150" s="134" t="s">
        <v>835</v>
      </c>
      <c r="B4150" s="134">
        <v>300</v>
      </c>
      <c r="C4150" s="491">
        <v>1</v>
      </c>
      <c r="D4150" s="491">
        <v>1</v>
      </c>
      <c r="E4150" s="491">
        <v>0</v>
      </c>
      <c r="F4150" s="491">
        <v>0</v>
      </c>
      <c r="G4150" s="491">
        <f t="shared" si="64"/>
        <v>2</v>
      </c>
    </row>
    <row r="4151" spans="1:7" ht="12.75">
      <c r="A4151" s="134" t="s">
        <v>835</v>
      </c>
      <c r="B4151" s="134">
        <v>304</v>
      </c>
      <c r="C4151" s="491">
        <v>2</v>
      </c>
      <c r="D4151" s="491">
        <v>2</v>
      </c>
      <c r="E4151" s="491">
        <v>0</v>
      </c>
      <c r="F4151" s="491">
        <v>0</v>
      </c>
      <c r="G4151" s="491">
        <f t="shared" si="64"/>
        <v>4</v>
      </c>
    </row>
    <row r="4152" spans="1:7" ht="12.75">
      <c r="A4152" s="134" t="s">
        <v>835</v>
      </c>
      <c r="B4152" s="134">
        <v>310</v>
      </c>
      <c r="C4152" s="491">
        <v>0</v>
      </c>
      <c r="D4152" s="491">
        <v>2</v>
      </c>
      <c r="E4152" s="491">
        <v>0</v>
      </c>
      <c r="F4152" s="491">
        <v>0</v>
      </c>
      <c r="G4152" s="491">
        <f t="shared" si="64"/>
        <v>2</v>
      </c>
    </row>
    <row r="4153" spans="1:7" ht="12.75">
      <c r="A4153" s="134" t="s">
        <v>835</v>
      </c>
      <c r="B4153" s="134">
        <v>320</v>
      </c>
      <c r="C4153" s="491">
        <v>22</v>
      </c>
      <c r="D4153" s="491">
        <v>27</v>
      </c>
      <c r="E4153" s="491">
        <v>1</v>
      </c>
      <c r="F4153" s="491">
        <v>0</v>
      </c>
      <c r="G4153" s="491">
        <f t="shared" si="64"/>
        <v>50</v>
      </c>
    </row>
    <row r="4154" spans="1:7" ht="12.75">
      <c r="A4154" s="134" t="s">
        <v>835</v>
      </c>
      <c r="B4154" s="134">
        <v>321</v>
      </c>
      <c r="C4154" s="491">
        <v>459</v>
      </c>
      <c r="D4154" s="491">
        <v>686</v>
      </c>
      <c r="E4154" s="491">
        <v>64</v>
      </c>
      <c r="F4154" s="491">
        <v>83</v>
      </c>
      <c r="G4154" s="491">
        <f t="shared" si="64"/>
        <v>1292</v>
      </c>
    </row>
    <row r="4155" spans="1:7" ht="12.75">
      <c r="A4155" s="134" t="s">
        <v>835</v>
      </c>
      <c r="B4155" s="134">
        <v>329</v>
      </c>
      <c r="C4155" s="491">
        <v>0</v>
      </c>
      <c r="D4155" s="491">
        <v>2</v>
      </c>
      <c r="E4155" s="491">
        <v>0</v>
      </c>
      <c r="F4155" s="491">
        <v>0</v>
      </c>
      <c r="G4155" s="491">
        <f t="shared" si="64"/>
        <v>2</v>
      </c>
    </row>
    <row r="4156" spans="1:7" ht="12.75">
      <c r="A4156" s="134" t="s">
        <v>835</v>
      </c>
      <c r="B4156" s="134">
        <v>330</v>
      </c>
      <c r="C4156" s="491">
        <v>0</v>
      </c>
      <c r="D4156" s="491">
        <v>5</v>
      </c>
      <c r="E4156" s="491">
        <v>0</v>
      </c>
      <c r="F4156" s="491">
        <v>0</v>
      </c>
      <c r="G4156" s="491">
        <f t="shared" si="64"/>
        <v>5</v>
      </c>
    </row>
    <row r="4157" spans="1:7" ht="12.75">
      <c r="A4157" s="134" t="s">
        <v>835</v>
      </c>
      <c r="B4157" s="134">
        <v>340</v>
      </c>
      <c r="C4157" s="491">
        <v>1</v>
      </c>
      <c r="D4157" s="491">
        <v>0</v>
      </c>
      <c r="E4157" s="491">
        <v>0</v>
      </c>
      <c r="F4157" s="491">
        <v>0</v>
      </c>
      <c r="G4157" s="491">
        <f t="shared" si="64"/>
        <v>1</v>
      </c>
    </row>
    <row r="4158" spans="1:7" ht="12.75">
      <c r="A4158" s="134" t="s">
        <v>835</v>
      </c>
      <c r="B4158" s="134">
        <v>370</v>
      </c>
      <c r="C4158" s="491">
        <v>2</v>
      </c>
      <c r="D4158" s="491">
        <v>0</v>
      </c>
      <c r="E4158" s="491">
        <v>0</v>
      </c>
      <c r="F4158" s="491">
        <v>0</v>
      </c>
      <c r="G4158" s="491">
        <f t="shared" si="64"/>
        <v>2</v>
      </c>
    </row>
    <row r="4159" spans="1:7" ht="12.75">
      <c r="A4159" s="134" t="s">
        <v>835</v>
      </c>
      <c r="B4159" s="134">
        <v>410</v>
      </c>
      <c r="C4159" s="491">
        <v>2</v>
      </c>
      <c r="D4159" s="491">
        <v>0</v>
      </c>
      <c r="E4159" s="491">
        <v>0</v>
      </c>
      <c r="F4159" s="491">
        <v>0</v>
      </c>
      <c r="G4159" s="491">
        <f t="shared" si="64"/>
        <v>2</v>
      </c>
    </row>
    <row r="4160" spans="1:7" ht="12.75">
      <c r="A4160" s="134" t="s">
        <v>835</v>
      </c>
      <c r="B4160" s="134">
        <v>420</v>
      </c>
      <c r="C4160" s="491">
        <v>110</v>
      </c>
      <c r="D4160" s="491">
        <v>155</v>
      </c>
      <c r="E4160" s="491">
        <v>1</v>
      </c>
      <c r="F4160" s="491">
        <v>0</v>
      </c>
      <c r="G4160" s="491">
        <f t="shared" si="64"/>
        <v>266</v>
      </c>
    </row>
    <row r="4161" spans="1:7" ht="12.75">
      <c r="A4161" s="134" t="s">
        <v>835</v>
      </c>
      <c r="B4161" s="134">
        <v>422</v>
      </c>
      <c r="C4161" s="491">
        <v>8</v>
      </c>
      <c r="D4161" s="491">
        <v>2</v>
      </c>
      <c r="E4161" s="491">
        <v>0</v>
      </c>
      <c r="F4161" s="491">
        <v>0</v>
      </c>
      <c r="G4161" s="491">
        <f t="shared" si="64"/>
        <v>10</v>
      </c>
    </row>
    <row r="4162" spans="1:7" ht="12.75">
      <c r="A4162" s="134" t="s">
        <v>835</v>
      </c>
      <c r="B4162" s="134">
        <v>501</v>
      </c>
      <c r="C4162" s="491">
        <v>27</v>
      </c>
      <c r="D4162" s="491">
        <v>32</v>
      </c>
      <c r="E4162" s="491">
        <v>7</v>
      </c>
      <c r="F4162" s="491">
        <v>7</v>
      </c>
      <c r="G4162" s="491">
        <f t="shared" si="64"/>
        <v>73</v>
      </c>
    </row>
    <row r="4163" spans="1:7" ht="12.75">
      <c r="A4163" s="134" t="s">
        <v>835</v>
      </c>
      <c r="B4163" s="134">
        <v>502</v>
      </c>
      <c r="C4163" s="491">
        <v>0</v>
      </c>
      <c r="D4163" s="491">
        <v>16</v>
      </c>
      <c r="E4163" s="491">
        <v>1</v>
      </c>
      <c r="F4163" s="491">
        <v>3</v>
      </c>
      <c r="G4163" s="491">
        <f t="shared" si="64"/>
        <v>20</v>
      </c>
    </row>
    <row r="4164" spans="1:7" ht="12.75">
      <c r="A4164" s="134" t="s">
        <v>835</v>
      </c>
      <c r="B4164" s="134">
        <v>560</v>
      </c>
      <c r="C4164" s="491">
        <v>116</v>
      </c>
      <c r="D4164" s="491">
        <v>66</v>
      </c>
      <c r="E4164" s="491">
        <v>45</v>
      </c>
      <c r="F4164" s="491">
        <v>23</v>
      </c>
      <c r="G4164" s="491">
        <f t="shared" ref="G4164:G4227" si="65">SUM(C4164:F4164)</f>
        <v>250</v>
      </c>
    </row>
    <row r="4165" spans="1:7" ht="12.75">
      <c r="A4165" s="134" t="s">
        <v>835</v>
      </c>
      <c r="B4165" s="134">
        <v>650</v>
      </c>
      <c r="C4165" s="491">
        <v>0</v>
      </c>
      <c r="D4165" s="491">
        <v>8</v>
      </c>
      <c r="E4165" s="491">
        <v>0</v>
      </c>
      <c r="F4165" s="491">
        <v>0</v>
      </c>
      <c r="G4165" s="491">
        <f t="shared" si="65"/>
        <v>8</v>
      </c>
    </row>
    <row r="4166" spans="1:7" ht="12.75">
      <c r="A4166" s="134" t="s">
        <v>835</v>
      </c>
      <c r="B4166" s="134">
        <v>812</v>
      </c>
      <c r="C4166" s="491">
        <v>4</v>
      </c>
      <c r="D4166" s="491">
        <v>1</v>
      </c>
      <c r="E4166" s="491">
        <v>0</v>
      </c>
      <c r="F4166" s="491">
        <v>0</v>
      </c>
      <c r="G4166" s="491">
        <f t="shared" si="65"/>
        <v>5</v>
      </c>
    </row>
    <row r="4167" spans="1:7" ht="12.75">
      <c r="A4167" s="134" t="s">
        <v>836</v>
      </c>
      <c r="B4167" s="134">
        <v>100</v>
      </c>
      <c r="C4167" s="491">
        <v>9</v>
      </c>
      <c r="D4167" s="491">
        <v>14</v>
      </c>
      <c r="E4167" s="491">
        <v>2</v>
      </c>
      <c r="F4167" s="491">
        <v>0</v>
      </c>
      <c r="G4167" s="491">
        <f t="shared" si="65"/>
        <v>25</v>
      </c>
    </row>
    <row r="4168" spans="1:7" ht="12.75">
      <c r="A4168" s="134" t="s">
        <v>836</v>
      </c>
      <c r="B4168" s="134">
        <v>101</v>
      </c>
      <c r="C4168" s="491">
        <v>0</v>
      </c>
      <c r="D4168" s="491">
        <v>1</v>
      </c>
      <c r="E4168" s="491">
        <v>0</v>
      </c>
      <c r="F4168" s="491">
        <v>0</v>
      </c>
      <c r="G4168" s="491">
        <f t="shared" si="65"/>
        <v>1</v>
      </c>
    </row>
    <row r="4169" spans="1:7" ht="12.75">
      <c r="A4169" s="134" t="s">
        <v>836</v>
      </c>
      <c r="B4169" s="134">
        <v>103</v>
      </c>
      <c r="C4169" s="491">
        <v>15</v>
      </c>
      <c r="D4169" s="491">
        <v>1</v>
      </c>
      <c r="E4169" s="491">
        <v>0</v>
      </c>
      <c r="F4169" s="491">
        <v>0</v>
      </c>
      <c r="G4169" s="491">
        <f t="shared" si="65"/>
        <v>16</v>
      </c>
    </row>
    <row r="4170" spans="1:7" ht="12.75">
      <c r="A4170" s="134" t="s">
        <v>836</v>
      </c>
      <c r="B4170" s="134">
        <v>104</v>
      </c>
      <c r="C4170" s="491">
        <v>2</v>
      </c>
      <c r="D4170" s="491">
        <v>1</v>
      </c>
      <c r="E4170" s="491">
        <v>0</v>
      </c>
      <c r="F4170" s="491">
        <v>0</v>
      </c>
      <c r="G4170" s="491">
        <f t="shared" si="65"/>
        <v>3</v>
      </c>
    </row>
    <row r="4171" spans="1:7" ht="12.75">
      <c r="A4171" s="134" t="s">
        <v>836</v>
      </c>
      <c r="B4171" s="134">
        <v>110</v>
      </c>
      <c r="C4171" s="491">
        <v>1</v>
      </c>
      <c r="D4171" s="491">
        <v>1</v>
      </c>
      <c r="E4171" s="491">
        <v>0</v>
      </c>
      <c r="F4171" s="491">
        <v>0</v>
      </c>
      <c r="G4171" s="491">
        <f t="shared" si="65"/>
        <v>2</v>
      </c>
    </row>
    <row r="4172" spans="1:7" ht="12.75">
      <c r="A4172" s="134" t="s">
        <v>836</v>
      </c>
      <c r="B4172" s="134">
        <v>120</v>
      </c>
      <c r="C4172" s="491">
        <v>0</v>
      </c>
      <c r="D4172" s="491">
        <v>2</v>
      </c>
      <c r="E4172" s="491">
        <v>0</v>
      </c>
      <c r="F4172" s="491">
        <v>0</v>
      </c>
      <c r="G4172" s="491">
        <f t="shared" si="65"/>
        <v>2</v>
      </c>
    </row>
    <row r="4173" spans="1:7" ht="12.75">
      <c r="A4173" s="134" t="s">
        <v>836</v>
      </c>
      <c r="B4173" s="134">
        <v>130</v>
      </c>
      <c r="C4173" s="491">
        <v>1</v>
      </c>
      <c r="D4173" s="491">
        <v>0</v>
      </c>
      <c r="E4173" s="491">
        <v>0</v>
      </c>
      <c r="F4173" s="491">
        <v>0</v>
      </c>
      <c r="G4173" s="491">
        <f t="shared" si="65"/>
        <v>1</v>
      </c>
    </row>
    <row r="4174" spans="1:7" ht="12.75">
      <c r="A4174" s="134" t="s">
        <v>836</v>
      </c>
      <c r="B4174" s="134">
        <v>144</v>
      </c>
      <c r="C4174" s="491">
        <v>0</v>
      </c>
      <c r="D4174" s="491">
        <v>1</v>
      </c>
      <c r="E4174" s="491">
        <v>0</v>
      </c>
      <c r="F4174" s="491">
        <v>0</v>
      </c>
      <c r="G4174" s="491">
        <f t="shared" si="65"/>
        <v>1</v>
      </c>
    </row>
    <row r="4175" spans="1:7" ht="12.75">
      <c r="A4175" s="134" t="s">
        <v>836</v>
      </c>
      <c r="B4175" s="134">
        <v>160</v>
      </c>
      <c r="C4175" s="491">
        <v>8</v>
      </c>
      <c r="D4175" s="491">
        <v>2</v>
      </c>
      <c r="E4175" s="491">
        <v>0</v>
      </c>
      <c r="F4175" s="491">
        <v>0</v>
      </c>
      <c r="G4175" s="491">
        <f t="shared" si="65"/>
        <v>10</v>
      </c>
    </row>
    <row r="4176" spans="1:7" ht="12.75">
      <c r="A4176" s="134" t="s">
        <v>836</v>
      </c>
      <c r="B4176" s="134">
        <v>191</v>
      </c>
      <c r="C4176" s="491">
        <v>1</v>
      </c>
      <c r="D4176" s="491">
        <v>0</v>
      </c>
      <c r="E4176" s="491">
        <v>0</v>
      </c>
      <c r="F4176" s="491">
        <v>0</v>
      </c>
      <c r="G4176" s="491">
        <f t="shared" si="65"/>
        <v>1</v>
      </c>
    </row>
    <row r="4177" spans="1:7" ht="12.75">
      <c r="A4177" s="134" t="s">
        <v>836</v>
      </c>
      <c r="B4177" s="134">
        <v>300</v>
      </c>
      <c r="C4177" s="491">
        <v>2</v>
      </c>
      <c r="D4177" s="491">
        <v>1</v>
      </c>
      <c r="E4177" s="491">
        <v>0</v>
      </c>
      <c r="F4177" s="491">
        <v>0</v>
      </c>
      <c r="G4177" s="491">
        <f t="shared" si="65"/>
        <v>3</v>
      </c>
    </row>
    <row r="4178" spans="1:7" ht="12.75">
      <c r="A4178" s="134" t="s">
        <v>836</v>
      </c>
      <c r="B4178" s="134">
        <v>301</v>
      </c>
      <c r="C4178" s="491">
        <v>1</v>
      </c>
      <c r="D4178" s="491">
        <v>0</v>
      </c>
      <c r="E4178" s="491">
        <v>0</v>
      </c>
      <c r="F4178" s="491">
        <v>0</v>
      </c>
      <c r="G4178" s="491">
        <f t="shared" si="65"/>
        <v>1</v>
      </c>
    </row>
    <row r="4179" spans="1:7" ht="12.75">
      <c r="A4179" s="134" t="s">
        <v>836</v>
      </c>
      <c r="B4179" s="134">
        <v>302</v>
      </c>
      <c r="C4179" s="491">
        <v>0</v>
      </c>
      <c r="D4179" s="491">
        <v>3</v>
      </c>
      <c r="E4179" s="491">
        <v>0</v>
      </c>
      <c r="F4179" s="491">
        <v>0</v>
      </c>
      <c r="G4179" s="491">
        <f t="shared" si="65"/>
        <v>3</v>
      </c>
    </row>
    <row r="4180" spans="1:7" ht="12.75">
      <c r="A4180" s="134" t="s">
        <v>836</v>
      </c>
      <c r="B4180" s="134">
        <v>324</v>
      </c>
      <c r="C4180" s="491">
        <v>1</v>
      </c>
      <c r="D4180" s="491">
        <v>1</v>
      </c>
      <c r="E4180" s="491">
        <v>0</v>
      </c>
      <c r="F4180" s="491">
        <v>0</v>
      </c>
      <c r="G4180" s="491">
        <f t="shared" si="65"/>
        <v>2</v>
      </c>
    </row>
    <row r="4181" spans="1:7" ht="12.75">
      <c r="A4181" s="134" t="s">
        <v>836</v>
      </c>
      <c r="B4181" s="134">
        <v>340</v>
      </c>
      <c r="C4181" s="491">
        <v>0</v>
      </c>
      <c r="D4181" s="491">
        <v>1</v>
      </c>
      <c r="E4181" s="491">
        <v>0</v>
      </c>
      <c r="F4181" s="491">
        <v>0</v>
      </c>
      <c r="G4181" s="491">
        <f t="shared" si="65"/>
        <v>1</v>
      </c>
    </row>
    <row r="4182" spans="1:7" ht="12.75">
      <c r="A4182" s="134" t="s">
        <v>836</v>
      </c>
      <c r="B4182" s="134">
        <v>361</v>
      </c>
      <c r="C4182" s="491">
        <v>17</v>
      </c>
      <c r="D4182" s="491">
        <v>0</v>
      </c>
      <c r="E4182" s="491">
        <v>0</v>
      </c>
      <c r="F4182" s="491">
        <v>0</v>
      </c>
      <c r="G4182" s="491">
        <f t="shared" si="65"/>
        <v>17</v>
      </c>
    </row>
    <row r="4183" spans="1:7" ht="12.75">
      <c r="A4183" s="134" t="s">
        <v>836</v>
      </c>
      <c r="B4183" s="134">
        <v>370</v>
      </c>
      <c r="C4183" s="491">
        <v>1</v>
      </c>
      <c r="D4183" s="491">
        <v>2</v>
      </c>
      <c r="E4183" s="491">
        <v>0</v>
      </c>
      <c r="F4183" s="491">
        <v>0</v>
      </c>
      <c r="G4183" s="491">
        <f t="shared" si="65"/>
        <v>3</v>
      </c>
    </row>
    <row r="4184" spans="1:7" ht="12.75">
      <c r="A4184" s="134" t="s">
        <v>836</v>
      </c>
      <c r="B4184" s="134">
        <v>430</v>
      </c>
      <c r="C4184" s="491">
        <v>1</v>
      </c>
      <c r="D4184" s="491">
        <v>0</v>
      </c>
      <c r="E4184" s="491">
        <v>0</v>
      </c>
      <c r="F4184" s="491">
        <v>0</v>
      </c>
      <c r="G4184" s="491">
        <f t="shared" si="65"/>
        <v>1</v>
      </c>
    </row>
    <row r="4185" spans="1:7" ht="12.75">
      <c r="A4185" s="134" t="s">
        <v>836</v>
      </c>
      <c r="B4185" s="134">
        <v>501</v>
      </c>
      <c r="C4185" s="491">
        <v>11</v>
      </c>
      <c r="D4185" s="491">
        <v>0</v>
      </c>
      <c r="E4185" s="491">
        <v>0</v>
      </c>
      <c r="F4185" s="491">
        <v>0</v>
      </c>
      <c r="G4185" s="491">
        <f t="shared" si="65"/>
        <v>11</v>
      </c>
    </row>
    <row r="4186" spans="1:7" ht="12.75">
      <c r="A4186" s="134" t="s">
        <v>836</v>
      </c>
      <c r="B4186" s="134">
        <v>502</v>
      </c>
      <c r="C4186" s="491">
        <v>4</v>
      </c>
      <c r="D4186" s="491">
        <v>0</v>
      </c>
      <c r="E4186" s="491">
        <v>0</v>
      </c>
      <c r="F4186" s="491">
        <v>0</v>
      </c>
      <c r="G4186" s="491">
        <f t="shared" si="65"/>
        <v>4</v>
      </c>
    </row>
    <row r="4187" spans="1:7" ht="12.75">
      <c r="A4187" s="134" t="s">
        <v>836</v>
      </c>
      <c r="B4187" s="134">
        <v>503</v>
      </c>
      <c r="C4187" s="491">
        <v>1</v>
      </c>
      <c r="D4187" s="491">
        <v>1</v>
      </c>
      <c r="E4187" s="491">
        <v>0</v>
      </c>
      <c r="F4187" s="491">
        <v>0</v>
      </c>
      <c r="G4187" s="491">
        <f t="shared" si="65"/>
        <v>2</v>
      </c>
    </row>
    <row r="4188" spans="1:7" ht="12.75">
      <c r="A4188" s="134" t="s">
        <v>836</v>
      </c>
      <c r="B4188" s="134">
        <v>560</v>
      </c>
      <c r="C4188" s="491">
        <v>1</v>
      </c>
      <c r="D4188" s="491">
        <v>0</v>
      </c>
      <c r="E4188" s="491">
        <v>0</v>
      </c>
      <c r="F4188" s="491">
        <v>0</v>
      </c>
      <c r="G4188" s="491">
        <f t="shared" si="65"/>
        <v>1</v>
      </c>
    </row>
    <row r="4189" spans="1:7" ht="12.75">
      <c r="A4189" s="134" t="s">
        <v>836</v>
      </c>
      <c r="B4189" s="134">
        <v>811</v>
      </c>
      <c r="C4189" s="491">
        <v>1</v>
      </c>
      <c r="D4189" s="491">
        <v>4</v>
      </c>
      <c r="E4189" s="491">
        <v>0</v>
      </c>
      <c r="F4189" s="491">
        <v>1</v>
      </c>
      <c r="G4189" s="491">
        <f t="shared" si="65"/>
        <v>6</v>
      </c>
    </row>
    <row r="4190" spans="1:7" ht="12.75">
      <c r="A4190" s="134" t="s">
        <v>836</v>
      </c>
      <c r="B4190" s="134">
        <v>812</v>
      </c>
      <c r="C4190" s="491">
        <v>6</v>
      </c>
      <c r="D4190" s="491">
        <v>13</v>
      </c>
      <c r="E4190" s="491">
        <v>0</v>
      </c>
      <c r="F4190" s="491">
        <v>0</v>
      </c>
      <c r="G4190" s="491">
        <f t="shared" si="65"/>
        <v>19</v>
      </c>
    </row>
    <row r="4191" spans="1:7" ht="12.75">
      <c r="A4191" s="134" t="s">
        <v>837</v>
      </c>
      <c r="B4191" s="134">
        <v>560</v>
      </c>
      <c r="C4191" s="491">
        <v>1</v>
      </c>
      <c r="D4191" s="491">
        <v>0</v>
      </c>
      <c r="E4191" s="491">
        <v>0</v>
      </c>
      <c r="F4191" s="491">
        <v>0</v>
      </c>
      <c r="G4191" s="491">
        <f t="shared" si="65"/>
        <v>1</v>
      </c>
    </row>
    <row r="4192" spans="1:7" ht="12.75">
      <c r="A4192" s="134" t="s">
        <v>337</v>
      </c>
      <c r="B4192" s="134">
        <v>100</v>
      </c>
      <c r="C4192" s="491">
        <v>43</v>
      </c>
      <c r="D4192" s="491">
        <v>68</v>
      </c>
      <c r="E4192" s="491">
        <v>20</v>
      </c>
      <c r="F4192" s="491">
        <v>42</v>
      </c>
      <c r="G4192" s="491">
        <f t="shared" si="65"/>
        <v>173</v>
      </c>
    </row>
    <row r="4193" spans="1:7" ht="12.75">
      <c r="A4193" s="134" t="s">
        <v>337</v>
      </c>
      <c r="B4193" s="134">
        <v>101</v>
      </c>
      <c r="C4193" s="491">
        <v>37</v>
      </c>
      <c r="D4193" s="491">
        <v>6</v>
      </c>
      <c r="E4193" s="491">
        <v>2</v>
      </c>
      <c r="F4193" s="491">
        <v>0</v>
      </c>
      <c r="G4193" s="491">
        <f t="shared" si="65"/>
        <v>45</v>
      </c>
    </row>
    <row r="4194" spans="1:7" ht="12.75">
      <c r="A4194" s="134" t="s">
        <v>337</v>
      </c>
      <c r="B4194" s="134">
        <v>103</v>
      </c>
      <c r="C4194" s="491">
        <v>26</v>
      </c>
      <c r="D4194" s="491">
        <v>15</v>
      </c>
      <c r="E4194" s="491">
        <v>2</v>
      </c>
      <c r="F4194" s="491">
        <v>1</v>
      </c>
      <c r="G4194" s="491">
        <f t="shared" si="65"/>
        <v>44</v>
      </c>
    </row>
    <row r="4195" spans="1:7" ht="12.75">
      <c r="A4195" s="134" t="s">
        <v>337</v>
      </c>
      <c r="B4195" s="134">
        <v>104</v>
      </c>
      <c r="C4195" s="491">
        <v>21</v>
      </c>
      <c r="D4195" s="491">
        <v>9</v>
      </c>
      <c r="E4195" s="491">
        <v>1</v>
      </c>
      <c r="F4195" s="491">
        <v>0</v>
      </c>
      <c r="G4195" s="491">
        <f t="shared" si="65"/>
        <v>31</v>
      </c>
    </row>
    <row r="4196" spans="1:7" ht="12.75">
      <c r="A4196" s="134" t="s">
        <v>337</v>
      </c>
      <c r="B4196" s="134">
        <v>106</v>
      </c>
      <c r="C4196" s="491">
        <v>4</v>
      </c>
      <c r="D4196" s="491">
        <v>2</v>
      </c>
      <c r="E4196" s="491">
        <v>0</v>
      </c>
      <c r="F4196" s="491">
        <v>0</v>
      </c>
      <c r="G4196" s="491">
        <f t="shared" si="65"/>
        <v>6</v>
      </c>
    </row>
    <row r="4197" spans="1:7" ht="12.75">
      <c r="A4197" s="134" t="s">
        <v>337</v>
      </c>
      <c r="B4197" s="134">
        <v>107</v>
      </c>
      <c r="C4197" s="491">
        <v>1</v>
      </c>
      <c r="D4197" s="491">
        <v>0</v>
      </c>
      <c r="E4197" s="491">
        <v>0</v>
      </c>
      <c r="F4197" s="491">
        <v>0</v>
      </c>
      <c r="G4197" s="491">
        <f t="shared" si="65"/>
        <v>1</v>
      </c>
    </row>
    <row r="4198" spans="1:7" ht="12.75">
      <c r="A4198" s="134" t="s">
        <v>337</v>
      </c>
      <c r="B4198" s="134">
        <v>110</v>
      </c>
      <c r="C4198" s="491">
        <v>5</v>
      </c>
      <c r="D4198" s="491">
        <v>8</v>
      </c>
      <c r="E4198" s="491">
        <v>0</v>
      </c>
      <c r="F4198" s="491">
        <v>0</v>
      </c>
      <c r="G4198" s="491">
        <f t="shared" si="65"/>
        <v>13</v>
      </c>
    </row>
    <row r="4199" spans="1:7" ht="12.75">
      <c r="A4199" s="134" t="s">
        <v>337</v>
      </c>
      <c r="B4199" s="134">
        <v>120</v>
      </c>
      <c r="C4199" s="491">
        <v>43</v>
      </c>
      <c r="D4199" s="491">
        <v>122</v>
      </c>
      <c r="E4199" s="491">
        <v>16</v>
      </c>
      <c r="F4199" s="491">
        <v>9</v>
      </c>
      <c r="G4199" s="491">
        <f t="shared" si="65"/>
        <v>190</v>
      </c>
    </row>
    <row r="4200" spans="1:7" ht="12.75">
      <c r="A4200" s="134" t="s">
        <v>337</v>
      </c>
      <c r="B4200" s="134">
        <v>130</v>
      </c>
      <c r="C4200" s="491">
        <v>1</v>
      </c>
      <c r="D4200" s="491">
        <v>1</v>
      </c>
      <c r="E4200" s="491">
        <v>0</v>
      </c>
      <c r="F4200" s="491">
        <v>0</v>
      </c>
      <c r="G4200" s="491">
        <f t="shared" si="65"/>
        <v>2</v>
      </c>
    </row>
    <row r="4201" spans="1:7" ht="12.75">
      <c r="A4201" s="134" t="s">
        <v>337</v>
      </c>
      <c r="B4201" s="134">
        <v>140</v>
      </c>
      <c r="C4201" s="491">
        <v>7</v>
      </c>
      <c r="D4201" s="491">
        <v>13</v>
      </c>
      <c r="E4201" s="491">
        <v>1</v>
      </c>
      <c r="F4201" s="491">
        <v>1</v>
      </c>
      <c r="G4201" s="491">
        <f t="shared" si="65"/>
        <v>22</v>
      </c>
    </row>
    <row r="4202" spans="1:7" ht="12.75">
      <c r="A4202" s="134" t="s">
        <v>337</v>
      </c>
      <c r="B4202" s="134">
        <v>141</v>
      </c>
      <c r="C4202" s="491">
        <v>1</v>
      </c>
      <c r="D4202" s="491">
        <v>0</v>
      </c>
      <c r="E4202" s="491">
        <v>0</v>
      </c>
      <c r="F4202" s="491">
        <v>0</v>
      </c>
      <c r="G4202" s="491">
        <f t="shared" si="65"/>
        <v>1</v>
      </c>
    </row>
    <row r="4203" spans="1:7" ht="12.75">
      <c r="A4203" s="134" t="s">
        <v>337</v>
      </c>
      <c r="B4203" s="134">
        <v>144</v>
      </c>
      <c r="C4203" s="491">
        <v>4</v>
      </c>
      <c r="D4203" s="491">
        <v>2</v>
      </c>
      <c r="E4203" s="491">
        <v>0</v>
      </c>
      <c r="F4203" s="491">
        <v>1</v>
      </c>
      <c r="G4203" s="491">
        <f t="shared" si="65"/>
        <v>7</v>
      </c>
    </row>
    <row r="4204" spans="1:7" ht="12.75">
      <c r="A4204" s="134" t="s">
        <v>337</v>
      </c>
      <c r="B4204" s="134">
        <v>160</v>
      </c>
      <c r="C4204" s="491">
        <v>81</v>
      </c>
      <c r="D4204" s="491">
        <v>5</v>
      </c>
      <c r="E4204" s="491">
        <v>19</v>
      </c>
      <c r="F4204" s="491">
        <v>0</v>
      </c>
      <c r="G4204" s="491">
        <f t="shared" si="65"/>
        <v>105</v>
      </c>
    </row>
    <row r="4205" spans="1:7" ht="12.75">
      <c r="A4205" s="134" t="s">
        <v>337</v>
      </c>
      <c r="B4205" s="134">
        <v>161</v>
      </c>
      <c r="C4205" s="491">
        <v>1</v>
      </c>
      <c r="D4205" s="491">
        <v>0</v>
      </c>
      <c r="E4205" s="491">
        <v>5</v>
      </c>
      <c r="F4205" s="491">
        <v>0</v>
      </c>
      <c r="G4205" s="491">
        <f t="shared" si="65"/>
        <v>6</v>
      </c>
    </row>
    <row r="4206" spans="1:7" ht="12.75">
      <c r="A4206" s="134" t="s">
        <v>337</v>
      </c>
      <c r="B4206" s="134">
        <v>173</v>
      </c>
      <c r="C4206" s="491">
        <v>0</v>
      </c>
      <c r="D4206" s="491">
        <v>1</v>
      </c>
      <c r="E4206" s="491">
        <v>0</v>
      </c>
      <c r="F4206" s="491">
        <v>0</v>
      </c>
      <c r="G4206" s="491">
        <f t="shared" si="65"/>
        <v>1</v>
      </c>
    </row>
    <row r="4207" spans="1:7" ht="12.75">
      <c r="A4207" s="134" t="s">
        <v>337</v>
      </c>
      <c r="B4207" s="134">
        <v>180</v>
      </c>
      <c r="C4207" s="491">
        <v>0</v>
      </c>
      <c r="D4207" s="491">
        <v>2</v>
      </c>
      <c r="E4207" s="491">
        <v>0</v>
      </c>
      <c r="F4207" s="491">
        <v>0</v>
      </c>
      <c r="G4207" s="491">
        <f t="shared" si="65"/>
        <v>2</v>
      </c>
    </row>
    <row r="4208" spans="1:7" ht="12.75">
      <c r="A4208" s="134" t="s">
        <v>337</v>
      </c>
      <c r="B4208" s="134">
        <v>190</v>
      </c>
      <c r="C4208" s="491">
        <v>1</v>
      </c>
      <c r="D4208" s="491">
        <v>0</v>
      </c>
      <c r="E4208" s="491">
        <v>0</v>
      </c>
      <c r="F4208" s="491">
        <v>0</v>
      </c>
      <c r="G4208" s="491">
        <f t="shared" si="65"/>
        <v>1</v>
      </c>
    </row>
    <row r="4209" spans="1:7" ht="12.75">
      <c r="A4209" s="134" t="s">
        <v>337</v>
      </c>
      <c r="B4209" s="134">
        <v>191</v>
      </c>
      <c r="C4209" s="491">
        <v>1</v>
      </c>
      <c r="D4209" s="491">
        <v>0</v>
      </c>
      <c r="E4209" s="491">
        <v>0</v>
      </c>
      <c r="F4209" s="491">
        <v>0</v>
      </c>
      <c r="G4209" s="491">
        <f t="shared" si="65"/>
        <v>1</v>
      </c>
    </row>
    <row r="4210" spans="1:7" ht="12.75">
      <c r="A4210" s="134" t="s">
        <v>337</v>
      </c>
      <c r="B4210" s="134">
        <v>300</v>
      </c>
      <c r="C4210" s="491">
        <v>66</v>
      </c>
      <c r="D4210" s="491">
        <v>112</v>
      </c>
      <c r="E4210" s="491">
        <v>1</v>
      </c>
      <c r="F4210" s="491">
        <v>7</v>
      </c>
      <c r="G4210" s="491">
        <f t="shared" si="65"/>
        <v>186</v>
      </c>
    </row>
    <row r="4211" spans="1:7" ht="12.75">
      <c r="A4211" s="134" t="s">
        <v>337</v>
      </c>
      <c r="B4211" s="134">
        <v>301</v>
      </c>
      <c r="C4211" s="491">
        <v>125</v>
      </c>
      <c r="D4211" s="491">
        <v>90</v>
      </c>
      <c r="E4211" s="491">
        <v>0</v>
      </c>
      <c r="F4211" s="491">
        <v>0</v>
      </c>
      <c r="G4211" s="491">
        <f t="shared" si="65"/>
        <v>215</v>
      </c>
    </row>
    <row r="4212" spans="1:7" ht="12.75">
      <c r="A4212" s="134" t="s">
        <v>337</v>
      </c>
      <c r="B4212" s="134">
        <v>302</v>
      </c>
      <c r="C4212" s="491">
        <v>14</v>
      </c>
      <c r="D4212" s="491">
        <v>2</v>
      </c>
      <c r="E4212" s="491">
        <v>0</v>
      </c>
      <c r="F4212" s="491">
        <v>0</v>
      </c>
      <c r="G4212" s="491">
        <f t="shared" si="65"/>
        <v>16</v>
      </c>
    </row>
    <row r="4213" spans="1:7" ht="12.75">
      <c r="A4213" s="134" t="s">
        <v>337</v>
      </c>
      <c r="B4213" s="134">
        <v>303</v>
      </c>
      <c r="C4213" s="491">
        <v>94</v>
      </c>
      <c r="D4213" s="491">
        <v>51</v>
      </c>
      <c r="E4213" s="491">
        <v>8</v>
      </c>
      <c r="F4213" s="491">
        <v>3</v>
      </c>
      <c r="G4213" s="491">
        <f t="shared" si="65"/>
        <v>156</v>
      </c>
    </row>
    <row r="4214" spans="1:7" ht="12.75">
      <c r="A4214" s="134" t="s">
        <v>337</v>
      </c>
      <c r="B4214" s="134">
        <v>305</v>
      </c>
      <c r="C4214" s="491">
        <v>2</v>
      </c>
      <c r="D4214" s="491">
        <v>0</v>
      </c>
      <c r="E4214" s="491">
        <v>0</v>
      </c>
      <c r="F4214" s="491">
        <v>0</v>
      </c>
      <c r="G4214" s="491">
        <f t="shared" si="65"/>
        <v>2</v>
      </c>
    </row>
    <row r="4215" spans="1:7" ht="12.75">
      <c r="A4215" s="134" t="s">
        <v>337</v>
      </c>
      <c r="B4215" s="134">
        <v>306</v>
      </c>
      <c r="C4215" s="491">
        <v>2</v>
      </c>
      <c r="D4215" s="491">
        <v>2</v>
      </c>
      <c r="E4215" s="491">
        <v>0</v>
      </c>
      <c r="F4215" s="491">
        <v>0</v>
      </c>
      <c r="G4215" s="491">
        <f t="shared" si="65"/>
        <v>4</v>
      </c>
    </row>
    <row r="4216" spans="1:7" ht="12.75">
      <c r="A4216" s="134" t="s">
        <v>337</v>
      </c>
      <c r="B4216" s="134">
        <v>307</v>
      </c>
      <c r="C4216" s="491">
        <v>1</v>
      </c>
      <c r="D4216" s="491">
        <v>1</v>
      </c>
      <c r="E4216" s="491">
        <v>0</v>
      </c>
      <c r="F4216" s="491">
        <v>0</v>
      </c>
      <c r="G4216" s="491">
        <f t="shared" si="65"/>
        <v>2</v>
      </c>
    </row>
    <row r="4217" spans="1:7" ht="12.75">
      <c r="A4217" s="134" t="s">
        <v>337</v>
      </c>
      <c r="B4217" s="134">
        <v>313</v>
      </c>
      <c r="C4217" s="491">
        <v>3</v>
      </c>
      <c r="D4217" s="491">
        <v>0</v>
      </c>
      <c r="E4217" s="491">
        <v>0</v>
      </c>
      <c r="F4217" s="491">
        <v>0</v>
      </c>
      <c r="G4217" s="491">
        <f t="shared" si="65"/>
        <v>3</v>
      </c>
    </row>
    <row r="4218" spans="1:7" ht="12.75">
      <c r="A4218" s="134" t="s">
        <v>337</v>
      </c>
      <c r="B4218" s="134">
        <v>315</v>
      </c>
      <c r="C4218" s="491">
        <v>4</v>
      </c>
      <c r="D4218" s="491">
        <v>5</v>
      </c>
      <c r="E4218" s="491">
        <v>0</v>
      </c>
      <c r="F4218" s="491">
        <v>0</v>
      </c>
      <c r="G4218" s="491">
        <f t="shared" si="65"/>
        <v>9</v>
      </c>
    </row>
    <row r="4219" spans="1:7" ht="12.75">
      <c r="A4219" s="134" t="s">
        <v>337</v>
      </c>
      <c r="B4219" s="134">
        <v>320</v>
      </c>
      <c r="C4219" s="491">
        <v>1</v>
      </c>
      <c r="D4219" s="491">
        <v>2</v>
      </c>
      <c r="E4219" s="491">
        <v>0</v>
      </c>
      <c r="F4219" s="491">
        <v>0</v>
      </c>
      <c r="G4219" s="491">
        <f t="shared" si="65"/>
        <v>3</v>
      </c>
    </row>
    <row r="4220" spans="1:7" ht="12.75">
      <c r="A4220" s="134" t="s">
        <v>337</v>
      </c>
      <c r="B4220" s="134">
        <v>324</v>
      </c>
      <c r="C4220" s="491">
        <v>3</v>
      </c>
      <c r="D4220" s="491">
        <v>0</v>
      </c>
      <c r="E4220" s="491">
        <v>0</v>
      </c>
      <c r="F4220" s="491">
        <v>0</v>
      </c>
      <c r="G4220" s="491">
        <f t="shared" si="65"/>
        <v>3</v>
      </c>
    </row>
    <row r="4221" spans="1:7" ht="12.75">
      <c r="A4221" s="134" t="s">
        <v>337</v>
      </c>
      <c r="B4221" s="134">
        <v>330</v>
      </c>
      <c r="C4221" s="491">
        <v>12</v>
      </c>
      <c r="D4221" s="491">
        <v>3</v>
      </c>
      <c r="E4221" s="491">
        <v>0</v>
      </c>
      <c r="F4221" s="491">
        <v>0</v>
      </c>
      <c r="G4221" s="491">
        <f t="shared" si="65"/>
        <v>15</v>
      </c>
    </row>
    <row r="4222" spans="1:7" ht="12.75">
      <c r="A4222" s="134" t="s">
        <v>337</v>
      </c>
      <c r="B4222" s="134">
        <v>340</v>
      </c>
      <c r="C4222" s="491">
        <v>44</v>
      </c>
      <c r="D4222" s="491">
        <v>59</v>
      </c>
      <c r="E4222" s="491">
        <v>0</v>
      </c>
      <c r="F4222" s="491">
        <v>5</v>
      </c>
      <c r="G4222" s="491">
        <f t="shared" si="65"/>
        <v>108</v>
      </c>
    </row>
    <row r="4223" spans="1:7" ht="12.75">
      <c r="A4223" s="134" t="s">
        <v>337</v>
      </c>
      <c r="B4223" s="134">
        <v>350</v>
      </c>
      <c r="C4223" s="491">
        <v>7</v>
      </c>
      <c r="D4223" s="491">
        <v>7</v>
      </c>
      <c r="E4223" s="491">
        <v>1</v>
      </c>
      <c r="F4223" s="491">
        <v>0</v>
      </c>
      <c r="G4223" s="491">
        <f t="shared" si="65"/>
        <v>15</v>
      </c>
    </row>
    <row r="4224" spans="1:7" ht="12.75">
      <c r="A4224" s="134" t="s">
        <v>337</v>
      </c>
      <c r="B4224" s="134">
        <v>361</v>
      </c>
      <c r="C4224" s="491">
        <v>16</v>
      </c>
      <c r="D4224" s="491">
        <v>1</v>
      </c>
      <c r="E4224" s="491">
        <v>0</v>
      </c>
      <c r="F4224" s="491">
        <v>0</v>
      </c>
      <c r="G4224" s="491">
        <f t="shared" si="65"/>
        <v>17</v>
      </c>
    </row>
    <row r="4225" spans="1:7" ht="12.75">
      <c r="A4225" s="134" t="s">
        <v>337</v>
      </c>
      <c r="B4225" s="134">
        <v>370</v>
      </c>
      <c r="C4225" s="491">
        <v>133</v>
      </c>
      <c r="D4225" s="491">
        <v>5</v>
      </c>
      <c r="E4225" s="491">
        <v>0</v>
      </c>
      <c r="F4225" s="491">
        <v>2</v>
      </c>
      <c r="G4225" s="491">
        <f t="shared" si="65"/>
        <v>140</v>
      </c>
    </row>
    <row r="4226" spans="1:7" ht="12.75">
      <c r="A4226" s="134" t="s">
        <v>337</v>
      </c>
      <c r="B4226" s="134">
        <v>400</v>
      </c>
      <c r="C4226" s="491">
        <v>0</v>
      </c>
      <c r="D4226" s="491">
        <v>2</v>
      </c>
      <c r="E4226" s="491">
        <v>0</v>
      </c>
      <c r="F4226" s="491">
        <v>0</v>
      </c>
      <c r="G4226" s="491">
        <f t="shared" si="65"/>
        <v>2</v>
      </c>
    </row>
    <row r="4227" spans="1:7" ht="12.75">
      <c r="A4227" s="134" t="s">
        <v>337</v>
      </c>
      <c r="B4227" s="134">
        <v>410</v>
      </c>
      <c r="C4227" s="491">
        <v>3</v>
      </c>
      <c r="D4227" s="491">
        <v>3</v>
      </c>
      <c r="E4227" s="491">
        <v>0</v>
      </c>
      <c r="F4227" s="491">
        <v>0</v>
      </c>
      <c r="G4227" s="491">
        <f t="shared" si="65"/>
        <v>6</v>
      </c>
    </row>
    <row r="4228" spans="1:7" ht="12.75">
      <c r="A4228" s="134" t="s">
        <v>337</v>
      </c>
      <c r="B4228" s="134">
        <v>430</v>
      </c>
      <c r="C4228" s="491">
        <v>2</v>
      </c>
      <c r="D4228" s="491">
        <v>0</v>
      </c>
      <c r="E4228" s="491">
        <v>0</v>
      </c>
      <c r="F4228" s="491">
        <v>0</v>
      </c>
      <c r="G4228" s="491">
        <f t="shared" ref="G4228:G4291" si="66">SUM(C4228:F4228)</f>
        <v>2</v>
      </c>
    </row>
    <row r="4229" spans="1:7" ht="12.75">
      <c r="A4229" s="134" t="s">
        <v>337</v>
      </c>
      <c r="B4229" s="134">
        <v>450</v>
      </c>
      <c r="C4229" s="491">
        <v>1</v>
      </c>
      <c r="D4229" s="491">
        <v>0</v>
      </c>
      <c r="E4229" s="491">
        <v>0</v>
      </c>
      <c r="F4229" s="491">
        <v>0</v>
      </c>
      <c r="G4229" s="491">
        <f t="shared" si="66"/>
        <v>1</v>
      </c>
    </row>
    <row r="4230" spans="1:7" ht="12.75">
      <c r="A4230" s="134" t="s">
        <v>337</v>
      </c>
      <c r="B4230" s="134">
        <v>501</v>
      </c>
      <c r="C4230" s="491">
        <v>2</v>
      </c>
      <c r="D4230" s="491">
        <v>0</v>
      </c>
      <c r="E4230" s="491">
        <v>0</v>
      </c>
      <c r="F4230" s="491">
        <v>0</v>
      </c>
      <c r="G4230" s="491">
        <f t="shared" si="66"/>
        <v>2</v>
      </c>
    </row>
    <row r="4231" spans="1:7" ht="12.75">
      <c r="A4231" s="134" t="s">
        <v>337</v>
      </c>
      <c r="B4231" s="134">
        <v>502</v>
      </c>
      <c r="C4231" s="491">
        <v>41</v>
      </c>
      <c r="D4231" s="491">
        <v>50</v>
      </c>
      <c r="E4231" s="491">
        <v>5</v>
      </c>
      <c r="F4231" s="491">
        <v>4</v>
      </c>
      <c r="G4231" s="491">
        <f t="shared" si="66"/>
        <v>100</v>
      </c>
    </row>
    <row r="4232" spans="1:7" ht="12.75">
      <c r="A4232" s="134" t="s">
        <v>337</v>
      </c>
      <c r="B4232" s="134">
        <v>503</v>
      </c>
      <c r="C4232" s="491">
        <v>31</v>
      </c>
      <c r="D4232" s="491">
        <v>17</v>
      </c>
      <c r="E4232" s="491">
        <v>0</v>
      </c>
      <c r="F4232" s="491">
        <v>1</v>
      </c>
      <c r="G4232" s="491">
        <f t="shared" si="66"/>
        <v>49</v>
      </c>
    </row>
    <row r="4233" spans="1:7" ht="12.75">
      <c r="A4233" s="134" t="s">
        <v>337</v>
      </c>
      <c r="B4233" s="134">
        <v>800</v>
      </c>
      <c r="C4233" s="491">
        <v>52</v>
      </c>
      <c r="D4233" s="491">
        <v>15</v>
      </c>
      <c r="E4233" s="491">
        <v>11</v>
      </c>
      <c r="F4233" s="491">
        <v>9</v>
      </c>
      <c r="G4233" s="491">
        <f t="shared" si="66"/>
        <v>87</v>
      </c>
    </row>
    <row r="4234" spans="1:7" ht="12.75">
      <c r="A4234" s="134" t="s">
        <v>337</v>
      </c>
      <c r="B4234" s="134">
        <v>811</v>
      </c>
      <c r="C4234" s="491">
        <v>2</v>
      </c>
      <c r="D4234" s="491">
        <v>10</v>
      </c>
      <c r="E4234" s="491">
        <v>0</v>
      </c>
      <c r="F4234" s="491">
        <v>2</v>
      </c>
      <c r="G4234" s="491">
        <f t="shared" si="66"/>
        <v>14</v>
      </c>
    </row>
    <row r="4235" spans="1:7" ht="12.75">
      <c r="A4235" s="134" t="s">
        <v>337</v>
      </c>
      <c r="B4235" s="134">
        <v>812</v>
      </c>
      <c r="C4235" s="491">
        <v>800</v>
      </c>
      <c r="D4235" s="491">
        <v>339</v>
      </c>
      <c r="E4235" s="491">
        <v>0</v>
      </c>
      <c r="F4235" s="491">
        <v>3</v>
      </c>
      <c r="G4235" s="491">
        <f t="shared" si="66"/>
        <v>1142</v>
      </c>
    </row>
    <row r="4236" spans="1:7" ht="12.75">
      <c r="A4236" s="134" t="s">
        <v>361</v>
      </c>
      <c r="B4236" s="134">
        <v>100</v>
      </c>
      <c r="C4236" s="491">
        <v>0</v>
      </c>
      <c r="D4236" s="491">
        <v>1</v>
      </c>
      <c r="E4236" s="491">
        <v>0</v>
      </c>
      <c r="F4236" s="491">
        <v>1</v>
      </c>
      <c r="G4236" s="491">
        <f t="shared" si="66"/>
        <v>2</v>
      </c>
    </row>
    <row r="4237" spans="1:7" ht="12.75">
      <c r="A4237" s="134" t="s">
        <v>361</v>
      </c>
      <c r="B4237" s="134">
        <v>103</v>
      </c>
      <c r="C4237" s="491">
        <v>0</v>
      </c>
      <c r="D4237" s="491">
        <v>1</v>
      </c>
      <c r="E4237" s="491">
        <v>0</v>
      </c>
      <c r="F4237" s="491">
        <v>0</v>
      </c>
      <c r="G4237" s="491">
        <f t="shared" si="66"/>
        <v>1</v>
      </c>
    </row>
    <row r="4238" spans="1:7" ht="12.75">
      <c r="A4238" s="134" t="s">
        <v>361</v>
      </c>
      <c r="B4238" s="134">
        <v>120</v>
      </c>
      <c r="C4238" s="491">
        <v>3</v>
      </c>
      <c r="D4238" s="491">
        <v>3</v>
      </c>
      <c r="E4238" s="491">
        <v>0</v>
      </c>
      <c r="F4238" s="491">
        <v>1</v>
      </c>
      <c r="G4238" s="491">
        <f t="shared" si="66"/>
        <v>7</v>
      </c>
    </row>
    <row r="4239" spans="1:7" ht="12.75">
      <c r="A4239" s="134" t="s">
        <v>361</v>
      </c>
      <c r="B4239" s="134">
        <v>140</v>
      </c>
      <c r="C4239" s="491">
        <v>0</v>
      </c>
      <c r="D4239" s="491">
        <v>1</v>
      </c>
      <c r="E4239" s="491">
        <v>0</v>
      </c>
      <c r="F4239" s="491">
        <v>0</v>
      </c>
      <c r="G4239" s="491">
        <f t="shared" si="66"/>
        <v>1</v>
      </c>
    </row>
    <row r="4240" spans="1:7" ht="12.75">
      <c r="A4240" s="134" t="s">
        <v>361</v>
      </c>
      <c r="B4240" s="134">
        <v>171</v>
      </c>
      <c r="C4240" s="491">
        <v>1</v>
      </c>
      <c r="D4240" s="491">
        <v>0</v>
      </c>
      <c r="E4240" s="491">
        <v>0</v>
      </c>
      <c r="F4240" s="491">
        <v>0</v>
      </c>
      <c r="G4240" s="491">
        <f t="shared" si="66"/>
        <v>1</v>
      </c>
    </row>
    <row r="4241" spans="1:7" ht="12.75">
      <c r="A4241" s="134" t="s">
        <v>361</v>
      </c>
      <c r="B4241" s="134">
        <v>173</v>
      </c>
      <c r="C4241" s="491">
        <v>0</v>
      </c>
      <c r="D4241" s="491">
        <v>1</v>
      </c>
      <c r="E4241" s="491">
        <v>0</v>
      </c>
      <c r="F4241" s="491">
        <v>0</v>
      </c>
      <c r="G4241" s="491">
        <f t="shared" si="66"/>
        <v>1</v>
      </c>
    </row>
    <row r="4242" spans="1:7" ht="12.75">
      <c r="A4242" s="134" t="s">
        <v>361</v>
      </c>
      <c r="B4242" s="134">
        <v>253</v>
      </c>
      <c r="C4242" s="491">
        <v>1</v>
      </c>
      <c r="D4242" s="491">
        <v>0</v>
      </c>
      <c r="E4242" s="491">
        <v>0</v>
      </c>
      <c r="F4242" s="491">
        <v>0</v>
      </c>
      <c r="G4242" s="491">
        <f t="shared" si="66"/>
        <v>1</v>
      </c>
    </row>
    <row r="4243" spans="1:7" ht="12.75">
      <c r="A4243" s="134" t="s">
        <v>361</v>
      </c>
      <c r="B4243" s="134">
        <v>257</v>
      </c>
      <c r="C4243" s="491">
        <v>1</v>
      </c>
      <c r="D4243" s="491">
        <v>0</v>
      </c>
      <c r="E4243" s="491">
        <v>0</v>
      </c>
      <c r="F4243" s="491">
        <v>0</v>
      </c>
      <c r="G4243" s="491">
        <f t="shared" si="66"/>
        <v>1</v>
      </c>
    </row>
    <row r="4244" spans="1:7" ht="12.75">
      <c r="A4244" s="134" t="s">
        <v>361</v>
      </c>
      <c r="B4244" s="134">
        <v>303</v>
      </c>
      <c r="C4244" s="491">
        <v>1</v>
      </c>
      <c r="D4244" s="491">
        <v>0</v>
      </c>
      <c r="E4244" s="491">
        <v>0</v>
      </c>
      <c r="F4244" s="491">
        <v>0</v>
      </c>
      <c r="G4244" s="491">
        <f t="shared" si="66"/>
        <v>1</v>
      </c>
    </row>
    <row r="4245" spans="1:7" ht="12.75">
      <c r="A4245" s="134" t="s">
        <v>361</v>
      </c>
      <c r="B4245" s="134">
        <v>330</v>
      </c>
      <c r="C4245" s="491">
        <v>0</v>
      </c>
      <c r="D4245" s="491">
        <v>1</v>
      </c>
      <c r="E4245" s="491">
        <v>0</v>
      </c>
      <c r="F4245" s="491">
        <v>0</v>
      </c>
      <c r="G4245" s="491">
        <f t="shared" si="66"/>
        <v>1</v>
      </c>
    </row>
    <row r="4246" spans="1:7" ht="12.75">
      <c r="A4246" s="134" t="s">
        <v>361</v>
      </c>
      <c r="B4246" s="134">
        <v>350</v>
      </c>
      <c r="C4246" s="491">
        <v>0</v>
      </c>
      <c r="D4246" s="491">
        <v>0</v>
      </c>
      <c r="E4246" s="491">
        <v>0</v>
      </c>
      <c r="F4246" s="491">
        <v>1</v>
      </c>
      <c r="G4246" s="491">
        <f t="shared" si="66"/>
        <v>1</v>
      </c>
    </row>
    <row r="4247" spans="1:7" ht="12.75">
      <c r="A4247" s="134" t="s">
        <v>361</v>
      </c>
      <c r="B4247" s="134">
        <v>800</v>
      </c>
      <c r="C4247" s="491">
        <v>0</v>
      </c>
      <c r="D4247" s="491">
        <v>0</v>
      </c>
      <c r="E4247" s="491">
        <v>1</v>
      </c>
      <c r="F4247" s="491">
        <v>0</v>
      </c>
      <c r="G4247" s="491">
        <f t="shared" si="66"/>
        <v>1</v>
      </c>
    </row>
    <row r="4248" spans="1:7" ht="12.75">
      <c r="A4248" s="134" t="s">
        <v>361</v>
      </c>
      <c r="B4248" s="134">
        <v>812</v>
      </c>
      <c r="C4248" s="491">
        <v>22</v>
      </c>
      <c r="D4248" s="491">
        <v>1</v>
      </c>
      <c r="E4248" s="491">
        <v>0</v>
      </c>
      <c r="F4248" s="491">
        <v>0</v>
      </c>
      <c r="G4248" s="491">
        <f t="shared" si="66"/>
        <v>23</v>
      </c>
    </row>
    <row r="4249" spans="1:7" ht="12.75">
      <c r="A4249" s="134" t="s">
        <v>309</v>
      </c>
      <c r="B4249" s="134">
        <v>253</v>
      </c>
      <c r="C4249" s="491">
        <v>0</v>
      </c>
      <c r="D4249" s="491">
        <v>1</v>
      </c>
      <c r="E4249" s="491">
        <v>0</v>
      </c>
      <c r="F4249" s="491">
        <v>0</v>
      </c>
      <c r="G4249" s="491">
        <f t="shared" si="66"/>
        <v>1</v>
      </c>
    </row>
    <row r="4250" spans="1:7" ht="12.75">
      <c r="A4250" s="134" t="s">
        <v>309</v>
      </c>
      <c r="B4250" s="134">
        <v>340</v>
      </c>
      <c r="C4250" s="491">
        <v>0</v>
      </c>
      <c r="D4250" s="491">
        <v>1</v>
      </c>
      <c r="E4250" s="491">
        <v>0</v>
      </c>
      <c r="F4250" s="491">
        <v>0</v>
      </c>
      <c r="G4250" s="491">
        <f t="shared" si="66"/>
        <v>1</v>
      </c>
    </row>
    <row r="4251" spans="1:7" ht="12.75">
      <c r="A4251" s="134" t="s">
        <v>838</v>
      </c>
      <c r="B4251" s="134">
        <v>110</v>
      </c>
      <c r="C4251" s="491">
        <v>0</v>
      </c>
      <c r="D4251" s="491">
        <v>2</v>
      </c>
      <c r="E4251" s="491">
        <v>0</v>
      </c>
      <c r="F4251" s="491">
        <v>0</v>
      </c>
      <c r="G4251" s="491">
        <f t="shared" si="66"/>
        <v>2</v>
      </c>
    </row>
    <row r="4252" spans="1:7" ht="12.75">
      <c r="A4252" s="134" t="s">
        <v>838</v>
      </c>
      <c r="B4252" s="134">
        <v>120</v>
      </c>
      <c r="C4252" s="491">
        <v>2</v>
      </c>
      <c r="D4252" s="491">
        <v>1</v>
      </c>
      <c r="E4252" s="491">
        <v>0</v>
      </c>
      <c r="F4252" s="491">
        <v>0</v>
      </c>
      <c r="G4252" s="491">
        <f t="shared" si="66"/>
        <v>3</v>
      </c>
    </row>
    <row r="4253" spans="1:7" ht="12.75">
      <c r="A4253" s="134" t="s">
        <v>838</v>
      </c>
      <c r="B4253" s="134">
        <v>160</v>
      </c>
      <c r="C4253" s="491">
        <v>2</v>
      </c>
      <c r="D4253" s="491">
        <v>0</v>
      </c>
      <c r="E4253" s="491">
        <v>0</v>
      </c>
      <c r="F4253" s="491">
        <v>0</v>
      </c>
      <c r="G4253" s="491">
        <f t="shared" si="66"/>
        <v>2</v>
      </c>
    </row>
    <row r="4254" spans="1:7" ht="12.75">
      <c r="A4254" s="134" t="s">
        <v>838</v>
      </c>
      <c r="B4254" s="134">
        <v>301</v>
      </c>
      <c r="C4254" s="491">
        <v>0</v>
      </c>
      <c r="D4254" s="491">
        <v>1</v>
      </c>
      <c r="E4254" s="491">
        <v>0</v>
      </c>
      <c r="F4254" s="491">
        <v>0</v>
      </c>
      <c r="G4254" s="491">
        <f t="shared" si="66"/>
        <v>1</v>
      </c>
    </row>
    <row r="4255" spans="1:7" ht="12.75">
      <c r="A4255" s="134" t="s">
        <v>838</v>
      </c>
      <c r="B4255" s="134">
        <v>302</v>
      </c>
      <c r="C4255" s="491">
        <v>0</v>
      </c>
      <c r="D4255" s="491">
        <v>1</v>
      </c>
      <c r="E4255" s="491">
        <v>0</v>
      </c>
      <c r="F4255" s="491">
        <v>0</v>
      </c>
      <c r="G4255" s="491">
        <f t="shared" si="66"/>
        <v>1</v>
      </c>
    </row>
    <row r="4256" spans="1:7" ht="12.75">
      <c r="A4256" s="134" t="s">
        <v>838</v>
      </c>
      <c r="B4256" s="134">
        <v>317</v>
      </c>
      <c r="C4256" s="491">
        <v>0</v>
      </c>
      <c r="D4256" s="491">
        <v>2</v>
      </c>
      <c r="E4256" s="491">
        <v>0</v>
      </c>
      <c r="F4256" s="491">
        <v>0</v>
      </c>
      <c r="G4256" s="491">
        <f t="shared" si="66"/>
        <v>2</v>
      </c>
    </row>
    <row r="4257" spans="1:7" ht="12.75">
      <c r="A4257" s="134" t="s">
        <v>838</v>
      </c>
      <c r="B4257" s="134">
        <v>320</v>
      </c>
      <c r="C4257" s="491">
        <v>0</v>
      </c>
      <c r="D4257" s="491">
        <v>1</v>
      </c>
      <c r="E4257" s="491">
        <v>0</v>
      </c>
      <c r="F4257" s="491">
        <v>0</v>
      </c>
      <c r="G4257" s="491">
        <f t="shared" si="66"/>
        <v>1</v>
      </c>
    </row>
    <row r="4258" spans="1:7" ht="12.75">
      <c r="A4258" s="134" t="s">
        <v>838</v>
      </c>
      <c r="B4258" s="134">
        <v>330</v>
      </c>
      <c r="C4258" s="491">
        <v>0</v>
      </c>
      <c r="D4258" s="491">
        <v>2</v>
      </c>
      <c r="E4258" s="491">
        <v>0</v>
      </c>
      <c r="F4258" s="491">
        <v>0</v>
      </c>
      <c r="G4258" s="491">
        <f t="shared" si="66"/>
        <v>2</v>
      </c>
    </row>
    <row r="4259" spans="1:7" ht="12.75">
      <c r="A4259" s="134" t="s">
        <v>838</v>
      </c>
      <c r="B4259" s="134">
        <v>400</v>
      </c>
      <c r="C4259" s="491">
        <v>0</v>
      </c>
      <c r="D4259" s="491">
        <v>1</v>
      </c>
      <c r="E4259" s="491">
        <v>0</v>
      </c>
      <c r="F4259" s="491">
        <v>0</v>
      </c>
      <c r="G4259" s="491">
        <f t="shared" si="66"/>
        <v>1</v>
      </c>
    </row>
    <row r="4260" spans="1:7" ht="12.75">
      <c r="A4260" s="134" t="s">
        <v>838</v>
      </c>
      <c r="B4260" s="134">
        <v>410</v>
      </c>
      <c r="C4260" s="491">
        <v>0</v>
      </c>
      <c r="D4260" s="491">
        <v>1</v>
      </c>
      <c r="E4260" s="491">
        <v>0</v>
      </c>
      <c r="F4260" s="491">
        <v>0</v>
      </c>
      <c r="G4260" s="491">
        <f t="shared" si="66"/>
        <v>1</v>
      </c>
    </row>
    <row r="4261" spans="1:7" ht="12.75">
      <c r="A4261" s="134" t="s">
        <v>838</v>
      </c>
      <c r="B4261" s="134">
        <v>502</v>
      </c>
      <c r="C4261" s="491">
        <v>1</v>
      </c>
      <c r="D4261" s="491">
        <v>0</v>
      </c>
      <c r="E4261" s="491">
        <v>0</v>
      </c>
      <c r="F4261" s="491">
        <v>0</v>
      </c>
      <c r="G4261" s="491">
        <f t="shared" si="66"/>
        <v>1</v>
      </c>
    </row>
    <row r="4262" spans="1:7" ht="12.75">
      <c r="A4262" s="134" t="s">
        <v>838</v>
      </c>
      <c r="B4262" s="134">
        <v>650</v>
      </c>
      <c r="C4262" s="491">
        <v>0</v>
      </c>
      <c r="D4262" s="491">
        <v>1</v>
      </c>
      <c r="E4262" s="491">
        <v>0</v>
      </c>
      <c r="F4262" s="491">
        <v>0</v>
      </c>
      <c r="G4262" s="491">
        <f t="shared" si="66"/>
        <v>1</v>
      </c>
    </row>
    <row r="4263" spans="1:7" ht="12.75">
      <c r="A4263" s="134" t="s">
        <v>838</v>
      </c>
      <c r="B4263" s="134">
        <v>812</v>
      </c>
      <c r="C4263" s="491">
        <v>1</v>
      </c>
      <c r="D4263" s="491">
        <v>1</v>
      </c>
      <c r="E4263" s="491">
        <v>0</v>
      </c>
      <c r="F4263" s="491">
        <v>0</v>
      </c>
      <c r="G4263" s="491">
        <f t="shared" si="66"/>
        <v>2</v>
      </c>
    </row>
    <row r="4264" spans="1:7" ht="12.75">
      <c r="A4264" s="134" t="s">
        <v>322</v>
      </c>
      <c r="B4264" s="134">
        <v>420</v>
      </c>
      <c r="C4264" s="491">
        <v>0</v>
      </c>
      <c r="D4264" s="491">
        <v>1</v>
      </c>
      <c r="E4264" s="491">
        <v>0</v>
      </c>
      <c r="F4264" s="491">
        <v>0</v>
      </c>
      <c r="G4264" s="491">
        <f t="shared" si="66"/>
        <v>1</v>
      </c>
    </row>
    <row r="4265" spans="1:7" ht="12.75">
      <c r="A4265" s="134" t="s">
        <v>839</v>
      </c>
      <c r="B4265" s="134">
        <v>100</v>
      </c>
      <c r="C4265" s="491">
        <v>4</v>
      </c>
      <c r="D4265" s="491">
        <v>1</v>
      </c>
      <c r="E4265" s="491">
        <v>0</v>
      </c>
      <c r="F4265" s="491">
        <v>0</v>
      </c>
      <c r="G4265" s="491">
        <f t="shared" si="66"/>
        <v>5</v>
      </c>
    </row>
    <row r="4266" spans="1:7" ht="12.75">
      <c r="A4266" s="134" t="s">
        <v>839</v>
      </c>
      <c r="B4266" s="134">
        <v>103</v>
      </c>
      <c r="C4266" s="491">
        <v>0</v>
      </c>
      <c r="D4266" s="491">
        <v>1</v>
      </c>
      <c r="E4266" s="491">
        <v>0</v>
      </c>
      <c r="F4266" s="491">
        <v>0</v>
      </c>
      <c r="G4266" s="491">
        <f t="shared" si="66"/>
        <v>1</v>
      </c>
    </row>
    <row r="4267" spans="1:7" ht="12.75">
      <c r="A4267" s="134" t="s">
        <v>839</v>
      </c>
      <c r="B4267" s="134">
        <v>120</v>
      </c>
      <c r="C4267" s="491">
        <v>0</v>
      </c>
      <c r="D4267" s="491">
        <v>2</v>
      </c>
      <c r="E4267" s="491">
        <v>0</v>
      </c>
      <c r="F4267" s="491">
        <v>0</v>
      </c>
      <c r="G4267" s="491">
        <f t="shared" si="66"/>
        <v>2</v>
      </c>
    </row>
    <row r="4268" spans="1:7" ht="12.75">
      <c r="A4268" s="134" t="s">
        <v>839</v>
      </c>
      <c r="B4268" s="134">
        <v>160</v>
      </c>
      <c r="C4268" s="491">
        <v>3</v>
      </c>
      <c r="D4268" s="491">
        <v>6</v>
      </c>
      <c r="E4268" s="491">
        <v>1</v>
      </c>
      <c r="F4268" s="491">
        <v>0</v>
      </c>
      <c r="G4268" s="491">
        <f t="shared" si="66"/>
        <v>10</v>
      </c>
    </row>
    <row r="4269" spans="1:7" ht="12.75">
      <c r="A4269" s="134" t="s">
        <v>839</v>
      </c>
      <c r="B4269" s="134">
        <v>173</v>
      </c>
      <c r="C4269" s="491">
        <v>1</v>
      </c>
      <c r="D4269" s="491">
        <v>1</v>
      </c>
      <c r="E4269" s="491">
        <v>0</v>
      </c>
      <c r="F4269" s="491">
        <v>0</v>
      </c>
      <c r="G4269" s="491">
        <f t="shared" si="66"/>
        <v>2</v>
      </c>
    </row>
    <row r="4270" spans="1:7" ht="12.75">
      <c r="A4270" s="134" t="s">
        <v>839</v>
      </c>
      <c r="B4270" s="134">
        <v>501</v>
      </c>
      <c r="C4270" s="491">
        <v>1</v>
      </c>
      <c r="D4270" s="491">
        <v>0</v>
      </c>
      <c r="E4270" s="491">
        <v>0</v>
      </c>
      <c r="F4270" s="491">
        <v>0</v>
      </c>
      <c r="G4270" s="491">
        <f t="shared" si="66"/>
        <v>1</v>
      </c>
    </row>
    <row r="4271" spans="1:7" ht="12.75">
      <c r="A4271" s="134" t="s">
        <v>377</v>
      </c>
      <c r="B4271" s="134">
        <v>171</v>
      </c>
      <c r="C4271" s="491">
        <v>1</v>
      </c>
      <c r="D4271" s="491">
        <v>0</v>
      </c>
      <c r="E4271" s="491">
        <v>0</v>
      </c>
      <c r="F4271" s="491">
        <v>0</v>
      </c>
      <c r="G4271" s="491">
        <f t="shared" si="66"/>
        <v>1</v>
      </c>
    </row>
    <row r="4272" spans="1:7" ht="12.75">
      <c r="A4272" s="134" t="s">
        <v>840</v>
      </c>
      <c r="B4272" s="134">
        <v>100</v>
      </c>
      <c r="C4272" s="491">
        <v>0</v>
      </c>
      <c r="D4272" s="491">
        <v>2</v>
      </c>
      <c r="E4272" s="491">
        <v>0</v>
      </c>
      <c r="F4272" s="491">
        <v>0</v>
      </c>
      <c r="G4272" s="491">
        <f t="shared" si="66"/>
        <v>2</v>
      </c>
    </row>
    <row r="4273" spans="1:7" ht="12.75">
      <c r="A4273" s="134" t="s">
        <v>840</v>
      </c>
      <c r="B4273" s="134">
        <v>104</v>
      </c>
      <c r="C4273" s="491">
        <v>0</v>
      </c>
      <c r="D4273" s="491">
        <v>1</v>
      </c>
      <c r="E4273" s="491">
        <v>0</v>
      </c>
      <c r="F4273" s="491">
        <v>0</v>
      </c>
      <c r="G4273" s="491">
        <f t="shared" si="66"/>
        <v>1</v>
      </c>
    </row>
    <row r="4274" spans="1:7" ht="12.75">
      <c r="A4274" s="134" t="s">
        <v>840</v>
      </c>
      <c r="B4274" s="134">
        <v>130</v>
      </c>
      <c r="C4274" s="491">
        <v>0</v>
      </c>
      <c r="D4274" s="491">
        <v>2</v>
      </c>
      <c r="E4274" s="491">
        <v>0</v>
      </c>
      <c r="F4274" s="491">
        <v>0</v>
      </c>
      <c r="G4274" s="491">
        <f t="shared" si="66"/>
        <v>2</v>
      </c>
    </row>
    <row r="4275" spans="1:7" ht="12.75">
      <c r="A4275" s="134" t="s">
        <v>840</v>
      </c>
      <c r="B4275" s="134">
        <v>303</v>
      </c>
      <c r="C4275" s="491">
        <v>1</v>
      </c>
      <c r="D4275" s="491">
        <v>0</v>
      </c>
      <c r="E4275" s="491">
        <v>0</v>
      </c>
      <c r="F4275" s="491">
        <v>0</v>
      </c>
      <c r="G4275" s="491">
        <f t="shared" si="66"/>
        <v>1</v>
      </c>
    </row>
    <row r="4276" spans="1:7" ht="12.75">
      <c r="A4276" s="134" t="s">
        <v>840</v>
      </c>
      <c r="B4276" s="134">
        <v>501</v>
      </c>
      <c r="C4276" s="491">
        <v>15</v>
      </c>
      <c r="D4276" s="491">
        <v>0</v>
      </c>
      <c r="E4276" s="491">
        <v>0</v>
      </c>
      <c r="F4276" s="491">
        <v>0</v>
      </c>
      <c r="G4276" s="491">
        <f t="shared" si="66"/>
        <v>15</v>
      </c>
    </row>
    <row r="4277" spans="1:7" ht="12.75">
      <c r="A4277" s="134" t="s">
        <v>841</v>
      </c>
      <c r="B4277" s="134">
        <v>100</v>
      </c>
      <c r="C4277" s="491">
        <v>108</v>
      </c>
      <c r="D4277" s="491">
        <v>76</v>
      </c>
      <c r="E4277" s="491">
        <v>0</v>
      </c>
      <c r="F4277" s="491">
        <v>0</v>
      </c>
      <c r="G4277" s="491">
        <f t="shared" si="66"/>
        <v>184</v>
      </c>
    </row>
    <row r="4278" spans="1:7" ht="12.75">
      <c r="A4278" s="134" t="s">
        <v>841</v>
      </c>
      <c r="B4278" s="134">
        <v>101</v>
      </c>
      <c r="C4278" s="491">
        <v>1</v>
      </c>
      <c r="D4278" s="491">
        <v>0</v>
      </c>
      <c r="E4278" s="491">
        <v>0</v>
      </c>
      <c r="F4278" s="491">
        <v>0</v>
      </c>
      <c r="G4278" s="491">
        <f t="shared" si="66"/>
        <v>1</v>
      </c>
    </row>
    <row r="4279" spans="1:7" ht="12.75">
      <c r="A4279" s="134" t="s">
        <v>841</v>
      </c>
      <c r="B4279" s="134">
        <v>104</v>
      </c>
      <c r="C4279" s="491">
        <v>17</v>
      </c>
      <c r="D4279" s="491">
        <v>3</v>
      </c>
      <c r="E4279" s="491">
        <v>0</v>
      </c>
      <c r="F4279" s="491">
        <v>0</v>
      </c>
      <c r="G4279" s="491">
        <f t="shared" si="66"/>
        <v>20</v>
      </c>
    </row>
    <row r="4280" spans="1:7" ht="12.75">
      <c r="A4280" s="134" t="s">
        <v>841</v>
      </c>
      <c r="B4280" s="134">
        <v>106</v>
      </c>
      <c r="C4280" s="491">
        <v>1</v>
      </c>
      <c r="D4280" s="491">
        <v>0</v>
      </c>
      <c r="E4280" s="491">
        <v>0</v>
      </c>
      <c r="F4280" s="491">
        <v>0</v>
      </c>
      <c r="G4280" s="491">
        <f t="shared" si="66"/>
        <v>1</v>
      </c>
    </row>
    <row r="4281" spans="1:7" ht="12.75">
      <c r="A4281" s="134" t="s">
        <v>841</v>
      </c>
      <c r="B4281" s="134">
        <v>130</v>
      </c>
      <c r="C4281" s="491">
        <v>1</v>
      </c>
      <c r="D4281" s="491">
        <v>0</v>
      </c>
      <c r="E4281" s="491">
        <v>0</v>
      </c>
      <c r="F4281" s="491">
        <v>0</v>
      </c>
      <c r="G4281" s="491">
        <f t="shared" si="66"/>
        <v>1</v>
      </c>
    </row>
    <row r="4282" spans="1:7" ht="12.75">
      <c r="A4282" s="134" t="s">
        <v>841</v>
      </c>
      <c r="B4282" s="134">
        <v>300</v>
      </c>
      <c r="C4282" s="491">
        <v>2</v>
      </c>
      <c r="D4282" s="491">
        <v>1</v>
      </c>
      <c r="E4282" s="491">
        <v>0</v>
      </c>
      <c r="F4282" s="491">
        <v>0</v>
      </c>
      <c r="G4282" s="491">
        <f t="shared" si="66"/>
        <v>3</v>
      </c>
    </row>
    <row r="4283" spans="1:7" ht="12.75">
      <c r="A4283" s="134" t="s">
        <v>841</v>
      </c>
      <c r="B4283" s="134">
        <v>330</v>
      </c>
      <c r="C4283" s="491">
        <v>2</v>
      </c>
      <c r="D4283" s="491">
        <v>0</v>
      </c>
      <c r="E4283" s="491">
        <v>0</v>
      </c>
      <c r="F4283" s="491">
        <v>0</v>
      </c>
      <c r="G4283" s="491">
        <f t="shared" si="66"/>
        <v>2</v>
      </c>
    </row>
    <row r="4284" spans="1:7" ht="12.75">
      <c r="A4284" s="134" t="s">
        <v>841</v>
      </c>
      <c r="B4284" s="134">
        <v>460</v>
      </c>
      <c r="C4284" s="491">
        <v>4</v>
      </c>
      <c r="D4284" s="491">
        <v>0</v>
      </c>
      <c r="E4284" s="491">
        <v>0</v>
      </c>
      <c r="F4284" s="491">
        <v>0</v>
      </c>
      <c r="G4284" s="491">
        <f t="shared" si="66"/>
        <v>4</v>
      </c>
    </row>
    <row r="4285" spans="1:7" ht="12.75">
      <c r="A4285" s="134" t="s">
        <v>841</v>
      </c>
      <c r="B4285" s="134">
        <v>501</v>
      </c>
      <c r="C4285" s="491">
        <v>3</v>
      </c>
      <c r="D4285" s="491">
        <v>0</v>
      </c>
      <c r="E4285" s="491">
        <v>0</v>
      </c>
      <c r="F4285" s="491">
        <v>0</v>
      </c>
      <c r="G4285" s="491">
        <f t="shared" si="66"/>
        <v>3</v>
      </c>
    </row>
    <row r="4286" spans="1:7" ht="12.75">
      <c r="A4286" s="134" t="s">
        <v>841</v>
      </c>
      <c r="B4286" s="134">
        <v>812</v>
      </c>
      <c r="C4286" s="491">
        <v>0</v>
      </c>
      <c r="D4286" s="491">
        <v>1</v>
      </c>
      <c r="E4286" s="491">
        <v>0</v>
      </c>
      <c r="F4286" s="491">
        <v>0</v>
      </c>
      <c r="G4286" s="491">
        <f t="shared" si="66"/>
        <v>1</v>
      </c>
    </row>
    <row r="4287" spans="1:7" ht="12.75">
      <c r="A4287" s="134" t="s">
        <v>111</v>
      </c>
      <c r="B4287" s="134">
        <v>100</v>
      </c>
      <c r="C4287" s="491">
        <v>0</v>
      </c>
      <c r="D4287" s="491">
        <v>3</v>
      </c>
      <c r="E4287" s="491">
        <v>0</v>
      </c>
      <c r="F4287" s="491">
        <v>1</v>
      </c>
      <c r="G4287" s="491">
        <f t="shared" si="66"/>
        <v>4</v>
      </c>
    </row>
    <row r="4288" spans="1:7" ht="12.75">
      <c r="A4288" s="134" t="s">
        <v>111</v>
      </c>
      <c r="B4288" s="134">
        <v>104</v>
      </c>
      <c r="C4288" s="491">
        <v>1</v>
      </c>
      <c r="D4288" s="491">
        <v>1</v>
      </c>
      <c r="E4288" s="491">
        <v>0</v>
      </c>
      <c r="F4288" s="491">
        <v>0</v>
      </c>
      <c r="G4288" s="491">
        <f t="shared" si="66"/>
        <v>2</v>
      </c>
    </row>
    <row r="4289" spans="1:7" ht="12.75">
      <c r="A4289" s="134" t="s">
        <v>111</v>
      </c>
      <c r="B4289" s="134">
        <v>171</v>
      </c>
      <c r="C4289" s="491">
        <v>4</v>
      </c>
      <c r="D4289" s="491">
        <v>0</v>
      </c>
      <c r="E4289" s="491">
        <v>0</v>
      </c>
      <c r="F4289" s="491">
        <v>0</v>
      </c>
      <c r="G4289" s="491">
        <f t="shared" si="66"/>
        <v>4</v>
      </c>
    </row>
    <row r="4290" spans="1:7" ht="12.75">
      <c r="A4290" s="134" t="s">
        <v>111</v>
      </c>
      <c r="B4290" s="134">
        <v>255</v>
      </c>
      <c r="C4290" s="491">
        <v>0</v>
      </c>
      <c r="D4290" s="491">
        <v>1</v>
      </c>
      <c r="E4290" s="491">
        <v>0</v>
      </c>
      <c r="F4290" s="491">
        <v>0</v>
      </c>
      <c r="G4290" s="491">
        <f t="shared" si="66"/>
        <v>1</v>
      </c>
    </row>
    <row r="4291" spans="1:7" ht="12.75">
      <c r="A4291" s="134" t="s">
        <v>111</v>
      </c>
      <c r="B4291" s="134">
        <v>422</v>
      </c>
      <c r="C4291" s="491">
        <v>0</v>
      </c>
      <c r="D4291" s="491">
        <v>1</v>
      </c>
      <c r="E4291" s="491">
        <v>0</v>
      </c>
      <c r="F4291" s="491">
        <v>0</v>
      </c>
      <c r="G4291" s="491">
        <f t="shared" si="66"/>
        <v>1</v>
      </c>
    </row>
    <row r="4292" spans="1:7" ht="12.75">
      <c r="A4292" s="134" t="s">
        <v>111</v>
      </c>
      <c r="B4292" s="134">
        <v>502</v>
      </c>
      <c r="C4292" s="491">
        <v>1</v>
      </c>
      <c r="D4292" s="491">
        <v>0</v>
      </c>
      <c r="E4292" s="491">
        <v>0</v>
      </c>
      <c r="F4292" s="491">
        <v>0</v>
      </c>
      <c r="G4292" s="491">
        <f t="shared" ref="G4292:G4355" si="67">SUM(C4292:F4292)</f>
        <v>1</v>
      </c>
    </row>
    <row r="4293" spans="1:7" ht="12.75">
      <c r="A4293" s="134" t="s">
        <v>842</v>
      </c>
      <c r="B4293" s="134">
        <v>100</v>
      </c>
      <c r="C4293" s="491">
        <v>19</v>
      </c>
      <c r="D4293" s="491">
        <v>67</v>
      </c>
      <c r="E4293" s="491">
        <v>0</v>
      </c>
      <c r="F4293" s="491">
        <v>2</v>
      </c>
      <c r="G4293" s="491">
        <f t="shared" si="67"/>
        <v>88</v>
      </c>
    </row>
    <row r="4294" spans="1:7" ht="12.75">
      <c r="A4294" s="134" t="s">
        <v>842</v>
      </c>
      <c r="B4294" s="134">
        <v>101</v>
      </c>
      <c r="C4294" s="491">
        <v>13</v>
      </c>
      <c r="D4294" s="491">
        <v>8</v>
      </c>
      <c r="E4294" s="491">
        <v>0</v>
      </c>
      <c r="F4294" s="491">
        <v>0</v>
      </c>
      <c r="G4294" s="491">
        <f t="shared" si="67"/>
        <v>21</v>
      </c>
    </row>
    <row r="4295" spans="1:7" ht="12.75">
      <c r="A4295" s="134" t="s">
        <v>842</v>
      </c>
      <c r="B4295" s="134">
        <v>104</v>
      </c>
      <c r="C4295" s="491">
        <v>57</v>
      </c>
      <c r="D4295" s="491">
        <v>32</v>
      </c>
      <c r="E4295" s="491">
        <v>1</v>
      </c>
      <c r="F4295" s="491">
        <v>0</v>
      </c>
      <c r="G4295" s="491">
        <f t="shared" si="67"/>
        <v>90</v>
      </c>
    </row>
    <row r="4296" spans="1:7" ht="12.75">
      <c r="A4296" s="134" t="s">
        <v>842</v>
      </c>
      <c r="B4296" s="134">
        <v>106</v>
      </c>
      <c r="C4296" s="491">
        <v>3</v>
      </c>
      <c r="D4296" s="491">
        <v>4</v>
      </c>
      <c r="E4296" s="491">
        <v>0</v>
      </c>
      <c r="F4296" s="491">
        <v>0</v>
      </c>
      <c r="G4296" s="491">
        <f t="shared" si="67"/>
        <v>7</v>
      </c>
    </row>
    <row r="4297" spans="1:7" ht="12.75">
      <c r="A4297" s="134" t="s">
        <v>842</v>
      </c>
      <c r="B4297" s="134">
        <v>107</v>
      </c>
      <c r="C4297" s="491">
        <v>1</v>
      </c>
      <c r="D4297" s="491">
        <v>1</v>
      </c>
      <c r="E4297" s="491">
        <v>0</v>
      </c>
      <c r="F4297" s="491">
        <v>0</v>
      </c>
      <c r="G4297" s="491">
        <f t="shared" si="67"/>
        <v>2</v>
      </c>
    </row>
    <row r="4298" spans="1:7" ht="12.75">
      <c r="A4298" s="134" t="s">
        <v>842</v>
      </c>
      <c r="B4298" s="134">
        <v>130</v>
      </c>
      <c r="C4298" s="491">
        <v>3</v>
      </c>
      <c r="D4298" s="491">
        <v>0</v>
      </c>
      <c r="E4298" s="491">
        <v>0</v>
      </c>
      <c r="F4298" s="491">
        <v>0</v>
      </c>
      <c r="G4298" s="491">
        <f t="shared" si="67"/>
        <v>3</v>
      </c>
    </row>
    <row r="4299" spans="1:7" ht="12.75">
      <c r="A4299" s="134" t="s">
        <v>842</v>
      </c>
      <c r="B4299" s="134">
        <v>160</v>
      </c>
      <c r="C4299" s="491">
        <v>0</v>
      </c>
      <c r="D4299" s="491">
        <v>1</v>
      </c>
      <c r="E4299" s="491">
        <v>0</v>
      </c>
      <c r="F4299" s="491">
        <v>0</v>
      </c>
      <c r="G4299" s="491">
        <f t="shared" si="67"/>
        <v>1</v>
      </c>
    </row>
    <row r="4300" spans="1:7" ht="12.75">
      <c r="A4300" s="134" t="s">
        <v>842</v>
      </c>
      <c r="B4300" s="134">
        <v>190</v>
      </c>
      <c r="C4300" s="491">
        <v>1</v>
      </c>
      <c r="D4300" s="491">
        <v>0</v>
      </c>
      <c r="E4300" s="491">
        <v>0</v>
      </c>
      <c r="F4300" s="491">
        <v>0</v>
      </c>
      <c r="G4300" s="491">
        <f t="shared" si="67"/>
        <v>1</v>
      </c>
    </row>
    <row r="4301" spans="1:7" ht="12.75">
      <c r="A4301" s="134" t="s">
        <v>842</v>
      </c>
      <c r="B4301" s="134">
        <v>301</v>
      </c>
      <c r="C4301" s="491">
        <v>1</v>
      </c>
      <c r="D4301" s="491">
        <v>1</v>
      </c>
      <c r="E4301" s="491">
        <v>0</v>
      </c>
      <c r="F4301" s="491">
        <v>0</v>
      </c>
      <c r="G4301" s="491">
        <f t="shared" si="67"/>
        <v>2</v>
      </c>
    </row>
    <row r="4302" spans="1:7" ht="12.75">
      <c r="A4302" s="134" t="s">
        <v>842</v>
      </c>
      <c r="B4302" s="134">
        <v>323</v>
      </c>
      <c r="C4302" s="491">
        <v>1</v>
      </c>
      <c r="D4302" s="491">
        <v>0</v>
      </c>
      <c r="E4302" s="491">
        <v>0</v>
      </c>
      <c r="F4302" s="491">
        <v>0</v>
      </c>
      <c r="G4302" s="491">
        <f t="shared" si="67"/>
        <v>1</v>
      </c>
    </row>
    <row r="4303" spans="1:7" ht="12.75">
      <c r="A4303" s="134" t="s">
        <v>842</v>
      </c>
      <c r="B4303" s="134">
        <v>330</v>
      </c>
      <c r="C4303" s="491">
        <v>1</v>
      </c>
      <c r="D4303" s="491">
        <v>0</v>
      </c>
      <c r="E4303" s="491">
        <v>0</v>
      </c>
      <c r="F4303" s="491">
        <v>0</v>
      </c>
      <c r="G4303" s="491">
        <f t="shared" si="67"/>
        <v>1</v>
      </c>
    </row>
    <row r="4304" spans="1:7" ht="12.75">
      <c r="A4304" s="134" t="s">
        <v>842</v>
      </c>
      <c r="B4304" s="134">
        <v>350</v>
      </c>
      <c r="C4304" s="491">
        <v>1</v>
      </c>
      <c r="D4304" s="491">
        <v>0</v>
      </c>
      <c r="E4304" s="491">
        <v>0</v>
      </c>
      <c r="F4304" s="491">
        <v>0</v>
      </c>
      <c r="G4304" s="491">
        <f t="shared" si="67"/>
        <v>1</v>
      </c>
    </row>
    <row r="4305" spans="1:7" ht="12.75">
      <c r="A4305" s="134" t="s">
        <v>842</v>
      </c>
      <c r="B4305" s="134">
        <v>501</v>
      </c>
      <c r="C4305" s="491">
        <v>19</v>
      </c>
      <c r="D4305" s="491">
        <v>7</v>
      </c>
      <c r="E4305" s="491">
        <v>0</v>
      </c>
      <c r="F4305" s="491">
        <v>0</v>
      </c>
      <c r="G4305" s="491">
        <f t="shared" si="67"/>
        <v>26</v>
      </c>
    </row>
    <row r="4306" spans="1:7" ht="12.75">
      <c r="A4306" s="134" t="s">
        <v>842</v>
      </c>
      <c r="B4306" s="134">
        <v>502</v>
      </c>
      <c r="C4306" s="491">
        <v>26</v>
      </c>
      <c r="D4306" s="491">
        <v>68</v>
      </c>
      <c r="E4306" s="491">
        <v>0</v>
      </c>
      <c r="F4306" s="491">
        <v>0</v>
      </c>
      <c r="G4306" s="491">
        <f t="shared" si="67"/>
        <v>94</v>
      </c>
    </row>
    <row r="4307" spans="1:7" ht="12.75">
      <c r="A4307" s="134" t="s">
        <v>842</v>
      </c>
      <c r="B4307" s="134">
        <v>560</v>
      </c>
      <c r="C4307" s="491">
        <v>1</v>
      </c>
      <c r="D4307" s="491">
        <v>0</v>
      </c>
      <c r="E4307" s="491">
        <v>0</v>
      </c>
      <c r="F4307" s="491">
        <v>0</v>
      </c>
      <c r="G4307" s="491">
        <f t="shared" si="67"/>
        <v>1</v>
      </c>
    </row>
    <row r="4308" spans="1:7" ht="12.75">
      <c r="A4308" s="134" t="s">
        <v>842</v>
      </c>
      <c r="B4308" s="134">
        <v>650</v>
      </c>
      <c r="C4308" s="491">
        <v>1</v>
      </c>
      <c r="D4308" s="491">
        <v>0</v>
      </c>
      <c r="E4308" s="491">
        <v>0</v>
      </c>
      <c r="F4308" s="491">
        <v>0</v>
      </c>
      <c r="G4308" s="491">
        <f t="shared" si="67"/>
        <v>1</v>
      </c>
    </row>
    <row r="4309" spans="1:7" ht="12.75">
      <c r="A4309" s="134" t="s">
        <v>842</v>
      </c>
      <c r="B4309" s="134">
        <v>812</v>
      </c>
      <c r="C4309" s="491">
        <v>2</v>
      </c>
      <c r="D4309" s="491">
        <v>4</v>
      </c>
      <c r="E4309" s="491">
        <v>0</v>
      </c>
      <c r="F4309" s="491">
        <v>0</v>
      </c>
      <c r="G4309" s="491">
        <f t="shared" si="67"/>
        <v>6</v>
      </c>
    </row>
    <row r="4310" spans="1:7" ht="12.75">
      <c r="A4310" s="134" t="s">
        <v>364</v>
      </c>
      <c r="B4310" s="134">
        <v>100</v>
      </c>
      <c r="C4310" s="491">
        <v>3201</v>
      </c>
      <c r="D4310" s="491">
        <v>5112</v>
      </c>
      <c r="E4310" s="491">
        <v>30</v>
      </c>
      <c r="F4310" s="491">
        <v>100</v>
      </c>
      <c r="G4310" s="491">
        <f t="shared" si="67"/>
        <v>8443</v>
      </c>
    </row>
    <row r="4311" spans="1:7" ht="12.75">
      <c r="A4311" s="134" t="s">
        <v>364</v>
      </c>
      <c r="B4311" s="134">
        <v>101</v>
      </c>
      <c r="C4311" s="491">
        <v>12</v>
      </c>
      <c r="D4311" s="491">
        <v>6</v>
      </c>
      <c r="E4311" s="491">
        <v>0</v>
      </c>
      <c r="F4311" s="491">
        <v>0</v>
      </c>
      <c r="G4311" s="491">
        <f t="shared" si="67"/>
        <v>18</v>
      </c>
    </row>
    <row r="4312" spans="1:7" ht="12.75">
      <c r="A4312" s="134" t="s">
        <v>364</v>
      </c>
      <c r="B4312" s="134">
        <v>103</v>
      </c>
      <c r="C4312" s="491">
        <v>1</v>
      </c>
      <c r="D4312" s="491">
        <v>3</v>
      </c>
      <c r="E4312" s="491">
        <v>0</v>
      </c>
      <c r="F4312" s="491">
        <v>0</v>
      </c>
      <c r="G4312" s="491">
        <f t="shared" si="67"/>
        <v>4</v>
      </c>
    </row>
    <row r="4313" spans="1:7" ht="12.75">
      <c r="A4313" s="134" t="s">
        <v>364</v>
      </c>
      <c r="B4313" s="134">
        <v>104</v>
      </c>
      <c r="C4313" s="491">
        <v>2640</v>
      </c>
      <c r="D4313" s="491">
        <v>4725</v>
      </c>
      <c r="E4313" s="491">
        <v>44</v>
      </c>
      <c r="F4313" s="491">
        <v>55</v>
      </c>
      <c r="G4313" s="491">
        <f t="shared" si="67"/>
        <v>7464</v>
      </c>
    </row>
    <row r="4314" spans="1:7" ht="12.75">
      <c r="A4314" s="134" t="s">
        <v>364</v>
      </c>
      <c r="B4314" s="134">
        <v>105</v>
      </c>
      <c r="C4314" s="491">
        <v>4</v>
      </c>
      <c r="D4314" s="491">
        <v>2</v>
      </c>
      <c r="E4314" s="491">
        <v>0</v>
      </c>
      <c r="F4314" s="491">
        <v>0</v>
      </c>
      <c r="G4314" s="491">
        <f t="shared" si="67"/>
        <v>6</v>
      </c>
    </row>
    <row r="4315" spans="1:7" ht="12.75">
      <c r="A4315" s="134" t="s">
        <v>364</v>
      </c>
      <c r="B4315" s="134">
        <v>106</v>
      </c>
      <c r="C4315" s="491">
        <v>53</v>
      </c>
      <c r="D4315" s="491">
        <v>56</v>
      </c>
      <c r="E4315" s="491">
        <v>0</v>
      </c>
      <c r="F4315" s="491">
        <v>0</v>
      </c>
      <c r="G4315" s="491">
        <f t="shared" si="67"/>
        <v>109</v>
      </c>
    </row>
    <row r="4316" spans="1:7" ht="12.75">
      <c r="A4316" s="134" t="s">
        <v>364</v>
      </c>
      <c r="B4316" s="134">
        <v>107</v>
      </c>
      <c r="C4316" s="491">
        <v>3</v>
      </c>
      <c r="D4316" s="491">
        <v>4</v>
      </c>
      <c r="E4316" s="491">
        <v>0</v>
      </c>
      <c r="F4316" s="491">
        <v>0</v>
      </c>
      <c r="G4316" s="491">
        <f t="shared" si="67"/>
        <v>7</v>
      </c>
    </row>
    <row r="4317" spans="1:7" ht="12.75">
      <c r="A4317" s="134" t="s">
        <v>364</v>
      </c>
      <c r="B4317" s="134">
        <v>110</v>
      </c>
      <c r="C4317" s="491">
        <v>3</v>
      </c>
      <c r="D4317" s="491">
        <v>7</v>
      </c>
      <c r="E4317" s="491">
        <v>0</v>
      </c>
      <c r="F4317" s="491">
        <v>0</v>
      </c>
      <c r="G4317" s="491">
        <f t="shared" si="67"/>
        <v>10</v>
      </c>
    </row>
    <row r="4318" spans="1:7" ht="12.75">
      <c r="A4318" s="134" t="s">
        <v>364</v>
      </c>
      <c r="B4318" s="134">
        <v>120</v>
      </c>
      <c r="C4318" s="491">
        <v>4</v>
      </c>
      <c r="D4318" s="491">
        <v>4</v>
      </c>
      <c r="E4318" s="491">
        <v>0</v>
      </c>
      <c r="F4318" s="491">
        <v>0</v>
      </c>
      <c r="G4318" s="491">
        <f t="shared" si="67"/>
        <v>8</v>
      </c>
    </row>
    <row r="4319" spans="1:7" ht="12.75">
      <c r="A4319" s="134" t="s">
        <v>364</v>
      </c>
      <c r="B4319" s="134">
        <v>140</v>
      </c>
      <c r="C4319" s="491">
        <v>2</v>
      </c>
      <c r="D4319" s="491">
        <v>1</v>
      </c>
      <c r="E4319" s="491">
        <v>0</v>
      </c>
      <c r="F4319" s="491">
        <v>0</v>
      </c>
      <c r="G4319" s="491">
        <f t="shared" si="67"/>
        <v>3</v>
      </c>
    </row>
    <row r="4320" spans="1:7" ht="12.75">
      <c r="A4320" s="134" t="s">
        <v>364</v>
      </c>
      <c r="B4320" s="134">
        <v>150</v>
      </c>
      <c r="C4320" s="491">
        <v>0</v>
      </c>
      <c r="D4320" s="491">
        <v>2</v>
      </c>
      <c r="E4320" s="491">
        <v>0</v>
      </c>
      <c r="F4320" s="491">
        <v>0</v>
      </c>
      <c r="G4320" s="491">
        <f t="shared" si="67"/>
        <v>2</v>
      </c>
    </row>
    <row r="4321" spans="1:7" ht="12.75">
      <c r="A4321" s="134" t="s">
        <v>364</v>
      </c>
      <c r="B4321" s="134">
        <v>160</v>
      </c>
      <c r="C4321" s="491">
        <v>1</v>
      </c>
      <c r="D4321" s="491">
        <v>2</v>
      </c>
      <c r="E4321" s="491">
        <v>0</v>
      </c>
      <c r="F4321" s="491">
        <v>0</v>
      </c>
      <c r="G4321" s="491">
        <f t="shared" si="67"/>
        <v>3</v>
      </c>
    </row>
    <row r="4322" spans="1:7" ht="12.75">
      <c r="A4322" s="134" t="s">
        <v>364</v>
      </c>
      <c r="B4322" s="134">
        <v>172</v>
      </c>
      <c r="C4322" s="491">
        <v>0</v>
      </c>
      <c r="D4322" s="491">
        <v>1</v>
      </c>
      <c r="E4322" s="491">
        <v>0</v>
      </c>
      <c r="F4322" s="491">
        <v>0</v>
      </c>
      <c r="G4322" s="491">
        <f t="shared" si="67"/>
        <v>1</v>
      </c>
    </row>
    <row r="4323" spans="1:7" ht="12.75">
      <c r="A4323" s="134" t="s">
        <v>364</v>
      </c>
      <c r="B4323" s="134">
        <v>180</v>
      </c>
      <c r="C4323" s="491">
        <v>0</v>
      </c>
      <c r="D4323" s="491">
        <v>3</v>
      </c>
      <c r="E4323" s="491">
        <v>0</v>
      </c>
      <c r="F4323" s="491">
        <v>0</v>
      </c>
      <c r="G4323" s="491">
        <f t="shared" si="67"/>
        <v>3</v>
      </c>
    </row>
    <row r="4324" spans="1:7" ht="12.75">
      <c r="A4324" s="134" t="s">
        <v>364</v>
      </c>
      <c r="B4324" s="134">
        <v>191</v>
      </c>
      <c r="C4324" s="491">
        <v>7</v>
      </c>
      <c r="D4324" s="491">
        <v>3</v>
      </c>
      <c r="E4324" s="491">
        <v>0</v>
      </c>
      <c r="F4324" s="491">
        <v>0</v>
      </c>
      <c r="G4324" s="491">
        <f t="shared" si="67"/>
        <v>10</v>
      </c>
    </row>
    <row r="4325" spans="1:7" ht="12.75">
      <c r="A4325" s="134" t="s">
        <v>364</v>
      </c>
      <c r="B4325" s="134">
        <v>300</v>
      </c>
      <c r="C4325" s="491">
        <v>0</v>
      </c>
      <c r="D4325" s="491">
        <v>1</v>
      </c>
      <c r="E4325" s="491">
        <v>0</v>
      </c>
      <c r="F4325" s="491">
        <v>0</v>
      </c>
      <c r="G4325" s="491">
        <f t="shared" si="67"/>
        <v>1</v>
      </c>
    </row>
    <row r="4326" spans="1:7" ht="12.75">
      <c r="A4326" s="134" t="s">
        <v>364</v>
      </c>
      <c r="B4326" s="134">
        <v>301</v>
      </c>
      <c r="C4326" s="491">
        <v>31</v>
      </c>
      <c r="D4326" s="491">
        <v>24</v>
      </c>
      <c r="E4326" s="491">
        <v>1</v>
      </c>
      <c r="F4326" s="491">
        <v>0</v>
      </c>
      <c r="G4326" s="491">
        <f t="shared" si="67"/>
        <v>56</v>
      </c>
    </row>
    <row r="4327" spans="1:7" ht="12.75">
      <c r="A4327" s="134" t="s">
        <v>364</v>
      </c>
      <c r="B4327" s="134">
        <v>302</v>
      </c>
      <c r="C4327" s="491">
        <v>0</v>
      </c>
      <c r="D4327" s="491">
        <v>1</v>
      </c>
      <c r="E4327" s="491">
        <v>0</v>
      </c>
      <c r="F4327" s="491">
        <v>0</v>
      </c>
      <c r="G4327" s="491">
        <f t="shared" si="67"/>
        <v>1</v>
      </c>
    </row>
    <row r="4328" spans="1:7" ht="12.75">
      <c r="A4328" s="134" t="s">
        <v>364</v>
      </c>
      <c r="B4328" s="134">
        <v>303</v>
      </c>
      <c r="C4328" s="491">
        <v>2</v>
      </c>
      <c r="D4328" s="491">
        <v>1</v>
      </c>
      <c r="E4328" s="491">
        <v>0</v>
      </c>
      <c r="F4328" s="491">
        <v>0</v>
      </c>
      <c r="G4328" s="491">
        <f t="shared" si="67"/>
        <v>3</v>
      </c>
    </row>
    <row r="4329" spans="1:7" ht="12.75">
      <c r="A4329" s="134" t="s">
        <v>364</v>
      </c>
      <c r="B4329" s="134">
        <v>306</v>
      </c>
      <c r="C4329" s="491">
        <v>1</v>
      </c>
      <c r="D4329" s="491">
        <v>3</v>
      </c>
      <c r="E4329" s="491">
        <v>0</v>
      </c>
      <c r="F4329" s="491">
        <v>0</v>
      </c>
      <c r="G4329" s="491">
        <f t="shared" si="67"/>
        <v>4</v>
      </c>
    </row>
    <row r="4330" spans="1:7" ht="12.75">
      <c r="A4330" s="134" t="s">
        <v>364</v>
      </c>
      <c r="B4330" s="134">
        <v>307</v>
      </c>
      <c r="C4330" s="491">
        <v>0</v>
      </c>
      <c r="D4330" s="491">
        <v>1</v>
      </c>
      <c r="E4330" s="491">
        <v>0</v>
      </c>
      <c r="F4330" s="491">
        <v>0</v>
      </c>
      <c r="G4330" s="491">
        <f t="shared" si="67"/>
        <v>1</v>
      </c>
    </row>
    <row r="4331" spans="1:7" ht="12.75">
      <c r="A4331" s="134" t="s">
        <v>364</v>
      </c>
      <c r="B4331" s="134">
        <v>310</v>
      </c>
      <c r="C4331" s="491">
        <v>0</v>
      </c>
      <c r="D4331" s="491">
        <v>2</v>
      </c>
      <c r="E4331" s="491">
        <v>0</v>
      </c>
      <c r="F4331" s="491">
        <v>0</v>
      </c>
      <c r="G4331" s="491">
        <f t="shared" si="67"/>
        <v>2</v>
      </c>
    </row>
    <row r="4332" spans="1:7" ht="12.75">
      <c r="A4332" s="134" t="s">
        <v>364</v>
      </c>
      <c r="B4332" s="134">
        <v>314</v>
      </c>
      <c r="C4332" s="491">
        <v>0</v>
      </c>
      <c r="D4332" s="491">
        <v>1</v>
      </c>
      <c r="E4332" s="491">
        <v>0</v>
      </c>
      <c r="F4332" s="491">
        <v>0</v>
      </c>
      <c r="G4332" s="491">
        <f t="shared" si="67"/>
        <v>1</v>
      </c>
    </row>
    <row r="4333" spans="1:7" ht="12.75">
      <c r="A4333" s="134" t="s">
        <v>364</v>
      </c>
      <c r="B4333" s="134">
        <v>320</v>
      </c>
      <c r="C4333" s="491">
        <v>0</v>
      </c>
      <c r="D4333" s="491">
        <v>8</v>
      </c>
      <c r="E4333" s="491">
        <v>0</v>
      </c>
      <c r="F4333" s="491">
        <v>0</v>
      </c>
      <c r="G4333" s="491">
        <f t="shared" si="67"/>
        <v>8</v>
      </c>
    </row>
    <row r="4334" spans="1:7" ht="12.75">
      <c r="A4334" s="134" t="s">
        <v>364</v>
      </c>
      <c r="B4334" s="134">
        <v>324</v>
      </c>
      <c r="C4334" s="491">
        <v>0</v>
      </c>
      <c r="D4334" s="491">
        <v>2</v>
      </c>
      <c r="E4334" s="491">
        <v>0</v>
      </c>
      <c r="F4334" s="491">
        <v>0</v>
      </c>
      <c r="G4334" s="491">
        <f t="shared" si="67"/>
        <v>2</v>
      </c>
    </row>
    <row r="4335" spans="1:7" ht="12.75">
      <c r="A4335" s="134" t="s">
        <v>364</v>
      </c>
      <c r="B4335" s="134">
        <v>328</v>
      </c>
      <c r="C4335" s="491">
        <v>1</v>
      </c>
      <c r="D4335" s="491">
        <v>0</v>
      </c>
      <c r="E4335" s="491">
        <v>0</v>
      </c>
      <c r="F4335" s="491">
        <v>0</v>
      </c>
      <c r="G4335" s="491">
        <f t="shared" si="67"/>
        <v>1</v>
      </c>
    </row>
    <row r="4336" spans="1:7" ht="12.75">
      <c r="A4336" s="134" t="s">
        <v>364</v>
      </c>
      <c r="B4336" s="134">
        <v>330</v>
      </c>
      <c r="C4336" s="491">
        <v>8</v>
      </c>
      <c r="D4336" s="491">
        <v>3</v>
      </c>
      <c r="E4336" s="491">
        <v>0</v>
      </c>
      <c r="F4336" s="491">
        <v>0</v>
      </c>
      <c r="G4336" s="491">
        <f t="shared" si="67"/>
        <v>11</v>
      </c>
    </row>
    <row r="4337" spans="1:7" ht="12.75">
      <c r="A4337" s="134" t="s">
        <v>364</v>
      </c>
      <c r="B4337" s="134">
        <v>340</v>
      </c>
      <c r="C4337" s="491">
        <v>0</v>
      </c>
      <c r="D4337" s="491">
        <v>1</v>
      </c>
      <c r="E4337" s="491">
        <v>0</v>
      </c>
      <c r="F4337" s="491">
        <v>0</v>
      </c>
      <c r="G4337" s="491">
        <f t="shared" si="67"/>
        <v>1</v>
      </c>
    </row>
    <row r="4338" spans="1:7" ht="12.75">
      <c r="A4338" s="134" t="s">
        <v>364</v>
      </c>
      <c r="B4338" s="134">
        <v>350</v>
      </c>
      <c r="C4338" s="491">
        <v>2</v>
      </c>
      <c r="D4338" s="491">
        <v>1</v>
      </c>
      <c r="E4338" s="491">
        <v>0</v>
      </c>
      <c r="F4338" s="491">
        <v>0</v>
      </c>
      <c r="G4338" s="491">
        <f t="shared" si="67"/>
        <v>3</v>
      </c>
    </row>
    <row r="4339" spans="1:7" ht="12.75">
      <c r="A4339" s="134" t="s">
        <v>364</v>
      </c>
      <c r="B4339" s="134">
        <v>361</v>
      </c>
      <c r="C4339" s="491">
        <v>0</v>
      </c>
      <c r="D4339" s="491">
        <v>1</v>
      </c>
      <c r="E4339" s="491">
        <v>0</v>
      </c>
      <c r="F4339" s="491">
        <v>0</v>
      </c>
      <c r="G4339" s="491">
        <f t="shared" si="67"/>
        <v>1</v>
      </c>
    </row>
    <row r="4340" spans="1:7" ht="12.75">
      <c r="A4340" s="134" t="s">
        <v>364</v>
      </c>
      <c r="B4340" s="134">
        <v>370</v>
      </c>
      <c r="C4340" s="491">
        <v>4</v>
      </c>
      <c r="D4340" s="491">
        <v>1</v>
      </c>
      <c r="E4340" s="491">
        <v>0</v>
      </c>
      <c r="F4340" s="491">
        <v>0</v>
      </c>
      <c r="G4340" s="491">
        <f t="shared" si="67"/>
        <v>5</v>
      </c>
    </row>
    <row r="4341" spans="1:7" ht="12.75">
      <c r="A4341" s="134" t="s">
        <v>364</v>
      </c>
      <c r="B4341" s="134">
        <v>400</v>
      </c>
      <c r="C4341" s="491">
        <v>2</v>
      </c>
      <c r="D4341" s="491">
        <v>1</v>
      </c>
      <c r="E4341" s="491">
        <v>0</v>
      </c>
      <c r="F4341" s="491">
        <v>0</v>
      </c>
      <c r="G4341" s="491">
        <f t="shared" si="67"/>
        <v>3</v>
      </c>
    </row>
    <row r="4342" spans="1:7" ht="12.75">
      <c r="A4342" s="134" t="s">
        <v>364</v>
      </c>
      <c r="B4342" s="134">
        <v>410</v>
      </c>
      <c r="C4342" s="491">
        <v>2</v>
      </c>
      <c r="D4342" s="491">
        <v>1</v>
      </c>
      <c r="E4342" s="491">
        <v>0</v>
      </c>
      <c r="F4342" s="491">
        <v>0</v>
      </c>
      <c r="G4342" s="491">
        <f t="shared" si="67"/>
        <v>3</v>
      </c>
    </row>
    <row r="4343" spans="1:7" ht="12.75">
      <c r="A4343" s="134" t="s">
        <v>364</v>
      </c>
      <c r="B4343" s="134">
        <v>430</v>
      </c>
      <c r="C4343" s="491">
        <v>0</v>
      </c>
      <c r="D4343" s="491">
        <v>1</v>
      </c>
      <c r="E4343" s="491">
        <v>0</v>
      </c>
      <c r="F4343" s="491">
        <v>0</v>
      </c>
      <c r="G4343" s="491">
        <f t="shared" si="67"/>
        <v>1</v>
      </c>
    </row>
    <row r="4344" spans="1:7" ht="12.75">
      <c r="A4344" s="134" t="s">
        <v>364</v>
      </c>
      <c r="B4344" s="134">
        <v>501</v>
      </c>
      <c r="C4344" s="491">
        <v>3</v>
      </c>
      <c r="D4344" s="491">
        <v>3</v>
      </c>
      <c r="E4344" s="491">
        <v>0</v>
      </c>
      <c r="F4344" s="491">
        <v>0</v>
      </c>
      <c r="G4344" s="491">
        <f t="shared" si="67"/>
        <v>6</v>
      </c>
    </row>
    <row r="4345" spans="1:7" ht="12.75">
      <c r="A4345" s="134" t="s">
        <v>364</v>
      </c>
      <c r="B4345" s="134">
        <v>502</v>
      </c>
      <c r="C4345" s="491">
        <v>17</v>
      </c>
      <c r="D4345" s="491">
        <v>15</v>
      </c>
      <c r="E4345" s="491">
        <v>0</v>
      </c>
      <c r="F4345" s="491">
        <v>0</v>
      </c>
      <c r="G4345" s="491">
        <f t="shared" si="67"/>
        <v>32</v>
      </c>
    </row>
    <row r="4346" spans="1:7" ht="12.75">
      <c r="A4346" s="134" t="s">
        <v>364</v>
      </c>
      <c r="B4346" s="134">
        <v>503</v>
      </c>
      <c r="C4346" s="491">
        <v>1</v>
      </c>
      <c r="D4346" s="491">
        <v>2</v>
      </c>
      <c r="E4346" s="491">
        <v>0</v>
      </c>
      <c r="F4346" s="491">
        <v>0</v>
      </c>
      <c r="G4346" s="491">
        <f t="shared" si="67"/>
        <v>3</v>
      </c>
    </row>
    <row r="4347" spans="1:7" ht="12.75">
      <c r="A4347" s="134" t="s">
        <v>364</v>
      </c>
      <c r="B4347" s="134">
        <v>560</v>
      </c>
      <c r="C4347" s="491">
        <v>1</v>
      </c>
      <c r="D4347" s="491">
        <v>5</v>
      </c>
      <c r="E4347" s="491">
        <v>0</v>
      </c>
      <c r="F4347" s="491">
        <v>0</v>
      </c>
      <c r="G4347" s="491">
        <f t="shared" si="67"/>
        <v>6</v>
      </c>
    </row>
    <row r="4348" spans="1:7" ht="12.75">
      <c r="A4348" s="134" t="s">
        <v>364</v>
      </c>
      <c r="B4348" s="134">
        <v>650</v>
      </c>
      <c r="C4348" s="491">
        <v>0</v>
      </c>
      <c r="D4348" s="491">
        <v>5</v>
      </c>
      <c r="E4348" s="491">
        <v>0</v>
      </c>
      <c r="F4348" s="491">
        <v>0</v>
      </c>
      <c r="G4348" s="491">
        <f t="shared" si="67"/>
        <v>5</v>
      </c>
    </row>
    <row r="4349" spans="1:7" ht="12.75">
      <c r="A4349" s="134" t="s">
        <v>364</v>
      </c>
      <c r="B4349" s="134">
        <v>655</v>
      </c>
      <c r="C4349" s="491">
        <v>1</v>
      </c>
      <c r="D4349" s="491">
        <v>0</v>
      </c>
      <c r="E4349" s="491">
        <v>0</v>
      </c>
      <c r="F4349" s="491">
        <v>0</v>
      </c>
      <c r="G4349" s="491">
        <f t="shared" si="67"/>
        <v>1</v>
      </c>
    </row>
    <row r="4350" spans="1:7" ht="12.75">
      <c r="A4350" s="134" t="s">
        <v>364</v>
      </c>
      <c r="B4350" s="134">
        <v>800</v>
      </c>
      <c r="C4350" s="491">
        <v>1</v>
      </c>
      <c r="D4350" s="491">
        <v>0</v>
      </c>
      <c r="E4350" s="491">
        <v>0</v>
      </c>
      <c r="F4350" s="491">
        <v>0</v>
      </c>
      <c r="G4350" s="491">
        <f t="shared" si="67"/>
        <v>1</v>
      </c>
    </row>
    <row r="4351" spans="1:7" ht="12.75">
      <c r="A4351" s="134" t="s">
        <v>325</v>
      </c>
      <c r="B4351" s="134">
        <v>100</v>
      </c>
      <c r="C4351" s="491">
        <v>6</v>
      </c>
      <c r="D4351" s="491">
        <v>12</v>
      </c>
      <c r="E4351" s="491">
        <v>0</v>
      </c>
      <c r="F4351" s="491">
        <v>0</v>
      </c>
      <c r="G4351" s="491">
        <f t="shared" si="67"/>
        <v>18</v>
      </c>
    </row>
    <row r="4352" spans="1:7" ht="12.75">
      <c r="A4352" s="134" t="s">
        <v>325</v>
      </c>
      <c r="B4352" s="134">
        <v>104</v>
      </c>
      <c r="C4352" s="491">
        <v>4</v>
      </c>
      <c r="D4352" s="491">
        <v>8</v>
      </c>
      <c r="E4352" s="491">
        <v>0</v>
      </c>
      <c r="F4352" s="491">
        <v>0</v>
      </c>
      <c r="G4352" s="491">
        <f t="shared" si="67"/>
        <v>12</v>
      </c>
    </row>
    <row r="4353" spans="1:7" ht="12.75">
      <c r="A4353" s="134" t="s">
        <v>325</v>
      </c>
      <c r="B4353" s="134">
        <v>120</v>
      </c>
      <c r="C4353" s="491">
        <v>1</v>
      </c>
      <c r="D4353" s="491">
        <v>0</v>
      </c>
      <c r="E4353" s="491">
        <v>0</v>
      </c>
      <c r="F4353" s="491">
        <v>0</v>
      </c>
      <c r="G4353" s="491">
        <f t="shared" si="67"/>
        <v>1</v>
      </c>
    </row>
    <row r="4354" spans="1:7" ht="12.75">
      <c r="A4354" s="134" t="s">
        <v>325</v>
      </c>
      <c r="B4354" s="134">
        <v>130</v>
      </c>
      <c r="C4354" s="491">
        <v>3</v>
      </c>
      <c r="D4354" s="491">
        <v>0</v>
      </c>
      <c r="E4354" s="491">
        <v>0</v>
      </c>
      <c r="F4354" s="491">
        <v>0</v>
      </c>
      <c r="G4354" s="491">
        <f t="shared" si="67"/>
        <v>3</v>
      </c>
    </row>
    <row r="4355" spans="1:7" ht="12.75">
      <c r="A4355" s="134" t="s">
        <v>325</v>
      </c>
      <c r="B4355" s="134">
        <v>140</v>
      </c>
      <c r="C4355" s="491">
        <v>1</v>
      </c>
      <c r="D4355" s="491">
        <v>0</v>
      </c>
      <c r="E4355" s="491">
        <v>0</v>
      </c>
      <c r="F4355" s="491">
        <v>0</v>
      </c>
      <c r="G4355" s="491">
        <f t="shared" si="67"/>
        <v>1</v>
      </c>
    </row>
    <row r="4356" spans="1:7" ht="12.75">
      <c r="A4356" s="134" t="s">
        <v>325</v>
      </c>
      <c r="B4356" s="134">
        <v>143</v>
      </c>
      <c r="C4356" s="491">
        <v>1</v>
      </c>
      <c r="D4356" s="491">
        <v>0</v>
      </c>
      <c r="E4356" s="491">
        <v>0</v>
      </c>
      <c r="F4356" s="491">
        <v>0</v>
      </c>
      <c r="G4356" s="491">
        <f t="shared" ref="G4356:G4419" si="68">SUM(C4356:F4356)</f>
        <v>1</v>
      </c>
    </row>
    <row r="4357" spans="1:7" ht="12.75">
      <c r="A4357" s="134" t="s">
        <v>325</v>
      </c>
      <c r="B4357" s="134">
        <v>171</v>
      </c>
      <c r="C4357" s="491">
        <v>4</v>
      </c>
      <c r="D4357" s="491">
        <v>2</v>
      </c>
      <c r="E4357" s="491">
        <v>1</v>
      </c>
      <c r="F4357" s="491">
        <v>0</v>
      </c>
      <c r="G4357" s="491">
        <f t="shared" si="68"/>
        <v>7</v>
      </c>
    </row>
    <row r="4358" spans="1:7" ht="12.75">
      <c r="A4358" s="134" t="s">
        <v>325</v>
      </c>
      <c r="B4358" s="134">
        <v>216</v>
      </c>
      <c r="C4358" s="491">
        <v>2</v>
      </c>
      <c r="D4358" s="491">
        <v>0</v>
      </c>
      <c r="E4358" s="491">
        <v>0</v>
      </c>
      <c r="F4358" s="491">
        <v>0</v>
      </c>
      <c r="G4358" s="491">
        <f t="shared" si="68"/>
        <v>2</v>
      </c>
    </row>
    <row r="4359" spans="1:7" ht="12.75">
      <c r="A4359" s="134" t="s">
        <v>325</v>
      </c>
      <c r="B4359" s="134">
        <v>252</v>
      </c>
      <c r="C4359" s="491">
        <v>1</v>
      </c>
      <c r="D4359" s="491">
        <v>0</v>
      </c>
      <c r="E4359" s="491">
        <v>0</v>
      </c>
      <c r="F4359" s="491">
        <v>0</v>
      </c>
      <c r="G4359" s="491">
        <f t="shared" si="68"/>
        <v>1</v>
      </c>
    </row>
    <row r="4360" spans="1:7" ht="12.75">
      <c r="A4360" s="134" t="s">
        <v>325</v>
      </c>
      <c r="B4360" s="134">
        <v>255</v>
      </c>
      <c r="C4360" s="491">
        <v>1</v>
      </c>
      <c r="D4360" s="491">
        <v>1</v>
      </c>
      <c r="E4360" s="491">
        <v>0</v>
      </c>
      <c r="F4360" s="491">
        <v>0</v>
      </c>
      <c r="G4360" s="491">
        <f t="shared" si="68"/>
        <v>2</v>
      </c>
    </row>
    <row r="4361" spans="1:7" ht="12.75">
      <c r="A4361" s="134" t="s">
        <v>325</v>
      </c>
      <c r="B4361" s="134">
        <v>258</v>
      </c>
      <c r="C4361" s="491">
        <v>0</v>
      </c>
      <c r="D4361" s="491">
        <v>1</v>
      </c>
      <c r="E4361" s="491">
        <v>0</v>
      </c>
      <c r="F4361" s="491">
        <v>0</v>
      </c>
      <c r="G4361" s="491">
        <f t="shared" si="68"/>
        <v>1</v>
      </c>
    </row>
    <row r="4362" spans="1:7" ht="12.75">
      <c r="A4362" s="134" t="s">
        <v>325</v>
      </c>
      <c r="B4362" s="134">
        <v>263</v>
      </c>
      <c r="C4362" s="491">
        <v>0</v>
      </c>
      <c r="D4362" s="491">
        <v>0</v>
      </c>
      <c r="E4362" s="491">
        <v>1</v>
      </c>
      <c r="F4362" s="491">
        <v>0</v>
      </c>
      <c r="G4362" s="491">
        <f t="shared" si="68"/>
        <v>1</v>
      </c>
    </row>
    <row r="4363" spans="1:7" ht="12.75">
      <c r="A4363" s="134" t="s">
        <v>325</v>
      </c>
      <c r="B4363" s="134">
        <v>310</v>
      </c>
      <c r="C4363" s="491">
        <v>0</v>
      </c>
      <c r="D4363" s="491">
        <v>2</v>
      </c>
      <c r="E4363" s="491">
        <v>0</v>
      </c>
      <c r="F4363" s="491">
        <v>0</v>
      </c>
      <c r="G4363" s="491">
        <f t="shared" si="68"/>
        <v>2</v>
      </c>
    </row>
    <row r="4364" spans="1:7" ht="12.75">
      <c r="A4364" s="134" t="s">
        <v>325</v>
      </c>
      <c r="B4364" s="134">
        <v>320</v>
      </c>
      <c r="C4364" s="491">
        <v>0</v>
      </c>
      <c r="D4364" s="491">
        <v>1</v>
      </c>
      <c r="E4364" s="491">
        <v>0</v>
      </c>
      <c r="F4364" s="491">
        <v>0</v>
      </c>
      <c r="G4364" s="491">
        <f t="shared" si="68"/>
        <v>1</v>
      </c>
    </row>
    <row r="4365" spans="1:7" ht="12.75">
      <c r="A4365" s="134" t="s">
        <v>325</v>
      </c>
      <c r="B4365" s="134">
        <v>420</v>
      </c>
      <c r="C4365" s="491">
        <v>2</v>
      </c>
      <c r="D4365" s="491">
        <v>3</v>
      </c>
      <c r="E4365" s="491">
        <v>0</v>
      </c>
      <c r="F4365" s="491">
        <v>0</v>
      </c>
      <c r="G4365" s="491">
        <f t="shared" si="68"/>
        <v>5</v>
      </c>
    </row>
    <row r="4366" spans="1:7" ht="12.75">
      <c r="A4366" s="134" t="s">
        <v>325</v>
      </c>
      <c r="B4366" s="134">
        <v>502</v>
      </c>
      <c r="C4366" s="491">
        <v>0</v>
      </c>
      <c r="D4366" s="491">
        <v>1</v>
      </c>
      <c r="E4366" s="491">
        <v>0</v>
      </c>
      <c r="F4366" s="491">
        <v>0</v>
      </c>
      <c r="G4366" s="491">
        <f t="shared" si="68"/>
        <v>1</v>
      </c>
    </row>
    <row r="4367" spans="1:7" ht="12.75">
      <c r="A4367" s="134" t="s">
        <v>325</v>
      </c>
      <c r="B4367" s="134">
        <v>655</v>
      </c>
      <c r="C4367" s="491">
        <v>2</v>
      </c>
      <c r="D4367" s="491">
        <v>0</v>
      </c>
      <c r="E4367" s="491">
        <v>0</v>
      </c>
      <c r="F4367" s="491">
        <v>0</v>
      </c>
      <c r="G4367" s="491">
        <f t="shared" si="68"/>
        <v>2</v>
      </c>
    </row>
    <row r="4368" spans="1:7" ht="12.75">
      <c r="A4368" s="134" t="s">
        <v>335</v>
      </c>
      <c r="B4368" s="134">
        <v>143</v>
      </c>
      <c r="C4368" s="491">
        <v>13</v>
      </c>
      <c r="D4368" s="491">
        <v>0</v>
      </c>
      <c r="E4368" s="491">
        <v>0</v>
      </c>
      <c r="F4368" s="491">
        <v>0</v>
      </c>
      <c r="G4368" s="491">
        <f t="shared" si="68"/>
        <v>13</v>
      </c>
    </row>
    <row r="4369" spans="1:7" ht="12.75">
      <c r="A4369" s="134" t="s">
        <v>843</v>
      </c>
      <c r="B4369" s="134">
        <v>100</v>
      </c>
      <c r="C4369" s="491">
        <v>20</v>
      </c>
      <c r="D4369" s="491">
        <v>7</v>
      </c>
      <c r="E4369" s="491">
        <v>3</v>
      </c>
      <c r="F4369" s="491">
        <v>4</v>
      </c>
      <c r="G4369" s="491">
        <f t="shared" si="68"/>
        <v>34</v>
      </c>
    </row>
    <row r="4370" spans="1:7" ht="12.75">
      <c r="A4370" s="134" t="s">
        <v>843</v>
      </c>
      <c r="B4370" s="134">
        <v>104</v>
      </c>
      <c r="C4370" s="491">
        <v>4</v>
      </c>
      <c r="D4370" s="491">
        <v>23</v>
      </c>
      <c r="E4370" s="491">
        <v>1</v>
      </c>
      <c r="F4370" s="491">
        <v>0</v>
      </c>
      <c r="G4370" s="491">
        <f t="shared" si="68"/>
        <v>28</v>
      </c>
    </row>
    <row r="4371" spans="1:7" ht="12.75">
      <c r="A4371" s="134" t="s">
        <v>843</v>
      </c>
      <c r="B4371" s="134">
        <v>110</v>
      </c>
      <c r="C4371" s="491">
        <v>1</v>
      </c>
      <c r="D4371" s="491">
        <v>0</v>
      </c>
      <c r="E4371" s="491">
        <v>0</v>
      </c>
      <c r="F4371" s="491">
        <v>0</v>
      </c>
      <c r="G4371" s="491">
        <f t="shared" si="68"/>
        <v>1</v>
      </c>
    </row>
    <row r="4372" spans="1:7" ht="12.75">
      <c r="A4372" s="134" t="s">
        <v>843</v>
      </c>
      <c r="B4372" s="134">
        <v>120</v>
      </c>
      <c r="C4372" s="491">
        <v>3</v>
      </c>
      <c r="D4372" s="491">
        <v>9</v>
      </c>
      <c r="E4372" s="491">
        <v>0</v>
      </c>
      <c r="F4372" s="491">
        <v>0</v>
      </c>
      <c r="G4372" s="491">
        <f t="shared" si="68"/>
        <v>12</v>
      </c>
    </row>
    <row r="4373" spans="1:7" ht="12.75">
      <c r="A4373" s="134" t="s">
        <v>843</v>
      </c>
      <c r="B4373" s="134">
        <v>143</v>
      </c>
      <c r="C4373" s="491">
        <v>2</v>
      </c>
      <c r="D4373" s="491">
        <v>0</v>
      </c>
      <c r="E4373" s="491">
        <v>0</v>
      </c>
      <c r="F4373" s="491">
        <v>0</v>
      </c>
      <c r="G4373" s="491">
        <f t="shared" si="68"/>
        <v>2</v>
      </c>
    </row>
    <row r="4374" spans="1:7" ht="12.75">
      <c r="A4374" s="134" t="s">
        <v>843</v>
      </c>
      <c r="B4374" s="134">
        <v>160</v>
      </c>
      <c r="C4374" s="491">
        <v>0</v>
      </c>
      <c r="D4374" s="491">
        <v>1</v>
      </c>
      <c r="E4374" s="491">
        <v>0</v>
      </c>
      <c r="F4374" s="491">
        <v>0</v>
      </c>
      <c r="G4374" s="491">
        <f t="shared" si="68"/>
        <v>1</v>
      </c>
    </row>
    <row r="4375" spans="1:7" ht="12.75">
      <c r="A4375" s="134" t="s">
        <v>843</v>
      </c>
      <c r="B4375" s="134">
        <v>301</v>
      </c>
      <c r="C4375" s="491">
        <v>6</v>
      </c>
      <c r="D4375" s="491">
        <v>14</v>
      </c>
      <c r="E4375" s="491">
        <v>0</v>
      </c>
      <c r="F4375" s="491">
        <v>0</v>
      </c>
      <c r="G4375" s="491">
        <f t="shared" si="68"/>
        <v>20</v>
      </c>
    </row>
    <row r="4376" spans="1:7" ht="12.75">
      <c r="A4376" s="134" t="s">
        <v>843</v>
      </c>
      <c r="B4376" s="134">
        <v>650</v>
      </c>
      <c r="C4376" s="491">
        <v>0</v>
      </c>
      <c r="D4376" s="491">
        <v>1</v>
      </c>
      <c r="E4376" s="491">
        <v>0</v>
      </c>
      <c r="F4376" s="491">
        <v>0</v>
      </c>
      <c r="G4376" s="491">
        <f t="shared" si="68"/>
        <v>1</v>
      </c>
    </row>
    <row r="4377" spans="1:7" ht="12.75">
      <c r="A4377" s="134" t="s">
        <v>843</v>
      </c>
      <c r="B4377" s="134">
        <v>800</v>
      </c>
      <c r="C4377" s="491">
        <v>1</v>
      </c>
      <c r="D4377" s="491">
        <v>0</v>
      </c>
      <c r="E4377" s="491">
        <v>0</v>
      </c>
      <c r="F4377" s="491">
        <v>0</v>
      </c>
      <c r="G4377" s="491">
        <f t="shared" si="68"/>
        <v>1</v>
      </c>
    </row>
    <row r="4378" spans="1:7" ht="12.75">
      <c r="A4378" s="134" t="s">
        <v>843</v>
      </c>
      <c r="B4378" s="134">
        <v>811</v>
      </c>
      <c r="C4378" s="491">
        <v>0</v>
      </c>
      <c r="D4378" s="491">
        <v>2</v>
      </c>
      <c r="E4378" s="491">
        <v>0</v>
      </c>
      <c r="F4378" s="491">
        <v>0</v>
      </c>
      <c r="G4378" s="491">
        <f t="shared" si="68"/>
        <v>2</v>
      </c>
    </row>
    <row r="4379" spans="1:7" ht="12.75">
      <c r="A4379" s="134" t="s">
        <v>843</v>
      </c>
      <c r="B4379" s="134">
        <v>812</v>
      </c>
      <c r="C4379" s="491">
        <v>6</v>
      </c>
      <c r="D4379" s="491">
        <v>37</v>
      </c>
      <c r="E4379" s="491">
        <v>0</v>
      </c>
      <c r="F4379" s="491">
        <v>0</v>
      </c>
      <c r="G4379" s="491">
        <f t="shared" si="68"/>
        <v>43</v>
      </c>
    </row>
    <row r="4380" spans="1:7" ht="12.75">
      <c r="A4380" s="134" t="s">
        <v>112</v>
      </c>
      <c r="B4380" s="134">
        <v>110</v>
      </c>
      <c r="C4380" s="491">
        <v>0</v>
      </c>
      <c r="D4380" s="491">
        <v>1</v>
      </c>
      <c r="E4380" s="491">
        <v>0</v>
      </c>
      <c r="F4380" s="491">
        <v>0</v>
      </c>
      <c r="G4380" s="491">
        <f t="shared" si="68"/>
        <v>1</v>
      </c>
    </row>
    <row r="4381" spans="1:7" ht="12.75">
      <c r="A4381" s="134" t="s">
        <v>112</v>
      </c>
      <c r="B4381" s="134">
        <v>171</v>
      </c>
      <c r="C4381" s="491">
        <v>2</v>
      </c>
      <c r="D4381" s="491">
        <v>4</v>
      </c>
      <c r="E4381" s="491">
        <v>0</v>
      </c>
      <c r="F4381" s="491">
        <v>0</v>
      </c>
      <c r="G4381" s="491">
        <f t="shared" si="68"/>
        <v>6</v>
      </c>
    </row>
    <row r="4382" spans="1:7" ht="12.75">
      <c r="A4382" s="134" t="s">
        <v>112</v>
      </c>
      <c r="B4382" s="134">
        <v>180</v>
      </c>
      <c r="C4382" s="491">
        <v>2</v>
      </c>
      <c r="D4382" s="491">
        <v>1</v>
      </c>
      <c r="E4382" s="491">
        <v>0</v>
      </c>
      <c r="F4382" s="491">
        <v>0</v>
      </c>
      <c r="G4382" s="491">
        <f t="shared" si="68"/>
        <v>3</v>
      </c>
    </row>
    <row r="4383" spans="1:7" ht="12.75">
      <c r="A4383" s="134" t="s">
        <v>112</v>
      </c>
      <c r="B4383" s="134">
        <v>420</v>
      </c>
      <c r="C4383" s="491">
        <v>0</v>
      </c>
      <c r="D4383" s="491">
        <v>4</v>
      </c>
      <c r="E4383" s="491">
        <v>0</v>
      </c>
      <c r="F4383" s="491">
        <v>0</v>
      </c>
      <c r="G4383" s="491">
        <f t="shared" si="68"/>
        <v>4</v>
      </c>
    </row>
    <row r="4384" spans="1:7" ht="12.75">
      <c r="A4384" s="134" t="s">
        <v>844</v>
      </c>
      <c r="B4384" s="134">
        <v>100</v>
      </c>
      <c r="C4384" s="491">
        <v>13</v>
      </c>
      <c r="D4384" s="491">
        <v>10</v>
      </c>
      <c r="E4384" s="491">
        <v>1</v>
      </c>
      <c r="F4384" s="491">
        <v>0</v>
      </c>
      <c r="G4384" s="491">
        <f t="shared" si="68"/>
        <v>24</v>
      </c>
    </row>
    <row r="4385" spans="1:7" ht="12.75">
      <c r="A4385" s="134" t="s">
        <v>844</v>
      </c>
      <c r="B4385" s="134">
        <v>101</v>
      </c>
      <c r="C4385" s="491">
        <v>1</v>
      </c>
      <c r="D4385" s="491">
        <v>0</v>
      </c>
      <c r="E4385" s="491">
        <v>0</v>
      </c>
      <c r="F4385" s="491">
        <v>0</v>
      </c>
      <c r="G4385" s="491">
        <f t="shared" si="68"/>
        <v>1</v>
      </c>
    </row>
    <row r="4386" spans="1:7" ht="12.75">
      <c r="A4386" s="134" t="s">
        <v>844</v>
      </c>
      <c r="B4386" s="134">
        <v>104</v>
      </c>
      <c r="C4386" s="491">
        <v>4</v>
      </c>
      <c r="D4386" s="491">
        <v>2</v>
      </c>
      <c r="E4386" s="491">
        <v>2</v>
      </c>
      <c r="F4386" s="491">
        <v>2</v>
      </c>
      <c r="G4386" s="491">
        <f t="shared" si="68"/>
        <v>10</v>
      </c>
    </row>
    <row r="4387" spans="1:7" ht="12.75">
      <c r="A4387" s="134" t="s">
        <v>844</v>
      </c>
      <c r="B4387" s="134">
        <v>105</v>
      </c>
      <c r="C4387" s="491">
        <v>1</v>
      </c>
      <c r="D4387" s="491">
        <v>0</v>
      </c>
      <c r="E4387" s="491">
        <v>0</v>
      </c>
      <c r="F4387" s="491">
        <v>0</v>
      </c>
      <c r="G4387" s="491">
        <f t="shared" si="68"/>
        <v>1</v>
      </c>
    </row>
    <row r="4388" spans="1:7" ht="12.75">
      <c r="A4388" s="134" t="s">
        <v>844</v>
      </c>
      <c r="B4388" s="134">
        <v>106</v>
      </c>
      <c r="C4388" s="491">
        <v>6</v>
      </c>
      <c r="D4388" s="491">
        <v>2</v>
      </c>
      <c r="E4388" s="491">
        <v>0</v>
      </c>
      <c r="F4388" s="491">
        <v>0</v>
      </c>
      <c r="G4388" s="491">
        <f t="shared" si="68"/>
        <v>8</v>
      </c>
    </row>
    <row r="4389" spans="1:7" ht="12.75">
      <c r="A4389" s="134" t="s">
        <v>844</v>
      </c>
      <c r="B4389" s="134">
        <v>107</v>
      </c>
      <c r="C4389" s="491">
        <v>2</v>
      </c>
      <c r="D4389" s="491">
        <v>0</v>
      </c>
      <c r="E4389" s="491">
        <v>0</v>
      </c>
      <c r="F4389" s="491">
        <v>0</v>
      </c>
      <c r="G4389" s="491">
        <f t="shared" si="68"/>
        <v>2</v>
      </c>
    </row>
    <row r="4390" spans="1:7" ht="12.75">
      <c r="A4390" s="134" t="s">
        <v>844</v>
      </c>
      <c r="B4390" s="134">
        <v>110</v>
      </c>
      <c r="C4390" s="491">
        <v>1</v>
      </c>
      <c r="D4390" s="491">
        <v>0</v>
      </c>
      <c r="E4390" s="491">
        <v>0</v>
      </c>
      <c r="F4390" s="491">
        <v>0</v>
      </c>
      <c r="G4390" s="491">
        <f t="shared" si="68"/>
        <v>1</v>
      </c>
    </row>
    <row r="4391" spans="1:7" ht="12.75">
      <c r="A4391" s="134" t="s">
        <v>844</v>
      </c>
      <c r="B4391" s="134">
        <v>160</v>
      </c>
      <c r="C4391" s="491">
        <v>9</v>
      </c>
      <c r="D4391" s="491">
        <v>0</v>
      </c>
      <c r="E4391" s="491">
        <v>4</v>
      </c>
      <c r="F4391" s="491">
        <v>0</v>
      </c>
      <c r="G4391" s="491">
        <f t="shared" si="68"/>
        <v>13</v>
      </c>
    </row>
    <row r="4392" spans="1:7" ht="12.75">
      <c r="A4392" s="134" t="s">
        <v>844</v>
      </c>
      <c r="B4392" s="134">
        <v>300</v>
      </c>
      <c r="C4392" s="491">
        <v>0</v>
      </c>
      <c r="D4392" s="491">
        <v>1</v>
      </c>
      <c r="E4392" s="491">
        <v>0</v>
      </c>
      <c r="F4392" s="491">
        <v>0</v>
      </c>
      <c r="G4392" s="491">
        <f t="shared" si="68"/>
        <v>1</v>
      </c>
    </row>
    <row r="4393" spans="1:7" ht="12.75">
      <c r="A4393" s="134" t="s">
        <v>844</v>
      </c>
      <c r="B4393" s="134">
        <v>303</v>
      </c>
      <c r="C4393" s="491">
        <v>9</v>
      </c>
      <c r="D4393" s="491">
        <v>0</v>
      </c>
      <c r="E4393" s="491">
        <v>0</v>
      </c>
      <c r="F4393" s="491">
        <v>0</v>
      </c>
      <c r="G4393" s="491">
        <f t="shared" si="68"/>
        <v>9</v>
      </c>
    </row>
    <row r="4394" spans="1:7" ht="12.75">
      <c r="A4394" s="134" t="s">
        <v>844</v>
      </c>
      <c r="B4394" s="134">
        <v>330</v>
      </c>
      <c r="C4394" s="491">
        <v>5</v>
      </c>
      <c r="D4394" s="491">
        <v>1</v>
      </c>
      <c r="E4394" s="491">
        <v>0</v>
      </c>
      <c r="F4394" s="491">
        <v>0</v>
      </c>
      <c r="G4394" s="491">
        <f t="shared" si="68"/>
        <v>6</v>
      </c>
    </row>
    <row r="4395" spans="1:7" ht="12.75">
      <c r="A4395" s="134" t="s">
        <v>844</v>
      </c>
      <c r="B4395" s="134">
        <v>361</v>
      </c>
      <c r="C4395" s="491">
        <v>57</v>
      </c>
      <c r="D4395" s="491">
        <v>0</v>
      </c>
      <c r="E4395" s="491">
        <v>0</v>
      </c>
      <c r="F4395" s="491">
        <v>0</v>
      </c>
      <c r="G4395" s="491">
        <f t="shared" si="68"/>
        <v>57</v>
      </c>
    </row>
    <row r="4396" spans="1:7" ht="12.75">
      <c r="A4396" s="134" t="s">
        <v>844</v>
      </c>
      <c r="B4396" s="134">
        <v>400</v>
      </c>
      <c r="C4396" s="491">
        <v>8</v>
      </c>
      <c r="D4396" s="491">
        <v>0</v>
      </c>
      <c r="E4396" s="491">
        <v>0</v>
      </c>
      <c r="F4396" s="491">
        <v>0</v>
      </c>
      <c r="G4396" s="491">
        <f t="shared" si="68"/>
        <v>8</v>
      </c>
    </row>
    <row r="4397" spans="1:7" ht="12.75">
      <c r="A4397" s="134" t="s">
        <v>844</v>
      </c>
      <c r="B4397" s="134">
        <v>501</v>
      </c>
      <c r="C4397" s="491">
        <v>0</v>
      </c>
      <c r="D4397" s="491">
        <v>1</v>
      </c>
      <c r="E4397" s="491">
        <v>0</v>
      </c>
      <c r="F4397" s="491">
        <v>0</v>
      </c>
      <c r="G4397" s="491">
        <f t="shared" si="68"/>
        <v>1</v>
      </c>
    </row>
    <row r="4398" spans="1:7" ht="12.75">
      <c r="A4398" s="134" t="s">
        <v>844</v>
      </c>
      <c r="B4398" s="134">
        <v>502</v>
      </c>
      <c r="C4398" s="491">
        <v>1</v>
      </c>
      <c r="D4398" s="491">
        <v>0</v>
      </c>
      <c r="E4398" s="491">
        <v>0</v>
      </c>
      <c r="F4398" s="491">
        <v>0</v>
      </c>
      <c r="G4398" s="491">
        <f t="shared" si="68"/>
        <v>1</v>
      </c>
    </row>
    <row r="4399" spans="1:7" ht="12.75">
      <c r="A4399" s="134" t="s">
        <v>844</v>
      </c>
      <c r="B4399" s="134">
        <v>560</v>
      </c>
      <c r="C4399" s="491">
        <v>2</v>
      </c>
      <c r="D4399" s="491">
        <v>0</v>
      </c>
      <c r="E4399" s="491">
        <v>0</v>
      </c>
      <c r="F4399" s="491">
        <v>0</v>
      </c>
      <c r="G4399" s="491">
        <f t="shared" si="68"/>
        <v>2</v>
      </c>
    </row>
    <row r="4400" spans="1:7" ht="12.75">
      <c r="A4400" s="134" t="s">
        <v>844</v>
      </c>
      <c r="B4400" s="134">
        <v>650</v>
      </c>
      <c r="C4400" s="491">
        <v>0</v>
      </c>
      <c r="D4400" s="491">
        <v>1</v>
      </c>
      <c r="E4400" s="491">
        <v>0</v>
      </c>
      <c r="F4400" s="491">
        <v>0</v>
      </c>
      <c r="G4400" s="491">
        <f t="shared" si="68"/>
        <v>1</v>
      </c>
    </row>
    <row r="4401" spans="1:7" ht="12.75">
      <c r="A4401" s="134" t="s">
        <v>844</v>
      </c>
      <c r="B4401" s="134">
        <v>800</v>
      </c>
      <c r="C4401" s="491">
        <v>0</v>
      </c>
      <c r="D4401" s="491">
        <v>1</v>
      </c>
      <c r="E4401" s="491">
        <v>0</v>
      </c>
      <c r="F4401" s="491">
        <v>0</v>
      </c>
      <c r="G4401" s="491">
        <f t="shared" si="68"/>
        <v>1</v>
      </c>
    </row>
    <row r="4402" spans="1:7" ht="12.75">
      <c r="A4402" s="134" t="s">
        <v>844</v>
      </c>
      <c r="B4402" s="134">
        <v>812</v>
      </c>
      <c r="C4402" s="491">
        <v>1</v>
      </c>
      <c r="D4402" s="491">
        <v>0</v>
      </c>
      <c r="E4402" s="491">
        <v>0</v>
      </c>
      <c r="F4402" s="491">
        <v>0</v>
      </c>
      <c r="G4402" s="491">
        <f t="shared" si="68"/>
        <v>1</v>
      </c>
    </row>
    <row r="4403" spans="1:7" ht="12.75">
      <c r="A4403" s="134" t="s">
        <v>311</v>
      </c>
      <c r="B4403" s="134">
        <v>100</v>
      </c>
      <c r="C4403" s="491">
        <v>13</v>
      </c>
      <c r="D4403" s="491">
        <v>36</v>
      </c>
      <c r="E4403" s="491">
        <v>0</v>
      </c>
      <c r="F4403" s="491">
        <v>0</v>
      </c>
      <c r="G4403" s="491">
        <f t="shared" si="68"/>
        <v>49</v>
      </c>
    </row>
    <row r="4404" spans="1:7" ht="12.75">
      <c r="A4404" s="134" t="s">
        <v>311</v>
      </c>
      <c r="B4404" s="134">
        <v>106</v>
      </c>
      <c r="C4404" s="491">
        <v>3</v>
      </c>
      <c r="D4404" s="491">
        <v>4</v>
      </c>
      <c r="E4404" s="491">
        <v>0</v>
      </c>
      <c r="F4404" s="491">
        <v>0</v>
      </c>
      <c r="G4404" s="491">
        <f t="shared" si="68"/>
        <v>7</v>
      </c>
    </row>
    <row r="4405" spans="1:7" ht="12.75">
      <c r="A4405" s="134" t="s">
        <v>311</v>
      </c>
      <c r="B4405" s="134">
        <v>300</v>
      </c>
      <c r="C4405" s="491">
        <v>1</v>
      </c>
      <c r="D4405" s="491">
        <v>0</v>
      </c>
      <c r="E4405" s="491">
        <v>0</v>
      </c>
      <c r="F4405" s="491">
        <v>0</v>
      </c>
      <c r="G4405" s="491">
        <f t="shared" si="68"/>
        <v>1</v>
      </c>
    </row>
    <row r="4406" spans="1:7" ht="12.75">
      <c r="A4406" s="134" t="s">
        <v>311</v>
      </c>
      <c r="B4406" s="134">
        <v>301</v>
      </c>
      <c r="C4406" s="491">
        <v>153</v>
      </c>
      <c r="D4406" s="491">
        <v>149</v>
      </c>
      <c r="E4406" s="491">
        <v>0</v>
      </c>
      <c r="F4406" s="491">
        <v>0</v>
      </c>
      <c r="G4406" s="491">
        <f t="shared" si="68"/>
        <v>302</v>
      </c>
    </row>
    <row r="4407" spans="1:7" ht="12.75">
      <c r="A4407" s="134" t="s">
        <v>311</v>
      </c>
      <c r="B4407" s="134">
        <v>306</v>
      </c>
      <c r="C4407" s="491">
        <v>3</v>
      </c>
      <c r="D4407" s="491">
        <v>0</v>
      </c>
      <c r="E4407" s="491">
        <v>0</v>
      </c>
      <c r="F4407" s="491">
        <v>0</v>
      </c>
      <c r="G4407" s="491">
        <f t="shared" si="68"/>
        <v>3</v>
      </c>
    </row>
    <row r="4408" spans="1:7" ht="12.75">
      <c r="A4408" s="134" t="s">
        <v>311</v>
      </c>
      <c r="B4408" s="134">
        <v>811</v>
      </c>
      <c r="C4408" s="491">
        <v>7</v>
      </c>
      <c r="D4408" s="491">
        <v>31</v>
      </c>
      <c r="E4408" s="491">
        <v>0</v>
      </c>
      <c r="F4408" s="491">
        <v>0</v>
      </c>
      <c r="G4408" s="491">
        <f t="shared" si="68"/>
        <v>38</v>
      </c>
    </row>
    <row r="4409" spans="1:7" ht="12.75">
      <c r="A4409" s="134" t="s">
        <v>311</v>
      </c>
      <c r="B4409" s="134">
        <v>812</v>
      </c>
      <c r="C4409" s="491">
        <v>5</v>
      </c>
      <c r="D4409" s="491">
        <v>12</v>
      </c>
      <c r="E4409" s="491">
        <v>0</v>
      </c>
      <c r="F4409" s="491">
        <v>0</v>
      </c>
      <c r="G4409" s="491">
        <f t="shared" si="68"/>
        <v>17</v>
      </c>
    </row>
    <row r="4410" spans="1:7" ht="12.75">
      <c r="A4410" s="134" t="s">
        <v>366</v>
      </c>
      <c r="B4410" s="134">
        <v>251</v>
      </c>
      <c r="C4410" s="491">
        <v>2</v>
      </c>
      <c r="D4410" s="491">
        <v>0</v>
      </c>
      <c r="E4410" s="491">
        <v>0</v>
      </c>
      <c r="F4410" s="491">
        <v>0</v>
      </c>
      <c r="G4410" s="491">
        <f t="shared" si="68"/>
        <v>2</v>
      </c>
    </row>
    <row r="4411" spans="1:7" ht="12.75">
      <c r="A4411" s="134" t="s">
        <v>366</v>
      </c>
      <c r="B4411" s="134">
        <v>301</v>
      </c>
      <c r="C4411" s="491">
        <v>1</v>
      </c>
      <c r="D4411" s="491">
        <v>8</v>
      </c>
      <c r="E4411" s="491">
        <v>0</v>
      </c>
      <c r="F4411" s="491">
        <v>0</v>
      </c>
      <c r="G4411" s="491">
        <f t="shared" si="68"/>
        <v>9</v>
      </c>
    </row>
    <row r="4412" spans="1:7" ht="12.75">
      <c r="A4412" s="134" t="s">
        <v>473</v>
      </c>
      <c r="B4412" s="134">
        <v>100</v>
      </c>
      <c r="C4412" s="491">
        <v>1057</v>
      </c>
      <c r="D4412" s="491">
        <v>5322</v>
      </c>
      <c r="E4412" s="491">
        <v>37</v>
      </c>
      <c r="F4412" s="491">
        <v>102</v>
      </c>
      <c r="G4412" s="491">
        <f t="shared" si="68"/>
        <v>6518</v>
      </c>
    </row>
    <row r="4413" spans="1:7" ht="12.75">
      <c r="A4413" s="134" t="s">
        <v>473</v>
      </c>
      <c r="B4413" s="134">
        <v>101</v>
      </c>
      <c r="C4413" s="491">
        <v>957</v>
      </c>
      <c r="D4413" s="491">
        <v>2171</v>
      </c>
      <c r="E4413" s="491">
        <v>79</v>
      </c>
      <c r="F4413" s="491">
        <v>185</v>
      </c>
      <c r="G4413" s="491">
        <f t="shared" si="68"/>
        <v>3392</v>
      </c>
    </row>
    <row r="4414" spans="1:7" ht="12.75">
      <c r="A4414" s="134" t="s">
        <v>473</v>
      </c>
      <c r="B4414" s="134">
        <v>103</v>
      </c>
      <c r="C4414" s="491">
        <v>0</v>
      </c>
      <c r="D4414" s="491">
        <v>2</v>
      </c>
      <c r="E4414" s="491">
        <v>0</v>
      </c>
      <c r="F4414" s="491">
        <v>0</v>
      </c>
      <c r="G4414" s="491">
        <f t="shared" si="68"/>
        <v>2</v>
      </c>
    </row>
    <row r="4415" spans="1:7" ht="12.75">
      <c r="A4415" s="134" t="s">
        <v>473</v>
      </c>
      <c r="B4415" s="134">
        <v>104</v>
      </c>
      <c r="C4415" s="491">
        <v>1341</v>
      </c>
      <c r="D4415" s="491">
        <v>5708</v>
      </c>
      <c r="E4415" s="491">
        <v>8</v>
      </c>
      <c r="F4415" s="491">
        <v>56</v>
      </c>
      <c r="G4415" s="491">
        <f t="shared" si="68"/>
        <v>7113</v>
      </c>
    </row>
    <row r="4416" spans="1:7" ht="12.75">
      <c r="A4416" s="134" t="s">
        <v>473</v>
      </c>
      <c r="B4416" s="134">
        <v>106</v>
      </c>
      <c r="C4416" s="491">
        <v>17</v>
      </c>
      <c r="D4416" s="491">
        <v>14</v>
      </c>
      <c r="E4416" s="491">
        <v>0</v>
      </c>
      <c r="F4416" s="491">
        <v>0</v>
      </c>
      <c r="G4416" s="491">
        <f t="shared" si="68"/>
        <v>31</v>
      </c>
    </row>
    <row r="4417" spans="1:7" ht="12.75">
      <c r="A4417" s="134" t="s">
        <v>473</v>
      </c>
      <c r="B4417" s="134">
        <v>107</v>
      </c>
      <c r="C4417" s="491">
        <v>1</v>
      </c>
      <c r="D4417" s="491">
        <v>1</v>
      </c>
      <c r="E4417" s="491">
        <v>1</v>
      </c>
      <c r="F4417" s="491">
        <v>0</v>
      </c>
      <c r="G4417" s="491">
        <f t="shared" si="68"/>
        <v>3</v>
      </c>
    </row>
    <row r="4418" spans="1:7" ht="12.75">
      <c r="A4418" s="134" t="s">
        <v>473</v>
      </c>
      <c r="B4418" s="134">
        <v>110</v>
      </c>
      <c r="C4418" s="491">
        <v>3</v>
      </c>
      <c r="D4418" s="491">
        <v>5</v>
      </c>
      <c r="E4418" s="491">
        <v>0</v>
      </c>
      <c r="F4418" s="491">
        <v>0</v>
      </c>
      <c r="G4418" s="491">
        <f t="shared" si="68"/>
        <v>8</v>
      </c>
    </row>
    <row r="4419" spans="1:7" ht="12.75">
      <c r="A4419" s="134" t="s">
        <v>473</v>
      </c>
      <c r="B4419" s="134">
        <v>120</v>
      </c>
      <c r="C4419" s="491">
        <v>0</v>
      </c>
      <c r="D4419" s="491">
        <v>3</v>
      </c>
      <c r="E4419" s="491">
        <v>0</v>
      </c>
      <c r="F4419" s="491">
        <v>0</v>
      </c>
      <c r="G4419" s="491">
        <f t="shared" si="68"/>
        <v>3</v>
      </c>
    </row>
    <row r="4420" spans="1:7" ht="12.75">
      <c r="A4420" s="134" t="s">
        <v>473</v>
      </c>
      <c r="B4420" s="134">
        <v>130</v>
      </c>
      <c r="C4420" s="491">
        <v>25</v>
      </c>
      <c r="D4420" s="491">
        <v>0</v>
      </c>
      <c r="E4420" s="491">
        <v>0</v>
      </c>
      <c r="F4420" s="491">
        <v>0</v>
      </c>
      <c r="G4420" s="491">
        <f t="shared" ref="G4420:G4483" si="69">SUM(C4420:F4420)</f>
        <v>25</v>
      </c>
    </row>
    <row r="4421" spans="1:7" ht="12.75">
      <c r="A4421" s="134" t="s">
        <v>473</v>
      </c>
      <c r="B4421" s="134">
        <v>140</v>
      </c>
      <c r="C4421" s="491">
        <v>0</v>
      </c>
      <c r="D4421" s="491">
        <v>2</v>
      </c>
      <c r="E4421" s="491">
        <v>0</v>
      </c>
      <c r="F4421" s="491">
        <v>0</v>
      </c>
      <c r="G4421" s="491">
        <f t="shared" si="69"/>
        <v>2</v>
      </c>
    </row>
    <row r="4422" spans="1:7" ht="12.75">
      <c r="A4422" s="134" t="s">
        <v>473</v>
      </c>
      <c r="B4422" s="134">
        <v>144</v>
      </c>
      <c r="C4422" s="491">
        <v>0</v>
      </c>
      <c r="D4422" s="491">
        <v>2</v>
      </c>
      <c r="E4422" s="491">
        <v>0</v>
      </c>
      <c r="F4422" s="491">
        <v>0</v>
      </c>
      <c r="G4422" s="491">
        <f t="shared" si="69"/>
        <v>2</v>
      </c>
    </row>
    <row r="4423" spans="1:7" ht="12.75">
      <c r="A4423" s="134" t="s">
        <v>473</v>
      </c>
      <c r="B4423" s="134">
        <v>150</v>
      </c>
      <c r="C4423" s="491">
        <v>0</v>
      </c>
      <c r="D4423" s="491">
        <v>2</v>
      </c>
      <c r="E4423" s="491">
        <v>0</v>
      </c>
      <c r="F4423" s="491">
        <v>0</v>
      </c>
      <c r="G4423" s="491">
        <f t="shared" si="69"/>
        <v>2</v>
      </c>
    </row>
    <row r="4424" spans="1:7" ht="12.75">
      <c r="A4424" s="134" t="s">
        <v>473</v>
      </c>
      <c r="B4424" s="134">
        <v>160</v>
      </c>
      <c r="C4424" s="491">
        <v>0</v>
      </c>
      <c r="D4424" s="491">
        <v>3</v>
      </c>
      <c r="E4424" s="491">
        <v>5</v>
      </c>
      <c r="F4424" s="491">
        <v>0</v>
      </c>
      <c r="G4424" s="491">
        <f t="shared" si="69"/>
        <v>8</v>
      </c>
    </row>
    <row r="4425" spans="1:7" ht="12.75">
      <c r="A4425" s="134" t="s">
        <v>473</v>
      </c>
      <c r="B4425" s="134">
        <v>173</v>
      </c>
      <c r="C4425" s="491">
        <v>0</v>
      </c>
      <c r="D4425" s="491">
        <v>1</v>
      </c>
      <c r="E4425" s="491">
        <v>0</v>
      </c>
      <c r="F4425" s="491">
        <v>0</v>
      </c>
      <c r="G4425" s="491">
        <f t="shared" si="69"/>
        <v>1</v>
      </c>
    </row>
    <row r="4426" spans="1:7" ht="12.75">
      <c r="A4426" s="134" t="s">
        <v>473</v>
      </c>
      <c r="B4426" s="134">
        <v>191</v>
      </c>
      <c r="C4426" s="491">
        <v>0</v>
      </c>
      <c r="D4426" s="491">
        <v>2</v>
      </c>
      <c r="E4426" s="491">
        <v>0</v>
      </c>
      <c r="F4426" s="491">
        <v>0</v>
      </c>
      <c r="G4426" s="491">
        <f t="shared" si="69"/>
        <v>2</v>
      </c>
    </row>
    <row r="4427" spans="1:7" ht="12.75">
      <c r="A4427" s="134" t="s">
        <v>473</v>
      </c>
      <c r="B4427" s="134">
        <v>300</v>
      </c>
      <c r="C4427" s="491">
        <v>15</v>
      </c>
      <c r="D4427" s="491">
        <v>17</v>
      </c>
      <c r="E4427" s="491">
        <v>0</v>
      </c>
      <c r="F4427" s="491">
        <v>0</v>
      </c>
      <c r="G4427" s="491">
        <f t="shared" si="69"/>
        <v>32</v>
      </c>
    </row>
    <row r="4428" spans="1:7" ht="12.75">
      <c r="A4428" s="134" t="s">
        <v>473</v>
      </c>
      <c r="B4428" s="134">
        <v>301</v>
      </c>
      <c r="C4428" s="491">
        <v>560</v>
      </c>
      <c r="D4428" s="491">
        <v>1165</v>
      </c>
      <c r="E4428" s="491">
        <v>0</v>
      </c>
      <c r="F4428" s="491">
        <v>1</v>
      </c>
      <c r="G4428" s="491">
        <f t="shared" si="69"/>
        <v>1726</v>
      </c>
    </row>
    <row r="4429" spans="1:7" ht="12.75">
      <c r="A4429" s="134" t="s">
        <v>473</v>
      </c>
      <c r="B4429" s="134">
        <v>304</v>
      </c>
      <c r="C4429" s="491">
        <v>42</v>
      </c>
      <c r="D4429" s="491">
        <v>144</v>
      </c>
      <c r="E4429" s="491">
        <v>0</v>
      </c>
      <c r="F4429" s="491">
        <v>0</v>
      </c>
      <c r="G4429" s="491">
        <f t="shared" si="69"/>
        <v>186</v>
      </c>
    </row>
    <row r="4430" spans="1:7" ht="12.75">
      <c r="A4430" s="134" t="s">
        <v>473</v>
      </c>
      <c r="B4430" s="134">
        <v>307</v>
      </c>
      <c r="C4430" s="491">
        <v>0</v>
      </c>
      <c r="D4430" s="491">
        <v>2</v>
      </c>
      <c r="E4430" s="491">
        <v>0</v>
      </c>
      <c r="F4430" s="491">
        <v>0</v>
      </c>
      <c r="G4430" s="491">
        <f t="shared" si="69"/>
        <v>2</v>
      </c>
    </row>
    <row r="4431" spans="1:7" ht="12.75">
      <c r="A4431" s="134" t="s">
        <v>473</v>
      </c>
      <c r="B4431" s="134">
        <v>320</v>
      </c>
      <c r="C4431" s="491">
        <v>1</v>
      </c>
      <c r="D4431" s="491">
        <v>3</v>
      </c>
      <c r="E4431" s="491">
        <v>0</v>
      </c>
      <c r="F4431" s="491">
        <v>0</v>
      </c>
      <c r="G4431" s="491">
        <f t="shared" si="69"/>
        <v>4</v>
      </c>
    </row>
    <row r="4432" spans="1:7" ht="12.75">
      <c r="A4432" s="134" t="s">
        <v>473</v>
      </c>
      <c r="B4432" s="134">
        <v>324</v>
      </c>
      <c r="C4432" s="491">
        <v>0</v>
      </c>
      <c r="D4432" s="491">
        <v>1</v>
      </c>
      <c r="E4432" s="491">
        <v>0</v>
      </c>
      <c r="F4432" s="491">
        <v>0</v>
      </c>
      <c r="G4432" s="491">
        <f t="shared" si="69"/>
        <v>1</v>
      </c>
    </row>
    <row r="4433" spans="1:7" ht="12.75">
      <c r="A4433" s="134" t="s">
        <v>473</v>
      </c>
      <c r="B4433" s="134">
        <v>330</v>
      </c>
      <c r="C4433" s="491">
        <v>0</v>
      </c>
      <c r="D4433" s="491">
        <v>6</v>
      </c>
      <c r="E4433" s="491">
        <v>0</v>
      </c>
      <c r="F4433" s="491">
        <v>0</v>
      </c>
      <c r="G4433" s="491">
        <f t="shared" si="69"/>
        <v>6</v>
      </c>
    </row>
    <row r="4434" spans="1:7" ht="12.75">
      <c r="A4434" s="134" t="s">
        <v>473</v>
      </c>
      <c r="B4434" s="134">
        <v>340</v>
      </c>
      <c r="C4434" s="491">
        <v>2</v>
      </c>
      <c r="D4434" s="491">
        <v>0</v>
      </c>
      <c r="E4434" s="491">
        <v>0</v>
      </c>
      <c r="F4434" s="491">
        <v>0</v>
      </c>
      <c r="G4434" s="491">
        <f t="shared" si="69"/>
        <v>2</v>
      </c>
    </row>
    <row r="4435" spans="1:7" ht="12.75">
      <c r="A4435" s="134" t="s">
        <v>473</v>
      </c>
      <c r="B4435" s="134">
        <v>361</v>
      </c>
      <c r="C4435" s="491">
        <v>3</v>
      </c>
      <c r="D4435" s="491">
        <v>0</v>
      </c>
      <c r="E4435" s="491">
        <v>0</v>
      </c>
      <c r="F4435" s="491">
        <v>0</v>
      </c>
      <c r="G4435" s="491">
        <f t="shared" si="69"/>
        <v>3</v>
      </c>
    </row>
    <row r="4436" spans="1:7" ht="12.75">
      <c r="A4436" s="134" t="s">
        <v>473</v>
      </c>
      <c r="B4436" s="134">
        <v>370</v>
      </c>
      <c r="C4436" s="491">
        <v>0</v>
      </c>
      <c r="D4436" s="491">
        <v>1</v>
      </c>
      <c r="E4436" s="491">
        <v>0</v>
      </c>
      <c r="F4436" s="491">
        <v>0</v>
      </c>
      <c r="G4436" s="491">
        <f t="shared" si="69"/>
        <v>1</v>
      </c>
    </row>
    <row r="4437" spans="1:7" ht="12.75">
      <c r="A4437" s="134" t="s">
        <v>473</v>
      </c>
      <c r="B4437" s="134">
        <v>400</v>
      </c>
      <c r="C4437" s="491">
        <v>0</v>
      </c>
      <c r="D4437" s="491">
        <v>1</v>
      </c>
      <c r="E4437" s="491">
        <v>0</v>
      </c>
      <c r="F4437" s="491">
        <v>0</v>
      </c>
      <c r="G4437" s="491">
        <f t="shared" si="69"/>
        <v>1</v>
      </c>
    </row>
    <row r="4438" spans="1:7" ht="12.75">
      <c r="A4438" s="134" t="s">
        <v>473</v>
      </c>
      <c r="B4438" s="134">
        <v>410</v>
      </c>
      <c r="C4438" s="491">
        <v>2</v>
      </c>
      <c r="D4438" s="491">
        <v>1</v>
      </c>
      <c r="E4438" s="491">
        <v>0</v>
      </c>
      <c r="F4438" s="491">
        <v>0</v>
      </c>
      <c r="G4438" s="491">
        <f t="shared" si="69"/>
        <v>3</v>
      </c>
    </row>
    <row r="4439" spans="1:7" ht="12.75">
      <c r="A4439" s="134" t="s">
        <v>473</v>
      </c>
      <c r="B4439" s="134">
        <v>430</v>
      </c>
      <c r="C4439" s="491">
        <v>0</v>
      </c>
      <c r="D4439" s="491">
        <v>1</v>
      </c>
      <c r="E4439" s="491">
        <v>0</v>
      </c>
      <c r="F4439" s="491">
        <v>0</v>
      </c>
      <c r="G4439" s="491">
        <f t="shared" si="69"/>
        <v>1</v>
      </c>
    </row>
    <row r="4440" spans="1:7" ht="12.75">
      <c r="A4440" s="134" t="s">
        <v>473</v>
      </c>
      <c r="B4440" s="134">
        <v>460</v>
      </c>
      <c r="C4440" s="491">
        <v>2</v>
      </c>
      <c r="D4440" s="491">
        <v>0</v>
      </c>
      <c r="E4440" s="491">
        <v>0</v>
      </c>
      <c r="F4440" s="491">
        <v>0</v>
      </c>
      <c r="G4440" s="491">
        <f t="shared" si="69"/>
        <v>2</v>
      </c>
    </row>
    <row r="4441" spans="1:7" ht="12.75">
      <c r="A4441" s="134" t="s">
        <v>473</v>
      </c>
      <c r="B4441" s="134">
        <v>501</v>
      </c>
      <c r="C4441" s="491">
        <v>8</v>
      </c>
      <c r="D4441" s="491">
        <v>3</v>
      </c>
      <c r="E4441" s="491">
        <v>0</v>
      </c>
      <c r="F4441" s="491">
        <v>0</v>
      </c>
      <c r="G4441" s="491">
        <f t="shared" si="69"/>
        <v>11</v>
      </c>
    </row>
    <row r="4442" spans="1:7" ht="12.75">
      <c r="A4442" s="134" t="s">
        <v>473</v>
      </c>
      <c r="B4442" s="134">
        <v>502</v>
      </c>
      <c r="C4442" s="491">
        <v>185</v>
      </c>
      <c r="D4442" s="491">
        <v>843</v>
      </c>
      <c r="E4442" s="491">
        <v>2</v>
      </c>
      <c r="F4442" s="491">
        <v>6</v>
      </c>
      <c r="G4442" s="491">
        <f t="shared" si="69"/>
        <v>1036</v>
      </c>
    </row>
    <row r="4443" spans="1:7" ht="12.75">
      <c r="A4443" s="134" t="s">
        <v>473</v>
      </c>
      <c r="B4443" s="134">
        <v>560</v>
      </c>
      <c r="C4443" s="491">
        <v>26</v>
      </c>
      <c r="D4443" s="491">
        <v>0</v>
      </c>
      <c r="E4443" s="491">
        <v>0</v>
      </c>
      <c r="F4443" s="491">
        <v>0</v>
      </c>
      <c r="G4443" s="491">
        <f t="shared" si="69"/>
        <v>26</v>
      </c>
    </row>
    <row r="4444" spans="1:7" ht="12.75">
      <c r="A4444" s="134" t="s">
        <v>473</v>
      </c>
      <c r="B4444" s="134">
        <v>650</v>
      </c>
      <c r="C4444" s="491">
        <v>1</v>
      </c>
      <c r="D4444" s="491">
        <v>6</v>
      </c>
      <c r="E4444" s="491">
        <v>0</v>
      </c>
      <c r="F4444" s="491">
        <v>0</v>
      </c>
      <c r="G4444" s="491">
        <f t="shared" si="69"/>
        <v>7</v>
      </c>
    </row>
    <row r="4445" spans="1:7" ht="12.75">
      <c r="A4445" s="134" t="s">
        <v>473</v>
      </c>
      <c r="B4445" s="134">
        <v>653</v>
      </c>
      <c r="C4445" s="491">
        <v>0</v>
      </c>
      <c r="D4445" s="491">
        <v>1</v>
      </c>
      <c r="E4445" s="491">
        <v>0</v>
      </c>
      <c r="F4445" s="491">
        <v>0</v>
      </c>
      <c r="G4445" s="491">
        <f t="shared" si="69"/>
        <v>1</v>
      </c>
    </row>
    <row r="4446" spans="1:7" ht="12.75">
      <c r="A4446" s="134" t="s">
        <v>473</v>
      </c>
      <c r="B4446" s="134">
        <v>656</v>
      </c>
      <c r="C4446" s="491">
        <v>1</v>
      </c>
      <c r="D4446" s="491">
        <v>0</v>
      </c>
      <c r="E4446" s="491">
        <v>0</v>
      </c>
      <c r="F4446" s="491">
        <v>0</v>
      </c>
      <c r="G4446" s="491">
        <f t="shared" si="69"/>
        <v>1</v>
      </c>
    </row>
    <row r="4447" spans="1:7" ht="12.75">
      <c r="A4447" s="134" t="s">
        <v>473</v>
      </c>
      <c r="B4447" s="134">
        <v>700</v>
      </c>
      <c r="C4447" s="491">
        <v>0</v>
      </c>
      <c r="D4447" s="491">
        <v>1</v>
      </c>
      <c r="E4447" s="491">
        <v>0</v>
      </c>
      <c r="F4447" s="491">
        <v>0</v>
      </c>
      <c r="G4447" s="491">
        <f t="shared" si="69"/>
        <v>1</v>
      </c>
    </row>
    <row r="4448" spans="1:7" ht="12.75">
      <c r="A4448" s="134" t="s">
        <v>473</v>
      </c>
      <c r="B4448" s="134">
        <v>800</v>
      </c>
      <c r="C4448" s="491">
        <v>3</v>
      </c>
      <c r="D4448" s="491">
        <v>1</v>
      </c>
      <c r="E4448" s="491">
        <v>0</v>
      </c>
      <c r="F4448" s="491">
        <v>0</v>
      </c>
      <c r="G4448" s="491">
        <f t="shared" si="69"/>
        <v>4</v>
      </c>
    </row>
    <row r="4449" spans="1:7" ht="12.75">
      <c r="A4449" s="134" t="s">
        <v>473</v>
      </c>
      <c r="B4449" s="134">
        <v>811</v>
      </c>
      <c r="C4449" s="491">
        <v>0</v>
      </c>
      <c r="D4449" s="491">
        <v>37</v>
      </c>
      <c r="E4449" s="491">
        <v>0</v>
      </c>
      <c r="F4449" s="491">
        <v>0</v>
      </c>
      <c r="G4449" s="491">
        <f t="shared" si="69"/>
        <v>37</v>
      </c>
    </row>
    <row r="4450" spans="1:7" ht="12.75">
      <c r="A4450" s="134" t="s">
        <v>473</v>
      </c>
      <c r="B4450" s="134">
        <v>812</v>
      </c>
      <c r="C4450" s="491">
        <v>2</v>
      </c>
      <c r="D4450" s="491">
        <v>0</v>
      </c>
      <c r="E4450" s="491">
        <v>0</v>
      </c>
      <c r="F4450" s="491">
        <v>0</v>
      </c>
      <c r="G4450" s="491">
        <f t="shared" si="69"/>
        <v>2</v>
      </c>
    </row>
    <row r="4451" spans="1:7" ht="12.75">
      <c r="A4451" s="134" t="s">
        <v>473</v>
      </c>
      <c r="B4451" s="134">
        <v>840</v>
      </c>
      <c r="C4451" s="491">
        <v>0</v>
      </c>
      <c r="D4451" s="491">
        <v>1</v>
      </c>
      <c r="E4451" s="491">
        <v>0</v>
      </c>
      <c r="F4451" s="491">
        <v>0</v>
      </c>
      <c r="G4451" s="491">
        <f t="shared" si="69"/>
        <v>1</v>
      </c>
    </row>
    <row r="4452" spans="1:7" ht="12.75">
      <c r="A4452" s="134" t="s">
        <v>484</v>
      </c>
      <c r="B4452" s="134">
        <v>100</v>
      </c>
      <c r="C4452" s="491">
        <v>234</v>
      </c>
      <c r="D4452" s="491">
        <v>1257</v>
      </c>
      <c r="E4452" s="491">
        <v>0</v>
      </c>
      <c r="F4452" s="491">
        <v>3</v>
      </c>
      <c r="G4452" s="491">
        <f t="shared" si="69"/>
        <v>1494</v>
      </c>
    </row>
    <row r="4453" spans="1:7" ht="12.75">
      <c r="A4453" s="134" t="s">
        <v>484</v>
      </c>
      <c r="B4453" s="134">
        <v>101</v>
      </c>
      <c r="C4453" s="491">
        <v>1</v>
      </c>
      <c r="D4453" s="491">
        <v>2</v>
      </c>
      <c r="E4453" s="491">
        <v>0</v>
      </c>
      <c r="F4453" s="491">
        <v>0</v>
      </c>
      <c r="G4453" s="491">
        <f t="shared" si="69"/>
        <v>3</v>
      </c>
    </row>
    <row r="4454" spans="1:7" ht="12.75">
      <c r="A4454" s="134" t="s">
        <v>484</v>
      </c>
      <c r="B4454" s="134">
        <v>103</v>
      </c>
      <c r="C4454" s="491">
        <v>1</v>
      </c>
      <c r="D4454" s="491">
        <v>0</v>
      </c>
      <c r="E4454" s="491">
        <v>0</v>
      </c>
      <c r="F4454" s="491">
        <v>0</v>
      </c>
      <c r="G4454" s="491">
        <f t="shared" si="69"/>
        <v>1</v>
      </c>
    </row>
    <row r="4455" spans="1:7" ht="12.75">
      <c r="A4455" s="134" t="s">
        <v>484</v>
      </c>
      <c r="B4455" s="134">
        <v>104</v>
      </c>
      <c r="C4455" s="491">
        <v>310</v>
      </c>
      <c r="D4455" s="491">
        <v>972</v>
      </c>
      <c r="E4455" s="491">
        <v>0</v>
      </c>
      <c r="F4455" s="491">
        <v>0</v>
      </c>
      <c r="G4455" s="491">
        <f t="shared" si="69"/>
        <v>1282</v>
      </c>
    </row>
    <row r="4456" spans="1:7" ht="12.75">
      <c r="A4456" s="134" t="s">
        <v>484</v>
      </c>
      <c r="B4456" s="134">
        <v>105</v>
      </c>
      <c r="C4456" s="491">
        <v>1</v>
      </c>
      <c r="D4456" s="491">
        <v>0</v>
      </c>
      <c r="E4456" s="491">
        <v>0</v>
      </c>
      <c r="F4456" s="491">
        <v>0</v>
      </c>
      <c r="G4456" s="491">
        <f t="shared" si="69"/>
        <v>1</v>
      </c>
    </row>
    <row r="4457" spans="1:7" ht="12.75">
      <c r="A4457" s="134" t="s">
        <v>484</v>
      </c>
      <c r="B4457" s="134">
        <v>106</v>
      </c>
      <c r="C4457" s="491">
        <v>7</v>
      </c>
      <c r="D4457" s="491">
        <v>138</v>
      </c>
      <c r="E4457" s="491">
        <v>0</v>
      </c>
      <c r="F4457" s="491">
        <v>0</v>
      </c>
      <c r="G4457" s="491">
        <f t="shared" si="69"/>
        <v>145</v>
      </c>
    </row>
    <row r="4458" spans="1:7" ht="12.75">
      <c r="A4458" s="134" t="s">
        <v>484</v>
      </c>
      <c r="B4458" s="134">
        <v>107</v>
      </c>
      <c r="C4458" s="491">
        <v>0</v>
      </c>
      <c r="D4458" s="491">
        <v>2</v>
      </c>
      <c r="E4458" s="491">
        <v>0</v>
      </c>
      <c r="F4458" s="491">
        <v>0</v>
      </c>
      <c r="G4458" s="491">
        <f t="shared" si="69"/>
        <v>2</v>
      </c>
    </row>
    <row r="4459" spans="1:7" ht="12.75">
      <c r="A4459" s="134" t="s">
        <v>484</v>
      </c>
      <c r="B4459" s="134">
        <v>110</v>
      </c>
      <c r="C4459" s="491">
        <v>3</v>
      </c>
      <c r="D4459" s="491">
        <v>1</v>
      </c>
      <c r="E4459" s="491">
        <v>0</v>
      </c>
      <c r="F4459" s="491">
        <v>0</v>
      </c>
      <c r="G4459" s="491">
        <f t="shared" si="69"/>
        <v>4</v>
      </c>
    </row>
    <row r="4460" spans="1:7" ht="12.75">
      <c r="A4460" s="134" t="s">
        <v>484</v>
      </c>
      <c r="B4460" s="134">
        <v>120</v>
      </c>
      <c r="C4460" s="491">
        <v>1</v>
      </c>
      <c r="D4460" s="491">
        <v>0</v>
      </c>
      <c r="E4460" s="491">
        <v>0</v>
      </c>
      <c r="F4460" s="491">
        <v>0</v>
      </c>
      <c r="G4460" s="491">
        <f t="shared" si="69"/>
        <v>1</v>
      </c>
    </row>
    <row r="4461" spans="1:7" ht="12.75">
      <c r="A4461" s="134" t="s">
        <v>484</v>
      </c>
      <c r="B4461" s="134">
        <v>130</v>
      </c>
      <c r="C4461" s="491">
        <v>0</v>
      </c>
      <c r="D4461" s="491">
        <v>1</v>
      </c>
      <c r="E4461" s="491">
        <v>0</v>
      </c>
      <c r="F4461" s="491">
        <v>0</v>
      </c>
      <c r="G4461" s="491">
        <f t="shared" si="69"/>
        <v>1</v>
      </c>
    </row>
    <row r="4462" spans="1:7" ht="12.75">
      <c r="A4462" s="134" t="s">
        <v>484</v>
      </c>
      <c r="B4462" s="134">
        <v>191</v>
      </c>
      <c r="C4462" s="491">
        <v>1</v>
      </c>
      <c r="D4462" s="491">
        <v>0</v>
      </c>
      <c r="E4462" s="491">
        <v>0</v>
      </c>
      <c r="F4462" s="491">
        <v>0</v>
      </c>
      <c r="G4462" s="491">
        <f t="shared" si="69"/>
        <v>1</v>
      </c>
    </row>
    <row r="4463" spans="1:7" ht="12.75">
      <c r="A4463" s="134" t="s">
        <v>484</v>
      </c>
      <c r="B4463" s="134">
        <v>300</v>
      </c>
      <c r="C4463" s="491">
        <v>0</v>
      </c>
      <c r="D4463" s="491">
        <v>5</v>
      </c>
      <c r="E4463" s="491">
        <v>0</v>
      </c>
      <c r="F4463" s="491">
        <v>0</v>
      </c>
      <c r="G4463" s="491">
        <f t="shared" si="69"/>
        <v>5</v>
      </c>
    </row>
    <row r="4464" spans="1:7" ht="12.75">
      <c r="A4464" s="134" t="s">
        <v>484</v>
      </c>
      <c r="B4464" s="134">
        <v>301</v>
      </c>
      <c r="C4464" s="491">
        <v>305</v>
      </c>
      <c r="D4464" s="491">
        <v>681</v>
      </c>
      <c r="E4464" s="491">
        <v>0</v>
      </c>
      <c r="F4464" s="491">
        <v>7</v>
      </c>
      <c r="G4464" s="491">
        <f t="shared" si="69"/>
        <v>993</v>
      </c>
    </row>
    <row r="4465" spans="1:7" ht="12.75">
      <c r="A4465" s="134" t="s">
        <v>484</v>
      </c>
      <c r="B4465" s="134">
        <v>303</v>
      </c>
      <c r="C4465" s="491">
        <v>0</v>
      </c>
      <c r="D4465" s="491">
        <v>2</v>
      </c>
      <c r="E4465" s="491">
        <v>0</v>
      </c>
      <c r="F4465" s="491">
        <v>0</v>
      </c>
      <c r="G4465" s="491">
        <f t="shared" si="69"/>
        <v>2</v>
      </c>
    </row>
    <row r="4466" spans="1:7" ht="12.75">
      <c r="A4466" s="134" t="s">
        <v>484</v>
      </c>
      <c r="B4466" s="134">
        <v>305</v>
      </c>
      <c r="C4466" s="491">
        <v>1</v>
      </c>
      <c r="D4466" s="491">
        <v>0</v>
      </c>
      <c r="E4466" s="491">
        <v>0</v>
      </c>
      <c r="F4466" s="491">
        <v>0</v>
      </c>
      <c r="G4466" s="491">
        <f t="shared" si="69"/>
        <v>1</v>
      </c>
    </row>
    <row r="4467" spans="1:7" ht="12.75">
      <c r="A4467" s="134" t="s">
        <v>484</v>
      </c>
      <c r="B4467" s="134">
        <v>306</v>
      </c>
      <c r="C4467" s="491">
        <v>1</v>
      </c>
      <c r="D4467" s="491">
        <v>0</v>
      </c>
      <c r="E4467" s="491">
        <v>0</v>
      </c>
      <c r="F4467" s="491">
        <v>0</v>
      </c>
      <c r="G4467" s="491">
        <f t="shared" si="69"/>
        <v>1</v>
      </c>
    </row>
    <row r="4468" spans="1:7" ht="12.75">
      <c r="A4468" s="134" t="s">
        <v>484</v>
      </c>
      <c r="B4468" s="134">
        <v>314</v>
      </c>
      <c r="C4468" s="491">
        <v>1</v>
      </c>
      <c r="D4468" s="491">
        <v>0</v>
      </c>
      <c r="E4468" s="491">
        <v>0</v>
      </c>
      <c r="F4468" s="491">
        <v>0</v>
      </c>
      <c r="G4468" s="491">
        <f t="shared" si="69"/>
        <v>1</v>
      </c>
    </row>
    <row r="4469" spans="1:7" ht="12.75">
      <c r="A4469" s="134" t="s">
        <v>484</v>
      </c>
      <c r="B4469" s="134">
        <v>320</v>
      </c>
      <c r="C4469" s="491">
        <v>1</v>
      </c>
      <c r="D4469" s="491">
        <v>0</v>
      </c>
      <c r="E4469" s="491">
        <v>0</v>
      </c>
      <c r="F4469" s="491">
        <v>0</v>
      </c>
      <c r="G4469" s="491">
        <f t="shared" si="69"/>
        <v>1</v>
      </c>
    </row>
    <row r="4470" spans="1:7" ht="12.75">
      <c r="A4470" s="134" t="s">
        <v>484</v>
      </c>
      <c r="B4470" s="134">
        <v>340</v>
      </c>
      <c r="C4470" s="491">
        <v>2</v>
      </c>
      <c r="D4470" s="491">
        <v>0</v>
      </c>
      <c r="E4470" s="491">
        <v>0</v>
      </c>
      <c r="F4470" s="491">
        <v>0</v>
      </c>
      <c r="G4470" s="491">
        <f t="shared" si="69"/>
        <v>2</v>
      </c>
    </row>
    <row r="4471" spans="1:7" ht="12.75">
      <c r="A4471" s="134" t="s">
        <v>484</v>
      </c>
      <c r="B4471" s="134">
        <v>370</v>
      </c>
      <c r="C4471" s="491">
        <v>1</v>
      </c>
      <c r="D4471" s="491">
        <v>0</v>
      </c>
      <c r="E4471" s="491">
        <v>0</v>
      </c>
      <c r="F4471" s="491">
        <v>0</v>
      </c>
      <c r="G4471" s="491">
        <f t="shared" si="69"/>
        <v>1</v>
      </c>
    </row>
    <row r="4472" spans="1:7" ht="12.75">
      <c r="A4472" s="134" t="s">
        <v>484</v>
      </c>
      <c r="B4472" s="134">
        <v>410</v>
      </c>
      <c r="C4472" s="491">
        <v>2</v>
      </c>
      <c r="D4472" s="491">
        <v>0</v>
      </c>
      <c r="E4472" s="491">
        <v>0</v>
      </c>
      <c r="F4472" s="491">
        <v>0</v>
      </c>
      <c r="G4472" s="491">
        <f t="shared" si="69"/>
        <v>2</v>
      </c>
    </row>
    <row r="4473" spans="1:7" ht="12.75">
      <c r="A4473" s="134" t="s">
        <v>484</v>
      </c>
      <c r="B4473" s="134">
        <v>650</v>
      </c>
      <c r="C4473" s="491">
        <v>0</v>
      </c>
      <c r="D4473" s="491">
        <v>2</v>
      </c>
      <c r="E4473" s="491">
        <v>0</v>
      </c>
      <c r="F4473" s="491">
        <v>0</v>
      </c>
      <c r="G4473" s="491">
        <f t="shared" si="69"/>
        <v>2</v>
      </c>
    </row>
    <row r="4474" spans="1:7" ht="12.75">
      <c r="A4474" s="134" t="s">
        <v>484</v>
      </c>
      <c r="B4474" s="134">
        <v>651</v>
      </c>
      <c r="C4474" s="491">
        <v>1</v>
      </c>
      <c r="D4474" s="491">
        <v>0</v>
      </c>
      <c r="E4474" s="491">
        <v>0</v>
      </c>
      <c r="F4474" s="491">
        <v>0</v>
      </c>
      <c r="G4474" s="491">
        <f t="shared" si="69"/>
        <v>1</v>
      </c>
    </row>
    <row r="4475" spans="1:7" ht="12.75">
      <c r="A4475" s="134" t="s">
        <v>484</v>
      </c>
      <c r="B4475" s="134">
        <v>812</v>
      </c>
      <c r="C4475" s="491">
        <v>1</v>
      </c>
      <c r="D4475" s="491">
        <v>25</v>
      </c>
      <c r="E4475" s="491">
        <v>0</v>
      </c>
      <c r="F4475" s="491">
        <v>0</v>
      </c>
      <c r="G4475" s="491">
        <f t="shared" si="69"/>
        <v>26</v>
      </c>
    </row>
    <row r="4476" spans="1:7" ht="12.75">
      <c r="A4476" s="134" t="s">
        <v>495</v>
      </c>
      <c r="B4476" s="134">
        <v>100</v>
      </c>
      <c r="C4476" s="491">
        <v>40</v>
      </c>
      <c r="D4476" s="491">
        <v>458</v>
      </c>
      <c r="E4476" s="491">
        <v>0</v>
      </c>
      <c r="F4476" s="491">
        <v>1</v>
      </c>
      <c r="G4476" s="491">
        <f t="shared" si="69"/>
        <v>499</v>
      </c>
    </row>
    <row r="4477" spans="1:7" ht="12.75">
      <c r="A4477" s="134" t="s">
        <v>495</v>
      </c>
      <c r="B4477" s="134">
        <v>101</v>
      </c>
      <c r="C4477" s="491">
        <v>3</v>
      </c>
      <c r="D4477" s="491">
        <v>0</v>
      </c>
      <c r="E4477" s="491">
        <v>0</v>
      </c>
      <c r="F4477" s="491">
        <v>0</v>
      </c>
      <c r="G4477" s="491">
        <f t="shared" si="69"/>
        <v>3</v>
      </c>
    </row>
    <row r="4478" spans="1:7" ht="12.75">
      <c r="A4478" s="134" t="s">
        <v>495</v>
      </c>
      <c r="B4478" s="134">
        <v>102</v>
      </c>
      <c r="C4478" s="491">
        <v>0</v>
      </c>
      <c r="D4478" s="491">
        <v>2</v>
      </c>
      <c r="E4478" s="491">
        <v>0</v>
      </c>
      <c r="F4478" s="491">
        <v>0</v>
      </c>
      <c r="G4478" s="491">
        <f t="shared" si="69"/>
        <v>2</v>
      </c>
    </row>
    <row r="4479" spans="1:7" ht="12.75">
      <c r="A4479" s="134" t="s">
        <v>495</v>
      </c>
      <c r="B4479" s="134">
        <v>104</v>
      </c>
      <c r="C4479" s="491">
        <v>74</v>
      </c>
      <c r="D4479" s="491">
        <v>334</v>
      </c>
      <c r="E4479" s="491">
        <v>0</v>
      </c>
      <c r="F4479" s="491">
        <v>1</v>
      </c>
      <c r="G4479" s="491">
        <f t="shared" si="69"/>
        <v>409</v>
      </c>
    </row>
    <row r="4480" spans="1:7" ht="12.75">
      <c r="A4480" s="134" t="s">
        <v>495</v>
      </c>
      <c r="B4480" s="134">
        <v>106</v>
      </c>
      <c r="C4480" s="491">
        <v>4</v>
      </c>
      <c r="D4480" s="491">
        <v>106</v>
      </c>
      <c r="E4480" s="491">
        <v>0</v>
      </c>
      <c r="F4480" s="491">
        <v>0</v>
      </c>
      <c r="G4480" s="491">
        <f t="shared" si="69"/>
        <v>110</v>
      </c>
    </row>
    <row r="4481" spans="1:7" ht="12.75">
      <c r="A4481" s="134" t="s">
        <v>495</v>
      </c>
      <c r="B4481" s="134">
        <v>301</v>
      </c>
      <c r="C4481" s="491">
        <v>368</v>
      </c>
      <c r="D4481" s="491">
        <v>519</v>
      </c>
      <c r="E4481" s="491">
        <v>0</v>
      </c>
      <c r="F4481" s="491">
        <v>1</v>
      </c>
      <c r="G4481" s="491">
        <f t="shared" si="69"/>
        <v>888</v>
      </c>
    </row>
    <row r="4482" spans="1:7" ht="12.75">
      <c r="A4482" s="134" t="s">
        <v>495</v>
      </c>
      <c r="B4482" s="134">
        <v>307</v>
      </c>
      <c r="C4482" s="491">
        <v>1</v>
      </c>
      <c r="D4482" s="491">
        <v>0</v>
      </c>
      <c r="E4482" s="491">
        <v>0</v>
      </c>
      <c r="F4482" s="491">
        <v>0</v>
      </c>
      <c r="G4482" s="491">
        <f t="shared" si="69"/>
        <v>1</v>
      </c>
    </row>
    <row r="4483" spans="1:7" ht="12.75">
      <c r="A4483" s="134" t="s">
        <v>495</v>
      </c>
      <c r="B4483" s="134">
        <v>340</v>
      </c>
      <c r="C4483" s="491">
        <v>3</v>
      </c>
      <c r="D4483" s="491">
        <v>1</v>
      </c>
      <c r="E4483" s="491">
        <v>0</v>
      </c>
      <c r="F4483" s="491">
        <v>0</v>
      </c>
      <c r="G4483" s="491">
        <f t="shared" si="69"/>
        <v>4</v>
      </c>
    </row>
    <row r="4484" spans="1:7" ht="12.75">
      <c r="A4484" s="134" t="s">
        <v>495</v>
      </c>
      <c r="B4484" s="134">
        <v>502</v>
      </c>
      <c r="C4484" s="491">
        <v>2</v>
      </c>
      <c r="D4484" s="491">
        <v>0</v>
      </c>
      <c r="E4484" s="491">
        <v>0</v>
      </c>
      <c r="F4484" s="491">
        <v>0</v>
      </c>
      <c r="G4484" s="491">
        <f t="shared" ref="G4484:G4547" si="70">SUM(C4484:F4484)</f>
        <v>2</v>
      </c>
    </row>
    <row r="4485" spans="1:7" ht="12.75">
      <c r="A4485" s="134" t="s">
        <v>113</v>
      </c>
      <c r="B4485" s="134">
        <v>100</v>
      </c>
      <c r="C4485" s="491">
        <v>76</v>
      </c>
      <c r="D4485" s="491">
        <v>214</v>
      </c>
      <c r="E4485" s="491">
        <v>1</v>
      </c>
      <c r="F4485" s="491">
        <v>0</v>
      </c>
      <c r="G4485" s="491">
        <f t="shared" si="70"/>
        <v>291</v>
      </c>
    </row>
    <row r="4486" spans="1:7" ht="12.75">
      <c r="A4486" s="134" t="s">
        <v>113</v>
      </c>
      <c r="B4486" s="134">
        <v>101</v>
      </c>
      <c r="C4486" s="491">
        <v>16</v>
      </c>
      <c r="D4486" s="491">
        <v>0</v>
      </c>
      <c r="E4486" s="491">
        <v>0</v>
      </c>
      <c r="F4486" s="491">
        <v>0</v>
      </c>
      <c r="G4486" s="491">
        <f t="shared" si="70"/>
        <v>16</v>
      </c>
    </row>
    <row r="4487" spans="1:7" ht="12.75">
      <c r="A4487" s="134" t="s">
        <v>113</v>
      </c>
      <c r="B4487" s="134">
        <v>103</v>
      </c>
      <c r="C4487" s="491">
        <v>1</v>
      </c>
      <c r="D4487" s="491">
        <v>0</v>
      </c>
      <c r="E4487" s="491">
        <v>0</v>
      </c>
      <c r="F4487" s="491">
        <v>0</v>
      </c>
      <c r="G4487" s="491">
        <f t="shared" si="70"/>
        <v>1</v>
      </c>
    </row>
    <row r="4488" spans="1:7" ht="12.75">
      <c r="A4488" s="134" t="s">
        <v>113</v>
      </c>
      <c r="B4488" s="134">
        <v>104</v>
      </c>
      <c r="C4488" s="491">
        <v>163</v>
      </c>
      <c r="D4488" s="491">
        <v>366</v>
      </c>
      <c r="E4488" s="491">
        <v>0</v>
      </c>
      <c r="F4488" s="491">
        <v>0</v>
      </c>
      <c r="G4488" s="491">
        <f t="shared" si="70"/>
        <v>529</v>
      </c>
    </row>
    <row r="4489" spans="1:7" ht="12.75">
      <c r="A4489" s="134" t="s">
        <v>113</v>
      </c>
      <c r="B4489" s="134">
        <v>106</v>
      </c>
      <c r="C4489" s="491">
        <v>4</v>
      </c>
      <c r="D4489" s="491">
        <v>98</v>
      </c>
      <c r="E4489" s="491">
        <v>0</v>
      </c>
      <c r="F4489" s="491">
        <v>0</v>
      </c>
      <c r="G4489" s="491">
        <f t="shared" si="70"/>
        <v>102</v>
      </c>
    </row>
    <row r="4490" spans="1:7" ht="12.75">
      <c r="A4490" s="134" t="s">
        <v>113</v>
      </c>
      <c r="B4490" s="134">
        <v>300</v>
      </c>
      <c r="C4490" s="491">
        <v>1</v>
      </c>
      <c r="D4490" s="491">
        <v>0</v>
      </c>
      <c r="E4490" s="491">
        <v>0</v>
      </c>
      <c r="F4490" s="491">
        <v>0</v>
      </c>
      <c r="G4490" s="491">
        <f t="shared" si="70"/>
        <v>1</v>
      </c>
    </row>
    <row r="4491" spans="1:7" ht="12.75">
      <c r="A4491" s="134" t="s">
        <v>113</v>
      </c>
      <c r="B4491" s="134">
        <v>301</v>
      </c>
      <c r="C4491" s="491">
        <v>223</v>
      </c>
      <c r="D4491" s="491">
        <v>430</v>
      </c>
      <c r="E4491" s="491">
        <v>1</v>
      </c>
      <c r="F4491" s="491">
        <v>6</v>
      </c>
      <c r="G4491" s="491">
        <f t="shared" si="70"/>
        <v>660</v>
      </c>
    </row>
    <row r="4492" spans="1:7" ht="12.75">
      <c r="A4492" s="134" t="s">
        <v>113</v>
      </c>
      <c r="B4492" s="134">
        <v>310</v>
      </c>
      <c r="C4492" s="491">
        <v>1</v>
      </c>
      <c r="D4492" s="491">
        <v>0</v>
      </c>
      <c r="E4492" s="491">
        <v>0</v>
      </c>
      <c r="F4492" s="491">
        <v>0</v>
      </c>
      <c r="G4492" s="491">
        <f t="shared" si="70"/>
        <v>1</v>
      </c>
    </row>
    <row r="4493" spans="1:7" ht="12.75">
      <c r="A4493" s="134" t="s">
        <v>113</v>
      </c>
      <c r="B4493" s="134">
        <v>320</v>
      </c>
      <c r="C4493" s="491">
        <v>2</v>
      </c>
      <c r="D4493" s="491">
        <v>1</v>
      </c>
      <c r="E4493" s="491">
        <v>0</v>
      </c>
      <c r="F4493" s="491">
        <v>0</v>
      </c>
      <c r="G4493" s="491">
        <f t="shared" si="70"/>
        <v>3</v>
      </c>
    </row>
    <row r="4494" spans="1:7" ht="12.75">
      <c r="A4494" s="134" t="s">
        <v>113</v>
      </c>
      <c r="B4494" s="134">
        <v>460</v>
      </c>
      <c r="C4494" s="491">
        <v>3</v>
      </c>
      <c r="D4494" s="491">
        <v>0</v>
      </c>
      <c r="E4494" s="491">
        <v>0</v>
      </c>
      <c r="F4494" s="491">
        <v>0</v>
      </c>
      <c r="G4494" s="491">
        <f t="shared" si="70"/>
        <v>3</v>
      </c>
    </row>
    <row r="4495" spans="1:7" ht="12.75">
      <c r="A4495" s="134" t="s">
        <v>113</v>
      </c>
      <c r="B4495" s="134">
        <v>812</v>
      </c>
      <c r="C4495" s="491">
        <v>3</v>
      </c>
      <c r="D4495" s="491">
        <v>0</v>
      </c>
      <c r="E4495" s="491">
        <v>0</v>
      </c>
      <c r="F4495" s="491">
        <v>0</v>
      </c>
      <c r="G4495" s="491">
        <f t="shared" si="70"/>
        <v>3</v>
      </c>
    </row>
    <row r="4496" spans="1:7" ht="12.75">
      <c r="A4496" s="134" t="s">
        <v>493</v>
      </c>
      <c r="B4496" s="134">
        <v>100</v>
      </c>
      <c r="C4496" s="491">
        <v>1877</v>
      </c>
      <c r="D4496" s="491">
        <v>10688</v>
      </c>
      <c r="E4496" s="491">
        <v>41</v>
      </c>
      <c r="F4496" s="491">
        <v>484</v>
      </c>
      <c r="G4496" s="491">
        <f t="shared" si="70"/>
        <v>13090</v>
      </c>
    </row>
    <row r="4497" spans="1:7" ht="12.75">
      <c r="A4497" s="134" t="s">
        <v>493</v>
      </c>
      <c r="B4497" s="134">
        <v>101</v>
      </c>
      <c r="C4497" s="491">
        <v>25</v>
      </c>
      <c r="D4497" s="491">
        <v>241</v>
      </c>
      <c r="E4497" s="491">
        <v>0</v>
      </c>
      <c r="F4497" s="491">
        <v>0</v>
      </c>
      <c r="G4497" s="491">
        <f t="shared" si="70"/>
        <v>266</v>
      </c>
    </row>
    <row r="4498" spans="1:7" ht="12.75">
      <c r="A4498" s="134" t="s">
        <v>493</v>
      </c>
      <c r="B4498" s="134">
        <v>103</v>
      </c>
      <c r="C4498" s="491">
        <v>2</v>
      </c>
      <c r="D4498" s="491">
        <v>7</v>
      </c>
      <c r="E4498" s="491">
        <v>0</v>
      </c>
      <c r="F4498" s="491">
        <v>0</v>
      </c>
      <c r="G4498" s="491">
        <f t="shared" si="70"/>
        <v>9</v>
      </c>
    </row>
    <row r="4499" spans="1:7" ht="12.75">
      <c r="A4499" s="134" t="s">
        <v>493</v>
      </c>
      <c r="B4499" s="134">
        <v>104</v>
      </c>
      <c r="C4499" s="491">
        <v>1532</v>
      </c>
      <c r="D4499" s="491">
        <v>13940</v>
      </c>
      <c r="E4499" s="491">
        <v>179</v>
      </c>
      <c r="F4499" s="491">
        <v>232</v>
      </c>
      <c r="G4499" s="491">
        <f t="shared" si="70"/>
        <v>15883</v>
      </c>
    </row>
    <row r="4500" spans="1:7" ht="12.75">
      <c r="A4500" s="134" t="s">
        <v>493</v>
      </c>
      <c r="B4500" s="134">
        <v>106</v>
      </c>
      <c r="C4500" s="491">
        <v>19</v>
      </c>
      <c r="D4500" s="491">
        <v>183</v>
      </c>
      <c r="E4500" s="491">
        <v>0</v>
      </c>
      <c r="F4500" s="491">
        <v>0</v>
      </c>
      <c r="G4500" s="491">
        <f t="shared" si="70"/>
        <v>202</v>
      </c>
    </row>
    <row r="4501" spans="1:7" ht="12.75">
      <c r="A4501" s="134" t="s">
        <v>493</v>
      </c>
      <c r="B4501" s="134">
        <v>107</v>
      </c>
      <c r="C4501" s="491">
        <v>9</v>
      </c>
      <c r="D4501" s="491">
        <v>10</v>
      </c>
      <c r="E4501" s="491">
        <v>0</v>
      </c>
      <c r="F4501" s="491">
        <v>1</v>
      </c>
      <c r="G4501" s="491">
        <f t="shared" si="70"/>
        <v>20</v>
      </c>
    </row>
    <row r="4502" spans="1:7" ht="12.75">
      <c r="A4502" s="134" t="s">
        <v>493</v>
      </c>
      <c r="B4502" s="134">
        <v>110</v>
      </c>
      <c r="C4502" s="491">
        <v>4</v>
      </c>
      <c r="D4502" s="491">
        <v>18</v>
      </c>
      <c r="E4502" s="491">
        <v>0</v>
      </c>
      <c r="F4502" s="491">
        <v>0</v>
      </c>
      <c r="G4502" s="491">
        <f t="shared" si="70"/>
        <v>22</v>
      </c>
    </row>
    <row r="4503" spans="1:7" ht="12.75">
      <c r="A4503" s="134" t="s">
        <v>493</v>
      </c>
      <c r="B4503" s="134">
        <v>120</v>
      </c>
      <c r="C4503" s="491">
        <v>10</v>
      </c>
      <c r="D4503" s="491">
        <v>22</v>
      </c>
      <c r="E4503" s="491">
        <v>0</v>
      </c>
      <c r="F4503" s="491">
        <v>1</v>
      </c>
      <c r="G4503" s="491">
        <f t="shared" si="70"/>
        <v>33</v>
      </c>
    </row>
    <row r="4504" spans="1:7" ht="12.75">
      <c r="A4504" s="134" t="s">
        <v>493</v>
      </c>
      <c r="B4504" s="134">
        <v>130</v>
      </c>
      <c r="C4504" s="491">
        <v>5</v>
      </c>
      <c r="D4504" s="491">
        <v>2</v>
      </c>
      <c r="E4504" s="491">
        <v>0</v>
      </c>
      <c r="F4504" s="491">
        <v>0</v>
      </c>
      <c r="G4504" s="491">
        <f t="shared" si="70"/>
        <v>7</v>
      </c>
    </row>
    <row r="4505" spans="1:7" ht="12.75">
      <c r="A4505" s="134" t="s">
        <v>493</v>
      </c>
      <c r="B4505" s="134">
        <v>140</v>
      </c>
      <c r="C4505" s="491">
        <v>1</v>
      </c>
      <c r="D4505" s="491">
        <v>3</v>
      </c>
      <c r="E4505" s="491">
        <v>0</v>
      </c>
      <c r="F4505" s="491">
        <v>0</v>
      </c>
      <c r="G4505" s="491">
        <f t="shared" si="70"/>
        <v>4</v>
      </c>
    </row>
    <row r="4506" spans="1:7" ht="12.75">
      <c r="A4506" s="134" t="s">
        <v>493</v>
      </c>
      <c r="B4506" s="134">
        <v>143</v>
      </c>
      <c r="C4506" s="491">
        <v>1</v>
      </c>
      <c r="D4506" s="491">
        <v>0</v>
      </c>
      <c r="E4506" s="491">
        <v>0</v>
      </c>
      <c r="F4506" s="491">
        <v>0</v>
      </c>
      <c r="G4506" s="491">
        <f t="shared" si="70"/>
        <v>1</v>
      </c>
    </row>
    <row r="4507" spans="1:7" ht="12.75">
      <c r="A4507" s="134" t="s">
        <v>493</v>
      </c>
      <c r="B4507" s="134">
        <v>144</v>
      </c>
      <c r="C4507" s="491">
        <v>0</v>
      </c>
      <c r="D4507" s="491">
        <v>7</v>
      </c>
      <c r="E4507" s="491">
        <v>0</v>
      </c>
      <c r="F4507" s="491">
        <v>0</v>
      </c>
      <c r="G4507" s="491">
        <f t="shared" si="70"/>
        <v>7</v>
      </c>
    </row>
    <row r="4508" spans="1:7" ht="12.75">
      <c r="A4508" s="134" t="s">
        <v>493</v>
      </c>
      <c r="B4508" s="134">
        <v>150</v>
      </c>
      <c r="C4508" s="491">
        <v>0</v>
      </c>
      <c r="D4508" s="491">
        <v>5</v>
      </c>
      <c r="E4508" s="491">
        <v>0</v>
      </c>
      <c r="F4508" s="491">
        <v>0</v>
      </c>
      <c r="G4508" s="491">
        <f t="shared" si="70"/>
        <v>5</v>
      </c>
    </row>
    <row r="4509" spans="1:7" ht="12.75">
      <c r="A4509" s="134" t="s">
        <v>493</v>
      </c>
      <c r="B4509" s="134">
        <v>160</v>
      </c>
      <c r="C4509" s="491">
        <v>1</v>
      </c>
      <c r="D4509" s="491">
        <v>6</v>
      </c>
      <c r="E4509" s="491">
        <v>0</v>
      </c>
      <c r="F4509" s="491">
        <v>0</v>
      </c>
      <c r="G4509" s="491">
        <f t="shared" si="70"/>
        <v>7</v>
      </c>
    </row>
    <row r="4510" spans="1:7" ht="12.75">
      <c r="A4510" s="134" t="s">
        <v>493</v>
      </c>
      <c r="B4510" s="134">
        <v>172</v>
      </c>
      <c r="C4510" s="491">
        <v>0</v>
      </c>
      <c r="D4510" s="491">
        <v>1</v>
      </c>
      <c r="E4510" s="491">
        <v>0</v>
      </c>
      <c r="F4510" s="491">
        <v>0</v>
      </c>
      <c r="G4510" s="491">
        <f t="shared" si="70"/>
        <v>1</v>
      </c>
    </row>
    <row r="4511" spans="1:7" ht="12.75">
      <c r="A4511" s="134" t="s">
        <v>493</v>
      </c>
      <c r="B4511" s="134">
        <v>173</v>
      </c>
      <c r="C4511" s="491">
        <v>0</v>
      </c>
      <c r="D4511" s="491">
        <v>1</v>
      </c>
      <c r="E4511" s="491">
        <v>0</v>
      </c>
      <c r="F4511" s="491">
        <v>0</v>
      </c>
      <c r="G4511" s="491">
        <f t="shared" si="70"/>
        <v>1</v>
      </c>
    </row>
    <row r="4512" spans="1:7" ht="12.75">
      <c r="A4512" s="134" t="s">
        <v>493</v>
      </c>
      <c r="B4512" s="134">
        <v>190</v>
      </c>
      <c r="C4512" s="491">
        <v>2</v>
      </c>
      <c r="D4512" s="491">
        <v>5</v>
      </c>
      <c r="E4512" s="491">
        <v>0</v>
      </c>
      <c r="F4512" s="491">
        <v>0</v>
      </c>
      <c r="G4512" s="491">
        <f t="shared" si="70"/>
        <v>7</v>
      </c>
    </row>
    <row r="4513" spans="1:7" ht="12.75">
      <c r="A4513" s="134" t="s">
        <v>493</v>
      </c>
      <c r="B4513" s="134">
        <v>191</v>
      </c>
      <c r="C4513" s="491">
        <v>3</v>
      </c>
      <c r="D4513" s="491">
        <v>2</v>
      </c>
      <c r="E4513" s="491">
        <v>0</v>
      </c>
      <c r="F4513" s="491">
        <v>0</v>
      </c>
      <c r="G4513" s="491">
        <f t="shared" si="70"/>
        <v>5</v>
      </c>
    </row>
    <row r="4514" spans="1:7" ht="12.75">
      <c r="A4514" s="134" t="s">
        <v>493</v>
      </c>
      <c r="B4514" s="134">
        <v>300</v>
      </c>
      <c r="C4514" s="491">
        <v>5</v>
      </c>
      <c r="D4514" s="491">
        <v>51</v>
      </c>
      <c r="E4514" s="491">
        <v>0</v>
      </c>
      <c r="F4514" s="491">
        <v>0</v>
      </c>
      <c r="G4514" s="491">
        <f t="shared" si="70"/>
        <v>56</v>
      </c>
    </row>
    <row r="4515" spans="1:7" ht="12.75">
      <c r="A4515" s="134" t="s">
        <v>493</v>
      </c>
      <c r="B4515" s="134">
        <v>301</v>
      </c>
      <c r="C4515" s="491">
        <v>1696</v>
      </c>
      <c r="D4515" s="491">
        <v>1653</v>
      </c>
      <c r="E4515" s="491">
        <v>1</v>
      </c>
      <c r="F4515" s="491">
        <v>88</v>
      </c>
      <c r="G4515" s="491">
        <f t="shared" si="70"/>
        <v>3438</v>
      </c>
    </row>
    <row r="4516" spans="1:7" ht="12.75">
      <c r="A4516" s="134" t="s">
        <v>493</v>
      </c>
      <c r="B4516" s="134">
        <v>302</v>
      </c>
      <c r="C4516" s="491">
        <v>8</v>
      </c>
      <c r="D4516" s="491">
        <v>3</v>
      </c>
      <c r="E4516" s="491">
        <v>0</v>
      </c>
      <c r="F4516" s="491">
        <v>0</v>
      </c>
      <c r="G4516" s="491">
        <f t="shared" si="70"/>
        <v>11</v>
      </c>
    </row>
    <row r="4517" spans="1:7" ht="12.75">
      <c r="A4517" s="134" t="s">
        <v>493</v>
      </c>
      <c r="B4517" s="134">
        <v>303</v>
      </c>
      <c r="C4517" s="491">
        <v>4</v>
      </c>
      <c r="D4517" s="491">
        <v>3</v>
      </c>
      <c r="E4517" s="491">
        <v>0</v>
      </c>
      <c r="F4517" s="491">
        <v>0</v>
      </c>
      <c r="G4517" s="491">
        <f t="shared" si="70"/>
        <v>7</v>
      </c>
    </row>
    <row r="4518" spans="1:7" ht="12.75">
      <c r="A4518" s="134" t="s">
        <v>493</v>
      </c>
      <c r="B4518" s="134">
        <v>304</v>
      </c>
      <c r="C4518" s="491">
        <v>1</v>
      </c>
      <c r="D4518" s="491">
        <v>1</v>
      </c>
      <c r="E4518" s="491">
        <v>0</v>
      </c>
      <c r="F4518" s="491">
        <v>0</v>
      </c>
      <c r="G4518" s="491">
        <f t="shared" si="70"/>
        <v>2</v>
      </c>
    </row>
    <row r="4519" spans="1:7" ht="12.75">
      <c r="A4519" s="134" t="s">
        <v>493</v>
      </c>
      <c r="B4519" s="134">
        <v>306</v>
      </c>
      <c r="C4519" s="491">
        <v>1</v>
      </c>
      <c r="D4519" s="491">
        <v>11</v>
      </c>
      <c r="E4519" s="491">
        <v>0</v>
      </c>
      <c r="F4519" s="491">
        <v>0</v>
      </c>
      <c r="G4519" s="491">
        <f t="shared" si="70"/>
        <v>12</v>
      </c>
    </row>
    <row r="4520" spans="1:7" ht="12.75">
      <c r="A4520" s="134" t="s">
        <v>493</v>
      </c>
      <c r="B4520" s="134">
        <v>307</v>
      </c>
      <c r="C4520" s="491">
        <v>0</v>
      </c>
      <c r="D4520" s="491">
        <v>3</v>
      </c>
      <c r="E4520" s="491">
        <v>0</v>
      </c>
      <c r="F4520" s="491">
        <v>0</v>
      </c>
      <c r="G4520" s="491">
        <f t="shared" si="70"/>
        <v>3</v>
      </c>
    </row>
    <row r="4521" spans="1:7" ht="12.75">
      <c r="A4521" s="134" t="s">
        <v>493</v>
      </c>
      <c r="B4521" s="134">
        <v>310</v>
      </c>
      <c r="C4521" s="491">
        <v>0</v>
      </c>
      <c r="D4521" s="491">
        <v>6</v>
      </c>
      <c r="E4521" s="491">
        <v>0</v>
      </c>
      <c r="F4521" s="491">
        <v>0</v>
      </c>
      <c r="G4521" s="491">
        <f t="shared" si="70"/>
        <v>6</v>
      </c>
    </row>
    <row r="4522" spans="1:7" ht="12.75">
      <c r="A4522" s="134" t="s">
        <v>493</v>
      </c>
      <c r="B4522" s="134">
        <v>311</v>
      </c>
      <c r="C4522" s="491">
        <v>0</v>
      </c>
      <c r="D4522" s="491">
        <v>1</v>
      </c>
      <c r="E4522" s="491">
        <v>0</v>
      </c>
      <c r="F4522" s="491">
        <v>0</v>
      </c>
      <c r="G4522" s="491">
        <f t="shared" si="70"/>
        <v>1</v>
      </c>
    </row>
    <row r="4523" spans="1:7" ht="12.75">
      <c r="A4523" s="134" t="s">
        <v>493</v>
      </c>
      <c r="B4523" s="134">
        <v>320</v>
      </c>
      <c r="C4523" s="491">
        <v>5</v>
      </c>
      <c r="D4523" s="491">
        <v>18</v>
      </c>
      <c r="E4523" s="491">
        <v>0</v>
      </c>
      <c r="F4523" s="491">
        <v>0</v>
      </c>
      <c r="G4523" s="491">
        <f t="shared" si="70"/>
        <v>23</v>
      </c>
    </row>
    <row r="4524" spans="1:7" ht="12.75">
      <c r="A4524" s="134" t="s">
        <v>493</v>
      </c>
      <c r="B4524" s="134">
        <v>324</v>
      </c>
      <c r="C4524" s="491">
        <v>1</v>
      </c>
      <c r="D4524" s="491">
        <v>4</v>
      </c>
      <c r="E4524" s="491">
        <v>0</v>
      </c>
      <c r="F4524" s="491">
        <v>0</v>
      </c>
      <c r="G4524" s="491">
        <f t="shared" si="70"/>
        <v>5</v>
      </c>
    </row>
    <row r="4525" spans="1:7" ht="12.75">
      <c r="A4525" s="134" t="s">
        <v>493</v>
      </c>
      <c r="B4525" s="134">
        <v>328</v>
      </c>
      <c r="C4525" s="491">
        <v>2</v>
      </c>
      <c r="D4525" s="491">
        <v>0</v>
      </c>
      <c r="E4525" s="491">
        <v>0</v>
      </c>
      <c r="F4525" s="491">
        <v>0</v>
      </c>
      <c r="G4525" s="491">
        <f t="shared" si="70"/>
        <v>2</v>
      </c>
    </row>
    <row r="4526" spans="1:7" ht="12.75">
      <c r="A4526" s="134" t="s">
        <v>493</v>
      </c>
      <c r="B4526" s="134">
        <v>330</v>
      </c>
      <c r="C4526" s="491">
        <v>3</v>
      </c>
      <c r="D4526" s="491">
        <v>16</v>
      </c>
      <c r="E4526" s="491">
        <v>0</v>
      </c>
      <c r="F4526" s="491">
        <v>0</v>
      </c>
      <c r="G4526" s="491">
        <f t="shared" si="70"/>
        <v>19</v>
      </c>
    </row>
    <row r="4527" spans="1:7" ht="12.75">
      <c r="A4527" s="134" t="s">
        <v>493</v>
      </c>
      <c r="B4527" s="134">
        <v>340</v>
      </c>
      <c r="C4527" s="491">
        <v>4</v>
      </c>
      <c r="D4527" s="491">
        <v>9</v>
      </c>
      <c r="E4527" s="491">
        <v>0</v>
      </c>
      <c r="F4527" s="491">
        <v>0</v>
      </c>
      <c r="G4527" s="491">
        <f t="shared" si="70"/>
        <v>13</v>
      </c>
    </row>
    <row r="4528" spans="1:7" ht="12.75">
      <c r="A4528" s="134" t="s">
        <v>493</v>
      </c>
      <c r="B4528" s="134">
        <v>370</v>
      </c>
      <c r="C4528" s="491">
        <v>5</v>
      </c>
      <c r="D4528" s="491">
        <v>4</v>
      </c>
      <c r="E4528" s="491">
        <v>0</v>
      </c>
      <c r="F4528" s="491">
        <v>0</v>
      </c>
      <c r="G4528" s="491">
        <f t="shared" si="70"/>
        <v>9</v>
      </c>
    </row>
    <row r="4529" spans="1:7" ht="12.75">
      <c r="A4529" s="134" t="s">
        <v>493</v>
      </c>
      <c r="B4529" s="134">
        <v>400</v>
      </c>
      <c r="C4529" s="491">
        <v>2</v>
      </c>
      <c r="D4529" s="491">
        <v>10</v>
      </c>
      <c r="E4529" s="491">
        <v>0</v>
      </c>
      <c r="F4529" s="491">
        <v>0</v>
      </c>
      <c r="G4529" s="491">
        <f t="shared" si="70"/>
        <v>12</v>
      </c>
    </row>
    <row r="4530" spans="1:7" ht="12.75">
      <c r="A4530" s="134" t="s">
        <v>493</v>
      </c>
      <c r="B4530" s="134">
        <v>410</v>
      </c>
      <c r="C4530" s="491">
        <v>2</v>
      </c>
      <c r="D4530" s="491">
        <v>8</v>
      </c>
      <c r="E4530" s="491">
        <v>0</v>
      </c>
      <c r="F4530" s="491">
        <v>0</v>
      </c>
      <c r="G4530" s="491">
        <f t="shared" si="70"/>
        <v>10</v>
      </c>
    </row>
    <row r="4531" spans="1:7" ht="12.75">
      <c r="A4531" s="134" t="s">
        <v>493</v>
      </c>
      <c r="B4531" s="134">
        <v>430</v>
      </c>
      <c r="C4531" s="491">
        <v>1</v>
      </c>
      <c r="D4531" s="491">
        <v>4</v>
      </c>
      <c r="E4531" s="491">
        <v>0</v>
      </c>
      <c r="F4531" s="491">
        <v>0</v>
      </c>
      <c r="G4531" s="491">
        <f t="shared" si="70"/>
        <v>5</v>
      </c>
    </row>
    <row r="4532" spans="1:7" ht="12.75">
      <c r="A4532" s="134" t="s">
        <v>493</v>
      </c>
      <c r="B4532" s="134">
        <v>501</v>
      </c>
      <c r="C4532" s="491">
        <v>3</v>
      </c>
      <c r="D4532" s="491">
        <v>14</v>
      </c>
      <c r="E4532" s="491">
        <v>0</v>
      </c>
      <c r="F4532" s="491">
        <v>0</v>
      </c>
      <c r="G4532" s="491">
        <f t="shared" si="70"/>
        <v>17</v>
      </c>
    </row>
    <row r="4533" spans="1:7" ht="12.75">
      <c r="A4533" s="134" t="s">
        <v>493</v>
      </c>
      <c r="B4533" s="134">
        <v>502</v>
      </c>
      <c r="C4533" s="491">
        <v>3</v>
      </c>
      <c r="D4533" s="491">
        <v>12</v>
      </c>
      <c r="E4533" s="491">
        <v>10</v>
      </c>
      <c r="F4533" s="491">
        <v>2</v>
      </c>
      <c r="G4533" s="491">
        <f t="shared" si="70"/>
        <v>27</v>
      </c>
    </row>
    <row r="4534" spans="1:7" ht="12.75">
      <c r="A4534" s="134" t="s">
        <v>493</v>
      </c>
      <c r="B4534" s="134">
        <v>503</v>
      </c>
      <c r="C4534" s="491">
        <v>0</v>
      </c>
      <c r="D4534" s="491">
        <v>5</v>
      </c>
      <c r="E4534" s="491">
        <v>0</v>
      </c>
      <c r="F4534" s="491">
        <v>0</v>
      </c>
      <c r="G4534" s="491">
        <f t="shared" si="70"/>
        <v>5</v>
      </c>
    </row>
    <row r="4535" spans="1:7" ht="12.75">
      <c r="A4535" s="134" t="s">
        <v>493</v>
      </c>
      <c r="B4535" s="134">
        <v>560</v>
      </c>
      <c r="C4535" s="491">
        <v>0</v>
      </c>
      <c r="D4535" s="491">
        <v>7</v>
      </c>
      <c r="E4535" s="491">
        <v>0</v>
      </c>
      <c r="F4535" s="491">
        <v>0</v>
      </c>
      <c r="G4535" s="491">
        <f t="shared" si="70"/>
        <v>7</v>
      </c>
    </row>
    <row r="4536" spans="1:7" ht="12.75">
      <c r="A4536" s="134" t="s">
        <v>493</v>
      </c>
      <c r="B4536" s="134">
        <v>650</v>
      </c>
      <c r="C4536" s="491">
        <v>1</v>
      </c>
      <c r="D4536" s="491">
        <v>22</v>
      </c>
      <c r="E4536" s="491">
        <v>0</v>
      </c>
      <c r="F4536" s="491">
        <v>0</v>
      </c>
      <c r="G4536" s="491">
        <f t="shared" si="70"/>
        <v>23</v>
      </c>
    </row>
    <row r="4537" spans="1:7" ht="12.75">
      <c r="A4537" s="134" t="s">
        <v>493</v>
      </c>
      <c r="B4537" s="134">
        <v>653</v>
      </c>
      <c r="C4537" s="491">
        <v>1</v>
      </c>
      <c r="D4537" s="491">
        <v>0</v>
      </c>
      <c r="E4537" s="491">
        <v>0</v>
      </c>
      <c r="F4537" s="491">
        <v>0</v>
      </c>
      <c r="G4537" s="491">
        <f t="shared" si="70"/>
        <v>1</v>
      </c>
    </row>
    <row r="4538" spans="1:7" ht="12.75">
      <c r="A4538" s="134" t="s">
        <v>493</v>
      </c>
      <c r="B4538" s="134">
        <v>662</v>
      </c>
      <c r="C4538" s="491">
        <v>2</v>
      </c>
      <c r="D4538" s="491">
        <v>0</v>
      </c>
      <c r="E4538" s="491">
        <v>0</v>
      </c>
      <c r="F4538" s="491">
        <v>0</v>
      </c>
      <c r="G4538" s="491">
        <f t="shared" si="70"/>
        <v>2</v>
      </c>
    </row>
    <row r="4539" spans="1:7" ht="12.75">
      <c r="A4539" s="134" t="s">
        <v>493</v>
      </c>
      <c r="B4539" s="134">
        <v>800</v>
      </c>
      <c r="C4539" s="491">
        <v>5</v>
      </c>
      <c r="D4539" s="491">
        <v>2</v>
      </c>
      <c r="E4539" s="491">
        <v>0</v>
      </c>
      <c r="F4539" s="491">
        <v>1</v>
      </c>
      <c r="G4539" s="491">
        <f t="shared" si="70"/>
        <v>8</v>
      </c>
    </row>
    <row r="4540" spans="1:7" ht="12.75">
      <c r="A4540" s="134" t="s">
        <v>493</v>
      </c>
      <c r="B4540" s="134">
        <v>811</v>
      </c>
      <c r="C4540" s="491">
        <v>0</v>
      </c>
      <c r="D4540" s="491">
        <v>1</v>
      </c>
      <c r="E4540" s="491">
        <v>0</v>
      </c>
      <c r="F4540" s="491">
        <v>0</v>
      </c>
      <c r="G4540" s="491">
        <f t="shared" si="70"/>
        <v>1</v>
      </c>
    </row>
    <row r="4541" spans="1:7" ht="12.75">
      <c r="A4541" s="134" t="s">
        <v>493</v>
      </c>
      <c r="B4541" s="134">
        <v>812</v>
      </c>
      <c r="C4541" s="491">
        <v>115</v>
      </c>
      <c r="D4541" s="491">
        <v>352</v>
      </c>
      <c r="E4541" s="491">
        <v>0</v>
      </c>
      <c r="F4541" s="491">
        <v>0</v>
      </c>
      <c r="G4541" s="491">
        <f t="shared" si="70"/>
        <v>467</v>
      </c>
    </row>
    <row r="4542" spans="1:7" ht="12.75">
      <c r="A4542" s="134" t="s">
        <v>493</v>
      </c>
      <c r="B4542" s="134">
        <v>840</v>
      </c>
      <c r="C4542" s="491">
        <v>1</v>
      </c>
      <c r="D4542" s="491">
        <v>0</v>
      </c>
      <c r="E4542" s="491">
        <v>0</v>
      </c>
      <c r="F4542" s="491">
        <v>0</v>
      </c>
      <c r="G4542" s="491">
        <f t="shared" si="70"/>
        <v>1</v>
      </c>
    </row>
    <row r="4543" spans="1:7" ht="12.75">
      <c r="A4543" s="134" t="s">
        <v>502</v>
      </c>
      <c r="B4543" s="134">
        <v>100</v>
      </c>
      <c r="C4543" s="491">
        <v>76</v>
      </c>
      <c r="D4543" s="491">
        <v>518</v>
      </c>
      <c r="E4543" s="491">
        <v>2</v>
      </c>
      <c r="F4543" s="491">
        <v>188</v>
      </c>
      <c r="G4543" s="491">
        <f t="shared" si="70"/>
        <v>784</v>
      </c>
    </row>
    <row r="4544" spans="1:7" ht="12.75">
      <c r="A4544" s="134" t="s">
        <v>502</v>
      </c>
      <c r="B4544" s="134">
        <v>104</v>
      </c>
      <c r="C4544" s="491">
        <v>111</v>
      </c>
      <c r="D4544" s="491">
        <v>747</v>
      </c>
      <c r="E4544" s="491">
        <v>0</v>
      </c>
      <c r="F4544" s="491">
        <v>0</v>
      </c>
      <c r="G4544" s="491">
        <f t="shared" si="70"/>
        <v>858</v>
      </c>
    </row>
    <row r="4545" spans="1:7" ht="12.75">
      <c r="A4545" s="134" t="s">
        <v>502</v>
      </c>
      <c r="B4545" s="134">
        <v>106</v>
      </c>
      <c r="C4545" s="491">
        <v>4</v>
      </c>
      <c r="D4545" s="491">
        <v>83</v>
      </c>
      <c r="E4545" s="491">
        <v>0</v>
      </c>
      <c r="F4545" s="491">
        <v>0</v>
      </c>
      <c r="G4545" s="491">
        <f t="shared" si="70"/>
        <v>87</v>
      </c>
    </row>
    <row r="4546" spans="1:7" ht="12.75">
      <c r="A4546" s="134" t="s">
        <v>502</v>
      </c>
      <c r="B4546" s="134">
        <v>130</v>
      </c>
      <c r="C4546" s="491">
        <v>1</v>
      </c>
      <c r="D4546" s="491">
        <v>0</v>
      </c>
      <c r="E4546" s="491">
        <v>0</v>
      </c>
      <c r="F4546" s="491">
        <v>0</v>
      </c>
      <c r="G4546" s="491">
        <f t="shared" si="70"/>
        <v>1</v>
      </c>
    </row>
    <row r="4547" spans="1:7" ht="12.75">
      <c r="A4547" s="134" t="s">
        <v>502</v>
      </c>
      <c r="B4547" s="134">
        <v>300</v>
      </c>
      <c r="C4547" s="491">
        <v>2</v>
      </c>
      <c r="D4547" s="491">
        <v>12</v>
      </c>
      <c r="E4547" s="491">
        <v>0</v>
      </c>
      <c r="F4547" s="491">
        <v>0</v>
      </c>
      <c r="G4547" s="491">
        <f t="shared" si="70"/>
        <v>14</v>
      </c>
    </row>
    <row r="4548" spans="1:7" ht="12.75">
      <c r="A4548" s="134" t="s">
        <v>502</v>
      </c>
      <c r="B4548" s="134">
        <v>301</v>
      </c>
      <c r="C4548" s="491">
        <v>1520</v>
      </c>
      <c r="D4548" s="491">
        <v>556</v>
      </c>
      <c r="E4548" s="491">
        <v>0</v>
      </c>
      <c r="F4548" s="491">
        <v>2</v>
      </c>
      <c r="G4548" s="491">
        <f t="shared" ref="G4548:G4611" si="71">SUM(C4548:F4548)</f>
        <v>2078</v>
      </c>
    </row>
    <row r="4549" spans="1:7" ht="12.75">
      <c r="A4549" s="134" t="s">
        <v>502</v>
      </c>
      <c r="B4549" s="134">
        <v>307</v>
      </c>
      <c r="C4549" s="491">
        <v>1</v>
      </c>
      <c r="D4549" s="491">
        <v>0</v>
      </c>
      <c r="E4549" s="491">
        <v>0</v>
      </c>
      <c r="F4549" s="491">
        <v>0</v>
      </c>
      <c r="G4549" s="491">
        <f t="shared" si="71"/>
        <v>1</v>
      </c>
    </row>
    <row r="4550" spans="1:7" ht="12.75">
      <c r="A4550" s="134" t="s">
        <v>502</v>
      </c>
      <c r="B4550" s="134">
        <v>329</v>
      </c>
      <c r="C4550" s="491">
        <v>0</v>
      </c>
      <c r="D4550" s="491">
        <v>1</v>
      </c>
      <c r="E4550" s="491">
        <v>0</v>
      </c>
      <c r="F4550" s="491">
        <v>0</v>
      </c>
      <c r="G4550" s="491">
        <f t="shared" si="71"/>
        <v>1</v>
      </c>
    </row>
    <row r="4551" spans="1:7" ht="12.75">
      <c r="A4551" s="134" t="s">
        <v>502</v>
      </c>
      <c r="B4551" s="134">
        <v>340</v>
      </c>
      <c r="C4551" s="491">
        <v>1</v>
      </c>
      <c r="D4551" s="491">
        <v>0</v>
      </c>
      <c r="E4551" s="491">
        <v>0</v>
      </c>
      <c r="F4551" s="491">
        <v>0</v>
      </c>
      <c r="G4551" s="491">
        <f t="shared" si="71"/>
        <v>1</v>
      </c>
    </row>
    <row r="4552" spans="1:7" ht="12.75">
      <c r="A4552" s="134" t="s">
        <v>502</v>
      </c>
      <c r="B4552" s="134">
        <v>410</v>
      </c>
      <c r="C4552" s="491">
        <v>1</v>
      </c>
      <c r="D4552" s="491">
        <v>2</v>
      </c>
      <c r="E4552" s="491">
        <v>0</v>
      </c>
      <c r="F4552" s="491">
        <v>0</v>
      </c>
      <c r="G4552" s="491">
        <f t="shared" si="71"/>
        <v>3</v>
      </c>
    </row>
    <row r="4553" spans="1:7" ht="12.75">
      <c r="A4553" s="134" t="s">
        <v>502</v>
      </c>
      <c r="B4553" s="134">
        <v>430</v>
      </c>
      <c r="C4553" s="491">
        <v>0</v>
      </c>
      <c r="D4553" s="491">
        <v>1</v>
      </c>
      <c r="E4553" s="491">
        <v>0</v>
      </c>
      <c r="F4553" s="491">
        <v>0</v>
      </c>
      <c r="G4553" s="491">
        <f t="shared" si="71"/>
        <v>1</v>
      </c>
    </row>
    <row r="4554" spans="1:7" ht="12.75">
      <c r="A4554" s="134" t="s">
        <v>502</v>
      </c>
      <c r="B4554" s="134">
        <v>502</v>
      </c>
      <c r="C4554" s="491">
        <v>0</v>
      </c>
      <c r="D4554" s="491">
        <v>1</v>
      </c>
      <c r="E4554" s="491">
        <v>0</v>
      </c>
      <c r="F4554" s="491">
        <v>0</v>
      </c>
      <c r="G4554" s="491">
        <f t="shared" si="71"/>
        <v>1</v>
      </c>
    </row>
    <row r="4555" spans="1:7" ht="12.75">
      <c r="A4555" s="134" t="s">
        <v>502</v>
      </c>
      <c r="B4555" s="134">
        <v>800</v>
      </c>
      <c r="C4555" s="491">
        <v>1</v>
      </c>
      <c r="D4555" s="491">
        <v>0</v>
      </c>
      <c r="E4555" s="491">
        <v>0</v>
      </c>
      <c r="F4555" s="491">
        <v>0</v>
      </c>
      <c r="G4555" s="491">
        <f t="shared" si="71"/>
        <v>1</v>
      </c>
    </row>
    <row r="4556" spans="1:7" ht="12.75">
      <c r="A4556" s="134" t="s">
        <v>114</v>
      </c>
      <c r="B4556" s="134">
        <v>100</v>
      </c>
      <c r="C4556" s="491">
        <v>26</v>
      </c>
      <c r="D4556" s="491">
        <v>67</v>
      </c>
      <c r="E4556" s="491">
        <v>0</v>
      </c>
      <c r="F4556" s="491">
        <v>21</v>
      </c>
      <c r="G4556" s="491">
        <f t="shared" si="71"/>
        <v>114</v>
      </c>
    </row>
    <row r="4557" spans="1:7" ht="12.75">
      <c r="A4557" s="134" t="s">
        <v>114</v>
      </c>
      <c r="B4557" s="134">
        <v>104</v>
      </c>
      <c r="C4557" s="491">
        <v>21</v>
      </c>
      <c r="D4557" s="491">
        <v>23</v>
      </c>
      <c r="E4557" s="491">
        <v>1</v>
      </c>
      <c r="F4557" s="491">
        <v>0</v>
      </c>
      <c r="G4557" s="491">
        <f t="shared" si="71"/>
        <v>45</v>
      </c>
    </row>
    <row r="4558" spans="1:7" ht="12.75">
      <c r="A4558" s="134" t="s">
        <v>114</v>
      </c>
      <c r="B4558" s="134">
        <v>106</v>
      </c>
      <c r="C4558" s="491">
        <v>0</v>
      </c>
      <c r="D4558" s="491">
        <v>39</v>
      </c>
      <c r="E4558" s="491">
        <v>0</v>
      </c>
      <c r="F4558" s="491">
        <v>0</v>
      </c>
      <c r="G4558" s="491">
        <f t="shared" si="71"/>
        <v>39</v>
      </c>
    </row>
    <row r="4559" spans="1:7" ht="12.75">
      <c r="A4559" s="134" t="s">
        <v>114</v>
      </c>
      <c r="B4559" s="134">
        <v>120</v>
      </c>
      <c r="C4559" s="491">
        <v>1</v>
      </c>
      <c r="D4559" s="491">
        <v>1</v>
      </c>
      <c r="E4559" s="491">
        <v>0</v>
      </c>
      <c r="F4559" s="491">
        <v>0</v>
      </c>
      <c r="G4559" s="491">
        <f t="shared" si="71"/>
        <v>2</v>
      </c>
    </row>
    <row r="4560" spans="1:7" ht="12.75">
      <c r="A4560" s="134" t="s">
        <v>114</v>
      </c>
      <c r="B4560" s="134">
        <v>173</v>
      </c>
      <c r="C4560" s="491">
        <v>0</v>
      </c>
      <c r="D4560" s="491">
        <v>1</v>
      </c>
      <c r="E4560" s="491">
        <v>0</v>
      </c>
      <c r="F4560" s="491">
        <v>0</v>
      </c>
      <c r="G4560" s="491">
        <f t="shared" si="71"/>
        <v>1</v>
      </c>
    </row>
    <row r="4561" spans="1:7" ht="12.75">
      <c r="A4561" s="134" t="s">
        <v>114</v>
      </c>
      <c r="B4561" s="134">
        <v>301</v>
      </c>
      <c r="C4561" s="491">
        <v>36</v>
      </c>
      <c r="D4561" s="491">
        <v>37</v>
      </c>
      <c r="E4561" s="491">
        <v>0</v>
      </c>
      <c r="F4561" s="491">
        <v>0</v>
      </c>
      <c r="G4561" s="491">
        <f t="shared" si="71"/>
        <v>73</v>
      </c>
    </row>
    <row r="4562" spans="1:7" ht="12.75">
      <c r="A4562" s="134" t="s">
        <v>114</v>
      </c>
      <c r="B4562" s="134">
        <v>315</v>
      </c>
      <c r="C4562" s="491">
        <v>0</v>
      </c>
      <c r="D4562" s="491">
        <v>1</v>
      </c>
      <c r="E4562" s="491">
        <v>0</v>
      </c>
      <c r="F4562" s="491">
        <v>0</v>
      </c>
      <c r="G4562" s="491">
        <f t="shared" si="71"/>
        <v>1</v>
      </c>
    </row>
    <row r="4563" spans="1:7" ht="12.75">
      <c r="A4563" s="134" t="s">
        <v>114</v>
      </c>
      <c r="B4563" s="134">
        <v>812</v>
      </c>
      <c r="C4563" s="491">
        <v>2</v>
      </c>
      <c r="D4563" s="491">
        <v>2</v>
      </c>
      <c r="E4563" s="491">
        <v>0</v>
      </c>
      <c r="F4563" s="491">
        <v>0</v>
      </c>
      <c r="G4563" s="491">
        <f t="shared" si="71"/>
        <v>4</v>
      </c>
    </row>
    <row r="4564" spans="1:7" ht="12.75">
      <c r="A4564" s="134" t="s">
        <v>498</v>
      </c>
      <c r="B4564" s="134">
        <v>100</v>
      </c>
      <c r="C4564" s="491">
        <v>3792</v>
      </c>
      <c r="D4564" s="491">
        <v>34823</v>
      </c>
      <c r="E4564" s="491">
        <v>67</v>
      </c>
      <c r="F4564" s="491">
        <v>512</v>
      </c>
      <c r="G4564" s="491">
        <f t="shared" si="71"/>
        <v>39194</v>
      </c>
    </row>
    <row r="4565" spans="1:7" ht="12.75">
      <c r="A4565" s="134" t="s">
        <v>498</v>
      </c>
      <c r="B4565" s="134">
        <v>101</v>
      </c>
      <c r="C4565" s="491">
        <v>22</v>
      </c>
      <c r="D4565" s="491">
        <v>45</v>
      </c>
      <c r="E4565" s="491">
        <v>1</v>
      </c>
      <c r="F4565" s="491">
        <v>0</v>
      </c>
      <c r="G4565" s="491">
        <f t="shared" si="71"/>
        <v>68</v>
      </c>
    </row>
    <row r="4566" spans="1:7" ht="12.75">
      <c r="A4566" s="134" t="s">
        <v>498</v>
      </c>
      <c r="B4566" s="134">
        <v>103</v>
      </c>
      <c r="C4566" s="491">
        <v>8</v>
      </c>
      <c r="D4566" s="491">
        <v>11</v>
      </c>
      <c r="E4566" s="491">
        <v>0</v>
      </c>
      <c r="F4566" s="491">
        <v>0</v>
      </c>
      <c r="G4566" s="491">
        <f t="shared" si="71"/>
        <v>19</v>
      </c>
    </row>
    <row r="4567" spans="1:7" ht="12.75">
      <c r="A4567" s="134" t="s">
        <v>498</v>
      </c>
      <c r="B4567" s="134">
        <v>104</v>
      </c>
      <c r="C4567" s="491">
        <v>3277</v>
      </c>
      <c r="D4567" s="491">
        <v>32915</v>
      </c>
      <c r="E4567" s="491">
        <v>97</v>
      </c>
      <c r="F4567" s="491">
        <v>207</v>
      </c>
      <c r="G4567" s="491">
        <f t="shared" si="71"/>
        <v>36496</v>
      </c>
    </row>
    <row r="4568" spans="1:7" ht="12.75">
      <c r="A4568" s="134" t="s">
        <v>498</v>
      </c>
      <c r="B4568" s="134">
        <v>106</v>
      </c>
      <c r="C4568" s="491">
        <v>43</v>
      </c>
      <c r="D4568" s="491">
        <v>474</v>
      </c>
      <c r="E4568" s="491">
        <v>1</v>
      </c>
      <c r="F4568" s="491">
        <v>1</v>
      </c>
      <c r="G4568" s="491">
        <f t="shared" si="71"/>
        <v>519</v>
      </c>
    </row>
    <row r="4569" spans="1:7" ht="12.75">
      <c r="A4569" s="134" t="s">
        <v>498</v>
      </c>
      <c r="B4569" s="134">
        <v>107</v>
      </c>
      <c r="C4569" s="491">
        <v>12</v>
      </c>
      <c r="D4569" s="491">
        <v>13</v>
      </c>
      <c r="E4569" s="491">
        <v>0</v>
      </c>
      <c r="F4569" s="491">
        <v>0</v>
      </c>
      <c r="G4569" s="491">
        <f t="shared" si="71"/>
        <v>25</v>
      </c>
    </row>
    <row r="4570" spans="1:7" ht="12.75">
      <c r="A4570" s="134" t="s">
        <v>498</v>
      </c>
      <c r="B4570" s="134">
        <v>110</v>
      </c>
      <c r="C4570" s="491">
        <v>21</v>
      </c>
      <c r="D4570" s="491">
        <v>24</v>
      </c>
      <c r="E4570" s="491">
        <v>0</v>
      </c>
      <c r="F4570" s="491">
        <v>0</v>
      </c>
      <c r="G4570" s="491">
        <f t="shared" si="71"/>
        <v>45</v>
      </c>
    </row>
    <row r="4571" spans="1:7" ht="12.75">
      <c r="A4571" s="134" t="s">
        <v>498</v>
      </c>
      <c r="B4571" s="134">
        <v>120</v>
      </c>
      <c r="C4571" s="491">
        <v>15</v>
      </c>
      <c r="D4571" s="491">
        <v>29</v>
      </c>
      <c r="E4571" s="491">
        <v>0</v>
      </c>
      <c r="F4571" s="491">
        <v>0</v>
      </c>
      <c r="G4571" s="491">
        <f t="shared" si="71"/>
        <v>44</v>
      </c>
    </row>
    <row r="4572" spans="1:7" ht="12.75">
      <c r="A4572" s="134" t="s">
        <v>498</v>
      </c>
      <c r="B4572" s="134">
        <v>130</v>
      </c>
      <c r="C4572" s="491">
        <v>58</v>
      </c>
      <c r="D4572" s="491">
        <v>26</v>
      </c>
      <c r="E4572" s="491">
        <v>1</v>
      </c>
      <c r="F4572" s="491">
        <v>0</v>
      </c>
      <c r="G4572" s="491">
        <f t="shared" si="71"/>
        <v>85</v>
      </c>
    </row>
    <row r="4573" spans="1:7" ht="12.75">
      <c r="A4573" s="134" t="s">
        <v>498</v>
      </c>
      <c r="B4573" s="134">
        <v>140</v>
      </c>
      <c r="C4573" s="491">
        <v>5</v>
      </c>
      <c r="D4573" s="491">
        <v>2</v>
      </c>
      <c r="E4573" s="491">
        <v>0</v>
      </c>
      <c r="F4573" s="491">
        <v>0</v>
      </c>
      <c r="G4573" s="491">
        <f t="shared" si="71"/>
        <v>7</v>
      </c>
    </row>
    <row r="4574" spans="1:7" ht="12.75">
      <c r="A4574" s="134" t="s">
        <v>498</v>
      </c>
      <c r="B4574" s="134">
        <v>143</v>
      </c>
      <c r="C4574" s="491">
        <v>2</v>
      </c>
      <c r="D4574" s="491">
        <v>0</v>
      </c>
      <c r="E4574" s="491">
        <v>0</v>
      </c>
      <c r="F4574" s="491">
        <v>0</v>
      </c>
      <c r="G4574" s="491">
        <f t="shared" si="71"/>
        <v>2</v>
      </c>
    </row>
    <row r="4575" spans="1:7" ht="12.75">
      <c r="A4575" s="134" t="s">
        <v>498</v>
      </c>
      <c r="B4575" s="134">
        <v>144</v>
      </c>
      <c r="C4575" s="491">
        <v>0</v>
      </c>
      <c r="D4575" s="491">
        <v>2</v>
      </c>
      <c r="E4575" s="491">
        <v>0</v>
      </c>
      <c r="F4575" s="491">
        <v>0</v>
      </c>
      <c r="G4575" s="491">
        <f t="shared" si="71"/>
        <v>2</v>
      </c>
    </row>
    <row r="4576" spans="1:7" ht="12.75">
      <c r="A4576" s="134" t="s">
        <v>498</v>
      </c>
      <c r="B4576" s="134">
        <v>150</v>
      </c>
      <c r="C4576" s="491">
        <v>1</v>
      </c>
      <c r="D4576" s="491">
        <v>5</v>
      </c>
      <c r="E4576" s="491">
        <v>0</v>
      </c>
      <c r="F4576" s="491">
        <v>0</v>
      </c>
      <c r="G4576" s="491">
        <f t="shared" si="71"/>
        <v>6</v>
      </c>
    </row>
    <row r="4577" spans="1:7" ht="12.75">
      <c r="A4577" s="134" t="s">
        <v>498</v>
      </c>
      <c r="B4577" s="134">
        <v>160</v>
      </c>
      <c r="C4577" s="491">
        <v>1</v>
      </c>
      <c r="D4577" s="491">
        <v>8</v>
      </c>
      <c r="E4577" s="491">
        <v>0</v>
      </c>
      <c r="F4577" s="491">
        <v>0</v>
      </c>
      <c r="G4577" s="491">
        <f t="shared" si="71"/>
        <v>9</v>
      </c>
    </row>
    <row r="4578" spans="1:7" ht="12.75">
      <c r="A4578" s="134" t="s">
        <v>498</v>
      </c>
      <c r="B4578" s="134">
        <v>171</v>
      </c>
      <c r="C4578" s="491">
        <v>0</v>
      </c>
      <c r="D4578" s="491">
        <v>2</v>
      </c>
      <c r="E4578" s="491">
        <v>0</v>
      </c>
      <c r="F4578" s="491">
        <v>0</v>
      </c>
      <c r="G4578" s="491">
        <f t="shared" si="71"/>
        <v>2</v>
      </c>
    </row>
    <row r="4579" spans="1:7" ht="12.75">
      <c r="A4579" s="134" t="s">
        <v>498</v>
      </c>
      <c r="B4579" s="134">
        <v>172</v>
      </c>
      <c r="C4579" s="491">
        <v>0</v>
      </c>
      <c r="D4579" s="491">
        <v>1</v>
      </c>
      <c r="E4579" s="491">
        <v>0</v>
      </c>
      <c r="F4579" s="491">
        <v>0</v>
      </c>
      <c r="G4579" s="491">
        <f t="shared" si="71"/>
        <v>1</v>
      </c>
    </row>
    <row r="4580" spans="1:7" ht="12.75">
      <c r="A4580" s="134" t="s">
        <v>498</v>
      </c>
      <c r="B4580" s="134">
        <v>190</v>
      </c>
      <c r="C4580" s="491">
        <v>0</v>
      </c>
      <c r="D4580" s="491">
        <v>4</v>
      </c>
      <c r="E4580" s="491">
        <v>0</v>
      </c>
      <c r="F4580" s="491">
        <v>0</v>
      </c>
      <c r="G4580" s="491">
        <f t="shared" si="71"/>
        <v>4</v>
      </c>
    </row>
    <row r="4581" spans="1:7" ht="12.75">
      <c r="A4581" s="134" t="s">
        <v>498</v>
      </c>
      <c r="B4581" s="134">
        <v>191</v>
      </c>
      <c r="C4581" s="491">
        <v>4</v>
      </c>
      <c r="D4581" s="491">
        <v>1</v>
      </c>
      <c r="E4581" s="491">
        <v>0</v>
      </c>
      <c r="F4581" s="491">
        <v>0</v>
      </c>
      <c r="G4581" s="491">
        <f t="shared" si="71"/>
        <v>5</v>
      </c>
    </row>
    <row r="4582" spans="1:7" ht="12.75">
      <c r="A4582" s="134" t="s">
        <v>498</v>
      </c>
      <c r="B4582" s="134">
        <v>300</v>
      </c>
      <c r="C4582" s="491">
        <v>60</v>
      </c>
      <c r="D4582" s="491">
        <v>178</v>
      </c>
      <c r="E4582" s="491">
        <v>0</v>
      </c>
      <c r="F4582" s="491">
        <v>1</v>
      </c>
      <c r="G4582" s="491">
        <f t="shared" si="71"/>
        <v>239</v>
      </c>
    </row>
    <row r="4583" spans="1:7" ht="12.75">
      <c r="A4583" s="134" t="s">
        <v>498</v>
      </c>
      <c r="B4583" s="134">
        <v>301</v>
      </c>
      <c r="C4583" s="491">
        <v>746</v>
      </c>
      <c r="D4583" s="491">
        <v>1968</v>
      </c>
      <c r="E4583" s="491">
        <v>6</v>
      </c>
      <c r="F4583" s="491">
        <v>5</v>
      </c>
      <c r="G4583" s="491">
        <f t="shared" si="71"/>
        <v>2725</v>
      </c>
    </row>
    <row r="4584" spans="1:7" ht="12.75">
      <c r="A4584" s="134" t="s">
        <v>498</v>
      </c>
      <c r="B4584" s="134">
        <v>302</v>
      </c>
      <c r="C4584" s="491">
        <v>2</v>
      </c>
      <c r="D4584" s="491">
        <v>9</v>
      </c>
      <c r="E4584" s="491">
        <v>0</v>
      </c>
      <c r="F4584" s="491">
        <v>0</v>
      </c>
      <c r="G4584" s="491">
        <f t="shared" si="71"/>
        <v>11</v>
      </c>
    </row>
    <row r="4585" spans="1:7" ht="12.75">
      <c r="A4585" s="134" t="s">
        <v>498</v>
      </c>
      <c r="B4585" s="134">
        <v>303</v>
      </c>
      <c r="C4585" s="491">
        <v>10</v>
      </c>
      <c r="D4585" s="491">
        <v>6</v>
      </c>
      <c r="E4585" s="491">
        <v>0</v>
      </c>
      <c r="F4585" s="491">
        <v>0</v>
      </c>
      <c r="G4585" s="491">
        <f t="shared" si="71"/>
        <v>16</v>
      </c>
    </row>
    <row r="4586" spans="1:7" ht="12.75">
      <c r="A4586" s="134" t="s">
        <v>498</v>
      </c>
      <c r="B4586" s="134">
        <v>304</v>
      </c>
      <c r="C4586" s="491">
        <v>0</v>
      </c>
      <c r="D4586" s="491">
        <v>1</v>
      </c>
      <c r="E4586" s="491">
        <v>0</v>
      </c>
      <c r="F4586" s="491">
        <v>0</v>
      </c>
      <c r="G4586" s="491">
        <f t="shared" si="71"/>
        <v>1</v>
      </c>
    </row>
    <row r="4587" spans="1:7" ht="12.75">
      <c r="A4587" s="134" t="s">
        <v>498</v>
      </c>
      <c r="B4587" s="134">
        <v>306</v>
      </c>
      <c r="C4587" s="491">
        <v>26</v>
      </c>
      <c r="D4587" s="491">
        <v>106</v>
      </c>
      <c r="E4587" s="491">
        <v>0</v>
      </c>
      <c r="F4587" s="491">
        <v>0</v>
      </c>
      <c r="G4587" s="491">
        <f t="shared" si="71"/>
        <v>132</v>
      </c>
    </row>
    <row r="4588" spans="1:7" ht="12.75">
      <c r="A4588" s="134" t="s">
        <v>498</v>
      </c>
      <c r="B4588" s="134">
        <v>307</v>
      </c>
      <c r="C4588" s="491">
        <v>14</v>
      </c>
      <c r="D4588" s="491">
        <v>3</v>
      </c>
      <c r="E4588" s="491">
        <v>0</v>
      </c>
      <c r="F4588" s="491">
        <v>0</v>
      </c>
      <c r="G4588" s="491">
        <f t="shared" si="71"/>
        <v>17</v>
      </c>
    </row>
    <row r="4589" spans="1:7" ht="12.75">
      <c r="A4589" s="134" t="s">
        <v>498</v>
      </c>
      <c r="B4589" s="134">
        <v>310</v>
      </c>
      <c r="C4589" s="491">
        <v>0</v>
      </c>
      <c r="D4589" s="491">
        <v>7</v>
      </c>
      <c r="E4589" s="491">
        <v>0</v>
      </c>
      <c r="F4589" s="491">
        <v>0</v>
      </c>
      <c r="G4589" s="491">
        <f t="shared" si="71"/>
        <v>7</v>
      </c>
    </row>
    <row r="4590" spans="1:7" ht="12.75">
      <c r="A4590" s="134" t="s">
        <v>498</v>
      </c>
      <c r="B4590" s="134">
        <v>311</v>
      </c>
      <c r="C4590" s="491">
        <v>0</v>
      </c>
      <c r="D4590" s="491">
        <v>1</v>
      </c>
      <c r="E4590" s="491">
        <v>0</v>
      </c>
      <c r="F4590" s="491">
        <v>0</v>
      </c>
      <c r="G4590" s="491">
        <f t="shared" si="71"/>
        <v>1</v>
      </c>
    </row>
    <row r="4591" spans="1:7" ht="12.75">
      <c r="A4591" s="134" t="s">
        <v>498</v>
      </c>
      <c r="B4591" s="134">
        <v>314</v>
      </c>
      <c r="C4591" s="491">
        <v>1</v>
      </c>
      <c r="D4591" s="491">
        <v>0</v>
      </c>
      <c r="E4591" s="491">
        <v>0</v>
      </c>
      <c r="F4591" s="491">
        <v>0</v>
      </c>
      <c r="G4591" s="491">
        <f t="shared" si="71"/>
        <v>1</v>
      </c>
    </row>
    <row r="4592" spans="1:7" ht="12.75">
      <c r="A4592" s="134" t="s">
        <v>498</v>
      </c>
      <c r="B4592" s="134">
        <v>320</v>
      </c>
      <c r="C4592" s="491">
        <v>3</v>
      </c>
      <c r="D4592" s="491">
        <v>27</v>
      </c>
      <c r="E4592" s="491">
        <v>0</v>
      </c>
      <c r="F4592" s="491">
        <v>0</v>
      </c>
      <c r="G4592" s="491">
        <f t="shared" si="71"/>
        <v>30</v>
      </c>
    </row>
    <row r="4593" spans="1:7" ht="12.75">
      <c r="A4593" s="134" t="s">
        <v>498</v>
      </c>
      <c r="B4593" s="134">
        <v>324</v>
      </c>
      <c r="C4593" s="491">
        <v>1</v>
      </c>
      <c r="D4593" s="491">
        <v>3</v>
      </c>
      <c r="E4593" s="491">
        <v>0</v>
      </c>
      <c r="F4593" s="491">
        <v>0</v>
      </c>
      <c r="G4593" s="491">
        <f t="shared" si="71"/>
        <v>4</v>
      </c>
    </row>
    <row r="4594" spans="1:7" ht="12.75">
      <c r="A4594" s="134" t="s">
        <v>498</v>
      </c>
      <c r="B4594" s="134">
        <v>328</v>
      </c>
      <c r="C4594" s="491">
        <v>2</v>
      </c>
      <c r="D4594" s="491">
        <v>1</v>
      </c>
      <c r="E4594" s="491">
        <v>0</v>
      </c>
      <c r="F4594" s="491">
        <v>0</v>
      </c>
      <c r="G4594" s="491">
        <f t="shared" si="71"/>
        <v>3</v>
      </c>
    </row>
    <row r="4595" spans="1:7" ht="12.75">
      <c r="A4595" s="134" t="s">
        <v>498</v>
      </c>
      <c r="B4595" s="134">
        <v>330</v>
      </c>
      <c r="C4595" s="491">
        <v>10</v>
      </c>
      <c r="D4595" s="491">
        <v>25</v>
      </c>
      <c r="E4595" s="491">
        <v>0</v>
      </c>
      <c r="F4595" s="491">
        <v>0</v>
      </c>
      <c r="G4595" s="491">
        <f t="shared" si="71"/>
        <v>35</v>
      </c>
    </row>
    <row r="4596" spans="1:7" ht="12.75">
      <c r="A4596" s="134" t="s">
        <v>498</v>
      </c>
      <c r="B4596" s="134">
        <v>340</v>
      </c>
      <c r="C4596" s="491">
        <v>13</v>
      </c>
      <c r="D4596" s="491">
        <v>14</v>
      </c>
      <c r="E4596" s="491">
        <v>0</v>
      </c>
      <c r="F4596" s="491">
        <v>0</v>
      </c>
      <c r="G4596" s="491">
        <f t="shared" si="71"/>
        <v>27</v>
      </c>
    </row>
    <row r="4597" spans="1:7" ht="12.75">
      <c r="A4597" s="134" t="s">
        <v>498</v>
      </c>
      <c r="B4597" s="134">
        <v>341</v>
      </c>
      <c r="C4597" s="491">
        <v>1</v>
      </c>
      <c r="D4597" s="491">
        <v>3</v>
      </c>
      <c r="E4597" s="491">
        <v>0</v>
      </c>
      <c r="F4597" s="491">
        <v>0</v>
      </c>
      <c r="G4597" s="491">
        <f t="shared" si="71"/>
        <v>4</v>
      </c>
    </row>
    <row r="4598" spans="1:7" ht="12.75">
      <c r="A4598" s="134" t="s">
        <v>498</v>
      </c>
      <c r="B4598" s="134">
        <v>361</v>
      </c>
      <c r="C4598" s="491">
        <v>17</v>
      </c>
      <c r="D4598" s="491">
        <v>16</v>
      </c>
      <c r="E4598" s="491">
        <v>0</v>
      </c>
      <c r="F4598" s="491">
        <v>0</v>
      </c>
      <c r="G4598" s="491">
        <f t="shared" si="71"/>
        <v>33</v>
      </c>
    </row>
    <row r="4599" spans="1:7" ht="12.75">
      <c r="A4599" s="134" t="s">
        <v>498</v>
      </c>
      <c r="B4599" s="134">
        <v>370</v>
      </c>
      <c r="C4599" s="491">
        <v>8</v>
      </c>
      <c r="D4599" s="491">
        <v>5</v>
      </c>
      <c r="E4599" s="491">
        <v>0</v>
      </c>
      <c r="F4599" s="491">
        <v>0</v>
      </c>
      <c r="G4599" s="491">
        <f t="shared" si="71"/>
        <v>13</v>
      </c>
    </row>
    <row r="4600" spans="1:7" ht="12.75">
      <c r="A4600" s="134" t="s">
        <v>498</v>
      </c>
      <c r="B4600" s="134">
        <v>400</v>
      </c>
      <c r="C4600" s="491">
        <v>3</v>
      </c>
      <c r="D4600" s="491">
        <v>12</v>
      </c>
      <c r="E4600" s="491">
        <v>0</v>
      </c>
      <c r="F4600" s="491">
        <v>0</v>
      </c>
      <c r="G4600" s="491">
        <f t="shared" si="71"/>
        <v>15</v>
      </c>
    </row>
    <row r="4601" spans="1:7" ht="12.75">
      <c r="A4601" s="134" t="s">
        <v>498</v>
      </c>
      <c r="B4601" s="134">
        <v>410</v>
      </c>
      <c r="C4601" s="491">
        <v>8</v>
      </c>
      <c r="D4601" s="491">
        <v>10</v>
      </c>
      <c r="E4601" s="491">
        <v>0</v>
      </c>
      <c r="F4601" s="491">
        <v>0</v>
      </c>
      <c r="G4601" s="491">
        <f t="shared" si="71"/>
        <v>18</v>
      </c>
    </row>
    <row r="4602" spans="1:7" ht="12.75">
      <c r="A4602" s="134" t="s">
        <v>498</v>
      </c>
      <c r="B4602" s="134">
        <v>430</v>
      </c>
      <c r="C4602" s="491">
        <v>5</v>
      </c>
      <c r="D4602" s="491">
        <v>60</v>
      </c>
      <c r="E4602" s="491">
        <v>4</v>
      </c>
      <c r="F4602" s="491">
        <v>18</v>
      </c>
      <c r="G4602" s="491">
        <f t="shared" si="71"/>
        <v>87</v>
      </c>
    </row>
    <row r="4603" spans="1:7" ht="12.75">
      <c r="A4603" s="134" t="s">
        <v>498</v>
      </c>
      <c r="B4603" s="134">
        <v>460</v>
      </c>
      <c r="C4603" s="491">
        <v>2</v>
      </c>
      <c r="D4603" s="491">
        <v>0</v>
      </c>
      <c r="E4603" s="491">
        <v>0</v>
      </c>
      <c r="F4603" s="491">
        <v>0</v>
      </c>
      <c r="G4603" s="491">
        <f t="shared" si="71"/>
        <v>2</v>
      </c>
    </row>
    <row r="4604" spans="1:7" ht="12.75">
      <c r="A4604" s="134" t="s">
        <v>498</v>
      </c>
      <c r="B4604" s="134">
        <v>501</v>
      </c>
      <c r="C4604" s="491">
        <v>18</v>
      </c>
      <c r="D4604" s="491">
        <v>16</v>
      </c>
      <c r="E4604" s="491">
        <v>0</v>
      </c>
      <c r="F4604" s="491">
        <v>0</v>
      </c>
      <c r="G4604" s="491">
        <f t="shared" si="71"/>
        <v>34</v>
      </c>
    </row>
    <row r="4605" spans="1:7" ht="12.75">
      <c r="A4605" s="134" t="s">
        <v>498</v>
      </c>
      <c r="B4605" s="134">
        <v>502</v>
      </c>
      <c r="C4605" s="491">
        <v>12</v>
      </c>
      <c r="D4605" s="491">
        <v>30</v>
      </c>
      <c r="E4605" s="491">
        <v>1</v>
      </c>
      <c r="F4605" s="491">
        <v>3</v>
      </c>
      <c r="G4605" s="491">
        <f t="shared" si="71"/>
        <v>46</v>
      </c>
    </row>
    <row r="4606" spans="1:7" ht="12.75">
      <c r="A4606" s="134" t="s">
        <v>498</v>
      </c>
      <c r="B4606" s="134">
        <v>560</v>
      </c>
      <c r="C4606" s="491">
        <v>1</v>
      </c>
      <c r="D4606" s="491">
        <v>11</v>
      </c>
      <c r="E4606" s="491">
        <v>0</v>
      </c>
      <c r="F4606" s="491">
        <v>0</v>
      </c>
      <c r="G4606" s="491">
        <f t="shared" si="71"/>
        <v>12</v>
      </c>
    </row>
    <row r="4607" spans="1:7" ht="12.75">
      <c r="A4607" s="134" t="s">
        <v>498</v>
      </c>
      <c r="B4607" s="134">
        <v>650</v>
      </c>
      <c r="C4607" s="491">
        <v>4</v>
      </c>
      <c r="D4607" s="491">
        <v>34</v>
      </c>
      <c r="E4607" s="491">
        <v>0</v>
      </c>
      <c r="F4607" s="491">
        <v>0</v>
      </c>
      <c r="G4607" s="491">
        <f t="shared" si="71"/>
        <v>38</v>
      </c>
    </row>
    <row r="4608" spans="1:7" ht="12.75">
      <c r="A4608" s="134" t="s">
        <v>498</v>
      </c>
      <c r="B4608" s="134">
        <v>653</v>
      </c>
      <c r="C4608" s="491">
        <v>0</v>
      </c>
      <c r="D4608" s="491">
        <v>2</v>
      </c>
      <c r="E4608" s="491">
        <v>0</v>
      </c>
      <c r="F4608" s="491">
        <v>0</v>
      </c>
      <c r="G4608" s="491">
        <f t="shared" si="71"/>
        <v>2</v>
      </c>
    </row>
    <row r="4609" spans="1:7" ht="12.75">
      <c r="A4609" s="134" t="s">
        <v>498</v>
      </c>
      <c r="B4609" s="134">
        <v>654</v>
      </c>
      <c r="C4609" s="491">
        <v>0</v>
      </c>
      <c r="D4609" s="491">
        <v>1</v>
      </c>
      <c r="E4609" s="491">
        <v>0</v>
      </c>
      <c r="F4609" s="491">
        <v>0</v>
      </c>
      <c r="G4609" s="491">
        <f t="shared" si="71"/>
        <v>1</v>
      </c>
    </row>
    <row r="4610" spans="1:7" ht="12.75">
      <c r="A4610" s="134" t="s">
        <v>498</v>
      </c>
      <c r="B4610" s="134">
        <v>800</v>
      </c>
      <c r="C4610" s="491">
        <v>331</v>
      </c>
      <c r="D4610" s="491">
        <v>17</v>
      </c>
      <c r="E4610" s="491">
        <v>0</v>
      </c>
      <c r="F4610" s="491">
        <v>1</v>
      </c>
      <c r="G4610" s="491">
        <f t="shared" si="71"/>
        <v>349</v>
      </c>
    </row>
    <row r="4611" spans="1:7" ht="12.75">
      <c r="A4611" s="134" t="s">
        <v>498</v>
      </c>
      <c r="B4611" s="134">
        <v>812</v>
      </c>
      <c r="C4611" s="491">
        <v>0</v>
      </c>
      <c r="D4611" s="491">
        <v>9</v>
      </c>
      <c r="E4611" s="491">
        <v>0</v>
      </c>
      <c r="F4611" s="491">
        <v>0</v>
      </c>
      <c r="G4611" s="491">
        <f t="shared" si="71"/>
        <v>9</v>
      </c>
    </row>
    <row r="4612" spans="1:7" ht="12.75">
      <c r="A4612" s="134" t="s">
        <v>498</v>
      </c>
      <c r="B4612" s="134">
        <v>822</v>
      </c>
      <c r="C4612" s="491">
        <v>1</v>
      </c>
      <c r="D4612" s="491">
        <v>0</v>
      </c>
      <c r="E4612" s="491">
        <v>0</v>
      </c>
      <c r="F4612" s="491">
        <v>0</v>
      </c>
      <c r="G4612" s="491">
        <f t="shared" ref="G4612:G4675" si="72">SUM(C4612:F4612)</f>
        <v>1</v>
      </c>
    </row>
    <row r="4613" spans="1:7" ht="12.75">
      <c r="A4613" s="134" t="s">
        <v>498</v>
      </c>
      <c r="B4613" s="134">
        <v>840</v>
      </c>
      <c r="C4613" s="491">
        <v>0</v>
      </c>
      <c r="D4613" s="491">
        <v>2</v>
      </c>
      <c r="E4613" s="491">
        <v>0</v>
      </c>
      <c r="F4613" s="491">
        <v>0</v>
      </c>
      <c r="G4613" s="491">
        <f t="shared" si="72"/>
        <v>2</v>
      </c>
    </row>
    <row r="4614" spans="1:7" ht="12.75">
      <c r="A4614" s="134" t="s">
        <v>354</v>
      </c>
      <c r="B4614" s="134">
        <v>100</v>
      </c>
      <c r="C4614" s="491">
        <v>30</v>
      </c>
      <c r="D4614" s="491">
        <v>190</v>
      </c>
      <c r="E4614" s="491">
        <v>0</v>
      </c>
      <c r="F4614" s="491">
        <v>1</v>
      </c>
      <c r="G4614" s="491">
        <f t="shared" si="72"/>
        <v>221</v>
      </c>
    </row>
    <row r="4615" spans="1:7" ht="12.75">
      <c r="A4615" s="134" t="s">
        <v>354</v>
      </c>
      <c r="B4615" s="134">
        <v>101</v>
      </c>
      <c r="C4615" s="491">
        <v>0</v>
      </c>
      <c r="D4615" s="491">
        <v>2</v>
      </c>
      <c r="E4615" s="491">
        <v>0</v>
      </c>
      <c r="F4615" s="491">
        <v>0</v>
      </c>
      <c r="G4615" s="491">
        <f t="shared" si="72"/>
        <v>2</v>
      </c>
    </row>
    <row r="4616" spans="1:7" ht="12.75">
      <c r="A4616" s="134" t="s">
        <v>354</v>
      </c>
      <c r="B4616" s="134">
        <v>103</v>
      </c>
      <c r="C4616" s="491">
        <v>1</v>
      </c>
      <c r="D4616" s="491">
        <v>0</v>
      </c>
      <c r="E4616" s="491">
        <v>0</v>
      </c>
      <c r="F4616" s="491">
        <v>0</v>
      </c>
      <c r="G4616" s="491">
        <f t="shared" si="72"/>
        <v>1</v>
      </c>
    </row>
    <row r="4617" spans="1:7" ht="12.75">
      <c r="A4617" s="134" t="s">
        <v>354</v>
      </c>
      <c r="B4617" s="134">
        <v>104</v>
      </c>
      <c r="C4617" s="491">
        <v>14</v>
      </c>
      <c r="D4617" s="491">
        <v>199</v>
      </c>
      <c r="E4617" s="491">
        <v>2</v>
      </c>
      <c r="F4617" s="491">
        <v>3</v>
      </c>
      <c r="G4617" s="491">
        <f t="shared" si="72"/>
        <v>218</v>
      </c>
    </row>
    <row r="4618" spans="1:7" ht="12.75">
      <c r="A4618" s="134" t="s">
        <v>354</v>
      </c>
      <c r="B4618" s="134">
        <v>106</v>
      </c>
      <c r="C4618" s="491">
        <v>1</v>
      </c>
      <c r="D4618" s="491">
        <v>2</v>
      </c>
      <c r="E4618" s="491">
        <v>0</v>
      </c>
      <c r="F4618" s="491">
        <v>0</v>
      </c>
      <c r="G4618" s="491">
        <f t="shared" si="72"/>
        <v>3</v>
      </c>
    </row>
    <row r="4619" spans="1:7" ht="12.75">
      <c r="A4619" s="134" t="s">
        <v>354</v>
      </c>
      <c r="B4619" s="134">
        <v>110</v>
      </c>
      <c r="C4619" s="491">
        <v>0</v>
      </c>
      <c r="D4619" s="491">
        <v>7</v>
      </c>
      <c r="E4619" s="491">
        <v>0</v>
      </c>
      <c r="F4619" s="491">
        <v>0</v>
      </c>
      <c r="G4619" s="491">
        <f t="shared" si="72"/>
        <v>7</v>
      </c>
    </row>
    <row r="4620" spans="1:7" ht="12.75">
      <c r="A4620" s="134" t="s">
        <v>354</v>
      </c>
      <c r="B4620" s="134">
        <v>120</v>
      </c>
      <c r="C4620" s="491">
        <v>2</v>
      </c>
      <c r="D4620" s="491">
        <v>5</v>
      </c>
      <c r="E4620" s="491">
        <v>0</v>
      </c>
      <c r="F4620" s="491">
        <v>0</v>
      </c>
      <c r="G4620" s="491">
        <f t="shared" si="72"/>
        <v>7</v>
      </c>
    </row>
    <row r="4621" spans="1:7" ht="12.75">
      <c r="A4621" s="134" t="s">
        <v>354</v>
      </c>
      <c r="B4621" s="134">
        <v>130</v>
      </c>
      <c r="C4621" s="491">
        <v>10</v>
      </c>
      <c r="D4621" s="491">
        <v>4</v>
      </c>
      <c r="E4621" s="491">
        <v>0</v>
      </c>
      <c r="F4621" s="491">
        <v>0</v>
      </c>
      <c r="G4621" s="491">
        <f t="shared" si="72"/>
        <v>14</v>
      </c>
    </row>
    <row r="4622" spans="1:7" ht="12.75">
      <c r="A4622" s="134" t="s">
        <v>354</v>
      </c>
      <c r="B4622" s="134">
        <v>140</v>
      </c>
      <c r="C4622" s="491">
        <v>0</v>
      </c>
      <c r="D4622" s="491">
        <v>4</v>
      </c>
      <c r="E4622" s="491">
        <v>0</v>
      </c>
      <c r="F4622" s="491">
        <v>0</v>
      </c>
      <c r="G4622" s="491">
        <f t="shared" si="72"/>
        <v>4</v>
      </c>
    </row>
    <row r="4623" spans="1:7" ht="12.75">
      <c r="A4623" s="134" t="s">
        <v>354</v>
      </c>
      <c r="B4623" s="134">
        <v>143</v>
      </c>
      <c r="C4623" s="491">
        <v>12</v>
      </c>
      <c r="D4623" s="491">
        <v>5</v>
      </c>
      <c r="E4623" s="491">
        <v>0</v>
      </c>
      <c r="F4623" s="491">
        <v>0</v>
      </c>
      <c r="G4623" s="491">
        <f t="shared" si="72"/>
        <v>17</v>
      </c>
    </row>
    <row r="4624" spans="1:7" ht="12.75">
      <c r="A4624" s="134" t="s">
        <v>354</v>
      </c>
      <c r="B4624" s="134">
        <v>160</v>
      </c>
      <c r="C4624" s="491">
        <v>2</v>
      </c>
      <c r="D4624" s="491">
        <v>3</v>
      </c>
      <c r="E4624" s="491">
        <v>0</v>
      </c>
      <c r="F4624" s="491">
        <v>0</v>
      </c>
      <c r="G4624" s="491">
        <f t="shared" si="72"/>
        <v>5</v>
      </c>
    </row>
    <row r="4625" spans="1:7" ht="12.75">
      <c r="A4625" s="134" t="s">
        <v>354</v>
      </c>
      <c r="B4625" s="134">
        <v>171</v>
      </c>
      <c r="C4625" s="491">
        <v>5</v>
      </c>
      <c r="D4625" s="491">
        <v>8</v>
      </c>
      <c r="E4625" s="491">
        <v>0</v>
      </c>
      <c r="F4625" s="491">
        <v>0</v>
      </c>
      <c r="G4625" s="491">
        <f t="shared" si="72"/>
        <v>13</v>
      </c>
    </row>
    <row r="4626" spans="1:7" ht="12.75">
      <c r="A4626" s="134" t="s">
        <v>354</v>
      </c>
      <c r="B4626" s="134">
        <v>180</v>
      </c>
      <c r="C4626" s="491">
        <v>0</v>
      </c>
      <c r="D4626" s="491">
        <v>2</v>
      </c>
      <c r="E4626" s="491">
        <v>0</v>
      </c>
      <c r="F4626" s="491">
        <v>0</v>
      </c>
      <c r="G4626" s="491">
        <f t="shared" si="72"/>
        <v>2</v>
      </c>
    </row>
    <row r="4627" spans="1:7" ht="12.75">
      <c r="A4627" s="134" t="s">
        <v>354</v>
      </c>
      <c r="B4627" s="134">
        <v>191</v>
      </c>
      <c r="C4627" s="491">
        <v>1</v>
      </c>
      <c r="D4627" s="491">
        <v>0</v>
      </c>
      <c r="E4627" s="491">
        <v>0</v>
      </c>
      <c r="F4627" s="491">
        <v>0</v>
      </c>
      <c r="G4627" s="491">
        <f t="shared" si="72"/>
        <v>1</v>
      </c>
    </row>
    <row r="4628" spans="1:7" ht="12.75">
      <c r="A4628" s="134" t="s">
        <v>354</v>
      </c>
      <c r="B4628" s="134">
        <v>211</v>
      </c>
      <c r="C4628" s="491">
        <v>0</v>
      </c>
      <c r="D4628" s="491">
        <v>4</v>
      </c>
      <c r="E4628" s="491">
        <v>0</v>
      </c>
      <c r="F4628" s="491">
        <v>0</v>
      </c>
      <c r="G4628" s="491">
        <f t="shared" si="72"/>
        <v>4</v>
      </c>
    </row>
    <row r="4629" spans="1:7" ht="12.75">
      <c r="A4629" s="134" t="s">
        <v>354</v>
      </c>
      <c r="B4629" s="134">
        <v>214</v>
      </c>
      <c r="C4629" s="491">
        <v>1</v>
      </c>
      <c r="D4629" s="491">
        <v>0</v>
      </c>
      <c r="E4629" s="491">
        <v>0</v>
      </c>
      <c r="F4629" s="491">
        <v>0</v>
      </c>
      <c r="G4629" s="491">
        <f t="shared" si="72"/>
        <v>1</v>
      </c>
    </row>
    <row r="4630" spans="1:7" ht="12.75">
      <c r="A4630" s="134" t="s">
        <v>354</v>
      </c>
      <c r="B4630" s="134">
        <v>215</v>
      </c>
      <c r="C4630" s="491">
        <v>1</v>
      </c>
      <c r="D4630" s="491">
        <v>1</v>
      </c>
      <c r="E4630" s="491">
        <v>0</v>
      </c>
      <c r="F4630" s="491">
        <v>0</v>
      </c>
      <c r="G4630" s="491">
        <f t="shared" si="72"/>
        <v>2</v>
      </c>
    </row>
    <row r="4631" spans="1:7" ht="12.75">
      <c r="A4631" s="134" t="s">
        <v>354</v>
      </c>
      <c r="B4631" s="134">
        <v>216</v>
      </c>
      <c r="C4631" s="491">
        <v>1</v>
      </c>
      <c r="D4631" s="491">
        <v>1</v>
      </c>
      <c r="E4631" s="491">
        <v>0</v>
      </c>
      <c r="F4631" s="491">
        <v>0</v>
      </c>
      <c r="G4631" s="491">
        <f t="shared" si="72"/>
        <v>2</v>
      </c>
    </row>
    <row r="4632" spans="1:7" ht="12.75">
      <c r="A4632" s="134" t="s">
        <v>354</v>
      </c>
      <c r="B4632" s="134">
        <v>251</v>
      </c>
      <c r="C4632" s="491">
        <v>12</v>
      </c>
      <c r="D4632" s="491">
        <v>9</v>
      </c>
      <c r="E4632" s="491">
        <v>0</v>
      </c>
      <c r="F4632" s="491">
        <v>0</v>
      </c>
      <c r="G4632" s="491">
        <f t="shared" si="72"/>
        <v>21</v>
      </c>
    </row>
    <row r="4633" spans="1:7" ht="12.75">
      <c r="A4633" s="134" t="s">
        <v>354</v>
      </c>
      <c r="B4633" s="134">
        <v>252</v>
      </c>
      <c r="C4633" s="491">
        <v>0</v>
      </c>
      <c r="D4633" s="491">
        <v>1</v>
      </c>
      <c r="E4633" s="491">
        <v>0</v>
      </c>
      <c r="F4633" s="491">
        <v>0</v>
      </c>
      <c r="G4633" s="491">
        <f t="shared" si="72"/>
        <v>1</v>
      </c>
    </row>
    <row r="4634" spans="1:7" ht="12.75">
      <c r="A4634" s="134" t="s">
        <v>354</v>
      </c>
      <c r="B4634" s="134">
        <v>253</v>
      </c>
      <c r="C4634" s="491">
        <v>0</v>
      </c>
      <c r="D4634" s="491">
        <v>2</v>
      </c>
      <c r="E4634" s="491">
        <v>0</v>
      </c>
      <c r="F4634" s="491">
        <v>0</v>
      </c>
      <c r="G4634" s="491">
        <f t="shared" si="72"/>
        <v>2</v>
      </c>
    </row>
    <row r="4635" spans="1:7" ht="12.75">
      <c r="A4635" s="134" t="s">
        <v>354</v>
      </c>
      <c r="B4635" s="134">
        <v>258</v>
      </c>
      <c r="C4635" s="491">
        <v>0</v>
      </c>
      <c r="D4635" s="491">
        <v>1</v>
      </c>
      <c r="E4635" s="491">
        <v>0</v>
      </c>
      <c r="F4635" s="491">
        <v>0</v>
      </c>
      <c r="G4635" s="491">
        <f t="shared" si="72"/>
        <v>1</v>
      </c>
    </row>
    <row r="4636" spans="1:7" ht="12.75">
      <c r="A4636" s="134" t="s">
        <v>354</v>
      </c>
      <c r="B4636" s="134">
        <v>260</v>
      </c>
      <c r="C4636" s="491">
        <v>0</v>
      </c>
      <c r="D4636" s="491">
        <v>1</v>
      </c>
      <c r="E4636" s="491">
        <v>0</v>
      </c>
      <c r="F4636" s="491">
        <v>0</v>
      </c>
      <c r="G4636" s="491">
        <f t="shared" si="72"/>
        <v>1</v>
      </c>
    </row>
    <row r="4637" spans="1:7" ht="12.75">
      <c r="A4637" s="134" t="s">
        <v>354</v>
      </c>
      <c r="B4637" s="134">
        <v>263</v>
      </c>
      <c r="C4637" s="491">
        <v>3</v>
      </c>
      <c r="D4637" s="491">
        <v>0</v>
      </c>
      <c r="E4637" s="491">
        <v>0</v>
      </c>
      <c r="F4637" s="491">
        <v>0</v>
      </c>
      <c r="G4637" s="491">
        <f t="shared" si="72"/>
        <v>3</v>
      </c>
    </row>
    <row r="4638" spans="1:7" ht="12.75">
      <c r="A4638" s="134" t="s">
        <v>354</v>
      </c>
      <c r="B4638" s="134">
        <v>300</v>
      </c>
      <c r="C4638" s="491">
        <v>0</v>
      </c>
      <c r="D4638" s="491">
        <v>2</v>
      </c>
      <c r="E4638" s="491">
        <v>0</v>
      </c>
      <c r="F4638" s="491">
        <v>0</v>
      </c>
      <c r="G4638" s="491">
        <f t="shared" si="72"/>
        <v>2</v>
      </c>
    </row>
    <row r="4639" spans="1:7" ht="12.75">
      <c r="A4639" s="134" t="s">
        <v>354</v>
      </c>
      <c r="B4639" s="134">
        <v>301</v>
      </c>
      <c r="C4639" s="491">
        <v>49</v>
      </c>
      <c r="D4639" s="491">
        <v>85</v>
      </c>
      <c r="E4639" s="491">
        <v>0</v>
      </c>
      <c r="F4639" s="491">
        <v>0</v>
      </c>
      <c r="G4639" s="491">
        <f t="shared" si="72"/>
        <v>134</v>
      </c>
    </row>
    <row r="4640" spans="1:7" ht="12.75">
      <c r="A4640" s="134" t="s">
        <v>354</v>
      </c>
      <c r="B4640" s="134">
        <v>304</v>
      </c>
      <c r="C4640" s="491">
        <v>0</v>
      </c>
      <c r="D4640" s="491">
        <v>4</v>
      </c>
      <c r="E4640" s="491">
        <v>0</v>
      </c>
      <c r="F4640" s="491">
        <v>0</v>
      </c>
      <c r="G4640" s="491">
        <f t="shared" si="72"/>
        <v>4</v>
      </c>
    </row>
    <row r="4641" spans="1:7" ht="12.75">
      <c r="A4641" s="134" t="s">
        <v>354</v>
      </c>
      <c r="B4641" s="134">
        <v>306</v>
      </c>
      <c r="C4641" s="491">
        <v>0</v>
      </c>
      <c r="D4641" s="491">
        <v>1</v>
      </c>
      <c r="E4641" s="491">
        <v>0</v>
      </c>
      <c r="F4641" s="491">
        <v>0</v>
      </c>
      <c r="G4641" s="491">
        <f t="shared" si="72"/>
        <v>1</v>
      </c>
    </row>
    <row r="4642" spans="1:7" ht="12.75">
      <c r="A4642" s="134" t="s">
        <v>354</v>
      </c>
      <c r="B4642" s="134">
        <v>310</v>
      </c>
      <c r="C4642" s="491">
        <v>0</v>
      </c>
      <c r="D4642" s="491">
        <v>2</v>
      </c>
      <c r="E4642" s="491">
        <v>0</v>
      </c>
      <c r="F4642" s="491">
        <v>0</v>
      </c>
      <c r="G4642" s="491">
        <f t="shared" si="72"/>
        <v>2</v>
      </c>
    </row>
    <row r="4643" spans="1:7" ht="12.75">
      <c r="A4643" s="134" t="s">
        <v>354</v>
      </c>
      <c r="B4643" s="134">
        <v>314</v>
      </c>
      <c r="C4643" s="491">
        <v>1</v>
      </c>
      <c r="D4643" s="491">
        <v>0</v>
      </c>
      <c r="E4643" s="491">
        <v>0</v>
      </c>
      <c r="F4643" s="491">
        <v>0</v>
      </c>
      <c r="G4643" s="491">
        <f t="shared" si="72"/>
        <v>1</v>
      </c>
    </row>
    <row r="4644" spans="1:7" ht="12.75">
      <c r="A4644" s="134" t="s">
        <v>354</v>
      </c>
      <c r="B4644" s="134">
        <v>320</v>
      </c>
      <c r="C4644" s="491">
        <v>0</v>
      </c>
      <c r="D4644" s="491">
        <v>1</v>
      </c>
      <c r="E4644" s="491">
        <v>0</v>
      </c>
      <c r="F4644" s="491">
        <v>0</v>
      </c>
      <c r="G4644" s="491">
        <f t="shared" si="72"/>
        <v>1</v>
      </c>
    </row>
    <row r="4645" spans="1:7" ht="12.75">
      <c r="A4645" s="134" t="s">
        <v>354</v>
      </c>
      <c r="B4645" s="134">
        <v>321</v>
      </c>
      <c r="C4645" s="491">
        <v>0</v>
      </c>
      <c r="D4645" s="491">
        <v>1</v>
      </c>
      <c r="E4645" s="491">
        <v>0</v>
      </c>
      <c r="F4645" s="491">
        <v>0</v>
      </c>
      <c r="G4645" s="491">
        <f t="shared" si="72"/>
        <v>1</v>
      </c>
    </row>
    <row r="4646" spans="1:7" ht="12.75">
      <c r="A4646" s="134" t="s">
        <v>354</v>
      </c>
      <c r="B4646" s="134">
        <v>330</v>
      </c>
      <c r="C4646" s="491">
        <v>2</v>
      </c>
      <c r="D4646" s="491">
        <v>6</v>
      </c>
      <c r="E4646" s="491">
        <v>0</v>
      </c>
      <c r="F4646" s="491">
        <v>0</v>
      </c>
      <c r="G4646" s="491">
        <f t="shared" si="72"/>
        <v>8</v>
      </c>
    </row>
    <row r="4647" spans="1:7" ht="12.75">
      <c r="A4647" s="134" t="s">
        <v>354</v>
      </c>
      <c r="B4647" s="134">
        <v>361</v>
      </c>
      <c r="C4647" s="491">
        <v>1</v>
      </c>
      <c r="D4647" s="491">
        <v>0</v>
      </c>
      <c r="E4647" s="491">
        <v>0</v>
      </c>
      <c r="F4647" s="491">
        <v>0</v>
      </c>
      <c r="G4647" s="491">
        <f t="shared" si="72"/>
        <v>1</v>
      </c>
    </row>
    <row r="4648" spans="1:7" ht="12.75">
      <c r="A4648" s="134" t="s">
        <v>354</v>
      </c>
      <c r="B4648" s="134">
        <v>410</v>
      </c>
      <c r="C4648" s="491">
        <v>0</v>
      </c>
      <c r="D4648" s="491">
        <v>2</v>
      </c>
      <c r="E4648" s="491">
        <v>0</v>
      </c>
      <c r="F4648" s="491">
        <v>0</v>
      </c>
      <c r="G4648" s="491">
        <f t="shared" si="72"/>
        <v>2</v>
      </c>
    </row>
    <row r="4649" spans="1:7" ht="12.75">
      <c r="A4649" s="134" t="s">
        <v>354</v>
      </c>
      <c r="B4649" s="134">
        <v>420</v>
      </c>
      <c r="C4649" s="491">
        <v>8</v>
      </c>
      <c r="D4649" s="491">
        <v>15</v>
      </c>
      <c r="E4649" s="491">
        <v>2</v>
      </c>
      <c r="F4649" s="491">
        <v>0</v>
      </c>
      <c r="G4649" s="491">
        <f t="shared" si="72"/>
        <v>25</v>
      </c>
    </row>
    <row r="4650" spans="1:7" ht="12.75">
      <c r="A4650" s="134" t="s">
        <v>354</v>
      </c>
      <c r="B4650" s="134">
        <v>502</v>
      </c>
      <c r="C4650" s="491">
        <v>0</v>
      </c>
      <c r="D4650" s="491">
        <v>5</v>
      </c>
      <c r="E4650" s="491">
        <v>0</v>
      </c>
      <c r="F4650" s="491">
        <v>0</v>
      </c>
      <c r="G4650" s="491">
        <f t="shared" si="72"/>
        <v>5</v>
      </c>
    </row>
    <row r="4651" spans="1:7" ht="12.75">
      <c r="A4651" s="134" t="s">
        <v>354</v>
      </c>
      <c r="B4651" s="134">
        <v>560</v>
      </c>
      <c r="C4651" s="491">
        <v>1</v>
      </c>
      <c r="D4651" s="491">
        <v>0</v>
      </c>
      <c r="E4651" s="491">
        <v>0</v>
      </c>
      <c r="F4651" s="491">
        <v>0</v>
      </c>
      <c r="G4651" s="491">
        <f t="shared" si="72"/>
        <v>1</v>
      </c>
    </row>
    <row r="4652" spans="1:7" ht="12.75">
      <c r="A4652" s="134" t="s">
        <v>354</v>
      </c>
      <c r="B4652" s="134">
        <v>650</v>
      </c>
      <c r="C4652" s="491">
        <v>0</v>
      </c>
      <c r="D4652" s="491">
        <v>1</v>
      </c>
      <c r="E4652" s="491">
        <v>0</v>
      </c>
      <c r="F4652" s="491">
        <v>0</v>
      </c>
      <c r="G4652" s="491">
        <f t="shared" si="72"/>
        <v>1</v>
      </c>
    </row>
    <row r="4653" spans="1:7" ht="12.75">
      <c r="A4653" s="134" t="s">
        <v>354</v>
      </c>
      <c r="B4653" s="134">
        <v>654</v>
      </c>
      <c r="C4653" s="491">
        <v>1</v>
      </c>
      <c r="D4653" s="491">
        <v>0</v>
      </c>
      <c r="E4653" s="491">
        <v>0</v>
      </c>
      <c r="F4653" s="491">
        <v>0</v>
      </c>
      <c r="G4653" s="491">
        <f t="shared" si="72"/>
        <v>1</v>
      </c>
    </row>
    <row r="4654" spans="1:7" ht="12.75">
      <c r="A4654" s="134" t="s">
        <v>354</v>
      </c>
      <c r="B4654" s="134">
        <v>658</v>
      </c>
      <c r="C4654" s="491">
        <v>1</v>
      </c>
      <c r="D4654" s="491">
        <v>0</v>
      </c>
      <c r="E4654" s="491">
        <v>0</v>
      </c>
      <c r="F4654" s="491">
        <v>0</v>
      </c>
      <c r="G4654" s="491">
        <f t="shared" si="72"/>
        <v>1</v>
      </c>
    </row>
    <row r="4655" spans="1:7" ht="12.75">
      <c r="A4655" s="134" t="s">
        <v>354</v>
      </c>
      <c r="B4655" s="134">
        <v>812</v>
      </c>
      <c r="C4655" s="491">
        <v>0</v>
      </c>
      <c r="D4655" s="491">
        <v>2</v>
      </c>
      <c r="E4655" s="491">
        <v>0</v>
      </c>
      <c r="F4655" s="491">
        <v>0</v>
      </c>
      <c r="G4655" s="491">
        <f t="shared" si="72"/>
        <v>2</v>
      </c>
    </row>
    <row r="4656" spans="1:7" ht="12.75">
      <c r="A4656" s="134" t="s">
        <v>354</v>
      </c>
      <c r="B4656" s="134">
        <v>840</v>
      </c>
      <c r="C4656" s="491">
        <v>1</v>
      </c>
      <c r="D4656" s="491">
        <v>0</v>
      </c>
      <c r="E4656" s="491">
        <v>0</v>
      </c>
      <c r="F4656" s="491">
        <v>0</v>
      </c>
      <c r="G4656" s="491">
        <f t="shared" si="72"/>
        <v>1</v>
      </c>
    </row>
    <row r="4657" spans="1:7" ht="12.75">
      <c r="A4657" s="134" t="s">
        <v>356</v>
      </c>
      <c r="B4657" s="134">
        <v>104</v>
      </c>
      <c r="C4657" s="491">
        <v>0</v>
      </c>
      <c r="D4657" s="491">
        <v>1</v>
      </c>
      <c r="E4657" s="491">
        <v>0</v>
      </c>
      <c r="F4657" s="491">
        <v>0</v>
      </c>
      <c r="G4657" s="491">
        <f t="shared" si="72"/>
        <v>1</v>
      </c>
    </row>
    <row r="4658" spans="1:7" ht="12.75">
      <c r="A4658" s="134" t="s">
        <v>356</v>
      </c>
      <c r="B4658" s="134">
        <v>120</v>
      </c>
      <c r="C4658" s="491">
        <v>0</v>
      </c>
      <c r="D4658" s="491">
        <v>1</v>
      </c>
      <c r="E4658" s="491">
        <v>0</v>
      </c>
      <c r="F4658" s="491">
        <v>0</v>
      </c>
      <c r="G4658" s="491">
        <f t="shared" si="72"/>
        <v>1</v>
      </c>
    </row>
    <row r="4659" spans="1:7" ht="12.75">
      <c r="A4659" s="134" t="s">
        <v>356</v>
      </c>
      <c r="B4659" s="134">
        <v>160</v>
      </c>
      <c r="C4659" s="491">
        <v>0</v>
      </c>
      <c r="D4659" s="491">
        <v>1</v>
      </c>
      <c r="E4659" s="491">
        <v>0</v>
      </c>
      <c r="F4659" s="491">
        <v>0</v>
      </c>
      <c r="G4659" s="491">
        <f t="shared" si="72"/>
        <v>1</v>
      </c>
    </row>
    <row r="4660" spans="1:7" ht="12.75">
      <c r="A4660" s="134" t="s">
        <v>356</v>
      </c>
      <c r="B4660" s="134">
        <v>171</v>
      </c>
      <c r="C4660" s="491">
        <v>1</v>
      </c>
      <c r="D4660" s="491">
        <v>1</v>
      </c>
      <c r="E4660" s="491">
        <v>0</v>
      </c>
      <c r="F4660" s="491">
        <v>0</v>
      </c>
      <c r="G4660" s="491">
        <f t="shared" si="72"/>
        <v>2</v>
      </c>
    </row>
    <row r="4661" spans="1:7" ht="12.75">
      <c r="A4661" s="134" t="s">
        <v>356</v>
      </c>
      <c r="B4661" s="134">
        <v>258</v>
      </c>
      <c r="C4661" s="491">
        <v>0</v>
      </c>
      <c r="D4661" s="491">
        <v>1</v>
      </c>
      <c r="E4661" s="491">
        <v>0</v>
      </c>
      <c r="F4661" s="491">
        <v>0</v>
      </c>
      <c r="G4661" s="491">
        <f t="shared" si="72"/>
        <v>1</v>
      </c>
    </row>
    <row r="4662" spans="1:7" ht="12.75">
      <c r="A4662" s="134" t="s">
        <v>356</v>
      </c>
      <c r="B4662" s="134">
        <v>330</v>
      </c>
      <c r="C4662" s="491">
        <v>0</v>
      </c>
      <c r="D4662" s="491">
        <v>2</v>
      </c>
      <c r="E4662" s="491">
        <v>0</v>
      </c>
      <c r="F4662" s="491">
        <v>0</v>
      </c>
      <c r="G4662" s="491">
        <f t="shared" si="72"/>
        <v>2</v>
      </c>
    </row>
    <row r="4663" spans="1:7" ht="12.75">
      <c r="A4663" s="134" t="s">
        <v>356</v>
      </c>
      <c r="B4663" s="134">
        <v>420</v>
      </c>
      <c r="C4663" s="491">
        <v>0</v>
      </c>
      <c r="D4663" s="491">
        <v>1</v>
      </c>
      <c r="E4663" s="491">
        <v>0</v>
      </c>
      <c r="F4663" s="491">
        <v>0</v>
      </c>
      <c r="G4663" s="491">
        <f t="shared" si="72"/>
        <v>1</v>
      </c>
    </row>
    <row r="4664" spans="1:7" ht="12.75">
      <c r="A4664" s="134" t="s">
        <v>356</v>
      </c>
      <c r="B4664" s="134">
        <v>421</v>
      </c>
      <c r="C4664" s="491">
        <v>1</v>
      </c>
      <c r="D4664" s="491">
        <v>0</v>
      </c>
      <c r="E4664" s="491">
        <v>0</v>
      </c>
      <c r="F4664" s="491">
        <v>0</v>
      </c>
      <c r="G4664" s="491">
        <f t="shared" si="72"/>
        <v>1</v>
      </c>
    </row>
    <row r="4665" spans="1:7" ht="12.75">
      <c r="A4665" s="134" t="s">
        <v>356</v>
      </c>
      <c r="B4665" s="134">
        <v>422</v>
      </c>
      <c r="C4665" s="491">
        <v>0</v>
      </c>
      <c r="D4665" s="491">
        <v>1</v>
      </c>
      <c r="E4665" s="491">
        <v>0</v>
      </c>
      <c r="F4665" s="491">
        <v>0</v>
      </c>
      <c r="G4665" s="491">
        <f t="shared" si="72"/>
        <v>1</v>
      </c>
    </row>
    <row r="4666" spans="1:7" ht="12.75">
      <c r="A4666" s="134" t="s">
        <v>356</v>
      </c>
      <c r="B4666" s="134">
        <v>650</v>
      </c>
      <c r="C4666" s="491">
        <v>0</v>
      </c>
      <c r="D4666" s="491">
        <v>1</v>
      </c>
      <c r="E4666" s="491">
        <v>0</v>
      </c>
      <c r="F4666" s="491">
        <v>0</v>
      </c>
      <c r="G4666" s="491">
        <f t="shared" si="72"/>
        <v>1</v>
      </c>
    </row>
    <row r="4667" spans="1:7" ht="12.75">
      <c r="A4667" s="134" t="s">
        <v>356</v>
      </c>
      <c r="B4667" s="134">
        <v>654</v>
      </c>
      <c r="C4667" s="491">
        <v>1</v>
      </c>
      <c r="D4667" s="491">
        <v>0</v>
      </c>
      <c r="E4667" s="491">
        <v>0</v>
      </c>
      <c r="F4667" s="491">
        <v>0</v>
      </c>
      <c r="G4667" s="491">
        <f t="shared" si="72"/>
        <v>1</v>
      </c>
    </row>
    <row r="4668" spans="1:7" ht="12.75">
      <c r="A4668" s="134" t="s">
        <v>356</v>
      </c>
      <c r="B4668" s="134">
        <v>840</v>
      </c>
      <c r="C4668" s="491">
        <v>0</v>
      </c>
      <c r="D4668" s="491">
        <v>1</v>
      </c>
      <c r="E4668" s="491">
        <v>0</v>
      </c>
      <c r="F4668" s="491">
        <v>0</v>
      </c>
      <c r="G4668" s="491">
        <f t="shared" si="72"/>
        <v>1</v>
      </c>
    </row>
    <row r="4669" spans="1:7" ht="12.75">
      <c r="A4669" s="134" t="s">
        <v>472</v>
      </c>
      <c r="B4669" s="134">
        <v>100</v>
      </c>
      <c r="C4669" s="491">
        <v>117</v>
      </c>
      <c r="D4669" s="491">
        <v>429</v>
      </c>
      <c r="E4669" s="491">
        <v>13</v>
      </c>
      <c r="F4669" s="491">
        <v>0</v>
      </c>
      <c r="G4669" s="491">
        <f t="shared" si="72"/>
        <v>559</v>
      </c>
    </row>
    <row r="4670" spans="1:7" ht="12.75">
      <c r="A4670" s="134" t="s">
        <v>472</v>
      </c>
      <c r="B4670" s="134">
        <v>104</v>
      </c>
      <c r="C4670" s="491">
        <v>242</v>
      </c>
      <c r="D4670" s="491">
        <v>436</v>
      </c>
      <c r="E4670" s="491">
        <v>0</v>
      </c>
      <c r="F4670" s="491">
        <v>0</v>
      </c>
      <c r="G4670" s="491">
        <f t="shared" si="72"/>
        <v>678</v>
      </c>
    </row>
    <row r="4671" spans="1:7" ht="12.75">
      <c r="A4671" s="134" t="s">
        <v>472</v>
      </c>
      <c r="B4671" s="134">
        <v>106</v>
      </c>
      <c r="C4671" s="491">
        <v>117</v>
      </c>
      <c r="D4671" s="491">
        <v>434</v>
      </c>
      <c r="E4671" s="491">
        <v>0</v>
      </c>
      <c r="F4671" s="491">
        <v>0</v>
      </c>
      <c r="G4671" s="491">
        <f t="shared" si="72"/>
        <v>551</v>
      </c>
    </row>
    <row r="4672" spans="1:7" ht="12.75">
      <c r="A4672" s="134" t="s">
        <v>472</v>
      </c>
      <c r="B4672" s="134">
        <v>120</v>
      </c>
      <c r="C4672" s="491">
        <v>37</v>
      </c>
      <c r="D4672" s="491">
        <v>8</v>
      </c>
      <c r="E4672" s="491">
        <v>5</v>
      </c>
      <c r="F4672" s="491">
        <v>0</v>
      </c>
      <c r="G4672" s="491">
        <f t="shared" si="72"/>
        <v>50</v>
      </c>
    </row>
    <row r="4673" spans="1:7" ht="12.75">
      <c r="A4673" s="134" t="s">
        <v>472</v>
      </c>
      <c r="B4673" s="134">
        <v>140</v>
      </c>
      <c r="C4673" s="491">
        <v>18</v>
      </c>
      <c r="D4673" s="491">
        <v>2</v>
      </c>
      <c r="E4673" s="491">
        <v>6</v>
      </c>
      <c r="F4673" s="491">
        <v>0</v>
      </c>
      <c r="G4673" s="491">
        <f t="shared" si="72"/>
        <v>26</v>
      </c>
    </row>
    <row r="4674" spans="1:7" ht="12.75">
      <c r="A4674" s="134" t="s">
        <v>472</v>
      </c>
      <c r="B4674" s="134">
        <v>173</v>
      </c>
      <c r="C4674" s="491">
        <v>585</v>
      </c>
      <c r="D4674" s="491">
        <v>711</v>
      </c>
      <c r="E4674" s="491">
        <v>0</v>
      </c>
      <c r="F4674" s="491">
        <v>0</v>
      </c>
      <c r="G4674" s="491">
        <f t="shared" si="72"/>
        <v>1296</v>
      </c>
    </row>
    <row r="4675" spans="1:7" ht="12.75">
      <c r="A4675" s="134" t="s">
        <v>472</v>
      </c>
      <c r="B4675" s="134">
        <v>290</v>
      </c>
      <c r="C4675" s="491">
        <v>17</v>
      </c>
      <c r="D4675" s="491">
        <v>1</v>
      </c>
      <c r="E4675" s="491">
        <v>0</v>
      </c>
      <c r="F4675" s="491">
        <v>0</v>
      </c>
      <c r="G4675" s="491">
        <f t="shared" si="72"/>
        <v>18</v>
      </c>
    </row>
    <row r="4676" spans="1:7" ht="12.75">
      <c r="A4676" s="134" t="s">
        <v>472</v>
      </c>
      <c r="B4676" s="134">
        <v>300</v>
      </c>
      <c r="C4676" s="491">
        <v>52</v>
      </c>
      <c r="D4676" s="491">
        <v>12</v>
      </c>
      <c r="E4676" s="491">
        <v>0</v>
      </c>
      <c r="F4676" s="491">
        <v>0</v>
      </c>
      <c r="G4676" s="491">
        <f t="shared" ref="G4676:G4739" si="73">SUM(C4676:F4676)</f>
        <v>64</v>
      </c>
    </row>
    <row r="4677" spans="1:7" ht="12.75">
      <c r="A4677" s="134" t="s">
        <v>472</v>
      </c>
      <c r="B4677" s="134">
        <v>301</v>
      </c>
      <c r="C4677" s="491">
        <v>1679</v>
      </c>
      <c r="D4677" s="491">
        <v>3234</v>
      </c>
      <c r="E4677" s="491">
        <v>2</v>
      </c>
      <c r="F4677" s="491">
        <v>0</v>
      </c>
      <c r="G4677" s="491">
        <f t="shared" si="73"/>
        <v>4915</v>
      </c>
    </row>
    <row r="4678" spans="1:7" ht="12.75">
      <c r="A4678" s="134" t="s">
        <v>472</v>
      </c>
      <c r="B4678" s="134">
        <v>302</v>
      </c>
      <c r="C4678" s="491">
        <v>1</v>
      </c>
      <c r="D4678" s="491">
        <v>0</v>
      </c>
      <c r="E4678" s="491">
        <v>0</v>
      </c>
      <c r="F4678" s="491">
        <v>0</v>
      </c>
      <c r="G4678" s="491">
        <f t="shared" si="73"/>
        <v>1</v>
      </c>
    </row>
    <row r="4679" spans="1:7" ht="12.75">
      <c r="A4679" s="134" t="s">
        <v>472</v>
      </c>
      <c r="B4679" s="134">
        <v>304</v>
      </c>
      <c r="C4679" s="491">
        <v>100</v>
      </c>
      <c r="D4679" s="491">
        <v>308</v>
      </c>
      <c r="E4679" s="491">
        <v>0</v>
      </c>
      <c r="F4679" s="491">
        <v>0</v>
      </c>
      <c r="G4679" s="491">
        <f t="shared" si="73"/>
        <v>408</v>
      </c>
    </row>
    <row r="4680" spans="1:7" ht="12.75">
      <c r="A4680" s="134" t="s">
        <v>472</v>
      </c>
      <c r="B4680" s="134">
        <v>307</v>
      </c>
      <c r="C4680" s="491">
        <v>0</v>
      </c>
      <c r="D4680" s="491">
        <v>1</v>
      </c>
      <c r="E4680" s="491">
        <v>0</v>
      </c>
      <c r="F4680" s="491">
        <v>0</v>
      </c>
      <c r="G4680" s="491">
        <f t="shared" si="73"/>
        <v>1</v>
      </c>
    </row>
    <row r="4681" spans="1:7" ht="12.75">
      <c r="A4681" s="134" t="s">
        <v>472</v>
      </c>
      <c r="B4681" s="134">
        <v>314</v>
      </c>
      <c r="C4681" s="491">
        <v>3</v>
      </c>
      <c r="D4681" s="491">
        <v>1</v>
      </c>
      <c r="E4681" s="491">
        <v>0</v>
      </c>
      <c r="F4681" s="491">
        <v>0</v>
      </c>
      <c r="G4681" s="491">
        <f t="shared" si="73"/>
        <v>4</v>
      </c>
    </row>
    <row r="4682" spans="1:7" ht="12.75">
      <c r="A4682" s="134" t="s">
        <v>472</v>
      </c>
      <c r="B4682" s="134">
        <v>315</v>
      </c>
      <c r="C4682" s="491">
        <v>2</v>
      </c>
      <c r="D4682" s="491">
        <v>0</v>
      </c>
      <c r="E4682" s="491">
        <v>0</v>
      </c>
      <c r="F4682" s="491">
        <v>0</v>
      </c>
      <c r="G4682" s="491">
        <f t="shared" si="73"/>
        <v>2</v>
      </c>
    </row>
    <row r="4683" spans="1:7" ht="12.75">
      <c r="A4683" s="134" t="s">
        <v>472</v>
      </c>
      <c r="B4683" s="134">
        <v>320</v>
      </c>
      <c r="C4683" s="491">
        <v>1</v>
      </c>
      <c r="D4683" s="491">
        <v>2</v>
      </c>
      <c r="E4683" s="491">
        <v>0</v>
      </c>
      <c r="F4683" s="491">
        <v>0</v>
      </c>
      <c r="G4683" s="491">
        <f t="shared" si="73"/>
        <v>3</v>
      </c>
    </row>
    <row r="4684" spans="1:7" ht="12.75">
      <c r="A4684" s="134" t="s">
        <v>472</v>
      </c>
      <c r="B4684" s="134">
        <v>340</v>
      </c>
      <c r="C4684" s="491">
        <v>2</v>
      </c>
      <c r="D4684" s="491">
        <v>7</v>
      </c>
      <c r="E4684" s="491">
        <v>0</v>
      </c>
      <c r="F4684" s="491">
        <v>0</v>
      </c>
      <c r="G4684" s="491">
        <f t="shared" si="73"/>
        <v>9</v>
      </c>
    </row>
    <row r="4685" spans="1:7" ht="12.75">
      <c r="A4685" s="134" t="s">
        <v>472</v>
      </c>
      <c r="B4685" s="134">
        <v>341</v>
      </c>
      <c r="C4685" s="491">
        <v>2</v>
      </c>
      <c r="D4685" s="491">
        <v>0</v>
      </c>
      <c r="E4685" s="491">
        <v>0</v>
      </c>
      <c r="F4685" s="491">
        <v>0</v>
      </c>
      <c r="G4685" s="491">
        <f t="shared" si="73"/>
        <v>2</v>
      </c>
    </row>
    <row r="4686" spans="1:7" ht="12.75">
      <c r="A4686" s="134" t="s">
        <v>472</v>
      </c>
      <c r="B4686" s="134">
        <v>343</v>
      </c>
      <c r="C4686" s="491">
        <v>1</v>
      </c>
      <c r="D4686" s="491">
        <v>0</v>
      </c>
      <c r="E4686" s="491">
        <v>3</v>
      </c>
      <c r="F4686" s="491">
        <v>0</v>
      </c>
      <c r="G4686" s="491">
        <f t="shared" si="73"/>
        <v>4</v>
      </c>
    </row>
    <row r="4687" spans="1:7" ht="12.75">
      <c r="A4687" s="134" t="s">
        <v>472</v>
      </c>
      <c r="B4687" s="134">
        <v>370</v>
      </c>
      <c r="C4687" s="491">
        <v>5</v>
      </c>
      <c r="D4687" s="491">
        <v>0</v>
      </c>
      <c r="E4687" s="491">
        <v>0</v>
      </c>
      <c r="F4687" s="491">
        <v>0</v>
      </c>
      <c r="G4687" s="491">
        <f t="shared" si="73"/>
        <v>5</v>
      </c>
    </row>
    <row r="4688" spans="1:7" ht="12.75">
      <c r="A4688" s="134" t="s">
        <v>472</v>
      </c>
      <c r="B4688" s="134">
        <v>400</v>
      </c>
      <c r="C4688" s="491">
        <v>1</v>
      </c>
      <c r="D4688" s="491">
        <v>0</v>
      </c>
      <c r="E4688" s="491">
        <v>0</v>
      </c>
      <c r="F4688" s="491">
        <v>0</v>
      </c>
      <c r="G4688" s="491">
        <f t="shared" si="73"/>
        <v>1</v>
      </c>
    </row>
    <row r="4689" spans="1:7" ht="12.75">
      <c r="A4689" s="134" t="s">
        <v>472</v>
      </c>
      <c r="B4689" s="134">
        <v>654</v>
      </c>
      <c r="C4689" s="491">
        <v>16</v>
      </c>
      <c r="D4689" s="491">
        <v>19</v>
      </c>
      <c r="E4689" s="491">
        <v>0</v>
      </c>
      <c r="F4689" s="491">
        <v>0</v>
      </c>
      <c r="G4689" s="491">
        <f t="shared" si="73"/>
        <v>35</v>
      </c>
    </row>
    <row r="4690" spans="1:7" ht="12.75">
      <c r="A4690" s="134" t="s">
        <v>472</v>
      </c>
      <c r="B4690" s="134">
        <v>800</v>
      </c>
      <c r="C4690" s="491">
        <v>215</v>
      </c>
      <c r="D4690" s="491">
        <v>1</v>
      </c>
      <c r="E4690" s="491">
        <v>0</v>
      </c>
      <c r="F4690" s="491">
        <v>0</v>
      </c>
      <c r="G4690" s="491">
        <f t="shared" si="73"/>
        <v>216</v>
      </c>
    </row>
    <row r="4691" spans="1:7" ht="12.75">
      <c r="A4691" s="134" t="s">
        <v>472</v>
      </c>
      <c r="B4691" s="134">
        <v>811</v>
      </c>
      <c r="C4691" s="491">
        <v>0</v>
      </c>
      <c r="D4691" s="491">
        <v>0</v>
      </c>
      <c r="E4691" s="491">
        <v>0</v>
      </c>
      <c r="F4691" s="491">
        <v>1</v>
      </c>
      <c r="G4691" s="491">
        <f t="shared" si="73"/>
        <v>1</v>
      </c>
    </row>
    <row r="4692" spans="1:7" ht="12.75">
      <c r="A4692" s="134" t="s">
        <v>472</v>
      </c>
      <c r="B4692" s="134">
        <v>812</v>
      </c>
      <c r="C4692" s="491">
        <v>7</v>
      </c>
      <c r="D4692" s="491">
        <v>8</v>
      </c>
      <c r="E4692" s="491">
        <v>0</v>
      </c>
      <c r="F4692" s="491">
        <v>0</v>
      </c>
      <c r="G4692" s="491">
        <f t="shared" si="73"/>
        <v>15</v>
      </c>
    </row>
    <row r="4693" spans="1:7" ht="12.75">
      <c r="A4693" s="134" t="s">
        <v>490</v>
      </c>
      <c r="B4693" s="134">
        <v>100</v>
      </c>
      <c r="C4693" s="491">
        <v>142</v>
      </c>
      <c r="D4693" s="491">
        <v>534</v>
      </c>
      <c r="E4693" s="491">
        <v>0</v>
      </c>
      <c r="F4693" s="491">
        <v>0</v>
      </c>
      <c r="G4693" s="491">
        <f t="shared" si="73"/>
        <v>676</v>
      </c>
    </row>
    <row r="4694" spans="1:7" ht="12.75">
      <c r="A4694" s="134" t="s">
        <v>490</v>
      </c>
      <c r="B4694" s="134">
        <v>103</v>
      </c>
      <c r="C4694" s="491">
        <v>0</v>
      </c>
      <c r="D4694" s="491">
        <v>1</v>
      </c>
      <c r="E4694" s="491">
        <v>0</v>
      </c>
      <c r="F4694" s="491">
        <v>0</v>
      </c>
      <c r="G4694" s="491">
        <f t="shared" si="73"/>
        <v>1</v>
      </c>
    </row>
    <row r="4695" spans="1:7" ht="12.75">
      <c r="A4695" s="134" t="s">
        <v>490</v>
      </c>
      <c r="B4695" s="134">
        <v>104</v>
      </c>
      <c r="C4695" s="491">
        <v>19</v>
      </c>
      <c r="D4695" s="491">
        <v>97</v>
      </c>
      <c r="E4695" s="491">
        <v>0</v>
      </c>
      <c r="F4695" s="491">
        <v>0</v>
      </c>
      <c r="G4695" s="491">
        <f t="shared" si="73"/>
        <v>116</v>
      </c>
    </row>
    <row r="4696" spans="1:7" ht="12.75">
      <c r="A4696" s="134" t="s">
        <v>490</v>
      </c>
      <c r="B4696" s="134">
        <v>106</v>
      </c>
      <c r="C4696" s="491">
        <v>4</v>
      </c>
      <c r="D4696" s="491">
        <v>241</v>
      </c>
      <c r="E4696" s="491">
        <v>0</v>
      </c>
      <c r="F4696" s="491">
        <v>0</v>
      </c>
      <c r="G4696" s="491">
        <f t="shared" si="73"/>
        <v>245</v>
      </c>
    </row>
    <row r="4697" spans="1:7" ht="12.75">
      <c r="A4697" s="134" t="s">
        <v>490</v>
      </c>
      <c r="B4697" s="134">
        <v>110</v>
      </c>
      <c r="C4697" s="491">
        <v>0</v>
      </c>
      <c r="D4697" s="491">
        <v>1</v>
      </c>
      <c r="E4697" s="491">
        <v>0</v>
      </c>
      <c r="F4697" s="491">
        <v>0</v>
      </c>
      <c r="G4697" s="491">
        <f t="shared" si="73"/>
        <v>1</v>
      </c>
    </row>
    <row r="4698" spans="1:7" ht="12.75">
      <c r="A4698" s="134" t="s">
        <v>490</v>
      </c>
      <c r="B4698" s="134">
        <v>120</v>
      </c>
      <c r="C4698" s="491">
        <v>61</v>
      </c>
      <c r="D4698" s="491">
        <v>81</v>
      </c>
      <c r="E4698" s="491">
        <v>7</v>
      </c>
      <c r="F4698" s="491">
        <v>14</v>
      </c>
      <c r="G4698" s="491">
        <f t="shared" si="73"/>
        <v>163</v>
      </c>
    </row>
    <row r="4699" spans="1:7" ht="12.75">
      <c r="A4699" s="134" t="s">
        <v>490</v>
      </c>
      <c r="B4699" s="134">
        <v>144</v>
      </c>
      <c r="C4699" s="491">
        <v>0</v>
      </c>
      <c r="D4699" s="491">
        <v>0</v>
      </c>
      <c r="E4699" s="491">
        <v>1</v>
      </c>
      <c r="F4699" s="491">
        <v>0</v>
      </c>
      <c r="G4699" s="491">
        <f t="shared" si="73"/>
        <v>1</v>
      </c>
    </row>
    <row r="4700" spans="1:7" ht="12.75">
      <c r="A4700" s="134" t="s">
        <v>490</v>
      </c>
      <c r="B4700" s="134">
        <v>300</v>
      </c>
      <c r="C4700" s="491">
        <v>104</v>
      </c>
      <c r="D4700" s="491">
        <v>49</v>
      </c>
      <c r="E4700" s="491">
        <v>0</v>
      </c>
      <c r="F4700" s="491">
        <v>0</v>
      </c>
      <c r="G4700" s="491">
        <f t="shared" si="73"/>
        <v>153</v>
      </c>
    </row>
    <row r="4701" spans="1:7" ht="12.75">
      <c r="A4701" s="134" t="s">
        <v>490</v>
      </c>
      <c r="B4701" s="134">
        <v>301</v>
      </c>
      <c r="C4701" s="491">
        <v>825</v>
      </c>
      <c r="D4701" s="491">
        <v>1955</v>
      </c>
      <c r="E4701" s="491">
        <v>0</v>
      </c>
      <c r="F4701" s="491">
        <v>0</v>
      </c>
      <c r="G4701" s="491">
        <f t="shared" si="73"/>
        <v>2780</v>
      </c>
    </row>
    <row r="4702" spans="1:7" ht="12.75">
      <c r="A4702" s="134" t="s">
        <v>490</v>
      </c>
      <c r="B4702" s="134">
        <v>303</v>
      </c>
      <c r="C4702" s="491">
        <v>1</v>
      </c>
      <c r="D4702" s="491">
        <v>0</v>
      </c>
      <c r="E4702" s="491">
        <v>0</v>
      </c>
      <c r="F4702" s="491">
        <v>0</v>
      </c>
      <c r="G4702" s="491">
        <f t="shared" si="73"/>
        <v>1</v>
      </c>
    </row>
    <row r="4703" spans="1:7" ht="12.75">
      <c r="A4703" s="134" t="s">
        <v>490</v>
      </c>
      <c r="B4703" s="134">
        <v>320</v>
      </c>
      <c r="C4703" s="491">
        <v>0</v>
      </c>
      <c r="D4703" s="491">
        <v>1</v>
      </c>
      <c r="E4703" s="491">
        <v>0</v>
      </c>
      <c r="F4703" s="491">
        <v>0</v>
      </c>
      <c r="G4703" s="491">
        <f t="shared" si="73"/>
        <v>1</v>
      </c>
    </row>
    <row r="4704" spans="1:7" ht="12.75">
      <c r="A4704" s="134" t="s">
        <v>490</v>
      </c>
      <c r="B4704" s="134">
        <v>328</v>
      </c>
      <c r="C4704" s="491">
        <v>1</v>
      </c>
      <c r="D4704" s="491">
        <v>4</v>
      </c>
      <c r="E4704" s="491">
        <v>0</v>
      </c>
      <c r="F4704" s="491">
        <v>0</v>
      </c>
      <c r="G4704" s="491">
        <f t="shared" si="73"/>
        <v>5</v>
      </c>
    </row>
    <row r="4705" spans="1:7" ht="12.75">
      <c r="A4705" s="134" t="s">
        <v>490</v>
      </c>
      <c r="B4705" s="134">
        <v>329</v>
      </c>
      <c r="C4705" s="491">
        <v>0</v>
      </c>
      <c r="D4705" s="491">
        <v>5</v>
      </c>
      <c r="E4705" s="491">
        <v>0</v>
      </c>
      <c r="F4705" s="491">
        <v>0</v>
      </c>
      <c r="G4705" s="491">
        <f t="shared" si="73"/>
        <v>5</v>
      </c>
    </row>
    <row r="4706" spans="1:7" ht="12.75">
      <c r="A4706" s="134" t="s">
        <v>490</v>
      </c>
      <c r="B4706" s="134">
        <v>370</v>
      </c>
      <c r="C4706" s="491">
        <v>1</v>
      </c>
      <c r="D4706" s="491">
        <v>0</v>
      </c>
      <c r="E4706" s="491">
        <v>0</v>
      </c>
      <c r="F4706" s="491">
        <v>0</v>
      </c>
      <c r="G4706" s="491">
        <f t="shared" si="73"/>
        <v>1</v>
      </c>
    </row>
    <row r="4707" spans="1:7" ht="12.75">
      <c r="A4707" s="134" t="s">
        <v>490</v>
      </c>
      <c r="B4707" s="134">
        <v>400</v>
      </c>
      <c r="C4707" s="491">
        <v>3</v>
      </c>
      <c r="D4707" s="491">
        <v>1</v>
      </c>
      <c r="E4707" s="491">
        <v>0</v>
      </c>
      <c r="F4707" s="491">
        <v>0</v>
      </c>
      <c r="G4707" s="491">
        <f t="shared" si="73"/>
        <v>4</v>
      </c>
    </row>
    <row r="4708" spans="1:7" ht="12.75">
      <c r="A4708" s="134" t="s">
        <v>490</v>
      </c>
      <c r="B4708" s="134">
        <v>430</v>
      </c>
      <c r="C4708" s="491">
        <v>0</v>
      </c>
      <c r="D4708" s="491">
        <v>4</v>
      </c>
      <c r="E4708" s="491">
        <v>0</v>
      </c>
      <c r="F4708" s="491">
        <v>0</v>
      </c>
      <c r="G4708" s="491">
        <f t="shared" si="73"/>
        <v>4</v>
      </c>
    </row>
    <row r="4709" spans="1:7" ht="12.75">
      <c r="A4709" s="134" t="s">
        <v>490</v>
      </c>
      <c r="B4709" s="134">
        <v>502</v>
      </c>
      <c r="C4709" s="491">
        <v>1</v>
      </c>
      <c r="D4709" s="491">
        <v>5</v>
      </c>
      <c r="E4709" s="491">
        <v>0</v>
      </c>
      <c r="F4709" s="491">
        <v>0</v>
      </c>
      <c r="G4709" s="491">
        <f t="shared" si="73"/>
        <v>6</v>
      </c>
    </row>
    <row r="4710" spans="1:7" ht="12.75">
      <c r="A4710" s="134" t="s">
        <v>490</v>
      </c>
      <c r="B4710" s="134">
        <v>800</v>
      </c>
      <c r="C4710" s="491">
        <v>0</v>
      </c>
      <c r="D4710" s="491">
        <v>0</v>
      </c>
      <c r="E4710" s="491">
        <v>1</v>
      </c>
      <c r="F4710" s="491">
        <v>0</v>
      </c>
      <c r="G4710" s="491">
        <f t="shared" si="73"/>
        <v>1</v>
      </c>
    </row>
    <row r="4711" spans="1:7" ht="12.75">
      <c r="A4711" s="134" t="s">
        <v>490</v>
      </c>
      <c r="B4711" s="134">
        <v>812</v>
      </c>
      <c r="C4711" s="491">
        <v>84</v>
      </c>
      <c r="D4711" s="491">
        <v>2407</v>
      </c>
      <c r="E4711" s="491">
        <v>0</v>
      </c>
      <c r="F4711" s="491">
        <v>0</v>
      </c>
      <c r="G4711" s="491">
        <f t="shared" si="73"/>
        <v>2491</v>
      </c>
    </row>
    <row r="4712" spans="1:7" ht="12.75">
      <c r="A4712" s="134" t="s">
        <v>500</v>
      </c>
      <c r="B4712" s="134">
        <v>100</v>
      </c>
      <c r="C4712" s="491">
        <v>324</v>
      </c>
      <c r="D4712" s="491">
        <v>1960</v>
      </c>
      <c r="E4712" s="491">
        <v>0</v>
      </c>
      <c r="F4712" s="491">
        <v>0</v>
      </c>
      <c r="G4712" s="491">
        <f t="shared" si="73"/>
        <v>2284</v>
      </c>
    </row>
    <row r="4713" spans="1:7" ht="12.75">
      <c r="A4713" s="134" t="s">
        <v>500</v>
      </c>
      <c r="B4713" s="134">
        <v>104</v>
      </c>
      <c r="C4713" s="491">
        <v>27</v>
      </c>
      <c r="D4713" s="491">
        <v>99</v>
      </c>
      <c r="E4713" s="491">
        <v>0</v>
      </c>
      <c r="F4713" s="491">
        <v>0</v>
      </c>
      <c r="G4713" s="491">
        <f t="shared" si="73"/>
        <v>126</v>
      </c>
    </row>
    <row r="4714" spans="1:7" ht="12.75">
      <c r="A4714" s="134" t="s">
        <v>500</v>
      </c>
      <c r="B4714" s="134">
        <v>106</v>
      </c>
      <c r="C4714" s="491">
        <v>3</v>
      </c>
      <c r="D4714" s="491">
        <v>146</v>
      </c>
      <c r="E4714" s="491">
        <v>0</v>
      </c>
      <c r="F4714" s="491">
        <v>0</v>
      </c>
      <c r="G4714" s="491">
        <f t="shared" si="73"/>
        <v>149</v>
      </c>
    </row>
    <row r="4715" spans="1:7" ht="12.75">
      <c r="A4715" s="134" t="s">
        <v>500</v>
      </c>
      <c r="B4715" s="134">
        <v>110</v>
      </c>
      <c r="C4715" s="491">
        <v>1</v>
      </c>
      <c r="D4715" s="491">
        <v>1</v>
      </c>
      <c r="E4715" s="491">
        <v>0</v>
      </c>
      <c r="F4715" s="491">
        <v>0</v>
      </c>
      <c r="G4715" s="491">
        <f t="shared" si="73"/>
        <v>2</v>
      </c>
    </row>
    <row r="4716" spans="1:7" ht="12.75">
      <c r="A4716" s="134" t="s">
        <v>500</v>
      </c>
      <c r="B4716" s="134">
        <v>120</v>
      </c>
      <c r="C4716" s="491">
        <v>3</v>
      </c>
      <c r="D4716" s="491">
        <v>1</v>
      </c>
      <c r="E4716" s="491">
        <v>0</v>
      </c>
      <c r="F4716" s="491">
        <v>0</v>
      </c>
      <c r="G4716" s="491">
        <f t="shared" si="73"/>
        <v>4</v>
      </c>
    </row>
    <row r="4717" spans="1:7" ht="12.75">
      <c r="A4717" s="134" t="s">
        <v>500</v>
      </c>
      <c r="B4717" s="134">
        <v>191</v>
      </c>
      <c r="C4717" s="491">
        <v>0</v>
      </c>
      <c r="D4717" s="491">
        <v>1</v>
      </c>
      <c r="E4717" s="491">
        <v>0</v>
      </c>
      <c r="F4717" s="491">
        <v>0</v>
      </c>
      <c r="G4717" s="491">
        <f t="shared" si="73"/>
        <v>1</v>
      </c>
    </row>
    <row r="4718" spans="1:7" ht="12.75">
      <c r="A4718" s="134" t="s">
        <v>500</v>
      </c>
      <c r="B4718" s="134">
        <v>300</v>
      </c>
      <c r="C4718" s="491">
        <v>200</v>
      </c>
      <c r="D4718" s="491">
        <v>127</v>
      </c>
      <c r="E4718" s="491">
        <v>0</v>
      </c>
      <c r="F4718" s="491">
        <v>0</v>
      </c>
      <c r="G4718" s="491">
        <f t="shared" si="73"/>
        <v>327</v>
      </c>
    </row>
    <row r="4719" spans="1:7" ht="12.75">
      <c r="A4719" s="134" t="s">
        <v>500</v>
      </c>
      <c r="B4719" s="134">
        <v>301</v>
      </c>
      <c r="C4719" s="491">
        <v>1539</v>
      </c>
      <c r="D4719" s="491">
        <v>3273</v>
      </c>
      <c r="E4719" s="491">
        <v>0</v>
      </c>
      <c r="F4719" s="491">
        <v>0</v>
      </c>
      <c r="G4719" s="491">
        <f t="shared" si="73"/>
        <v>4812</v>
      </c>
    </row>
    <row r="4720" spans="1:7" ht="12.75">
      <c r="A4720" s="134" t="s">
        <v>500</v>
      </c>
      <c r="B4720" s="134">
        <v>303</v>
      </c>
      <c r="C4720" s="491">
        <v>3</v>
      </c>
      <c r="D4720" s="491">
        <v>1</v>
      </c>
      <c r="E4720" s="491">
        <v>0</v>
      </c>
      <c r="F4720" s="491">
        <v>0</v>
      </c>
      <c r="G4720" s="491">
        <f t="shared" si="73"/>
        <v>4</v>
      </c>
    </row>
    <row r="4721" spans="1:7" ht="12.75">
      <c r="A4721" s="134" t="s">
        <v>500</v>
      </c>
      <c r="B4721" s="134">
        <v>320</v>
      </c>
      <c r="C4721" s="491">
        <v>0</v>
      </c>
      <c r="D4721" s="491">
        <v>1</v>
      </c>
      <c r="E4721" s="491">
        <v>0</v>
      </c>
      <c r="F4721" s="491">
        <v>0</v>
      </c>
      <c r="G4721" s="491">
        <f t="shared" si="73"/>
        <v>1</v>
      </c>
    </row>
    <row r="4722" spans="1:7" ht="12.75">
      <c r="A4722" s="134" t="s">
        <v>500</v>
      </c>
      <c r="B4722" s="134">
        <v>328</v>
      </c>
      <c r="C4722" s="491">
        <v>0</v>
      </c>
      <c r="D4722" s="491">
        <v>0</v>
      </c>
      <c r="E4722" s="491">
        <v>0</v>
      </c>
      <c r="F4722" s="491">
        <v>1</v>
      </c>
      <c r="G4722" s="491">
        <f t="shared" si="73"/>
        <v>1</v>
      </c>
    </row>
    <row r="4723" spans="1:7" ht="12.75">
      <c r="A4723" s="134" t="s">
        <v>500</v>
      </c>
      <c r="B4723" s="134">
        <v>330</v>
      </c>
      <c r="C4723" s="491">
        <v>0</v>
      </c>
      <c r="D4723" s="491">
        <v>1</v>
      </c>
      <c r="E4723" s="491">
        <v>0</v>
      </c>
      <c r="F4723" s="491">
        <v>0</v>
      </c>
      <c r="G4723" s="491">
        <f t="shared" si="73"/>
        <v>1</v>
      </c>
    </row>
    <row r="4724" spans="1:7" ht="12.75">
      <c r="A4724" s="134" t="s">
        <v>500</v>
      </c>
      <c r="B4724" s="134">
        <v>370</v>
      </c>
      <c r="C4724" s="491">
        <v>0</v>
      </c>
      <c r="D4724" s="491">
        <v>1</v>
      </c>
      <c r="E4724" s="491">
        <v>0</v>
      </c>
      <c r="F4724" s="491">
        <v>0</v>
      </c>
      <c r="G4724" s="491">
        <f t="shared" si="73"/>
        <v>1</v>
      </c>
    </row>
    <row r="4725" spans="1:7" ht="12.75">
      <c r="A4725" s="134" t="s">
        <v>500</v>
      </c>
      <c r="B4725" s="134">
        <v>410</v>
      </c>
      <c r="C4725" s="491">
        <v>1</v>
      </c>
      <c r="D4725" s="491">
        <v>0</v>
      </c>
      <c r="E4725" s="491">
        <v>0</v>
      </c>
      <c r="F4725" s="491">
        <v>0</v>
      </c>
      <c r="G4725" s="491">
        <f t="shared" si="73"/>
        <v>1</v>
      </c>
    </row>
    <row r="4726" spans="1:7" ht="12.75">
      <c r="A4726" s="134" t="s">
        <v>500</v>
      </c>
      <c r="B4726" s="134">
        <v>430</v>
      </c>
      <c r="C4726" s="491">
        <v>1</v>
      </c>
      <c r="D4726" s="491">
        <v>2</v>
      </c>
      <c r="E4726" s="491">
        <v>0</v>
      </c>
      <c r="F4726" s="491">
        <v>0</v>
      </c>
      <c r="G4726" s="491">
        <f t="shared" si="73"/>
        <v>3</v>
      </c>
    </row>
    <row r="4727" spans="1:7" ht="12.75">
      <c r="A4727" s="134" t="s">
        <v>500</v>
      </c>
      <c r="B4727" s="134">
        <v>502</v>
      </c>
      <c r="C4727" s="491">
        <v>0</v>
      </c>
      <c r="D4727" s="491">
        <v>1</v>
      </c>
      <c r="E4727" s="491">
        <v>0</v>
      </c>
      <c r="F4727" s="491">
        <v>0</v>
      </c>
      <c r="G4727" s="491">
        <f t="shared" si="73"/>
        <v>1</v>
      </c>
    </row>
    <row r="4728" spans="1:7" ht="12.75">
      <c r="A4728" s="134" t="s">
        <v>500</v>
      </c>
      <c r="B4728" s="134">
        <v>654</v>
      </c>
      <c r="C4728" s="491">
        <v>0</v>
      </c>
      <c r="D4728" s="491">
        <v>1</v>
      </c>
      <c r="E4728" s="491">
        <v>0</v>
      </c>
      <c r="F4728" s="491">
        <v>0</v>
      </c>
      <c r="G4728" s="491">
        <f t="shared" si="73"/>
        <v>1</v>
      </c>
    </row>
    <row r="4729" spans="1:7" ht="12.75">
      <c r="A4729" s="134" t="s">
        <v>500</v>
      </c>
      <c r="B4729" s="134">
        <v>812</v>
      </c>
      <c r="C4729" s="491">
        <v>0</v>
      </c>
      <c r="D4729" s="491">
        <v>1</v>
      </c>
      <c r="E4729" s="491">
        <v>0</v>
      </c>
      <c r="F4729" s="491">
        <v>0</v>
      </c>
      <c r="G4729" s="491">
        <f t="shared" si="73"/>
        <v>1</v>
      </c>
    </row>
    <row r="4730" spans="1:7" ht="12.75">
      <c r="A4730" s="134" t="s">
        <v>373</v>
      </c>
      <c r="B4730" s="134">
        <v>100</v>
      </c>
      <c r="C4730" s="491">
        <v>2</v>
      </c>
      <c r="D4730" s="491">
        <v>15</v>
      </c>
      <c r="E4730" s="491">
        <v>0</v>
      </c>
      <c r="F4730" s="491">
        <v>0</v>
      </c>
      <c r="G4730" s="491">
        <f t="shared" si="73"/>
        <v>17</v>
      </c>
    </row>
    <row r="4731" spans="1:7" ht="12.75">
      <c r="A4731" s="134" t="s">
        <v>373</v>
      </c>
      <c r="B4731" s="134">
        <v>104</v>
      </c>
      <c r="C4731" s="491">
        <v>5</v>
      </c>
      <c r="D4731" s="491">
        <v>10</v>
      </c>
      <c r="E4731" s="491">
        <v>0</v>
      </c>
      <c r="F4731" s="491">
        <v>0</v>
      </c>
      <c r="G4731" s="491">
        <f t="shared" si="73"/>
        <v>15</v>
      </c>
    </row>
    <row r="4732" spans="1:7" ht="12.75">
      <c r="A4732" s="134" t="s">
        <v>373</v>
      </c>
      <c r="B4732" s="134">
        <v>105</v>
      </c>
      <c r="C4732" s="491">
        <v>1</v>
      </c>
      <c r="D4732" s="491">
        <v>0</v>
      </c>
      <c r="E4732" s="491">
        <v>0</v>
      </c>
      <c r="F4732" s="491">
        <v>0</v>
      </c>
      <c r="G4732" s="491">
        <f t="shared" si="73"/>
        <v>1</v>
      </c>
    </row>
    <row r="4733" spans="1:7" ht="12.75">
      <c r="A4733" s="134" t="s">
        <v>373</v>
      </c>
      <c r="B4733" s="134">
        <v>106</v>
      </c>
      <c r="C4733" s="491">
        <v>0</v>
      </c>
      <c r="D4733" s="491">
        <v>6</v>
      </c>
      <c r="E4733" s="491">
        <v>0</v>
      </c>
      <c r="F4733" s="491">
        <v>0</v>
      </c>
      <c r="G4733" s="491">
        <f t="shared" si="73"/>
        <v>6</v>
      </c>
    </row>
    <row r="4734" spans="1:7" ht="12.75">
      <c r="A4734" s="134" t="s">
        <v>373</v>
      </c>
      <c r="B4734" s="134">
        <v>120</v>
      </c>
      <c r="C4734" s="491">
        <v>1</v>
      </c>
      <c r="D4734" s="491">
        <v>2</v>
      </c>
      <c r="E4734" s="491">
        <v>0</v>
      </c>
      <c r="F4734" s="491">
        <v>0</v>
      </c>
      <c r="G4734" s="491">
        <f t="shared" si="73"/>
        <v>3</v>
      </c>
    </row>
    <row r="4735" spans="1:7" ht="12.75">
      <c r="A4735" s="134" t="s">
        <v>373</v>
      </c>
      <c r="B4735" s="134">
        <v>140</v>
      </c>
      <c r="C4735" s="491">
        <v>1</v>
      </c>
      <c r="D4735" s="491">
        <v>1</v>
      </c>
      <c r="E4735" s="491">
        <v>0</v>
      </c>
      <c r="F4735" s="491">
        <v>0</v>
      </c>
      <c r="G4735" s="491">
        <f t="shared" si="73"/>
        <v>2</v>
      </c>
    </row>
    <row r="4736" spans="1:7" ht="12.75">
      <c r="A4736" s="134" t="s">
        <v>373</v>
      </c>
      <c r="B4736" s="134">
        <v>142</v>
      </c>
      <c r="C4736" s="491">
        <v>0</v>
      </c>
      <c r="D4736" s="491">
        <v>1</v>
      </c>
      <c r="E4736" s="491">
        <v>0</v>
      </c>
      <c r="F4736" s="491">
        <v>0</v>
      </c>
      <c r="G4736" s="491">
        <f t="shared" si="73"/>
        <v>1</v>
      </c>
    </row>
    <row r="4737" spans="1:7" ht="12.75">
      <c r="A4737" s="134" t="s">
        <v>373</v>
      </c>
      <c r="B4737" s="134">
        <v>143</v>
      </c>
      <c r="C4737" s="491">
        <v>8</v>
      </c>
      <c r="D4737" s="491">
        <v>1</v>
      </c>
      <c r="E4737" s="491">
        <v>0</v>
      </c>
      <c r="F4737" s="491">
        <v>0</v>
      </c>
      <c r="G4737" s="491">
        <f t="shared" si="73"/>
        <v>9</v>
      </c>
    </row>
    <row r="4738" spans="1:7" ht="12.75">
      <c r="A4738" s="134" t="s">
        <v>373</v>
      </c>
      <c r="B4738" s="134">
        <v>171</v>
      </c>
      <c r="C4738" s="491">
        <v>25</v>
      </c>
      <c r="D4738" s="491">
        <v>0</v>
      </c>
      <c r="E4738" s="491">
        <v>6</v>
      </c>
      <c r="F4738" s="491">
        <v>0</v>
      </c>
      <c r="G4738" s="491">
        <f t="shared" si="73"/>
        <v>31</v>
      </c>
    </row>
    <row r="4739" spans="1:7" ht="12.75">
      <c r="A4739" s="134" t="s">
        <v>373</v>
      </c>
      <c r="B4739" s="134">
        <v>173</v>
      </c>
      <c r="C4739" s="491">
        <v>6</v>
      </c>
      <c r="D4739" s="491">
        <v>10</v>
      </c>
      <c r="E4739" s="491">
        <v>0</v>
      </c>
      <c r="F4739" s="491">
        <v>0</v>
      </c>
      <c r="G4739" s="491">
        <f t="shared" si="73"/>
        <v>16</v>
      </c>
    </row>
    <row r="4740" spans="1:7" ht="12.75">
      <c r="A4740" s="134" t="s">
        <v>373</v>
      </c>
      <c r="B4740" s="134">
        <v>215</v>
      </c>
      <c r="C4740" s="491">
        <v>1</v>
      </c>
      <c r="D4740" s="491">
        <v>0</v>
      </c>
      <c r="E4740" s="491">
        <v>0</v>
      </c>
      <c r="F4740" s="491">
        <v>0</v>
      </c>
      <c r="G4740" s="491">
        <f t="shared" ref="G4740:G4803" si="74">SUM(C4740:F4740)</f>
        <v>1</v>
      </c>
    </row>
    <row r="4741" spans="1:7" ht="12.75">
      <c r="A4741" s="134" t="s">
        <v>373</v>
      </c>
      <c r="B4741" s="134">
        <v>251</v>
      </c>
      <c r="C4741" s="491">
        <v>14</v>
      </c>
      <c r="D4741" s="491">
        <v>6</v>
      </c>
      <c r="E4741" s="491">
        <v>1</v>
      </c>
      <c r="F4741" s="491">
        <v>0</v>
      </c>
      <c r="G4741" s="491">
        <f t="shared" si="74"/>
        <v>21</v>
      </c>
    </row>
    <row r="4742" spans="1:7" ht="12.75">
      <c r="A4742" s="134" t="s">
        <v>373</v>
      </c>
      <c r="B4742" s="134">
        <v>253</v>
      </c>
      <c r="C4742" s="491">
        <v>0</v>
      </c>
      <c r="D4742" s="491">
        <v>0</v>
      </c>
      <c r="E4742" s="491">
        <v>1</v>
      </c>
      <c r="F4742" s="491">
        <v>0</v>
      </c>
      <c r="G4742" s="491">
        <f t="shared" si="74"/>
        <v>1</v>
      </c>
    </row>
    <row r="4743" spans="1:7" ht="12.75">
      <c r="A4743" s="134" t="s">
        <v>373</v>
      </c>
      <c r="B4743" s="134">
        <v>258</v>
      </c>
      <c r="C4743" s="491">
        <v>0</v>
      </c>
      <c r="D4743" s="491">
        <v>0</v>
      </c>
      <c r="E4743" s="491">
        <v>1</v>
      </c>
      <c r="F4743" s="491">
        <v>0</v>
      </c>
      <c r="G4743" s="491">
        <f t="shared" si="74"/>
        <v>1</v>
      </c>
    </row>
    <row r="4744" spans="1:7" ht="12.75">
      <c r="A4744" s="134" t="s">
        <v>373</v>
      </c>
      <c r="B4744" s="134">
        <v>260</v>
      </c>
      <c r="C4744" s="491">
        <v>16</v>
      </c>
      <c r="D4744" s="491">
        <v>0</v>
      </c>
      <c r="E4744" s="491">
        <v>1</v>
      </c>
      <c r="F4744" s="491">
        <v>0</v>
      </c>
      <c r="G4744" s="491">
        <f t="shared" si="74"/>
        <v>17</v>
      </c>
    </row>
    <row r="4745" spans="1:7" ht="12.75">
      <c r="A4745" s="134" t="s">
        <v>373</v>
      </c>
      <c r="B4745" s="134">
        <v>262</v>
      </c>
      <c r="C4745" s="491">
        <v>1</v>
      </c>
      <c r="D4745" s="491">
        <v>0</v>
      </c>
      <c r="E4745" s="491">
        <v>0</v>
      </c>
      <c r="F4745" s="491">
        <v>0</v>
      </c>
      <c r="G4745" s="491">
        <f t="shared" si="74"/>
        <v>1</v>
      </c>
    </row>
    <row r="4746" spans="1:7" ht="12.75">
      <c r="A4746" s="134" t="s">
        <v>373</v>
      </c>
      <c r="B4746" s="134">
        <v>264</v>
      </c>
      <c r="C4746" s="491">
        <v>1</v>
      </c>
      <c r="D4746" s="491">
        <v>0</v>
      </c>
      <c r="E4746" s="491">
        <v>2</v>
      </c>
      <c r="F4746" s="491">
        <v>0</v>
      </c>
      <c r="G4746" s="491">
        <f t="shared" si="74"/>
        <v>3</v>
      </c>
    </row>
    <row r="4747" spans="1:7" ht="12.75">
      <c r="A4747" s="134" t="s">
        <v>373</v>
      </c>
      <c r="B4747" s="134">
        <v>290</v>
      </c>
      <c r="C4747" s="491">
        <v>561</v>
      </c>
      <c r="D4747" s="491">
        <v>30</v>
      </c>
      <c r="E4747" s="491">
        <v>0</v>
      </c>
      <c r="F4747" s="491">
        <v>0</v>
      </c>
      <c r="G4747" s="491">
        <f t="shared" si="74"/>
        <v>591</v>
      </c>
    </row>
    <row r="4748" spans="1:7" ht="12.75">
      <c r="A4748" s="134" t="s">
        <v>373</v>
      </c>
      <c r="B4748" s="134">
        <v>300</v>
      </c>
      <c r="C4748" s="491">
        <v>6</v>
      </c>
      <c r="D4748" s="491">
        <v>4</v>
      </c>
      <c r="E4748" s="491">
        <v>0</v>
      </c>
      <c r="F4748" s="491">
        <v>0</v>
      </c>
      <c r="G4748" s="491">
        <f t="shared" si="74"/>
        <v>10</v>
      </c>
    </row>
    <row r="4749" spans="1:7" ht="12.75">
      <c r="A4749" s="134" t="s">
        <v>373</v>
      </c>
      <c r="B4749" s="134">
        <v>301</v>
      </c>
      <c r="C4749" s="491">
        <v>44</v>
      </c>
      <c r="D4749" s="491">
        <v>86</v>
      </c>
      <c r="E4749" s="491">
        <v>0</v>
      </c>
      <c r="F4749" s="491">
        <v>0</v>
      </c>
      <c r="G4749" s="491">
        <f t="shared" si="74"/>
        <v>130</v>
      </c>
    </row>
    <row r="4750" spans="1:7" ht="12.75">
      <c r="A4750" s="134" t="s">
        <v>373</v>
      </c>
      <c r="B4750" s="134">
        <v>304</v>
      </c>
      <c r="C4750" s="491">
        <v>0</v>
      </c>
      <c r="D4750" s="491">
        <v>4</v>
      </c>
      <c r="E4750" s="491">
        <v>0</v>
      </c>
      <c r="F4750" s="491">
        <v>0</v>
      </c>
      <c r="G4750" s="491">
        <f t="shared" si="74"/>
        <v>4</v>
      </c>
    </row>
    <row r="4751" spans="1:7" ht="12.75">
      <c r="A4751" s="134" t="s">
        <v>373</v>
      </c>
      <c r="B4751" s="134">
        <v>306</v>
      </c>
      <c r="C4751" s="491">
        <v>1</v>
      </c>
      <c r="D4751" s="491">
        <v>0</v>
      </c>
      <c r="E4751" s="491">
        <v>0</v>
      </c>
      <c r="F4751" s="491">
        <v>0</v>
      </c>
      <c r="G4751" s="491">
        <f t="shared" si="74"/>
        <v>1</v>
      </c>
    </row>
    <row r="4752" spans="1:7" ht="12.75">
      <c r="A4752" s="134" t="s">
        <v>373</v>
      </c>
      <c r="B4752" s="134">
        <v>340</v>
      </c>
      <c r="C4752" s="491">
        <v>0</v>
      </c>
      <c r="D4752" s="491">
        <v>1</v>
      </c>
      <c r="E4752" s="491">
        <v>0</v>
      </c>
      <c r="F4752" s="491">
        <v>0</v>
      </c>
      <c r="G4752" s="491">
        <f t="shared" si="74"/>
        <v>1</v>
      </c>
    </row>
    <row r="4753" spans="1:7" ht="12.75">
      <c r="A4753" s="134" t="s">
        <v>373</v>
      </c>
      <c r="B4753" s="134">
        <v>343</v>
      </c>
      <c r="C4753" s="491">
        <v>1</v>
      </c>
      <c r="D4753" s="491">
        <v>0</v>
      </c>
      <c r="E4753" s="491">
        <v>0</v>
      </c>
      <c r="F4753" s="491">
        <v>0</v>
      </c>
      <c r="G4753" s="491">
        <f t="shared" si="74"/>
        <v>1</v>
      </c>
    </row>
    <row r="4754" spans="1:7" ht="12.75">
      <c r="A4754" s="134" t="s">
        <v>373</v>
      </c>
      <c r="B4754" s="134">
        <v>420</v>
      </c>
      <c r="C4754" s="491">
        <v>312</v>
      </c>
      <c r="D4754" s="491">
        <v>45</v>
      </c>
      <c r="E4754" s="491">
        <v>11</v>
      </c>
      <c r="F4754" s="491">
        <v>5</v>
      </c>
      <c r="G4754" s="491">
        <f t="shared" si="74"/>
        <v>373</v>
      </c>
    </row>
    <row r="4755" spans="1:7" ht="12.75">
      <c r="A4755" s="134" t="s">
        <v>373</v>
      </c>
      <c r="B4755" s="134">
        <v>421</v>
      </c>
      <c r="C4755" s="491">
        <v>2</v>
      </c>
      <c r="D4755" s="491">
        <v>1</v>
      </c>
      <c r="E4755" s="491">
        <v>0</v>
      </c>
      <c r="F4755" s="491">
        <v>0</v>
      </c>
      <c r="G4755" s="491">
        <f t="shared" si="74"/>
        <v>3</v>
      </c>
    </row>
    <row r="4756" spans="1:7" ht="12.75">
      <c r="A4756" s="134" t="s">
        <v>373</v>
      </c>
      <c r="B4756" s="134">
        <v>560</v>
      </c>
      <c r="C4756" s="491">
        <v>1</v>
      </c>
      <c r="D4756" s="491">
        <v>0</v>
      </c>
      <c r="E4756" s="491">
        <v>0</v>
      </c>
      <c r="F4756" s="491">
        <v>0</v>
      </c>
      <c r="G4756" s="491">
        <f t="shared" si="74"/>
        <v>1</v>
      </c>
    </row>
    <row r="4757" spans="1:7" ht="12.75">
      <c r="A4757" s="134" t="s">
        <v>373</v>
      </c>
      <c r="B4757" s="134">
        <v>654</v>
      </c>
      <c r="C4757" s="491">
        <v>1</v>
      </c>
      <c r="D4757" s="491">
        <v>0</v>
      </c>
      <c r="E4757" s="491">
        <v>0</v>
      </c>
      <c r="F4757" s="491">
        <v>0</v>
      </c>
      <c r="G4757" s="491">
        <f t="shared" si="74"/>
        <v>1</v>
      </c>
    </row>
    <row r="4758" spans="1:7" ht="12.75">
      <c r="A4758" s="134" t="s">
        <v>373</v>
      </c>
      <c r="B4758" s="134">
        <v>812</v>
      </c>
      <c r="C4758" s="491">
        <v>1</v>
      </c>
      <c r="D4758" s="491">
        <v>14</v>
      </c>
      <c r="E4758" s="491">
        <v>0</v>
      </c>
      <c r="F4758" s="491">
        <v>0</v>
      </c>
      <c r="G4758" s="491">
        <f t="shared" si="74"/>
        <v>15</v>
      </c>
    </row>
    <row r="4759" spans="1:7" ht="12.75">
      <c r="A4759" s="134" t="s">
        <v>359</v>
      </c>
      <c r="B4759" s="134">
        <v>110</v>
      </c>
      <c r="C4759" s="491">
        <v>1</v>
      </c>
      <c r="D4759" s="491">
        <v>0</v>
      </c>
      <c r="E4759" s="491">
        <v>0</v>
      </c>
      <c r="F4759" s="491">
        <v>0</v>
      </c>
      <c r="G4759" s="491">
        <f t="shared" si="74"/>
        <v>1</v>
      </c>
    </row>
    <row r="4760" spans="1:7" ht="12.75">
      <c r="A4760" s="134" t="s">
        <v>359</v>
      </c>
      <c r="B4760" s="134">
        <v>171</v>
      </c>
      <c r="C4760" s="491">
        <v>14</v>
      </c>
      <c r="D4760" s="491">
        <v>1</v>
      </c>
      <c r="E4760" s="491">
        <v>2</v>
      </c>
      <c r="F4760" s="491">
        <v>1</v>
      </c>
      <c r="G4760" s="491">
        <f t="shared" si="74"/>
        <v>18</v>
      </c>
    </row>
    <row r="4761" spans="1:7" ht="12.75">
      <c r="A4761" s="134" t="s">
        <v>359</v>
      </c>
      <c r="B4761" s="134">
        <v>173</v>
      </c>
      <c r="C4761" s="491">
        <v>24</v>
      </c>
      <c r="D4761" s="491">
        <v>22</v>
      </c>
      <c r="E4761" s="491">
        <v>0</v>
      </c>
      <c r="F4761" s="491">
        <v>0</v>
      </c>
      <c r="G4761" s="491">
        <f t="shared" si="74"/>
        <v>46</v>
      </c>
    </row>
    <row r="4762" spans="1:7" ht="12.75">
      <c r="A4762" s="134" t="s">
        <v>359</v>
      </c>
      <c r="B4762" s="134">
        <v>251</v>
      </c>
      <c r="C4762" s="491">
        <v>1</v>
      </c>
      <c r="D4762" s="491">
        <v>0</v>
      </c>
      <c r="E4762" s="491">
        <v>1</v>
      </c>
      <c r="F4762" s="491">
        <v>0</v>
      </c>
      <c r="G4762" s="491">
        <f t="shared" si="74"/>
        <v>2</v>
      </c>
    </row>
    <row r="4763" spans="1:7" ht="12.75">
      <c r="A4763" s="134" t="s">
        <v>359</v>
      </c>
      <c r="B4763" s="134">
        <v>253</v>
      </c>
      <c r="C4763" s="491">
        <v>4</v>
      </c>
      <c r="D4763" s="491">
        <v>0</v>
      </c>
      <c r="E4763" s="491">
        <v>0</v>
      </c>
      <c r="F4763" s="491">
        <v>1</v>
      </c>
      <c r="G4763" s="491">
        <f t="shared" si="74"/>
        <v>5</v>
      </c>
    </row>
    <row r="4764" spans="1:7" ht="12.75">
      <c r="A4764" s="134" t="s">
        <v>359</v>
      </c>
      <c r="B4764" s="134">
        <v>260</v>
      </c>
      <c r="C4764" s="491">
        <v>6</v>
      </c>
      <c r="D4764" s="491">
        <v>1</v>
      </c>
      <c r="E4764" s="491">
        <v>1</v>
      </c>
      <c r="F4764" s="491">
        <v>0</v>
      </c>
      <c r="G4764" s="491">
        <f t="shared" si="74"/>
        <v>8</v>
      </c>
    </row>
    <row r="4765" spans="1:7" ht="12.75">
      <c r="A4765" s="134" t="s">
        <v>359</v>
      </c>
      <c r="B4765" s="134">
        <v>290</v>
      </c>
      <c r="C4765" s="491">
        <v>220</v>
      </c>
      <c r="D4765" s="491">
        <v>14</v>
      </c>
      <c r="E4765" s="491">
        <v>0</v>
      </c>
      <c r="F4765" s="491">
        <v>0</v>
      </c>
      <c r="G4765" s="491">
        <f t="shared" si="74"/>
        <v>234</v>
      </c>
    </row>
    <row r="4766" spans="1:7" ht="12.75">
      <c r="A4766" s="134" t="s">
        <v>359</v>
      </c>
      <c r="B4766" s="134">
        <v>291</v>
      </c>
      <c r="C4766" s="491">
        <v>1</v>
      </c>
      <c r="D4766" s="491">
        <v>0</v>
      </c>
      <c r="E4766" s="491">
        <v>0</v>
      </c>
      <c r="F4766" s="491">
        <v>0</v>
      </c>
      <c r="G4766" s="491">
        <f t="shared" si="74"/>
        <v>1</v>
      </c>
    </row>
    <row r="4767" spans="1:7" ht="12.75">
      <c r="A4767" s="134" t="s">
        <v>359</v>
      </c>
      <c r="B4767" s="134">
        <v>301</v>
      </c>
      <c r="C4767" s="491">
        <v>2</v>
      </c>
      <c r="D4767" s="491">
        <v>18</v>
      </c>
      <c r="E4767" s="491">
        <v>0</v>
      </c>
      <c r="F4767" s="491">
        <v>0</v>
      </c>
      <c r="G4767" s="491">
        <f t="shared" si="74"/>
        <v>20</v>
      </c>
    </row>
    <row r="4768" spans="1:7" ht="12.75">
      <c r="A4768" s="134" t="s">
        <v>359</v>
      </c>
      <c r="B4768" s="134">
        <v>308</v>
      </c>
      <c r="C4768" s="491">
        <v>2</v>
      </c>
      <c r="D4768" s="491">
        <v>0</v>
      </c>
      <c r="E4768" s="491">
        <v>0</v>
      </c>
      <c r="F4768" s="491">
        <v>0</v>
      </c>
      <c r="G4768" s="491">
        <f t="shared" si="74"/>
        <v>2</v>
      </c>
    </row>
    <row r="4769" spans="1:7" ht="12.75">
      <c r="A4769" s="134" t="s">
        <v>359</v>
      </c>
      <c r="B4769" s="134">
        <v>420</v>
      </c>
      <c r="C4769" s="491">
        <v>682</v>
      </c>
      <c r="D4769" s="491">
        <v>72</v>
      </c>
      <c r="E4769" s="491">
        <v>47</v>
      </c>
      <c r="F4769" s="491">
        <v>3</v>
      </c>
      <c r="G4769" s="491">
        <f t="shared" si="74"/>
        <v>804</v>
      </c>
    </row>
    <row r="4770" spans="1:7" ht="12.75">
      <c r="A4770" s="134" t="s">
        <v>359</v>
      </c>
      <c r="B4770" s="134">
        <v>422</v>
      </c>
      <c r="C4770" s="491">
        <v>10</v>
      </c>
      <c r="D4770" s="491">
        <v>5</v>
      </c>
      <c r="E4770" s="491">
        <v>0</v>
      </c>
      <c r="F4770" s="491">
        <v>0</v>
      </c>
      <c r="G4770" s="491">
        <f t="shared" si="74"/>
        <v>15</v>
      </c>
    </row>
    <row r="4771" spans="1:7" ht="12.75">
      <c r="A4771" s="134" t="s">
        <v>115</v>
      </c>
      <c r="B4771" s="134">
        <v>100</v>
      </c>
      <c r="C4771" s="491">
        <v>1</v>
      </c>
      <c r="D4771" s="491">
        <v>8</v>
      </c>
      <c r="E4771" s="491">
        <v>0</v>
      </c>
      <c r="F4771" s="491">
        <v>0</v>
      </c>
      <c r="G4771" s="491">
        <f t="shared" si="74"/>
        <v>9</v>
      </c>
    </row>
    <row r="4772" spans="1:7" ht="12.75">
      <c r="A4772" s="134" t="s">
        <v>115</v>
      </c>
      <c r="B4772" s="134">
        <v>104</v>
      </c>
      <c r="C4772" s="491">
        <v>2</v>
      </c>
      <c r="D4772" s="491">
        <v>4</v>
      </c>
      <c r="E4772" s="491">
        <v>0</v>
      </c>
      <c r="F4772" s="491">
        <v>0</v>
      </c>
      <c r="G4772" s="491">
        <f t="shared" si="74"/>
        <v>6</v>
      </c>
    </row>
    <row r="4773" spans="1:7" ht="12.75">
      <c r="A4773" s="134" t="s">
        <v>115</v>
      </c>
      <c r="B4773" s="134">
        <v>106</v>
      </c>
      <c r="C4773" s="491">
        <v>0</v>
      </c>
      <c r="D4773" s="491">
        <v>7</v>
      </c>
      <c r="E4773" s="491">
        <v>0</v>
      </c>
      <c r="F4773" s="491">
        <v>0</v>
      </c>
      <c r="G4773" s="491">
        <f t="shared" si="74"/>
        <v>7</v>
      </c>
    </row>
    <row r="4774" spans="1:7" ht="12.75">
      <c r="A4774" s="134" t="s">
        <v>115</v>
      </c>
      <c r="B4774" s="134">
        <v>301</v>
      </c>
      <c r="C4774" s="491">
        <v>34</v>
      </c>
      <c r="D4774" s="491">
        <v>77</v>
      </c>
      <c r="E4774" s="491">
        <v>0</v>
      </c>
      <c r="F4774" s="491">
        <v>0</v>
      </c>
      <c r="G4774" s="491">
        <f t="shared" si="74"/>
        <v>111</v>
      </c>
    </row>
    <row r="4775" spans="1:7" ht="12.75">
      <c r="A4775" s="134" t="s">
        <v>115</v>
      </c>
      <c r="B4775" s="134">
        <v>320</v>
      </c>
      <c r="C4775" s="491">
        <v>0</v>
      </c>
      <c r="D4775" s="491">
        <v>1</v>
      </c>
      <c r="E4775" s="491">
        <v>0</v>
      </c>
      <c r="F4775" s="491">
        <v>0</v>
      </c>
      <c r="G4775" s="491">
        <f t="shared" si="74"/>
        <v>1</v>
      </c>
    </row>
    <row r="4776" spans="1:7" ht="12.75">
      <c r="A4776" s="134" t="s">
        <v>115</v>
      </c>
      <c r="B4776" s="134">
        <v>812</v>
      </c>
      <c r="C4776" s="491">
        <v>0</v>
      </c>
      <c r="D4776" s="491">
        <v>5</v>
      </c>
      <c r="E4776" s="491">
        <v>0</v>
      </c>
      <c r="F4776" s="491">
        <v>0</v>
      </c>
      <c r="G4776" s="491">
        <f t="shared" si="74"/>
        <v>5</v>
      </c>
    </row>
    <row r="4777" spans="1:7" ht="12.75">
      <c r="A4777" s="134" t="s">
        <v>375</v>
      </c>
      <c r="B4777" s="134">
        <v>100</v>
      </c>
      <c r="C4777" s="491">
        <v>2</v>
      </c>
      <c r="D4777" s="491">
        <v>161</v>
      </c>
      <c r="E4777" s="491">
        <v>0</v>
      </c>
      <c r="F4777" s="491">
        <v>0</v>
      </c>
      <c r="G4777" s="491">
        <f t="shared" si="74"/>
        <v>163</v>
      </c>
    </row>
    <row r="4778" spans="1:7" ht="12.75">
      <c r="A4778" s="134" t="s">
        <v>375</v>
      </c>
      <c r="B4778" s="134">
        <v>104</v>
      </c>
      <c r="C4778" s="491">
        <v>15</v>
      </c>
      <c r="D4778" s="491">
        <v>28</v>
      </c>
      <c r="E4778" s="491">
        <v>0</v>
      </c>
      <c r="F4778" s="491">
        <v>0</v>
      </c>
      <c r="G4778" s="491">
        <f t="shared" si="74"/>
        <v>43</v>
      </c>
    </row>
    <row r="4779" spans="1:7" ht="12.75">
      <c r="A4779" s="134" t="s">
        <v>375</v>
      </c>
      <c r="B4779" s="134">
        <v>106</v>
      </c>
      <c r="C4779" s="491">
        <v>0</v>
      </c>
      <c r="D4779" s="491">
        <v>43</v>
      </c>
      <c r="E4779" s="491">
        <v>0</v>
      </c>
      <c r="F4779" s="491">
        <v>0</v>
      </c>
      <c r="G4779" s="491">
        <f t="shared" si="74"/>
        <v>43</v>
      </c>
    </row>
    <row r="4780" spans="1:7" ht="12.75">
      <c r="A4780" s="134" t="s">
        <v>375</v>
      </c>
      <c r="B4780" s="134">
        <v>300</v>
      </c>
      <c r="C4780" s="491">
        <v>0</v>
      </c>
      <c r="D4780" s="491">
        <v>1</v>
      </c>
      <c r="E4780" s="491">
        <v>0</v>
      </c>
      <c r="F4780" s="491">
        <v>0</v>
      </c>
      <c r="G4780" s="491">
        <f t="shared" si="74"/>
        <v>1</v>
      </c>
    </row>
    <row r="4781" spans="1:7" ht="12.75">
      <c r="A4781" s="134" t="s">
        <v>375</v>
      </c>
      <c r="B4781" s="134">
        <v>301</v>
      </c>
      <c r="C4781" s="491">
        <v>227</v>
      </c>
      <c r="D4781" s="491">
        <v>117</v>
      </c>
      <c r="E4781" s="491">
        <v>0</v>
      </c>
      <c r="F4781" s="491">
        <v>1</v>
      </c>
      <c r="G4781" s="491">
        <f t="shared" si="74"/>
        <v>345</v>
      </c>
    </row>
    <row r="4782" spans="1:7" ht="12.75">
      <c r="A4782" s="134" t="s">
        <v>375</v>
      </c>
      <c r="B4782" s="134">
        <v>303</v>
      </c>
      <c r="C4782" s="491">
        <v>1</v>
      </c>
      <c r="D4782" s="491">
        <v>0</v>
      </c>
      <c r="E4782" s="491">
        <v>0</v>
      </c>
      <c r="F4782" s="491">
        <v>0</v>
      </c>
      <c r="G4782" s="491">
        <f t="shared" si="74"/>
        <v>1</v>
      </c>
    </row>
    <row r="4783" spans="1:7" ht="12.75">
      <c r="A4783" s="134" t="s">
        <v>375</v>
      </c>
      <c r="B4783" s="134">
        <v>340</v>
      </c>
      <c r="C4783" s="491">
        <v>1</v>
      </c>
      <c r="D4783" s="491">
        <v>0</v>
      </c>
      <c r="E4783" s="491">
        <v>0</v>
      </c>
      <c r="F4783" s="491">
        <v>0</v>
      </c>
      <c r="G4783" s="491">
        <f t="shared" si="74"/>
        <v>1</v>
      </c>
    </row>
    <row r="4784" spans="1:7" ht="12.75">
      <c r="A4784" s="134" t="s">
        <v>375</v>
      </c>
      <c r="B4784" s="134">
        <v>430</v>
      </c>
      <c r="C4784" s="491">
        <v>0</v>
      </c>
      <c r="D4784" s="491">
        <v>1</v>
      </c>
      <c r="E4784" s="491">
        <v>0</v>
      </c>
      <c r="F4784" s="491">
        <v>0</v>
      </c>
      <c r="G4784" s="491">
        <f t="shared" si="74"/>
        <v>1</v>
      </c>
    </row>
    <row r="4785" spans="1:7" ht="12.75">
      <c r="A4785" s="134" t="s">
        <v>346</v>
      </c>
      <c r="B4785" s="134">
        <v>251</v>
      </c>
      <c r="C4785" s="491">
        <v>2</v>
      </c>
      <c r="D4785" s="491">
        <v>0</v>
      </c>
      <c r="E4785" s="491">
        <v>0</v>
      </c>
      <c r="F4785" s="491">
        <v>0</v>
      </c>
      <c r="G4785" s="491">
        <f t="shared" si="74"/>
        <v>2</v>
      </c>
    </row>
    <row r="4786" spans="1:7" ht="12.75">
      <c r="A4786" s="134" t="s">
        <v>116</v>
      </c>
      <c r="B4786" s="134">
        <v>100</v>
      </c>
      <c r="C4786" s="491">
        <v>0</v>
      </c>
      <c r="D4786" s="491">
        <v>14</v>
      </c>
      <c r="E4786" s="491">
        <v>0</v>
      </c>
      <c r="F4786" s="491">
        <v>0</v>
      </c>
      <c r="G4786" s="491">
        <f t="shared" si="74"/>
        <v>14</v>
      </c>
    </row>
    <row r="4787" spans="1:7" ht="12.75">
      <c r="A4787" s="134" t="s">
        <v>116</v>
      </c>
      <c r="B4787" s="134">
        <v>104</v>
      </c>
      <c r="C4787" s="491">
        <v>1</v>
      </c>
      <c r="D4787" s="491">
        <v>3</v>
      </c>
      <c r="E4787" s="491">
        <v>0</v>
      </c>
      <c r="F4787" s="491">
        <v>0</v>
      </c>
      <c r="G4787" s="491">
        <f t="shared" si="74"/>
        <v>4</v>
      </c>
    </row>
    <row r="4788" spans="1:7" ht="12.75">
      <c r="A4788" s="134" t="s">
        <v>116</v>
      </c>
      <c r="B4788" s="134">
        <v>106</v>
      </c>
      <c r="C4788" s="491">
        <v>1</v>
      </c>
      <c r="D4788" s="491">
        <v>17</v>
      </c>
      <c r="E4788" s="491">
        <v>0</v>
      </c>
      <c r="F4788" s="491">
        <v>0</v>
      </c>
      <c r="G4788" s="491">
        <f t="shared" si="74"/>
        <v>18</v>
      </c>
    </row>
    <row r="4789" spans="1:7" ht="12.75">
      <c r="A4789" s="134" t="s">
        <v>116</v>
      </c>
      <c r="B4789" s="134">
        <v>301</v>
      </c>
      <c r="C4789" s="491">
        <v>22</v>
      </c>
      <c r="D4789" s="491">
        <v>35</v>
      </c>
      <c r="E4789" s="491">
        <v>0</v>
      </c>
      <c r="F4789" s="491">
        <v>0</v>
      </c>
      <c r="G4789" s="491">
        <f t="shared" si="74"/>
        <v>57</v>
      </c>
    </row>
    <row r="4790" spans="1:7" ht="12.75">
      <c r="A4790" s="134" t="s">
        <v>845</v>
      </c>
      <c r="B4790" s="134">
        <v>100</v>
      </c>
      <c r="C4790" s="491">
        <v>2</v>
      </c>
      <c r="D4790" s="491">
        <v>0</v>
      </c>
      <c r="E4790" s="491">
        <v>0</v>
      </c>
      <c r="F4790" s="491">
        <v>1</v>
      </c>
      <c r="G4790" s="491">
        <f t="shared" si="74"/>
        <v>3</v>
      </c>
    </row>
    <row r="4791" spans="1:7" ht="12.75">
      <c r="A4791" s="134" t="s">
        <v>845</v>
      </c>
      <c r="B4791" s="134">
        <v>400</v>
      </c>
      <c r="C4791" s="491">
        <v>0</v>
      </c>
      <c r="D4791" s="491">
        <v>1</v>
      </c>
      <c r="E4791" s="491">
        <v>0</v>
      </c>
      <c r="F4791" s="491">
        <v>0</v>
      </c>
      <c r="G4791" s="491">
        <f t="shared" si="74"/>
        <v>1</v>
      </c>
    </row>
    <row r="4792" spans="1:7" ht="12.75">
      <c r="A4792" s="134" t="s">
        <v>845</v>
      </c>
      <c r="B4792" s="134">
        <v>501</v>
      </c>
      <c r="C4792" s="491">
        <v>4</v>
      </c>
      <c r="D4792" s="491">
        <v>1</v>
      </c>
      <c r="E4792" s="491">
        <v>0</v>
      </c>
      <c r="F4792" s="491">
        <v>1</v>
      </c>
      <c r="G4792" s="491">
        <f t="shared" si="74"/>
        <v>6</v>
      </c>
    </row>
    <row r="4793" spans="1:7" ht="12.75">
      <c r="A4793" s="134" t="s">
        <v>845</v>
      </c>
      <c r="B4793" s="134">
        <v>502</v>
      </c>
      <c r="C4793" s="491">
        <v>1</v>
      </c>
      <c r="D4793" s="491">
        <v>3</v>
      </c>
      <c r="E4793" s="491">
        <v>0</v>
      </c>
      <c r="F4793" s="491">
        <v>0</v>
      </c>
      <c r="G4793" s="491">
        <f t="shared" si="74"/>
        <v>4</v>
      </c>
    </row>
    <row r="4794" spans="1:7" ht="12.75">
      <c r="A4794" s="134" t="s">
        <v>845</v>
      </c>
      <c r="B4794" s="134">
        <v>503</v>
      </c>
      <c r="C4794" s="491">
        <v>0</v>
      </c>
      <c r="D4794" s="491">
        <v>1</v>
      </c>
      <c r="E4794" s="491">
        <v>0</v>
      </c>
      <c r="F4794" s="491">
        <v>0</v>
      </c>
      <c r="G4794" s="491">
        <f t="shared" si="74"/>
        <v>1</v>
      </c>
    </row>
    <row r="4795" spans="1:7" ht="12.75">
      <c r="A4795" s="134" t="s">
        <v>845</v>
      </c>
      <c r="B4795" s="134">
        <v>560</v>
      </c>
      <c r="C4795" s="491">
        <v>4</v>
      </c>
      <c r="D4795" s="491">
        <v>0</v>
      </c>
      <c r="E4795" s="491">
        <v>1</v>
      </c>
      <c r="F4795" s="491">
        <v>0</v>
      </c>
      <c r="G4795" s="491">
        <f t="shared" si="74"/>
        <v>5</v>
      </c>
    </row>
    <row r="4796" spans="1:7" ht="12.75">
      <c r="A4796" s="134" t="s">
        <v>845</v>
      </c>
      <c r="B4796" s="134">
        <v>812</v>
      </c>
      <c r="C4796" s="491">
        <v>1</v>
      </c>
      <c r="D4796" s="491">
        <v>4</v>
      </c>
      <c r="E4796" s="491">
        <v>0</v>
      </c>
      <c r="F4796" s="491">
        <v>0</v>
      </c>
      <c r="G4796" s="491">
        <f t="shared" si="74"/>
        <v>5</v>
      </c>
    </row>
    <row r="4797" spans="1:7" ht="12.75">
      <c r="A4797" s="134" t="s">
        <v>846</v>
      </c>
      <c r="B4797" s="134">
        <v>100</v>
      </c>
      <c r="C4797" s="491">
        <v>18</v>
      </c>
      <c r="D4797" s="491">
        <v>5</v>
      </c>
      <c r="E4797" s="491">
        <v>5</v>
      </c>
      <c r="F4797" s="491">
        <v>2</v>
      </c>
      <c r="G4797" s="491">
        <f t="shared" si="74"/>
        <v>30</v>
      </c>
    </row>
    <row r="4798" spans="1:7" ht="12.75">
      <c r="A4798" s="134" t="s">
        <v>846</v>
      </c>
      <c r="B4798" s="134">
        <v>101</v>
      </c>
      <c r="C4798" s="491">
        <v>2</v>
      </c>
      <c r="D4798" s="491">
        <v>0</v>
      </c>
      <c r="E4798" s="491">
        <v>0</v>
      </c>
      <c r="F4798" s="491">
        <v>0</v>
      </c>
      <c r="G4798" s="491">
        <f t="shared" si="74"/>
        <v>2</v>
      </c>
    </row>
    <row r="4799" spans="1:7" ht="12.75">
      <c r="A4799" s="134" t="s">
        <v>846</v>
      </c>
      <c r="B4799" s="134">
        <v>104</v>
      </c>
      <c r="C4799" s="491">
        <v>440</v>
      </c>
      <c r="D4799" s="491">
        <v>25</v>
      </c>
      <c r="E4799" s="491">
        <v>14</v>
      </c>
      <c r="F4799" s="491">
        <v>2</v>
      </c>
      <c r="G4799" s="491">
        <f t="shared" si="74"/>
        <v>481</v>
      </c>
    </row>
    <row r="4800" spans="1:7" ht="12.75">
      <c r="A4800" s="134" t="s">
        <v>846</v>
      </c>
      <c r="B4800" s="134">
        <v>106</v>
      </c>
      <c r="C4800" s="491">
        <v>7</v>
      </c>
      <c r="D4800" s="491">
        <v>3</v>
      </c>
      <c r="E4800" s="491">
        <v>0</v>
      </c>
      <c r="F4800" s="491">
        <v>0</v>
      </c>
      <c r="G4800" s="491">
        <f t="shared" si="74"/>
        <v>10</v>
      </c>
    </row>
    <row r="4801" spans="1:7" ht="12.75">
      <c r="A4801" s="134" t="s">
        <v>846</v>
      </c>
      <c r="B4801" s="134">
        <v>120</v>
      </c>
      <c r="C4801" s="491">
        <v>0</v>
      </c>
      <c r="D4801" s="491">
        <v>1</v>
      </c>
      <c r="E4801" s="491">
        <v>0</v>
      </c>
      <c r="F4801" s="491">
        <v>0</v>
      </c>
      <c r="G4801" s="491">
        <f t="shared" si="74"/>
        <v>1</v>
      </c>
    </row>
    <row r="4802" spans="1:7" ht="12.75">
      <c r="A4802" s="134" t="s">
        <v>846</v>
      </c>
      <c r="B4802" s="134">
        <v>140</v>
      </c>
      <c r="C4802" s="491">
        <v>0</v>
      </c>
      <c r="D4802" s="491">
        <v>1</v>
      </c>
      <c r="E4802" s="491">
        <v>0</v>
      </c>
      <c r="F4802" s="491">
        <v>0</v>
      </c>
      <c r="G4802" s="491">
        <f t="shared" si="74"/>
        <v>1</v>
      </c>
    </row>
    <row r="4803" spans="1:7" ht="12.75">
      <c r="A4803" s="134" t="s">
        <v>846</v>
      </c>
      <c r="B4803" s="134">
        <v>300</v>
      </c>
      <c r="C4803" s="491">
        <v>1</v>
      </c>
      <c r="D4803" s="491">
        <v>1</v>
      </c>
      <c r="E4803" s="491">
        <v>0</v>
      </c>
      <c r="F4803" s="491">
        <v>0</v>
      </c>
      <c r="G4803" s="491">
        <f t="shared" si="74"/>
        <v>2</v>
      </c>
    </row>
    <row r="4804" spans="1:7" ht="12.75">
      <c r="A4804" s="134" t="s">
        <v>846</v>
      </c>
      <c r="B4804" s="134">
        <v>301</v>
      </c>
      <c r="C4804" s="491">
        <v>2</v>
      </c>
      <c r="D4804" s="491">
        <v>2</v>
      </c>
      <c r="E4804" s="491">
        <v>0</v>
      </c>
      <c r="F4804" s="491">
        <v>0</v>
      </c>
      <c r="G4804" s="491">
        <f t="shared" ref="G4804:G4867" si="75">SUM(C4804:F4804)</f>
        <v>4</v>
      </c>
    </row>
    <row r="4805" spans="1:7" ht="12.75">
      <c r="A4805" s="134" t="s">
        <v>846</v>
      </c>
      <c r="B4805" s="134">
        <v>307</v>
      </c>
      <c r="C4805" s="491">
        <v>0</v>
      </c>
      <c r="D4805" s="491">
        <v>2</v>
      </c>
      <c r="E4805" s="491">
        <v>0</v>
      </c>
      <c r="F4805" s="491">
        <v>0</v>
      </c>
      <c r="G4805" s="491">
        <f t="shared" si="75"/>
        <v>2</v>
      </c>
    </row>
    <row r="4806" spans="1:7" ht="12.75">
      <c r="A4806" s="134" t="s">
        <v>846</v>
      </c>
      <c r="B4806" s="134">
        <v>315</v>
      </c>
      <c r="C4806" s="491">
        <v>1</v>
      </c>
      <c r="D4806" s="491">
        <v>0</v>
      </c>
      <c r="E4806" s="491">
        <v>0</v>
      </c>
      <c r="F4806" s="491">
        <v>0</v>
      </c>
      <c r="G4806" s="491">
        <f t="shared" si="75"/>
        <v>1</v>
      </c>
    </row>
    <row r="4807" spans="1:7" ht="12.75">
      <c r="A4807" s="134" t="s">
        <v>846</v>
      </c>
      <c r="B4807" s="134">
        <v>330</v>
      </c>
      <c r="C4807" s="491">
        <v>4</v>
      </c>
      <c r="D4807" s="491">
        <v>1</v>
      </c>
      <c r="E4807" s="491">
        <v>0</v>
      </c>
      <c r="F4807" s="491">
        <v>0</v>
      </c>
      <c r="G4807" s="491">
        <f t="shared" si="75"/>
        <v>5</v>
      </c>
    </row>
    <row r="4808" spans="1:7" ht="12.75">
      <c r="A4808" s="134" t="s">
        <v>846</v>
      </c>
      <c r="B4808" s="134">
        <v>361</v>
      </c>
      <c r="C4808" s="491">
        <v>1</v>
      </c>
      <c r="D4808" s="491">
        <v>0</v>
      </c>
      <c r="E4808" s="491">
        <v>0</v>
      </c>
      <c r="F4808" s="491">
        <v>0</v>
      </c>
      <c r="G4808" s="491">
        <f t="shared" si="75"/>
        <v>1</v>
      </c>
    </row>
    <row r="4809" spans="1:7" ht="12.75">
      <c r="A4809" s="134" t="s">
        <v>846</v>
      </c>
      <c r="B4809" s="134">
        <v>370</v>
      </c>
      <c r="C4809" s="491">
        <v>1</v>
      </c>
      <c r="D4809" s="491">
        <v>0</v>
      </c>
      <c r="E4809" s="491">
        <v>0</v>
      </c>
      <c r="F4809" s="491">
        <v>0</v>
      </c>
      <c r="G4809" s="491">
        <f t="shared" si="75"/>
        <v>1</v>
      </c>
    </row>
    <row r="4810" spans="1:7" ht="12.75">
      <c r="A4810" s="134" t="s">
        <v>846</v>
      </c>
      <c r="B4810" s="134">
        <v>400</v>
      </c>
      <c r="C4810" s="491">
        <v>3</v>
      </c>
      <c r="D4810" s="491">
        <v>14</v>
      </c>
      <c r="E4810" s="491">
        <v>0</v>
      </c>
      <c r="F4810" s="491">
        <v>0</v>
      </c>
      <c r="G4810" s="491">
        <f t="shared" si="75"/>
        <v>17</v>
      </c>
    </row>
    <row r="4811" spans="1:7" ht="12.75">
      <c r="A4811" s="134" t="s">
        <v>846</v>
      </c>
      <c r="B4811" s="134">
        <v>450</v>
      </c>
      <c r="C4811" s="491">
        <v>1</v>
      </c>
      <c r="D4811" s="491">
        <v>0</v>
      </c>
      <c r="E4811" s="491">
        <v>0</v>
      </c>
      <c r="F4811" s="491">
        <v>0</v>
      </c>
      <c r="G4811" s="491">
        <f t="shared" si="75"/>
        <v>1</v>
      </c>
    </row>
    <row r="4812" spans="1:7" ht="12.75">
      <c r="A4812" s="134" t="s">
        <v>846</v>
      </c>
      <c r="B4812" s="134">
        <v>501</v>
      </c>
      <c r="C4812" s="491">
        <v>7</v>
      </c>
      <c r="D4812" s="491">
        <v>3</v>
      </c>
      <c r="E4812" s="491">
        <v>3</v>
      </c>
      <c r="F4812" s="491">
        <v>2</v>
      </c>
      <c r="G4812" s="491">
        <f t="shared" si="75"/>
        <v>15</v>
      </c>
    </row>
    <row r="4813" spans="1:7" ht="12.75">
      <c r="A4813" s="134" t="s">
        <v>846</v>
      </c>
      <c r="B4813" s="134">
        <v>560</v>
      </c>
      <c r="C4813" s="491">
        <v>0</v>
      </c>
      <c r="D4813" s="491">
        <v>0</v>
      </c>
      <c r="E4813" s="491">
        <v>1</v>
      </c>
      <c r="F4813" s="491">
        <v>0</v>
      </c>
      <c r="G4813" s="491">
        <f t="shared" si="75"/>
        <v>1</v>
      </c>
    </row>
    <row r="4814" spans="1:7" ht="12.75">
      <c r="A4814" s="134" t="s">
        <v>846</v>
      </c>
      <c r="B4814" s="134">
        <v>811</v>
      </c>
      <c r="C4814" s="491">
        <v>0</v>
      </c>
      <c r="D4814" s="491">
        <v>4</v>
      </c>
      <c r="E4814" s="491">
        <v>0</v>
      </c>
      <c r="F4814" s="491">
        <v>1</v>
      </c>
      <c r="G4814" s="491">
        <f t="shared" si="75"/>
        <v>5</v>
      </c>
    </row>
    <row r="4815" spans="1:7" ht="12.75">
      <c r="A4815" s="134" t="s">
        <v>846</v>
      </c>
      <c r="B4815" s="134">
        <v>812</v>
      </c>
      <c r="C4815" s="491">
        <v>16</v>
      </c>
      <c r="D4815" s="491">
        <v>9</v>
      </c>
      <c r="E4815" s="491">
        <v>0</v>
      </c>
      <c r="F4815" s="491">
        <v>0</v>
      </c>
      <c r="G4815" s="491">
        <f t="shared" si="75"/>
        <v>25</v>
      </c>
    </row>
    <row r="4816" spans="1:7" ht="12.75">
      <c r="A4816" s="134" t="s">
        <v>847</v>
      </c>
      <c r="B4816" s="134">
        <v>104</v>
      </c>
      <c r="C4816" s="491">
        <v>1</v>
      </c>
      <c r="D4816" s="491">
        <v>0</v>
      </c>
      <c r="E4816" s="491">
        <v>1</v>
      </c>
      <c r="F4816" s="491">
        <v>1</v>
      </c>
      <c r="G4816" s="491">
        <f t="shared" si="75"/>
        <v>3</v>
      </c>
    </row>
    <row r="4817" spans="1:7" ht="12.75">
      <c r="A4817" s="134" t="s">
        <v>847</v>
      </c>
      <c r="B4817" s="134">
        <v>110</v>
      </c>
      <c r="C4817" s="491">
        <v>1</v>
      </c>
      <c r="D4817" s="491">
        <v>0</v>
      </c>
      <c r="E4817" s="491">
        <v>0</v>
      </c>
      <c r="F4817" s="491">
        <v>0</v>
      </c>
      <c r="G4817" s="491">
        <f t="shared" si="75"/>
        <v>1</v>
      </c>
    </row>
    <row r="4818" spans="1:7" ht="12.75">
      <c r="A4818" s="134" t="s">
        <v>847</v>
      </c>
      <c r="B4818" s="134">
        <v>420</v>
      </c>
      <c r="C4818" s="491">
        <v>11</v>
      </c>
      <c r="D4818" s="491">
        <v>1</v>
      </c>
      <c r="E4818" s="491">
        <v>0</v>
      </c>
      <c r="F4818" s="491">
        <v>0</v>
      </c>
      <c r="G4818" s="491">
        <f t="shared" si="75"/>
        <v>12</v>
      </c>
    </row>
    <row r="4819" spans="1:7" ht="12.75">
      <c r="A4819" s="134" t="s">
        <v>847</v>
      </c>
      <c r="B4819" s="134">
        <v>501</v>
      </c>
      <c r="C4819" s="491">
        <v>3</v>
      </c>
      <c r="D4819" s="491">
        <v>1</v>
      </c>
      <c r="E4819" s="491">
        <v>1</v>
      </c>
      <c r="F4819" s="491">
        <v>0</v>
      </c>
      <c r="G4819" s="491">
        <f t="shared" si="75"/>
        <v>5</v>
      </c>
    </row>
    <row r="4820" spans="1:7" ht="12.75">
      <c r="A4820" s="134" t="s">
        <v>847</v>
      </c>
      <c r="B4820" s="134">
        <v>812</v>
      </c>
      <c r="C4820" s="491">
        <v>0</v>
      </c>
      <c r="D4820" s="491">
        <v>2</v>
      </c>
      <c r="E4820" s="491">
        <v>0</v>
      </c>
      <c r="F4820" s="491">
        <v>0</v>
      </c>
      <c r="G4820" s="491">
        <f t="shared" si="75"/>
        <v>2</v>
      </c>
    </row>
    <row r="4821" spans="1:7" ht="12.75">
      <c r="A4821" s="134" t="s">
        <v>848</v>
      </c>
      <c r="B4821" s="134">
        <v>104</v>
      </c>
      <c r="C4821" s="491">
        <v>1</v>
      </c>
      <c r="D4821" s="491">
        <v>0</v>
      </c>
      <c r="E4821" s="491">
        <v>0</v>
      </c>
      <c r="F4821" s="491">
        <v>0</v>
      </c>
      <c r="G4821" s="491">
        <f t="shared" si="75"/>
        <v>1</v>
      </c>
    </row>
    <row r="4822" spans="1:7" ht="12.75">
      <c r="A4822" s="134" t="s">
        <v>848</v>
      </c>
      <c r="B4822" s="134">
        <v>420</v>
      </c>
      <c r="C4822" s="491">
        <v>4</v>
      </c>
      <c r="D4822" s="491">
        <v>1</v>
      </c>
      <c r="E4822" s="491">
        <v>0</v>
      </c>
      <c r="F4822" s="491">
        <v>0</v>
      </c>
      <c r="G4822" s="491">
        <f t="shared" si="75"/>
        <v>5</v>
      </c>
    </row>
    <row r="4823" spans="1:7" ht="12.75">
      <c r="A4823" s="134" t="s">
        <v>848</v>
      </c>
      <c r="B4823" s="134">
        <v>812</v>
      </c>
      <c r="C4823" s="491">
        <v>0</v>
      </c>
      <c r="D4823" s="491">
        <v>1</v>
      </c>
      <c r="E4823" s="491">
        <v>0</v>
      </c>
      <c r="F4823" s="491">
        <v>0</v>
      </c>
      <c r="G4823" s="491">
        <f t="shared" si="75"/>
        <v>1</v>
      </c>
    </row>
    <row r="4824" spans="1:7" ht="12.75">
      <c r="A4824" s="134" t="s">
        <v>1101</v>
      </c>
      <c r="B4824" s="134">
        <v>100</v>
      </c>
      <c r="C4824" s="491">
        <v>1</v>
      </c>
      <c r="D4824" s="491">
        <v>0</v>
      </c>
      <c r="E4824" s="491">
        <v>0</v>
      </c>
      <c r="F4824" s="491">
        <v>0</v>
      </c>
      <c r="G4824" s="491">
        <f t="shared" si="75"/>
        <v>1</v>
      </c>
    </row>
    <row r="4825" spans="1:7" ht="12.75">
      <c r="A4825" s="134" t="s">
        <v>319</v>
      </c>
      <c r="B4825" s="134">
        <v>100</v>
      </c>
      <c r="C4825" s="491">
        <v>13</v>
      </c>
      <c r="D4825" s="491">
        <v>7</v>
      </c>
      <c r="E4825" s="491">
        <v>3</v>
      </c>
      <c r="F4825" s="491">
        <v>0</v>
      </c>
      <c r="G4825" s="491">
        <f t="shared" si="75"/>
        <v>23</v>
      </c>
    </row>
    <row r="4826" spans="1:7" ht="12.75">
      <c r="A4826" s="134" t="s">
        <v>319</v>
      </c>
      <c r="B4826" s="134">
        <v>104</v>
      </c>
      <c r="C4826" s="491">
        <v>3</v>
      </c>
      <c r="D4826" s="491">
        <v>0</v>
      </c>
      <c r="E4826" s="491">
        <v>0</v>
      </c>
      <c r="F4826" s="491">
        <v>0</v>
      </c>
      <c r="G4826" s="491">
        <f t="shared" si="75"/>
        <v>3</v>
      </c>
    </row>
    <row r="4827" spans="1:7" ht="12.75">
      <c r="A4827" s="134" t="s">
        <v>319</v>
      </c>
      <c r="B4827" s="134">
        <v>106</v>
      </c>
      <c r="C4827" s="491">
        <v>0</v>
      </c>
      <c r="D4827" s="491">
        <v>1</v>
      </c>
      <c r="E4827" s="491">
        <v>0</v>
      </c>
      <c r="F4827" s="491">
        <v>0</v>
      </c>
      <c r="G4827" s="491">
        <f t="shared" si="75"/>
        <v>1</v>
      </c>
    </row>
    <row r="4828" spans="1:7" ht="12.75">
      <c r="A4828" s="134" t="s">
        <v>319</v>
      </c>
      <c r="B4828" s="134">
        <v>107</v>
      </c>
      <c r="C4828" s="491">
        <v>1</v>
      </c>
      <c r="D4828" s="491">
        <v>0</v>
      </c>
      <c r="E4828" s="491">
        <v>0</v>
      </c>
      <c r="F4828" s="491">
        <v>0</v>
      </c>
      <c r="G4828" s="491">
        <f t="shared" si="75"/>
        <v>1</v>
      </c>
    </row>
    <row r="4829" spans="1:7" ht="12.75">
      <c r="A4829" s="134" t="s">
        <v>319</v>
      </c>
      <c r="B4829" s="134">
        <v>110</v>
      </c>
      <c r="C4829" s="491">
        <v>0</v>
      </c>
      <c r="D4829" s="491">
        <v>1</v>
      </c>
      <c r="E4829" s="491">
        <v>0</v>
      </c>
      <c r="F4829" s="491">
        <v>0</v>
      </c>
      <c r="G4829" s="491">
        <f t="shared" si="75"/>
        <v>1</v>
      </c>
    </row>
    <row r="4830" spans="1:7" ht="12.75">
      <c r="A4830" s="134" t="s">
        <v>319</v>
      </c>
      <c r="B4830" s="134">
        <v>120</v>
      </c>
      <c r="C4830" s="491">
        <v>19</v>
      </c>
      <c r="D4830" s="491">
        <v>0</v>
      </c>
      <c r="E4830" s="491">
        <v>1</v>
      </c>
      <c r="F4830" s="491">
        <v>0</v>
      </c>
      <c r="G4830" s="491">
        <f t="shared" si="75"/>
        <v>20</v>
      </c>
    </row>
    <row r="4831" spans="1:7" ht="12.75">
      <c r="A4831" s="134" t="s">
        <v>319</v>
      </c>
      <c r="B4831" s="134">
        <v>140</v>
      </c>
      <c r="C4831" s="491">
        <v>2</v>
      </c>
      <c r="D4831" s="491">
        <v>5</v>
      </c>
      <c r="E4831" s="491">
        <v>0</v>
      </c>
      <c r="F4831" s="491">
        <v>0</v>
      </c>
      <c r="G4831" s="491">
        <f t="shared" si="75"/>
        <v>7</v>
      </c>
    </row>
    <row r="4832" spans="1:7" ht="12.75">
      <c r="A4832" s="134" t="s">
        <v>319</v>
      </c>
      <c r="B4832" s="134">
        <v>141</v>
      </c>
      <c r="C4832" s="491">
        <v>4</v>
      </c>
      <c r="D4832" s="491">
        <v>0</v>
      </c>
      <c r="E4832" s="491">
        <v>0</v>
      </c>
      <c r="F4832" s="491">
        <v>0</v>
      </c>
      <c r="G4832" s="491">
        <f t="shared" si="75"/>
        <v>4</v>
      </c>
    </row>
    <row r="4833" spans="1:7" ht="12.75">
      <c r="A4833" s="134" t="s">
        <v>319</v>
      </c>
      <c r="B4833" s="134">
        <v>143</v>
      </c>
      <c r="C4833" s="491">
        <v>2</v>
      </c>
      <c r="D4833" s="491">
        <v>2</v>
      </c>
      <c r="E4833" s="491">
        <v>0</v>
      </c>
      <c r="F4833" s="491">
        <v>0</v>
      </c>
      <c r="G4833" s="491">
        <f t="shared" si="75"/>
        <v>4</v>
      </c>
    </row>
    <row r="4834" spans="1:7" ht="12.75">
      <c r="A4834" s="134" t="s">
        <v>319</v>
      </c>
      <c r="B4834" s="134">
        <v>144</v>
      </c>
      <c r="C4834" s="491">
        <v>3</v>
      </c>
      <c r="D4834" s="491">
        <v>1</v>
      </c>
      <c r="E4834" s="491">
        <v>0</v>
      </c>
      <c r="F4834" s="491">
        <v>0</v>
      </c>
      <c r="G4834" s="491">
        <f t="shared" si="75"/>
        <v>4</v>
      </c>
    </row>
    <row r="4835" spans="1:7" ht="12.75">
      <c r="A4835" s="134" t="s">
        <v>319</v>
      </c>
      <c r="B4835" s="134">
        <v>300</v>
      </c>
      <c r="C4835" s="491">
        <v>3</v>
      </c>
      <c r="D4835" s="491">
        <v>1</v>
      </c>
      <c r="E4835" s="491">
        <v>0</v>
      </c>
      <c r="F4835" s="491">
        <v>0</v>
      </c>
      <c r="G4835" s="491">
        <f t="shared" si="75"/>
        <v>4</v>
      </c>
    </row>
    <row r="4836" spans="1:7" ht="12.75">
      <c r="A4836" s="134" t="s">
        <v>319</v>
      </c>
      <c r="B4836" s="134">
        <v>301</v>
      </c>
      <c r="C4836" s="491">
        <v>99</v>
      </c>
      <c r="D4836" s="491">
        <v>86</v>
      </c>
      <c r="E4836" s="491">
        <v>0</v>
      </c>
      <c r="F4836" s="491">
        <v>0</v>
      </c>
      <c r="G4836" s="491">
        <f t="shared" si="75"/>
        <v>185</v>
      </c>
    </row>
    <row r="4837" spans="1:7" ht="12.75">
      <c r="A4837" s="134" t="s">
        <v>319</v>
      </c>
      <c r="B4837" s="134">
        <v>303</v>
      </c>
      <c r="C4837" s="491">
        <v>1</v>
      </c>
      <c r="D4837" s="491">
        <v>0</v>
      </c>
      <c r="E4837" s="491">
        <v>0</v>
      </c>
      <c r="F4837" s="491">
        <v>0</v>
      </c>
      <c r="G4837" s="491">
        <f t="shared" si="75"/>
        <v>1</v>
      </c>
    </row>
    <row r="4838" spans="1:7" ht="12.75">
      <c r="A4838" s="134" t="s">
        <v>319</v>
      </c>
      <c r="B4838" s="134">
        <v>330</v>
      </c>
      <c r="C4838" s="491">
        <v>0</v>
      </c>
      <c r="D4838" s="491">
        <v>1</v>
      </c>
      <c r="E4838" s="491">
        <v>0</v>
      </c>
      <c r="F4838" s="491">
        <v>0</v>
      </c>
      <c r="G4838" s="491">
        <f t="shared" si="75"/>
        <v>1</v>
      </c>
    </row>
    <row r="4839" spans="1:7" ht="12.75">
      <c r="A4839" s="134" t="s">
        <v>319</v>
      </c>
      <c r="B4839" s="134">
        <v>340</v>
      </c>
      <c r="C4839" s="491">
        <v>0</v>
      </c>
      <c r="D4839" s="491">
        <v>1</v>
      </c>
      <c r="E4839" s="491">
        <v>0</v>
      </c>
      <c r="F4839" s="491">
        <v>0</v>
      </c>
      <c r="G4839" s="491">
        <f t="shared" si="75"/>
        <v>1</v>
      </c>
    </row>
    <row r="4840" spans="1:7" ht="12.75">
      <c r="A4840" s="134" t="s">
        <v>319</v>
      </c>
      <c r="B4840" s="134">
        <v>370</v>
      </c>
      <c r="C4840" s="491">
        <v>4</v>
      </c>
      <c r="D4840" s="491">
        <v>1</v>
      </c>
      <c r="E4840" s="491">
        <v>0</v>
      </c>
      <c r="F4840" s="491">
        <v>0</v>
      </c>
      <c r="G4840" s="491">
        <f t="shared" si="75"/>
        <v>5</v>
      </c>
    </row>
    <row r="4841" spans="1:7" ht="12.75">
      <c r="A4841" s="134" t="s">
        <v>319</v>
      </c>
      <c r="B4841" s="134">
        <v>800</v>
      </c>
      <c r="C4841" s="491">
        <v>0</v>
      </c>
      <c r="D4841" s="491">
        <v>0</v>
      </c>
      <c r="E4841" s="491">
        <v>1</v>
      </c>
      <c r="F4841" s="491">
        <v>0</v>
      </c>
      <c r="G4841" s="491">
        <f t="shared" si="75"/>
        <v>1</v>
      </c>
    </row>
    <row r="4842" spans="1:7" ht="12.75">
      <c r="A4842" s="134" t="s">
        <v>319</v>
      </c>
      <c r="B4842" s="134">
        <v>812</v>
      </c>
      <c r="C4842" s="491">
        <v>15</v>
      </c>
      <c r="D4842" s="491">
        <v>1</v>
      </c>
      <c r="E4842" s="491">
        <v>0</v>
      </c>
      <c r="F4842" s="491">
        <v>0</v>
      </c>
      <c r="G4842" s="491">
        <f t="shared" si="75"/>
        <v>16</v>
      </c>
    </row>
    <row r="4843" spans="1:7" ht="12.75">
      <c r="A4843" s="134" t="s">
        <v>849</v>
      </c>
      <c r="B4843" s="134">
        <v>100</v>
      </c>
      <c r="C4843" s="491">
        <v>4</v>
      </c>
      <c r="D4843" s="491">
        <v>2</v>
      </c>
      <c r="E4843" s="491">
        <v>2</v>
      </c>
      <c r="F4843" s="491">
        <v>3</v>
      </c>
      <c r="G4843" s="491">
        <f t="shared" si="75"/>
        <v>11</v>
      </c>
    </row>
    <row r="4844" spans="1:7" ht="12.75">
      <c r="A4844" s="134" t="s">
        <v>849</v>
      </c>
      <c r="B4844" s="134">
        <v>101</v>
      </c>
      <c r="C4844" s="491">
        <v>1</v>
      </c>
      <c r="D4844" s="491">
        <v>0</v>
      </c>
      <c r="E4844" s="491">
        <v>0</v>
      </c>
      <c r="F4844" s="491">
        <v>0</v>
      </c>
      <c r="G4844" s="491">
        <f t="shared" si="75"/>
        <v>1</v>
      </c>
    </row>
    <row r="4845" spans="1:7" ht="12.75">
      <c r="A4845" s="134" t="s">
        <v>849</v>
      </c>
      <c r="B4845" s="134">
        <v>104</v>
      </c>
      <c r="C4845" s="491">
        <v>2</v>
      </c>
      <c r="D4845" s="491">
        <v>0</v>
      </c>
      <c r="E4845" s="491">
        <v>0</v>
      </c>
      <c r="F4845" s="491">
        <v>0</v>
      </c>
      <c r="G4845" s="491">
        <f t="shared" si="75"/>
        <v>2</v>
      </c>
    </row>
    <row r="4846" spans="1:7" ht="12.75">
      <c r="A4846" s="134" t="s">
        <v>849</v>
      </c>
      <c r="B4846" s="134">
        <v>120</v>
      </c>
      <c r="C4846" s="491">
        <v>1</v>
      </c>
      <c r="D4846" s="491">
        <v>0</v>
      </c>
      <c r="E4846" s="491">
        <v>0</v>
      </c>
      <c r="F4846" s="491">
        <v>0</v>
      </c>
      <c r="G4846" s="491">
        <f t="shared" si="75"/>
        <v>1</v>
      </c>
    </row>
    <row r="4847" spans="1:7" ht="12.75">
      <c r="A4847" s="134" t="s">
        <v>849</v>
      </c>
      <c r="B4847" s="134">
        <v>130</v>
      </c>
      <c r="C4847" s="491">
        <v>1</v>
      </c>
      <c r="D4847" s="491">
        <v>0</v>
      </c>
      <c r="E4847" s="491">
        <v>0</v>
      </c>
      <c r="F4847" s="491">
        <v>0</v>
      </c>
      <c r="G4847" s="491">
        <f t="shared" si="75"/>
        <v>1</v>
      </c>
    </row>
    <row r="4848" spans="1:7" ht="12.75">
      <c r="A4848" s="134" t="s">
        <v>849</v>
      </c>
      <c r="B4848" s="134">
        <v>143</v>
      </c>
      <c r="C4848" s="491">
        <v>3</v>
      </c>
      <c r="D4848" s="491">
        <v>0</v>
      </c>
      <c r="E4848" s="491">
        <v>0</v>
      </c>
      <c r="F4848" s="491">
        <v>0</v>
      </c>
      <c r="G4848" s="491">
        <f t="shared" si="75"/>
        <v>3</v>
      </c>
    </row>
    <row r="4849" spans="1:7" ht="12.75">
      <c r="A4849" s="134" t="s">
        <v>849</v>
      </c>
      <c r="B4849" s="134">
        <v>300</v>
      </c>
      <c r="C4849" s="491">
        <v>2</v>
      </c>
      <c r="D4849" s="491">
        <v>0</v>
      </c>
      <c r="E4849" s="491">
        <v>0</v>
      </c>
      <c r="F4849" s="491">
        <v>0</v>
      </c>
      <c r="G4849" s="491">
        <f t="shared" si="75"/>
        <v>2</v>
      </c>
    </row>
    <row r="4850" spans="1:7" ht="12.75">
      <c r="A4850" s="134" t="s">
        <v>849</v>
      </c>
      <c r="B4850" s="134">
        <v>301</v>
      </c>
      <c r="C4850" s="491">
        <v>10</v>
      </c>
      <c r="D4850" s="491">
        <v>19</v>
      </c>
      <c r="E4850" s="491">
        <v>0</v>
      </c>
      <c r="F4850" s="491">
        <v>0</v>
      </c>
      <c r="G4850" s="491">
        <f t="shared" si="75"/>
        <v>29</v>
      </c>
    </row>
    <row r="4851" spans="1:7" ht="12.75">
      <c r="A4851" s="134" t="s">
        <v>849</v>
      </c>
      <c r="B4851" s="134">
        <v>370</v>
      </c>
      <c r="C4851" s="491">
        <v>2</v>
      </c>
      <c r="D4851" s="491">
        <v>0</v>
      </c>
      <c r="E4851" s="491">
        <v>0</v>
      </c>
      <c r="F4851" s="491">
        <v>0</v>
      </c>
      <c r="G4851" s="491">
        <f t="shared" si="75"/>
        <v>2</v>
      </c>
    </row>
    <row r="4852" spans="1:7" ht="12.75">
      <c r="A4852" s="134" t="s">
        <v>849</v>
      </c>
      <c r="B4852" s="134">
        <v>410</v>
      </c>
      <c r="C4852" s="491">
        <v>0</v>
      </c>
      <c r="D4852" s="491">
        <v>1</v>
      </c>
      <c r="E4852" s="491">
        <v>0</v>
      </c>
      <c r="F4852" s="491">
        <v>0</v>
      </c>
      <c r="G4852" s="491">
        <f t="shared" si="75"/>
        <v>1</v>
      </c>
    </row>
    <row r="4853" spans="1:7" ht="12.75">
      <c r="A4853" s="134" t="s">
        <v>849</v>
      </c>
      <c r="B4853" s="134">
        <v>800</v>
      </c>
      <c r="C4853" s="491">
        <v>5</v>
      </c>
      <c r="D4853" s="491">
        <v>0</v>
      </c>
      <c r="E4853" s="491">
        <v>0</v>
      </c>
      <c r="F4853" s="491">
        <v>0</v>
      </c>
      <c r="G4853" s="491">
        <f t="shared" si="75"/>
        <v>5</v>
      </c>
    </row>
    <row r="4854" spans="1:7" ht="12.75">
      <c r="A4854" s="134" t="s">
        <v>849</v>
      </c>
      <c r="B4854" s="134">
        <v>811</v>
      </c>
      <c r="C4854" s="491">
        <v>0</v>
      </c>
      <c r="D4854" s="491">
        <v>13</v>
      </c>
      <c r="E4854" s="491">
        <v>0</v>
      </c>
      <c r="F4854" s="491">
        <v>0</v>
      </c>
      <c r="G4854" s="491">
        <f t="shared" si="75"/>
        <v>13</v>
      </c>
    </row>
    <row r="4855" spans="1:7" ht="12.75">
      <c r="A4855" s="134" t="s">
        <v>849</v>
      </c>
      <c r="B4855" s="134">
        <v>812</v>
      </c>
      <c r="C4855" s="491">
        <v>31</v>
      </c>
      <c r="D4855" s="491">
        <v>19</v>
      </c>
      <c r="E4855" s="491">
        <v>0</v>
      </c>
      <c r="F4855" s="491">
        <v>0</v>
      </c>
      <c r="G4855" s="491">
        <f t="shared" si="75"/>
        <v>50</v>
      </c>
    </row>
    <row r="4856" spans="1:7" ht="12.75">
      <c r="A4856" s="134" t="s">
        <v>850</v>
      </c>
      <c r="B4856" s="134">
        <v>104</v>
      </c>
      <c r="C4856" s="491">
        <v>1</v>
      </c>
      <c r="D4856" s="491">
        <v>1</v>
      </c>
      <c r="E4856" s="491">
        <v>0</v>
      </c>
      <c r="F4856" s="491">
        <v>0</v>
      </c>
      <c r="G4856" s="491">
        <f t="shared" si="75"/>
        <v>2</v>
      </c>
    </row>
    <row r="4857" spans="1:7" ht="12.75">
      <c r="A4857" s="134" t="s">
        <v>850</v>
      </c>
      <c r="B4857" s="134">
        <v>323</v>
      </c>
      <c r="C4857" s="491">
        <v>1</v>
      </c>
      <c r="D4857" s="491">
        <v>0</v>
      </c>
      <c r="E4857" s="491">
        <v>0</v>
      </c>
      <c r="F4857" s="491">
        <v>0</v>
      </c>
      <c r="G4857" s="491">
        <f t="shared" si="75"/>
        <v>1</v>
      </c>
    </row>
    <row r="4858" spans="1:7" ht="12.75">
      <c r="A4858" s="134" t="s">
        <v>851</v>
      </c>
      <c r="B4858" s="134">
        <v>100</v>
      </c>
      <c r="C4858" s="491">
        <v>2</v>
      </c>
      <c r="D4858" s="491">
        <v>3</v>
      </c>
      <c r="E4858" s="491">
        <v>0</v>
      </c>
      <c r="F4858" s="491">
        <v>0</v>
      </c>
      <c r="G4858" s="491">
        <f t="shared" si="75"/>
        <v>5</v>
      </c>
    </row>
    <row r="4859" spans="1:7" ht="12.75">
      <c r="A4859" s="134" t="s">
        <v>851</v>
      </c>
      <c r="B4859" s="134">
        <v>104</v>
      </c>
      <c r="C4859" s="491">
        <v>341</v>
      </c>
      <c r="D4859" s="491">
        <v>17</v>
      </c>
      <c r="E4859" s="491">
        <v>9</v>
      </c>
      <c r="F4859" s="491">
        <v>2</v>
      </c>
      <c r="G4859" s="491">
        <f t="shared" si="75"/>
        <v>369</v>
      </c>
    </row>
    <row r="4860" spans="1:7" ht="12.75">
      <c r="A4860" s="134" t="s">
        <v>851</v>
      </c>
      <c r="B4860" s="134">
        <v>130</v>
      </c>
      <c r="C4860" s="491">
        <v>0</v>
      </c>
      <c r="D4860" s="491">
        <v>1</v>
      </c>
      <c r="E4860" s="491">
        <v>0</v>
      </c>
      <c r="F4860" s="491">
        <v>0</v>
      </c>
      <c r="G4860" s="491">
        <f t="shared" si="75"/>
        <v>1</v>
      </c>
    </row>
    <row r="4861" spans="1:7" ht="12.75">
      <c r="A4861" s="134" t="s">
        <v>851</v>
      </c>
      <c r="B4861" s="134">
        <v>141</v>
      </c>
      <c r="C4861" s="491">
        <v>1</v>
      </c>
      <c r="D4861" s="491">
        <v>0</v>
      </c>
      <c r="E4861" s="491">
        <v>0</v>
      </c>
      <c r="F4861" s="491">
        <v>0</v>
      </c>
      <c r="G4861" s="491">
        <f t="shared" si="75"/>
        <v>1</v>
      </c>
    </row>
    <row r="4862" spans="1:7" ht="12.75">
      <c r="A4862" s="134" t="s">
        <v>851</v>
      </c>
      <c r="B4862" s="134">
        <v>144</v>
      </c>
      <c r="C4862" s="491">
        <v>1</v>
      </c>
      <c r="D4862" s="491">
        <v>0</v>
      </c>
      <c r="E4862" s="491">
        <v>0</v>
      </c>
      <c r="F4862" s="491">
        <v>0</v>
      </c>
      <c r="G4862" s="491">
        <f t="shared" si="75"/>
        <v>1</v>
      </c>
    </row>
    <row r="4863" spans="1:7" ht="12.75">
      <c r="A4863" s="134" t="s">
        <v>851</v>
      </c>
      <c r="B4863" s="134">
        <v>301</v>
      </c>
      <c r="C4863" s="491">
        <v>1</v>
      </c>
      <c r="D4863" s="491">
        <v>1</v>
      </c>
      <c r="E4863" s="491">
        <v>0</v>
      </c>
      <c r="F4863" s="491">
        <v>0</v>
      </c>
      <c r="G4863" s="491">
        <f t="shared" si="75"/>
        <v>2</v>
      </c>
    </row>
    <row r="4864" spans="1:7" ht="12.75">
      <c r="A4864" s="134" t="s">
        <v>851</v>
      </c>
      <c r="B4864" s="134">
        <v>323</v>
      </c>
      <c r="C4864" s="491">
        <v>2</v>
      </c>
      <c r="D4864" s="491">
        <v>0</v>
      </c>
      <c r="E4864" s="491">
        <v>0</v>
      </c>
      <c r="F4864" s="491">
        <v>0</v>
      </c>
      <c r="G4864" s="491">
        <f t="shared" si="75"/>
        <v>2</v>
      </c>
    </row>
    <row r="4865" spans="1:7" ht="12.75">
      <c r="A4865" s="134" t="s">
        <v>851</v>
      </c>
      <c r="B4865" s="134">
        <v>330</v>
      </c>
      <c r="C4865" s="491">
        <v>11</v>
      </c>
      <c r="D4865" s="491">
        <v>0</v>
      </c>
      <c r="E4865" s="491">
        <v>0</v>
      </c>
      <c r="F4865" s="491">
        <v>0</v>
      </c>
      <c r="G4865" s="491">
        <f t="shared" si="75"/>
        <v>11</v>
      </c>
    </row>
    <row r="4866" spans="1:7" ht="12.75">
      <c r="A4866" s="134" t="s">
        <v>851</v>
      </c>
      <c r="B4866" s="134">
        <v>662</v>
      </c>
      <c r="C4866" s="491">
        <v>1</v>
      </c>
      <c r="D4866" s="491">
        <v>0</v>
      </c>
      <c r="E4866" s="491">
        <v>0</v>
      </c>
      <c r="F4866" s="491">
        <v>0</v>
      </c>
      <c r="G4866" s="491">
        <f t="shared" si="75"/>
        <v>1</v>
      </c>
    </row>
    <row r="4867" spans="1:7" ht="12.75">
      <c r="A4867" s="134" t="s">
        <v>852</v>
      </c>
      <c r="B4867" s="134">
        <v>100</v>
      </c>
      <c r="C4867" s="491">
        <v>1</v>
      </c>
      <c r="D4867" s="491">
        <v>0</v>
      </c>
      <c r="E4867" s="491">
        <v>0</v>
      </c>
      <c r="F4867" s="491">
        <v>0</v>
      </c>
      <c r="G4867" s="491">
        <f t="shared" si="75"/>
        <v>1</v>
      </c>
    </row>
    <row r="4868" spans="1:7" ht="12.75">
      <c r="A4868" s="134" t="s">
        <v>852</v>
      </c>
      <c r="B4868" s="134">
        <v>104</v>
      </c>
      <c r="C4868" s="491">
        <v>0</v>
      </c>
      <c r="D4868" s="491">
        <v>1</v>
      </c>
      <c r="E4868" s="491">
        <v>0</v>
      </c>
      <c r="F4868" s="491">
        <v>0</v>
      </c>
      <c r="G4868" s="491">
        <f t="shared" ref="G4868:G4931" si="76">SUM(C4868:F4868)</f>
        <v>1</v>
      </c>
    </row>
    <row r="4869" spans="1:7" ht="12.75">
      <c r="A4869" s="134" t="s">
        <v>852</v>
      </c>
      <c r="B4869" s="134">
        <v>107</v>
      </c>
      <c r="C4869" s="491">
        <v>1</v>
      </c>
      <c r="D4869" s="491">
        <v>1</v>
      </c>
      <c r="E4869" s="491">
        <v>0</v>
      </c>
      <c r="F4869" s="491">
        <v>0</v>
      </c>
      <c r="G4869" s="491">
        <f t="shared" si="76"/>
        <v>2</v>
      </c>
    </row>
    <row r="4870" spans="1:7" ht="12.75">
      <c r="A4870" s="134" t="s">
        <v>852</v>
      </c>
      <c r="B4870" s="134">
        <v>120</v>
      </c>
      <c r="C4870" s="491">
        <v>1</v>
      </c>
      <c r="D4870" s="491">
        <v>0</v>
      </c>
      <c r="E4870" s="491">
        <v>0</v>
      </c>
      <c r="F4870" s="491">
        <v>0</v>
      </c>
      <c r="G4870" s="491">
        <f t="shared" si="76"/>
        <v>1</v>
      </c>
    </row>
    <row r="4871" spans="1:7" ht="12.75">
      <c r="A4871" s="134" t="s">
        <v>852</v>
      </c>
      <c r="B4871" s="134">
        <v>324</v>
      </c>
      <c r="C4871" s="491">
        <v>0</v>
      </c>
      <c r="D4871" s="491">
        <v>1</v>
      </c>
      <c r="E4871" s="491">
        <v>0</v>
      </c>
      <c r="F4871" s="491">
        <v>0</v>
      </c>
      <c r="G4871" s="491">
        <f t="shared" si="76"/>
        <v>1</v>
      </c>
    </row>
    <row r="4872" spans="1:7" ht="12.75">
      <c r="A4872" s="134" t="s">
        <v>852</v>
      </c>
      <c r="B4872" s="134">
        <v>650</v>
      </c>
      <c r="C4872" s="491">
        <v>1</v>
      </c>
      <c r="D4872" s="491">
        <v>0</v>
      </c>
      <c r="E4872" s="491">
        <v>0</v>
      </c>
      <c r="F4872" s="491">
        <v>0</v>
      </c>
      <c r="G4872" s="491">
        <f t="shared" si="76"/>
        <v>1</v>
      </c>
    </row>
    <row r="4873" spans="1:7" ht="12.75">
      <c r="A4873" s="134" t="s">
        <v>853</v>
      </c>
      <c r="B4873" s="134">
        <v>100</v>
      </c>
      <c r="C4873" s="491">
        <v>0</v>
      </c>
      <c r="D4873" s="491">
        <v>2</v>
      </c>
      <c r="E4873" s="491">
        <v>0</v>
      </c>
      <c r="F4873" s="491">
        <v>0</v>
      </c>
      <c r="G4873" s="491">
        <f t="shared" si="76"/>
        <v>2</v>
      </c>
    </row>
    <row r="4874" spans="1:7" ht="12.75">
      <c r="A4874" s="134" t="s">
        <v>853</v>
      </c>
      <c r="B4874" s="134">
        <v>104</v>
      </c>
      <c r="C4874" s="491">
        <v>4</v>
      </c>
      <c r="D4874" s="491">
        <v>3</v>
      </c>
      <c r="E4874" s="491">
        <v>0</v>
      </c>
      <c r="F4874" s="491">
        <v>0</v>
      </c>
      <c r="G4874" s="491">
        <f t="shared" si="76"/>
        <v>7</v>
      </c>
    </row>
    <row r="4875" spans="1:7" ht="12.75">
      <c r="A4875" s="134" t="s">
        <v>853</v>
      </c>
      <c r="B4875" s="134">
        <v>107</v>
      </c>
      <c r="C4875" s="491">
        <v>1</v>
      </c>
      <c r="D4875" s="491">
        <v>0</v>
      </c>
      <c r="E4875" s="491">
        <v>0</v>
      </c>
      <c r="F4875" s="491">
        <v>0</v>
      </c>
      <c r="G4875" s="491">
        <f t="shared" si="76"/>
        <v>1</v>
      </c>
    </row>
    <row r="4876" spans="1:7" ht="12.75">
      <c r="A4876" s="134" t="s">
        <v>853</v>
      </c>
      <c r="B4876" s="134">
        <v>120</v>
      </c>
      <c r="C4876" s="491">
        <v>1</v>
      </c>
      <c r="D4876" s="491">
        <v>0</v>
      </c>
      <c r="E4876" s="491">
        <v>0</v>
      </c>
      <c r="F4876" s="491">
        <v>0</v>
      </c>
      <c r="G4876" s="491">
        <f t="shared" si="76"/>
        <v>1</v>
      </c>
    </row>
    <row r="4877" spans="1:7" ht="12.75">
      <c r="A4877" s="134" t="s">
        <v>853</v>
      </c>
      <c r="B4877" s="134">
        <v>144</v>
      </c>
      <c r="C4877" s="491">
        <v>1</v>
      </c>
      <c r="D4877" s="491">
        <v>0</v>
      </c>
      <c r="E4877" s="491">
        <v>0</v>
      </c>
      <c r="F4877" s="491">
        <v>0</v>
      </c>
      <c r="G4877" s="491">
        <f t="shared" si="76"/>
        <v>1</v>
      </c>
    </row>
    <row r="4878" spans="1:7" ht="12.75">
      <c r="A4878" s="134" t="s">
        <v>854</v>
      </c>
      <c r="B4878" s="134">
        <v>100</v>
      </c>
      <c r="C4878" s="491">
        <v>9</v>
      </c>
      <c r="D4878" s="491">
        <v>28</v>
      </c>
      <c r="E4878" s="491">
        <v>0</v>
      </c>
      <c r="F4878" s="491">
        <v>6</v>
      </c>
      <c r="G4878" s="491">
        <f t="shared" si="76"/>
        <v>43</v>
      </c>
    </row>
    <row r="4879" spans="1:7" ht="12.75">
      <c r="A4879" s="134" t="s">
        <v>854</v>
      </c>
      <c r="B4879" s="134">
        <v>101</v>
      </c>
      <c r="C4879" s="491">
        <v>1</v>
      </c>
      <c r="D4879" s="491">
        <v>2</v>
      </c>
      <c r="E4879" s="491">
        <v>0</v>
      </c>
      <c r="F4879" s="491">
        <v>0</v>
      </c>
      <c r="G4879" s="491">
        <f t="shared" si="76"/>
        <v>3</v>
      </c>
    </row>
    <row r="4880" spans="1:7" ht="12.75">
      <c r="A4880" s="134" t="s">
        <v>854</v>
      </c>
      <c r="B4880" s="134">
        <v>104</v>
      </c>
      <c r="C4880" s="491">
        <v>9</v>
      </c>
      <c r="D4880" s="491">
        <v>22</v>
      </c>
      <c r="E4880" s="491">
        <v>1</v>
      </c>
      <c r="F4880" s="491">
        <v>0</v>
      </c>
      <c r="G4880" s="491">
        <f t="shared" si="76"/>
        <v>32</v>
      </c>
    </row>
    <row r="4881" spans="1:7" ht="12.75">
      <c r="A4881" s="134" t="s">
        <v>854</v>
      </c>
      <c r="B4881" s="134">
        <v>120</v>
      </c>
      <c r="C4881" s="491">
        <v>1</v>
      </c>
      <c r="D4881" s="491">
        <v>0</v>
      </c>
      <c r="E4881" s="491">
        <v>0</v>
      </c>
      <c r="F4881" s="491">
        <v>0</v>
      </c>
      <c r="G4881" s="491">
        <f t="shared" si="76"/>
        <v>1</v>
      </c>
    </row>
    <row r="4882" spans="1:7" ht="12.75">
      <c r="A4882" s="134" t="s">
        <v>854</v>
      </c>
      <c r="B4882" s="134">
        <v>130</v>
      </c>
      <c r="C4882" s="491">
        <v>14</v>
      </c>
      <c r="D4882" s="491">
        <v>6</v>
      </c>
      <c r="E4882" s="491">
        <v>0</v>
      </c>
      <c r="F4882" s="491">
        <v>0</v>
      </c>
      <c r="G4882" s="491">
        <f t="shared" si="76"/>
        <v>20</v>
      </c>
    </row>
    <row r="4883" spans="1:7" ht="12.75">
      <c r="A4883" s="134" t="s">
        <v>854</v>
      </c>
      <c r="B4883" s="134">
        <v>307</v>
      </c>
      <c r="C4883" s="491">
        <v>1</v>
      </c>
      <c r="D4883" s="491">
        <v>0</v>
      </c>
      <c r="E4883" s="491">
        <v>0</v>
      </c>
      <c r="F4883" s="491">
        <v>0</v>
      </c>
      <c r="G4883" s="491">
        <f t="shared" si="76"/>
        <v>1</v>
      </c>
    </row>
    <row r="4884" spans="1:7" ht="12.75">
      <c r="A4884" s="134" t="s">
        <v>854</v>
      </c>
      <c r="B4884" s="134">
        <v>323</v>
      </c>
      <c r="C4884" s="491">
        <v>1</v>
      </c>
      <c r="D4884" s="491">
        <v>0</v>
      </c>
      <c r="E4884" s="491">
        <v>0</v>
      </c>
      <c r="F4884" s="491">
        <v>0</v>
      </c>
      <c r="G4884" s="491">
        <f t="shared" si="76"/>
        <v>1</v>
      </c>
    </row>
    <row r="4885" spans="1:7" ht="12.75">
      <c r="A4885" s="134" t="s">
        <v>854</v>
      </c>
      <c r="B4885" s="134">
        <v>410</v>
      </c>
      <c r="C4885" s="491">
        <v>1</v>
      </c>
      <c r="D4885" s="491">
        <v>1</v>
      </c>
      <c r="E4885" s="491">
        <v>0</v>
      </c>
      <c r="F4885" s="491">
        <v>0</v>
      </c>
      <c r="G4885" s="491">
        <f t="shared" si="76"/>
        <v>2</v>
      </c>
    </row>
    <row r="4886" spans="1:7" ht="12.75">
      <c r="A4886" s="134" t="s">
        <v>854</v>
      </c>
      <c r="B4886" s="134">
        <v>501</v>
      </c>
      <c r="C4886" s="491">
        <v>3</v>
      </c>
      <c r="D4886" s="491">
        <v>0</v>
      </c>
      <c r="E4886" s="491">
        <v>0</v>
      </c>
      <c r="F4886" s="491">
        <v>0</v>
      </c>
      <c r="G4886" s="491">
        <f t="shared" si="76"/>
        <v>3</v>
      </c>
    </row>
    <row r="4887" spans="1:7" ht="12.75">
      <c r="A4887" s="134" t="s">
        <v>854</v>
      </c>
      <c r="B4887" s="134">
        <v>502</v>
      </c>
      <c r="C4887" s="491">
        <v>2</v>
      </c>
      <c r="D4887" s="491">
        <v>0</v>
      </c>
      <c r="E4887" s="491">
        <v>0</v>
      </c>
      <c r="F4887" s="491">
        <v>0</v>
      </c>
      <c r="G4887" s="491">
        <f t="shared" si="76"/>
        <v>2</v>
      </c>
    </row>
    <row r="4888" spans="1:7" ht="12.75">
      <c r="A4888" s="134" t="s">
        <v>854</v>
      </c>
      <c r="B4888" s="134">
        <v>662</v>
      </c>
      <c r="C4888" s="491">
        <v>2</v>
      </c>
      <c r="D4888" s="491">
        <v>0</v>
      </c>
      <c r="E4888" s="491">
        <v>0</v>
      </c>
      <c r="F4888" s="491">
        <v>0</v>
      </c>
      <c r="G4888" s="491">
        <f t="shared" si="76"/>
        <v>2</v>
      </c>
    </row>
    <row r="4889" spans="1:7" ht="12.75">
      <c r="A4889" s="134" t="s">
        <v>326</v>
      </c>
      <c r="B4889" s="134">
        <v>104</v>
      </c>
      <c r="C4889" s="491">
        <v>2</v>
      </c>
      <c r="D4889" s="491">
        <v>0</v>
      </c>
      <c r="E4889" s="491">
        <v>0</v>
      </c>
      <c r="F4889" s="491">
        <v>0</v>
      </c>
      <c r="G4889" s="491">
        <f t="shared" si="76"/>
        <v>2</v>
      </c>
    </row>
    <row r="4890" spans="1:7" ht="12.75">
      <c r="A4890" s="134" t="s">
        <v>326</v>
      </c>
      <c r="B4890" s="134">
        <v>142</v>
      </c>
      <c r="C4890" s="491">
        <v>2</v>
      </c>
      <c r="D4890" s="491">
        <v>0</v>
      </c>
      <c r="E4890" s="491">
        <v>0</v>
      </c>
      <c r="F4890" s="491">
        <v>0</v>
      </c>
      <c r="G4890" s="491">
        <f t="shared" si="76"/>
        <v>2</v>
      </c>
    </row>
    <row r="4891" spans="1:7" ht="12.75">
      <c r="A4891" s="134" t="s">
        <v>326</v>
      </c>
      <c r="B4891" s="134">
        <v>143</v>
      </c>
      <c r="C4891" s="491">
        <v>1</v>
      </c>
      <c r="D4891" s="491">
        <v>0</v>
      </c>
      <c r="E4891" s="491">
        <v>0</v>
      </c>
      <c r="F4891" s="491">
        <v>0</v>
      </c>
      <c r="G4891" s="491">
        <f t="shared" si="76"/>
        <v>1</v>
      </c>
    </row>
    <row r="4892" spans="1:7" ht="12.75">
      <c r="A4892" s="134" t="s">
        <v>326</v>
      </c>
      <c r="B4892" s="134">
        <v>263</v>
      </c>
      <c r="C4892" s="491">
        <v>1</v>
      </c>
      <c r="D4892" s="491">
        <v>0</v>
      </c>
      <c r="E4892" s="491">
        <v>0</v>
      </c>
      <c r="F4892" s="491">
        <v>0</v>
      </c>
      <c r="G4892" s="491">
        <f t="shared" si="76"/>
        <v>1</v>
      </c>
    </row>
    <row r="4893" spans="1:7" ht="12.75">
      <c r="A4893" s="134" t="s">
        <v>321</v>
      </c>
      <c r="B4893" s="134">
        <v>104</v>
      </c>
      <c r="C4893" s="491">
        <v>4</v>
      </c>
      <c r="D4893" s="491">
        <v>1</v>
      </c>
      <c r="E4893" s="491">
        <v>0</v>
      </c>
      <c r="F4893" s="491">
        <v>0</v>
      </c>
      <c r="G4893" s="491">
        <f t="shared" si="76"/>
        <v>5</v>
      </c>
    </row>
    <row r="4894" spans="1:7" ht="12.75">
      <c r="A4894" s="134" t="s">
        <v>855</v>
      </c>
      <c r="B4894" s="134">
        <v>100</v>
      </c>
      <c r="C4894" s="491">
        <v>1</v>
      </c>
      <c r="D4894" s="491">
        <v>0</v>
      </c>
      <c r="E4894" s="491">
        <v>0</v>
      </c>
      <c r="F4894" s="491">
        <v>0</v>
      </c>
      <c r="G4894" s="491">
        <f t="shared" si="76"/>
        <v>1</v>
      </c>
    </row>
    <row r="4895" spans="1:7" ht="12.75">
      <c r="A4895" s="134" t="s">
        <v>856</v>
      </c>
      <c r="B4895" s="134">
        <v>100</v>
      </c>
      <c r="C4895" s="491">
        <v>19</v>
      </c>
      <c r="D4895" s="491">
        <v>13</v>
      </c>
      <c r="E4895" s="491">
        <v>0</v>
      </c>
      <c r="F4895" s="491">
        <v>1</v>
      </c>
      <c r="G4895" s="491">
        <f t="shared" si="76"/>
        <v>33</v>
      </c>
    </row>
    <row r="4896" spans="1:7" ht="12.75">
      <c r="A4896" s="134" t="s">
        <v>856</v>
      </c>
      <c r="B4896" s="134">
        <v>104</v>
      </c>
      <c r="C4896" s="491">
        <v>0</v>
      </c>
      <c r="D4896" s="491">
        <v>1</v>
      </c>
      <c r="E4896" s="491">
        <v>0</v>
      </c>
      <c r="F4896" s="491">
        <v>0</v>
      </c>
      <c r="G4896" s="491">
        <f t="shared" si="76"/>
        <v>1</v>
      </c>
    </row>
    <row r="4897" spans="1:7" ht="12.75">
      <c r="A4897" s="134" t="s">
        <v>856</v>
      </c>
      <c r="B4897" s="134">
        <v>120</v>
      </c>
      <c r="C4897" s="491">
        <v>0</v>
      </c>
      <c r="D4897" s="491">
        <v>1</v>
      </c>
      <c r="E4897" s="491">
        <v>0</v>
      </c>
      <c r="F4897" s="491">
        <v>0</v>
      </c>
      <c r="G4897" s="491">
        <f t="shared" si="76"/>
        <v>1</v>
      </c>
    </row>
    <row r="4898" spans="1:7" ht="12.75">
      <c r="A4898" s="134" t="s">
        <v>856</v>
      </c>
      <c r="B4898" s="134">
        <v>143</v>
      </c>
      <c r="C4898" s="491">
        <v>1</v>
      </c>
      <c r="D4898" s="491">
        <v>0</v>
      </c>
      <c r="E4898" s="491">
        <v>0</v>
      </c>
      <c r="F4898" s="491">
        <v>0</v>
      </c>
      <c r="G4898" s="491">
        <f t="shared" si="76"/>
        <v>1</v>
      </c>
    </row>
    <row r="4899" spans="1:7" ht="12.75">
      <c r="A4899" s="134" t="s">
        <v>856</v>
      </c>
      <c r="B4899" s="134">
        <v>301</v>
      </c>
      <c r="C4899" s="491">
        <v>0</v>
      </c>
      <c r="D4899" s="491">
        <v>1</v>
      </c>
      <c r="E4899" s="491">
        <v>0</v>
      </c>
      <c r="F4899" s="491">
        <v>0</v>
      </c>
      <c r="G4899" s="491">
        <f t="shared" si="76"/>
        <v>1</v>
      </c>
    </row>
    <row r="4900" spans="1:7" ht="12.75">
      <c r="A4900" s="134" t="s">
        <v>856</v>
      </c>
      <c r="B4900" s="134">
        <v>330</v>
      </c>
      <c r="C4900" s="491">
        <v>1</v>
      </c>
      <c r="D4900" s="491">
        <v>0</v>
      </c>
      <c r="E4900" s="491">
        <v>0</v>
      </c>
      <c r="F4900" s="491">
        <v>0</v>
      </c>
      <c r="G4900" s="491">
        <f t="shared" si="76"/>
        <v>1</v>
      </c>
    </row>
    <row r="4901" spans="1:7" ht="12.75">
      <c r="A4901" s="134" t="s">
        <v>856</v>
      </c>
      <c r="B4901" s="134">
        <v>400</v>
      </c>
      <c r="C4901" s="491">
        <v>1</v>
      </c>
      <c r="D4901" s="491">
        <v>0</v>
      </c>
      <c r="E4901" s="491">
        <v>0</v>
      </c>
      <c r="F4901" s="491">
        <v>0</v>
      </c>
      <c r="G4901" s="491">
        <f t="shared" si="76"/>
        <v>1</v>
      </c>
    </row>
    <row r="4902" spans="1:7" ht="12.75">
      <c r="A4902" s="134" t="s">
        <v>856</v>
      </c>
      <c r="B4902" s="134">
        <v>450</v>
      </c>
      <c r="C4902" s="491">
        <v>1</v>
      </c>
      <c r="D4902" s="491">
        <v>0</v>
      </c>
      <c r="E4902" s="491">
        <v>0</v>
      </c>
      <c r="F4902" s="491">
        <v>0</v>
      </c>
      <c r="G4902" s="491">
        <f t="shared" si="76"/>
        <v>1</v>
      </c>
    </row>
    <row r="4903" spans="1:7" ht="12.75">
      <c r="A4903" s="134" t="s">
        <v>857</v>
      </c>
      <c r="B4903" s="134">
        <v>143</v>
      </c>
      <c r="C4903" s="491">
        <v>2</v>
      </c>
      <c r="D4903" s="491">
        <v>0</v>
      </c>
      <c r="E4903" s="491">
        <v>0</v>
      </c>
      <c r="F4903" s="491">
        <v>0</v>
      </c>
      <c r="G4903" s="491">
        <f t="shared" si="76"/>
        <v>2</v>
      </c>
    </row>
    <row r="4904" spans="1:7" ht="12.75">
      <c r="A4904" s="134" t="s">
        <v>323</v>
      </c>
      <c r="B4904" s="134">
        <v>140</v>
      </c>
      <c r="C4904" s="491">
        <v>0</v>
      </c>
      <c r="D4904" s="491">
        <v>1</v>
      </c>
      <c r="E4904" s="491">
        <v>0</v>
      </c>
      <c r="F4904" s="491">
        <v>0</v>
      </c>
      <c r="G4904" s="491">
        <f t="shared" si="76"/>
        <v>1</v>
      </c>
    </row>
    <row r="4905" spans="1:7" ht="12.75">
      <c r="A4905" s="134" t="s">
        <v>323</v>
      </c>
      <c r="B4905" s="134">
        <v>143</v>
      </c>
      <c r="C4905" s="491">
        <v>2</v>
      </c>
      <c r="D4905" s="491">
        <v>0</v>
      </c>
      <c r="E4905" s="491">
        <v>1</v>
      </c>
      <c r="F4905" s="491">
        <v>0</v>
      </c>
      <c r="G4905" s="491">
        <f t="shared" si="76"/>
        <v>3</v>
      </c>
    </row>
    <row r="4906" spans="1:7" ht="12.75">
      <c r="A4906" s="134" t="s">
        <v>323</v>
      </c>
      <c r="B4906" s="134">
        <v>330</v>
      </c>
      <c r="C4906" s="491">
        <v>1</v>
      </c>
      <c r="D4906" s="491">
        <v>0</v>
      </c>
      <c r="E4906" s="491">
        <v>0</v>
      </c>
      <c r="F4906" s="491">
        <v>0</v>
      </c>
      <c r="G4906" s="491">
        <f t="shared" si="76"/>
        <v>1</v>
      </c>
    </row>
    <row r="4907" spans="1:7" ht="12.75">
      <c r="A4907" s="134" t="s">
        <v>323</v>
      </c>
      <c r="B4907" s="134">
        <v>400</v>
      </c>
      <c r="C4907" s="491">
        <v>2</v>
      </c>
      <c r="D4907" s="491">
        <v>2</v>
      </c>
      <c r="E4907" s="491">
        <v>0</v>
      </c>
      <c r="F4907" s="491">
        <v>0</v>
      </c>
      <c r="G4907" s="491">
        <f t="shared" si="76"/>
        <v>4</v>
      </c>
    </row>
    <row r="4908" spans="1:7" ht="12.75">
      <c r="A4908" s="134" t="s">
        <v>323</v>
      </c>
      <c r="B4908" s="134">
        <v>401</v>
      </c>
      <c r="C4908" s="491">
        <v>5</v>
      </c>
      <c r="D4908" s="491">
        <v>1</v>
      </c>
      <c r="E4908" s="491">
        <v>0</v>
      </c>
      <c r="F4908" s="491">
        <v>0</v>
      </c>
      <c r="G4908" s="491">
        <f t="shared" si="76"/>
        <v>6</v>
      </c>
    </row>
    <row r="4909" spans="1:7" ht="12.75">
      <c r="A4909" s="134" t="s">
        <v>323</v>
      </c>
      <c r="B4909" s="134">
        <v>420</v>
      </c>
      <c r="C4909" s="491">
        <v>11</v>
      </c>
      <c r="D4909" s="491">
        <v>1</v>
      </c>
      <c r="E4909" s="491">
        <v>0</v>
      </c>
      <c r="F4909" s="491">
        <v>0</v>
      </c>
      <c r="G4909" s="491">
        <f t="shared" si="76"/>
        <v>12</v>
      </c>
    </row>
    <row r="4910" spans="1:7" ht="12.75">
      <c r="A4910" s="134" t="s">
        <v>323</v>
      </c>
      <c r="B4910" s="134">
        <v>421</v>
      </c>
      <c r="C4910" s="491">
        <v>21</v>
      </c>
      <c r="D4910" s="491">
        <v>5</v>
      </c>
      <c r="E4910" s="491">
        <v>0</v>
      </c>
      <c r="F4910" s="491">
        <v>1</v>
      </c>
      <c r="G4910" s="491">
        <f t="shared" si="76"/>
        <v>27</v>
      </c>
    </row>
    <row r="4911" spans="1:7" ht="12.75">
      <c r="A4911" s="134" t="s">
        <v>323</v>
      </c>
      <c r="B4911" s="134">
        <v>811</v>
      </c>
      <c r="C4911" s="491">
        <v>1</v>
      </c>
      <c r="D4911" s="491">
        <v>0</v>
      </c>
      <c r="E4911" s="491">
        <v>0</v>
      </c>
      <c r="F4911" s="491">
        <v>0</v>
      </c>
      <c r="G4911" s="491">
        <f t="shared" si="76"/>
        <v>1</v>
      </c>
    </row>
    <row r="4912" spans="1:7" ht="12.75">
      <c r="A4912" s="134" t="s">
        <v>323</v>
      </c>
      <c r="B4912" s="134">
        <v>812</v>
      </c>
      <c r="C4912" s="491">
        <v>0</v>
      </c>
      <c r="D4912" s="491">
        <v>2</v>
      </c>
      <c r="E4912" s="491">
        <v>0</v>
      </c>
      <c r="F4912" s="491">
        <v>0</v>
      </c>
      <c r="G4912" s="491">
        <f t="shared" si="76"/>
        <v>2</v>
      </c>
    </row>
    <row r="4913" spans="1:7" ht="12.75">
      <c r="A4913" s="134" t="s">
        <v>315</v>
      </c>
      <c r="B4913" s="134">
        <v>401</v>
      </c>
      <c r="C4913" s="491">
        <v>1</v>
      </c>
      <c r="D4913" s="491">
        <v>1</v>
      </c>
      <c r="E4913" s="491">
        <v>0</v>
      </c>
      <c r="F4913" s="491">
        <v>0</v>
      </c>
      <c r="G4913" s="491">
        <f t="shared" si="76"/>
        <v>2</v>
      </c>
    </row>
    <row r="4914" spans="1:7" ht="12.75">
      <c r="A4914" s="134" t="s">
        <v>315</v>
      </c>
      <c r="B4914" s="134">
        <v>421</v>
      </c>
      <c r="C4914" s="491">
        <v>1</v>
      </c>
      <c r="D4914" s="491">
        <v>0</v>
      </c>
      <c r="E4914" s="491">
        <v>1</v>
      </c>
      <c r="F4914" s="491">
        <v>0</v>
      </c>
      <c r="G4914" s="491">
        <f t="shared" si="76"/>
        <v>2</v>
      </c>
    </row>
    <row r="4915" spans="1:7" ht="12.75">
      <c r="A4915" s="134" t="s">
        <v>858</v>
      </c>
      <c r="B4915" s="134">
        <v>100</v>
      </c>
      <c r="C4915" s="491">
        <v>1862</v>
      </c>
      <c r="D4915" s="491">
        <v>169</v>
      </c>
      <c r="E4915" s="491">
        <v>33</v>
      </c>
      <c r="F4915" s="491">
        <v>5</v>
      </c>
      <c r="G4915" s="491">
        <f t="shared" si="76"/>
        <v>2069</v>
      </c>
    </row>
    <row r="4916" spans="1:7" ht="12.75">
      <c r="A4916" s="134" t="s">
        <v>858</v>
      </c>
      <c r="B4916" s="134">
        <v>103</v>
      </c>
      <c r="C4916" s="491">
        <v>0</v>
      </c>
      <c r="D4916" s="491">
        <v>1</v>
      </c>
      <c r="E4916" s="491">
        <v>0</v>
      </c>
      <c r="F4916" s="491">
        <v>0</v>
      </c>
      <c r="G4916" s="491">
        <f t="shared" si="76"/>
        <v>1</v>
      </c>
    </row>
    <row r="4917" spans="1:7" ht="12.75">
      <c r="A4917" s="134" t="s">
        <v>858</v>
      </c>
      <c r="B4917" s="134">
        <v>104</v>
      </c>
      <c r="C4917" s="491">
        <v>3</v>
      </c>
      <c r="D4917" s="491">
        <v>0</v>
      </c>
      <c r="E4917" s="491">
        <v>0</v>
      </c>
      <c r="F4917" s="491">
        <v>0</v>
      </c>
      <c r="G4917" s="491">
        <f t="shared" si="76"/>
        <v>3</v>
      </c>
    </row>
    <row r="4918" spans="1:7" ht="12.75">
      <c r="A4918" s="134" t="s">
        <v>858</v>
      </c>
      <c r="B4918" s="134">
        <v>106</v>
      </c>
      <c r="C4918" s="491">
        <v>674</v>
      </c>
      <c r="D4918" s="491">
        <v>55</v>
      </c>
      <c r="E4918" s="491">
        <v>5</v>
      </c>
      <c r="F4918" s="491">
        <v>1</v>
      </c>
      <c r="G4918" s="491">
        <f t="shared" si="76"/>
        <v>735</v>
      </c>
    </row>
    <row r="4919" spans="1:7" ht="12.75">
      <c r="A4919" s="134" t="s">
        <v>858</v>
      </c>
      <c r="B4919" s="134">
        <v>120</v>
      </c>
      <c r="C4919" s="491">
        <v>2</v>
      </c>
      <c r="D4919" s="491">
        <v>3</v>
      </c>
      <c r="E4919" s="491">
        <v>0</v>
      </c>
      <c r="F4919" s="491">
        <v>0</v>
      </c>
      <c r="G4919" s="491">
        <f t="shared" si="76"/>
        <v>5</v>
      </c>
    </row>
    <row r="4920" spans="1:7" ht="12.75">
      <c r="A4920" s="134" t="s">
        <v>858</v>
      </c>
      <c r="B4920" s="134">
        <v>130</v>
      </c>
      <c r="C4920" s="491">
        <v>3</v>
      </c>
      <c r="D4920" s="491">
        <v>0</v>
      </c>
      <c r="E4920" s="491">
        <v>0</v>
      </c>
      <c r="F4920" s="491">
        <v>0</v>
      </c>
      <c r="G4920" s="491">
        <f t="shared" si="76"/>
        <v>3</v>
      </c>
    </row>
    <row r="4921" spans="1:7" ht="12.75">
      <c r="A4921" s="134" t="s">
        <v>858</v>
      </c>
      <c r="B4921" s="134">
        <v>140</v>
      </c>
      <c r="C4921" s="491">
        <v>4</v>
      </c>
      <c r="D4921" s="491">
        <v>1</v>
      </c>
      <c r="E4921" s="491">
        <v>0</v>
      </c>
      <c r="F4921" s="491">
        <v>0</v>
      </c>
      <c r="G4921" s="491">
        <f t="shared" si="76"/>
        <v>5</v>
      </c>
    </row>
    <row r="4922" spans="1:7" ht="12.75">
      <c r="A4922" s="134" t="s">
        <v>858</v>
      </c>
      <c r="B4922" s="134">
        <v>141</v>
      </c>
      <c r="C4922" s="491">
        <v>2</v>
      </c>
      <c r="D4922" s="491">
        <v>6</v>
      </c>
      <c r="E4922" s="491">
        <v>0</v>
      </c>
      <c r="F4922" s="491">
        <v>0</v>
      </c>
      <c r="G4922" s="491">
        <f t="shared" si="76"/>
        <v>8</v>
      </c>
    </row>
    <row r="4923" spans="1:7" ht="12.75">
      <c r="A4923" s="134" t="s">
        <v>858</v>
      </c>
      <c r="B4923" s="134">
        <v>143</v>
      </c>
      <c r="C4923" s="491">
        <v>2</v>
      </c>
      <c r="D4923" s="491">
        <v>0</v>
      </c>
      <c r="E4923" s="491">
        <v>0</v>
      </c>
      <c r="F4923" s="491">
        <v>0</v>
      </c>
      <c r="G4923" s="491">
        <f t="shared" si="76"/>
        <v>2</v>
      </c>
    </row>
    <row r="4924" spans="1:7" ht="12.75">
      <c r="A4924" s="134" t="s">
        <v>858</v>
      </c>
      <c r="B4924" s="134">
        <v>144</v>
      </c>
      <c r="C4924" s="491">
        <v>1</v>
      </c>
      <c r="D4924" s="491">
        <v>0</v>
      </c>
      <c r="E4924" s="491">
        <v>0</v>
      </c>
      <c r="F4924" s="491">
        <v>0</v>
      </c>
      <c r="G4924" s="491">
        <f t="shared" si="76"/>
        <v>1</v>
      </c>
    </row>
    <row r="4925" spans="1:7" ht="12.75">
      <c r="A4925" s="134" t="s">
        <v>858</v>
      </c>
      <c r="B4925" s="134">
        <v>160</v>
      </c>
      <c r="C4925" s="491">
        <v>2</v>
      </c>
      <c r="D4925" s="491">
        <v>0</v>
      </c>
      <c r="E4925" s="491">
        <v>0</v>
      </c>
      <c r="F4925" s="491">
        <v>0</v>
      </c>
      <c r="G4925" s="491">
        <f t="shared" si="76"/>
        <v>2</v>
      </c>
    </row>
    <row r="4926" spans="1:7" ht="12.75">
      <c r="A4926" s="134" t="s">
        <v>858</v>
      </c>
      <c r="B4926" s="134">
        <v>300</v>
      </c>
      <c r="C4926" s="491">
        <v>1</v>
      </c>
      <c r="D4926" s="491">
        <v>1</v>
      </c>
      <c r="E4926" s="491">
        <v>0</v>
      </c>
      <c r="F4926" s="491">
        <v>0</v>
      </c>
      <c r="G4926" s="491">
        <f t="shared" si="76"/>
        <v>2</v>
      </c>
    </row>
    <row r="4927" spans="1:7" ht="12.75">
      <c r="A4927" s="134" t="s">
        <v>858</v>
      </c>
      <c r="B4927" s="134">
        <v>301</v>
      </c>
      <c r="C4927" s="491">
        <v>22</v>
      </c>
      <c r="D4927" s="491">
        <v>3</v>
      </c>
      <c r="E4927" s="491">
        <v>0</v>
      </c>
      <c r="F4927" s="491">
        <v>0</v>
      </c>
      <c r="G4927" s="491">
        <f t="shared" si="76"/>
        <v>25</v>
      </c>
    </row>
    <row r="4928" spans="1:7" ht="12.75">
      <c r="A4928" s="134" t="s">
        <v>858</v>
      </c>
      <c r="B4928" s="134">
        <v>302</v>
      </c>
      <c r="C4928" s="491">
        <v>39</v>
      </c>
      <c r="D4928" s="491">
        <v>2</v>
      </c>
      <c r="E4928" s="491">
        <v>0</v>
      </c>
      <c r="F4928" s="491">
        <v>0</v>
      </c>
      <c r="G4928" s="491">
        <f t="shared" si="76"/>
        <v>41</v>
      </c>
    </row>
    <row r="4929" spans="1:7" ht="12.75">
      <c r="A4929" s="134" t="s">
        <v>858</v>
      </c>
      <c r="B4929" s="134">
        <v>307</v>
      </c>
      <c r="C4929" s="491">
        <v>488</v>
      </c>
      <c r="D4929" s="491">
        <v>2</v>
      </c>
      <c r="E4929" s="491">
        <v>0</v>
      </c>
      <c r="F4929" s="491">
        <v>0</v>
      </c>
      <c r="G4929" s="491">
        <f t="shared" si="76"/>
        <v>490</v>
      </c>
    </row>
    <row r="4930" spans="1:7" ht="12.75">
      <c r="A4930" s="134" t="s">
        <v>858</v>
      </c>
      <c r="B4930" s="134">
        <v>330</v>
      </c>
      <c r="C4930" s="491">
        <v>1</v>
      </c>
      <c r="D4930" s="491">
        <v>0</v>
      </c>
      <c r="E4930" s="491">
        <v>0</v>
      </c>
      <c r="F4930" s="491">
        <v>0</v>
      </c>
      <c r="G4930" s="491">
        <f t="shared" si="76"/>
        <v>1</v>
      </c>
    </row>
    <row r="4931" spans="1:7" ht="12.75">
      <c r="A4931" s="134" t="s">
        <v>858</v>
      </c>
      <c r="B4931" s="134">
        <v>350</v>
      </c>
      <c r="C4931" s="491">
        <v>1</v>
      </c>
      <c r="D4931" s="491">
        <v>0</v>
      </c>
      <c r="E4931" s="491">
        <v>0</v>
      </c>
      <c r="F4931" s="491">
        <v>0</v>
      </c>
      <c r="G4931" s="491">
        <f t="shared" si="76"/>
        <v>1</v>
      </c>
    </row>
    <row r="4932" spans="1:7" ht="12.75">
      <c r="A4932" s="134" t="s">
        <v>858</v>
      </c>
      <c r="B4932" s="134">
        <v>370</v>
      </c>
      <c r="C4932" s="491">
        <v>3</v>
      </c>
      <c r="D4932" s="491">
        <v>0</v>
      </c>
      <c r="E4932" s="491">
        <v>0</v>
      </c>
      <c r="F4932" s="491">
        <v>0</v>
      </c>
      <c r="G4932" s="491">
        <f t="shared" ref="G4932:G4995" si="77">SUM(C4932:F4932)</f>
        <v>3</v>
      </c>
    </row>
    <row r="4933" spans="1:7" ht="12.75">
      <c r="A4933" s="134" t="s">
        <v>858</v>
      </c>
      <c r="B4933" s="134">
        <v>400</v>
      </c>
      <c r="C4933" s="491">
        <v>106</v>
      </c>
      <c r="D4933" s="491">
        <v>27</v>
      </c>
      <c r="E4933" s="491">
        <v>0</v>
      </c>
      <c r="F4933" s="491">
        <v>0</v>
      </c>
      <c r="G4933" s="491">
        <f t="shared" si="77"/>
        <v>133</v>
      </c>
    </row>
    <row r="4934" spans="1:7" ht="12.75">
      <c r="A4934" s="134" t="s">
        <v>858</v>
      </c>
      <c r="B4934" s="134">
        <v>501</v>
      </c>
      <c r="C4934" s="491">
        <v>4</v>
      </c>
      <c r="D4934" s="491">
        <v>0</v>
      </c>
      <c r="E4934" s="491">
        <v>0</v>
      </c>
      <c r="F4934" s="491">
        <v>0</v>
      </c>
      <c r="G4934" s="491">
        <f t="shared" si="77"/>
        <v>4</v>
      </c>
    </row>
    <row r="4935" spans="1:7" ht="12.75">
      <c r="A4935" s="134" t="s">
        <v>858</v>
      </c>
      <c r="B4935" s="134">
        <v>654</v>
      </c>
      <c r="C4935" s="491">
        <v>10</v>
      </c>
      <c r="D4935" s="491">
        <v>0</v>
      </c>
      <c r="E4935" s="491">
        <v>0</v>
      </c>
      <c r="F4935" s="491">
        <v>0</v>
      </c>
      <c r="G4935" s="491">
        <f t="shared" si="77"/>
        <v>10</v>
      </c>
    </row>
    <row r="4936" spans="1:7" ht="12.75">
      <c r="A4936" s="134" t="s">
        <v>858</v>
      </c>
      <c r="B4936" s="134">
        <v>811</v>
      </c>
      <c r="C4936" s="491">
        <v>371</v>
      </c>
      <c r="D4936" s="491">
        <v>234</v>
      </c>
      <c r="E4936" s="491">
        <v>0</v>
      </c>
      <c r="F4936" s="491">
        <v>0</v>
      </c>
      <c r="G4936" s="491">
        <f t="shared" si="77"/>
        <v>605</v>
      </c>
    </row>
    <row r="4937" spans="1:7" ht="12.75">
      <c r="A4937" s="134" t="s">
        <v>858</v>
      </c>
      <c r="B4937" s="134">
        <v>812</v>
      </c>
      <c r="C4937" s="491">
        <v>0</v>
      </c>
      <c r="D4937" s="491">
        <v>5</v>
      </c>
      <c r="E4937" s="491">
        <v>0</v>
      </c>
      <c r="F4937" s="491">
        <v>0</v>
      </c>
      <c r="G4937" s="491">
        <f t="shared" si="77"/>
        <v>5</v>
      </c>
    </row>
    <row r="4938" spans="1:7" ht="12.75">
      <c r="A4938" s="134" t="s">
        <v>859</v>
      </c>
      <c r="B4938" s="134">
        <v>101</v>
      </c>
      <c r="C4938" s="491">
        <v>0</v>
      </c>
      <c r="D4938" s="491">
        <v>3</v>
      </c>
      <c r="E4938" s="491">
        <v>0</v>
      </c>
      <c r="F4938" s="491">
        <v>0</v>
      </c>
      <c r="G4938" s="491">
        <f t="shared" si="77"/>
        <v>3</v>
      </c>
    </row>
    <row r="4939" spans="1:7" ht="12.75">
      <c r="A4939" s="134" t="s">
        <v>859</v>
      </c>
      <c r="B4939" s="134">
        <v>103</v>
      </c>
      <c r="C4939" s="491">
        <v>1</v>
      </c>
      <c r="D4939" s="491">
        <v>8</v>
      </c>
      <c r="E4939" s="491">
        <v>0</v>
      </c>
      <c r="F4939" s="491">
        <v>1</v>
      </c>
      <c r="G4939" s="491">
        <f t="shared" si="77"/>
        <v>10</v>
      </c>
    </row>
    <row r="4940" spans="1:7" ht="12.75">
      <c r="A4940" s="134" t="s">
        <v>859</v>
      </c>
      <c r="B4940" s="134">
        <v>107</v>
      </c>
      <c r="C4940" s="491">
        <v>0</v>
      </c>
      <c r="D4940" s="491">
        <v>2</v>
      </c>
      <c r="E4940" s="491">
        <v>0</v>
      </c>
      <c r="F4940" s="491">
        <v>0</v>
      </c>
      <c r="G4940" s="491">
        <f t="shared" si="77"/>
        <v>2</v>
      </c>
    </row>
    <row r="4941" spans="1:7" ht="12.75">
      <c r="A4941" s="134" t="s">
        <v>859</v>
      </c>
      <c r="B4941" s="134">
        <v>110</v>
      </c>
      <c r="C4941" s="491">
        <v>2</v>
      </c>
      <c r="D4941" s="491">
        <v>0</v>
      </c>
      <c r="E4941" s="491">
        <v>0</v>
      </c>
      <c r="F4941" s="491">
        <v>0</v>
      </c>
      <c r="G4941" s="491">
        <f t="shared" si="77"/>
        <v>2</v>
      </c>
    </row>
    <row r="4942" spans="1:7" ht="12.75">
      <c r="A4942" s="134" t="s">
        <v>859</v>
      </c>
      <c r="B4942" s="134">
        <v>160</v>
      </c>
      <c r="C4942" s="491">
        <v>1</v>
      </c>
      <c r="D4942" s="491">
        <v>1</v>
      </c>
      <c r="E4942" s="491">
        <v>0</v>
      </c>
      <c r="F4942" s="491">
        <v>0</v>
      </c>
      <c r="G4942" s="491">
        <f t="shared" si="77"/>
        <v>2</v>
      </c>
    </row>
    <row r="4943" spans="1:7" ht="12.75">
      <c r="A4943" s="134" t="s">
        <v>859</v>
      </c>
      <c r="B4943" s="134">
        <v>171</v>
      </c>
      <c r="C4943" s="491">
        <v>1</v>
      </c>
      <c r="D4943" s="491">
        <v>0</v>
      </c>
      <c r="E4943" s="491">
        <v>0</v>
      </c>
      <c r="F4943" s="491">
        <v>0</v>
      </c>
      <c r="G4943" s="491">
        <f t="shared" si="77"/>
        <v>1</v>
      </c>
    </row>
    <row r="4944" spans="1:7" ht="12.75">
      <c r="A4944" s="134" t="s">
        <v>859</v>
      </c>
      <c r="B4944" s="134">
        <v>320</v>
      </c>
      <c r="C4944" s="491">
        <v>0</v>
      </c>
      <c r="D4944" s="491">
        <v>1</v>
      </c>
      <c r="E4944" s="491">
        <v>0</v>
      </c>
      <c r="F4944" s="491">
        <v>0</v>
      </c>
      <c r="G4944" s="491">
        <f t="shared" si="77"/>
        <v>1</v>
      </c>
    </row>
    <row r="4945" spans="1:7" ht="12.75">
      <c r="A4945" s="134" t="s">
        <v>859</v>
      </c>
      <c r="B4945" s="134">
        <v>330</v>
      </c>
      <c r="C4945" s="491">
        <v>1</v>
      </c>
      <c r="D4945" s="491">
        <v>0</v>
      </c>
      <c r="E4945" s="491">
        <v>0</v>
      </c>
      <c r="F4945" s="491">
        <v>0</v>
      </c>
      <c r="G4945" s="491">
        <f t="shared" si="77"/>
        <v>1</v>
      </c>
    </row>
    <row r="4946" spans="1:7" ht="12.75">
      <c r="A4946" s="134" t="s">
        <v>859</v>
      </c>
      <c r="B4946" s="134">
        <v>502</v>
      </c>
      <c r="C4946" s="491">
        <v>0</v>
      </c>
      <c r="D4946" s="491">
        <v>0</v>
      </c>
      <c r="E4946" s="491">
        <v>0</v>
      </c>
      <c r="F4946" s="491">
        <v>1</v>
      </c>
      <c r="G4946" s="491">
        <f t="shared" si="77"/>
        <v>1</v>
      </c>
    </row>
    <row r="4947" spans="1:7" ht="12.75">
      <c r="A4947" s="134" t="s">
        <v>859</v>
      </c>
      <c r="B4947" s="134">
        <v>812</v>
      </c>
      <c r="C4947" s="491">
        <v>4</v>
      </c>
      <c r="D4947" s="491">
        <v>1</v>
      </c>
      <c r="E4947" s="491">
        <v>0</v>
      </c>
      <c r="F4947" s="491">
        <v>0</v>
      </c>
      <c r="G4947" s="491">
        <f t="shared" si="77"/>
        <v>5</v>
      </c>
    </row>
    <row r="4948" spans="1:7" ht="12.75">
      <c r="A4948" s="134" t="s">
        <v>314</v>
      </c>
      <c r="B4948" s="134">
        <v>100</v>
      </c>
      <c r="C4948" s="491">
        <v>1</v>
      </c>
      <c r="D4948" s="491">
        <v>2</v>
      </c>
      <c r="E4948" s="491">
        <v>0</v>
      </c>
      <c r="F4948" s="491">
        <v>0</v>
      </c>
      <c r="G4948" s="491">
        <f t="shared" si="77"/>
        <v>3</v>
      </c>
    </row>
    <row r="4949" spans="1:7" ht="12.75">
      <c r="A4949" s="134" t="s">
        <v>314</v>
      </c>
      <c r="B4949" s="134">
        <v>103</v>
      </c>
      <c r="C4949" s="491">
        <v>5</v>
      </c>
      <c r="D4949" s="491">
        <v>2</v>
      </c>
      <c r="E4949" s="491">
        <v>0</v>
      </c>
      <c r="F4949" s="491">
        <v>0</v>
      </c>
      <c r="G4949" s="491">
        <f t="shared" si="77"/>
        <v>7</v>
      </c>
    </row>
    <row r="4950" spans="1:7" ht="12.75">
      <c r="A4950" s="134" t="s">
        <v>314</v>
      </c>
      <c r="B4950" s="134">
        <v>104</v>
      </c>
      <c r="C4950" s="491">
        <v>0</v>
      </c>
      <c r="D4950" s="491">
        <v>4</v>
      </c>
      <c r="E4950" s="491">
        <v>0</v>
      </c>
      <c r="F4950" s="491">
        <v>0</v>
      </c>
      <c r="G4950" s="491">
        <f t="shared" si="77"/>
        <v>4</v>
      </c>
    </row>
    <row r="4951" spans="1:7" ht="12.75">
      <c r="A4951" s="134" t="s">
        <v>314</v>
      </c>
      <c r="B4951" s="134">
        <v>110</v>
      </c>
      <c r="C4951" s="491">
        <v>0</v>
      </c>
      <c r="D4951" s="491">
        <v>5</v>
      </c>
      <c r="E4951" s="491">
        <v>0</v>
      </c>
      <c r="F4951" s="491">
        <v>0</v>
      </c>
      <c r="G4951" s="491">
        <f t="shared" si="77"/>
        <v>5</v>
      </c>
    </row>
    <row r="4952" spans="1:7" ht="12.75">
      <c r="A4952" s="134" t="s">
        <v>314</v>
      </c>
      <c r="B4952" s="134">
        <v>300</v>
      </c>
      <c r="C4952" s="491">
        <v>3</v>
      </c>
      <c r="D4952" s="491">
        <v>1</v>
      </c>
      <c r="E4952" s="491">
        <v>0</v>
      </c>
      <c r="F4952" s="491">
        <v>0</v>
      </c>
      <c r="G4952" s="491">
        <f t="shared" si="77"/>
        <v>4</v>
      </c>
    </row>
    <row r="4953" spans="1:7" ht="12.75">
      <c r="A4953" s="134" t="s">
        <v>314</v>
      </c>
      <c r="B4953" s="134">
        <v>301</v>
      </c>
      <c r="C4953" s="491">
        <v>17</v>
      </c>
      <c r="D4953" s="491">
        <v>30</v>
      </c>
      <c r="E4953" s="491">
        <v>0</v>
      </c>
      <c r="F4953" s="491">
        <v>0</v>
      </c>
      <c r="G4953" s="491">
        <f t="shared" si="77"/>
        <v>47</v>
      </c>
    </row>
    <row r="4954" spans="1:7" ht="12.75">
      <c r="A4954" s="134" t="s">
        <v>314</v>
      </c>
      <c r="B4954" s="134">
        <v>302</v>
      </c>
      <c r="C4954" s="491">
        <v>1</v>
      </c>
      <c r="D4954" s="491">
        <v>0</v>
      </c>
      <c r="E4954" s="491">
        <v>0</v>
      </c>
      <c r="F4954" s="491">
        <v>0</v>
      </c>
      <c r="G4954" s="491">
        <f t="shared" si="77"/>
        <v>1</v>
      </c>
    </row>
    <row r="4955" spans="1:7" ht="12.75">
      <c r="A4955" s="134" t="s">
        <v>314</v>
      </c>
      <c r="B4955" s="134">
        <v>315</v>
      </c>
      <c r="C4955" s="491">
        <v>0</v>
      </c>
      <c r="D4955" s="491">
        <v>1</v>
      </c>
      <c r="E4955" s="491">
        <v>0</v>
      </c>
      <c r="F4955" s="491">
        <v>0</v>
      </c>
      <c r="G4955" s="491">
        <f t="shared" si="77"/>
        <v>1</v>
      </c>
    </row>
    <row r="4956" spans="1:7" ht="12.75">
      <c r="A4956" s="134" t="s">
        <v>314</v>
      </c>
      <c r="B4956" s="134">
        <v>340</v>
      </c>
      <c r="C4956" s="491">
        <v>0</v>
      </c>
      <c r="D4956" s="491">
        <v>1</v>
      </c>
      <c r="E4956" s="491">
        <v>0</v>
      </c>
      <c r="F4956" s="491">
        <v>0</v>
      </c>
      <c r="G4956" s="491">
        <f t="shared" si="77"/>
        <v>1</v>
      </c>
    </row>
    <row r="4957" spans="1:7" ht="12.75">
      <c r="A4957" s="134" t="s">
        <v>314</v>
      </c>
      <c r="B4957" s="134">
        <v>650</v>
      </c>
      <c r="C4957" s="491">
        <v>1</v>
      </c>
      <c r="D4957" s="491">
        <v>0</v>
      </c>
      <c r="E4957" s="491">
        <v>0</v>
      </c>
      <c r="F4957" s="491">
        <v>0</v>
      </c>
      <c r="G4957" s="491">
        <f t="shared" si="77"/>
        <v>1</v>
      </c>
    </row>
    <row r="4958" spans="1:7" ht="12.75">
      <c r="A4958" s="134" t="s">
        <v>314</v>
      </c>
      <c r="B4958" s="134">
        <v>800</v>
      </c>
      <c r="C4958" s="491">
        <v>1</v>
      </c>
      <c r="D4958" s="491">
        <v>0</v>
      </c>
      <c r="E4958" s="491">
        <v>0</v>
      </c>
      <c r="F4958" s="491">
        <v>0</v>
      </c>
      <c r="G4958" s="491">
        <f t="shared" si="77"/>
        <v>1</v>
      </c>
    </row>
    <row r="4959" spans="1:7" ht="12.75">
      <c r="A4959" s="134" t="s">
        <v>314</v>
      </c>
      <c r="B4959" s="134">
        <v>811</v>
      </c>
      <c r="C4959" s="491">
        <v>0</v>
      </c>
      <c r="D4959" s="491">
        <v>0</v>
      </c>
      <c r="E4959" s="491">
        <v>0</v>
      </c>
      <c r="F4959" s="491">
        <v>1</v>
      </c>
      <c r="G4959" s="491">
        <f t="shared" si="77"/>
        <v>1</v>
      </c>
    </row>
    <row r="4960" spans="1:7" ht="12.75">
      <c r="A4960" s="134" t="s">
        <v>314</v>
      </c>
      <c r="B4960" s="134">
        <v>812</v>
      </c>
      <c r="C4960" s="491">
        <v>0</v>
      </c>
      <c r="D4960" s="491">
        <v>1</v>
      </c>
      <c r="E4960" s="491">
        <v>0</v>
      </c>
      <c r="F4960" s="491">
        <v>0</v>
      </c>
      <c r="G4960" s="491">
        <f t="shared" si="77"/>
        <v>1</v>
      </c>
    </row>
    <row r="4961" spans="1:7" ht="12.75">
      <c r="A4961" s="134" t="s">
        <v>338</v>
      </c>
      <c r="B4961" s="134">
        <v>171</v>
      </c>
      <c r="C4961" s="491">
        <v>1</v>
      </c>
      <c r="D4961" s="491">
        <v>0</v>
      </c>
      <c r="E4961" s="491">
        <v>0</v>
      </c>
      <c r="F4961" s="491">
        <v>0</v>
      </c>
      <c r="G4961" s="491">
        <f t="shared" si="77"/>
        <v>1</v>
      </c>
    </row>
    <row r="4962" spans="1:7" ht="12.75">
      <c r="A4962" s="134" t="s">
        <v>338</v>
      </c>
      <c r="B4962" s="134">
        <v>290</v>
      </c>
      <c r="C4962" s="491">
        <v>1</v>
      </c>
      <c r="D4962" s="491">
        <v>0</v>
      </c>
      <c r="E4962" s="491">
        <v>0</v>
      </c>
      <c r="F4962" s="491">
        <v>0</v>
      </c>
      <c r="G4962" s="491">
        <f t="shared" si="77"/>
        <v>1</v>
      </c>
    </row>
    <row r="4963" spans="1:7" ht="12.75">
      <c r="A4963" s="134" t="s">
        <v>338</v>
      </c>
      <c r="B4963" s="134">
        <v>400</v>
      </c>
      <c r="C4963" s="491">
        <v>0</v>
      </c>
      <c r="D4963" s="491">
        <v>1</v>
      </c>
      <c r="E4963" s="491">
        <v>0</v>
      </c>
      <c r="F4963" s="491">
        <v>0</v>
      </c>
      <c r="G4963" s="491">
        <f t="shared" si="77"/>
        <v>1</v>
      </c>
    </row>
    <row r="4964" spans="1:7" ht="12.75">
      <c r="A4964" s="134" t="s">
        <v>338</v>
      </c>
      <c r="B4964" s="134">
        <v>420</v>
      </c>
      <c r="C4964" s="491">
        <v>1</v>
      </c>
      <c r="D4964" s="491">
        <v>0</v>
      </c>
      <c r="E4964" s="491">
        <v>0</v>
      </c>
      <c r="F4964" s="491">
        <v>0</v>
      </c>
      <c r="G4964" s="491">
        <f t="shared" si="77"/>
        <v>1</v>
      </c>
    </row>
    <row r="4965" spans="1:7" ht="12.75">
      <c r="A4965" s="134" t="s">
        <v>338</v>
      </c>
      <c r="B4965" s="134">
        <v>654</v>
      </c>
      <c r="C4965" s="491">
        <v>2</v>
      </c>
      <c r="D4965" s="491">
        <v>0</v>
      </c>
      <c r="E4965" s="491">
        <v>0</v>
      </c>
      <c r="F4965" s="491">
        <v>0</v>
      </c>
      <c r="G4965" s="491">
        <f t="shared" si="77"/>
        <v>2</v>
      </c>
    </row>
    <row r="4966" spans="1:7" ht="12.75">
      <c r="A4966" s="134" t="s">
        <v>860</v>
      </c>
      <c r="B4966" s="134">
        <v>100</v>
      </c>
      <c r="C4966" s="491">
        <v>1</v>
      </c>
      <c r="D4966" s="491">
        <v>1</v>
      </c>
      <c r="E4966" s="491">
        <v>0</v>
      </c>
      <c r="F4966" s="491">
        <v>0</v>
      </c>
      <c r="G4966" s="491">
        <f t="shared" si="77"/>
        <v>2</v>
      </c>
    </row>
    <row r="4967" spans="1:7" ht="12.75">
      <c r="A4967" s="134" t="s">
        <v>860</v>
      </c>
      <c r="B4967" s="134">
        <v>104</v>
      </c>
      <c r="C4967" s="491">
        <v>6</v>
      </c>
      <c r="D4967" s="491">
        <v>5</v>
      </c>
      <c r="E4967" s="491">
        <v>0</v>
      </c>
      <c r="F4967" s="491">
        <v>0</v>
      </c>
      <c r="G4967" s="491">
        <f t="shared" si="77"/>
        <v>11</v>
      </c>
    </row>
    <row r="4968" spans="1:7" ht="12.75">
      <c r="A4968" s="134" t="s">
        <v>860</v>
      </c>
      <c r="B4968" s="134">
        <v>105</v>
      </c>
      <c r="C4968" s="491">
        <v>0</v>
      </c>
      <c r="D4968" s="491">
        <v>0</v>
      </c>
      <c r="E4968" s="491">
        <v>1</v>
      </c>
      <c r="F4968" s="491">
        <v>0</v>
      </c>
      <c r="G4968" s="491">
        <f t="shared" si="77"/>
        <v>1</v>
      </c>
    </row>
    <row r="4969" spans="1:7" ht="12.75">
      <c r="A4969" s="134" t="s">
        <v>860</v>
      </c>
      <c r="B4969" s="134">
        <v>106</v>
      </c>
      <c r="C4969" s="491">
        <v>1</v>
      </c>
      <c r="D4969" s="491">
        <v>0</v>
      </c>
      <c r="E4969" s="491">
        <v>0</v>
      </c>
      <c r="F4969" s="491">
        <v>0</v>
      </c>
      <c r="G4969" s="491">
        <f t="shared" si="77"/>
        <v>1</v>
      </c>
    </row>
    <row r="4970" spans="1:7" ht="12.75">
      <c r="A4970" s="134" t="s">
        <v>860</v>
      </c>
      <c r="B4970" s="134">
        <v>110</v>
      </c>
      <c r="C4970" s="491">
        <v>1</v>
      </c>
      <c r="D4970" s="491">
        <v>0</v>
      </c>
      <c r="E4970" s="491">
        <v>0</v>
      </c>
      <c r="F4970" s="491">
        <v>0</v>
      </c>
      <c r="G4970" s="491">
        <f t="shared" si="77"/>
        <v>1</v>
      </c>
    </row>
    <row r="4971" spans="1:7" ht="12.75">
      <c r="A4971" s="134" t="s">
        <v>860</v>
      </c>
      <c r="B4971" s="134">
        <v>343</v>
      </c>
      <c r="C4971" s="491">
        <v>1</v>
      </c>
      <c r="D4971" s="491">
        <v>0</v>
      </c>
      <c r="E4971" s="491">
        <v>0</v>
      </c>
      <c r="F4971" s="491">
        <v>0</v>
      </c>
      <c r="G4971" s="491">
        <f t="shared" si="77"/>
        <v>1</v>
      </c>
    </row>
    <row r="4972" spans="1:7" ht="12.75">
      <c r="A4972" s="134" t="s">
        <v>860</v>
      </c>
      <c r="B4972" s="134">
        <v>370</v>
      </c>
      <c r="C4972" s="491">
        <v>3</v>
      </c>
      <c r="D4972" s="491">
        <v>0</v>
      </c>
      <c r="E4972" s="491">
        <v>0</v>
      </c>
      <c r="F4972" s="491">
        <v>0</v>
      </c>
      <c r="G4972" s="491">
        <f t="shared" si="77"/>
        <v>3</v>
      </c>
    </row>
    <row r="4973" spans="1:7" ht="12.75">
      <c r="A4973" s="134" t="s">
        <v>860</v>
      </c>
      <c r="B4973" s="134">
        <v>800</v>
      </c>
      <c r="C4973" s="491">
        <v>6</v>
      </c>
      <c r="D4973" s="491">
        <v>0</v>
      </c>
      <c r="E4973" s="491">
        <v>1</v>
      </c>
      <c r="F4973" s="491">
        <v>0</v>
      </c>
      <c r="G4973" s="491">
        <f t="shared" si="77"/>
        <v>7</v>
      </c>
    </row>
    <row r="4974" spans="1:7" ht="12.75">
      <c r="A4974" s="134" t="s">
        <v>860</v>
      </c>
      <c r="B4974" s="134">
        <v>811</v>
      </c>
      <c r="C4974" s="491">
        <v>0</v>
      </c>
      <c r="D4974" s="491">
        <v>1</v>
      </c>
      <c r="E4974" s="491">
        <v>0</v>
      </c>
      <c r="F4974" s="491">
        <v>0</v>
      </c>
      <c r="G4974" s="491">
        <f t="shared" si="77"/>
        <v>1</v>
      </c>
    </row>
    <row r="4975" spans="1:7" ht="12.75">
      <c r="A4975" s="134" t="s">
        <v>860</v>
      </c>
      <c r="B4975" s="134">
        <v>812</v>
      </c>
      <c r="C4975" s="491">
        <v>3</v>
      </c>
      <c r="D4975" s="491">
        <v>7</v>
      </c>
      <c r="E4975" s="491">
        <v>0</v>
      </c>
      <c r="F4975" s="491">
        <v>0</v>
      </c>
      <c r="G4975" s="491">
        <f t="shared" si="77"/>
        <v>10</v>
      </c>
    </row>
    <row r="4976" spans="1:7" ht="12.75">
      <c r="A4976" s="134" t="s">
        <v>861</v>
      </c>
      <c r="B4976" s="134">
        <v>100</v>
      </c>
      <c r="C4976" s="491">
        <v>0</v>
      </c>
      <c r="D4976" s="491">
        <v>4</v>
      </c>
      <c r="E4976" s="491">
        <v>1</v>
      </c>
      <c r="F4976" s="491">
        <v>0</v>
      </c>
      <c r="G4976" s="491">
        <f t="shared" si="77"/>
        <v>5</v>
      </c>
    </row>
    <row r="4977" spans="1:7" ht="12.75">
      <c r="A4977" s="134" t="s">
        <v>861</v>
      </c>
      <c r="B4977" s="134">
        <v>105</v>
      </c>
      <c r="C4977" s="491">
        <v>0</v>
      </c>
      <c r="D4977" s="491">
        <v>1</v>
      </c>
      <c r="E4977" s="491">
        <v>0</v>
      </c>
      <c r="F4977" s="491">
        <v>1</v>
      </c>
      <c r="G4977" s="491">
        <f t="shared" si="77"/>
        <v>2</v>
      </c>
    </row>
    <row r="4978" spans="1:7" ht="12.75">
      <c r="A4978" s="134" t="s">
        <v>861</v>
      </c>
      <c r="B4978" s="134">
        <v>315</v>
      </c>
      <c r="C4978" s="491">
        <v>1</v>
      </c>
      <c r="D4978" s="491">
        <v>0</v>
      </c>
      <c r="E4978" s="491">
        <v>0</v>
      </c>
      <c r="F4978" s="491">
        <v>0</v>
      </c>
      <c r="G4978" s="491">
        <f t="shared" si="77"/>
        <v>1</v>
      </c>
    </row>
    <row r="4979" spans="1:7" ht="12.75">
      <c r="A4979" s="134" t="s">
        <v>861</v>
      </c>
      <c r="B4979" s="134">
        <v>370</v>
      </c>
      <c r="C4979" s="491">
        <v>12</v>
      </c>
      <c r="D4979" s="491">
        <v>0</v>
      </c>
      <c r="E4979" s="491">
        <v>0</v>
      </c>
      <c r="F4979" s="491">
        <v>0</v>
      </c>
      <c r="G4979" s="491">
        <f t="shared" si="77"/>
        <v>12</v>
      </c>
    </row>
    <row r="4980" spans="1:7" ht="12.75">
      <c r="A4980" s="134" t="s">
        <v>861</v>
      </c>
      <c r="B4980" s="134">
        <v>811</v>
      </c>
      <c r="C4980" s="491">
        <v>0</v>
      </c>
      <c r="D4980" s="491">
        <v>2</v>
      </c>
      <c r="E4980" s="491">
        <v>0</v>
      </c>
      <c r="F4980" s="491">
        <v>0</v>
      </c>
      <c r="G4980" s="491">
        <f t="shared" si="77"/>
        <v>2</v>
      </c>
    </row>
    <row r="4981" spans="1:7" ht="12.75">
      <c r="A4981" s="134" t="s">
        <v>861</v>
      </c>
      <c r="B4981" s="134">
        <v>812</v>
      </c>
      <c r="C4981" s="491">
        <v>10</v>
      </c>
      <c r="D4981" s="491">
        <v>5</v>
      </c>
      <c r="E4981" s="491">
        <v>0</v>
      </c>
      <c r="F4981" s="491">
        <v>0</v>
      </c>
      <c r="G4981" s="491">
        <f t="shared" si="77"/>
        <v>15</v>
      </c>
    </row>
    <row r="4982" spans="1:7" ht="12.75">
      <c r="A4982" s="134" t="s">
        <v>862</v>
      </c>
      <c r="B4982" s="134">
        <v>105</v>
      </c>
      <c r="C4982" s="491">
        <v>0</v>
      </c>
      <c r="D4982" s="491">
        <v>0</v>
      </c>
      <c r="E4982" s="491">
        <v>1</v>
      </c>
      <c r="F4982" s="491">
        <v>0</v>
      </c>
      <c r="G4982" s="491">
        <f t="shared" si="77"/>
        <v>1</v>
      </c>
    </row>
    <row r="4983" spans="1:7" ht="12.75">
      <c r="A4983" s="134" t="s">
        <v>862</v>
      </c>
      <c r="B4983" s="134">
        <v>340</v>
      </c>
      <c r="C4983" s="491">
        <v>1</v>
      </c>
      <c r="D4983" s="491">
        <v>1</v>
      </c>
      <c r="E4983" s="491">
        <v>0</v>
      </c>
      <c r="F4983" s="491">
        <v>0</v>
      </c>
      <c r="G4983" s="491">
        <f t="shared" si="77"/>
        <v>2</v>
      </c>
    </row>
    <row r="4984" spans="1:7" ht="12.75">
      <c r="A4984" s="134" t="s">
        <v>863</v>
      </c>
      <c r="B4984" s="134">
        <v>110</v>
      </c>
      <c r="C4984" s="491">
        <v>20</v>
      </c>
      <c r="D4984" s="491">
        <v>16</v>
      </c>
      <c r="E4984" s="491">
        <v>1</v>
      </c>
      <c r="F4984" s="491">
        <v>0</v>
      </c>
      <c r="G4984" s="491">
        <f t="shared" si="77"/>
        <v>37</v>
      </c>
    </row>
    <row r="4985" spans="1:7" ht="12.75">
      <c r="A4985" s="134" t="s">
        <v>863</v>
      </c>
      <c r="B4985" s="134">
        <v>120</v>
      </c>
      <c r="C4985" s="491">
        <v>2</v>
      </c>
      <c r="D4985" s="491">
        <v>1</v>
      </c>
      <c r="E4985" s="491">
        <v>0</v>
      </c>
      <c r="F4985" s="491">
        <v>0</v>
      </c>
      <c r="G4985" s="491">
        <f t="shared" si="77"/>
        <v>3</v>
      </c>
    </row>
    <row r="4986" spans="1:7" ht="12.75">
      <c r="A4986" s="134" t="s">
        <v>863</v>
      </c>
      <c r="B4986" s="134">
        <v>140</v>
      </c>
      <c r="C4986" s="491">
        <v>5</v>
      </c>
      <c r="D4986" s="491">
        <v>21</v>
      </c>
      <c r="E4986" s="491">
        <v>0</v>
      </c>
      <c r="F4986" s="491">
        <v>0</v>
      </c>
      <c r="G4986" s="491">
        <f t="shared" si="77"/>
        <v>26</v>
      </c>
    </row>
    <row r="4987" spans="1:7" ht="12.75">
      <c r="A4987" s="134" t="s">
        <v>863</v>
      </c>
      <c r="B4987" s="134">
        <v>141</v>
      </c>
      <c r="C4987" s="491">
        <v>0</v>
      </c>
      <c r="D4987" s="491">
        <v>4</v>
      </c>
      <c r="E4987" s="491">
        <v>0</v>
      </c>
      <c r="F4987" s="491">
        <v>4</v>
      </c>
      <c r="G4987" s="491">
        <f t="shared" si="77"/>
        <v>8</v>
      </c>
    </row>
    <row r="4988" spans="1:7" ht="12.75">
      <c r="A4988" s="134" t="s">
        <v>863</v>
      </c>
      <c r="B4988" s="134">
        <v>142</v>
      </c>
      <c r="C4988" s="491">
        <v>0</v>
      </c>
      <c r="D4988" s="491">
        <v>1</v>
      </c>
      <c r="E4988" s="491">
        <v>0</v>
      </c>
      <c r="F4988" s="491">
        <v>0</v>
      </c>
      <c r="G4988" s="491">
        <f t="shared" si="77"/>
        <v>1</v>
      </c>
    </row>
    <row r="4989" spans="1:7" ht="12.75">
      <c r="A4989" s="134" t="s">
        <v>863</v>
      </c>
      <c r="B4989" s="134">
        <v>143</v>
      </c>
      <c r="C4989" s="491">
        <v>0</v>
      </c>
      <c r="D4989" s="491">
        <v>1</v>
      </c>
      <c r="E4989" s="491">
        <v>0</v>
      </c>
      <c r="F4989" s="491">
        <v>0</v>
      </c>
      <c r="G4989" s="491">
        <f t="shared" si="77"/>
        <v>1</v>
      </c>
    </row>
    <row r="4990" spans="1:7" ht="12.75">
      <c r="A4990" s="134" t="s">
        <v>863</v>
      </c>
      <c r="B4990" s="134">
        <v>144</v>
      </c>
      <c r="C4990" s="491">
        <v>1</v>
      </c>
      <c r="D4990" s="491">
        <v>0</v>
      </c>
      <c r="E4990" s="491">
        <v>0</v>
      </c>
      <c r="F4990" s="491">
        <v>0</v>
      </c>
      <c r="G4990" s="491">
        <f t="shared" si="77"/>
        <v>1</v>
      </c>
    </row>
    <row r="4991" spans="1:7" ht="12.75">
      <c r="A4991" s="134" t="s">
        <v>863</v>
      </c>
      <c r="B4991" s="134">
        <v>214</v>
      </c>
      <c r="C4991" s="491">
        <v>1</v>
      </c>
      <c r="D4991" s="491">
        <v>0</v>
      </c>
      <c r="E4991" s="491">
        <v>0</v>
      </c>
      <c r="F4991" s="491">
        <v>0</v>
      </c>
      <c r="G4991" s="491">
        <f t="shared" si="77"/>
        <v>1</v>
      </c>
    </row>
    <row r="4992" spans="1:7" ht="12.75">
      <c r="A4992" s="134" t="s">
        <v>863</v>
      </c>
      <c r="B4992" s="134">
        <v>290</v>
      </c>
      <c r="C4992" s="491">
        <v>2</v>
      </c>
      <c r="D4992" s="491">
        <v>0</v>
      </c>
      <c r="E4992" s="491">
        <v>0</v>
      </c>
      <c r="F4992" s="491">
        <v>0</v>
      </c>
      <c r="G4992" s="491">
        <f t="shared" si="77"/>
        <v>2</v>
      </c>
    </row>
    <row r="4993" spans="1:7" ht="12.75">
      <c r="A4993" s="134" t="s">
        <v>863</v>
      </c>
      <c r="B4993" s="134">
        <v>301</v>
      </c>
      <c r="C4993" s="491">
        <v>0</v>
      </c>
      <c r="D4993" s="491">
        <v>1</v>
      </c>
      <c r="E4993" s="491">
        <v>0</v>
      </c>
      <c r="F4993" s="491">
        <v>0</v>
      </c>
      <c r="G4993" s="491">
        <f t="shared" si="77"/>
        <v>1</v>
      </c>
    </row>
    <row r="4994" spans="1:7" ht="12.75">
      <c r="A4994" s="134" t="s">
        <v>863</v>
      </c>
      <c r="B4994" s="134">
        <v>340</v>
      </c>
      <c r="C4994" s="491">
        <v>1</v>
      </c>
      <c r="D4994" s="491">
        <v>0</v>
      </c>
      <c r="E4994" s="491">
        <v>0</v>
      </c>
      <c r="F4994" s="491">
        <v>0</v>
      </c>
      <c r="G4994" s="491">
        <f t="shared" si="77"/>
        <v>1</v>
      </c>
    </row>
    <row r="4995" spans="1:7" ht="12.75">
      <c r="A4995" s="134" t="s">
        <v>863</v>
      </c>
      <c r="B4995" s="134">
        <v>361</v>
      </c>
      <c r="C4995" s="491">
        <v>1</v>
      </c>
      <c r="D4995" s="491">
        <v>0</v>
      </c>
      <c r="E4995" s="491">
        <v>0</v>
      </c>
      <c r="F4995" s="491">
        <v>0</v>
      </c>
      <c r="G4995" s="491">
        <f t="shared" si="77"/>
        <v>1</v>
      </c>
    </row>
    <row r="4996" spans="1:7" ht="12.75">
      <c r="A4996" s="134" t="s">
        <v>863</v>
      </c>
      <c r="B4996" s="134">
        <v>501</v>
      </c>
      <c r="C4996" s="491">
        <v>4</v>
      </c>
      <c r="D4996" s="491">
        <v>0</v>
      </c>
      <c r="E4996" s="491">
        <v>0</v>
      </c>
      <c r="F4996" s="491">
        <v>0</v>
      </c>
      <c r="G4996" s="491">
        <f t="shared" ref="G4996:G5059" si="78">SUM(C4996:F4996)</f>
        <v>4</v>
      </c>
    </row>
    <row r="4997" spans="1:7" ht="12.75">
      <c r="A4997" s="134" t="s">
        <v>863</v>
      </c>
      <c r="B4997" s="134">
        <v>800</v>
      </c>
      <c r="C4997" s="491">
        <v>1</v>
      </c>
      <c r="D4997" s="491">
        <v>1</v>
      </c>
      <c r="E4997" s="491">
        <v>1</v>
      </c>
      <c r="F4997" s="491">
        <v>0</v>
      </c>
      <c r="G4997" s="491">
        <f t="shared" si="78"/>
        <v>3</v>
      </c>
    </row>
    <row r="4998" spans="1:7" ht="12.75">
      <c r="A4998" s="134" t="s">
        <v>863</v>
      </c>
      <c r="B4998" s="134">
        <v>812</v>
      </c>
      <c r="C4998" s="491">
        <v>1</v>
      </c>
      <c r="D4998" s="491">
        <v>0</v>
      </c>
      <c r="E4998" s="491">
        <v>0</v>
      </c>
      <c r="F4998" s="491">
        <v>0</v>
      </c>
      <c r="G4998" s="491">
        <f t="shared" si="78"/>
        <v>1</v>
      </c>
    </row>
    <row r="4999" spans="1:7" ht="12.75">
      <c r="A4999" s="134" t="s">
        <v>864</v>
      </c>
      <c r="B4999" s="134">
        <v>100</v>
      </c>
      <c r="C4999" s="491">
        <v>3</v>
      </c>
      <c r="D4999" s="491">
        <v>0</v>
      </c>
      <c r="E4999" s="491">
        <v>0</v>
      </c>
      <c r="F4999" s="491">
        <v>0</v>
      </c>
      <c r="G4999" s="491">
        <f t="shared" si="78"/>
        <v>3</v>
      </c>
    </row>
    <row r="5000" spans="1:7" ht="12.75">
      <c r="A5000" s="134" t="s">
        <v>864</v>
      </c>
      <c r="B5000" s="134">
        <v>105</v>
      </c>
      <c r="C5000" s="491">
        <v>0</v>
      </c>
      <c r="D5000" s="491">
        <v>0</v>
      </c>
      <c r="E5000" s="491">
        <v>1</v>
      </c>
      <c r="F5000" s="491">
        <v>0</v>
      </c>
      <c r="G5000" s="491">
        <f t="shared" si="78"/>
        <v>1</v>
      </c>
    </row>
    <row r="5001" spans="1:7" ht="12.75">
      <c r="A5001" s="134" t="s">
        <v>864</v>
      </c>
      <c r="B5001" s="134">
        <v>301</v>
      </c>
      <c r="C5001" s="491">
        <v>0</v>
      </c>
      <c r="D5001" s="491">
        <v>1</v>
      </c>
      <c r="E5001" s="491">
        <v>0</v>
      </c>
      <c r="F5001" s="491">
        <v>0</v>
      </c>
      <c r="G5001" s="491">
        <f t="shared" si="78"/>
        <v>1</v>
      </c>
    </row>
    <row r="5002" spans="1:7" ht="12.75">
      <c r="A5002" s="134" t="s">
        <v>864</v>
      </c>
      <c r="B5002" s="134">
        <v>330</v>
      </c>
      <c r="C5002" s="491">
        <v>2</v>
      </c>
      <c r="D5002" s="491">
        <v>0</v>
      </c>
      <c r="E5002" s="491">
        <v>0</v>
      </c>
      <c r="F5002" s="491">
        <v>0</v>
      </c>
      <c r="G5002" s="491">
        <f t="shared" si="78"/>
        <v>2</v>
      </c>
    </row>
    <row r="5003" spans="1:7" ht="12.75">
      <c r="A5003" s="134" t="s">
        <v>864</v>
      </c>
      <c r="B5003" s="134">
        <v>811</v>
      </c>
      <c r="C5003" s="491">
        <v>0</v>
      </c>
      <c r="D5003" s="491">
        <v>0</v>
      </c>
      <c r="E5003" s="491">
        <v>0</v>
      </c>
      <c r="F5003" s="491">
        <v>1</v>
      </c>
      <c r="G5003" s="491">
        <f t="shared" si="78"/>
        <v>1</v>
      </c>
    </row>
    <row r="5004" spans="1:7" ht="12.75">
      <c r="A5004" s="134" t="s">
        <v>865</v>
      </c>
      <c r="B5004" s="134">
        <v>100</v>
      </c>
      <c r="C5004" s="491">
        <v>4</v>
      </c>
      <c r="D5004" s="491">
        <v>2</v>
      </c>
      <c r="E5004" s="491">
        <v>0</v>
      </c>
      <c r="F5004" s="491">
        <v>2</v>
      </c>
      <c r="G5004" s="491">
        <f t="shared" si="78"/>
        <v>8</v>
      </c>
    </row>
    <row r="5005" spans="1:7" ht="12.75">
      <c r="A5005" s="134" t="s">
        <v>865</v>
      </c>
      <c r="B5005" s="134">
        <v>104</v>
      </c>
      <c r="C5005" s="491">
        <v>1</v>
      </c>
      <c r="D5005" s="491">
        <v>0</v>
      </c>
      <c r="E5005" s="491">
        <v>0</v>
      </c>
      <c r="F5005" s="491">
        <v>0</v>
      </c>
      <c r="G5005" s="491">
        <f t="shared" si="78"/>
        <v>1</v>
      </c>
    </row>
    <row r="5006" spans="1:7" ht="12.75">
      <c r="A5006" s="134" t="s">
        <v>865</v>
      </c>
      <c r="B5006" s="134">
        <v>105</v>
      </c>
      <c r="C5006" s="491">
        <v>5</v>
      </c>
      <c r="D5006" s="491">
        <v>2</v>
      </c>
      <c r="E5006" s="491">
        <v>0</v>
      </c>
      <c r="F5006" s="491">
        <v>0</v>
      </c>
      <c r="G5006" s="491">
        <f t="shared" si="78"/>
        <v>7</v>
      </c>
    </row>
    <row r="5007" spans="1:7" ht="12.75">
      <c r="A5007" s="134" t="s">
        <v>865</v>
      </c>
      <c r="B5007" s="134">
        <v>110</v>
      </c>
      <c r="C5007" s="491">
        <v>0</v>
      </c>
      <c r="D5007" s="491">
        <v>1</v>
      </c>
      <c r="E5007" s="491">
        <v>0</v>
      </c>
      <c r="F5007" s="491">
        <v>0</v>
      </c>
      <c r="G5007" s="491">
        <f t="shared" si="78"/>
        <v>1</v>
      </c>
    </row>
    <row r="5008" spans="1:7" ht="12.75">
      <c r="A5008" s="134" t="s">
        <v>865</v>
      </c>
      <c r="B5008" s="134">
        <v>120</v>
      </c>
      <c r="C5008" s="491">
        <v>1</v>
      </c>
      <c r="D5008" s="491">
        <v>1</v>
      </c>
      <c r="E5008" s="491">
        <v>0</v>
      </c>
      <c r="F5008" s="491">
        <v>0</v>
      </c>
      <c r="G5008" s="491">
        <f t="shared" si="78"/>
        <v>2</v>
      </c>
    </row>
    <row r="5009" spans="1:7" ht="12.75">
      <c r="A5009" s="134" t="s">
        <v>865</v>
      </c>
      <c r="B5009" s="134">
        <v>215</v>
      </c>
      <c r="C5009" s="491">
        <v>3</v>
      </c>
      <c r="D5009" s="491">
        <v>2</v>
      </c>
      <c r="E5009" s="491">
        <v>0</v>
      </c>
      <c r="F5009" s="491">
        <v>0</v>
      </c>
      <c r="G5009" s="491">
        <f t="shared" si="78"/>
        <v>5</v>
      </c>
    </row>
    <row r="5010" spans="1:7" ht="12.75">
      <c r="A5010" s="134" t="s">
        <v>865</v>
      </c>
      <c r="B5010" s="134">
        <v>301</v>
      </c>
      <c r="C5010" s="491">
        <v>1</v>
      </c>
      <c r="D5010" s="491">
        <v>2</v>
      </c>
      <c r="E5010" s="491">
        <v>0</v>
      </c>
      <c r="F5010" s="491">
        <v>0</v>
      </c>
      <c r="G5010" s="491">
        <f t="shared" si="78"/>
        <v>3</v>
      </c>
    </row>
    <row r="5011" spans="1:7" ht="12.75">
      <c r="A5011" s="134" t="s">
        <v>865</v>
      </c>
      <c r="B5011" s="134">
        <v>330</v>
      </c>
      <c r="C5011" s="491">
        <v>0</v>
      </c>
      <c r="D5011" s="491">
        <v>1</v>
      </c>
      <c r="E5011" s="491">
        <v>0</v>
      </c>
      <c r="F5011" s="491">
        <v>0</v>
      </c>
      <c r="G5011" s="491">
        <f t="shared" si="78"/>
        <v>1</v>
      </c>
    </row>
    <row r="5012" spans="1:7" ht="12.75">
      <c r="A5012" s="134" t="s">
        <v>865</v>
      </c>
      <c r="B5012" s="134">
        <v>350</v>
      </c>
      <c r="C5012" s="491">
        <v>24</v>
      </c>
      <c r="D5012" s="491">
        <v>7</v>
      </c>
      <c r="E5012" s="491">
        <v>0</v>
      </c>
      <c r="F5012" s="491">
        <v>0</v>
      </c>
      <c r="G5012" s="491">
        <f t="shared" si="78"/>
        <v>31</v>
      </c>
    </row>
    <row r="5013" spans="1:7" ht="12.75">
      <c r="A5013" s="134" t="s">
        <v>865</v>
      </c>
      <c r="B5013" s="134">
        <v>501</v>
      </c>
      <c r="C5013" s="491">
        <v>2</v>
      </c>
      <c r="D5013" s="491">
        <v>0</v>
      </c>
      <c r="E5013" s="491">
        <v>0</v>
      </c>
      <c r="F5013" s="491">
        <v>0</v>
      </c>
      <c r="G5013" s="491">
        <f t="shared" si="78"/>
        <v>2</v>
      </c>
    </row>
    <row r="5014" spans="1:7" ht="12.75">
      <c r="A5014" s="134" t="s">
        <v>865</v>
      </c>
      <c r="B5014" s="134">
        <v>502</v>
      </c>
      <c r="C5014" s="491">
        <v>1</v>
      </c>
      <c r="D5014" s="491">
        <v>0</v>
      </c>
      <c r="E5014" s="491">
        <v>0</v>
      </c>
      <c r="F5014" s="491">
        <v>0</v>
      </c>
      <c r="G5014" s="491">
        <f t="shared" si="78"/>
        <v>1</v>
      </c>
    </row>
    <row r="5015" spans="1:7" ht="12.75">
      <c r="A5015" s="134" t="s">
        <v>865</v>
      </c>
      <c r="B5015" s="134">
        <v>650</v>
      </c>
      <c r="C5015" s="491">
        <v>0</v>
      </c>
      <c r="D5015" s="491">
        <v>2</v>
      </c>
      <c r="E5015" s="491">
        <v>0</v>
      </c>
      <c r="F5015" s="491">
        <v>0</v>
      </c>
      <c r="G5015" s="491">
        <f t="shared" si="78"/>
        <v>2</v>
      </c>
    </row>
    <row r="5016" spans="1:7" ht="12.75">
      <c r="A5016" s="134" t="s">
        <v>865</v>
      </c>
      <c r="B5016" s="134">
        <v>811</v>
      </c>
      <c r="C5016" s="491">
        <v>0</v>
      </c>
      <c r="D5016" s="491">
        <v>1</v>
      </c>
      <c r="E5016" s="491">
        <v>0</v>
      </c>
      <c r="F5016" s="491">
        <v>0</v>
      </c>
      <c r="G5016" s="491">
        <f t="shared" si="78"/>
        <v>1</v>
      </c>
    </row>
    <row r="5017" spans="1:7" ht="12.75">
      <c r="A5017" s="134" t="s">
        <v>865</v>
      </c>
      <c r="B5017" s="134">
        <v>812</v>
      </c>
      <c r="C5017" s="491">
        <v>1</v>
      </c>
      <c r="D5017" s="491">
        <v>0</v>
      </c>
      <c r="E5017" s="491">
        <v>0</v>
      </c>
      <c r="F5017" s="491">
        <v>0</v>
      </c>
      <c r="G5017" s="491">
        <f t="shared" si="78"/>
        <v>1</v>
      </c>
    </row>
    <row r="5018" spans="1:7" ht="12.75">
      <c r="A5018" s="134" t="s">
        <v>331</v>
      </c>
      <c r="B5018" s="134">
        <v>420</v>
      </c>
      <c r="C5018" s="491">
        <v>1</v>
      </c>
      <c r="D5018" s="491">
        <v>0</v>
      </c>
      <c r="E5018" s="491">
        <v>1</v>
      </c>
      <c r="F5018" s="491">
        <v>0</v>
      </c>
      <c r="G5018" s="491">
        <f t="shared" si="78"/>
        <v>2</v>
      </c>
    </row>
    <row r="5019" spans="1:7" ht="12.75">
      <c r="A5019" s="134" t="s">
        <v>866</v>
      </c>
      <c r="B5019" s="134">
        <v>100</v>
      </c>
      <c r="C5019" s="491">
        <v>1</v>
      </c>
      <c r="D5019" s="491">
        <v>0</v>
      </c>
      <c r="E5019" s="491">
        <v>0</v>
      </c>
      <c r="F5019" s="491">
        <v>0</v>
      </c>
      <c r="G5019" s="491">
        <f t="shared" si="78"/>
        <v>1</v>
      </c>
    </row>
    <row r="5020" spans="1:7" ht="12.75">
      <c r="A5020" s="134" t="s">
        <v>866</v>
      </c>
      <c r="B5020" s="134">
        <v>105</v>
      </c>
      <c r="C5020" s="491">
        <v>0</v>
      </c>
      <c r="D5020" s="491">
        <v>0</v>
      </c>
      <c r="E5020" s="491">
        <v>2</v>
      </c>
      <c r="F5020" s="491">
        <v>0</v>
      </c>
      <c r="G5020" s="491">
        <f t="shared" si="78"/>
        <v>2</v>
      </c>
    </row>
    <row r="5021" spans="1:7" ht="12.75">
      <c r="A5021" s="134" t="s">
        <v>867</v>
      </c>
      <c r="B5021" s="134">
        <v>100</v>
      </c>
      <c r="C5021" s="491">
        <v>1</v>
      </c>
      <c r="D5021" s="491">
        <v>0</v>
      </c>
      <c r="E5021" s="491">
        <v>0</v>
      </c>
      <c r="F5021" s="491">
        <v>0</v>
      </c>
      <c r="G5021" s="491">
        <f t="shared" si="78"/>
        <v>1</v>
      </c>
    </row>
    <row r="5022" spans="1:7" ht="12.75">
      <c r="A5022" s="134" t="s">
        <v>867</v>
      </c>
      <c r="B5022" s="134">
        <v>103</v>
      </c>
      <c r="C5022" s="491">
        <v>0</v>
      </c>
      <c r="D5022" s="491">
        <v>1</v>
      </c>
      <c r="E5022" s="491">
        <v>0</v>
      </c>
      <c r="F5022" s="491">
        <v>0</v>
      </c>
      <c r="G5022" s="491">
        <f t="shared" si="78"/>
        <v>1</v>
      </c>
    </row>
    <row r="5023" spans="1:7" ht="12.75">
      <c r="A5023" s="134" t="s">
        <v>867</v>
      </c>
      <c r="B5023" s="134">
        <v>110</v>
      </c>
      <c r="C5023" s="491">
        <v>0</v>
      </c>
      <c r="D5023" s="491">
        <v>1</v>
      </c>
      <c r="E5023" s="491">
        <v>0</v>
      </c>
      <c r="F5023" s="491">
        <v>0</v>
      </c>
      <c r="G5023" s="491">
        <f t="shared" si="78"/>
        <v>1</v>
      </c>
    </row>
    <row r="5024" spans="1:7" ht="12.75">
      <c r="A5024" s="134" t="s">
        <v>867</v>
      </c>
      <c r="B5024" s="134">
        <v>300</v>
      </c>
      <c r="C5024" s="491">
        <v>0</v>
      </c>
      <c r="D5024" s="491">
        <v>1</v>
      </c>
      <c r="E5024" s="491">
        <v>0</v>
      </c>
      <c r="F5024" s="491">
        <v>0</v>
      </c>
      <c r="G5024" s="491">
        <f t="shared" si="78"/>
        <v>1</v>
      </c>
    </row>
    <row r="5025" spans="1:7" ht="12.75">
      <c r="A5025" s="134" t="s">
        <v>867</v>
      </c>
      <c r="B5025" s="134">
        <v>340</v>
      </c>
      <c r="C5025" s="491">
        <v>0</v>
      </c>
      <c r="D5025" s="491">
        <v>3</v>
      </c>
      <c r="E5025" s="491">
        <v>0</v>
      </c>
      <c r="F5025" s="491">
        <v>0</v>
      </c>
      <c r="G5025" s="491">
        <f t="shared" si="78"/>
        <v>3</v>
      </c>
    </row>
    <row r="5026" spans="1:7" ht="12.75">
      <c r="A5026" s="134" t="s">
        <v>867</v>
      </c>
      <c r="B5026" s="134">
        <v>501</v>
      </c>
      <c r="C5026" s="491">
        <v>4</v>
      </c>
      <c r="D5026" s="491">
        <v>0</v>
      </c>
      <c r="E5026" s="491">
        <v>0</v>
      </c>
      <c r="F5026" s="491">
        <v>0</v>
      </c>
      <c r="G5026" s="491">
        <f t="shared" si="78"/>
        <v>4</v>
      </c>
    </row>
    <row r="5027" spans="1:7" ht="12.75">
      <c r="A5027" s="134" t="s">
        <v>117</v>
      </c>
      <c r="B5027" s="134">
        <v>100</v>
      </c>
      <c r="C5027" s="491">
        <v>32</v>
      </c>
      <c r="D5027" s="491">
        <v>22</v>
      </c>
      <c r="E5027" s="491">
        <v>1</v>
      </c>
      <c r="F5027" s="491">
        <v>1</v>
      </c>
      <c r="G5027" s="491">
        <f t="shared" si="78"/>
        <v>56</v>
      </c>
    </row>
    <row r="5028" spans="1:7" ht="12.75">
      <c r="A5028" s="134" t="s">
        <v>117</v>
      </c>
      <c r="B5028" s="134">
        <v>101</v>
      </c>
      <c r="C5028" s="491">
        <v>2</v>
      </c>
      <c r="D5028" s="491">
        <v>0</v>
      </c>
      <c r="E5028" s="491">
        <v>0</v>
      </c>
      <c r="F5028" s="491">
        <v>0</v>
      </c>
      <c r="G5028" s="491">
        <f t="shared" si="78"/>
        <v>2</v>
      </c>
    </row>
    <row r="5029" spans="1:7" ht="12.75">
      <c r="A5029" s="134" t="s">
        <v>117</v>
      </c>
      <c r="B5029" s="134">
        <v>104</v>
      </c>
      <c r="C5029" s="491">
        <v>1</v>
      </c>
      <c r="D5029" s="491">
        <v>0</v>
      </c>
      <c r="E5029" s="491">
        <v>0</v>
      </c>
      <c r="F5029" s="491">
        <v>0</v>
      </c>
      <c r="G5029" s="491">
        <f t="shared" si="78"/>
        <v>1</v>
      </c>
    </row>
    <row r="5030" spans="1:7" ht="12.75">
      <c r="A5030" s="134" t="s">
        <v>117</v>
      </c>
      <c r="B5030" s="134">
        <v>106</v>
      </c>
      <c r="C5030" s="491">
        <v>1</v>
      </c>
      <c r="D5030" s="491">
        <v>1</v>
      </c>
      <c r="E5030" s="491">
        <v>0</v>
      </c>
      <c r="F5030" s="491">
        <v>0</v>
      </c>
      <c r="G5030" s="491">
        <f t="shared" si="78"/>
        <v>2</v>
      </c>
    </row>
    <row r="5031" spans="1:7" ht="12.75">
      <c r="A5031" s="134" t="s">
        <v>117</v>
      </c>
      <c r="B5031" s="134">
        <v>120</v>
      </c>
      <c r="C5031" s="491">
        <v>0</v>
      </c>
      <c r="D5031" s="491">
        <v>2</v>
      </c>
      <c r="E5031" s="491">
        <v>0</v>
      </c>
      <c r="F5031" s="491">
        <v>0</v>
      </c>
      <c r="G5031" s="491">
        <f t="shared" si="78"/>
        <v>2</v>
      </c>
    </row>
    <row r="5032" spans="1:7" ht="12.75">
      <c r="A5032" s="134" t="s">
        <v>117</v>
      </c>
      <c r="B5032" s="134">
        <v>301</v>
      </c>
      <c r="C5032" s="491">
        <v>1</v>
      </c>
      <c r="D5032" s="491">
        <v>0</v>
      </c>
      <c r="E5032" s="491">
        <v>0</v>
      </c>
      <c r="F5032" s="491">
        <v>0</v>
      </c>
      <c r="G5032" s="491">
        <f t="shared" si="78"/>
        <v>1</v>
      </c>
    </row>
    <row r="5033" spans="1:7" ht="12.75">
      <c r="A5033" s="134" t="s">
        <v>117</v>
      </c>
      <c r="B5033" s="134">
        <v>320</v>
      </c>
      <c r="C5033" s="491">
        <v>1</v>
      </c>
      <c r="D5033" s="491">
        <v>1</v>
      </c>
      <c r="E5033" s="491">
        <v>0</v>
      </c>
      <c r="F5033" s="491">
        <v>0</v>
      </c>
      <c r="G5033" s="491">
        <f t="shared" si="78"/>
        <v>2</v>
      </c>
    </row>
    <row r="5034" spans="1:7" ht="12.75">
      <c r="A5034" s="134" t="s">
        <v>117</v>
      </c>
      <c r="B5034" s="134">
        <v>321</v>
      </c>
      <c r="C5034" s="491">
        <v>2</v>
      </c>
      <c r="D5034" s="491">
        <v>0</v>
      </c>
      <c r="E5034" s="491">
        <v>0</v>
      </c>
      <c r="F5034" s="491">
        <v>0</v>
      </c>
      <c r="G5034" s="491">
        <f t="shared" si="78"/>
        <v>2</v>
      </c>
    </row>
    <row r="5035" spans="1:7" ht="12.75">
      <c r="A5035" s="134" t="s">
        <v>117</v>
      </c>
      <c r="B5035" s="134">
        <v>501</v>
      </c>
      <c r="C5035" s="491">
        <v>4</v>
      </c>
      <c r="D5035" s="491">
        <v>0</v>
      </c>
      <c r="E5035" s="491">
        <v>0</v>
      </c>
      <c r="F5035" s="491">
        <v>0</v>
      </c>
      <c r="G5035" s="491">
        <f t="shared" si="78"/>
        <v>4</v>
      </c>
    </row>
    <row r="5036" spans="1:7" ht="12.75">
      <c r="A5036" s="134" t="s">
        <v>117</v>
      </c>
      <c r="B5036" s="134">
        <v>502</v>
      </c>
      <c r="C5036" s="491">
        <v>1</v>
      </c>
      <c r="D5036" s="491">
        <v>0</v>
      </c>
      <c r="E5036" s="491">
        <v>0</v>
      </c>
      <c r="F5036" s="491">
        <v>0</v>
      </c>
      <c r="G5036" s="491">
        <f t="shared" si="78"/>
        <v>1</v>
      </c>
    </row>
    <row r="5037" spans="1:7" ht="12.75">
      <c r="A5037" s="134" t="s">
        <v>117</v>
      </c>
      <c r="B5037" s="134">
        <v>811</v>
      </c>
      <c r="C5037" s="491">
        <v>1</v>
      </c>
      <c r="D5037" s="491">
        <v>0</v>
      </c>
      <c r="E5037" s="491">
        <v>0</v>
      </c>
      <c r="F5037" s="491">
        <v>0</v>
      </c>
      <c r="G5037" s="491">
        <f t="shared" si="78"/>
        <v>1</v>
      </c>
    </row>
    <row r="5038" spans="1:7" ht="12.75">
      <c r="A5038" s="134" t="s">
        <v>117</v>
      </c>
      <c r="B5038" s="134">
        <v>812</v>
      </c>
      <c r="C5038" s="491">
        <v>8</v>
      </c>
      <c r="D5038" s="491">
        <v>3</v>
      </c>
      <c r="E5038" s="491">
        <v>0</v>
      </c>
      <c r="F5038" s="491">
        <v>0</v>
      </c>
      <c r="G5038" s="491">
        <f t="shared" si="78"/>
        <v>11</v>
      </c>
    </row>
    <row r="5039" spans="1:7" ht="12.75">
      <c r="A5039" s="134" t="s">
        <v>868</v>
      </c>
      <c r="B5039" s="134">
        <v>100</v>
      </c>
      <c r="C5039" s="491">
        <v>0</v>
      </c>
      <c r="D5039" s="491">
        <v>0</v>
      </c>
      <c r="E5039" s="491">
        <v>1</v>
      </c>
      <c r="F5039" s="491">
        <v>1</v>
      </c>
      <c r="G5039" s="491">
        <f t="shared" si="78"/>
        <v>2</v>
      </c>
    </row>
    <row r="5040" spans="1:7" ht="12.75">
      <c r="A5040" s="134" t="s">
        <v>868</v>
      </c>
      <c r="B5040" s="134">
        <v>101</v>
      </c>
      <c r="C5040" s="491">
        <v>0</v>
      </c>
      <c r="D5040" s="491">
        <v>1</v>
      </c>
      <c r="E5040" s="491">
        <v>0</v>
      </c>
      <c r="F5040" s="491">
        <v>0</v>
      </c>
      <c r="G5040" s="491">
        <f t="shared" si="78"/>
        <v>1</v>
      </c>
    </row>
    <row r="5041" spans="1:7" ht="12.75">
      <c r="A5041" s="134" t="s">
        <v>868</v>
      </c>
      <c r="B5041" s="134">
        <v>104</v>
      </c>
      <c r="C5041" s="491">
        <v>1</v>
      </c>
      <c r="D5041" s="491">
        <v>0</v>
      </c>
      <c r="E5041" s="491">
        <v>0</v>
      </c>
      <c r="F5041" s="491">
        <v>0</v>
      </c>
      <c r="G5041" s="491">
        <f t="shared" si="78"/>
        <v>1</v>
      </c>
    </row>
    <row r="5042" spans="1:7" ht="12.75">
      <c r="A5042" s="134" t="s">
        <v>868</v>
      </c>
      <c r="B5042" s="134">
        <v>120</v>
      </c>
      <c r="C5042" s="491">
        <v>0</v>
      </c>
      <c r="D5042" s="491">
        <v>1</v>
      </c>
      <c r="E5042" s="491">
        <v>0</v>
      </c>
      <c r="F5042" s="491">
        <v>0</v>
      </c>
      <c r="G5042" s="491">
        <f t="shared" si="78"/>
        <v>1</v>
      </c>
    </row>
    <row r="5043" spans="1:7" ht="12.75">
      <c r="A5043" s="134" t="s">
        <v>868</v>
      </c>
      <c r="B5043" s="134">
        <v>301</v>
      </c>
      <c r="C5043" s="491">
        <v>1</v>
      </c>
      <c r="D5043" s="491">
        <v>0</v>
      </c>
      <c r="E5043" s="491">
        <v>0</v>
      </c>
      <c r="F5043" s="491">
        <v>0</v>
      </c>
      <c r="G5043" s="491">
        <f t="shared" si="78"/>
        <v>1</v>
      </c>
    </row>
    <row r="5044" spans="1:7" ht="12.75">
      <c r="A5044" s="134" t="s">
        <v>868</v>
      </c>
      <c r="B5044" s="134">
        <v>370</v>
      </c>
      <c r="C5044" s="491">
        <v>2</v>
      </c>
      <c r="D5044" s="491">
        <v>0</v>
      </c>
      <c r="E5044" s="491">
        <v>0</v>
      </c>
      <c r="F5044" s="491">
        <v>0</v>
      </c>
      <c r="G5044" s="491">
        <f t="shared" si="78"/>
        <v>2</v>
      </c>
    </row>
    <row r="5045" spans="1:7" ht="12.75">
      <c r="A5045" s="134" t="s">
        <v>868</v>
      </c>
      <c r="B5045" s="134">
        <v>800</v>
      </c>
      <c r="C5045" s="491">
        <v>2</v>
      </c>
      <c r="D5045" s="491">
        <v>0</v>
      </c>
      <c r="E5045" s="491">
        <v>0</v>
      </c>
      <c r="F5045" s="491">
        <v>0</v>
      </c>
      <c r="G5045" s="491">
        <f t="shared" si="78"/>
        <v>2</v>
      </c>
    </row>
    <row r="5046" spans="1:7" ht="12.75">
      <c r="A5046" s="134" t="s">
        <v>868</v>
      </c>
      <c r="B5046" s="134">
        <v>811</v>
      </c>
      <c r="C5046" s="491">
        <v>1</v>
      </c>
      <c r="D5046" s="491">
        <v>0</v>
      </c>
      <c r="E5046" s="491">
        <v>0</v>
      </c>
      <c r="F5046" s="491">
        <v>0</v>
      </c>
      <c r="G5046" s="491">
        <f t="shared" si="78"/>
        <v>1</v>
      </c>
    </row>
    <row r="5047" spans="1:7" ht="12.75">
      <c r="A5047" s="134" t="s">
        <v>868</v>
      </c>
      <c r="B5047" s="134">
        <v>812</v>
      </c>
      <c r="C5047" s="491">
        <v>90</v>
      </c>
      <c r="D5047" s="491">
        <v>1</v>
      </c>
      <c r="E5047" s="491">
        <v>0</v>
      </c>
      <c r="F5047" s="491">
        <v>0</v>
      </c>
      <c r="G5047" s="491">
        <f t="shared" si="78"/>
        <v>91</v>
      </c>
    </row>
    <row r="5048" spans="1:7" ht="12.75">
      <c r="A5048" s="134" t="s">
        <v>869</v>
      </c>
      <c r="B5048" s="134">
        <v>120</v>
      </c>
      <c r="C5048" s="491">
        <v>0</v>
      </c>
      <c r="D5048" s="491">
        <v>1</v>
      </c>
      <c r="E5048" s="491">
        <v>0</v>
      </c>
      <c r="F5048" s="491">
        <v>0</v>
      </c>
      <c r="G5048" s="491">
        <f t="shared" si="78"/>
        <v>1</v>
      </c>
    </row>
    <row r="5049" spans="1:7" ht="12.75">
      <c r="A5049" s="134" t="s">
        <v>869</v>
      </c>
      <c r="B5049" s="134">
        <v>370</v>
      </c>
      <c r="C5049" s="491">
        <v>27</v>
      </c>
      <c r="D5049" s="491">
        <v>0</v>
      </c>
      <c r="E5049" s="491">
        <v>0</v>
      </c>
      <c r="F5049" s="491">
        <v>0</v>
      </c>
      <c r="G5049" s="491">
        <f t="shared" si="78"/>
        <v>27</v>
      </c>
    </row>
    <row r="5050" spans="1:7" ht="12.75">
      <c r="A5050" s="134" t="s">
        <v>869</v>
      </c>
      <c r="B5050" s="134">
        <v>371</v>
      </c>
      <c r="C5050" s="491">
        <v>7</v>
      </c>
      <c r="D5050" s="491">
        <v>0</v>
      </c>
      <c r="E5050" s="491">
        <v>0</v>
      </c>
      <c r="F5050" s="491">
        <v>0</v>
      </c>
      <c r="G5050" s="491">
        <f t="shared" si="78"/>
        <v>7</v>
      </c>
    </row>
    <row r="5051" spans="1:7" ht="12.75">
      <c r="A5051" s="134" t="s">
        <v>869</v>
      </c>
      <c r="B5051" s="134">
        <v>800</v>
      </c>
      <c r="C5051" s="491">
        <v>2</v>
      </c>
      <c r="D5051" s="491">
        <v>0</v>
      </c>
      <c r="E5051" s="491">
        <v>0</v>
      </c>
      <c r="F5051" s="491">
        <v>0</v>
      </c>
      <c r="G5051" s="491">
        <f t="shared" si="78"/>
        <v>2</v>
      </c>
    </row>
    <row r="5052" spans="1:7" ht="12.75">
      <c r="A5052" s="134" t="s">
        <v>869</v>
      </c>
      <c r="B5052" s="134">
        <v>812</v>
      </c>
      <c r="C5052" s="491">
        <v>10</v>
      </c>
      <c r="D5052" s="491">
        <v>8</v>
      </c>
      <c r="E5052" s="491">
        <v>0</v>
      </c>
      <c r="F5052" s="491">
        <v>0</v>
      </c>
      <c r="G5052" s="491">
        <f t="shared" si="78"/>
        <v>18</v>
      </c>
    </row>
    <row r="5053" spans="1:7" ht="12.75">
      <c r="A5053" s="134" t="s">
        <v>870</v>
      </c>
      <c r="B5053" s="134">
        <v>100</v>
      </c>
      <c r="C5053" s="491">
        <v>4</v>
      </c>
      <c r="D5053" s="491">
        <v>0</v>
      </c>
      <c r="E5053" s="491">
        <v>1</v>
      </c>
      <c r="F5053" s="491">
        <v>0</v>
      </c>
      <c r="G5053" s="491">
        <f t="shared" si="78"/>
        <v>5</v>
      </c>
    </row>
    <row r="5054" spans="1:7" ht="12.75">
      <c r="A5054" s="134" t="s">
        <v>870</v>
      </c>
      <c r="B5054" s="134">
        <v>107</v>
      </c>
      <c r="C5054" s="491">
        <v>0</v>
      </c>
      <c r="D5054" s="491">
        <v>1</v>
      </c>
      <c r="E5054" s="491">
        <v>0</v>
      </c>
      <c r="F5054" s="491">
        <v>0</v>
      </c>
      <c r="G5054" s="491">
        <f t="shared" si="78"/>
        <v>1</v>
      </c>
    </row>
    <row r="5055" spans="1:7" ht="12.75">
      <c r="A5055" s="134" t="s">
        <v>870</v>
      </c>
      <c r="B5055" s="134">
        <v>143</v>
      </c>
      <c r="C5055" s="491">
        <v>2</v>
      </c>
      <c r="D5055" s="491">
        <v>0</v>
      </c>
      <c r="E5055" s="491">
        <v>0</v>
      </c>
      <c r="F5055" s="491">
        <v>0</v>
      </c>
      <c r="G5055" s="491">
        <f t="shared" si="78"/>
        <v>2</v>
      </c>
    </row>
    <row r="5056" spans="1:7" ht="12.75">
      <c r="A5056" s="134" t="s">
        <v>870</v>
      </c>
      <c r="B5056" s="134">
        <v>300</v>
      </c>
      <c r="C5056" s="491">
        <v>1</v>
      </c>
      <c r="D5056" s="491">
        <v>0</v>
      </c>
      <c r="E5056" s="491">
        <v>0</v>
      </c>
      <c r="F5056" s="491">
        <v>0</v>
      </c>
      <c r="G5056" s="491">
        <f t="shared" si="78"/>
        <v>1</v>
      </c>
    </row>
    <row r="5057" spans="1:7" ht="12.75">
      <c r="A5057" s="134" t="s">
        <v>870</v>
      </c>
      <c r="B5057" s="134">
        <v>301</v>
      </c>
      <c r="C5057" s="491">
        <v>32</v>
      </c>
      <c r="D5057" s="491">
        <v>9</v>
      </c>
      <c r="E5057" s="491">
        <v>0</v>
      </c>
      <c r="F5057" s="491">
        <v>0</v>
      </c>
      <c r="G5057" s="491">
        <f t="shared" si="78"/>
        <v>41</v>
      </c>
    </row>
    <row r="5058" spans="1:7" ht="12.75">
      <c r="A5058" s="134" t="s">
        <v>870</v>
      </c>
      <c r="B5058" s="134">
        <v>340</v>
      </c>
      <c r="C5058" s="491">
        <v>0</v>
      </c>
      <c r="D5058" s="491">
        <v>1</v>
      </c>
      <c r="E5058" s="491">
        <v>0</v>
      </c>
      <c r="F5058" s="491">
        <v>0</v>
      </c>
      <c r="G5058" s="491">
        <f t="shared" si="78"/>
        <v>1</v>
      </c>
    </row>
    <row r="5059" spans="1:7" ht="12.75">
      <c r="A5059" s="134" t="s">
        <v>870</v>
      </c>
      <c r="B5059" s="134">
        <v>812</v>
      </c>
      <c r="C5059" s="491">
        <v>11</v>
      </c>
      <c r="D5059" s="491">
        <v>4</v>
      </c>
      <c r="E5059" s="491">
        <v>0</v>
      </c>
      <c r="F5059" s="491">
        <v>0</v>
      </c>
      <c r="G5059" s="491">
        <f t="shared" si="78"/>
        <v>15</v>
      </c>
    </row>
    <row r="5060" spans="1:7" ht="12.75">
      <c r="A5060" s="134" t="s">
        <v>353</v>
      </c>
      <c r="B5060" s="134">
        <v>100</v>
      </c>
      <c r="C5060" s="491">
        <v>11</v>
      </c>
      <c r="D5060" s="491">
        <v>7</v>
      </c>
      <c r="E5060" s="491">
        <v>6</v>
      </c>
      <c r="F5060" s="491">
        <v>3</v>
      </c>
      <c r="G5060" s="491">
        <f t="shared" ref="G5060:G5123" si="79">SUM(C5060:F5060)</f>
        <v>27</v>
      </c>
    </row>
    <row r="5061" spans="1:7" ht="12.75">
      <c r="A5061" s="134" t="s">
        <v>353</v>
      </c>
      <c r="B5061" s="134">
        <v>101</v>
      </c>
      <c r="C5061" s="491">
        <v>0</v>
      </c>
      <c r="D5061" s="491">
        <v>1</v>
      </c>
      <c r="E5061" s="491">
        <v>0</v>
      </c>
      <c r="F5061" s="491">
        <v>0</v>
      </c>
      <c r="G5061" s="491">
        <f t="shared" si="79"/>
        <v>1</v>
      </c>
    </row>
    <row r="5062" spans="1:7" ht="12.75">
      <c r="A5062" s="134" t="s">
        <v>353</v>
      </c>
      <c r="B5062" s="134">
        <v>103</v>
      </c>
      <c r="C5062" s="491">
        <v>27</v>
      </c>
      <c r="D5062" s="491">
        <v>1</v>
      </c>
      <c r="E5062" s="491">
        <v>1</v>
      </c>
      <c r="F5062" s="491">
        <v>0</v>
      </c>
      <c r="G5062" s="491">
        <f t="shared" si="79"/>
        <v>29</v>
      </c>
    </row>
    <row r="5063" spans="1:7" ht="12.75">
      <c r="A5063" s="134" t="s">
        <v>353</v>
      </c>
      <c r="B5063" s="134">
        <v>104</v>
      </c>
      <c r="C5063" s="491">
        <v>3</v>
      </c>
      <c r="D5063" s="491">
        <v>5</v>
      </c>
      <c r="E5063" s="491">
        <v>0</v>
      </c>
      <c r="F5063" s="491">
        <v>1</v>
      </c>
      <c r="G5063" s="491">
        <f t="shared" si="79"/>
        <v>9</v>
      </c>
    </row>
    <row r="5064" spans="1:7" ht="12.75">
      <c r="A5064" s="134" t="s">
        <v>353</v>
      </c>
      <c r="B5064" s="134">
        <v>106</v>
      </c>
      <c r="C5064" s="491">
        <v>2</v>
      </c>
      <c r="D5064" s="491">
        <v>0</v>
      </c>
      <c r="E5064" s="491">
        <v>0</v>
      </c>
      <c r="F5064" s="491">
        <v>0</v>
      </c>
      <c r="G5064" s="491">
        <f t="shared" si="79"/>
        <v>2</v>
      </c>
    </row>
    <row r="5065" spans="1:7" ht="12.75">
      <c r="A5065" s="134" t="s">
        <v>353</v>
      </c>
      <c r="B5065" s="134">
        <v>120</v>
      </c>
      <c r="C5065" s="491">
        <v>1</v>
      </c>
      <c r="D5065" s="491">
        <v>0</v>
      </c>
      <c r="E5065" s="491">
        <v>0</v>
      </c>
      <c r="F5065" s="491">
        <v>0</v>
      </c>
      <c r="G5065" s="491">
        <f t="shared" si="79"/>
        <v>1</v>
      </c>
    </row>
    <row r="5066" spans="1:7" ht="12.75">
      <c r="A5066" s="134" t="s">
        <v>353</v>
      </c>
      <c r="B5066" s="134">
        <v>300</v>
      </c>
      <c r="C5066" s="491">
        <v>1</v>
      </c>
      <c r="D5066" s="491">
        <v>2</v>
      </c>
      <c r="E5066" s="491">
        <v>0</v>
      </c>
      <c r="F5066" s="491">
        <v>0</v>
      </c>
      <c r="G5066" s="491">
        <f t="shared" si="79"/>
        <v>3</v>
      </c>
    </row>
    <row r="5067" spans="1:7" ht="12.75">
      <c r="A5067" s="134" t="s">
        <v>353</v>
      </c>
      <c r="B5067" s="134">
        <v>301</v>
      </c>
      <c r="C5067" s="491">
        <v>107</v>
      </c>
      <c r="D5067" s="491">
        <v>43</v>
      </c>
      <c r="E5067" s="491">
        <v>0</v>
      </c>
      <c r="F5067" s="491">
        <v>0</v>
      </c>
      <c r="G5067" s="491">
        <f t="shared" si="79"/>
        <v>150</v>
      </c>
    </row>
    <row r="5068" spans="1:7" ht="12.75">
      <c r="A5068" s="134" t="s">
        <v>353</v>
      </c>
      <c r="B5068" s="134">
        <v>303</v>
      </c>
      <c r="C5068" s="491">
        <v>4</v>
      </c>
      <c r="D5068" s="491">
        <v>0</v>
      </c>
      <c r="E5068" s="491">
        <v>1</v>
      </c>
      <c r="F5068" s="491">
        <v>0</v>
      </c>
      <c r="G5068" s="491">
        <f t="shared" si="79"/>
        <v>5</v>
      </c>
    </row>
    <row r="5069" spans="1:7" ht="12.75">
      <c r="A5069" s="134" t="s">
        <v>353</v>
      </c>
      <c r="B5069" s="134">
        <v>305</v>
      </c>
      <c r="C5069" s="491">
        <v>1</v>
      </c>
      <c r="D5069" s="491">
        <v>0</v>
      </c>
      <c r="E5069" s="491">
        <v>0</v>
      </c>
      <c r="F5069" s="491">
        <v>0</v>
      </c>
      <c r="G5069" s="491">
        <f t="shared" si="79"/>
        <v>1</v>
      </c>
    </row>
    <row r="5070" spans="1:7" ht="12.75">
      <c r="A5070" s="134" t="s">
        <v>353</v>
      </c>
      <c r="B5070" s="134">
        <v>306</v>
      </c>
      <c r="C5070" s="491">
        <v>17</v>
      </c>
      <c r="D5070" s="491">
        <v>5</v>
      </c>
      <c r="E5070" s="491">
        <v>0</v>
      </c>
      <c r="F5070" s="491">
        <v>0</v>
      </c>
      <c r="G5070" s="491">
        <f t="shared" si="79"/>
        <v>22</v>
      </c>
    </row>
    <row r="5071" spans="1:7" ht="12.75">
      <c r="A5071" s="134" t="s">
        <v>353</v>
      </c>
      <c r="B5071" s="134">
        <v>307</v>
      </c>
      <c r="C5071" s="491">
        <v>2</v>
      </c>
      <c r="D5071" s="491">
        <v>0</v>
      </c>
      <c r="E5071" s="491">
        <v>0</v>
      </c>
      <c r="F5071" s="491">
        <v>0</v>
      </c>
      <c r="G5071" s="491">
        <f t="shared" si="79"/>
        <v>2</v>
      </c>
    </row>
    <row r="5072" spans="1:7" ht="12.75">
      <c r="A5072" s="134" t="s">
        <v>353</v>
      </c>
      <c r="B5072" s="134">
        <v>320</v>
      </c>
      <c r="C5072" s="491">
        <v>0</v>
      </c>
      <c r="D5072" s="491">
        <v>1</v>
      </c>
      <c r="E5072" s="491">
        <v>0</v>
      </c>
      <c r="F5072" s="491">
        <v>0</v>
      </c>
      <c r="G5072" s="491">
        <f t="shared" si="79"/>
        <v>1</v>
      </c>
    </row>
    <row r="5073" spans="1:7" ht="12.75">
      <c r="A5073" s="134" t="s">
        <v>353</v>
      </c>
      <c r="B5073" s="134">
        <v>330</v>
      </c>
      <c r="C5073" s="491">
        <v>3</v>
      </c>
      <c r="D5073" s="491">
        <v>2</v>
      </c>
      <c r="E5073" s="491">
        <v>0</v>
      </c>
      <c r="F5073" s="491">
        <v>0</v>
      </c>
      <c r="G5073" s="491">
        <f t="shared" si="79"/>
        <v>5</v>
      </c>
    </row>
    <row r="5074" spans="1:7" ht="12.75">
      <c r="A5074" s="134" t="s">
        <v>353</v>
      </c>
      <c r="B5074" s="134">
        <v>340</v>
      </c>
      <c r="C5074" s="491">
        <v>6</v>
      </c>
      <c r="D5074" s="491">
        <v>6</v>
      </c>
      <c r="E5074" s="491">
        <v>0</v>
      </c>
      <c r="F5074" s="491">
        <v>0</v>
      </c>
      <c r="G5074" s="491">
        <f t="shared" si="79"/>
        <v>12</v>
      </c>
    </row>
    <row r="5075" spans="1:7" ht="12.75">
      <c r="A5075" s="134" t="s">
        <v>353</v>
      </c>
      <c r="B5075" s="134">
        <v>350</v>
      </c>
      <c r="C5075" s="491">
        <v>8</v>
      </c>
      <c r="D5075" s="491">
        <v>0</v>
      </c>
      <c r="E5075" s="491">
        <v>0</v>
      </c>
      <c r="F5075" s="491">
        <v>0</v>
      </c>
      <c r="G5075" s="491">
        <f t="shared" si="79"/>
        <v>8</v>
      </c>
    </row>
    <row r="5076" spans="1:7" ht="12.75">
      <c r="A5076" s="134" t="s">
        <v>353</v>
      </c>
      <c r="B5076" s="134">
        <v>370</v>
      </c>
      <c r="C5076" s="491">
        <v>48</v>
      </c>
      <c r="D5076" s="491">
        <v>3</v>
      </c>
      <c r="E5076" s="491">
        <v>0</v>
      </c>
      <c r="F5076" s="491">
        <v>0</v>
      </c>
      <c r="G5076" s="491">
        <f t="shared" si="79"/>
        <v>51</v>
      </c>
    </row>
    <row r="5077" spans="1:7" ht="12.75">
      <c r="A5077" s="134" t="s">
        <v>353</v>
      </c>
      <c r="B5077" s="134">
        <v>430</v>
      </c>
      <c r="C5077" s="491">
        <v>2</v>
      </c>
      <c r="D5077" s="491">
        <v>0</v>
      </c>
      <c r="E5077" s="491">
        <v>0</v>
      </c>
      <c r="F5077" s="491">
        <v>0</v>
      </c>
      <c r="G5077" s="491">
        <f t="shared" si="79"/>
        <v>2</v>
      </c>
    </row>
    <row r="5078" spans="1:7" ht="12.75">
      <c r="A5078" s="134" t="s">
        <v>353</v>
      </c>
      <c r="B5078" s="134">
        <v>502</v>
      </c>
      <c r="C5078" s="491">
        <v>2</v>
      </c>
      <c r="D5078" s="491">
        <v>1</v>
      </c>
      <c r="E5078" s="491">
        <v>0</v>
      </c>
      <c r="F5078" s="491">
        <v>0</v>
      </c>
      <c r="G5078" s="491">
        <f t="shared" si="79"/>
        <v>3</v>
      </c>
    </row>
    <row r="5079" spans="1:7" ht="12.75">
      <c r="A5079" s="134" t="s">
        <v>353</v>
      </c>
      <c r="B5079" s="134">
        <v>654</v>
      </c>
      <c r="C5079" s="491">
        <v>0</v>
      </c>
      <c r="D5079" s="491">
        <v>1</v>
      </c>
      <c r="E5079" s="491">
        <v>0</v>
      </c>
      <c r="F5079" s="491">
        <v>0</v>
      </c>
      <c r="G5079" s="491">
        <f t="shared" si="79"/>
        <v>1</v>
      </c>
    </row>
    <row r="5080" spans="1:7" ht="12.75">
      <c r="A5080" s="134" t="s">
        <v>353</v>
      </c>
      <c r="B5080" s="134">
        <v>800</v>
      </c>
      <c r="C5080" s="491">
        <v>20</v>
      </c>
      <c r="D5080" s="491">
        <v>6</v>
      </c>
      <c r="E5080" s="491">
        <v>1</v>
      </c>
      <c r="F5080" s="491">
        <v>1</v>
      </c>
      <c r="G5080" s="491">
        <f t="shared" si="79"/>
        <v>28</v>
      </c>
    </row>
    <row r="5081" spans="1:7" ht="12.75">
      <c r="A5081" s="134" t="s">
        <v>353</v>
      </c>
      <c r="B5081" s="134">
        <v>811</v>
      </c>
      <c r="C5081" s="491">
        <v>6</v>
      </c>
      <c r="D5081" s="491">
        <v>3</v>
      </c>
      <c r="E5081" s="491">
        <v>0</v>
      </c>
      <c r="F5081" s="491">
        <v>0</v>
      </c>
      <c r="G5081" s="491">
        <f t="shared" si="79"/>
        <v>9</v>
      </c>
    </row>
    <row r="5082" spans="1:7" ht="12.75">
      <c r="A5082" s="134" t="s">
        <v>353</v>
      </c>
      <c r="B5082" s="134">
        <v>812</v>
      </c>
      <c r="C5082" s="491">
        <v>744</v>
      </c>
      <c r="D5082" s="491">
        <v>139</v>
      </c>
      <c r="E5082" s="491">
        <v>0</v>
      </c>
      <c r="F5082" s="491">
        <v>0</v>
      </c>
      <c r="G5082" s="491">
        <f t="shared" si="79"/>
        <v>883</v>
      </c>
    </row>
    <row r="5083" spans="1:7" ht="12.75">
      <c r="A5083" s="134" t="s">
        <v>353</v>
      </c>
      <c r="B5083" s="134">
        <v>840</v>
      </c>
      <c r="C5083" s="491">
        <v>0</v>
      </c>
      <c r="D5083" s="491">
        <v>1</v>
      </c>
      <c r="E5083" s="491">
        <v>0</v>
      </c>
      <c r="F5083" s="491">
        <v>0</v>
      </c>
      <c r="G5083" s="491">
        <f t="shared" si="79"/>
        <v>1</v>
      </c>
    </row>
    <row r="5084" spans="1:7" ht="12.75">
      <c r="A5084" s="134" t="s">
        <v>365</v>
      </c>
      <c r="B5084" s="134">
        <v>253</v>
      </c>
      <c r="C5084" s="491">
        <v>1</v>
      </c>
      <c r="D5084" s="491">
        <v>0</v>
      </c>
      <c r="E5084" s="491">
        <v>0</v>
      </c>
      <c r="F5084" s="491">
        <v>0</v>
      </c>
      <c r="G5084" s="491">
        <f t="shared" si="79"/>
        <v>1</v>
      </c>
    </row>
    <row r="5085" spans="1:7" ht="12.75">
      <c r="A5085" s="134" t="s">
        <v>365</v>
      </c>
      <c r="B5085" s="134">
        <v>812</v>
      </c>
      <c r="C5085" s="491">
        <v>3</v>
      </c>
      <c r="D5085" s="491">
        <v>1</v>
      </c>
      <c r="E5085" s="491">
        <v>0</v>
      </c>
      <c r="F5085" s="491">
        <v>0</v>
      </c>
      <c r="G5085" s="491">
        <f t="shared" si="79"/>
        <v>4</v>
      </c>
    </row>
    <row r="5086" spans="1:7" ht="12.75">
      <c r="A5086" s="134" t="s">
        <v>871</v>
      </c>
      <c r="B5086" s="134">
        <v>130</v>
      </c>
      <c r="C5086" s="491">
        <v>1</v>
      </c>
      <c r="D5086" s="491">
        <v>0</v>
      </c>
      <c r="E5086" s="491">
        <v>0</v>
      </c>
      <c r="F5086" s="491">
        <v>0</v>
      </c>
      <c r="G5086" s="491">
        <f t="shared" si="79"/>
        <v>1</v>
      </c>
    </row>
    <row r="5087" spans="1:7" ht="12.75">
      <c r="A5087" s="134" t="s">
        <v>871</v>
      </c>
      <c r="B5087" s="134">
        <v>301</v>
      </c>
      <c r="C5087" s="491">
        <v>1</v>
      </c>
      <c r="D5087" s="491">
        <v>1</v>
      </c>
      <c r="E5087" s="491">
        <v>0</v>
      </c>
      <c r="F5087" s="491">
        <v>0</v>
      </c>
      <c r="G5087" s="491">
        <f t="shared" si="79"/>
        <v>2</v>
      </c>
    </row>
    <row r="5088" spans="1:7" ht="12.75">
      <c r="A5088" s="134" t="s">
        <v>872</v>
      </c>
      <c r="B5088" s="134">
        <v>100</v>
      </c>
      <c r="C5088" s="491">
        <v>3</v>
      </c>
      <c r="D5088" s="491">
        <v>5</v>
      </c>
      <c r="E5088" s="491">
        <v>3</v>
      </c>
      <c r="F5088" s="491">
        <v>0</v>
      </c>
      <c r="G5088" s="491">
        <f t="shared" si="79"/>
        <v>11</v>
      </c>
    </row>
    <row r="5089" spans="1:7" ht="12.75">
      <c r="A5089" s="134" t="s">
        <v>872</v>
      </c>
      <c r="B5089" s="134">
        <v>101</v>
      </c>
      <c r="C5089" s="491">
        <v>3</v>
      </c>
      <c r="D5089" s="491">
        <v>0</v>
      </c>
      <c r="E5089" s="491">
        <v>0</v>
      </c>
      <c r="F5089" s="491">
        <v>0</v>
      </c>
      <c r="G5089" s="491">
        <f t="shared" si="79"/>
        <v>3</v>
      </c>
    </row>
    <row r="5090" spans="1:7" ht="12.75">
      <c r="A5090" s="134" t="s">
        <v>872</v>
      </c>
      <c r="B5090" s="134">
        <v>215</v>
      </c>
      <c r="C5090" s="491">
        <v>2</v>
      </c>
      <c r="D5090" s="491">
        <v>0</v>
      </c>
      <c r="E5090" s="491">
        <v>0</v>
      </c>
      <c r="F5090" s="491">
        <v>0</v>
      </c>
      <c r="G5090" s="491">
        <f t="shared" si="79"/>
        <v>2</v>
      </c>
    </row>
    <row r="5091" spans="1:7" ht="12.75">
      <c r="A5091" s="134" t="s">
        <v>872</v>
      </c>
      <c r="B5091" s="134">
        <v>301</v>
      </c>
      <c r="C5091" s="491">
        <v>16</v>
      </c>
      <c r="D5091" s="491">
        <v>49</v>
      </c>
      <c r="E5091" s="491">
        <v>0</v>
      </c>
      <c r="F5091" s="491">
        <v>0</v>
      </c>
      <c r="G5091" s="491">
        <f t="shared" si="79"/>
        <v>65</v>
      </c>
    </row>
    <row r="5092" spans="1:7" ht="12.75">
      <c r="A5092" s="134" t="s">
        <v>872</v>
      </c>
      <c r="B5092" s="134">
        <v>800</v>
      </c>
      <c r="C5092" s="491">
        <v>5</v>
      </c>
      <c r="D5092" s="491">
        <v>0</v>
      </c>
      <c r="E5092" s="491">
        <v>0</v>
      </c>
      <c r="F5092" s="491">
        <v>0</v>
      </c>
      <c r="G5092" s="491">
        <f t="shared" si="79"/>
        <v>5</v>
      </c>
    </row>
    <row r="5093" spans="1:7" ht="12.75">
      <c r="A5093" s="134" t="s">
        <v>872</v>
      </c>
      <c r="B5093" s="134">
        <v>811</v>
      </c>
      <c r="C5093" s="491">
        <v>0</v>
      </c>
      <c r="D5093" s="491">
        <v>30</v>
      </c>
      <c r="E5093" s="491">
        <v>0</v>
      </c>
      <c r="F5093" s="491">
        <v>0</v>
      </c>
      <c r="G5093" s="491">
        <f t="shared" si="79"/>
        <v>30</v>
      </c>
    </row>
    <row r="5094" spans="1:7" ht="12.75">
      <c r="A5094" s="134" t="s">
        <v>872</v>
      </c>
      <c r="B5094" s="134">
        <v>812</v>
      </c>
      <c r="C5094" s="491">
        <v>72</v>
      </c>
      <c r="D5094" s="491">
        <v>4</v>
      </c>
      <c r="E5094" s="491">
        <v>0</v>
      </c>
      <c r="F5094" s="491">
        <v>0</v>
      </c>
      <c r="G5094" s="491">
        <f t="shared" si="79"/>
        <v>76</v>
      </c>
    </row>
    <row r="5095" spans="1:7" ht="12.75">
      <c r="A5095" s="134" t="s">
        <v>344</v>
      </c>
      <c r="B5095" s="134">
        <v>100</v>
      </c>
      <c r="C5095" s="491">
        <v>48</v>
      </c>
      <c r="D5095" s="491">
        <v>60</v>
      </c>
      <c r="E5095" s="491">
        <v>15</v>
      </c>
      <c r="F5095" s="491">
        <v>9</v>
      </c>
      <c r="G5095" s="491">
        <f t="shared" si="79"/>
        <v>132</v>
      </c>
    </row>
    <row r="5096" spans="1:7" ht="12.75">
      <c r="A5096" s="134" t="s">
        <v>344</v>
      </c>
      <c r="B5096" s="134">
        <v>101</v>
      </c>
      <c r="C5096" s="491">
        <v>1</v>
      </c>
      <c r="D5096" s="491">
        <v>0</v>
      </c>
      <c r="E5096" s="491">
        <v>0</v>
      </c>
      <c r="F5096" s="491">
        <v>0</v>
      </c>
      <c r="G5096" s="491">
        <f t="shared" si="79"/>
        <v>1</v>
      </c>
    </row>
    <row r="5097" spans="1:7" ht="12.75">
      <c r="A5097" s="134" t="s">
        <v>344</v>
      </c>
      <c r="B5097" s="134">
        <v>104</v>
      </c>
      <c r="C5097" s="491">
        <v>2</v>
      </c>
      <c r="D5097" s="491">
        <v>2</v>
      </c>
      <c r="E5097" s="491">
        <v>0</v>
      </c>
      <c r="F5097" s="491">
        <v>0</v>
      </c>
      <c r="G5097" s="491">
        <f t="shared" si="79"/>
        <v>4</v>
      </c>
    </row>
    <row r="5098" spans="1:7" ht="12.75">
      <c r="A5098" s="134" t="s">
        <v>344</v>
      </c>
      <c r="B5098" s="134">
        <v>106</v>
      </c>
      <c r="C5098" s="491">
        <v>6</v>
      </c>
      <c r="D5098" s="491">
        <v>14</v>
      </c>
      <c r="E5098" s="491">
        <v>0</v>
      </c>
      <c r="F5098" s="491">
        <v>0</v>
      </c>
      <c r="G5098" s="491">
        <f t="shared" si="79"/>
        <v>20</v>
      </c>
    </row>
    <row r="5099" spans="1:7" ht="12.75">
      <c r="A5099" s="134" t="s">
        <v>344</v>
      </c>
      <c r="B5099" s="134">
        <v>107</v>
      </c>
      <c r="C5099" s="491">
        <v>0</v>
      </c>
      <c r="D5099" s="491">
        <v>1</v>
      </c>
      <c r="E5099" s="491">
        <v>0</v>
      </c>
      <c r="F5099" s="491">
        <v>0</v>
      </c>
      <c r="G5099" s="491">
        <f t="shared" si="79"/>
        <v>1</v>
      </c>
    </row>
    <row r="5100" spans="1:7" ht="12.75">
      <c r="A5100" s="134" t="s">
        <v>344</v>
      </c>
      <c r="B5100" s="134">
        <v>130</v>
      </c>
      <c r="C5100" s="491">
        <v>3</v>
      </c>
      <c r="D5100" s="491">
        <v>2</v>
      </c>
      <c r="E5100" s="491">
        <v>0</v>
      </c>
      <c r="F5100" s="491">
        <v>0</v>
      </c>
      <c r="G5100" s="491">
        <f t="shared" si="79"/>
        <v>5</v>
      </c>
    </row>
    <row r="5101" spans="1:7" ht="12.75">
      <c r="A5101" s="134" t="s">
        <v>344</v>
      </c>
      <c r="B5101" s="134">
        <v>140</v>
      </c>
      <c r="C5101" s="491">
        <v>0</v>
      </c>
      <c r="D5101" s="491">
        <v>1</v>
      </c>
      <c r="E5101" s="491">
        <v>0</v>
      </c>
      <c r="F5101" s="491">
        <v>0</v>
      </c>
      <c r="G5101" s="491">
        <f t="shared" si="79"/>
        <v>1</v>
      </c>
    </row>
    <row r="5102" spans="1:7" ht="12.75">
      <c r="A5102" s="134" t="s">
        <v>344</v>
      </c>
      <c r="B5102" s="134">
        <v>141</v>
      </c>
      <c r="C5102" s="491">
        <v>5</v>
      </c>
      <c r="D5102" s="491">
        <v>14</v>
      </c>
      <c r="E5102" s="491">
        <v>0</v>
      </c>
      <c r="F5102" s="491">
        <v>1</v>
      </c>
      <c r="G5102" s="491">
        <f t="shared" si="79"/>
        <v>20</v>
      </c>
    </row>
    <row r="5103" spans="1:7" ht="12.75">
      <c r="A5103" s="134" t="s">
        <v>344</v>
      </c>
      <c r="B5103" s="134">
        <v>144</v>
      </c>
      <c r="C5103" s="491">
        <v>0</v>
      </c>
      <c r="D5103" s="491">
        <v>1</v>
      </c>
      <c r="E5103" s="491">
        <v>0</v>
      </c>
      <c r="F5103" s="491">
        <v>0</v>
      </c>
      <c r="G5103" s="491">
        <f t="shared" si="79"/>
        <v>1</v>
      </c>
    </row>
    <row r="5104" spans="1:7" ht="12.75">
      <c r="A5104" s="134" t="s">
        <v>344</v>
      </c>
      <c r="B5104" s="134">
        <v>258</v>
      </c>
      <c r="C5104" s="491">
        <v>5</v>
      </c>
      <c r="D5104" s="491">
        <v>0</v>
      </c>
      <c r="E5104" s="491">
        <v>8</v>
      </c>
      <c r="F5104" s="491">
        <v>1</v>
      </c>
      <c r="G5104" s="491">
        <f t="shared" si="79"/>
        <v>14</v>
      </c>
    </row>
    <row r="5105" spans="1:7" ht="12.75">
      <c r="A5105" s="134" t="s">
        <v>344</v>
      </c>
      <c r="B5105" s="134">
        <v>264</v>
      </c>
      <c r="C5105" s="491">
        <v>0</v>
      </c>
      <c r="D5105" s="491">
        <v>0</v>
      </c>
      <c r="E5105" s="491">
        <v>1</v>
      </c>
      <c r="F5105" s="491">
        <v>0</v>
      </c>
      <c r="G5105" s="491">
        <f t="shared" si="79"/>
        <v>1</v>
      </c>
    </row>
    <row r="5106" spans="1:7" ht="12.75">
      <c r="A5106" s="134" t="s">
        <v>344</v>
      </c>
      <c r="B5106" s="134">
        <v>300</v>
      </c>
      <c r="C5106" s="491">
        <v>2</v>
      </c>
      <c r="D5106" s="491">
        <v>6</v>
      </c>
      <c r="E5106" s="491">
        <v>0</v>
      </c>
      <c r="F5106" s="491">
        <v>0</v>
      </c>
      <c r="G5106" s="491">
        <f t="shared" si="79"/>
        <v>8</v>
      </c>
    </row>
    <row r="5107" spans="1:7" ht="12.75">
      <c r="A5107" s="134" t="s">
        <v>344</v>
      </c>
      <c r="B5107" s="134">
        <v>301</v>
      </c>
      <c r="C5107" s="491">
        <v>56</v>
      </c>
      <c r="D5107" s="491">
        <v>61</v>
      </c>
      <c r="E5107" s="491">
        <v>1</v>
      </c>
      <c r="F5107" s="491">
        <v>0</v>
      </c>
      <c r="G5107" s="491">
        <f t="shared" si="79"/>
        <v>118</v>
      </c>
    </row>
    <row r="5108" spans="1:7" ht="12.75">
      <c r="A5108" s="134" t="s">
        <v>344</v>
      </c>
      <c r="B5108" s="134">
        <v>302</v>
      </c>
      <c r="C5108" s="491">
        <v>0</v>
      </c>
      <c r="D5108" s="491">
        <v>1</v>
      </c>
      <c r="E5108" s="491">
        <v>0</v>
      </c>
      <c r="F5108" s="491">
        <v>0</v>
      </c>
      <c r="G5108" s="491">
        <f t="shared" si="79"/>
        <v>1</v>
      </c>
    </row>
    <row r="5109" spans="1:7" ht="12.75">
      <c r="A5109" s="134" t="s">
        <v>344</v>
      </c>
      <c r="B5109" s="134">
        <v>303</v>
      </c>
      <c r="C5109" s="491">
        <v>1</v>
      </c>
      <c r="D5109" s="491">
        <v>0</v>
      </c>
      <c r="E5109" s="491">
        <v>0</v>
      </c>
      <c r="F5109" s="491">
        <v>0</v>
      </c>
      <c r="G5109" s="491">
        <f t="shared" si="79"/>
        <v>1</v>
      </c>
    </row>
    <row r="5110" spans="1:7" ht="12.75">
      <c r="A5110" s="134" t="s">
        <v>344</v>
      </c>
      <c r="B5110" s="134">
        <v>306</v>
      </c>
      <c r="C5110" s="491">
        <v>9</v>
      </c>
      <c r="D5110" s="491">
        <v>6</v>
      </c>
      <c r="E5110" s="491">
        <v>0</v>
      </c>
      <c r="F5110" s="491">
        <v>0</v>
      </c>
      <c r="G5110" s="491">
        <f t="shared" si="79"/>
        <v>15</v>
      </c>
    </row>
    <row r="5111" spans="1:7" ht="12.75">
      <c r="A5111" s="134" t="s">
        <v>344</v>
      </c>
      <c r="B5111" s="134">
        <v>307</v>
      </c>
      <c r="C5111" s="491">
        <v>0</v>
      </c>
      <c r="D5111" s="491">
        <v>1</v>
      </c>
      <c r="E5111" s="491">
        <v>0</v>
      </c>
      <c r="F5111" s="491">
        <v>0</v>
      </c>
      <c r="G5111" s="491">
        <f t="shared" si="79"/>
        <v>1</v>
      </c>
    </row>
    <row r="5112" spans="1:7" ht="12.75">
      <c r="A5112" s="134" t="s">
        <v>344</v>
      </c>
      <c r="B5112" s="134">
        <v>324</v>
      </c>
      <c r="C5112" s="491">
        <v>1</v>
      </c>
      <c r="D5112" s="491">
        <v>0</v>
      </c>
      <c r="E5112" s="491">
        <v>0</v>
      </c>
      <c r="F5112" s="491">
        <v>0</v>
      </c>
      <c r="G5112" s="491">
        <f t="shared" si="79"/>
        <v>1</v>
      </c>
    </row>
    <row r="5113" spans="1:7" ht="12.75">
      <c r="A5113" s="134" t="s">
        <v>344</v>
      </c>
      <c r="B5113" s="134">
        <v>329</v>
      </c>
      <c r="C5113" s="491">
        <v>0</v>
      </c>
      <c r="D5113" s="491">
        <v>1</v>
      </c>
      <c r="E5113" s="491">
        <v>0</v>
      </c>
      <c r="F5113" s="491">
        <v>0</v>
      </c>
      <c r="G5113" s="491">
        <f t="shared" si="79"/>
        <v>1</v>
      </c>
    </row>
    <row r="5114" spans="1:7" ht="12.75">
      <c r="A5114" s="134" t="s">
        <v>344</v>
      </c>
      <c r="B5114" s="134">
        <v>330</v>
      </c>
      <c r="C5114" s="491">
        <v>1</v>
      </c>
      <c r="D5114" s="491">
        <v>1</v>
      </c>
      <c r="E5114" s="491">
        <v>0</v>
      </c>
      <c r="F5114" s="491">
        <v>0</v>
      </c>
      <c r="G5114" s="491">
        <f t="shared" si="79"/>
        <v>2</v>
      </c>
    </row>
    <row r="5115" spans="1:7" ht="12.75">
      <c r="A5115" s="134" t="s">
        <v>344</v>
      </c>
      <c r="B5115" s="134">
        <v>340</v>
      </c>
      <c r="C5115" s="491">
        <v>36</v>
      </c>
      <c r="D5115" s="491">
        <v>18</v>
      </c>
      <c r="E5115" s="491">
        <v>0</v>
      </c>
      <c r="F5115" s="491">
        <v>0</v>
      </c>
      <c r="G5115" s="491">
        <f t="shared" si="79"/>
        <v>54</v>
      </c>
    </row>
    <row r="5116" spans="1:7" ht="12.75">
      <c r="A5116" s="134" t="s">
        <v>344</v>
      </c>
      <c r="B5116" s="134">
        <v>370</v>
      </c>
      <c r="C5116" s="491">
        <v>2</v>
      </c>
      <c r="D5116" s="491">
        <v>0</v>
      </c>
      <c r="E5116" s="491">
        <v>0</v>
      </c>
      <c r="F5116" s="491">
        <v>0</v>
      </c>
      <c r="G5116" s="491">
        <f t="shared" si="79"/>
        <v>2</v>
      </c>
    </row>
    <row r="5117" spans="1:7" ht="12.75">
      <c r="A5117" s="134" t="s">
        <v>344</v>
      </c>
      <c r="B5117" s="134">
        <v>400</v>
      </c>
      <c r="C5117" s="491">
        <v>0</v>
      </c>
      <c r="D5117" s="491">
        <v>1</v>
      </c>
      <c r="E5117" s="491">
        <v>0</v>
      </c>
      <c r="F5117" s="491">
        <v>0</v>
      </c>
      <c r="G5117" s="491">
        <f t="shared" si="79"/>
        <v>1</v>
      </c>
    </row>
    <row r="5118" spans="1:7" ht="12.75">
      <c r="A5118" s="134" t="s">
        <v>344</v>
      </c>
      <c r="B5118" s="134">
        <v>420</v>
      </c>
      <c r="C5118" s="491">
        <v>8</v>
      </c>
      <c r="D5118" s="491">
        <v>0</v>
      </c>
      <c r="E5118" s="491">
        <v>0</v>
      </c>
      <c r="F5118" s="491">
        <v>0</v>
      </c>
      <c r="G5118" s="491">
        <f t="shared" si="79"/>
        <v>8</v>
      </c>
    </row>
    <row r="5119" spans="1:7" ht="12.75">
      <c r="A5119" s="134" t="s">
        <v>344</v>
      </c>
      <c r="B5119" s="134">
        <v>430</v>
      </c>
      <c r="C5119" s="491">
        <v>0</v>
      </c>
      <c r="D5119" s="491">
        <v>0</v>
      </c>
      <c r="E5119" s="491">
        <v>0</v>
      </c>
      <c r="F5119" s="491">
        <v>1</v>
      </c>
      <c r="G5119" s="491">
        <f t="shared" si="79"/>
        <v>1</v>
      </c>
    </row>
    <row r="5120" spans="1:7" ht="12.75">
      <c r="A5120" s="134" t="s">
        <v>344</v>
      </c>
      <c r="B5120" s="134">
        <v>502</v>
      </c>
      <c r="C5120" s="491">
        <v>1</v>
      </c>
      <c r="D5120" s="491">
        <v>0</v>
      </c>
      <c r="E5120" s="491">
        <v>0</v>
      </c>
      <c r="F5120" s="491">
        <v>0</v>
      </c>
      <c r="G5120" s="491">
        <f t="shared" si="79"/>
        <v>1</v>
      </c>
    </row>
    <row r="5121" spans="1:7" ht="12.75">
      <c r="A5121" s="134" t="s">
        <v>344</v>
      </c>
      <c r="B5121" s="134">
        <v>811</v>
      </c>
      <c r="C5121" s="491">
        <v>5</v>
      </c>
      <c r="D5121" s="491">
        <v>8</v>
      </c>
      <c r="E5121" s="491">
        <v>0</v>
      </c>
      <c r="F5121" s="491">
        <v>0</v>
      </c>
      <c r="G5121" s="491">
        <f t="shared" si="79"/>
        <v>13</v>
      </c>
    </row>
    <row r="5122" spans="1:7" ht="12.75">
      <c r="A5122" s="134" t="s">
        <v>344</v>
      </c>
      <c r="B5122" s="134">
        <v>812</v>
      </c>
      <c r="C5122" s="491">
        <v>155</v>
      </c>
      <c r="D5122" s="491">
        <v>172</v>
      </c>
      <c r="E5122" s="491">
        <v>0</v>
      </c>
      <c r="F5122" s="491">
        <v>0</v>
      </c>
      <c r="G5122" s="491">
        <f t="shared" si="79"/>
        <v>327</v>
      </c>
    </row>
    <row r="5123" spans="1:7" ht="12.75">
      <c r="A5123" s="134" t="s">
        <v>873</v>
      </c>
      <c r="B5123" s="134">
        <v>100</v>
      </c>
      <c r="C5123" s="491">
        <v>0</v>
      </c>
      <c r="D5123" s="491">
        <v>1</v>
      </c>
      <c r="E5123" s="491">
        <v>1</v>
      </c>
      <c r="F5123" s="491">
        <v>0</v>
      </c>
      <c r="G5123" s="491">
        <f t="shared" si="79"/>
        <v>2</v>
      </c>
    </row>
    <row r="5124" spans="1:7" ht="12.75">
      <c r="A5124" s="134" t="s">
        <v>874</v>
      </c>
      <c r="B5124" s="134">
        <v>811</v>
      </c>
      <c r="C5124" s="491">
        <v>0</v>
      </c>
      <c r="D5124" s="491">
        <v>3</v>
      </c>
      <c r="E5124" s="491">
        <v>0</v>
      </c>
      <c r="F5124" s="491">
        <v>0</v>
      </c>
      <c r="G5124" s="491">
        <f t="shared" ref="G5124:G5187" si="80">SUM(C5124:F5124)</f>
        <v>3</v>
      </c>
    </row>
    <row r="5125" spans="1:7" ht="12.75">
      <c r="A5125" s="134" t="s">
        <v>874</v>
      </c>
      <c r="B5125" s="134">
        <v>812</v>
      </c>
      <c r="C5125" s="491">
        <v>4</v>
      </c>
      <c r="D5125" s="491">
        <v>1</v>
      </c>
      <c r="E5125" s="491">
        <v>0</v>
      </c>
      <c r="F5125" s="491">
        <v>0</v>
      </c>
      <c r="G5125" s="491">
        <f t="shared" si="80"/>
        <v>5</v>
      </c>
    </row>
    <row r="5126" spans="1:7" ht="12.75">
      <c r="A5126" s="134" t="s">
        <v>334</v>
      </c>
      <c r="B5126" s="134">
        <v>110</v>
      </c>
      <c r="C5126" s="491">
        <v>4</v>
      </c>
      <c r="D5126" s="491">
        <v>0</v>
      </c>
      <c r="E5126" s="491">
        <v>0</v>
      </c>
      <c r="F5126" s="491">
        <v>0</v>
      </c>
      <c r="G5126" s="491">
        <f t="shared" si="80"/>
        <v>4</v>
      </c>
    </row>
    <row r="5127" spans="1:7" ht="12.75">
      <c r="A5127" s="134" t="s">
        <v>334</v>
      </c>
      <c r="B5127" s="134">
        <v>430</v>
      </c>
      <c r="C5127" s="491">
        <v>4</v>
      </c>
      <c r="D5127" s="491">
        <v>7</v>
      </c>
      <c r="E5127" s="491">
        <v>0</v>
      </c>
      <c r="F5127" s="491">
        <v>0</v>
      </c>
      <c r="G5127" s="491">
        <f t="shared" si="80"/>
        <v>11</v>
      </c>
    </row>
    <row r="5128" spans="1:7" ht="12.75">
      <c r="A5128" s="134" t="s">
        <v>334</v>
      </c>
      <c r="B5128" s="134">
        <v>812</v>
      </c>
      <c r="C5128" s="491">
        <v>5</v>
      </c>
      <c r="D5128" s="491">
        <v>0</v>
      </c>
      <c r="E5128" s="491">
        <v>0</v>
      </c>
      <c r="F5128" s="491">
        <v>0</v>
      </c>
      <c r="G5128" s="491">
        <f t="shared" si="80"/>
        <v>5</v>
      </c>
    </row>
    <row r="5129" spans="1:7" ht="12.75">
      <c r="A5129" s="134" t="s">
        <v>348</v>
      </c>
      <c r="B5129" s="134">
        <v>110</v>
      </c>
      <c r="C5129" s="491">
        <v>2</v>
      </c>
      <c r="D5129" s="491">
        <v>2</v>
      </c>
      <c r="E5129" s="491">
        <v>0</v>
      </c>
      <c r="F5129" s="491">
        <v>0</v>
      </c>
      <c r="G5129" s="491">
        <f t="shared" si="80"/>
        <v>4</v>
      </c>
    </row>
    <row r="5130" spans="1:7" ht="12.75">
      <c r="A5130" s="134" t="s">
        <v>876</v>
      </c>
      <c r="B5130" s="134">
        <v>214</v>
      </c>
      <c r="C5130" s="491">
        <v>1</v>
      </c>
      <c r="D5130" s="491">
        <v>0</v>
      </c>
      <c r="E5130" s="491">
        <v>0</v>
      </c>
      <c r="F5130" s="491">
        <v>0</v>
      </c>
      <c r="G5130" s="491">
        <f t="shared" si="80"/>
        <v>1</v>
      </c>
    </row>
    <row r="5131" spans="1:7" ht="12.75">
      <c r="A5131" s="134" t="s">
        <v>1102</v>
      </c>
      <c r="B5131" s="134">
        <v>110</v>
      </c>
      <c r="C5131" s="491">
        <v>1</v>
      </c>
      <c r="D5131" s="491">
        <v>0</v>
      </c>
      <c r="E5131" s="491">
        <v>0</v>
      </c>
      <c r="F5131" s="491">
        <v>0</v>
      </c>
      <c r="G5131" s="491">
        <f t="shared" si="80"/>
        <v>1</v>
      </c>
    </row>
    <row r="5132" spans="1:7" ht="12.75">
      <c r="A5132" s="134" t="s">
        <v>118</v>
      </c>
      <c r="B5132" s="134">
        <v>110</v>
      </c>
      <c r="C5132" s="491">
        <v>2</v>
      </c>
      <c r="D5132" s="491">
        <v>0</v>
      </c>
      <c r="E5132" s="491">
        <v>0</v>
      </c>
      <c r="F5132" s="491">
        <v>0</v>
      </c>
      <c r="G5132" s="491">
        <f t="shared" si="80"/>
        <v>2</v>
      </c>
    </row>
    <row r="5133" spans="1:7" ht="12.75">
      <c r="A5133" s="134" t="s">
        <v>118</v>
      </c>
      <c r="B5133" s="134">
        <v>501</v>
      </c>
      <c r="C5133" s="491">
        <v>2</v>
      </c>
      <c r="D5133" s="491">
        <v>0</v>
      </c>
      <c r="E5133" s="491">
        <v>0</v>
      </c>
      <c r="F5133" s="491">
        <v>0</v>
      </c>
      <c r="G5133" s="491">
        <f t="shared" si="80"/>
        <v>2</v>
      </c>
    </row>
    <row r="5134" spans="1:7" ht="12.75">
      <c r="A5134" s="134" t="s">
        <v>877</v>
      </c>
      <c r="B5134" s="134">
        <v>110</v>
      </c>
      <c r="C5134" s="491">
        <v>1</v>
      </c>
      <c r="D5134" s="491">
        <v>0</v>
      </c>
      <c r="E5134" s="491">
        <v>0</v>
      </c>
      <c r="F5134" s="491">
        <v>0</v>
      </c>
      <c r="G5134" s="491">
        <f t="shared" si="80"/>
        <v>1</v>
      </c>
    </row>
    <row r="5135" spans="1:7" ht="12.75">
      <c r="A5135" s="134" t="s">
        <v>372</v>
      </c>
      <c r="B5135" s="134">
        <v>110</v>
      </c>
      <c r="C5135" s="491">
        <v>1</v>
      </c>
      <c r="D5135" s="491">
        <v>3</v>
      </c>
      <c r="E5135" s="491">
        <v>0</v>
      </c>
      <c r="F5135" s="491">
        <v>0</v>
      </c>
      <c r="G5135" s="491">
        <f t="shared" si="80"/>
        <v>4</v>
      </c>
    </row>
    <row r="5136" spans="1:7" ht="12.75">
      <c r="A5136" s="134" t="s">
        <v>318</v>
      </c>
      <c r="B5136" s="134">
        <v>110</v>
      </c>
      <c r="C5136" s="491">
        <v>0</v>
      </c>
      <c r="D5136" s="491">
        <v>1</v>
      </c>
      <c r="E5136" s="491">
        <v>0</v>
      </c>
      <c r="F5136" s="491">
        <v>0</v>
      </c>
      <c r="G5136" s="491">
        <f t="shared" si="80"/>
        <v>1</v>
      </c>
    </row>
    <row r="5137" spans="1:7" ht="12.75">
      <c r="A5137" s="134" t="s">
        <v>349</v>
      </c>
      <c r="B5137" s="134">
        <v>160</v>
      </c>
      <c r="C5137" s="491">
        <v>0</v>
      </c>
      <c r="D5137" s="491">
        <v>2</v>
      </c>
      <c r="E5137" s="491">
        <v>0</v>
      </c>
      <c r="F5137" s="491">
        <v>0</v>
      </c>
      <c r="G5137" s="491">
        <f t="shared" si="80"/>
        <v>2</v>
      </c>
    </row>
    <row r="5138" spans="1:7" ht="12.75">
      <c r="A5138" s="134" t="s">
        <v>368</v>
      </c>
      <c r="B5138" s="134">
        <v>110</v>
      </c>
      <c r="C5138" s="491">
        <v>4</v>
      </c>
      <c r="D5138" s="491">
        <v>28</v>
      </c>
      <c r="E5138" s="491">
        <v>1</v>
      </c>
      <c r="F5138" s="491">
        <v>6</v>
      </c>
      <c r="G5138" s="491">
        <f t="shared" si="80"/>
        <v>39</v>
      </c>
    </row>
    <row r="5139" spans="1:7" ht="12.75">
      <c r="A5139" s="134" t="s">
        <v>312</v>
      </c>
      <c r="B5139" s="134">
        <v>110</v>
      </c>
      <c r="C5139" s="491">
        <v>4</v>
      </c>
      <c r="D5139" s="491">
        <v>34</v>
      </c>
      <c r="E5139" s="491">
        <v>0</v>
      </c>
      <c r="F5139" s="491">
        <v>3</v>
      </c>
      <c r="G5139" s="491">
        <f t="shared" si="80"/>
        <v>41</v>
      </c>
    </row>
    <row r="5140" spans="1:7" ht="12.75">
      <c r="A5140" s="134" t="s">
        <v>312</v>
      </c>
      <c r="B5140" s="134">
        <v>160</v>
      </c>
      <c r="C5140" s="491">
        <v>0</v>
      </c>
      <c r="D5140" s="491">
        <v>8</v>
      </c>
      <c r="E5140" s="491">
        <v>0</v>
      </c>
      <c r="F5140" s="491">
        <v>0</v>
      </c>
      <c r="G5140" s="491">
        <f t="shared" si="80"/>
        <v>8</v>
      </c>
    </row>
    <row r="5141" spans="1:7" ht="12.75">
      <c r="A5141" s="134" t="s">
        <v>312</v>
      </c>
      <c r="B5141" s="134">
        <v>303</v>
      </c>
      <c r="C5141" s="491">
        <v>0</v>
      </c>
      <c r="D5141" s="491">
        <v>1</v>
      </c>
      <c r="E5141" s="491">
        <v>0</v>
      </c>
      <c r="F5141" s="491">
        <v>0</v>
      </c>
      <c r="G5141" s="491">
        <f t="shared" si="80"/>
        <v>1</v>
      </c>
    </row>
    <row r="5142" spans="1:7" ht="12.75">
      <c r="A5142" s="134" t="s">
        <v>313</v>
      </c>
      <c r="B5142" s="134">
        <v>110</v>
      </c>
      <c r="C5142" s="491">
        <v>1</v>
      </c>
      <c r="D5142" s="491">
        <v>9</v>
      </c>
      <c r="E5142" s="491">
        <v>0</v>
      </c>
      <c r="F5142" s="491">
        <v>0</v>
      </c>
      <c r="G5142" s="491">
        <f t="shared" si="80"/>
        <v>10</v>
      </c>
    </row>
    <row r="5143" spans="1:7" ht="12.75">
      <c r="A5143" s="134" t="s">
        <v>313</v>
      </c>
      <c r="B5143" s="134">
        <v>160</v>
      </c>
      <c r="C5143" s="491">
        <v>0</v>
      </c>
      <c r="D5143" s="491">
        <v>2</v>
      </c>
      <c r="E5143" s="491">
        <v>0</v>
      </c>
      <c r="F5143" s="491">
        <v>0</v>
      </c>
      <c r="G5143" s="491">
        <f t="shared" si="80"/>
        <v>2</v>
      </c>
    </row>
    <row r="5144" spans="1:7" ht="12.75">
      <c r="A5144" s="134" t="s">
        <v>313</v>
      </c>
      <c r="B5144" s="134">
        <v>214</v>
      </c>
      <c r="C5144" s="491">
        <v>0</v>
      </c>
      <c r="D5144" s="491">
        <v>1</v>
      </c>
      <c r="E5144" s="491">
        <v>0</v>
      </c>
      <c r="F5144" s="491">
        <v>0</v>
      </c>
      <c r="G5144" s="491">
        <f t="shared" si="80"/>
        <v>1</v>
      </c>
    </row>
    <row r="5145" spans="1:7" ht="12.75">
      <c r="A5145" s="134" t="s">
        <v>313</v>
      </c>
      <c r="B5145" s="134">
        <v>420</v>
      </c>
      <c r="C5145" s="491">
        <v>0</v>
      </c>
      <c r="D5145" s="491">
        <v>1</v>
      </c>
      <c r="E5145" s="491">
        <v>0</v>
      </c>
      <c r="F5145" s="491">
        <v>0</v>
      </c>
      <c r="G5145" s="491">
        <f t="shared" si="80"/>
        <v>1</v>
      </c>
    </row>
    <row r="5146" spans="1:7" ht="12.75">
      <c r="A5146" s="134" t="s">
        <v>878</v>
      </c>
      <c r="B5146" s="134">
        <v>214</v>
      </c>
      <c r="C5146" s="491">
        <v>0</v>
      </c>
      <c r="D5146" s="491">
        <v>1</v>
      </c>
      <c r="E5146" s="491">
        <v>0</v>
      </c>
      <c r="F5146" s="491">
        <v>0</v>
      </c>
      <c r="G5146" s="491">
        <f t="shared" si="80"/>
        <v>1</v>
      </c>
    </row>
    <row r="5147" spans="1:7" ht="12.75">
      <c r="A5147" s="134" t="s">
        <v>333</v>
      </c>
      <c r="B5147" s="134">
        <v>110</v>
      </c>
      <c r="C5147" s="491">
        <v>1</v>
      </c>
      <c r="D5147" s="491">
        <v>2</v>
      </c>
      <c r="E5147" s="491">
        <v>0</v>
      </c>
      <c r="F5147" s="491">
        <v>0</v>
      </c>
      <c r="G5147" s="491">
        <f t="shared" si="80"/>
        <v>3</v>
      </c>
    </row>
    <row r="5148" spans="1:7" ht="12.75">
      <c r="A5148" s="134" t="s">
        <v>879</v>
      </c>
      <c r="B5148" s="134">
        <v>110</v>
      </c>
      <c r="C5148" s="491">
        <v>3</v>
      </c>
      <c r="D5148" s="491">
        <v>11</v>
      </c>
      <c r="E5148" s="491">
        <v>0</v>
      </c>
      <c r="F5148" s="491">
        <v>0</v>
      </c>
      <c r="G5148" s="491">
        <f t="shared" si="80"/>
        <v>14</v>
      </c>
    </row>
    <row r="5149" spans="1:7" ht="12.75">
      <c r="A5149" s="134" t="s">
        <v>880</v>
      </c>
      <c r="B5149" s="134">
        <v>110</v>
      </c>
      <c r="C5149" s="491">
        <v>2</v>
      </c>
      <c r="D5149" s="491">
        <v>4</v>
      </c>
      <c r="E5149" s="491">
        <v>0</v>
      </c>
      <c r="F5149" s="491">
        <v>2</v>
      </c>
      <c r="G5149" s="491">
        <f t="shared" si="80"/>
        <v>8</v>
      </c>
    </row>
    <row r="5150" spans="1:7" ht="12.75">
      <c r="A5150" s="134" t="s">
        <v>324</v>
      </c>
      <c r="B5150" s="134">
        <v>110</v>
      </c>
      <c r="C5150" s="491">
        <v>1</v>
      </c>
      <c r="D5150" s="491">
        <v>0</v>
      </c>
      <c r="E5150" s="491">
        <v>0</v>
      </c>
      <c r="F5150" s="491">
        <v>0</v>
      </c>
      <c r="G5150" s="491">
        <f t="shared" si="80"/>
        <v>1</v>
      </c>
    </row>
    <row r="5151" spans="1:7" ht="12.75">
      <c r="A5151" s="134" t="s">
        <v>881</v>
      </c>
      <c r="B5151" s="134">
        <v>110</v>
      </c>
      <c r="C5151" s="491">
        <v>0</v>
      </c>
      <c r="D5151" s="491">
        <v>1</v>
      </c>
      <c r="E5151" s="491">
        <v>0</v>
      </c>
      <c r="F5151" s="491">
        <v>0</v>
      </c>
      <c r="G5151" s="491">
        <f t="shared" si="80"/>
        <v>1</v>
      </c>
    </row>
    <row r="5152" spans="1:7" ht="12.75">
      <c r="A5152" s="134" t="s">
        <v>119</v>
      </c>
      <c r="B5152" s="134">
        <v>101</v>
      </c>
      <c r="C5152" s="491">
        <v>0</v>
      </c>
      <c r="D5152" s="491">
        <v>2</v>
      </c>
      <c r="E5152" s="491">
        <v>0</v>
      </c>
      <c r="F5152" s="491">
        <v>0</v>
      </c>
      <c r="G5152" s="491">
        <f t="shared" si="80"/>
        <v>2</v>
      </c>
    </row>
    <row r="5153" spans="1:7" ht="12.75">
      <c r="A5153" s="134" t="s">
        <v>119</v>
      </c>
      <c r="B5153" s="134">
        <v>110</v>
      </c>
      <c r="C5153" s="491">
        <v>371</v>
      </c>
      <c r="D5153" s="491">
        <v>863</v>
      </c>
      <c r="E5153" s="491">
        <v>33</v>
      </c>
      <c r="F5153" s="491">
        <v>59</v>
      </c>
      <c r="G5153" s="491">
        <f t="shared" si="80"/>
        <v>1326</v>
      </c>
    </row>
    <row r="5154" spans="1:7" ht="12.75">
      <c r="A5154" s="134" t="s">
        <v>119</v>
      </c>
      <c r="B5154" s="134">
        <v>120</v>
      </c>
      <c r="C5154" s="491">
        <v>6</v>
      </c>
      <c r="D5154" s="491">
        <v>52</v>
      </c>
      <c r="E5154" s="491">
        <v>0</v>
      </c>
      <c r="F5154" s="491">
        <v>1</v>
      </c>
      <c r="G5154" s="491">
        <f t="shared" si="80"/>
        <v>59</v>
      </c>
    </row>
    <row r="5155" spans="1:7" ht="12.75">
      <c r="A5155" s="134" t="s">
        <v>119</v>
      </c>
      <c r="B5155" s="134">
        <v>130</v>
      </c>
      <c r="C5155" s="491">
        <v>1</v>
      </c>
      <c r="D5155" s="491">
        <v>0</v>
      </c>
      <c r="E5155" s="491">
        <v>0</v>
      </c>
      <c r="F5155" s="491">
        <v>0</v>
      </c>
      <c r="G5155" s="491">
        <f t="shared" si="80"/>
        <v>1</v>
      </c>
    </row>
    <row r="5156" spans="1:7" ht="12.75">
      <c r="A5156" s="134" t="s">
        <v>119</v>
      </c>
      <c r="B5156" s="134">
        <v>143</v>
      </c>
      <c r="C5156" s="491">
        <v>2</v>
      </c>
      <c r="D5156" s="491">
        <v>0</v>
      </c>
      <c r="E5156" s="491">
        <v>0</v>
      </c>
      <c r="F5156" s="491">
        <v>0</v>
      </c>
      <c r="G5156" s="491">
        <f t="shared" si="80"/>
        <v>2</v>
      </c>
    </row>
    <row r="5157" spans="1:7" ht="12.75">
      <c r="A5157" s="134" t="s">
        <v>119</v>
      </c>
      <c r="B5157" s="134">
        <v>160</v>
      </c>
      <c r="C5157" s="491">
        <v>9</v>
      </c>
      <c r="D5157" s="491">
        <v>39</v>
      </c>
      <c r="E5157" s="491">
        <v>0</v>
      </c>
      <c r="F5157" s="491">
        <v>1</v>
      </c>
      <c r="G5157" s="491">
        <f t="shared" si="80"/>
        <v>49</v>
      </c>
    </row>
    <row r="5158" spans="1:7" ht="12.75">
      <c r="A5158" s="134" t="s">
        <v>119</v>
      </c>
      <c r="B5158" s="134">
        <v>214</v>
      </c>
      <c r="C5158" s="491">
        <v>11</v>
      </c>
      <c r="D5158" s="491">
        <v>38</v>
      </c>
      <c r="E5158" s="491">
        <v>0</v>
      </c>
      <c r="F5158" s="491">
        <v>0</v>
      </c>
      <c r="G5158" s="491">
        <f t="shared" si="80"/>
        <v>49</v>
      </c>
    </row>
    <row r="5159" spans="1:7" ht="12.75">
      <c r="A5159" s="134" t="s">
        <v>119</v>
      </c>
      <c r="B5159" s="134">
        <v>219</v>
      </c>
      <c r="C5159" s="491">
        <v>1</v>
      </c>
      <c r="D5159" s="491">
        <v>0</v>
      </c>
      <c r="E5159" s="491">
        <v>0</v>
      </c>
      <c r="F5159" s="491">
        <v>0</v>
      </c>
      <c r="G5159" s="491">
        <f t="shared" si="80"/>
        <v>1</v>
      </c>
    </row>
    <row r="5160" spans="1:7" ht="12.75">
      <c r="A5160" s="134" t="s">
        <v>119</v>
      </c>
      <c r="B5160" s="134">
        <v>301</v>
      </c>
      <c r="C5160" s="491">
        <v>0</v>
      </c>
      <c r="D5160" s="491">
        <v>2</v>
      </c>
      <c r="E5160" s="491">
        <v>0</v>
      </c>
      <c r="F5160" s="491">
        <v>0</v>
      </c>
      <c r="G5160" s="491">
        <f t="shared" si="80"/>
        <v>2</v>
      </c>
    </row>
    <row r="5161" spans="1:7" ht="12.75">
      <c r="A5161" s="134" t="s">
        <v>119</v>
      </c>
      <c r="B5161" s="134">
        <v>320</v>
      </c>
      <c r="C5161" s="491">
        <v>0</v>
      </c>
      <c r="D5161" s="491">
        <v>3</v>
      </c>
      <c r="E5161" s="491">
        <v>0</v>
      </c>
      <c r="F5161" s="491">
        <v>0</v>
      </c>
      <c r="G5161" s="491">
        <f t="shared" si="80"/>
        <v>3</v>
      </c>
    </row>
    <row r="5162" spans="1:7" ht="12.75">
      <c r="A5162" s="134" t="s">
        <v>119</v>
      </c>
      <c r="B5162" s="134">
        <v>340</v>
      </c>
      <c r="C5162" s="491">
        <v>0</v>
      </c>
      <c r="D5162" s="491">
        <v>1</v>
      </c>
      <c r="E5162" s="491">
        <v>0</v>
      </c>
      <c r="F5162" s="491">
        <v>0</v>
      </c>
      <c r="G5162" s="491">
        <f t="shared" si="80"/>
        <v>1</v>
      </c>
    </row>
    <row r="5163" spans="1:7" ht="12.75">
      <c r="A5163" s="134" t="s">
        <v>119</v>
      </c>
      <c r="B5163" s="134">
        <v>410</v>
      </c>
      <c r="C5163" s="491">
        <v>3</v>
      </c>
      <c r="D5163" s="491">
        <v>4</v>
      </c>
      <c r="E5163" s="491">
        <v>0</v>
      </c>
      <c r="F5163" s="491">
        <v>0</v>
      </c>
      <c r="G5163" s="491">
        <f t="shared" si="80"/>
        <v>7</v>
      </c>
    </row>
    <row r="5164" spans="1:7" ht="12.75">
      <c r="A5164" s="134" t="s">
        <v>119</v>
      </c>
      <c r="B5164" s="134">
        <v>420</v>
      </c>
      <c r="C5164" s="491">
        <v>1</v>
      </c>
      <c r="D5164" s="491">
        <v>0</v>
      </c>
      <c r="E5164" s="491">
        <v>0</v>
      </c>
      <c r="F5164" s="491">
        <v>0</v>
      </c>
      <c r="G5164" s="491">
        <f t="shared" si="80"/>
        <v>1</v>
      </c>
    </row>
    <row r="5165" spans="1:7" ht="12.75">
      <c r="A5165" s="134" t="s">
        <v>119</v>
      </c>
      <c r="B5165" s="134">
        <v>501</v>
      </c>
      <c r="C5165" s="491">
        <v>3</v>
      </c>
      <c r="D5165" s="491">
        <v>0</v>
      </c>
      <c r="E5165" s="491">
        <v>0</v>
      </c>
      <c r="F5165" s="491">
        <v>0</v>
      </c>
      <c r="G5165" s="491">
        <f t="shared" si="80"/>
        <v>3</v>
      </c>
    </row>
    <row r="5166" spans="1:7" ht="12.75">
      <c r="A5166" s="134" t="s">
        <v>119</v>
      </c>
      <c r="B5166" s="134">
        <v>502</v>
      </c>
      <c r="C5166" s="491">
        <v>1</v>
      </c>
      <c r="D5166" s="491">
        <v>2</v>
      </c>
      <c r="E5166" s="491">
        <v>0</v>
      </c>
      <c r="F5166" s="491">
        <v>0</v>
      </c>
      <c r="G5166" s="491">
        <f t="shared" si="80"/>
        <v>3</v>
      </c>
    </row>
    <row r="5167" spans="1:7" ht="12.75">
      <c r="A5167" s="134" t="s">
        <v>119</v>
      </c>
      <c r="B5167" s="134">
        <v>560</v>
      </c>
      <c r="C5167" s="491">
        <v>1</v>
      </c>
      <c r="D5167" s="491">
        <v>0</v>
      </c>
      <c r="E5167" s="491">
        <v>0</v>
      </c>
      <c r="F5167" s="491">
        <v>0</v>
      </c>
      <c r="G5167" s="491">
        <f t="shared" si="80"/>
        <v>1</v>
      </c>
    </row>
    <row r="5168" spans="1:7" ht="12.75">
      <c r="A5168" s="134" t="s">
        <v>119</v>
      </c>
      <c r="B5168" s="134">
        <v>650</v>
      </c>
      <c r="C5168" s="491">
        <v>3</v>
      </c>
      <c r="D5168" s="491">
        <v>1</v>
      </c>
      <c r="E5168" s="491">
        <v>0</v>
      </c>
      <c r="F5168" s="491">
        <v>0</v>
      </c>
      <c r="G5168" s="491">
        <f t="shared" si="80"/>
        <v>4</v>
      </c>
    </row>
    <row r="5169" spans="1:7" ht="12.75">
      <c r="A5169" s="134" t="s">
        <v>119</v>
      </c>
      <c r="B5169" s="134">
        <v>812</v>
      </c>
      <c r="C5169" s="491">
        <v>44</v>
      </c>
      <c r="D5169" s="491">
        <v>1</v>
      </c>
      <c r="E5169" s="491">
        <v>0</v>
      </c>
      <c r="F5169" s="491">
        <v>0</v>
      </c>
      <c r="G5169" s="491">
        <f t="shared" si="80"/>
        <v>45</v>
      </c>
    </row>
    <row r="5170" spans="1:7" ht="12.75">
      <c r="A5170" s="134" t="s">
        <v>120</v>
      </c>
      <c r="B5170" s="134">
        <v>100</v>
      </c>
      <c r="C5170" s="491">
        <v>1</v>
      </c>
      <c r="D5170" s="491">
        <v>0</v>
      </c>
      <c r="E5170" s="491">
        <v>0</v>
      </c>
      <c r="F5170" s="491">
        <v>0</v>
      </c>
      <c r="G5170" s="491">
        <f t="shared" si="80"/>
        <v>1</v>
      </c>
    </row>
    <row r="5171" spans="1:7" ht="12.75">
      <c r="A5171" s="134" t="s">
        <v>120</v>
      </c>
      <c r="B5171" s="134">
        <v>110</v>
      </c>
      <c r="C5171" s="491">
        <v>2</v>
      </c>
      <c r="D5171" s="491">
        <v>2</v>
      </c>
      <c r="E5171" s="491">
        <v>0</v>
      </c>
      <c r="F5171" s="491">
        <v>0</v>
      </c>
      <c r="G5171" s="491">
        <f t="shared" si="80"/>
        <v>4</v>
      </c>
    </row>
    <row r="5172" spans="1:7" ht="12.75">
      <c r="A5172" s="134" t="s">
        <v>120</v>
      </c>
      <c r="B5172" s="134">
        <v>264</v>
      </c>
      <c r="C5172" s="491">
        <v>0</v>
      </c>
      <c r="D5172" s="491">
        <v>0</v>
      </c>
      <c r="E5172" s="491">
        <v>1</v>
      </c>
      <c r="F5172" s="491">
        <v>0</v>
      </c>
      <c r="G5172" s="491">
        <f t="shared" si="80"/>
        <v>1</v>
      </c>
    </row>
    <row r="5173" spans="1:7" ht="12.75">
      <c r="A5173" s="134" t="s">
        <v>120</v>
      </c>
      <c r="B5173" s="134">
        <v>300</v>
      </c>
      <c r="C5173" s="491">
        <v>1</v>
      </c>
      <c r="D5173" s="491">
        <v>0</v>
      </c>
      <c r="E5173" s="491">
        <v>0</v>
      </c>
      <c r="F5173" s="491">
        <v>0</v>
      </c>
      <c r="G5173" s="491">
        <f t="shared" si="80"/>
        <v>1</v>
      </c>
    </row>
    <row r="5174" spans="1:7" ht="12.75">
      <c r="A5174" s="134" t="s">
        <v>120</v>
      </c>
      <c r="B5174" s="134">
        <v>340</v>
      </c>
      <c r="C5174" s="491">
        <v>1</v>
      </c>
      <c r="D5174" s="491">
        <v>0</v>
      </c>
      <c r="E5174" s="491">
        <v>0</v>
      </c>
      <c r="F5174" s="491">
        <v>0</v>
      </c>
      <c r="G5174" s="491">
        <f t="shared" si="80"/>
        <v>1</v>
      </c>
    </row>
    <row r="5175" spans="1:7" ht="12.75">
      <c r="A5175" s="134" t="s">
        <v>120</v>
      </c>
      <c r="B5175" s="134">
        <v>420</v>
      </c>
      <c r="C5175" s="491">
        <v>0</v>
      </c>
      <c r="D5175" s="491">
        <v>0</v>
      </c>
      <c r="E5175" s="491">
        <v>1</v>
      </c>
      <c r="F5175" s="491">
        <v>0</v>
      </c>
      <c r="G5175" s="491">
        <f t="shared" si="80"/>
        <v>1</v>
      </c>
    </row>
    <row r="5176" spans="1:7" ht="12.75">
      <c r="A5176" s="134" t="s">
        <v>120</v>
      </c>
      <c r="B5176" s="134">
        <v>430</v>
      </c>
      <c r="C5176" s="491">
        <v>1</v>
      </c>
      <c r="D5176" s="491">
        <v>0</v>
      </c>
      <c r="E5176" s="491">
        <v>0</v>
      </c>
      <c r="F5176" s="491">
        <v>0</v>
      </c>
      <c r="G5176" s="491">
        <f t="shared" si="80"/>
        <v>1</v>
      </c>
    </row>
    <row r="5177" spans="1:7" ht="12.75">
      <c r="A5177" s="134" t="s">
        <v>121</v>
      </c>
      <c r="B5177" s="134">
        <v>110</v>
      </c>
      <c r="C5177" s="491">
        <v>9</v>
      </c>
      <c r="D5177" s="491">
        <v>8</v>
      </c>
      <c r="E5177" s="491">
        <v>1</v>
      </c>
      <c r="F5177" s="491">
        <v>0</v>
      </c>
      <c r="G5177" s="491">
        <f t="shared" si="80"/>
        <v>18</v>
      </c>
    </row>
    <row r="5178" spans="1:7" ht="12.75">
      <c r="A5178" s="134" t="s">
        <v>121</v>
      </c>
      <c r="B5178" s="134">
        <v>144</v>
      </c>
      <c r="C5178" s="491">
        <v>1</v>
      </c>
      <c r="D5178" s="491">
        <v>0</v>
      </c>
      <c r="E5178" s="491">
        <v>0</v>
      </c>
      <c r="F5178" s="491">
        <v>0</v>
      </c>
      <c r="G5178" s="491">
        <f t="shared" si="80"/>
        <v>1</v>
      </c>
    </row>
    <row r="5179" spans="1:7" ht="12.75">
      <c r="A5179" s="134" t="s">
        <v>121</v>
      </c>
      <c r="B5179" s="134">
        <v>190</v>
      </c>
      <c r="C5179" s="491">
        <v>2</v>
      </c>
      <c r="D5179" s="491">
        <v>0</v>
      </c>
      <c r="E5179" s="491">
        <v>0</v>
      </c>
      <c r="F5179" s="491">
        <v>0</v>
      </c>
      <c r="G5179" s="491">
        <f t="shared" si="80"/>
        <v>2</v>
      </c>
    </row>
    <row r="5180" spans="1:7" ht="12.75">
      <c r="A5180" s="134" t="s">
        <v>121</v>
      </c>
      <c r="B5180" s="134">
        <v>410</v>
      </c>
      <c r="C5180" s="491">
        <v>4</v>
      </c>
      <c r="D5180" s="491">
        <v>4</v>
      </c>
      <c r="E5180" s="491">
        <v>0</v>
      </c>
      <c r="F5180" s="491">
        <v>0</v>
      </c>
      <c r="G5180" s="491">
        <f t="shared" si="80"/>
        <v>8</v>
      </c>
    </row>
    <row r="5181" spans="1:7" ht="12.75">
      <c r="A5181" s="134" t="s">
        <v>121</v>
      </c>
      <c r="B5181" s="134">
        <v>430</v>
      </c>
      <c r="C5181" s="491">
        <v>1</v>
      </c>
      <c r="D5181" s="491">
        <v>5</v>
      </c>
      <c r="E5181" s="491">
        <v>0</v>
      </c>
      <c r="F5181" s="491">
        <v>0</v>
      </c>
      <c r="G5181" s="491">
        <f t="shared" si="80"/>
        <v>6</v>
      </c>
    </row>
    <row r="5182" spans="1:7" ht="12.75">
      <c r="A5182" s="134" t="s">
        <v>121</v>
      </c>
      <c r="B5182" s="134">
        <v>501</v>
      </c>
      <c r="C5182" s="491">
        <v>0</v>
      </c>
      <c r="D5182" s="491">
        <v>1</v>
      </c>
      <c r="E5182" s="491">
        <v>0</v>
      </c>
      <c r="F5182" s="491">
        <v>0</v>
      </c>
      <c r="G5182" s="491">
        <f t="shared" si="80"/>
        <v>1</v>
      </c>
    </row>
    <row r="5183" spans="1:7" ht="12.75">
      <c r="A5183" s="134" t="s">
        <v>121</v>
      </c>
      <c r="B5183" s="134">
        <v>502</v>
      </c>
      <c r="C5183" s="491">
        <v>1</v>
      </c>
      <c r="D5183" s="491">
        <v>0</v>
      </c>
      <c r="E5183" s="491">
        <v>0</v>
      </c>
      <c r="F5183" s="491">
        <v>0</v>
      </c>
      <c r="G5183" s="491">
        <f t="shared" si="80"/>
        <v>1</v>
      </c>
    </row>
    <row r="5184" spans="1:7" ht="12.75">
      <c r="A5184" s="134" t="s">
        <v>122</v>
      </c>
      <c r="B5184" s="134">
        <v>110</v>
      </c>
      <c r="C5184" s="491">
        <v>1</v>
      </c>
      <c r="D5184" s="491">
        <v>0</v>
      </c>
      <c r="E5184" s="491">
        <v>0</v>
      </c>
      <c r="F5184" s="491">
        <v>0</v>
      </c>
      <c r="G5184" s="491">
        <f t="shared" si="80"/>
        <v>1</v>
      </c>
    </row>
    <row r="5185" spans="1:7" ht="12.75">
      <c r="A5185" s="134" t="s">
        <v>122</v>
      </c>
      <c r="B5185" s="134">
        <v>130</v>
      </c>
      <c r="C5185" s="491">
        <v>6</v>
      </c>
      <c r="D5185" s="491">
        <v>1</v>
      </c>
      <c r="E5185" s="491">
        <v>0</v>
      </c>
      <c r="F5185" s="491">
        <v>0</v>
      </c>
      <c r="G5185" s="491">
        <f t="shared" si="80"/>
        <v>7</v>
      </c>
    </row>
    <row r="5186" spans="1:7" ht="12.75">
      <c r="A5186" s="134" t="s">
        <v>122</v>
      </c>
      <c r="B5186" s="134">
        <v>214</v>
      </c>
      <c r="C5186" s="491">
        <v>1</v>
      </c>
      <c r="D5186" s="491">
        <v>0</v>
      </c>
      <c r="E5186" s="491">
        <v>0</v>
      </c>
      <c r="F5186" s="491">
        <v>0</v>
      </c>
      <c r="G5186" s="491">
        <f t="shared" si="80"/>
        <v>1</v>
      </c>
    </row>
    <row r="5187" spans="1:7" ht="12.75">
      <c r="A5187" s="134" t="s">
        <v>122</v>
      </c>
      <c r="B5187" s="134">
        <v>303</v>
      </c>
      <c r="C5187" s="491">
        <v>1</v>
      </c>
      <c r="D5187" s="491">
        <v>0</v>
      </c>
      <c r="E5187" s="491">
        <v>0</v>
      </c>
      <c r="F5187" s="491">
        <v>0</v>
      </c>
      <c r="G5187" s="491">
        <f t="shared" si="80"/>
        <v>1</v>
      </c>
    </row>
    <row r="5188" spans="1:7" ht="12.75">
      <c r="A5188" s="134" t="s">
        <v>122</v>
      </c>
      <c r="B5188" s="134">
        <v>361</v>
      </c>
      <c r="C5188" s="491">
        <v>3</v>
      </c>
      <c r="D5188" s="491">
        <v>0</v>
      </c>
      <c r="E5188" s="491">
        <v>0</v>
      </c>
      <c r="F5188" s="491">
        <v>0</v>
      </c>
      <c r="G5188" s="491">
        <f t="shared" ref="G5188:G5251" si="81">SUM(C5188:F5188)</f>
        <v>3</v>
      </c>
    </row>
    <row r="5189" spans="1:7" ht="12.75">
      <c r="A5189" s="134" t="s">
        <v>123</v>
      </c>
      <c r="B5189" s="134">
        <v>110</v>
      </c>
      <c r="C5189" s="491">
        <v>44</v>
      </c>
      <c r="D5189" s="491">
        <v>12</v>
      </c>
      <c r="E5189" s="491">
        <v>0</v>
      </c>
      <c r="F5189" s="491">
        <v>0</v>
      </c>
      <c r="G5189" s="491">
        <f t="shared" si="81"/>
        <v>56</v>
      </c>
    </row>
    <row r="5190" spans="1:7" ht="12.75">
      <c r="A5190" s="134" t="s">
        <v>123</v>
      </c>
      <c r="B5190" s="134">
        <v>214</v>
      </c>
      <c r="C5190" s="491">
        <v>1</v>
      </c>
      <c r="D5190" s="491">
        <v>0</v>
      </c>
      <c r="E5190" s="491">
        <v>0</v>
      </c>
      <c r="F5190" s="491">
        <v>0</v>
      </c>
      <c r="G5190" s="491">
        <f t="shared" si="81"/>
        <v>1</v>
      </c>
    </row>
    <row r="5191" spans="1:7" ht="12.75">
      <c r="A5191" s="134" t="s">
        <v>123</v>
      </c>
      <c r="B5191" s="134">
        <v>291</v>
      </c>
      <c r="C5191" s="491">
        <v>0</v>
      </c>
      <c r="D5191" s="491">
        <v>0</v>
      </c>
      <c r="E5191" s="491">
        <v>1</v>
      </c>
      <c r="F5191" s="491">
        <v>0</v>
      </c>
      <c r="G5191" s="491">
        <f t="shared" si="81"/>
        <v>1</v>
      </c>
    </row>
    <row r="5192" spans="1:7" ht="12.75">
      <c r="A5192" s="134" t="s">
        <v>123</v>
      </c>
      <c r="B5192" s="134">
        <v>410</v>
      </c>
      <c r="C5192" s="491">
        <v>18</v>
      </c>
      <c r="D5192" s="491">
        <v>5</v>
      </c>
      <c r="E5192" s="491">
        <v>0</v>
      </c>
      <c r="F5192" s="491">
        <v>0</v>
      </c>
      <c r="G5192" s="491">
        <f t="shared" si="81"/>
        <v>23</v>
      </c>
    </row>
    <row r="5193" spans="1:7" ht="12.75">
      <c r="A5193" s="134" t="s">
        <v>123</v>
      </c>
      <c r="B5193" s="134">
        <v>501</v>
      </c>
      <c r="C5193" s="491">
        <v>1</v>
      </c>
      <c r="D5193" s="491">
        <v>0</v>
      </c>
      <c r="E5193" s="491">
        <v>0</v>
      </c>
      <c r="F5193" s="491">
        <v>0</v>
      </c>
      <c r="G5193" s="491">
        <f t="shared" si="81"/>
        <v>1</v>
      </c>
    </row>
    <row r="5194" spans="1:7" ht="12.75">
      <c r="A5194" s="134" t="s">
        <v>123</v>
      </c>
      <c r="B5194" s="134">
        <v>650</v>
      </c>
      <c r="C5194" s="491">
        <v>24</v>
      </c>
      <c r="D5194" s="491">
        <v>5</v>
      </c>
      <c r="E5194" s="491">
        <v>0</v>
      </c>
      <c r="F5194" s="491">
        <v>0</v>
      </c>
      <c r="G5194" s="491">
        <f t="shared" si="81"/>
        <v>29</v>
      </c>
    </row>
    <row r="5195" spans="1:7" ht="12.75">
      <c r="A5195" s="134" t="s">
        <v>123</v>
      </c>
      <c r="B5195" s="134">
        <v>811</v>
      </c>
      <c r="C5195" s="491">
        <v>1</v>
      </c>
      <c r="D5195" s="491">
        <v>18</v>
      </c>
      <c r="E5195" s="491">
        <v>0</v>
      </c>
      <c r="F5195" s="491">
        <v>1</v>
      </c>
      <c r="G5195" s="491">
        <f t="shared" si="81"/>
        <v>20</v>
      </c>
    </row>
    <row r="5196" spans="1:7" ht="12.75">
      <c r="A5196" s="134" t="s">
        <v>124</v>
      </c>
      <c r="B5196" s="134">
        <v>103</v>
      </c>
      <c r="C5196" s="491">
        <v>1</v>
      </c>
      <c r="D5196" s="491">
        <v>0</v>
      </c>
      <c r="E5196" s="491">
        <v>0</v>
      </c>
      <c r="F5196" s="491">
        <v>0</v>
      </c>
      <c r="G5196" s="491">
        <f t="shared" si="81"/>
        <v>1</v>
      </c>
    </row>
    <row r="5197" spans="1:7" ht="12.75">
      <c r="A5197" s="134" t="s">
        <v>124</v>
      </c>
      <c r="B5197" s="134">
        <v>110</v>
      </c>
      <c r="C5197" s="491">
        <v>230</v>
      </c>
      <c r="D5197" s="491">
        <v>77</v>
      </c>
      <c r="E5197" s="491">
        <v>0</v>
      </c>
      <c r="F5197" s="491">
        <v>0</v>
      </c>
      <c r="G5197" s="491">
        <f t="shared" si="81"/>
        <v>307</v>
      </c>
    </row>
    <row r="5198" spans="1:7" ht="12.75">
      <c r="A5198" s="134" t="s">
        <v>124</v>
      </c>
      <c r="B5198" s="134">
        <v>191</v>
      </c>
      <c r="C5198" s="491">
        <v>4</v>
      </c>
      <c r="D5198" s="491">
        <v>2</v>
      </c>
      <c r="E5198" s="491">
        <v>0</v>
      </c>
      <c r="F5198" s="491">
        <v>0</v>
      </c>
      <c r="G5198" s="491">
        <f t="shared" si="81"/>
        <v>6</v>
      </c>
    </row>
    <row r="5199" spans="1:7" ht="12.75">
      <c r="A5199" s="134" t="s">
        <v>124</v>
      </c>
      <c r="B5199" s="134">
        <v>303</v>
      </c>
      <c r="C5199" s="491">
        <v>2</v>
      </c>
      <c r="D5199" s="491">
        <v>0</v>
      </c>
      <c r="E5199" s="491">
        <v>0</v>
      </c>
      <c r="F5199" s="491">
        <v>0</v>
      </c>
      <c r="G5199" s="491">
        <f t="shared" si="81"/>
        <v>2</v>
      </c>
    </row>
    <row r="5200" spans="1:7" ht="12.75">
      <c r="A5200" s="134" t="s">
        <v>124</v>
      </c>
      <c r="B5200" s="134">
        <v>314</v>
      </c>
      <c r="C5200" s="491">
        <v>1</v>
      </c>
      <c r="D5200" s="491">
        <v>0</v>
      </c>
      <c r="E5200" s="491">
        <v>0</v>
      </c>
      <c r="F5200" s="491">
        <v>0</v>
      </c>
      <c r="G5200" s="491">
        <f t="shared" si="81"/>
        <v>1</v>
      </c>
    </row>
    <row r="5201" spans="1:7" ht="12.75">
      <c r="A5201" s="134" t="s">
        <v>124</v>
      </c>
      <c r="B5201" s="134">
        <v>315</v>
      </c>
      <c r="C5201" s="491">
        <v>1</v>
      </c>
      <c r="D5201" s="491">
        <v>0</v>
      </c>
      <c r="E5201" s="491">
        <v>0</v>
      </c>
      <c r="F5201" s="491">
        <v>0</v>
      </c>
      <c r="G5201" s="491">
        <f t="shared" si="81"/>
        <v>1</v>
      </c>
    </row>
    <row r="5202" spans="1:7" ht="12.75">
      <c r="A5202" s="134" t="s">
        <v>124</v>
      </c>
      <c r="B5202" s="134">
        <v>320</v>
      </c>
      <c r="C5202" s="491">
        <v>0</v>
      </c>
      <c r="D5202" s="491">
        <v>1</v>
      </c>
      <c r="E5202" s="491">
        <v>0</v>
      </c>
      <c r="F5202" s="491">
        <v>0</v>
      </c>
      <c r="G5202" s="491">
        <f t="shared" si="81"/>
        <v>1</v>
      </c>
    </row>
    <row r="5203" spans="1:7" ht="12.75">
      <c r="A5203" s="134" t="s">
        <v>124</v>
      </c>
      <c r="B5203" s="134">
        <v>330</v>
      </c>
      <c r="C5203" s="491">
        <v>1</v>
      </c>
      <c r="D5203" s="491">
        <v>0</v>
      </c>
      <c r="E5203" s="491">
        <v>0</v>
      </c>
      <c r="F5203" s="491">
        <v>0</v>
      </c>
      <c r="G5203" s="491">
        <f t="shared" si="81"/>
        <v>1</v>
      </c>
    </row>
    <row r="5204" spans="1:7" ht="12.75">
      <c r="A5204" s="134" t="s">
        <v>124</v>
      </c>
      <c r="B5204" s="134">
        <v>350</v>
      </c>
      <c r="C5204" s="491">
        <v>1</v>
      </c>
      <c r="D5204" s="491">
        <v>0</v>
      </c>
      <c r="E5204" s="491">
        <v>0</v>
      </c>
      <c r="F5204" s="491">
        <v>0</v>
      </c>
      <c r="G5204" s="491">
        <f t="shared" si="81"/>
        <v>1</v>
      </c>
    </row>
    <row r="5205" spans="1:7" ht="12.75">
      <c r="A5205" s="134" t="s">
        <v>124</v>
      </c>
      <c r="B5205" s="134">
        <v>370</v>
      </c>
      <c r="C5205" s="491">
        <v>1</v>
      </c>
      <c r="D5205" s="491">
        <v>0</v>
      </c>
      <c r="E5205" s="491">
        <v>0</v>
      </c>
      <c r="F5205" s="491">
        <v>0</v>
      </c>
      <c r="G5205" s="491">
        <f t="shared" si="81"/>
        <v>1</v>
      </c>
    </row>
    <row r="5206" spans="1:7" ht="12.75">
      <c r="A5206" s="134" t="s">
        <v>124</v>
      </c>
      <c r="B5206" s="134">
        <v>410</v>
      </c>
      <c r="C5206" s="491">
        <v>18</v>
      </c>
      <c r="D5206" s="491">
        <v>3</v>
      </c>
      <c r="E5206" s="491">
        <v>0</v>
      </c>
      <c r="F5206" s="491">
        <v>0</v>
      </c>
      <c r="G5206" s="491">
        <f t="shared" si="81"/>
        <v>21</v>
      </c>
    </row>
    <row r="5207" spans="1:7" ht="12.75">
      <c r="A5207" s="134" t="s">
        <v>124</v>
      </c>
      <c r="B5207" s="134">
        <v>650</v>
      </c>
      <c r="C5207" s="491">
        <v>10</v>
      </c>
      <c r="D5207" s="491">
        <v>7</v>
      </c>
      <c r="E5207" s="491">
        <v>0</v>
      </c>
      <c r="F5207" s="491">
        <v>0</v>
      </c>
      <c r="G5207" s="491">
        <f t="shared" si="81"/>
        <v>17</v>
      </c>
    </row>
    <row r="5208" spans="1:7" ht="12.75">
      <c r="A5208" s="134" t="s">
        <v>124</v>
      </c>
      <c r="B5208" s="134">
        <v>811</v>
      </c>
      <c r="C5208" s="491">
        <v>4</v>
      </c>
      <c r="D5208" s="491">
        <v>139</v>
      </c>
      <c r="E5208" s="491">
        <v>0</v>
      </c>
      <c r="F5208" s="491">
        <v>29</v>
      </c>
      <c r="G5208" s="491">
        <f t="shared" si="81"/>
        <v>172</v>
      </c>
    </row>
    <row r="5209" spans="1:7" ht="12.75">
      <c r="A5209" s="134" t="s">
        <v>124</v>
      </c>
      <c r="B5209" s="134">
        <v>812</v>
      </c>
      <c r="C5209" s="491">
        <v>37</v>
      </c>
      <c r="D5209" s="491">
        <v>46</v>
      </c>
      <c r="E5209" s="491">
        <v>0</v>
      </c>
      <c r="F5209" s="491">
        <v>0</v>
      </c>
      <c r="G5209" s="491">
        <f t="shared" si="81"/>
        <v>83</v>
      </c>
    </row>
    <row r="5210" spans="1:7" ht="12.75">
      <c r="A5210" s="134" t="s">
        <v>125</v>
      </c>
      <c r="B5210" s="134">
        <v>110</v>
      </c>
      <c r="C5210" s="491">
        <v>15</v>
      </c>
      <c r="D5210" s="491">
        <v>6</v>
      </c>
      <c r="E5210" s="491">
        <v>0</v>
      </c>
      <c r="F5210" s="491">
        <v>0</v>
      </c>
      <c r="G5210" s="491">
        <f t="shared" si="81"/>
        <v>21</v>
      </c>
    </row>
    <row r="5211" spans="1:7" ht="12.75">
      <c r="A5211" s="134" t="s">
        <v>125</v>
      </c>
      <c r="B5211" s="134">
        <v>650</v>
      </c>
      <c r="C5211" s="491">
        <v>2</v>
      </c>
      <c r="D5211" s="491">
        <v>0</v>
      </c>
      <c r="E5211" s="491">
        <v>0</v>
      </c>
      <c r="F5211" s="491">
        <v>0</v>
      </c>
      <c r="G5211" s="491">
        <f t="shared" si="81"/>
        <v>2</v>
      </c>
    </row>
    <row r="5212" spans="1:7" ht="12.75">
      <c r="A5212" s="134" t="s">
        <v>125</v>
      </c>
      <c r="B5212" s="134">
        <v>811</v>
      </c>
      <c r="C5212" s="491">
        <v>0</v>
      </c>
      <c r="D5212" s="491">
        <v>0</v>
      </c>
      <c r="E5212" s="491">
        <v>0</v>
      </c>
      <c r="F5212" s="491">
        <v>2</v>
      </c>
      <c r="G5212" s="491">
        <f t="shared" si="81"/>
        <v>2</v>
      </c>
    </row>
    <row r="5213" spans="1:7" ht="12.75">
      <c r="A5213" s="134" t="s">
        <v>125</v>
      </c>
      <c r="B5213" s="134">
        <v>812</v>
      </c>
      <c r="C5213" s="491">
        <v>4</v>
      </c>
      <c r="D5213" s="491">
        <v>4</v>
      </c>
      <c r="E5213" s="491">
        <v>0</v>
      </c>
      <c r="F5213" s="491">
        <v>0</v>
      </c>
      <c r="G5213" s="491">
        <f t="shared" si="81"/>
        <v>8</v>
      </c>
    </row>
    <row r="5214" spans="1:7" ht="12.75">
      <c r="A5214" s="134" t="s">
        <v>126</v>
      </c>
      <c r="B5214" s="134">
        <v>110</v>
      </c>
      <c r="C5214" s="491">
        <v>216</v>
      </c>
      <c r="D5214" s="491">
        <v>117</v>
      </c>
      <c r="E5214" s="491">
        <v>5</v>
      </c>
      <c r="F5214" s="491">
        <v>1</v>
      </c>
      <c r="G5214" s="491">
        <f t="shared" si="81"/>
        <v>339</v>
      </c>
    </row>
    <row r="5215" spans="1:7" ht="12.75">
      <c r="A5215" s="134" t="s">
        <v>126</v>
      </c>
      <c r="B5215" s="134">
        <v>191</v>
      </c>
      <c r="C5215" s="491">
        <v>3</v>
      </c>
      <c r="D5215" s="491">
        <v>0</v>
      </c>
      <c r="E5215" s="491">
        <v>0</v>
      </c>
      <c r="F5215" s="491">
        <v>0</v>
      </c>
      <c r="G5215" s="491">
        <f t="shared" si="81"/>
        <v>3</v>
      </c>
    </row>
    <row r="5216" spans="1:7" ht="12.75">
      <c r="A5216" s="134" t="s">
        <v>126</v>
      </c>
      <c r="B5216" s="134">
        <v>300</v>
      </c>
      <c r="C5216" s="491">
        <v>1</v>
      </c>
      <c r="D5216" s="491">
        <v>0</v>
      </c>
      <c r="E5216" s="491">
        <v>0</v>
      </c>
      <c r="F5216" s="491">
        <v>0</v>
      </c>
      <c r="G5216" s="491">
        <f t="shared" si="81"/>
        <v>1</v>
      </c>
    </row>
    <row r="5217" spans="1:7" ht="12.75">
      <c r="A5217" s="134" t="s">
        <v>126</v>
      </c>
      <c r="B5217" s="134">
        <v>303</v>
      </c>
      <c r="C5217" s="491">
        <v>30</v>
      </c>
      <c r="D5217" s="491">
        <v>6</v>
      </c>
      <c r="E5217" s="491">
        <v>1</v>
      </c>
      <c r="F5217" s="491">
        <v>0</v>
      </c>
      <c r="G5217" s="491">
        <f t="shared" si="81"/>
        <v>37</v>
      </c>
    </row>
    <row r="5218" spans="1:7" ht="12.75">
      <c r="A5218" s="134" t="s">
        <v>126</v>
      </c>
      <c r="B5218" s="134">
        <v>410</v>
      </c>
      <c r="C5218" s="491">
        <v>3</v>
      </c>
      <c r="D5218" s="491">
        <v>3</v>
      </c>
      <c r="E5218" s="491">
        <v>0</v>
      </c>
      <c r="F5218" s="491">
        <v>0</v>
      </c>
      <c r="G5218" s="491">
        <f t="shared" si="81"/>
        <v>6</v>
      </c>
    </row>
    <row r="5219" spans="1:7" ht="12.75">
      <c r="A5219" s="134" t="s">
        <v>126</v>
      </c>
      <c r="B5219" s="134">
        <v>502</v>
      </c>
      <c r="C5219" s="491">
        <v>1</v>
      </c>
      <c r="D5219" s="491">
        <v>0</v>
      </c>
      <c r="E5219" s="491">
        <v>0</v>
      </c>
      <c r="F5219" s="491">
        <v>0</v>
      </c>
      <c r="G5219" s="491">
        <f t="shared" si="81"/>
        <v>1</v>
      </c>
    </row>
    <row r="5220" spans="1:7" ht="12.75">
      <c r="A5220" s="134" t="s">
        <v>126</v>
      </c>
      <c r="B5220" s="134">
        <v>650</v>
      </c>
      <c r="C5220" s="491">
        <v>477</v>
      </c>
      <c r="D5220" s="491">
        <v>254</v>
      </c>
      <c r="E5220" s="491">
        <v>0</v>
      </c>
      <c r="F5220" s="491">
        <v>0</v>
      </c>
      <c r="G5220" s="491">
        <f t="shared" si="81"/>
        <v>731</v>
      </c>
    </row>
    <row r="5221" spans="1:7" ht="12.75">
      <c r="A5221" s="134" t="s">
        <v>126</v>
      </c>
      <c r="B5221" s="134">
        <v>811</v>
      </c>
      <c r="C5221" s="491">
        <v>0</v>
      </c>
      <c r="D5221" s="491">
        <v>7</v>
      </c>
      <c r="E5221" s="491">
        <v>0</v>
      </c>
      <c r="F5221" s="491">
        <v>0</v>
      </c>
      <c r="G5221" s="491">
        <f t="shared" si="81"/>
        <v>7</v>
      </c>
    </row>
    <row r="5222" spans="1:7" ht="12.75">
      <c r="A5222" s="134" t="s">
        <v>126</v>
      </c>
      <c r="B5222" s="134">
        <v>812</v>
      </c>
      <c r="C5222" s="491">
        <v>8</v>
      </c>
      <c r="D5222" s="491">
        <v>0</v>
      </c>
      <c r="E5222" s="491">
        <v>0</v>
      </c>
      <c r="F5222" s="491">
        <v>0</v>
      </c>
      <c r="G5222" s="491">
        <f t="shared" si="81"/>
        <v>8</v>
      </c>
    </row>
    <row r="5223" spans="1:7" ht="12.75">
      <c r="A5223" s="134" t="s">
        <v>374</v>
      </c>
      <c r="B5223" s="134">
        <v>100</v>
      </c>
      <c r="C5223" s="491">
        <v>1</v>
      </c>
      <c r="D5223" s="491">
        <v>2</v>
      </c>
      <c r="E5223" s="491">
        <v>0</v>
      </c>
      <c r="F5223" s="491">
        <v>0</v>
      </c>
      <c r="G5223" s="491">
        <f t="shared" si="81"/>
        <v>3</v>
      </c>
    </row>
    <row r="5224" spans="1:7" ht="12.75">
      <c r="A5224" s="134" t="s">
        <v>374</v>
      </c>
      <c r="B5224" s="134">
        <v>103</v>
      </c>
      <c r="C5224" s="491">
        <v>2</v>
      </c>
      <c r="D5224" s="491">
        <v>0</v>
      </c>
      <c r="E5224" s="491">
        <v>0</v>
      </c>
      <c r="F5224" s="491">
        <v>0</v>
      </c>
      <c r="G5224" s="491">
        <f t="shared" si="81"/>
        <v>2</v>
      </c>
    </row>
    <row r="5225" spans="1:7" ht="12.75">
      <c r="A5225" s="134" t="s">
        <v>374</v>
      </c>
      <c r="B5225" s="134">
        <v>107</v>
      </c>
      <c r="C5225" s="491">
        <v>1</v>
      </c>
      <c r="D5225" s="491">
        <v>0</v>
      </c>
      <c r="E5225" s="491">
        <v>0</v>
      </c>
      <c r="F5225" s="491">
        <v>0</v>
      </c>
      <c r="G5225" s="491">
        <f t="shared" si="81"/>
        <v>1</v>
      </c>
    </row>
    <row r="5226" spans="1:7" ht="12.75">
      <c r="A5226" s="134" t="s">
        <v>374</v>
      </c>
      <c r="B5226" s="134">
        <v>110</v>
      </c>
      <c r="C5226" s="491">
        <v>3101</v>
      </c>
      <c r="D5226" s="491">
        <v>2678</v>
      </c>
      <c r="E5226" s="491">
        <v>43</v>
      </c>
      <c r="F5226" s="491">
        <v>51</v>
      </c>
      <c r="G5226" s="491">
        <f t="shared" si="81"/>
        <v>5873</v>
      </c>
    </row>
    <row r="5227" spans="1:7" ht="12.75">
      <c r="A5227" s="134" t="s">
        <v>374</v>
      </c>
      <c r="B5227" s="134">
        <v>130</v>
      </c>
      <c r="C5227" s="491">
        <v>1</v>
      </c>
      <c r="D5227" s="491">
        <v>0</v>
      </c>
      <c r="E5227" s="491">
        <v>0</v>
      </c>
      <c r="F5227" s="491">
        <v>0</v>
      </c>
      <c r="G5227" s="491">
        <f t="shared" si="81"/>
        <v>1</v>
      </c>
    </row>
    <row r="5228" spans="1:7" ht="12.75">
      <c r="A5228" s="134" t="s">
        <v>374</v>
      </c>
      <c r="B5228" s="134">
        <v>150</v>
      </c>
      <c r="C5228" s="491">
        <v>4</v>
      </c>
      <c r="D5228" s="491">
        <v>2</v>
      </c>
      <c r="E5228" s="491">
        <v>0</v>
      </c>
      <c r="F5228" s="491">
        <v>0</v>
      </c>
      <c r="G5228" s="491">
        <f t="shared" si="81"/>
        <v>6</v>
      </c>
    </row>
    <row r="5229" spans="1:7" ht="12.75">
      <c r="A5229" s="134" t="s">
        <v>374</v>
      </c>
      <c r="B5229" s="134">
        <v>180</v>
      </c>
      <c r="C5229" s="491">
        <v>4</v>
      </c>
      <c r="D5229" s="491">
        <v>15</v>
      </c>
      <c r="E5229" s="491">
        <v>0</v>
      </c>
      <c r="F5229" s="491">
        <v>0</v>
      </c>
      <c r="G5229" s="491">
        <f t="shared" si="81"/>
        <v>19</v>
      </c>
    </row>
    <row r="5230" spans="1:7" ht="12.75">
      <c r="A5230" s="134" t="s">
        <v>374</v>
      </c>
      <c r="B5230" s="134">
        <v>191</v>
      </c>
      <c r="C5230" s="491">
        <v>174</v>
      </c>
      <c r="D5230" s="491">
        <v>23</v>
      </c>
      <c r="E5230" s="491">
        <v>0</v>
      </c>
      <c r="F5230" s="491">
        <v>0</v>
      </c>
      <c r="G5230" s="491">
        <f t="shared" si="81"/>
        <v>197</v>
      </c>
    </row>
    <row r="5231" spans="1:7" ht="12.75">
      <c r="A5231" s="134" t="s">
        <v>374</v>
      </c>
      <c r="B5231" s="134">
        <v>214</v>
      </c>
      <c r="C5231" s="491">
        <v>162</v>
      </c>
      <c r="D5231" s="491">
        <v>75</v>
      </c>
      <c r="E5231" s="491">
        <v>1</v>
      </c>
      <c r="F5231" s="491">
        <v>1</v>
      </c>
      <c r="G5231" s="491">
        <f t="shared" si="81"/>
        <v>239</v>
      </c>
    </row>
    <row r="5232" spans="1:7" ht="12.75">
      <c r="A5232" s="134" t="s">
        <v>374</v>
      </c>
      <c r="B5232" s="134">
        <v>300</v>
      </c>
      <c r="C5232" s="491">
        <v>1</v>
      </c>
      <c r="D5232" s="491">
        <v>0</v>
      </c>
      <c r="E5232" s="491">
        <v>0</v>
      </c>
      <c r="F5232" s="491">
        <v>0</v>
      </c>
      <c r="G5232" s="491">
        <f t="shared" si="81"/>
        <v>1</v>
      </c>
    </row>
    <row r="5233" spans="1:7" ht="12.75">
      <c r="A5233" s="134" t="s">
        <v>374</v>
      </c>
      <c r="B5233" s="134">
        <v>303</v>
      </c>
      <c r="C5233" s="491">
        <v>0</v>
      </c>
      <c r="D5233" s="491">
        <v>1</v>
      </c>
      <c r="E5233" s="491">
        <v>0</v>
      </c>
      <c r="F5233" s="491">
        <v>0</v>
      </c>
      <c r="G5233" s="491">
        <f t="shared" si="81"/>
        <v>1</v>
      </c>
    </row>
    <row r="5234" spans="1:7" ht="12.75">
      <c r="A5234" s="134" t="s">
        <v>374</v>
      </c>
      <c r="B5234" s="134">
        <v>310</v>
      </c>
      <c r="C5234" s="491">
        <v>1</v>
      </c>
      <c r="D5234" s="491">
        <v>0</v>
      </c>
      <c r="E5234" s="491">
        <v>0</v>
      </c>
      <c r="F5234" s="491">
        <v>0</v>
      </c>
      <c r="G5234" s="491">
        <f t="shared" si="81"/>
        <v>1</v>
      </c>
    </row>
    <row r="5235" spans="1:7" ht="12.75">
      <c r="A5235" s="134" t="s">
        <v>374</v>
      </c>
      <c r="B5235" s="134">
        <v>314</v>
      </c>
      <c r="C5235" s="491">
        <v>6</v>
      </c>
      <c r="D5235" s="491">
        <v>2</v>
      </c>
      <c r="E5235" s="491">
        <v>0</v>
      </c>
      <c r="F5235" s="491">
        <v>0</v>
      </c>
      <c r="G5235" s="491">
        <f t="shared" si="81"/>
        <v>8</v>
      </c>
    </row>
    <row r="5236" spans="1:7" ht="12.75">
      <c r="A5236" s="134" t="s">
        <v>374</v>
      </c>
      <c r="B5236" s="134">
        <v>330</v>
      </c>
      <c r="C5236" s="491">
        <v>1</v>
      </c>
      <c r="D5236" s="491">
        <v>0</v>
      </c>
      <c r="E5236" s="491">
        <v>0</v>
      </c>
      <c r="F5236" s="491">
        <v>0</v>
      </c>
      <c r="G5236" s="491">
        <f t="shared" si="81"/>
        <v>1</v>
      </c>
    </row>
    <row r="5237" spans="1:7" ht="12.75">
      <c r="A5237" s="134" t="s">
        <v>374</v>
      </c>
      <c r="B5237" s="134">
        <v>370</v>
      </c>
      <c r="C5237" s="491">
        <v>1</v>
      </c>
      <c r="D5237" s="491">
        <v>0</v>
      </c>
      <c r="E5237" s="491">
        <v>0</v>
      </c>
      <c r="F5237" s="491">
        <v>0</v>
      </c>
      <c r="G5237" s="491">
        <f t="shared" si="81"/>
        <v>1</v>
      </c>
    </row>
    <row r="5238" spans="1:7" ht="12.75">
      <c r="A5238" s="134" t="s">
        <v>374</v>
      </c>
      <c r="B5238" s="134">
        <v>410</v>
      </c>
      <c r="C5238" s="491">
        <v>523</v>
      </c>
      <c r="D5238" s="491">
        <v>201</v>
      </c>
      <c r="E5238" s="491">
        <v>4</v>
      </c>
      <c r="F5238" s="491">
        <v>3</v>
      </c>
      <c r="G5238" s="491">
        <f t="shared" si="81"/>
        <v>731</v>
      </c>
    </row>
    <row r="5239" spans="1:7" ht="12.75">
      <c r="A5239" s="134" t="s">
        <v>374</v>
      </c>
      <c r="B5239" s="134">
        <v>420</v>
      </c>
      <c r="C5239" s="491">
        <v>2</v>
      </c>
      <c r="D5239" s="491">
        <v>0</v>
      </c>
      <c r="E5239" s="491">
        <v>0</v>
      </c>
      <c r="F5239" s="491">
        <v>0</v>
      </c>
      <c r="G5239" s="491">
        <f t="shared" si="81"/>
        <v>2</v>
      </c>
    </row>
    <row r="5240" spans="1:7" ht="12.75">
      <c r="A5240" s="134" t="s">
        <v>374</v>
      </c>
      <c r="B5240" s="134">
        <v>650</v>
      </c>
      <c r="C5240" s="491">
        <v>3</v>
      </c>
      <c r="D5240" s="491">
        <v>16</v>
      </c>
      <c r="E5240" s="491">
        <v>0</v>
      </c>
      <c r="F5240" s="491">
        <v>0</v>
      </c>
      <c r="G5240" s="491">
        <f t="shared" si="81"/>
        <v>19</v>
      </c>
    </row>
    <row r="5241" spans="1:7" ht="12.75">
      <c r="A5241" s="134" t="s">
        <v>374</v>
      </c>
      <c r="B5241" s="134">
        <v>653</v>
      </c>
      <c r="C5241" s="491">
        <v>1</v>
      </c>
      <c r="D5241" s="491">
        <v>0</v>
      </c>
      <c r="E5241" s="491">
        <v>0</v>
      </c>
      <c r="F5241" s="491">
        <v>0</v>
      </c>
      <c r="G5241" s="491">
        <f t="shared" si="81"/>
        <v>1</v>
      </c>
    </row>
    <row r="5242" spans="1:7" ht="12.75">
      <c r="A5242" s="134" t="s">
        <v>374</v>
      </c>
      <c r="B5242" s="134">
        <v>658</v>
      </c>
      <c r="C5242" s="491">
        <v>18</v>
      </c>
      <c r="D5242" s="491">
        <v>1</v>
      </c>
      <c r="E5242" s="491">
        <v>0</v>
      </c>
      <c r="F5242" s="491">
        <v>0</v>
      </c>
      <c r="G5242" s="491">
        <f t="shared" si="81"/>
        <v>19</v>
      </c>
    </row>
    <row r="5243" spans="1:7" ht="12.75">
      <c r="A5243" s="134" t="s">
        <v>374</v>
      </c>
      <c r="B5243" s="134">
        <v>800</v>
      </c>
      <c r="C5243" s="491">
        <v>0</v>
      </c>
      <c r="D5243" s="491">
        <v>7</v>
      </c>
      <c r="E5243" s="491">
        <v>0</v>
      </c>
      <c r="F5243" s="491">
        <v>0</v>
      </c>
      <c r="G5243" s="491">
        <f t="shared" si="81"/>
        <v>7</v>
      </c>
    </row>
    <row r="5244" spans="1:7" ht="12.75">
      <c r="A5244" s="134" t="s">
        <v>374</v>
      </c>
      <c r="B5244" s="134">
        <v>811</v>
      </c>
      <c r="C5244" s="491">
        <v>18</v>
      </c>
      <c r="D5244" s="491">
        <v>393</v>
      </c>
      <c r="E5244" s="491">
        <v>0</v>
      </c>
      <c r="F5244" s="491">
        <v>8</v>
      </c>
      <c r="G5244" s="491">
        <f t="shared" si="81"/>
        <v>419</v>
      </c>
    </row>
    <row r="5245" spans="1:7" ht="12.75">
      <c r="A5245" s="134" t="s">
        <v>374</v>
      </c>
      <c r="B5245" s="134">
        <v>812</v>
      </c>
      <c r="C5245" s="491">
        <v>246</v>
      </c>
      <c r="D5245" s="491">
        <v>180</v>
      </c>
      <c r="E5245" s="491">
        <v>0</v>
      </c>
      <c r="F5245" s="491">
        <v>0</v>
      </c>
      <c r="G5245" s="491">
        <f t="shared" si="81"/>
        <v>426</v>
      </c>
    </row>
    <row r="5246" spans="1:7" ht="12.75">
      <c r="A5246" s="134" t="s">
        <v>127</v>
      </c>
      <c r="B5246" s="134">
        <v>110</v>
      </c>
      <c r="C5246" s="491">
        <v>1</v>
      </c>
      <c r="D5246" s="491">
        <v>0</v>
      </c>
      <c r="E5246" s="491">
        <v>0</v>
      </c>
      <c r="F5246" s="491">
        <v>0</v>
      </c>
      <c r="G5246" s="491">
        <f t="shared" si="81"/>
        <v>1</v>
      </c>
    </row>
    <row r="5247" spans="1:7" ht="12.75">
      <c r="A5247" s="134" t="s">
        <v>127</v>
      </c>
      <c r="B5247" s="134">
        <v>120</v>
      </c>
      <c r="C5247" s="491">
        <v>1</v>
      </c>
      <c r="D5247" s="491">
        <v>0</v>
      </c>
      <c r="E5247" s="491">
        <v>0</v>
      </c>
      <c r="F5247" s="491">
        <v>0</v>
      </c>
      <c r="G5247" s="491">
        <f t="shared" si="81"/>
        <v>1</v>
      </c>
    </row>
    <row r="5248" spans="1:7" ht="12.75">
      <c r="A5248" s="134" t="s">
        <v>127</v>
      </c>
      <c r="B5248" s="134">
        <v>144</v>
      </c>
      <c r="C5248" s="491">
        <v>1</v>
      </c>
      <c r="D5248" s="491">
        <v>0</v>
      </c>
      <c r="E5248" s="491">
        <v>0</v>
      </c>
      <c r="F5248" s="491">
        <v>0</v>
      </c>
      <c r="G5248" s="491">
        <f t="shared" si="81"/>
        <v>1</v>
      </c>
    </row>
    <row r="5249" spans="1:7" ht="12.75">
      <c r="A5249" s="134" t="s">
        <v>127</v>
      </c>
      <c r="B5249" s="134">
        <v>303</v>
      </c>
      <c r="C5249" s="491">
        <v>1</v>
      </c>
      <c r="D5249" s="491">
        <v>0</v>
      </c>
      <c r="E5249" s="491">
        <v>0</v>
      </c>
      <c r="F5249" s="491">
        <v>0</v>
      </c>
      <c r="G5249" s="491">
        <f t="shared" si="81"/>
        <v>1</v>
      </c>
    </row>
    <row r="5250" spans="1:7" ht="12.75">
      <c r="A5250" s="134" t="s">
        <v>127</v>
      </c>
      <c r="B5250" s="134">
        <v>501</v>
      </c>
      <c r="C5250" s="491">
        <v>1</v>
      </c>
      <c r="D5250" s="491">
        <v>0</v>
      </c>
      <c r="E5250" s="491">
        <v>0</v>
      </c>
      <c r="F5250" s="491">
        <v>0</v>
      </c>
      <c r="G5250" s="491">
        <f t="shared" si="81"/>
        <v>1</v>
      </c>
    </row>
    <row r="5251" spans="1:7" ht="12.75">
      <c r="A5251" s="134" t="s">
        <v>128</v>
      </c>
      <c r="B5251" s="134">
        <v>101</v>
      </c>
      <c r="C5251" s="491">
        <v>1</v>
      </c>
      <c r="D5251" s="491">
        <v>0</v>
      </c>
      <c r="E5251" s="491">
        <v>0</v>
      </c>
      <c r="F5251" s="491">
        <v>0</v>
      </c>
      <c r="G5251" s="491">
        <f t="shared" si="81"/>
        <v>1</v>
      </c>
    </row>
    <row r="5252" spans="1:7" ht="12.75">
      <c r="A5252" s="134" t="s">
        <v>128</v>
      </c>
      <c r="B5252" s="134">
        <v>110</v>
      </c>
      <c r="C5252" s="491">
        <v>2</v>
      </c>
      <c r="D5252" s="491">
        <v>2</v>
      </c>
      <c r="E5252" s="491">
        <v>0</v>
      </c>
      <c r="F5252" s="491">
        <v>0</v>
      </c>
      <c r="G5252" s="491">
        <f t="shared" ref="G5252:G5315" si="82">SUM(C5252:F5252)</f>
        <v>4</v>
      </c>
    </row>
    <row r="5253" spans="1:7" ht="12.75">
      <c r="A5253" s="134" t="s">
        <v>128</v>
      </c>
      <c r="B5253" s="134">
        <v>301</v>
      </c>
      <c r="C5253" s="491">
        <v>1</v>
      </c>
      <c r="D5253" s="491">
        <v>0</v>
      </c>
      <c r="E5253" s="491">
        <v>0</v>
      </c>
      <c r="F5253" s="491">
        <v>0</v>
      </c>
      <c r="G5253" s="491">
        <f t="shared" si="82"/>
        <v>1</v>
      </c>
    </row>
    <row r="5254" spans="1:7" ht="12.75">
      <c r="A5254" s="134" t="s">
        <v>128</v>
      </c>
      <c r="B5254" s="134">
        <v>502</v>
      </c>
      <c r="C5254" s="491">
        <v>0</v>
      </c>
      <c r="D5254" s="491">
        <v>1</v>
      </c>
      <c r="E5254" s="491">
        <v>0</v>
      </c>
      <c r="F5254" s="491">
        <v>0</v>
      </c>
      <c r="G5254" s="491">
        <f t="shared" si="82"/>
        <v>1</v>
      </c>
    </row>
    <row r="5255" spans="1:7" ht="12.75">
      <c r="A5255" s="134" t="s">
        <v>129</v>
      </c>
      <c r="B5255" s="134">
        <v>100</v>
      </c>
      <c r="C5255" s="491">
        <v>0</v>
      </c>
      <c r="D5255" s="491">
        <v>2</v>
      </c>
      <c r="E5255" s="491">
        <v>0</v>
      </c>
      <c r="F5255" s="491">
        <v>0</v>
      </c>
      <c r="G5255" s="491">
        <f t="shared" si="82"/>
        <v>2</v>
      </c>
    </row>
    <row r="5256" spans="1:7" ht="12.75">
      <c r="A5256" s="134" t="s">
        <v>129</v>
      </c>
      <c r="B5256" s="134">
        <v>104</v>
      </c>
      <c r="C5256" s="491">
        <v>0</v>
      </c>
      <c r="D5256" s="491">
        <v>1</v>
      </c>
      <c r="E5256" s="491">
        <v>0</v>
      </c>
      <c r="F5256" s="491">
        <v>0</v>
      </c>
      <c r="G5256" s="491">
        <f t="shared" si="82"/>
        <v>1</v>
      </c>
    </row>
    <row r="5257" spans="1:7" ht="12.75">
      <c r="A5257" s="134" t="s">
        <v>129</v>
      </c>
      <c r="B5257" s="134">
        <v>110</v>
      </c>
      <c r="C5257" s="491">
        <v>38</v>
      </c>
      <c r="D5257" s="491">
        <v>26</v>
      </c>
      <c r="E5257" s="491">
        <v>0</v>
      </c>
      <c r="F5257" s="491">
        <v>4</v>
      </c>
      <c r="G5257" s="491">
        <f t="shared" si="82"/>
        <v>68</v>
      </c>
    </row>
    <row r="5258" spans="1:7" ht="12.75">
      <c r="A5258" s="134" t="s">
        <v>129</v>
      </c>
      <c r="B5258" s="134">
        <v>180</v>
      </c>
      <c r="C5258" s="491">
        <v>0</v>
      </c>
      <c r="D5258" s="491">
        <v>1</v>
      </c>
      <c r="E5258" s="491">
        <v>0</v>
      </c>
      <c r="F5258" s="491">
        <v>0</v>
      </c>
      <c r="G5258" s="491">
        <f t="shared" si="82"/>
        <v>1</v>
      </c>
    </row>
    <row r="5259" spans="1:7" ht="12.75">
      <c r="A5259" s="134" t="s">
        <v>129</v>
      </c>
      <c r="B5259" s="134">
        <v>214</v>
      </c>
      <c r="C5259" s="491">
        <v>1</v>
      </c>
      <c r="D5259" s="491">
        <v>0</v>
      </c>
      <c r="E5259" s="491">
        <v>0</v>
      </c>
      <c r="F5259" s="491">
        <v>0</v>
      </c>
      <c r="G5259" s="491">
        <f t="shared" si="82"/>
        <v>1</v>
      </c>
    </row>
    <row r="5260" spans="1:7" ht="12.75">
      <c r="A5260" s="134" t="s">
        <v>129</v>
      </c>
      <c r="B5260" s="134">
        <v>262</v>
      </c>
      <c r="C5260" s="491">
        <v>0</v>
      </c>
      <c r="D5260" s="491">
        <v>0</v>
      </c>
      <c r="E5260" s="491">
        <v>1</v>
      </c>
      <c r="F5260" s="491">
        <v>0</v>
      </c>
      <c r="G5260" s="491">
        <f t="shared" si="82"/>
        <v>1</v>
      </c>
    </row>
    <row r="5261" spans="1:7" ht="12.75">
      <c r="A5261" s="134" t="s">
        <v>129</v>
      </c>
      <c r="B5261" s="134">
        <v>291</v>
      </c>
      <c r="C5261" s="491">
        <v>0</v>
      </c>
      <c r="D5261" s="491">
        <v>0</v>
      </c>
      <c r="E5261" s="491">
        <v>1</v>
      </c>
      <c r="F5261" s="491">
        <v>0</v>
      </c>
      <c r="G5261" s="491">
        <f t="shared" si="82"/>
        <v>1</v>
      </c>
    </row>
    <row r="5262" spans="1:7" ht="12.75">
      <c r="A5262" s="134" t="s">
        <v>129</v>
      </c>
      <c r="B5262" s="134">
        <v>300</v>
      </c>
      <c r="C5262" s="491">
        <v>0</v>
      </c>
      <c r="D5262" s="491">
        <v>5</v>
      </c>
      <c r="E5262" s="491">
        <v>0</v>
      </c>
      <c r="F5262" s="491">
        <v>0</v>
      </c>
      <c r="G5262" s="491">
        <f t="shared" si="82"/>
        <v>5</v>
      </c>
    </row>
    <row r="5263" spans="1:7" ht="12.75">
      <c r="A5263" s="134" t="s">
        <v>129</v>
      </c>
      <c r="B5263" s="134">
        <v>304</v>
      </c>
      <c r="C5263" s="491">
        <v>0</v>
      </c>
      <c r="D5263" s="491">
        <v>1</v>
      </c>
      <c r="E5263" s="491">
        <v>0</v>
      </c>
      <c r="F5263" s="491">
        <v>0</v>
      </c>
      <c r="G5263" s="491">
        <f t="shared" si="82"/>
        <v>1</v>
      </c>
    </row>
    <row r="5264" spans="1:7" ht="12.75">
      <c r="A5264" s="134" t="s">
        <v>129</v>
      </c>
      <c r="B5264" s="134">
        <v>314</v>
      </c>
      <c r="C5264" s="491">
        <v>1</v>
      </c>
      <c r="D5264" s="491">
        <v>0</v>
      </c>
      <c r="E5264" s="491">
        <v>0</v>
      </c>
      <c r="F5264" s="491">
        <v>0</v>
      </c>
      <c r="G5264" s="491">
        <f t="shared" si="82"/>
        <v>1</v>
      </c>
    </row>
    <row r="5265" spans="1:7" ht="12.75">
      <c r="A5265" s="134" t="s">
        <v>129</v>
      </c>
      <c r="B5265" s="134">
        <v>329</v>
      </c>
      <c r="C5265" s="491">
        <v>0</v>
      </c>
      <c r="D5265" s="491">
        <v>1</v>
      </c>
      <c r="E5265" s="491">
        <v>0</v>
      </c>
      <c r="F5265" s="491">
        <v>0</v>
      </c>
      <c r="G5265" s="491">
        <f t="shared" si="82"/>
        <v>1</v>
      </c>
    </row>
    <row r="5266" spans="1:7" ht="12.75">
      <c r="A5266" s="134" t="s">
        <v>129</v>
      </c>
      <c r="B5266" s="134">
        <v>330</v>
      </c>
      <c r="C5266" s="491">
        <v>1</v>
      </c>
      <c r="D5266" s="491">
        <v>0</v>
      </c>
      <c r="E5266" s="491">
        <v>0</v>
      </c>
      <c r="F5266" s="491">
        <v>0</v>
      </c>
      <c r="G5266" s="491">
        <f t="shared" si="82"/>
        <v>1</v>
      </c>
    </row>
    <row r="5267" spans="1:7" ht="12.75">
      <c r="A5267" s="134" t="s">
        <v>129</v>
      </c>
      <c r="B5267" s="134">
        <v>410</v>
      </c>
      <c r="C5267" s="491">
        <v>242</v>
      </c>
      <c r="D5267" s="491">
        <v>51</v>
      </c>
      <c r="E5267" s="491">
        <v>1</v>
      </c>
      <c r="F5267" s="491">
        <v>0</v>
      </c>
      <c r="G5267" s="491">
        <f t="shared" si="82"/>
        <v>294</v>
      </c>
    </row>
    <row r="5268" spans="1:7" ht="12.75">
      <c r="A5268" s="134" t="s">
        <v>129</v>
      </c>
      <c r="B5268" s="134">
        <v>650</v>
      </c>
      <c r="C5268" s="491">
        <v>101</v>
      </c>
      <c r="D5268" s="491">
        <v>30</v>
      </c>
      <c r="E5268" s="491">
        <v>0</v>
      </c>
      <c r="F5268" s="491">
        <v>0</v>
      </c>
      <c r="G5268" s="491">
        <f t="shared" si="82"/>
        <v>131</v>
      </c>
    </row>
    <row r="5269" spans="1:7" ht="12.75">
      <c r="A5269" s="134" t="s">
        <v>129</v>
      </c>
      <c r="B5269" s="134">
        <v>811</v>
      </c>
      <c r="C5269" s="491">
        <v>0</v>
      </c>
      <c r="D5269" s="491">
        <v>4</v>
      </c>
      <c r="E5269" s="491">
        <v>0</v>
      </c>
      <c r="F5269" s="491">
        <v>0</v>
      </c>
      <c r="G5269" s="491">
        <f t="shared" si="82"/>
        <v>4</v>
      </c>
    </row>
    <row r="5270" spans="1:7" ht="12.75">
      <c r="A5270" s="134" t="s">
        <v>129</v>
      </c>
      <c r="B5270" s="134">
        <v>812</v>
      </c>
      <c r="C5270" s="491">
        <v>2</v>
      </c>
      <c r="D5270" s="491">
        <v>1</v>
      </c>
      <c r="E5270" s="491">
        <v>0</v>
      </c>
      <c r="F5270" s="491">
        <v>0</v>
      </c>
      <c r="G5270" s="491">
        <f t="shared" si="82"/>
        <v>3</v>
      </c>
    </row>
    <row r="5271" spans="1:7" ht="12.75">
      <c r="A5271" s="134" t="s">
        <v>130</v>
      </c>
      <c r="B5271" s="134">
        <v>100</v>
      </c>
      <c r="C5271" s="491">
        <v>0</v>
      </c>
      <c r="D5271" s="491">
        <v>1</v>
      </c>
      <c r="E5271" s="491">
        <v>0</v>
      </c>
      <c r="F5271" s="491">
        <v>0</v>
      </c>
      <c r="G5271" s="491">
        <f t="shared" si="82"/>
        <v>1</v>
      </c>
    </row>
    <row r="5272" spans="1:7" ht="12.75">
      <c r="A5272" s="134" t="s">
        <v>130</v>
      </c>
      <c r="B5272" s="134">
        <v>107</v>
      </c>
      <c r="C5272" s="491">
        <v>0</v>
      </c>
      <c r="D5272" s="491">
        <v>1</v>
      </c>
      <c r="E5272" s="491">
        <v>0</v>
      </c>
      <c r="F5272" s="491">
        <v>0</v>
      </c>
      <c r="G5272" s="491">
        <f t="shared" si="82"/>
        <v>1</v>
      </c>
    </row>
    <row r="5273" spans="1:7" ht="12.75">
      <c r="A5273" s="134" t="s">
        <v>130</v>
      </c>
      <c r="B5273" s="134">
        <v>110</v>
      </c>
      <c r="C5273" s="491">
        <v>226</v>
      </c>
      <c r="D5273" s="491">
        <v>195</v>
      </c>
      <c r="E5273" s="491">
        <v>8</v>
      </c>
      <c r="F5273" s="491">
        <v>12</v>
      </c>
      <c r="G5273" s="491">
        <f t="shared" si="82"/>
        <v>441</v>
      </c>
    </row>
    <row r="5274" spans="1:7" ht="12.75">
      <c r="A5274" s="134" t="s">
        <v>130</v>
      </c>
      <c r="B5274" s="134">
        <v>143</v>
      </c>
      <c r="C5274" s="491">
        <v>1</v>
      </c>
      <c r="D5274" s="491">
        <v>0</v>
      </c>
      <c r="E5274" s="491">
        <v>0</v>
      </c>
      <c r="F5274" s="491">
        <v>0</v>
      </c>
      <c r="G5274" s="491">
        <f t="shared" si="82"/>
        <v>1</v>
      </c>
    </row>
    <row r="5275" spans="1:7" ht="12.75">
      <c r="A5275" s="134" t="s">
        <v>130</v>
      </c>
      <c r="B5275" s="134">
        <v>160</v>
      </c>
      <c r="C5275" s="491">
        <v>2</v>
      </c>
      <c r="D5275" s="491">
        <v>0</v>
      </c>
      <c r="E5275" s="491">
        <v>0</v>
      </c>
      <c r="F5275" s="491">
        <v>0</v>
      </c>
      <c r="G5275" s="491">
        <f t="shared" si="82"/>
        <v>2</v>
      </c>
    </row>
    <row r="5276" spans="1:7" ht="12.75">
      <c r="A5276" s="134" t="s">
        <v>130</v>
      </c>
      <c r="B5276" s="134">
        <v>171</v>
      </c>
      <c r="C5276" s="491">
        <v>2</v>
      </c>
      <c r="D5276" s="491">
        <v>0</v>
      </c>
      <c r="E5276" s="491">
        <v>0</v>
      </c>
      <c r="F5276" s="491">
        <v>0</v>
      </c>
      <c r="G5276" s="491">
        <f t="shared" si="82"/>
        <v>2</v>
      </c>
    </row>
    <row r="5277" spans="1:7" ht="12.75">
      <c r="A5277" s="134" t="s">
        <v>130</v>
      </c>
      <c r="B5277" s="134">
        <v>180</v>
      </c>
      <c r="C5277" s="491">
        <v>0</v>
      </c>
      <c r="D5277" s="491">
        <v>1</v>
      </c>
      <c r="E5277" s="491">
        <v>0</v>
      </c>
      <c r="F5277" s="491">
        <v>0</v>
      </c>
      <c r="G5277" s="491">
        <f t="shared" si="82"/>
        <v>1</v>
      </c>
    </row>
    <row r="5278" spans="1:7" ht="12.75">
      <c r="A5278" s="134" t="s">
        <v>130</v>
      </c>
      <c r="B5278" s="134">
        <v>214</v>
      </c>
      <c r="C5278" s="491">
        <v>1</v>
      </c>
      <c r="D5278" s="491">
        <v>0</v>
      </c>
      <c r="E5278" s="491">
        <v>0</v>
      </c>
      <c r="F5278" s="491">
        <v>0</v>
      </c>
      <c r="G5278" s="491">
        <f t="shared" si="82"/>
        <v>1</v>
      </c>
    </row>
    <row r="5279" spans="1:7" ht="12.75">
      <c r="A5279" s="134" t="s">
        <v>130</v>
      </c>
      <c r="B5279" s="134">
        <v>300</v>
      </c>
      <c r="C5279" s="491">
        <v>2</v>
      </c>
      <c r="D5279" s="491">
        <v>18</v>
      </c>
      <c r="E5279" s="491">
        <v>0</v>
      </c>
      <c r="F5279" s="491">
        <v>0</v>
      </c>
      <c r="G5279" s="491">
        <f t="shared" si="82"/>
        <v>20</v>
      </c>
    </row>
    <row r="5280" spans="1:7" ht="12.75">
      <c r="A5280" s="134" t="s">
        <v>130</v>
      </c>
      <c r="B5280" s="134">
        <v>330</v>
      </c>
      <c r="C5280" s="491">
        <v>0</v>
      </c>
      <c r="D5280" s="491">
        <v>1</v>
      </c>
      <c r="E5280" s="491">
        <v>0</v>
      </c>
      <c r="F5280" s="491">
        <v>0</v>
      </c>
      <c r="G5280" s="491">
        <f t="shared" si="82"/>
        <v>1</v>
      </c>
    </row>
    <row r="5281" spans="1:7" ht="12.75">
      <c r="A5281" s="134" t="s">
        <v>130</v>
      </c>
      <c r="B5281" s="134">
        <v>370</v>
      </c>
      <c r="C5281" s="491">
        <v>1</v>
      </c>
      <c r="D5281" s="491">
        <v>0</v>
      </c>
      <c r="E5281" s="491">
        <v>0</v>
      </c>
      <c r="F5281" s="491">
        <v>0</v>
      </c>
      <c r="G5281" s="491">
        <f t="shared" si="82"/>
        <v>1</v>
      </c>
    </row>
    <row r="5282" spans="1:7" ht="12.75">
      <c r="A5282" s="134" t="s">
        <v>130</v>
      </c>
      <c r="B5282" s="134">
        <v>410</v>
      </c>
      <c r="C5282" s="491">
        <v>86</v>
      </c>
      <c r="D5282" s="491">
        <v>24</v>
      </c>
      <c r="E5282" s="491">
        <v>0</v>
      </c>
      <c r="F5282" s="491">
        <v>1</v>
      </c>
      <c r="G5282" s="491">
        <f t="shared" si="82"/>
        <v>111</v>
      </c>
    </row>
    <row r="5283" spans="1:7" ht="12.75">
      <c r="A5283" s="134" t="s">
        <v>130</v>
      </c>
      <c r="B5283" s="134">
        <v>430</v>
      </c>
      <c r="C5283" s="491">
        <v>1</v>
      </c>
      <c r="D5283" s="491">
        <v>0</v>
      </c>
      <c r="E5283" s="491">
        <v>0</v>
      </c>
      <c r="F5283" s="491">
        <v>0</v>
      </c>
      <c r="G5283" s="491">
        <f t="shared" si="82"/>
        <v>1</v>
      </c>
    </row>
    <row r="5284" spans="1:7" ht="12.75">
      <c r="A5284" s="134" t="s">
        <v>130</v>
      </c>
      <c r="B5284" s="134">
        <v>501</v>
      </c>
      <c r="C5284" s="491">
        <v>2</v>
      </c>
      <c r="D5284" s="491">
        <v>0</v>
      </c>
      <c r="E5284" s="491">
        <v>0</v>
      </c>
      <c r="F5284" s="491">
        <v>0</v>
      </c>
      <c r="G5284" s="491">
        <f t="shared" si="82"/>
        <v>2</v>
      </c>
    </row>
    <row r="5285" spans="1:7" ht="12.75">
      <c r="A5285" s="134" t="s">
        <v>130</v>
      </c>
      <c r="B5285" s="134">
        <v>650</v>
      </c>
      <c r="C5285" s="491">
        <v>26</v>
      </c>
      <c r="D5285" s="491">
        <v>13</v>
      </c>
      <c r="E5285" s="491">
        <v>0</v>
      </c>
      <c r="F5285" s="491">
        <v>0</v>
      </c>
      <c r="G5285" s="491">
        <f t="shared" si="82"/>
        <v>39</v>
      </c>
    </row>
    <row r="5286" spans="1:7" ht="12.75">
      <c r="A5286" s="134" t="s">
        <v>130</v>
      </c>
      <c r="B5286" s="134">
        <v>811</v>
      </c>
      <c r="C5286" s="491">
        <v>6</v>
      </c>
      <c r="D5286" s="491">
        <v>21</v>
      </c>
      <c r="E5286" s="491">
        <v>0</v>
      </c>
      <c r="F5286" s="491">
        <v>0</v>
      </c>
      <c r="G5286" s="491">
        <f t="shared" si="82"/>
        <v>27</v>
      </c>
    </row>
    <row r="5287" spans="1:7" ht="12.75">
      <c r="A5287" s="134" t="s">
        <v>130</v>
      </c>
      <c r="B5287" s="134">
        <v>812</v>
      </c>
      <c r="C5287" s="491">
        <v>13</v>
      </c>
      <c r="D5287" s="491">
        <v>13</v>
      </c>
      <c r="E5287" s="491">
        <v>0</v>
      </c>
      <c r="F5287" s="491">
        <v>0</v>
      </c>
      <c r="G5287" s="491">
        <f t="shared" si="82"/>
        <v>26</v>
      </c>
    </row>
    <row r="5288" spans="1:7" ht="12.75">
      <c r="A5288" s="134" t="s">
        <v>470</v>
      </c>
      <c r="B5288" s="134">
        <v>110</v>
      </c>
      <c r="C5288" s="491">
        <v>621</v>
      </c>
      <c r="D5288" s="491">
        <v>368</v>
      </c>
      <c r="E5288" s="491">
        <v>3</v>
      </c>
      <c r="F5288" s="491">
        <v>2</v>
      </c>
      <c r="G5288" s="491">
        <f t="shared" si="82"/>
        <v>994</v>
      </c>
    </row>
    <row r="5289" spans="1:7" ht="12.75">
      <c r="A5289" s="134" t="s">
        <v>470</v>
      </c>
      <c r="B5289" s="134">
        <v>160</v>
      </c>
      <c r="C5289" s="491">
        <v>1</v>
      </c>
      <c r="D5289" s="491">
        <v>0</v>
      </c>
      <c r="E5289" s="491">
        <v>0</v>
      </c>
      <c r="F5289" s="491">
        <v>0</v>
      </c>
      <c r="G5289" s="491">
        <f t="shared" si="82"/>
        <v>1</v>
      </c>
    </row>
    <row r="5290" spans="1:7" ht="12.75">
      <c r="A5290" s="134" t="s">
        <v>470</v>
      </c>
      <c r="B5290" s="134">
        <v>410</v>
      </c>
      <c r="C5290" s="491">
        <v>1</v>
      </c>
      <c r="D5290" s="491">
        <v>1</v>
      </c>
      <c r="E5290" s="491">
        <v>0</v>
      </c>
      <c r="F5290" s="491">
        <v>0</v>
      </c>
      <c r="G5290" s="491">
        <f t="shared" si="82"/>
        <v>2</v>
      </c>
    </row>
    <row r="5291" spans="1:7" ht="12.75">
      <c r="A5291" s="134" t="s">
        <v>470</v>
      </c>
      <c r="B5291" s="134">
        <v>501</v>
      </c>
      <c r="C5291" s="491">
        <v>1</v>
      </c>
      <c r="D5291" s="491">
        <v>0</v>
      </c>
      <c r="E5291" s="491">
        <v>0</v>
      </c>
      <c r="F5291" s="491">
        <v>0</v>
      </c>
      <c r="G5291" s="491">
        <f t="shared" si="82"/>
        <v>1</v>
      </c>
    </row>
    <row r="5292" spans="1:7" ht="12.75">
      <c r="A5292" s="134" t="s">
        <v>470</v>
      </c>
      <c r="B5292" s="134">
        <v>650</v>
      </c>
      <c r="C5292" s="491">
        <v>2396</v>
      </c>
      <c r="D5292" s="491">
        <v>985</v>
      </c>
      <c r="E5292" s="491">
        <v>0</v>
      </c>
      <c r="F5292" s="491">
        <v>0</v>
      </c>
      <c r="G5292" s="491">
        <f t="shared" si="82"/>
        <v>3381</v>
      </c>
    </row>
    <row r="5293" spans="1:7" ht="12.75">
      <c r="A5293" s="134" t="s">
        <v>470</v>
      </c>
      <c r="B5293" s="134">
        <v>811</v>
      </c>
      <c r="C5293" s="491">
        <v>0</v>
      </c>
      <c r="D5293" s="491">
        <v>14</v>
      </c>
      <c r="E5293" s="491">
        <v>0</v>
      </c>
      <c r="F5293" s="491">
        <v>0</v>
      </c>
      <c r="G5293" s="491">
        <f t="shared" si="82"/>
        <v>14</v>
      </c>
    </row>
    <row r="5294" spans="1:7" ht="12.75">
      <c r="A5294" s="134" t="s">
        <v>131</v>
      </c>
      <c r="B5294" s="134">
        <v>110</v>
      </c>
      <c r="C5294" s="491">
        <v>38</v>
      </c>
      <c r="D5294" s="491">
        <v>18</v>
      </c>
      <c r="E5294" s="491">
        <v>1</v>
      </c>
      <c r="F5294" s="491">
        <v>2</v>
      </c>
      <c r="G5294" s="491">
        <f t="shared" si="82"/>
        <v>59</v>
      </c>
    </row>
    <row r="5295" spans="1:7" ht="12.75">
      <c r="A5295" s="134" t="s">
        <v>131</v>
      </c>
      <c r="B5295" s="134">
        <v>171</v>
      </c>
      <c r="C5295" s="491">
        <v>1</v>
      </c>
      <c r="D5295" s="491">
        <v>0</v>
      </c>
      <c r="E5295" s="491">
        <v>0</v>
      </c>
      <c r="F5295" s="491">
        <v>0</v>
      </c>
      <c r="G5295" s="491">
        <f t="shared" si="82"/>
        <v>1</v>
      </c>
    </row>
    <row r="5296" spans="1:7" ht="12.75">
      <c r="A5296" s="134" t="s">
        <v>131</v>
      </c>
      <c r="B5296" s="134">
        <v>214</v>
      </c>
      <c r="C5296" s="491">
        <v>2</v>
      </c>
      <c r="D5296" s="491">
        <v>0</v>
      </c>
      <c r="E5296" s="491">
        <v>0</v>
      </c>
      <c r="F5296" s="491">
        <v>0</v>
      </c>
      <c r="G5296" s="491">
        <f t="shared" si="82"/>
        <v>2</v>
      </c>
    </row>
    <row r="5297" spans="1:7" ht="12.75">
      <c r="A5297" s="134" t="s">
        <v>131</v>
      </c>
      <c r="B5297" s="134">
        <v>650</v>
      </c>
      <c r="C5297" s="491">
        <v>144</v>
      </c>
      <c r="D5297" s="491">
        <v>59</v>
      </c>
      <c r="E5297" s="491">
        <v>0</v>
      </c>
      <c r="F5297" s="491">
        <v>0</v>
      </c>
      <c r="G5297" s="491">
        <f t="shared" si="82"/>
        <v>203</v>
      </c>
    </row>
    <row r="5298" spans="1:7" ht="12.75">
      <c r="A5298" s="134" t="s">
        <v>496</v>
      </c>
      <c r="B5298" s="134">
        <v>100</v>
      </c>
      <c r="C5298" s="491">
        <v>11</v>
      </c>
      <c r="D5298" s="491">
        <v>4</v>
      </c>
      <c r="E5298" s="491">
        <v>0</v>
      </c>
      <c r="F5298" s="491">
        <v>0</v>
      </c>
      <c r="G5298" s="491">
        <f t="shared" si="82"/>
        <v>15</v>
      </c>
    </row>
    <row r="5299" spans="1:7" ht="12.75">
      <c r="A5299" s="134" t="s">
        <v>496</v>
      </c>
      <c r="B5299" s="134">
        <v>101</v>
      </c>
      <c r="C5299" s="491">
        <v>1</v>
      </c>
      <c r="D5299" s="491">
        <v>0</v>
      </c>
      <c r="E5299" s="491">
        <v>0</v>
      </c>
      <c r="F5299" s="491">
        <v>0</v>
      </c>
      <c r="G5299" s="491">
        <f t="shared" si="82"/>
        <v>1</v>
      </c>
    </row>
    <row r="5300" spans="1:7" ht="12.75">
      <c r="A5300" s="134" t="s">
        <v>496</v>
      </c>
      <c r="B5300" s="134">
        <v>107</v>
      </c>
      <c r="C5300" s="491">
        <v>1</v>
      </c>
      <c r="D5300" s="491">
        <v>0</v>
      </c>
      <c r="E5300" s="491">
        <v>0</v>
      </c>
      <c r="F5300" s="491">
        <v>0</v>
      </c>
      <c r="G5300" s="491">
        <f t="shared" si="82"/>
        <v>1</v>
      </c>
    </row>
    <row r="5301" spans="1:7" ht="12.75">
      <c r="A5301" s="134" t="s">
        <v>496</v>
      </c>
      <c r="B5301" s="134">
        <v>110</v>
      </c>
      <c r="C5301" s="491">
        <v>5932</v>
      </c>
      <c r="D5301" s="491">
        <v>4920</v>
      </c>
      <c r="E5301" s="491">
        <v>186</v>
      </c>
      <c r="F5301" s="491">
        <v>174</v>
      </c>
      <c r="G5301" s="491">
        <f t="shared" si="82"/>
        <v>11212</v>
      </c>
    </row>
    <row r="5302" spans="1:7" ht="12.75">
      <c r="A5302" s="134" t="s">
        <v>496</v>
      </c>
      <c r="B5302" s="134">
        <v>120</v>
      </c>
      <c r="C5302" s="491">
        <v>2</v>
      </c>
      <c r="D5302" s="491">
        <v>0</v>
      </c>
      <c r="E5302" s="491">
        <v>0</v>
      </c>
      <c r="F5302" s="491">
        <v>0</v>
      </c>
      <c r="G5302" s="491">
        <f t="shared" si="82"/>
        <v>2</v>
      </c>
    </row>
    <row r="5303" spans="1:7" ht="12.75">
      <c r="A5303" s="134" t="s">
        <v>496</v>
      </c>
      <c r="B5303" s="134">
        <v>130</v>
      </c>
      <c r="C5303" s="491">
        <v>2</v>
      </c>
      <c r="D5303" s="491">
        <v>0</v>
      </c>
      <c r="E5303" s="491">
        <v>0</v>
      </c>
      <c r="F5303" s="491">
        <v>0</v>
      </c>
      <c r="G5303" s="491">
        <f t="shared" si="82"/>
        <v>2</v>
      </c>
    </row>
    <row r="5304" spans="1:7" ht="12.75">
      <c r="A5304" s="134" t="s">
        <v>496</v>
      </c>
      <c r="B5304" s="134">
        <v>140</v>
      </c>
      <c r="C5304" s="491">
        <v>0</v>
      </c>
      <c r="D5304" s="491">
        <v>1</v>
      </c>
      <c r="E5304" s="491">
        <v>0</v>
      </c>
      <c r="F5304" s="491">
        <v>0</v>
      </c>
      <c r="G5304" s="491">
        <f t="shared" si="82"/>
        <v>1</v>
      </c>
    </row>
    <row r="5305" spans="1:7" ht="12.75">
      <c r="A5305" s="134" t="s">
        <v>496</v>
      </c>
      <c r="B5305" s="134">
        <v>160</v>
      </c>
      <c r="C5305" s="491">
        <v>0</v>
      </c>
      <c r="D5305" s="491">
        <v>1</v>
      </c>
      <c r="E5305" s="491">
        <v>0</v>
      </c>
      <c r="F5305" s="491">
        <v>0</v>
      </c>
      <c r="G5305" s="491">
        <f t="shared" si="82"/>
        <v>1</v>
      </c>
    </row>
    <row r="5306" spans="1:7" ht="12.75">
      <c r="A5306" s="134" t="s">
        <v>496</v>
      </c>
      <c r="B5306" s="134">
        <v>180</v>
      </c>
      <c r="C5306" s="491">
        <v>7</v>
      </c>
      <c r="D5306" s="491">
        <v>25</v>
      </c>
      <c r="E5306" s="491">
        <v>0</v>
      </c>
      <c r="F5306" s="491">
        <v>0</v>
      </c>
      <c r="G5306" s="491">
        <f t="shared" si="82"/>
        <v>32</v>
      </c>
    </row>
    <row r="5307" spans="1:7" ht="12.75">
      <c r="A5307" s="134" t="s">
        <v>496</v>
      </c>
      <c r="B5307" s="134">
        <v>191</v>
      </c>
      <c r="C5307" s="491">
        <v>13</v>
      </c>
      <c r="D5307" s="491">
        <v>1</v>
      </c>
      <c r="E5307" s="491">
        <v>0</v>
      </c>
      <c r="F5307" s="491">
        <v>0</v>
      </c>
      <c r="G5307" s="491">
        <f t="shared" si="82"/>
        <v>14</v>
      </c>
    </row>
    <row r="5308" spans="1:7" ht="12.75">
      <c r="A5308" s="134" t="s">
        <v>496</v>
      </c>
      <c r="B5308" s="134">
        <v>214</v>
      </c>
      <c r="C5308" s="491">
        <v>133</v>
      </c>
      <c r="D5308" s="491">
        <v>55</v>
      </c>
      <c r="E5308" s="491">
        <v>1</v>
      </c>
      <c r="F5308" s="491">
        <v>0</v>
      </c>
      <c r="G5308" s="491">
        <f t="shared" si="82"/>
        <v>189</v>
      </c>
    </row>
    <row r="5309" spans="1:7" ht="12.75">
      <c r="A5309" s="134" t="s">
        <v>496</v>
      </c>
      <c r="B5309" s="134">
        <v>215</v>
      </c>
      <c r="C5309" s="491">
        <v>1</v>
      </c>
      <c r="D5309" s="491">
        <v>0</v>
      </c>
      <c r="E5309" s="491">
        <v>0</v>
      </c>
      <c r="F5309" s="491">
        <v>0</v>
      </c>
      <c r="G5309" s="491">
        <f t="shared" si="82"/>
        <v>1</v>
      </c>
    </row>
    <row r="5310" spans="1:7" ht="12.75">
      <c r="A5310" s="134" t="s">
        <v>496</v>
      </c>
      <c r="B5310" s="134">
        <v>216</v>
      </c>
      <c r="C5310" s="491">
        <v>1</v>
      </c>
      <c r="D5310" s="491">
        <v>0</v>
      </c>
      <c r="E5310" s="491">
        <v>0</v>
      </c>
      <c r="F5310" s="491">
        <v>0</v>
      </c>
      <c r="G5310" s="491">
        <f t="shared" si="82"/>
        <v>1</v>
      </c>
    </row>
    <row r="5311" spans="1:7" ht="12.75">
      <c r="A5311" s="134" t="s">
        <v>496</v>
      </c>
      <c r="B5311" s="134">
        <v>262</v>
      </c>
      <c r="C5311" s="491">
        <v>0</v>
      </c>
      <c r="D5311" s="491">
        <v>0</v>
      </c>
      <c r="E5311" s="491">
        <v>1</v>
      </c>
      <c r="F5311" s="491">
        <v>0</v>
      </c>
      <c r="G5311" s="491">
        <f t="shared" si="82"/>
        <v>1</v>
      </c>
    </row>
    <row r="5312" spans="1:7" ht="12.75">
      <c r="A5312" s="134" t="s">
        <v>496</v>
      </c>
      <c r="B5312" s="134">
        <v>300</v>
      </c>
      <c r="C5312" s="491">
        <v>7</v>
      </c>
      <c r="D5312" s="491">
        <v>5</v>
      </c>
      <c r="E5312" s="491">
        <v>0</v>
      </c>
      <c r="F5312" s="491">
        <v>0</v>
      </c>
      <c r="G5312" s="491">
        <f t="shared" si="82"/>
        <v>12</v>
      </c>
    </row>
    <row r="5313" spans="1:7" ht="12.75">
      <c r="A5313" s="134" t="s">
        <v>496</v>
      </c>
      <c r="B5313" s="134">
        <v>303</v>
      </c>
      <c r="C5313" s="491">
        <v>0</v>
      </c>
      <c r="D5313" s="491">
        <v>1</v>
      </c>
      <c r="E5313" s="491">
        <v>0</v>
      </c>
      <c r="F5313" s="491">
        <v>0</v>
      </c>
      <c r="G5313" s="491">
        <f t="shared" si="82"/>
        <v>1</v>
      </c>
    </row>
    <row r="5314" spans="1:7" ht="12.75">
      <c r="A5314" s="134" t="s">
        <v>496</v>
      </c>
      <c r="B5314" s="134">
        <v>314</v>
      </c>
      <c r="C5314" s="491">
        <v>4</v>
      </c>
      <c r="D5314" s="491">
        <v>5</v>
      </c>
      <c r="E5314" s="491">
        <v>0</v>
      </c>
      <c r="F5314" s="491">
        <v>0</v>
      </c>
      <c r="G5314" s="491">
        <f t="shared" si="82"/>
        <v>9</v>
      </c>
    </row>
    <row r="5315" spans="1:7" ht="12.75">
      <c r="A5315" s="134" t="s">
        <v>496</v>
      </c>
      <c r="B5315" s="134">
        <v>320</v>
      </c>
      <c r="C5315" s="491">
        <v>4</v>
      </c>
      <c r="D5315" s="491">
        <v>3</v>
      </c>
      <c r="E5315" s="491">
        <v>0</v>
      </c>
      <c r="F5315" s="491">
        <v>0</v>
      </c>
      <c r="G5315" s="491">
        <f t="shared" si="82"/>
        <v>7</v>
      </c>
    </row>
    <row r="5316" spans="1:7" ht="12.75">
      <c r="A5316" s="134" t="s">
        <v>496</v>
      </c>
      <c r="B5316" s="134">
        <v>324</v>
      </c>
      <c r="C5316" s="491">
        <v>1</v>
      </c>
      <c r="D5316" s="491">
        <v>0</v>
      </c>
      <c r="E5316" s="491">
        <v>0</v>
      </c>
      <c r="F5316" s="491">
        <v>0</v>
      </c>
      <c r="G5316" s="491">
        <f t="shared" ref="G5316:G5379" si="83">SUM(C5316:F5316)</f>
        <v>1</v>
      </c>
    </row>
    <row r="5317" spans="1:7" ht="12.75">
      <c r="A5317" s="134" t="s">
        <v>496</v>
      </c>
      <c r="B5317" s="134">
        <v>330</v>
      </c>
      <c r="C5317" s="491">
        <v>0</v>
      </c>
      <c r="D5317" s="491">
        <v>3</v>
      </c>
      <c r="E5317" s="491">
        <v>0</v>
      </c>
      <c r="F5317" s="491">
        <v>0</v>
      </c>
      <c r="G5317" s="491">
        <f t="shared" si="83"/>
        <v>3</v>
      </c>
    </row>
    <row r="5318" spans="1:7" ht="12.75">
      <c r="A5318" s="134" t="s">
        <v>496</v>
      </c>
      <c r="B5318" s="134">
        <v>340</v>
      </c>
      <c r="C5318" s="491">
        <v>1</v>
      </c>
      <c r="D5318" s="491">
        <v>0</v>
      </c>
      <c r="E5318" s="491">
        <v>0</v>
      </c>
      <c r="F5318" s="491">
        <v>0</v>
      </c>
      <c r="G5318" s="491">
        <f t="shared" si="83"/>
        <v>1</v>
      </c>
    </row>
    <row r="5319" spans="1:7" ht="12.75">
      <c r="A5319" s="134" t="s">
        <v>496</v>
      </c>
      <c r="B5319" s="134">
        <v>400</v>
      </c>
      <c r="C5319" s="491">
        <v>0</v>
      </c>
      <c r="D5319" s="491">
        <v>1</v>
      </c>
      <c r="E5319" s="491">
        <v>0</v>
      </c>
      <c r="F5319" s="491">
        <v>0</v>
      </c>
      <c r="G5319" s="491">
        <f t="shared" si="83"/>
        <v>1</v>
      </c>
    </row>
    <row r="5320" spans="1:7" ht="12.75">
      <c r="A5320" s="134" t="s">
        <v>496</v>
      </c>
      <c r="B5320" s="134">
        <v>410</v>
      </c>
      <c r="C5320" s="491">
        <v>1916</v>
      </c>
      <c r="D5320" s="491">
        <v>467</v>
      </c>
      <c r="E5320" s="491">
        <v>12</v>
      </c>
      <c r="F5320" s="491">
        <v>9</v>
      </c>
      <c r="G5320" s="491">
        <f t="shared" si="83"/>
        <v>2404</v>
      </c>
    </row>
    <row r="5321" spans="1:7" ht="12.75">
      <c r="A5321" s="134" t="s">
        <v>496</v>
      </c>
      <c r="B5321" s="134">
        <v>420</v>
      </c>
      <c r="C5321" s="491">
        <v>2</v>
      </c>
      <c r="D5321" s="491">
        <v>2</v>
      </c>
      <c r="E5321" s="491">
        <v>0</v>
      </c>
      <c r="F5321" s="491">
        <v>0</v>
      </c>
      <c r="G5321" s="491">
        <f t="shared" si="83"/>
        <v>4</v>
      </c>
    </row>
    <row r="5322" spans="1:7" ht="12.75">
      <c r="A5322" s="134" t="s">
        <v>496</v>
      </c>
      <c r="B5322" s="134">
        <v>430</v>
      </c>
      <c r="C5322" s="491">
        <v>5</v>
      </c>
      <c r="D5322" s="491">
        <v>1</v>
      </c>
      <c r="E5322" s="491">
        <v>0</v>
      </c>
      <c r="F5322" s="491">
        <v>0</v>
      </c>
      <c r="G5322" s="491">
        <f t="shared" si="83"/>
        <v>6</v>
      </c>
    </row>
    <row r="5323" spans="1:7" ht="12.75">
      <c r="A5323" s="134" t="s">
        <v>496</v>
      </c>
      <c r="B5323" s="134">
        <v>501</v>
      </c>
      <c r="C5323" s="491">
        <v>1</v>
      </c>
      <c r="D5323" s="491">
        <v>0</v>
      </c>
      <c r="E5323" s="491">
        <v>0</v>
      </c>
      <c r="F5323" s="491">
        <v>0</v>
      </c>
      <c r="G5323" s="491">
        <f t="shared" si="83"/>
        <v>1</v>
      </c>
    </row>
    <row r="5324" spans="1:7" ht="12.75">
      <c r="A5324" s="134" t="s">
        <v>496</v>
      </c>
      <c r="B5324" s="134">
        <v>502</v>
      </c>
      <c r="C5324" s="491">
        <v>1</v>
      </c>
      <c r="D5324" s="491">
        <v>0</v>
      </c>
      <c r="E5324" s="491">
        <v>0</v>
      </c>
      <c r="F5324" s="491">
        <v>0</v>
      </c>
      <c r="G5324" s="491">
        <f t="shared" si="83"/>
        <v>1</v>
      </c>
    </row>
    <row r="5325" spans="1:7" ht="12.75">
      <c r="A5325" s="134" t="s">
        <v>496</v>
      </c>
      <c r="B5325" s="134">
        <v>560</v>
      </c>
      <c r="C5325" s="491">
        <v>0</v>
      </c>
      <c r="D5325" s="491">
        <v>1</v>
      </c>
      <c r="E5325" s="491">
        <v>0</v>
      </c>
      <c r="F5325" s="491">
        <v>0</v>
      </c>
      <c r="G5325" s="491">
        <f t="shared" si="83"/>
        <v>1</v>
      </c>
    </row>
    <row r="5326" spans="1:7" ht="12.75">
      <c r="A5326" s="134" t="s">
        <v>496</v>
      </c>
      <c r="B5326" s="134">
        <v>650</v>
      </c>
      <c r="C5326" s="491">
        <v>5</v>
      </c>
      <c r="D5326" s="491">
        <v>20</v>
      </c>
      <c r="E5326" s="491">
        <v>0</v>
      </c>
      <c r="F5326" s="491">
        <v>0</v>
      </c>
      <c r="G5326" s="491">
        <f t="shared" si="83"/>
        <v>25</v>
      </c>
    </row>
    <row r="5327" spans="1:7" ht="12.75">
      <c r="A5327" s="134" t="s">
        <v>496</v>
      </c>
      <c r="B5327" s="134">
        <v>651</v>
      </c>
      <c r="C5327" s="491">
        <v>0</v>
      </c>
      <c r="D5327" s="491">
        <v>2</v>
      </c>
      <c r="E5327" s="491">
        <v>0</v>
      </c>
      <c r="F5327" s="491">
        <v>0</v>
      </c>
      <c r="G5327" s="491">
        <f t="shared" si="83"/>
        <v>2</v>
      </c>
    </row>
    <row r="5328" spans="1:7" ht="12.75">
      <c r="A5328" s="134" t="s">
        <v>496</v>
      </c>
      <c r="B5328" s="134">
        <v>658</v>
      </c>
      <c r="C5328" s="491">
        <v>13</v>
      </c>
      <c r="D5328" s="491">
        <v>4</v>
      </c>
      <c r="E5328" s="491">
        <v>0</v>
      </c>
      <c r="F5328" s="491">
        <v>0</v>
      </c>
      <c r="G5328" s="491">
        <f t="shared" si="83"/>
        <v>17</v>
      </c>
    </row>
    <row r="5329" spans="1:7" ht="12.75">
      <c r="A5329" s="134" t="s">
        <v>496</v>
      </c>
      <c r="B5329" s="134">
        <v>800</v>
      </c>
      <c r="C5329" s="491">
        <v>1</v>
      </c>
      <c r="D5329" s="491">
        <v>0</v>
      </c>
      <c r="E5329" s="491">
        <v>0</v>
      </c>
      <c r="F5329" s="491">
        <v>0</v>
      </c>
      <c r="G5329" s="491">
        <f t="shared" si="83"/>
        <v>1</v>
      </c>
    </row>
    <row r="5330" spans="1:7" ht="12.75">
      <c r="A5330" s="134" t="s">
        <v>496</v>
      </c>
      <c r="B5330" s="134">
        <v>811</v>
      </c>
      <c r="C5330" s="491">
        <v>3</v>
      </c>
      <c r="D5330" s="491">
        <v>94</v>
      </c>
      <c r="E5330" s="491">
        <v>0</v>
      </c>
      <c r="F5330" s="491">
        <v>1</v>
      </c>
      <c r="G5330" s="491">
        <f t="shared" si="83"/>
        <v>98</v>
      </c>
    </row>
    <row r="5331" spans="1:7" ht="12.75">
      <c r="A5331" s="134" t="s">
        <v>496</v>
      </c>
      <c r="B5331" s="134">
        <v>812</v>
      </c>
      <c r="C5331" s="491">
        <v>61</v>
      </c>
      <c r="D5331" s="491">
        <v>85</v>
      </c>
      <c r="E5331" s="491">
        <v>0</v>
      </c>
      <c r="F5331" s="491">
        <v>0</v>
      </c>
      <c r="G5331" s="491">
        <f t="shared" si="83"/>
        <v>146</v>
      </c>
    </row>
    <row r="5332" spans="1:7" ht="12.75">
      <c r="A5332" s="134" t="s">
        <v>132</v>
      </c>
      <c r="B5332" s="134">
        <v>100</v>
      </c>
      <c r="C5332" s="491">
        <v>1</v>
      </c>
      <c r="D5332" s="491">
        <v>0</v>
      </c>
      <c r="E5332" s="491">
        <v>0</v>
      </c>
      <c r="F5332" s="491">
        <v>0</v>
      </c>
      <c r="G5332" s="491">
        <f t="shared" si="83"/>
        <v>1</v>
      </c>
    </row>
    <row r="5333" spans="1:7" ht="12.75">
      <c r="A5333" s="134" t="s">
        <v>132</v>
      </c>
      <c r="B5333" s="134">
        <v>101</v>
      </c>
      <c r="C5333" s="491">
        <v>1</v>
      </c>
      <c r="D5333" s="491">
        <v>0</v>
      </c>
      <c r="E5333" s="491">
        <v>0</v>
      </c>
      <c r="F5333" s="491">
        <v>0</v>
      </c>
      <c r="G5333" s="491">
        <f t="shared" si="83"/>
        <v>1</v>
      </c>
    </row>
    <row r="5334" spans="1:7" ht="12.75">
      <c r="A5334" s="134" t="s">
        <v>132</v>
      </c>
      <c r="B5334" s="134">
        <v>110</v>
      </c>
      <c r="C5334" s="491">
        <v>9</v>
      </c>
      <c r="D5334" s="491">
        <v>0</v>
      </c>
      <c r="E5334" s="491">
        <v>0</v>
      </c>
      <c r="F5334" s="491">
        <v>0</v>
      </c>
      <c r="G5334" s="491">
        <f t="shared" si="83"/>
        <v>9</v>
      </c>
    </row>
    <row r="5335" spans="1:7" ht="12.75">
      <c r="A5335" s="134" t="s">
        <v>132</v>
      </c>
      <c r="B5335" s="134">
        <v>120</v>
      </c>
      <c r="C5335" s="491">
        <v>0</v>
      </c>
      <c r="D5335" s="491">
        <v>0</v>
      </c>
      <c r="E5335" s="491">
        <v>0</v>
      </c>
      <c r="F5335" s="491">
        <v>2</v>
      </c>
      <c r="G5335" s="491">
        <f t="shared" si="83"/>
        <v>2</v>
      </c>
    </row>
    <row r="5336" spans="1:7" ht="12.75">
      <c r="A5336" s="134" t="s">
        <v>132</v>
      </c>
      <c r="B5336" s="134">
        <v>303</v>
      </c>
      <c r="C5336" s="491">
        <v>2</v>
      </c>
      <c r="D5336" s="491">
        <v>0</v>
      </c>
      <c r="E5336" s="491">
        <v>0</v>
      </c>
      <c r="F5336" s="491">
        <v>0</v>
      </c>
      <c r="G5336" s="491">
        <f t="shared" si="83"/>
        <v>2</v>
      </c>
    </row>
    <row r="5337" spans="1:7" ht="12.75">
      <c r="A5337" s="134" t="s">
        <v>132</v>
      </c>
      <c r="B5337" s="134">
        <v>307</v>
      </c>
      <c r="C5337" s="491">
        <v>1</v>
      </c>
      <c r="D5337" s="491">
        <v>0</v>
      </c>
      <c r="E5337" s="491">
        <v>2</v>
      </c>
      <c r="F5337" s="491">
        <v>0</v>
      </c>
      <c r="G5337" s="491">
        <f t="shared" si="83"/>
        <v>3</v>
      </c>
    </row>
    <row r="5338" spans="1:7" ht="12.75">
      <c r="A5338" s="134" t="s">
        <v>132</v>
      </c>
      <c r="B5338" s="134">
        <v>410</v>
      </c>
      <c r="C5338" s="491">
        <v>1</v>
      </c>
      <c r="D5338" s="491">
        <v>0</v>
      </c>
      <c r="E5338" s="491">
        <v>0</v>
      </c>
      <c r="F5338" s="491">
        <v>0</v>
      </c>
      <c r="G5338" s="491">
        <f t="shared" si="83"/>
        <v>1</v>
      </c>
    </row>
    <row r="5339" spans="1:7" ht="12.75">
      <c r="A5339" s="134" t="s">
        <v>132</v>
      </c>
      <c r="B5339" s="134">
        <v>420</v>
      </c>
      <c r="C5339" s="491">
        <v>1</v>
      </c>
      <c r="D5339" s="491">
        <v>0</v>
      </c>
      <c r="E5339" s="491">
        <v>0</v>
      </c>
      <c r="F5339" s="491">
        <v>0</v>
      </c>
      <c r="G5339" s="491">
        <f t="shared" si="83"/>
        <v>1</v>
      </c>
    </row>
    <row r="5340" spans="1:7" ht="12.75">
      <c r="A5340" s="134" t="s">
        <v>132</v>
      </c>
      <c r="B5340" s="134">
        <v>430</v>
      </c>
      <c r="C5340" s="491">
        <v>2</v>
      </c>
      <c r="D5340" s="491">
        <v>0</v>
      </c>
      <c r="E5340" s="491">
        <v>0</v>
      </c>
      <c r="F5340" s="491">
        <v>0</v>
      </c>
      <c r="G5340" s="491">
        <f t="shared" si="83"/>
        <v>2</v>
      </c>
    </row>
    <row r="5341" spans="1:7" ht="12.75">
      <c r="A5341" s="134" t="s">
        <v>132</v>
      </c>
      <c r="B5341" s="134">
        <v>501</v>
      </c>
      <c r="C5341" s="491">
        <v>0</v>
      </c>
      <c r="D5341" s="491">
        <v>0</v>
      </c>
      <c r="E5341" s="491">
        <v>1</v>
      </c>
      <c r="F5341" s="491">
        <v>0</v>
      </c>
      <c r="G5341" s="491">
        <f t="shared" si="83"/>
        <v>1</v>
      </c>
    </row>
    <row r="5342" spans="1:7" ht="12.75">
      <c r="A5342" s="134" t="s">
        <v>132</v>
      </c>
      <c r="B5342" s="134">
        <v>653</v>
      </c>
      <c r="C5342" s="491">
        <v>4</v>
      </c>
      <c r="D5342" s="491">
        <v>1</v>
      </c>
      <c r="E5342" s="491">
        <v>1</v>
      </c>
      <c r="F5342" s="491">
        <v>0</v>
      </c>
      <c r="G5342" s="491">
        <f t="shared" si="83"/>
        <v>6</v>
      </c>
    </row>
    <row r="5343" spans="1:7" ht="12.75">
      <c r="A5343" s="134" t="s">
        <v>132</v>
      </c>
      <c r="B5343" s="134">
        <v>840</v>
      </c>
      <c r="C5343" s="491">
        <v>1</v>
      </c>
      <c r="D5343" s="491">
        <v>0</v>
      </c>
      <c r="E5343" s="491">
        <v>0</v>
      </c>
      <c r="F5343" s="491">
        <v>0</v>
      </c>
      <c r="G5343" s="491">
        <f t="shared" si="83"/>
        <v>1</v>
      </c>
    </row>
    <row r="5344" spans="1:7" ht="12.75">
      <c r="A5344" s="134" t="s">
        <v>133</v>
      </c>
      <c r="B5344" s="134">
        <v>110</v>
      </c>
      <c r="C5344" s="491">
        <v>13</v>
      </c>
      <c r="D5344" s="491">
        <v>0</v>
      </c>
      <c r="E5344" s="491">
        <v>0</v>
      </c>
      <c r="F5344" s="491">
        <v>0</v>
      </c>
      <c r="G5344" s="491">
        <f t="shared" si="83"/>
        <v>13</v>
      </c>
    </row>
    <row r="5345" spans="1:7" ht="12.75">
      <c r="A5345" s="134" t="s">
        <v>133</v>
      </c>
      <c r="B5345" s="134">
        <v>120</v>
      </c>
      <c r="C5345" s="491">
        <v>0</v>
      </c>
      <c r="D5345" s="491">
        <v>4</v>
      </c>
      <c r="E5345" s="491">
        <v>0</v>
      </c>
      <c r="F5345" s="491">
        <v>0</v>
      </c>
      <c r="G5345" s="491">
        <f t="shared" si="83"/>
        <v>4</v>
      </c>
    </row>
    <row r="5346" spans="1:7" ht="12.75">
      <c r="A5346" s="134" t="s">
        <v>133</v>
      </c>
      <c r="B5346" s="134">
        <v>160</v>
      </c>
      <c r="C5346" s="491">
        <v>1</v>
      </c>
      <c r="D5346" s="491">
        <v>0</v>
      </c>
      <c r="E5346" s="491">
        <v>0</v>
      </c>
      <c r="F5346" s="491">
        <v>0</v>
      </c>
      <c r="G5346" s="491">
        <f t="shared" si="83"/>
        <v>1</v>
      </c>
    </row>
    <row r="5347" spans="1:7" ht="12.75">
      <c r="A5347" s="134" t="s">
        <v>133</v>
      </c>
      <c r="B5347" s="134">
        <v>300</v>
      </c>
      <c r="C5347" s="491">
        <v>4</v>
      </c>
      <c r="D5347" s="491">
        <v>1</v>
      </c>
      <c r="E5347" s="491">
        <v>0</v>
      </c>
      <c r="F5347" s="491">
        <v>0</v>
      </c>
      <c r="G5347" s="491">
        <f t="shared" si="83"/>
        <v>5</v>
      </c>
    </row>
    <row r="5348" spans="1:7" ht="12.75">
      <c r="A5348" s="134" t="s">
        <v>133</v>
      </c>
      <c r="B5348" s="134">
        <v>302</v>
      </c>
      <c r="C5348" s="491">
        <v>1</v>
      </c>
      <c r="D5348" s="491">
        <v>1</v>
      </c>
      <c r="E5348" s="491">
        <v>0</v>
      </c>
      <c r="F5348" s="491">
        <v>0</v>
      </c>
      <c r="G5348" s="491">
        <f t="shared" si="83"/>
        <v>2</v>
      </c>
    </row>
    <row r="5349" spans="1:7" ht="12.75">
      <c r="A5349" s="134" t="s">
        <v>133</v>
      </c>
      <c r="B5349" s="134">
        <v>330</v>
      </c>
      <c r="C5349" s="491">
        <v>1</v>
      </c>
      <c r="D5349" s="491">
        <v>0</v>
      </c>
      <c r="E5349" s="491">
        <v>0</v>
      </c>
      <c r="F5349" s="491">
        <v>0</v>
      </c>
      <c r="G5349" s="491">
        <f t="shared" si="83"/>
        <v>1</v>
      </c>
    </row>
    <row r="5350" spans="1:7" ht="12.75">
      <c r="A5350" s="134" t="s">
        <v>133</v>
      </c>
      <c r="B5350" s="134">
        <v>361</v>
      </c>
      <c r="C5350" s="491">
        <v>1</v>
      </c>
      <c r="D5350" s="491">
        <v>0</v>
      </c>
      <c r="E5350" s="491">
        <v>0</v>
      </c>
      <c r="F5350" s="491">
        <v>0</v>
      </c>
      <c r="G5350" s="491">
        <f t="shared" si="83"/>
        <v>1</v>
      </c>
    </row>
    <row r="5351" spans="1:7" ht="12.75">
      <c r="A5351" s="134" t="s">
        <v>133</v>
      </c>
      <c r="B5351" s="134">
        <v>501</v>
      </c>
      <c r="C5351" s="491">
        <v>2</v>
      </c>
      <c r="D5351" s="491">
        <v>0</v>
      </c>
      <c r="E5351" s="491">
        <v>0</v>
      </c>
      <c r="F5351" s="491">
        <v>0</v>
      </c>
      <c r="G5351" s="491">
        <f t="shared" si="83"/>
        <v>2</v>
      </c>
    </row>
    <row r="5352" spans="1:7" ht="12.75">
      <c r="A5352" s="134" t="s">
        <v>133</v>
      </c>
      <c r="B5352" s="134">
        <v>653</v>
      </c>
      <c r="C5352" s="491">
        <v>7</v>
      </c>
      <c r="D5352" s="491">
        <v>6</v>
      </c>
      <c r="E5352" s="491">
        <v>0</v>
      </c>
      <c r="F5352" s="491">
        <v>0</v>
      </c>
      <c r="G5352" s="491">
        <f t="shared" si="83"/>
        <v>13</v>
      </c>
    </row>
    <row r="5353" spans="1:7" ht="12.75">
      <c r="A5353" s="134" t="s">
        <v>134</v>
      </c>
      <c r="B5353" s="134">
        <v>110</v>
      </c>
      <c r="C5353" s="491">
        <v>1</v>
      </c>
      <c r="D5353" s="491">
        <v>0</v>
      </c>
      <c r="E5353" s="491">
        <v>0</v>
      </c>
      <c r="F5353" s="491">
        <v>0</v>
      </c>
      <c r="G5353" s="491">
        <f t="shared" si="83"/>
        <v>1</v>
      </c>
    </row>
    <row r="5354" spans="1:7" ht="12.75">
      <c r="A5354" s="134" t="s">
        <v>134</v>
      </c>
      <c r="B5354" s="134">
        <v>254</v>
      </c>
      <c r="C5354" s="491">
        <v>0</v>
      </c>
      <c r="D5354" s="491">
        <v>0</v>
      </c>
      <c r="E5354" s="491">
        <v>0</v>
      </c>
      <c r="F5354" s="491">
        <v>2</v>
      </c>
      <c r="G5354" s="491">
        <f t="shared" si="83"/>
        <v>2</v>
      </c>
    </row>
    <row r="5355" spans="1:7" ht="12.75">
      <c r="A5355" s="134" t="s">
        <v>135</v>
      </c>
      <c r="B5355" s="134">
        <v>100</v>
      </c>
      <c r="C5355" s="491">
        <v>2</v>
      </c>
      <c r="D5355" s="491">
        <v>0</v>
      </c>
      <c r="E5355" s="491">
        <v>0</v>
      </c>
      <c r="F5355" s="491">
        <v>0</v>
      </c>
      <c r="G5355" s="491">
        <f t="shared" si="83"/>
        <v>2</v>
      </c>
    </row>
    <row r="5356" spans="1:7" ht="12.75">
      <c r="A5356" s="134" t="s">
        <v>135</v>
      </c>
      <c r="B5356" s="134">
        <v>107</v>
      </c>
      <c r="C5356" s="491">
        <v>3</v>
      </c>
      <c r="D5356" s="491">
        <v>0</v>
      </c>
      <c r="E5356" s="491">
        <v>0</v>
      </c>
      <c r="F5356" s="491">
        <v>1</v>
      </c>
      <c r="G5356" s="491">
        <f t="shared" si="83"/>
        <v>4</v>
      </c>
    </row>
    <row r="5357" spans="1:7" ht="12.75">
      <c r="A5357" s="134" t="s">
        <v>135</v>
      </c>
      <c r="B5357" s="134">
        <v>110</v>
      </c>
      <c r="C5357" s="491">
        <v>44</v>
      </c>
      <c r="D5357" s="491">
        <v>0</v>
      </c>
      <c r="E5357" s="491">
        <v>0</v>
      </c>
      <c r="F5357" s="491">
        <v>0</v>
      </c>
      <c r="G5357" s="491">
        <f t="shared" si="83"/>
        <v>44</v>
      </c>
    </row>
    <row r="5358" spans="1:7" ht="12.75">
      <c r="A5358" s="134" t="s">
        <v>135</v>
      </c>
      <c r="B5358" s="134">
        <v>120</v>
      </c>
      <c r="C5358" s="491">
        <v>1</v>
      </c>
      <c r="D5358" s="491">
        <v>1</v>
      </c>
      <c r="E5358" s="491">
        <v>0</v>
      </c>
      <c r="F5358" s="491">
        <v>0</v>
      </c>
      <c r="G5358" s="491">
        <f t="shared" si="83"/>
        <v>2</v>
      </c>
    </row>
    <row r="5359" spans="1:7" ht="12.75">
      <c r="A5359" s="134" t="s">
        <v>135</v>
      </c>
      <c r="B5359" s="134">
        <v>130</v>
      </c>
      <c r="C5359" s="491">
        <v>0</v>
      </c>
      <c r="D5359" s="491">
        <v>1</v>
      </c>
      <c r="E5359" s="491">
        <v>0</v>
      </c>
      <c r="F5359" s="491">
        <v>0</v>
      </c>
      <c r="G5359" s="491">
        <f t="shared" si="83"/>
        <v>1</v>
      </c>
    </row>
    <row r="5360" spans="1:7" ht="12.75">
      <c r="A5360" s="134" t="s">
        <v>135</v>
      </c>
      <c r="B5360" s="134">
        <v>143</v>
      </c>
      <c r="C5360" s="491">
        <v>1</v>
      </c>
      <c r="D5360" s="491">
        <v>0</v>
      </c>
      <c r="E5360" s="491">
        <v>0</v>
      </c>
      <c r="F5360" s="491">
        <v>0</v>
      </c>
      <c r="G5360" s="491">
        <f t="shared" si="83"/>
        <v>1</v>
      </c>
    </row>
    <row r="5361" spans="1:7" ht="12.75">
      <c r="A5361" s="134" t="s">
        <v>135</v>
      </c>
      <c r="B5361" s="134">
        <v>191</v>
      </c>
      <c r="C5361" s="491">
        <v>1</v>
      </c>
      <c r="D5361" s="491">
        <v>0</v>
      </c>
      <c r="E5361" s="491">
        <v>0</v>
      </c>
      <c r="F5361" s="491">
        <v>0</v>
      </c>
      <c r="G5361" s="491">
        <f t="shared" si="83"/>
        <v>1</v>
      </c>
    </row>
    <row r="5362" spans="1:7" ht="12.75">
      <c r="A5362" s="134" t="s">
        <v>135</v>
      </c>
      <c r="B5362" s="134">
        <v>300</v>
      </c>
      <c r="C5362" s="491">
        <v>18</v>
      </c>
      <c r="D5362" s="491">
        <v>3</v>
      </c>
      <c r="E5362" s="491">
        <v>0</v>
      </c>
      <c r="F5362" s="491">
        <v>0</v>
      </c>
      <c r="G5362" s="491">
        <f t="shared" si="83"/>
        <v>21</v>
      </c>
    </row>
    <row r="5363" spans="1:7" ht="12.75">
      <c r="A5363" s="134" t="s">
        <v>135</v>
      </c>
      <c r="B5363" s="134">
        <v>302</v>
      </c>
      <c r="C5363" s="491">
        <v>1</v>
      </c>
      <c r="D5363" s="491">
        <v>0</v>
      </c>
      <c r="E5363" s="491">
        <v>0</v>
      </c>
      <c r="F5363" s="491">
        <v>0</v>
      </c>
      <c r="G5363" s="491">
        <f t="shared" si="83"/>
        <v>1</v>
      </c>
    </row>
    <row r="5364" spans="1:7" ht="12.75">
      <c r="A5364" s="134" t="s">
        <v>135</v>
      </c>
      <c r="B5364" s="134">
        <v>307</v>
      </c>
      <c r="C5364" s="491">
        <v>2</v>
      </c>
      <c r="D5364" s="491">
        <v>0</v>
      </c>
      <c r="E5364" s="491">
        <v>3</v>
      </c>
      <c r="F5364" s="491">
        <v>0</v>
      </c>
      <c r="G5364" s="491">
        <f t="shared" si="83"/>
        <v>5</v>
      </c>
    </row>
    <row r="5365" spans="1:7" ht="12.75">
      <c r="A5365" s="134" t="s">
        <v>135</v>
      </c>
      <c r="B5365" s="134">
        <v>314</v>
      </c>
      <c r="C5365" s="491">
        <v>1</v>
      </c>
      <c r="D5365" s="491">
        <v>0</v>
      </c>
      <c r="E5365" s="491">
        <v>0</v>
      </c>
      <c r="F5365" s="491">
        <v>0</v>
      </c>
      <c r="G5365" s="491">
        <f t="shared" si="83"/>
        <v>1</v>
      </c>
    </row>
    <row r="5366" spans="1:7" ht="12.75">
      <c r="A5366" s="134" t="s">
        <v>135</v>
      </c>
      <c r="B5366" s="134">
        <v>370</v>
      </c>
      <c r="C5366" s="491">
        <v>0</v>
      </c>
      <c r="D5366" s="491">
        <v>0</v>
      </c>
      <c r="E5366" s="491">
        <v>0</v>
      </c>
      <c r="F5366" s="491">
        <v>2</v>
      </c>
      <c r="G5366" s="491">
        <f t="shared" si="83"/>
        <v>2</v>
      </c>
    </row>
    <row r="5367" spans="1:7" ht="12.75">
      <c r="A5367" s="134" t="s">
        <v>135</v>
      </c>
      <c r="B5367" s="134">
        <v>410</v>
      </c>
      <c r="C5367" s="491">
        <v>6</v>
      </c>
      <c r="D5367" s="491">
        <v>3</v>
      </c>
      <c r="E5367" s="491">
        <v>1</v>
      </c>
      <c r="F5367" s="491">
        <v>0</v>
      </c>
      <c r="G5367" s="491">
        <f t="shared" si="83"/>
        <v>10</v>
      </c>
    </row>
    <row r="5368" spans="1:7" ht="12.75">
      <c r="A5368" s="134" t="s">
        <v>135</v>
      </c>
      <c r="B5368" s="134">
        <v>502</v>
      </c>
      <c r="C5368" s="491">
        <v>1</v>
      </c>
      <c r="D5368" s="491">
        <v>1</v>
      </c>
      <c r="E5368" s="491">
        <v>0</v>
      </c>
      <c r="F5368" s="491">
        <v>0</v>
      </c>
      <c r="G5368" s="491">
        <f t="shared" si="83"/>
        <v>2</v>
      </c>
    </row>
    <row r="5369" spans="1:7" ht="12.75">
      <c r="A5369" s="134" t="s">
        <v>135</v>
      </c>
      <c r="B5369" s="134">
        <v>650</v>
      </c>
      <c r="C5369" s="491">
        <v>1</v>
      </c>
      <c r="D5369" s="491">
        <v>0</v>
      </c>
      <c r="E5369" s="491">
        <v>0</v>
      </c>
      <c r="F5369" s="491">
        <v>0</v>
      </c>
      <c r="G5369" s="491">
        <f t="shared" si="83"/>
        <v>1</v>
      </c>
    </row>
    <row r="5370" spans="1:7" ht="12.75">
      <c r="A5370" s="134" t="s">
        <v>135</v>
      </c>
      <c r="B5370" s="134">
        <v>653</v>
      </c>
      <c r="C5370" s="491">
        <v>10</v>
      </c>
      <c r="D5370" s="491">
        <v>3</v>
      </c>
      <c r="E5370" s="491">
        <v>0</v>
      </c>
      <c r="F5370" s="491">
        <v>0</v>
      </c>
      <c r="G5370" s="491">
        <f t="shared" si="83"/>
        <v>13</v>
      </c>
    </row>
    <row r="5371" spans="1:7" ht="12.75">
      <c r="A5371" s="134" t="s">
        <v>135</v>
      </c>
      <c r="B5371" s="134">
        <v>811</v>
      </c>
      <c r="C5371" s="491">
        <v>0</v>
      </c>
      <c r="D5371" s="491">
        <v>2</v>
      </c>
      <c r="E5371" s="491">
        <v>0</v>
      </c>
      <c r="F5371" s="491">
        <v>0</v>
      </c>
      <c r="G5371" s="491">
        <f t="shared" si="83"/>
        <v>2</v>
      </c>
    </row>
    <row r="5372" spans="1:7" ht="12.75">
      <c r="A5372" s="134" t="s">
        <v>136</v>
      </c>
      <c r="B5372" s="134">
        <v>110</v>
      </c>
      <c r="C5372" s="491">
        <v>3</v>
      </c>
      <c r="D5372" s="491">
        <v>1</v>
      </c>
      <c r="E5372" s="491">
        <v>0</v>
      </c>
      <c r="F5372" s="491">
        <v>0</v>
      </c>
      <c r="G5372" s="491">
        <f t="shared" si="83"/>
        <v>4</v>
      </c>
    </row>
    <row r="5373" spans="1:7" ht="12.75">
      <c r="A5373" s="134" t="s">
        <v>136</v>
      </c>
      <c r="B5373" s="134">
        <v>120</v>
      </c>
      <c r="C5373" s="491">
        <v>0</v>
      </c>
      <c r="D5373" s="491">
        <v>2</v>
      </c>
      <c r="E5373" s="491">
        <v>0</v>
      </c>
      <c r="F5373" s="491">
        <v>0</v>
      </c>
      <c r="G5373" s="491">
        <f t="shared" si="83"/>
        <v>2</v>
      </c>
    </row>
    <row r="5374" spans="1:7" ht="12.75">
      <c r="A5374" s="134" t="s">
        <v>136</v>
      </c>
      <c r="B5374" s="134">
        <v>143</v>
      </c>
      <c r="C5374" s="491">
        <v>1</v>
      </c>
      <c r="D5374" s="491">
        <v>0</v>
      </c>
      <c r="E5374" s="491">
        <v>0</v>
      </c>
      <c r="F5374" s="491">
        <v>0</v>
      </c>
      <c r="G5374" s="491">
        <f t="shared" si="83"/>
        <v>1</v>
      </c>
    </row>
    <row r="5375" spans="1:7" ht="12.75">
      <c r="A5375" s="134" t="s">
        <v>137</v>
      </c>
      <c r="B5375" s="134">
        <v>100</v>
      </c>
      <c r="C5375" s="491">
        <v>2</v>
      </c>
      <c r="D5375" s="491">
        <v>0</v>
      </c>
      <c r="E5375" s="491">
        <v>0</v>
      </c>
      <c r="F5375" s="491">
        <v>0</v>
      </c>
      <c r="G5375" s="491">
        <f t="shared" si="83"/>
        <v>2</v>
      </c>
    </row>
    <row r="5376" spans="1:7" ht="12.75">
      <c r="A5376" s="134" t="s">
        <v>137</v>
      </c>
      <c r="B5376" s="134">
        <v>101</v>
      </c>
      <c r="C5376" s="491">
        <v>1</v>
      </c>
      <c r="D5376" s="491">
        <v>0</v>
      </c>
      <c r="E5376" s="491">
        <v>0</v>
      </c>
      <c r="F5376" s="491">
        <v>0</v>
      </c>
      <c r="G5376" s="491">
        <f t="shared" si="83"/>
        <v>1</v>
      </c>
    </row>
    <row r="5377" spans="1:7" ht="12.75">
      <c r="A5377" s="134" t="s">
        <v>137</v>
      </c>
      <c r="B5377" s="134">
        <v>107</v>
      </c>
      <c r="C5377" s="491">
        <v>0</v>
      </c>
      <c r="D5377" s="491">
        <v>3</v>
      </c>
      <c r="E5377" s="491">
        <v>0</v>
      </c>
      <c r="F5377" s="491">
        <v>1</v>
      </c>
      <c r="G5377" s="491">
        <f t="shared" si="83"/>
        <v>4</v>
      </c>
    </row>
    <row r="5378" spans="1:7" ht="12.75">
      <c r="A5378" s="134" t="s">
        <v>137</v>
      </c>
      <c r="B5378" s="134">
        <v>110</v>
      </c>
      <c r="C5378" s="491">
        <v>246</v>
      </c>
      <c r="D5378" s="491">
        <v>33</v>
      </c>
      <c r="E5378" s="491">
        <v>2</v>
      </c>
      <c r="F5378" s="491">
        <v>0</v>
      </c>
      <c r="G5378" s="491">
        <f t="shared" si="83"/>
        <v>281</v>
      </c>
    </row>
    <row r="5379" spans="1:7" ht="12.75">
      <c r="A5379" s="134" t="s">
        <v>137</v>
      </c>
      <c r="B5379" s="134">
        <v>120</v>
      </c>
      <c r="C5379" s="491">
        <v>1</v>
      </c>
      <c r="D5379" s="491">
        <v>0</v>
      </c>
      <c r="E5379" s="491">
        <v>0</v>
      </c>
      <c r="F5379" s="491">
        <v>0</v>
      </c>
      <c r="G5379" s="491">
        <f t="shared" si="83"/>
        <v>1</v>
      </c>
    </row>
    <row r="5380" spans="1:7" ht="12.75">
      <c r="A5380" s="134" t="s">
        <v>137</v>
      </c>
      <c r="B5380" s="134">
        <v>130</v>
      </c>
      <c r="C5380" s="491">
        <v>1</v>
      </c>
      <c r="D5380" s="491">
        <v>2</v>
      </c>
      <c r="E5380" s="491">
        <v>0</v>
      </c>
      <c r="F5380" s="491">
        <v>0</v>
      </c>
      <c r="G5380" s="491">
        <f t="shared" ref="G5380:G5443" si="84">SUM(C5380:F5380)</f>
        <v>3</v>
      </c>
    </row>
    <row r="5381" spans="1:7" ht="12.75">
      <c r="A5381" s="134" t="s">
        <v>137</v>
      </c>
      <c r="B5381" s="134">
        <v>300</v>
      </c>
      <c r="C5381" s="491">
        <v>39</v>
      </c>
      <c r="D5381" s="491">
        <v>21</v>
      </c>
      <c r="E5381" s="491">
        <v>0</v>
      </c>
      <c r="F5381" s="491">
        <v>0</v>
      </c>
      <c r="G5381" s="491">
        <f t="shared" si="84"/>
        <v>60</v>
      </c>
    </row>
    <row r="5382" spans="1:7" ht="12.75">
      <c r="A5382" s="134" t="s">
        <v>137</v>
      </c>
      <c r="B5382" s="134">
        <v>302</v>
      </c>
      <c r="C5382" s="491">
        <v>0</v>
      </c>
      <c r="D5382" s="491">
        <v>4</v>
      </c>
      <c r="E5382" s="491">
        <v>0</v>
      </c>
      <c r="F5382" s="491">
        <v>0</v>
      </c>
      <c r="G5382" s="491">
        <f t="shared" si="84"/>
        <v>4</v>
      </c>
    </row>
    <row r="5383" spans="1:7" ht="12.75">
      <c r="A5383" s="134" t="s">
        <v>137</v>
      </c>
      <c r="B5383" s="134">
        <v>303</v>
      </c>
      <c r="C5383" s="491">
        <v>1</v>
      </c>
      <c r="D5383" s="491">
        <v>0</v>
      </c>
      <c r="E5383" s="491">
        <v>0</v>
      </c>
      <c r="F5383" s="491">
        <v>0</v>
      </c>
      <c r="G5383" s="491">
        <f t="shared" si="84"/>
        <v>1</v>
      </c>
    </row>
    <row r="5384" spans="1:7" ht="12.75">
      <c r="A5384" s="134" t="s">
        <v>137</v>
      </c>
      <c r="B5384" s="134">
        <v>307</v>
      </c>
      <c r="C5384" s="491">
        <v>5</v>
      </c>
      <c r="D5384" s="491">
        <v>1</v>
      </c>
      <c r="E5384" s="491">
        <v>0</v>
      </c>
      <c r="F5384" s="491">
        <v>1</v>
      </c>
      <c r="G5384" s="491">
        <f t="shared" si="84"/>
        <v>7</v>
      </c>
    </row>
    <row r="5385" spans="1:7" ht="12.75">
      <c r="A5385" s="134" t="s">
        <v>137</v>
      </c>
      <c r="B5385" s="134">
        <v>320</v>
      </c>
      <c r="C5385" s="491">
        <v>0</v>
      </c>
      <c r="D5385" s="491">
        <v>2</v>
      </c>
      <c r="E5385" s="491">
        <v>0</v>
      </c>
      <c r="F5385" s="491">
        <v>0</v>
      </c>
      <c r="G5385" s="491">
        <f t="shared" si="84"/>
        <v>2</v>
      </c>
    </row>
    <row r="5386" spans="1:7" ht="12.75">
      <c r="A5386" s="134" t="s">
        <v>137</v>
      </c>
      <c r="B5386" s="134">
        <v>330</v>
      </c>
      <c r="C5386" s="491">
        <v>3</v>
      </c>
      <c r="D5386" s="491">
        <v>4</v>
      </c>
      <c r="E5386" s="491">
        <v>0</v>
      </c>
      <c r="F5386" s="491">
        <v>0</v>
      </c>
      <c r="G5386" s="491">
        <f t="shared" si="84"/>
        <v>7</v>
      </c>
    </row>
    <row r="5387" spans="1:7" ht="12.75">
      <c r="A5387" s="134" t="s">
        <v>137</v>
      </c>
      <c r="B5387" s="134">
        <v>410</v>
      </c>
      <c r="C5387" s="491">
        <v>30</v>
      </c>
      <c r="D5387" s="491">
        <v>30</v>
      </c>
      <c r="E5387" s="491">
        <v>0</v>
      </c>
      <c r="F5387" s="491">
        <v>0</v>
      </c>
      <c r="G5387" s="491">
        <f t="shared" si="84"/>
        <v>60</v>
      </c>
    </row>
    <row r="5388" spans="1:7" ht="12.75">
      <c r="A5388" s="134" t="s">
        <v>137</v>
      </c>
      <c r="B5388" s="134">
        <v>501</v>
      </c>
      <c r="C5388" s="491">
        <v>2</v>
      </c>
      <c r="D5388" s="491">
        <v>0</v>
      </c>
      <c r="E5388" s="491">
        <v>0</v>
      </c>
      <c r="F5388" s="491">
        <v>0</v>
      </c>
      <c r="G5388" s="491">
        <f t="shared" si="84"/>
        <v>2</v>
      </c>
    </row>
    <row r="5389" spans="1:7" ht="12.75">
      <c r="A5389" s="134" t="s">
        <v>137</v>
      </c>
      <c r="B5389" s="134">
        <v>502</v>
      </c>
      <c r="C5389" s="491">
        <v>1</v>
      </c>
      <c r="D5389" s="491">
        <v>0</v>
      </c>
      <c r="E5389" s="491">
        <v>0</v>
      </c>
      <c r="F5389" s="491">
        <v>0</v>
      </c>
      <c r="G5389" s="491">
        <f t="shared" si="84"/>
        <v>1</v>
      </c>
    </row>
    <row r="5390" spans="1:7" ht="12.75">
      <c r="A5390" s="134" t="s">
        <v>137</v>
      </c>
      <c r="B5390" s="134">
        <v>560</v>
      </c>
      <c r="C5390" s="491">
        <v>0</v>
      </c>
      <c r="D5390" s="491">
        <v>1</v>
      </c>
      <c r="E5390" s="491">
        <v>0</v>
      </c>
      <c r="F5390" s="491">
        <v>0</v>
      </c>
      <c r="G5390" s="491">
        <f t="shared" si="84"/>
        <v>1</v>
      </c>
    </row>
    <row r="5391" spans="1:7" ht="12.75">
      <c r="A5391" s="134" t="s">
        <v>137</v>
      </c>
      <c r="B5391" s="134">
        <v>650</v>
      </c>
      <c r="C5391" s="491">
        <v>62</v>
      </c>
      <c r="D5391" s="491">
        <v>15</v>
      </c>
      <c r="E5391" s="491">
        <v>0</v>
      </c>
      <c r="F5391" s="491">
        <v>0</v>
      </c>
      <c r="G5391" s="491">
        <f t="shared" si="84"/>
        <v>77</v>
      </c>
    </row>
    <row r="5392" spans="1:7" ht="12.75">
      <c r="A5392" s="134" t="s">
        <v>137</v>
      </c>
      <c r="B5392" s="134">
        <v>653</v>
      </c>
      <c r="C5392" s="491">
        <v>3</v>
      </c>
      <c r="D5392" s="491">
        <v>0</v>
      </c>
      <c r="E5392" s="491">
        <v>0</v>
      </c>
      <c r="F5392" s="491">
        <v>0</v>
      </c>
      <c r="G5392" s="491">
        <f t="shared" si="84"/>
        <v>3</v>
      </c>
    </row>
    <row r="5393" spans="1:7" ht="12.75">
      <c r="A5393" s="134" t="s">
        <v>137</v>
      </c>
      <c r="B5393" s="134">
        <v>658</v>
      </c>
      <c r="C5393" s="491">
        <v>2</v>
      </c>
      <c r="D5393" s="491">
        <v>0</v>
      </c>
      <c r="E5393" s="491">
        <v>0</v>
      </c>
      <c r="F5393" s="491">
        <v>0</v>
      </c>
      <c r="G5393" s="491">
        <f t="shared" si="84"/>
        <v>2</v>
      </c>
    </row>
    <row r="5394" spans="1:7" ht="12.75">
      <c r="A5394" s="134" t="s">
        <v>137</v>
      </c>
      <c r="B5394" s="134">
        <v>811</v>
      </c>
      <c r="C5394" s="491">
        <v>0</v>
      </c>
      <c r="D5394" s="491">
        <v>13</v>
      </c>
      <c r="E5394" s="491">
        <v>0</v>
      </c>
      <c r="F5394" s="491">
        <v>0</v>
      </c>
      <c r="G5394" s="491">
        <f t="shared" si="84"/>
        <v>13</v>
      </c>
    </row>
    <row r="5395" spans="1:7" ht="12.75">
      <c r="A5395" s="134" t="s">
        <v>138</v>
      </c>
      <c r="B5395" s="134">
        <v>110</v>
      </c>
      <c r="C5395" s="491">
        <v>192</v>
      </c>
      <c r="D5395" s="491">
        <v>15</v>
      </c>
      <c r="E5395" s="491">
        <v>8</v>
      </c>
      <c r="F5395" s="491">
        <v>1</v>
      </c>
      <c r="G5395" s="491">
        <f t="shared" si="84"/>
        <v>216</v>
      </c>
    </row>
    <row r="5396" spans="1:7" ht="12.75">
      <c r="A5396" s="134" t="s">
        <v>138</v>
      </c>
      <c r="B5396" s="134">
        <v>130</v>
      </c>
      <c r="C5396" s="491">
        <v>1</v>
      </c>
      <c r="D5396" s="491">
        <v>0</v>
      </c>
      <c r="E5396" s="491">
        <v>0</v>
      </c>
      <c r="F5396" s="491">
        <v>0</v>
      </c>
      <c r="G5396" s="491">
        <f t="shared" si="84"/>
        <v>1</v>
      </c>
    </row>
    <row r="5397" spans="1:7" ht="12.75">
      <c r="A5397" s="134" t="s">
        <v>138</v>
      </c>
      <c r="B5397" s="134">
        <v>143</v>
      </c>
      <c r="C5397" s="491">
        <v>1</v>
      </c>
      <c r="D5397" s="491">
        <v>1</v>
      </c>
      <c r="E5397" s="491">
        <v>0</v>
      </c>
      <c r="F5397" s="491">
        <v>0</v>
      </c>
      <c r="G5397" s="491">
        <f t="shared" si="84"/>
        <v>2</v>
      </c>
    </row>
    <row r="5398" spans="1:7" ht="12.75">
      <c r="A5398" s="134" t="s">
        <v>138</v>
      </c>
      <c r="B5398" s="134">
        <v>171</v>
      </c>
      <c r="C5398" s="491">
        <v>0</v>
      </c>
      <c r="D5398" s="491">
        <v>1</v>
      </c>
      <c r="E5398" s="491">
        <v>0</v>
      </c>
      <c r="F5398" s="491">
        <v>0</v>
      </c>
      <c r="G5398" s="491">
        <f t="shared" si="84"/>
        <v>1</v>
      </c>
    </row>
    <row r="5399" spans="1:7" ht="12.75">
      <c r="A5399" s="134" t="s">
        <v>138</v>
      </c>
      <c r="B5399" s="134">
        <v>214</v>
      </c>
      <c r="C5399" s="491">
        <v>141</v>
      </c>
      <c r="D5399" s="491">
        <v>35</v>
      </c>
      <c r="E5399" s="491">
        <v>0</v>
      </c>
      <c r="F5399" s="491">
        <v>0</v>
      </c>
      <c r="G5399" s="491">
        <f t="shared" si="84"/>
        <v>176</v>
      </c>
    </row>
    <row r="5400" spans="1:7" ht="12.75">
      <c r="A5400" s="134" t="s">
        <v>138</v>
      </c>
      <c r="B5400" s="134">
        <v>215</v>
      </c>
      <c r="C5400" s="491">
        <v>1</v>
      </c>
      <c r="D5400" s="491">
        <v>0</v>
      </c>
      <c r="E5400" s="491">
        <v>0</v>
      </c>
      <c r="F5400" s="491">
        <v>0</v>
      </c>
      <c r="G5400" s="491">
        <f t="shared" si="84"/>
        <v>1</v>
      </c>
    </row>
    <row r="5401" spans="1:7" ht="12.75">
      <c r="A5401" s="134" t="s">
        <v>138</v>
      </c>
      <c r="B5401" s="134">
        <v>216</v>
      </c>
      <c r="C5401" s="491">
        <v>0</v>
      </c>
      <c r="D5401" s="491">
        <v>1</v>
      </c>
      <c r="E5401" s="491">
        <v>0</v>
      </c>
      <c r="F5401" s="491">
        <v>0</v>
      </c>
      <c r="G5401" s="491">
        <f t="shared" si="84"/>
        <v>1</v>
      </c>
    </row>
    <row r="5402" spans="1:7" ht="12.75">
      <c r="A5402" s="134" t="s">
        <v>138</v>
      </c>
      <c r="B5402" s="134">
        <v>219</v>
      </c>
      <c r="C5402" s="491">
        <v>1</v>
      </c>
      <c r="D5402" s="491">
        <v>0</v>
      </c>
      <c r="E5402" s="491">
        <v>0</v>
      </c>
      <c r="F5402" s="491">
        <v>0</v>
      </c>
      <c r="G5402" s="491">
        <f t="shared" si="84"/>
        <v>1</v>
      </c>
    </row>
    <row r="5403" spans="1:7" ht="12.75">
      <c r="A5403" s="134" t="s">
        <v>138</v>
      </c>
      <c r="B5403" s="134">
        <v>420</v>
      </c>
      <c r="C5403" s="491">
        <v>2</v>
      </c>
      <c r="D5403" s="491">
        <v>0</v>
      </c>
      <c r="E5403" s="491">
        <v>0</v>
      </c>
      <c r="F5403" s="491">
        <v>0</v>
      </c>
      <c r="G5403" s="491">
        <f t="shared" si="84"/>
        <v>2</v>
      </c>
    </row>
    <row r="5404" spans="1:7" ht="12.75">
      <c r="A5404" s="134" t="s">
        <v>138</v>
      </c>
      <c r="B5404" s="134">
        <v>650</v>
      </c>
      <c r="C5404" s="491">
        <v>3</v>
      </c>
      <c r="D5404" s="491">
        <v>1</v>
      </c>
      <c r="E5404" s="491">
        <v>0</v>
      </c>
      <c r="F5404" s="491">
        <v>0</v>
      </c>
      <c r="G5404" s="491">
        <f t="shared" si="84"/>
        <v>4</v>
      </c>
    </row>
    <row r="5405" spans="1:7" ht="12.75">
      <c r="A5405" s="134" t="s">
        <v>476</v>
      </c>
      <c r="B5405" s="134">
        <v>100</v>
      </c>
      <c r="C5405" s="491">
        <v>1</v>
      </c>
      <c r="D5405" s="491">
        <v>0</v>
      </c>
      <c r="E5405" s="491">
        <v>0</v>
      </c>
      <c r="F5405" s="491">
        <v>0</v>
      </c>
      <c r="G5405" s="491">
        <f t="shared" si="84"/>
        <v>1</v>
      </c>
    </row>
    <row r="5406" spans="1:7" ht="12.75">
      <c r="A5406" s="134" t="s">
        <v>476</v>
      </c>
      <c r="B5406" s="134">
        <v>110</v>
      </c>
      <c r="C5406" s="491">
        <v>693</v>
      </c>
      <c r="D5406" s="491">
        <v>293</v>
      </c>
      <c r="E5406" s="491">
        <v>12</v>
      </c>
      <c r="F5406" s="491">
        <v>4</v>
      </c>
      <c r="G5406" s="491">
        <f t="shared" si="84"/>
        <v>1002</v>
      </c>
    </row>
    <row r="5407" spans="1:7" ht="12.75">
      <c r="A5407" s="134" t="s">
        <v>476</v>
      </c>
      <c r="B5407" s="134">
        <v>120</v>
      </c>
      <c r="C5407" s="491">
        <v>0</v>
      </c>
      <c r="D5407" s="491">
        <v>0</v>
      </c>
      <c r="E5407" s="491">
        <v>0</v>
      </c>
      <c r="F5407" s="491">
        <v>1</v>
      </c>
      <c r="G5407" s="491">
        <f t="shared" si="84"/>
        <v>1</v>
      </c>
    </row>
    <row r="5408" spans="1:7" ht="12.75">
      <c r="A5408" s="134" t="s">
        <v>476</v>
      </c>
      <c r="B5408" s="134">
        <v>130</v>
      </c>
      <c r="C5408" s="491">
        <v>4</v>
      </c>
      <c r="D5408" s="491">
        <v>0</v>
      </c>
      <c r="E5408" s="491">
        <v>0</v>
      </c>
      <c r="F5408" s="491">
        <v>0</v>
      </c>
      <c r="G5408" s="491">
        <f t="shared" si="84"/>
        <v>4</v>
      </c>
    </row>
    <row r="5409" spans="1:7" ht="12.75">
      <c r="A5409" s="134" t="s">
        <v>476</v>
      </c>
      <c r="B5409" s="134">
        <v>191</v>
      </c>
      <c r="C5409" s="491">
        <v>1</v>
      </c>
      <c r="D5409" s="491">
        <v>0</v>
      </c>
      <c r="E5409" s="491">
        <v>0</v>
      </c>
      <c r="F5409" s="491">
        <v>0</v>
      </c>
      <c r="G5409" s="491">
        <f t="shared" si="84"/>
        <v>1</v>
      </c>
    </row>
    <row r="5410" spans="1:7" ht="12.75">
      <c r="A5410" s="134" t="s">
        <v>476</v>
      </c>
      <c r="B5410" s="134">
        <v>214</v>
      </c>
      <c r="C5410" s="491">
        <v>58</v>
      </c>
      <c r="D5410" s="491">
        <v>35</v>
      </c>
      <c r="E5410" s="491">
        <v>165</v>
      </c>
      <c r="F5410" s="491">
        <v>5</v>
      </c>
      <c r="G5410" s="491">
        <f t="shared" si="84"/>
        <v>263</v>
      </c>
    </row>
    <row r="5411" spans="1:7" ht="12.75">
      <c r="A5411" s="134" t="s">
        <v>476</v>
      </c>
      <c r="B5411" s="134">
        <v>257</v>
      </c>
      <c r="C5411" s="491">
        <v>1</v>
      </c>
      <c r="D5411" s="491">
        <v>0</v>
      </c>
      <c r="E5411" s="491">
        <v>0</v>
      </c>
      <c r="F5411" s="491">
        <v>0</v>
      </c>
      <c r="G5411" s="491">
        <f t="shared" si="84"/>
        <v>1</v>
      </c>
    </row>
    <row r="5412" spans="1:7" ht="12.75">
      <c r="A5412" s="134" t="s">
        <v>476</v>
      </c>
      <c r="B5412" s="134">
        <v>258</v>
      </c>
      <c r="C5412" s="491">
        <v>1</v>
      </c>
      <c r="D5412" s="491">
        <v>0</v>
      </c>
      <c r="E5412" s="491">
        <v>0</v>
      </c>
      <c r="F5412" s="491">
        <v>0</v>
      </c>
      <c r="G5412" s="491">
        <f t="shared" si="84"/>
        <v>1</v>
      </c>
    </row>
    <row r="5413" spans="1:7" ht="12.75">
      <c r="A5413" s="134" t="s">
        <v>476</v>
      </c>
      <c r="B5413" s="134">
        <v>264</v>
      </c>
      <c r="C5413" s="491">
        <v>0</v>
      </c>
      <c r="D5413" s="491">
        <v>0</v>
      </c>
      <c r="E5413" s="491">
        <v>1</v>
      </c>
      <c r="F5413" s="491">
        <v>0</v>
      </c>
      <c r="G5413" s="491">
        <f t="shared" si="84"/>
        <v>1</v>
      </c>
    </row>
    <row r="5414" spans="1:7" ht="12.75">
      <c r="A5414" s="134" t="s">
        <v>476</v>
      </c>
      <c r="B5414" s="134">
        <v>300</v>
      </c>
      <c r="C5414" s="491">
        <v>0</v>
      </c>
      <c r="D5414" s="491">
        <v>5</v>
      </c>
      <c r="E5414" s="491">
        <v>0</v>
      </c>
      <c r="F5414" s="491">
        <v>0</v>
      </c>
      <c r="G5414" s="491">
        <f t="shared" si="84"/>
        <v>5</v>
      </c>
    </row>
    <row r="5415" spans="1:7" ht="12.75">
      <c r="A5415" s="134" t="s">
        <v>476</v>
      </c>
      <c r="B5415" s="134">
        <v>303</v>
      </c>
      <c r="C5415" s="491">
        <v>1</v>
      </c>
      <c r="D5415" s="491">
        <v>0</v>
      </c>
      <c r="E5415" s="491">
        <v>0</v>
      </c>
      <c r="F5415" s="491">
        <v>0</v>
      </c>
      <c r="G5415" s="491">
        <f t="shared" si="84"/>
        <v>1</v>
      </c>
    </row>
    <row r="5416" spans="1:7" ht="12.75">
      <c r="A5416" s="134" t="s">
        <v>476</v>
      </c>
      <c r="B5416" s="134">
        <v>314</v>
      </c>
      <c r="C5416" s="491">
        <v>1</v>
      </c>
      <c r="D5416" s="491">
        <v>0</v>
      </c>
      <c r="E5416" s="491">
        <v>0</v>
      </c>
      <c r="F5416" s="491">
        <v>0</v>
      </c>
      <c r="G5416" s="491">
        <f t="shared" si="84"/>
        <v>1</v>
      </c>
    </row>
    <row r="5417" spans="1:7" ht="12.75">
      <c r="A5417" s="134" t="s">
        <v>476</v>
      </c>
      <c r="B5417" s="134">
        <v>320</v>
      </c>
      <c r="C5417" s="491">
        <v>0</v>
      </c>
      <c r="D5417" s="491">
        <v>5</v>
      </c>
      <c r="E5417" s="491">
        <v>0</v>
      </c>
      <c r="F5417" s="491">
        <v>0</v>
      </c>
      <c r="G5417" s="491">
        <f t="shared" si="84"/>
        <v>5</v>
      </c>
    </row>
    <row r="5418" spans="1:7" ht="12.75">
      <c r="A5418" s="134" t="s">
        <v>476</v>
      </c>
      <c r="B5418" s="134">
        <v>330</v>
      </c>
      <c r="C5418" s="491">
        <v>5</v>
      </c>
      <c r="D5418" s="491">
        <v>0</v>
      </c>
      <c r="E5418" s="491">
        <v>0</v>
      </c>
      <c r="F5418" s="491">
        <v>0</v>
      </c>
      <c r="G5418" s="491">
        <f t="shared" si="84"/>
        <v>5</v>
      </c>
    </row>
    <row r="5419" spans="1:7" ht="12.75">
      <c r="A5419" s="134" t="s">
        <v>476</v>
      </c>
      <c r="B5419" s="134">
        <v>340</v>
      </c>
      <c r="C5419" s="491">
        <v>0</v>
      </c>
      <c r="D5419" s="491">
        <v>3</v>
      </c>
      <c r="E5419" s="491">
        <v>0</v>
      </c>
      <c r="F5419" s="491">
        <v>0</v>
      </c>
      <c r="G5419" s="491">
        <f t="shared" si="84"/>
        <v>3</v>
      </c>
    </row>
    <row r="5420" spans="1:7" ht="12.75">
      <c r="A5420" s="134" t="s">
        <v>476</v>
      </c>
      <c r="B5420" s="134">
        <v>400</v>
      </c>
      <c r="C5420" s="491">
        <v>2</v>
      </c>
      <c r="D5420" s="491">
        <v>0</v>
      </c>
      <c r="E5420" s="491">
        <v>0</v>
      </c>
      <c r="F5420" s="491">
        <v>0</v>
      </c>
      <c r="G5420" s="491">
        <f t="shared" si="84"/>
        <v>2</v>
      </c>
    </row>
    <row r="5421" spans="1:7" ht="12.75">
      <c r="A5421" s="134" t="s">
        <v>476</v>
      </c>
      <c r="B5421" s="134">
        <v>410</v>
      </c>
      <c r="C5421" s="491">
        <v>12</v>
      </c>
      <c r="D5421" s="491">
        <v>1</v>
      </c>
      <c r="E5421" s="491">
        <v>0</v>
      </c>
      <c r="F5421" s="491">
        <v>0</v>
      </c>
      <c r="G5421" s="491">
        <f t="shared" si="84"/>
        <v>13</v>
      </c>
    </row>
    <row r="5422" spans="1:7" ht="12.75">
      <c r="A5422" s="134" t="s">
        <v>476</v>
      </c>
      <c r="B5422" s="134">
        <v>420</v>
      </c>
      <c r="C5422" s="491">
        <v>1</v>
      </c>
      <c r="D5422" s="491">
        <v>1</v>
      </c>
      <c r="E5422" s="491">
        <v>0</v>
      </c>
      <c r="F5422" s="491">
        <v>0</v>
      </c>
      <c r="G5422" s="491">
        <f t="shared" si="84"/>
        <v>2</v>
      </c>
    </row>
    <row r="5423" spans="1:7" ht="12.75">
      <c r="A5423" s="134" t="s">
        <v>476</v>
      </c>
      <c r="B5423" s="134">
        <v>502</v>
      </c>
      <c r="C5423" s="491">
        <v>2</v>
      </c>
      <c r="D5423" s="491">
        <v>3</v>
      </c>
      <c r="E5423" s="491">
        <v>0</v>
      </c>
      <c r="F5423" s="491">
        <v>0</v>
      </c>
      <c r="G5423" s="491">
        <f t="shared" si="84"/>
        <v>5</v>
      </c>
    </row>
    <row r="5424" spans="1:7" ht="12.75">
      <c r="A5424" s="134" t="s">
        <v>476</v>
      </c>
      <c r="B5424" s="134">
        <v>560</v>
      </c>
      <c r="C5424" s="491">
        <v>1</v>
      </c>
      <c r="D5424" s="491">
        <v>0</v>
      </c>
      <c r="E5424" s="491">
        <v>0</v>
      </c>
      <c r="F5424" s="491">
        <v>0</v>
      </c>
      <c r="G5424" s="491">
        <f t="shared" si="84"/>
        <v>1</v>
      </c>
    </row>
    <row r="5425" spans="1:7" ht="12.75">
      <c r="A5425" s="134" t="s">
        <v>476</v>
      </c>
      <c r="B5425" s="134">
        <v>650</v>
      </c>
      <c r="C5425" s="491">
        <v>1081</v>
      </c>
      <c r="D5425" s="491">
        <v>439</v>
      </c>
      <c r="E5425" s="491">
        <v>25</v>
      </c>
      <c r="F5425" s="491">
        <v>7</v>
      </c>
      <c r="G5425" s="491">
        <f t="shared" si="84"/>
        <v>1552</v>
      </c>
    </row>
    <row r="5426" spans="1:7" ht="12.75">
      <c r="A5426" s="134" t="s">
        <v>476</v>
      </c>
      <c r="B5426" s="134">
        <v>653</v>
      </c>
      <c r="C5426" s="491">
        <v>6</v>
      </c>
      <c r="D5426" s="491">
        <v>2</v>
      </c>
      <c r="E5426" s="491">
        <v>0</v>
      </c>
      <c r="F5426" s="491">
        <v>0</v>
      </c>
      <c r="G5426" s="491">
        <f t="shared" si="84"/>
        <v>8</v>
      </c>
    </row>
    <row r="5427" spans="1:7" ht="12.75">
      <c r="A5427" s="134" t="s">
        <v>476</v>
      </c>
      <c r="B5427" s="134">
        <v>658</v>
      </c>
      <c r="C5427" s="491">
        <v>0</v>
      </c>
      <c r="D5427" s="491">
        <v>1</v>
      </c>
      <c r="E5427" s="491">
        <v>0</v>
      </c>
      <c r="F5427" s="491">
        <v>0</v>
      </c>
      <c r="G5427" s="491">
        <f t="shared" si="84"/>
        <v>1</v>
      </c>
    </row>
    <row r="5428" spans="1:7" ht="12.75">
      <c r="A5428" s="134" t="s">
        <v>476</v>
      </c>
      <c r="B5428" s="134">
        <v>811</v>
      </c>
      <c r="C5428" s="491">
        <v>0</v>
      </c>
      <c r="D5428" s="491">
        <v>168</v>
      </c>
      <c r="E5428" s="491">
        <v>0</v>
      </c>
      <c r="F5428" s="491">
        <v>0</v>
      </c>
      <c r="G5428" s="491">
        <f t="shared" si="84"/>
        <v>168</v>
      </c>
    </row>
    <row r="5429" spans="1:7" ht="12.75">
      <c r="A5429" s="134" t="s">
        <v>476</v>
      </c>
      <c r="B5429" s="134">
        <v>812</v>
      </c>
      <c r="C5429" s="491">
        <v>6</v>
      </c>
      <c r="D5429" s="491">
        <v>61</v>
      </c>
      <c r="E5429" s="491">
        <v>0</v>
      </c>
      <c r="F5429" s="491">
        <v>0</v>
      </c>
      <c r="G5429" s="491">
        <f t="shared" si="84"/>
        <v>67</v>
      </c>
    </row>
    <row r="5430" spans="1:7" ht="12.75">
      <c r="A5430" s="134" t="s">
        <v>329</v>
      </c>
      <c r="B5430" s="134">
        <v>103</v>
      </c>
      <c r="C5430" s="491">
        <v>2</v>
      </c>
      <c r="D5430" s="491">
        <v>0</v>
      </c>
      <c r="E5430" s="491">
        <v>0</v>
      </c>
      <c r="F5430" s="491">
        <v>0</v>
      </c>
      <c r="G5430" s="491">
        <f t="shared" si="84"/>
        <v>2</v>
      </c>
    </row>
    <row r="5431" spans="1:7" ht="12.75">
      <c r="A5431" s="134" t="s">
        <v>329</v>
      </c>
      <c r="B5431" s="134">
        <v>107</v>
      </c>
      <c r="C5431" s="491">
        <v>0</v>
      </c>
      <c r="D5431" s="491">
        <v>1</v>
      </c>
      <c r="E5431" s="491">
        <v>0</v>
      </c>
      <c r="F5431" s="491">
        <v>0</v>
      </c>
      <c r="G5431" s="491">
        <f t="shared" si="84"/>
        <v>1</v>
      </c>
    </row>
    <row r="5432" spans="1:7" ht="12.75">
      <c r="A5432" s="134" t="s">
        <v>329</v>
      </c>
      <c r="B5432" s="134">
        <v>110</v>
      </c>
      <c r="C5432" s="491">
        <v>3340</v>
      </c>
      <c r="D5432" s="491">
        <v>2688</v>
      </c>
      <c r="E5432" s="491">
        <v>35</v>
      </c>
      <c r="F5432" s="491">
        <v>17</v>
      </c>
      <c r="G5432" s="491">
        <f t="shared" si="84"/>
        <v>6080</v>
      </c>
    </row>
    <row r="5433" spans="1:7" ht="12.75">
      <c r="A5433" s="134" t="s">
        <v>329</v>
      </c>
      <c r="B5433" s="134">
        <v>140</v>
      </c>
      <c r="C5433" s="491">
        <v>1</v>
      </c>
      <c r="D5433" s="491">
        <v>0</v>
      </c>
      <c r="E5433" s="491">
        <v>0</v>
      </c>
      <c r="F5433" s="491">
        <v>0</v>
      </c>
      <c r="G5433" s="491">
        <f t="shared" si="84"/>
        <v>1</v>
      </c>
    </row>
    <row r="5434" spans="1:7" ht="12.75">
      <c r="A5434" s="134" t="s">
        <v>329</v>
      </c>
      <c r="B5434" s="134">
        <v>144</v>
      </c>
      <c r="C5434" s="491">
        <v>1</v>
      </c>
      <c r="D5434" s="491">
        <v>0</v>
      </c>
      <c r="E5434" s="491">
        <v>0</v>
      </c>
      <c r="F5434" s="491">
        <v>0</v>
      </c>
      <c r="G5434" s="491">
        <f t="shared" si="84"/>
        <v>1</v>
      </c>
    </row>
    <row r="5435" spans="1:7" ht="12.75">
      <c r="A5435" s="134" t="s">
        <v>329</v>
      </c>
      <c r="B5435" s="134">
        <v>180</v>
      </c>
      <c r="C5435" s="491">
        <v>8</v>
      </c>
      <c r="D5435" s="491">
        <v>28</v>
      </c>
      <c r="E5435" s="491">
        <v>0</v>
      </c>
      <c r="F5435" s="491">
        <v>0</v>
      </c>
      <c r="G5435" s="491">
        <f t="shared" si="84"/>
        <v>36</v>
      </c>
    </row>
    <row r="5436" spans="1:7" ht="12.75">
      <c r="A5436" s="134" t="s">
        <v>329</v>
      </c>
      <c r="B5436" s="134">
        <v>190</v>
      </c>
      <c r="C5436" s="491">
        <v>1</v>
      </c>
      <c r="D5436" s="491">
        <v>0</v>
      </c>
      <c r="E5436" s="491">
        <v>0</v>
      </c>
      <c r="F5436" s="491">
        <v>0</v>
      </c>
      <c r="G5436" s="491">
        <f t="shared" si="84"/>
        <v>1</v>
      </c>
    </row>
    <row r="5437" spans="1:7" ht="12.75">
      <c r="A5437" s="134" t="s">
        <v>329</v>
      </c>
      <c r="B5437" s="134">
        <v>191</v>
      </c>
      <c r="C5437" s="491">
        <v>0</v>
      </c>
      <c r="D5437" s="491">
        <v>3</v>
      </c>
      <c r="E5437" s="491">
        <v>0</v>
      </c>
      <c r="F5437" s="491">
        <v>0</v>
      </c>
      <c r="G5437" s="491">
        <f t="shared" si="84"/>
        <v>3</v>
      </c>
    </row>
    <row r="5438" spans="1:7" ht="12.75">
      <c r="A5438" s="134" t="s">
        <v>329</v>
      </c>
      <c r="B5438" s="134">
        <v>214</v>
      </c>
      <c r="C5438" s="491">
        <v>107</v>
      </c>
      <c r="D5438" s="491">
        <v>82</v>
      </c>
      <c r="E5438" s="491">
        <v>0</v>
      </c>
      <c r="F5438" s="491">
        <v>0</v>
      </c>
      <c r="G5438" s="491">
        <f t="shared" si="84"/>
        <v>189</v>
      </c>
    </row>
    <row r="5439" spans="1:7" ht="12.75">
      <c r="A5439" s="134" t="s">
        <v>329</v>
      </c>
      <c r="B5439" s="134">
        <v>262</v>
      </c>
      <c r="C5439" s="491">
        <v>0</v>
      </c>
      <c r="D5439" s="491">
        <v>0</v>
      </c>
      <c r="E5439" s="491">
        <v>0</v>
      </c>
      <c r="F5439" s="491">
        <v>1</v>
      </c>
      <c r="G5439" s="491">
        <f t="shared" si="84"/>
        <v>1</v>
      </c>
    </row>
    <row r="5440" spans="1:7" ht="12.75">
      <c r="A5440" s="134" t="s">
        <v>329</v>
      </c>
      <c r="B5440" s="134">
        <v>300</v>
      </c>
      <c r="C5440" s="491">
        <v>1</v>
      </c>
      <c r="D5440" s="491">
        <v>0</v>
      </c>
      <c r="E5440" s="491">
        <v>0</v>
      </c>
      <c r="F5440" s="491">
        <v>0</v>
      </c>
      <c r="G5440" s="491">
        <f t="shared" si="84"/>
        <v>1</v>
      </c>
    </row>
    <row r="5441" spans="1:7" ht="12.75">
      <c r="A5441" s="134" t="s">
        <v>329</v>
      </c>
      <c r="B5441" s="134">
        <v>307</v>
      </c>
      <c r="C5441" s="491">
        <v>8</v>
      </c>
      <c r="D5441" s="491">
        <v>1</v>
      </c>
      <c r="E5441" s="491">
        <v>0</v>
      </c>
      <c r="F5441" s="491">
        <v>0</v>
      </c>
      <c r="G5441" s="491">
        <f t="shared" si="84"/>
        <v>9</v>
      </c>
    </row>
    <row r="5442" spans="1:7" ht="12.75">
      <c r="A5442" s="134" t="s">
        <v>329</v>
      </c>
      <c r="B5442" s="134">
        <v>314</v>
      </c>
      <c r="C5442" s="491">
        <v>5</v>
      </c>
      <c r="D5442" s="491">
        <v>0</v>
      </c>
      <c r="E5442" s="491">
        <v>0</v>
      </c>
      <c r="F5442" s="491">
        <v>0</v>
      </c>
      <c r="G5442" s="491">
        <f t="shared" si="84"/>
        <v>5</v>
      </c>
    </row>
    <row r="5443" spans="1:7" ht="12.75">
      <c r="A5443" s="134" t="s">
        <v>329</v>
      </c>
      <c r="B5443" s="134">
        <v>410</v>
      </c>
      <c r="C5443" s="491">
        <v>462</v>
      </c>
      <c r="D5443" s="491">
        <v>82</v>
      </c>
      <c r="E5443" s="491">
        <v>2</v>
      </c>
      <c r="F5443" s="491">
        <v>3</v>
      </c>
      <c r="G5443" s="491">
        <f t="shared" si="84"/>
        <v>549</v>
      </c>
    </row>
    <row r="5444" spans="1:7" ht="12.75">
      <c r="A5444" s="134" t="s">
        <v>329</v>
      </c>
      <c r="B5444" s="134">
        <v>502</v>
      </c>
      <c r="C5444" s="491">
        <v>1</v>
      </c>
      <c r="D5444" s="491">
        <v>0</v>
      </c>
      <c r="E5444" s="491">
        <v>0</v>
      </c>
      <c r="F5444" s="491">
        <v>0</v>
      </c>
      <c r="G5444" s="491">
        <f t="shared" ref="G5444:G5507" si="85">SUM(C5444:F5444)</f>
        <v>1</v>
      </c>
    </row>
    <row r="5445" spans="1:7" ht="12.75">
      <c r="A5445" s="134" t="s">
        <v>329</v>
      </c>
      <c r="B5445" s="134">
        <v>650</v>
      </c>
      <c r="C5445" s="491">
        <v>3</v>
      </c>
      <c r="D5445" s="491">
        <v>6</v>
      </c>
      <c r="E5445" s="491">
        <v>0</v>
      </c>
      <c r="F5445" s="491">
        <v>0</v>
      </c>
      <c r="G5445" s="491">
        <f t="shared" si="85"/>
        <v>9</v>
      </c>
    </row>
    <row r="5446" spans="1:7" ht="12.75">
      <c r="A5446" s="134" t="s">
        <v>329</v>
      </c>
      <c r="B5446" s="134">
        <v>651</v>
      </c>
      <c r="C5446" s="491">
        <v>1</v>
      </c>
      <c r="D5446" s="491">
        <v>0</v>
      </c>
      <c r="E5446" s="491">
        <v>0</v>
      </c>
      <c r="F5446" s="491">
        <v>0</v>
      </c>
      <c r="G5446" s="491">
        <f t="shared" si="85"/>
        <v>1</v>
      </c>
    </row>
    <row r="5447" spans="1:7" ht="12.75">
      <c r="A5447" s="134" t="s">
        <v>329</v>
      </c>
      <c r="B5447" s="134">
        <v>653</v>
      </c>
      <c r="C5447" s="491">
        <v>12</v>
      </c>
      <c r="D5447" s="491">
        <v>7</v>
      </c>
      <c r="E5447" s="491">
        <v>0</v>
      </c>
      <c r="F5447" s="491">
        <v>0</v>
      </c>
      <c r="G5447" s="491">
        <f t="shared" si="85"/>
        <v>19</v>
      </c>
    </row>
    <row r="5448" spans="1:7" ht="12.75">
      <c r="A5448" s="134" t="s">
        <v>329</v>
      </c>
      <c r="B5448" s="134">
        <v>654</v>
      </c>
      <c r="C5448" s="491">
        <v>1</v>
      </c>
      <c r="D5448" s="491">
        <v>0</v>
      </c>
      <c r="E5448" s="491">
        <v>0</v>
      </c>
      <c r="F5448" s="491">
        <v>0</v>
      </c>
      <c r="G5448" s="491">
        <f t="shared" si="85"/>
        <v>1</v>
      </c>
    </row>
    <row r="5449" spans="1:7" ht="12.75">
      <c r="A5449" s="134" t="s">
        <v>329</v>
      </c>
      <c r="B5449" s="134">
        <v>658</v>
      </c>
      <c r="C5449" s="491">
        <v>45</v>
      </c>
      <c r="D5449" s="491">
        <v>8</v>
      </c>
      <c r="E5449" s="491">
        <v>0</v>
      </c>
      <c r="F5449" s="491">
        <v>0</v>
      </c>
      <c r="G5449" s="491">
        <f t="shared" si="85"/>
        <v>53</v>
      </c>
    </row>
    <row r="5450" spans="1:7" ht="12.75">
      <c r="A5450" s="134" t="s">
        <v>329</v>
      </c>
      <c r="B5450" s="134">
        <v>712</v>
      </c>
      <c r="C5450" s="491">
        <v>0</v>
      </c>
      <c r="D5450" s="491">
        <v>1</v>
      </c>
      <c r="E5450" s="491">
        <v>0</v>
      </c>
      <c r="F5450" s="491">
        <v>0</v>
      </c>
      <c r="G5450" s="491">
        <f t="shared" si="85"/>
        <v>1</v>
      </c>
    </row>
    <row r="5451" spans="1:7" ht="12.75">
      <c r="A5451" s="134" t="s">
        <v>329</v>
      </c>
      <c r="B5451" s="134">
        <v>800</v>
      </c>
      <c r="C5451" s="491">
        <v>0</v>
      </c>
      <c r="D5451" s="491">
        <v>4</v>
      </c>
      <c r="E5451" s="491">
        <v>0</v>
      </c>
      <c r="F5451" s="491">
        <v>0</v>
      </c>
      <c r="G5451" s="491">
        <f t="shared" si="85"/>
        <v>4</v>
      </c>
    </row>
    <row r="5452" spans="1:7" ht="12.75">
      <c r="A5452" s="134" t="s">
        <v>329</v>
      </c>
      <c r="B5452" s="134">
        <v>811</v>
      </c>
      <c r="C5452" s="491">
        <v>6</v>
      </c>
      <c r="D5452" s="491">
        <v>610</v>
      </c>
      <c r="E5452" s="491">
        <v>0</v>
      </c>
      <c r="F5452" s="491">
        <v>0</v>
      </c>
      <c r="G5452" s="491">
        <f t="shared" si="85"/>
        <v>616</v>
      </c>
    </row>
    <row r="5453" spans="1:7" ht="12.75">
      <c r="A5453" s="134" t="s">
        <v>329</v>
      </c>
      <c r="B5453" s="134">
        <v>812</v>
      </c>
      <c r="C5453" s="491">
        <v>218</v>
      </c>
      <c r="D5453" s="491">
        <v>127</v>
      </c>
      <c r="E5453" s="491">
        <v>0</v>
      </c>
      <c r="F5453" s="491">
        <v>0</v>
      </c>
      <c r="G5453" s="491">
        <f t="shared" si="85"/>
        <v>345</v>
      </c>
    </row>
    <row r="5454" spans="1:7" ht="12.75">
      <c r="A5454" s="134" t="s">
        <v>139</v>
      </c>
      <c r="B5454" s="134">
        <v>110</v>
      </c>
      <c r="C5454" s="491">
        <v>1</v>
      </c>
      <c r="D5454" s="491">
        <v>1</v>
      </c>
      <c r="E5454" s="491">
        <v>0</v>
      </c>
      <c r="F5454" s="491">
        <v>0</v>
      </c>
      <c r="G5454" s="491">
        <f t="shared" si="85"/>
        <v>2</v>
      </c>
    </row>
    <row r="5455" spans="1:7" ht="12.75">
      <c r="A5455" s="134" t="s">
        <v>139</v>
      </c>
      <c r="B5455" s="134">
        <v>160</v>
      </c>
      <c r="C5455" s="491">
        <v>0</v>
      </c>
      <c r="D5455" s="491">
        <v>1</v>
      </c>
      <c r="E5455" s="491">
        <v>0</v>
      </c>
      <c r="F5455" s="491">
        <v>0</v>
      </c>
      <c r="G5455" s="491">
        <f t="shared" si="85"/>
        <v>1</v>
      </c>
    </row>
    <row r="5456" spans="1:7" ht="12.75">
      <c r="A5456" s="134" t="s">
        <v>139</v>
      </c>
      <c r="B5456" s="134">
        <v>420</v>
      </c>
      <c r="C5456" s="491">
        <v>0</v>
      </c>
      <c r="D5456" s="491">
        <v>1</v>
      </c>
      <c r="E5456" s="491">
        <v>0</v>
      </c>
      <c r="F5456" s="491">
        <v>0</v>
      </c>
      <c r="G5456" s="491">
        <f t="shared" si="85"/>
        <v>1</v>
      </c>
    </row>
    <row r="5457" spans="1:7" ht="12.75">
      <c r="A5457" s="134" t="s">
        <v>139</v>
      </c>
      <c r="B5457" s="134">
        <v>502</v>
      </c>
      <c r="C5457" s="491">
        <v>0</v>
      </c>
      <c r="D5457" s="491">
        <v>1</v>
      </c>
      <c r="E5457" s="491">
        <v>0</v>
      </c>
      <c r="F5457" s="491">
        <v>0</v>
      </c>
      <c r="G5457" s="491">
        <f t="shared" si="85"/>
        <v>1</v>
      </c>
    </row>
    <row r="5458" spans="1:7" ht="12.75">
      <c r="A5458" s="134" t="s">
        <v>140</v>
      </c>
      <c r="B5458" s="134">
        <v>160</v>
      </c>
      <c r="C5458" s="491">
        <v>0</v>
      </c>
      <c r="D5458" s="491">
        <v>2</v>
      </c>
      <c r="E5458" s="491">
        <v>0</v>
      </c>
      <c r="F5458" s="491">
        <v>0</v>
      </c>
      <c r="G5458" s="491">
        <f t="shared" si="85"/>
        <v>2</v>
      </c>
    </row>
    <row r="5459" spans="1:7" ht="12.75">
      <c r="A5459" s="134" t="s">
        <v>140</v>
      </c>
      <c r="B5459" s="134">
        <v>811</v>
      </c>
      <c r="C5459" s="491">
        <v>0</v>
      </c>
      <c r="D5459" s="491">
        <v>1</v>
      </c>
      <c r="E5459" s="491">
        <v>0</v>
      </c>
      <c r="F5459" s="491">
        <v>0</v>
      </c>
      <c r="G5459" s="491">
        <f t="shared" si="85"/>
        <v>1</v>
      </c>
    </row>
    <row r="5460" spans="1:7" ht="12.75">
      <c r="A5460" s="134" t="s">
        <v>141</v>
      </c>
      <c r="B5460" s="134">
        <v>100</v>
      </c>
      <c r="C5460" s="491">
        <v>0</v>
      </c>
      <c r="D5460" s="491">
        <v>2</v>
      </c>
      <c r="E5460" s="491">
        <v>0</v>
      </c>
      <c r="F5460" s="491">
        <v>0</v>
      </c>
      <c r="G5460" s="491">
        <f t="shared" si="85"/>
        <v>2</v>
      </c>
    </row>
    <row r="5461" spans="1:7" ht="12.75">
      <c r="A5461" s="134" t="s">
        <v>141</v>
      </c>
      <c r="B5461" s="134">
        <v>110</v>
      </c>
      <c r="C5461" s="491">
        <v>3</v>
      </c>
      <c r="D5461" s="491">
        <v>3</v>
      </c>
      <c r="E5461" s="491">
        <v>0</v>
      </c>
      <c r="F5461" s="491">
        <v>3</v>
      </c>
      <c r="G5461" s="491">
        <f t="shared" si="85"/>
        <v>9</v>
      </c>
    </row>
    <row r="5462" spans="1:7" ht="12.75">
      <c r="A5462" s="134" t="s">
        <v>141</v>
      </c>
      <c r="B5462" s="134">
        <v>144</v>
      </c>
      <c r="C5462" s="491">
        <v>0</v>
      </c>
      <c r="D5462" s="491">
        <v>1</v>
      </c>
      <c r="E5462" s="491">
        <v>0</v>
      </c>
      <c r="F5462" s="491">
        <v>0</v>
      </c>
      <c r="G5462" s="491">
        <f t="shared" si="85"/>
        <v>1</v>
      </c>
    </row>
    <row r="5463" spans="1:7" ht="12.75">
      <c r="A5463" s="134" t="s">
        <v>141</v>
      </c>
      <c r="B5463" s="134">
        <v>160</v>
      </c>
      <c r="C5463" s="491">
        <v>3</v>
      </c>
      <c r="D5463" s="491">
        <v>0</v>
      </c>
      <c r="E5463" s="491">
        <v>0</v>
      </c>
      <c r="F5463" s="491">
        <v>0</v>
      </c>
      <c r="G5463" s="491">
        <f t="shared" si="85"/>
        <v>3</v>
      </c>
    </row>
    <row r="5464" spans="1:7" ht="12.75">
      <c r="A5464" s="134" t="s">
        <v>141</v>
      </c>
      <c r="B5464" s="134">
        <v>330</v>
      </c>
      <c r="C5464" s="491">
        <v>0</v>
      </c>
      <c r="D5464" s="491">
        <v>2</v>
      </c>
      <c r="E5464" s="491">
        <v>0</v>
      </c>
      <c r="F5464" s="491">
        <v>0</v>
      </c>
      <c r="G5464" s="491">
        <f t="shared" si="85"/>
        <v>2</v>
      </c>
    </row>
    <row r="5465" spans="1:7" ht="12.75">
      <c r="A5465" s="134" t="s">
        <v>141</v>
      </c>
      <c r="B5465" s="134">
        <v>361</v>
      </c>
      <c r="C5465" s="491">
        <v>3</v>
      </c>
      <c r="D5465" s="491">
        <v>0</v>
      </c>
      <c r="E5465" s="491">
        <v>0</v>
      </c>
      <c r="F5465" s="491">
        <v>0</v>
      </c>
      <c r="G5465" s="491">
        <f t="shared" si="85"/>
        <v>3</v>
      </c>
    </row>
    <row r="5466" spans="1:7" ht="12.75">
      <c r="A5466" s="134" t="s">
        <v>141</v>
      </c>
      <c r="B5466" s="134">
        <v>501</v>
      </c>
      <c r="C5466" s="491">
        <v>3</v>
      </c>
      <c r="D5466" s="491">
        <v>1</v>
      </c>
      <c r="E5466" s="491">
        <v>0</v>
      </c>
      <c r="F5466" s="491">
        <v>1</v>
      </c>
      <c r="G5466" s="491">
        <f t="shared" si="85"/>
        <v>5</v>
      </c>
    </row>
    <row r="5467" spans="1:7" ht="12.75">
      <c r="A5467" s="134" t="s">
        <v>141</v>
      </c>
      <c r="B5467" s="134">
        <v>502</v>
      </c>
      <c r="C5467" s="491">
        <v>0</v>
      </c>
      <c r="D5467" s="491">
        <v>0</v>
      </c>
      <c r="E5467" s="491">
        <v>0</v>
      </c>
      <c r="F5467" s="491">
        <v>1</v>
      </c>
      <c r="G5467" s="491">
        <f t="shared" si="85"/>
        <v>1</v>
      </c>
    </row>
    <row r="5468" spans="1:7" ht="12.75">
      <c r="A5468" s="134" t="s">
        <v>141</v>
      </c>
      <c r="B5468" s="134">
        <v>651</v>
      </c>
      <c r="C5468" s="491">
        <v>0</v>
      </c>
      <c r="D5468" s="491">
        <v>1</v>
      </c>
      <c r="E5468" s="491">
        <v>0</v>
      </c>
      <c r="F5468" s="491">
        <v>0</v>
      </c>
      <c r="G5468" s="491">
        <f t="shared" si="85"/>
        <v>1</v>
      </c>
    </row>
    <row r="5469" spans="1:7" ht="12.75">
      <c r="A5469" s="134" t="s">
        <v>142</v>
      </c>
      <c r="B5469" s="134">
        <v>110</v>
      </c>
      <c r="C5469" s="491">
        <v>81</v>
      </c>
      <c r="D5469" s="491">
        <v>11</v>
      </c>
      <c r="E5469" s="491">
        <v>1</v>
      </c>
      <c r="F5469" s="491">
        <v>1</v>
      </c>
      <c r="G5469" s="491">
        <f t="shared" si="85"/>
        <v>94</v>
      </c>
    </row>
    <row r="5470" spans="1:7" ht="12.75">
      <c r="A5470" s="134" t="s">
        <v>142</v>
      </c>
      <c r="B5470" s="134">
        <v>120</v>
      </c>
      <c r="C5470" s="491">
        <v>1</v>
      </c>
      <c r="D5470" s="491">
        <v>0</v>
      </c>
      <c r="E5470" s="491">
        <v>0</v>
      </c>
      <c r="F5470" s="491">
        <v>0</v>
      </c>
      <c r="G5470" s="491">
        <f t="shared" si="85"/>
        <v>1</v>
      </c>
    </row>
    <row r="5471" spans="1:7" ht="12.75">
      <c r="A5471" s="134" t="s">
        <v>142</v>
      </c>
      <c r="B5471" s="134">
        <v>160</v>
      </c>
      <c r="C5471" s="491">
        <v>15</v>
      </c>
      <c r="D5471" s="491">
        <v>23</v>
      </c>
      <c r="E5471" s="491">
        <v>0</v>
      </c>
      <c r="F5471" s="491">
        <v>0</v>
      </c>
      <c r="G5471" s="491">
        <f t="shared" si="85"/>
        <v>38</v>
      </c>
    </row>
    <row r="5472" spans="1:7" ht="12.75">
      <c r="A5472" s="134" t="s">
        <v>142</v>
      </c>
      <c r="B5472" s="134">
        <v>214</v>
      </c>
      <c r="C5472" s="491">
        <v>3</v>
      </c>
      <c r="D5472" s="491">
        <v>0</v>
      </c>
      <c r="E5472" s="491">
        <v>0</v>
      </c>
      <c r="F5472" s="491">
        <v>0</v>
      </c>
      <c r="G5472" s="491">
        <f t="shared" si="85"/>
        <v>3</v>
      </c>
    </row>
    <row r="5473" spans="1:7" ht="12.75">
      <c r="A5473" s="134" t="s">
        <v>142</v>
      </c>
      <c r="B5473" s="134">
        <v>300</v>
      </c>
      <c r="C5473" s="491">
        <v>0</v>
      </c>
      <c r="D5473" s="491">
        <v>1</v>
      </c>
      <c r="E5473" s="491">
        <v>0</v>
      </c>
      <c r="F5473" s="491">
        <v>0</v>
      </c>
      <c r="G5473" s="491">
        <f t="shared" si="85"/>
        <v>1</v>
      </c>
    </row>
    <row r="5474" spans="1:7" ht="12.75">
      <c r="A5474" s="134" t="s">
        <v>142</v>
      </c>
      <c r="B5474" s="134">
        <v>330</v>
      </c>
      <c r="C5474" s="491">
        <v>0</v>
      </c>
      <c r="D5474" s="491">
        <v>1</v>
      </c>
      <c r="E5474" s="491">
        <v>0</v>
      </c>
      <c r="F5474" s="491">
        <v>0</v>
      </c>
      <c r="G5474" s="491">
        <f t="shared" si="85"/>
        <v>1</v>
      </c>
    </row>
    <row r="5475" spans="1:7" ht="12.75">
      <c r="A5475" s="134" t="s">
        <v>142</v>
      </c>
      <c r="B5475" s="134">
        <v>410</v>
      </c>
      <c r="C5475" s="491">
        <v>70</v>
      </c>
      <c r="D5475" s="491">
        <v>19</v>
      </c>
      <c r="E5475" s="491">
        <v>0</v>
      </c>
      <c r="F5475" s="491">
        <v>0</v>
      </c>
      <c r="G5475" s="491">
        <f t="shared" si="85"/>
        <v>89</v>
      </c>
    </row>
    <row r="5476" spans="1:7" ht="12.75">
      <c r="A5476" s="134" t="s">
        <v>142</v>
      </c>
      <c r="B5476" s="134">
        <v>501</v>
      </c>
      <c r="C5476" s="491">
        <v>1</v>
      </c>
      <c r="D5476" s="491">
        <v>0</v>
      </c>
      <c r="E5476" s="491">
        <v>0</v>
      </c>
      <c r="F5476" s="491">
        <v>0</v>
      </c>
      <c r="G5476" s="491">
        <f t="shared" si="85"/>
        <v>1</v>
      </c>
    </row>
    <row r="5477" spans="1:7" ht="12.75">
      <c r="A5477" s="134" t="s">
        <v>142</v>
      </c>
      <c r="B5477" s="134">
        <v>811</v>
      </c>
      <c r="C5477" s="491">
        <v>0</v>
      </c>
      <c r="D5477" s="491">
        <v>4</v>
      </c>
      <c r="E5477" s="491">
        <v>0</v>
      </c>
      <c r="F5477" s="491">
        <v>0</v>
      </c>
      <c r="G5477" s="491">
        <f t="shared" si="85"/>
        <v>4</v>
      </c>
    </row>
    <row r="5478" spans="1:7" ht="12.75">
      <c r="A5478" s="134" t="s">
        <v>143</v>
      </c>
      <c r="B5478" s="134">
        <v>100</v>
      </c>
      <c r="C5478" s="491">
        <v>1</v>
      </c>
      <c r="D5478" s="491">
        <v>0</v>
      </c>
      <c r="E5478" s="491">
        <v>1</v>
      </c>
      <c r="F5478" s="491">
        <v>0</v>
      </c>
      <c r="G5478" s="491">
        <f t="shared" si="85"/>
        <v>2</v>
      </c>
    </row>
    <row r="5479" spans="1:7" ht="12.75">
      <c r="A5479" s="134" t="s">
        <v>143</v>
      </c>
      <c r="B5479" s="134">
        <v>103</v>
      </c>
      <c r="C5479" s="491">
        <v>0</v>
      </c>
      <c r="D5479" s="491">
        <v>0</v>
      </c>
      <c r="E5479" s="491">
        <v>0</v>
      </c>
      <c r="F5479" s="491">
        <v>1</v>
      </c>
      <c r="G5479" s="491">
        <f t="shared" si="85"/>
        <v>1</v>
      </c>
    </row>
    <row r="5480" spans="1:7" ht="12.75">
      <c r="A5480" s="134" t="s">
        <v>143</v>
      </c>
      <c r="B5480" s="134">
        <v>110</v>
      </c>
      <c r="C5480" s="491">
        <v>354</v>
      </c>
      <c r="D5480" s="491">
        <v>245</v>
      </c>
      <c r="E5480" s="491">
        <v>10</v>
      </c>
      <c r="F5480" s="491">
        <v>4</v>
      </c>
      <c r="G5480" s="491">
        <f t="shared" si="85"/>
        <v>613</v>
      </c>
    </row>
    <row r="5481" spans="1:7" ht="12.75">
      <c r="A5481" s="134" t="s">
        <v>143</v>
      </c>
      <c r="B5481" s="134">
        <v>160</v>
      </c>
      <c r="C5481" s="491">
        <v>236</v>
      </c>
      <c r="D5481" s="491">
        <v>20</v>
      </c>
      <c r="E5481" s="491">
        <v>1</v>
      </c>
      <c r="F5481" s="491">
        <v>0</v>
      </c>
      <c r="G5481" s="491">
        <f t="shared" si="85"/>
        <v>257</v>
      </c>
    </row>
    <row r="5482" spans="1:7" ht="12.75">
      <c r="A5482" s="134" t="s">
        <v>143</v>
      </c>
      <c r="B5482" s="134">
        <v>171</v>
      </c>
      <c r="C5482" s="491">
        <v>0</v>
      </c>
      <c r="D5482" s="491">
        <v>0</v>
      </c>
      <c r="E5482" s="491">
        <v>0</v>
      </c>
      <c r="F5482" s="491">
        <v>1</v>
      </c>
      <c r="G5482" s="491">
        <f t="shared" si="85"/>
        <v>1</v>
      </c>
    </row>
    <row r="5483" spans="1:7" ht="12.75">
      <c r="A5483" s="134" t="s">
        <v>143</v>
      </c>
      <c r="B5483" s="134">
        <v>214</v>
      </c>
      <c r="C5483" s="491">
        <v>5</v>
      </c>
      <c r="D5483" s="491">
        <v>1</v>
      </c>
      <c r="E5483" s="491">
        <v>0</v>
      </c>
      <c r="F5483" s="491">
        <v>0</v>
      </c>
      <c r="G5483" s="491">
        <f t="shared" si="85"/>
        <v>6</v>
      </c>
    </row>
    <row r="5484" spans="1:7" ht="12.75">
      <c r="A5484" s="134" t="s">
        <v>143</v>
      </c>
      <c r="B5484" s="134">
        <v>219</v>
      </c>
      <c r="C5484" s="491">
        <v>7</v>
      </c>
      <c r="D5484" s="491">
        <v>2</v>
      </c>
      <c r="E5484" s="491">
        <v>0</v>
      </c>
      <c r="F5484" s="491">
        <v>0</v>
      </c>
      <c r="G5484" s="491">
        <f t="shared" si="85"/>
        <v>9</v>
      </c>
    </row>
    <row r="5485" spans="1:7" ht="12.75">
      <c r="A5485" s="134" t="s">
        <v>143</v>
      </c>
      <c r="B5485" s="134">
        <v>300</v>
      </c>
      <c r="C5485" s="491">
        <v>0</v>
      </c>
      <c r="D5485" s="491">
        <v>3</v>
      </c>
      <c r="E5485" s="491">
        <v>0</v>
      </c>
      <c r="F5485" s="491">
        <v>0</v>
      </c>
      <c r="G5485" s="491">
        <f t="shared" si="85"/>
        <v>3</v>
      </c>
    </row>
    <row r="5486" spans="1:7" ht="12.75">
      <c r="A5486" s="134" t="s">
        <v>143</v>
      </c>
      <c r="B5486" s="134">
        <v>302</v>
      </c>
      <c r="C5486" s="491">
        <v>1</v>
      </c>
      <c r="D5486" s="491">
        <v>0</v>
      </c>
      <c r="E5486" s="491">
        <v>0</v>
      </c>
      <c r="F5486" s="491">
        <v>0</v>
      </c>
      <c r="G5486" s="491">
        <f t="shared" si="85"/>
        <v>1</v>
      </c>
    </row>
    <row r="5487" spans="1:7" ht="12.75">
      <c r="A5487" s="134" t="s">
        <v>143</v>
      </c>
      <c r="B5487" s="134">
        <v>306</v>
      </c>
      <c r="C5487" s="491">
        <v>0</v>
      </c>
      <c r="D5487" s="491">
        <v>1</v>
      </c>
      <c r="E5487" s="491">
        <v>0</v>
      </c>
      <c r="F5487" s="491">
        <v>0</v>
      </c>
      <c r="G5487" s="491">
        <f t="shared" si="85"/>
        <v>1</v>
      </c>
    </row>
    <row r="5488" spans="1:7" ht="12.75">
      <c r="A5488" s="134" t="s">
        <v>143</v>
      </c>
      <c r="B5488" s="134">
        <v>330</v>
      </c>
      <c r="C5488" s="491">
        <v>3</v>
      </c>
      <c r="D5488" s="491">
        <v>0</v>
      </c>
      <c r="E5488" s="491">
        <v>0</v>
      </c>
      <c r="F5488" s="491">
        <v>0</v>
      </c>
      <c r="G5488" s="491">
        <f t="shared" si="85"/>
        <v>3</v>
      </c>
    </row>
    <row r="5489" spans="1:7" ht="12.75">
      <c r="A5489" s="134" t="s">
        <v>143</v>
      </c>
      <c r="B5489" s="134">
        <v>340</v>
      </c>
      <c r="C5489" s="491">
        <v>1</v>
      </c>
      <c r="D5489" s="491">
        <v>0</v>
      </c>
      <c r="E5489" s="491">
        <v>0</v>
      </c>
      <c r="F5489" s="491">
        <v>0</v>
      </c>
      <c r="G5489" s="491">
        <f t="shared" si="85"/>
        <v>1</v>
      </c>
    </row>
    <row r="5490" spans="1:7" ht="12.75">
      <c r="A5490" s="134" t="s">
        <v>143</v>
      </c>
      <c r="B5490" s="134">
        <v>410</v>
      </c>
      <c r="C5490" s="491">
        <v>31</v>
      </c>
      <c r="D5490" s="491">
        <v>8</v>
      </c>
      <c r="E5490" s="491">
        <v>0</v>
      </c>
      <c r="F5490" s="491">
        <v>0</v>
      </c>
      <c r="G5490" s="491">
        <f t="shared" si="85"/>
        <v>39</v>
      </c>
    </row>
    <row r="5491" spans="1:7" ht="12.75">
      <c r="A5491" s="134" t="s">
        <v>143</v>
      </c>
      <c r="B5491" s="134">
        <v>420</v>
      </c>
      <c r="C5491" s="491">
        <v>0</v>
      </c>
      <c r="D5491" s="491">
        <v>1</v>
      </c>
      <c r="E5491" s="491">
        <v>0</v>
      </c>
      <c r="F5491" s="491">
        <v>0</v>
      </c>
      <c r="G5491" s="491">
        <f t="shared" si="85"/>
        <v>1</v>
      </c>
    </row>
    <row r="5492" spans="1:7" ht="12.75">
      <c r="A5492" s="134" t="s">
        <v>143</v>
      </c>
      <c r="B5492" s="134">
        <v>650</v>
      </c>
      <c r="C5492" s="491">
        <v>62</v>
      </c>
      <c r="D5492" s="491">
        <v>15</v>
      </c>
      <c r="E5492" s="491">
        <v>0</v>
      </c>
      <c r="F5492" s="491">
        <v>0</v>
      </c>
      <c r="G5492" s="491">
        <f t="shared" si="85"/>
        <v>77</v>
      </c>
    </row>
    <row r="5493" spans="1:7" ht="12.75">
      <c r="A5493" s="134" t="s">
        <v>143</v>
      </c>
      <c r="B5493" s="134">
        <v>651</v>
      </c>
      <c r="C5493" s="491">
        <v>73</v>
      </c>
      <c r="D5493" s="491">
        <v>32</v>
      </c>
      <c r="E5493" s="491">
        <v>0</v>
      </c>
      <c r="F5493" s="491">
        <v>0</v>
      </c>
      <c r="G5493" s="491">
        <f t="shared" si="85"/>
        <v>105</v>
      </c>
    </row>
    <row r="5494" spans="1:7" ht="12.75">
      <c r="A5494" s="134" t="s">
        <v>143</v>
      </c>
      <c r="B5494" s="134">
        <v>811</v>
      </c>
      <c r="C5494" s="491">
        <v>2</v>
      </c>
      <c r="D5494" s="491">
        <v>108</v>
      </c>
      <c r="E5494" s="491">
        <v>0</v>
      </c>
      <c r="F5494" s="491">
        <v>1</v>
      </c>
      <c r="G5494" s="491">
        <f t="shared" si="85"/>
        <v>111</v>
      </c>
    </row>
    <row r="5495" spans="1:7" ht="12.75">
      <c r="A5495" s="134" t="s">
        <v>143</v>
      </c>
      <c r="B5495" s="134">
        <v>812</v>
      </c>
      <c r="C5495" s="491">
        <v>23</v>
      </c>
      <c r="D5495" s="491">
        <v>18</v>
      </c>
      <c r="E5495" s="491">
        <v>0</v>
      </c>
      <c r="F5495" s="491">
        <v>0</v>
      </c>
      <c r="G5495" s="491">
        <f t="shared" si="85"/>
        <v>41</v>
      </c>
    </row>
    <row r="5496" spans="1:7" ht="12.75">
      <c r="A5496" s="134" t="s">
        <v>491</v>
      </c>
      <c r="B5496" s="134">
        <v>110</v>
      </c>
      <c r="C5496" s="491">
        <v>523</v>
      </c>
      <c r="D5496" s="491">
        <v>470</v>
      </c>
      <c r="E5496" s="491">
        <v>12</v>
      </c>
      <c r="F5496" s="491">
        <v>5</v>
      </c>
      <c r="G5496" s="491">
        <f t="shared" si="85"/>
        <v>1010</v>
      </c>
    </row>
    <row r="5497" spans="1:7" ht="12.75">
      <c r="A5497" s="134" t="s">
        <v>491</v>
      </c>
      <c r="B5497" s="134">
        <v>160</v>
      </c>
      <c r="C5497" s="491">
        <v>19</v>
      </c>
      <c r="D5497" s="491">
        <v>10</v>
      </c>
      <c r="E5497" s="491">
        <v>16</v>
      </c>
      <c r="F5497" s="491">
        <v>0</v>
      </c>
      <c r="G5497" s="491">
        <f t="shared" si="85"/>
        <v>45</v>
      </c>
    </row>
    <row r="5498" spans="1:7" ht="12.75">
      <c r="A5498" s="134" t="s">
        <v>491</v>
      </c>
      <c r="B5498" s="134">
        <v>180</v>
      </c>
      <c r="C5498" s="491">
        <v>1</v>
      </c>
      <c r="D5498" s="491">
        <v>0</v>
      </c>
      <c r="E5498" s="491">
        <v>0</v>
      </c>
      <c r="F5498" s="491">
        <v>0</v>
      </c>
      <c r="G5498" s="491">
        <f t="shared" si="85"/>
        <v>1</v>
      </c>
    </row>
    <row r="5499" spans="1:7" ht="12.75">
      <c r="A5499" s="134" t="s">
        <v>491</v>
      </c>
      <c r="B5499" s="134">
        <v>214</v>
      </c>
      <c r="C5499" s="491">
        <v>0</v>
      </c>
      <c r="D5499" s="491">
        <v>2</v>
      </c>
      <c r="E5499" s="491">
        <v>0</v>
      </c>
      <c r="F5499" s="491">
        <v>0</v>
      </c>
      <c r="G5499" s="491">
        <f t="shared" si="85"/>
        <v>2</v>
      </c>
    </row>
    <row r="5500" spans="1:7" ht="12.75">
      <c r="A5500" s="134" t="s">
        <v>491</v>
      </c>
      <c r="B5500" s="134">
        <v>410</v>
      </c>
      <c r="C5500" s="491">
        <v>13</v>
      </c>
      <c r="D5500" s="491">
        <v>1</v>
      </c>
      <c r="E5500" s="491">
        <v>1</v>
      </c>
      <c r="F5500" s="491">
        <v>0</v>
      </c>
      <c r="G5500" s="491">
        <f t="shared" si="85"/>
        <v>15</v>
      </c>
    </row>
    <row r="5501" spans="1:7" ht="12.75">
      <c r="A5501" s="134" t="s">
        <v>491</v>
      </c>
      <c r="B5501" s="134">
        <v>650</v>
      </c>
      <c r="C5501" s="491">
        <v>570</v>
      </c>
      <c r="D5501" s="491">
        <v>232</v>
      </c>
      <c r="E5501" s="491">
        <v>0</v>
      </c>
      <c r="F5501" s="491">
        <v>0</v>
      </c>
      <c r="G5501" s="491">
        <f t="shared" si="85"/>
        <v>802</v>
      </c>
    </row>
    <row r="5502" spans="1:7" ht="12.75">
      <c r="A5502" s="134" t="s">
        <v>491</v>
      </c>
      <c r="B5502" s="134">
        <v>651</v>
      </c>
      <c r="C5502" s="491">
        <v>480</v>
      </c>
      <c r="D5502" s="491">
        <v>255</v>
      </c>
      <c r="E5502" s="491">
        <v>0</v>
      </c>
      <c r="F5502" s="491">
        <v>0</v>
      </c>
      <c r="G5502" s="491">
        <f t="shared" si="85"/>
        <v>735</v>
      </c>
    </row>
    <row r="5503" spans="1:7" ht="12.75">
      <c r="A5503" s="134" t="s">
        <v>491</v>
      </c>
      <c r="B5503" s="134">
        <v>811</v>
      </c>
      <c r="C5503" s="491">
        <v>0</v>
      </c>
      <c r="D5503" s="491">
        <v>5</v>
      </c>
      <c r="E5503" s="491">
        <v>0</v>
      </c>
      <c r="F5503" s="491">
        <v>1</v>
      </c>
      <c r="G5503" s="491">
        <f t="shared" si="85"/>
        <v>6</v>
      </c>
    </row>
    <row r="5504" spans="1:7" ht="12.75">
      <c r="A5504" s="134" t="s">
        <v>491</v>
      </c>
      <c r="B5504" s="134">
        <v>812</v>
      </c>
      <c r="C5504" s="491">
        <v>0</v>
      </c>
      <c r="D5504" s="491">
        <v>18</v>
      </c>
      <c r="E5504" s="491">
        <v>0</v>
      </c>
      <c r="F5504" s="491">
        <v>0</v>
      </c>
      <c r="G5504" s="491">
        <f t="shared" si="85"/>
        <v>18</v>
      </c>
    </row>
    <row r="5505" spans="1:7" ht="12.75">
      <c r="A5505" s="134" t="s">
        <v>343</v>
      </c>
      <c r="B5505" s="134">
        <v>100</v>
      </c>
      <c r="C5505" s="491">
        <v>0</v>
      </c>
      <c r="D5505" s="491">
        <v>1</v>
      </c>
      <c r="E5505" s="491">
        <v>0</v>
      </c>
      <c r="F5505" s="491">
        <v>0</v>
      </c>
      <c r="G5505" s="491">
        <f t="shared" si="85"/>
        <v>1</v>
      </c>
    </row>
    <row r="5506" spans="1:7" ht="12.75">
      <c r="A5506" s="134" t="s">
        <v>343</v>
      </c>
      <c r="B5506" s="134">
        <v>103</v>
      </c>
      <c r="C5506" s="491">
        <v>7</v>
      </c>
      <c r="D5506" s="491">
        <v>1</v>
      </c>
      <c r="E5506" s="491">
        <v>0</v>
      </c>
      <c r="F5506" s="491">
        <v>0</v>
      </c>
      <c r="G5506" s="491">
        <f t="shared" si="85"/>
        <v>8</v>
      </c>
    </row>
    <row r="5507" spans="1:7" ht="12.75">
      <c r="A5507" s="134" t="s">
        <v>343</v>
      </c>
      <c r="B5507" s="134">
        <v>104</v>
      </c>
      <c r="C5507" s="491">
        <v>0</v>
      </c>
      <c r="D5507" s="491">
        <v>1</v>
      </c>
      <c r="E5507" s="491">
        <v>0</v>
      </c>
      <c r="F5507" s="491">
        <v>0</v>
      </c>
      <c r="G5507" s="491">
        <f t="shared" si="85"/>
        <v>1</v>
      </c>
    </row>
    <row r="5508" spans="1:7" ht="12.75">
      <c r="A5508" s="134" t="s">
        <v>343</v>
      </c>
      <c r="B5508" s="134">
        <v>110</v>
      </c>
      <c r="C5508" s="491">
        <v>5233</v>
      </c>
      <c r="D5508" s="491">
        <v>5531</v>
      </c>
      <c r="E5508" s="491">
        <v>37</v>
      </c>
      <c r="F5508" s="491">
        <v>50</v>
      </c>
      <c r="G5508" s="491">
        <f t="shared" ref="G5508:G5571" si="86">SUM(C5508:F5508)</f>
        <v>10851</v>
      </c>
    </row>
    <row r="5509" spans="1:7" ht="12.75">
      <c r="A5509" s="134" t="s">
        <v>343</v>
      </c>
      <c r="B5509" s="134">
        <v>120</v>
      </c>
      <c r="C5509" s="491">
        <v>2</v>
      </c>
      <c r="D5509" s="491">
        <v>0</v>
      </c>
      <c r="E5509" s="491">
        <v>0</v>
      </c>
      <c r="F5509" s="491">
        <v>0</v>
      </c>
      <c r="G5509" s="491">
        <f t="shared" si="86"/>
        <v>2</v>
      </c>
    </row>
    <row r="5510" spans="1:7" ht="12.75">
      <c r="A5510" s="134" t="s">
        <v>343</v>
      </c>
      <c r="B5510" s="134">
        <v>130</v>
      </c>
      <c r="C5510" s="491">
        <v>2</v>
      </c>
      <c r="D5510" s="491">
        <v>0</v>
      </c>
      <c r="E5510" s="491">
        <v>0</v>
      </c>
      <c r="F5510" s="491">
        <v>0</v>
      </c>
      <c r="G5510" s="491">
        <f t="shared" si="86"/>
        <v>2</v>
      </c>
    </row>
    <row r="5511" spans="1:7" ht="12.75">
      <c r="A5511" s="134" t="s">
        <v>343</v>
      </c>
      <c r="B5511" s="134">
        <v>160</v>
      </c>
      <c r="C5511" s="491">
        <v>132</v>
      </c>
      <c r="D5511" s="491">
        <v>73</v>
      </c>
      <c r="E5511" s="491">
        <v>33</v>
      </c>
      <c r="F5511" s="491">
        <v>1</v>
      </c>
      <c r="G5511" s="491">
        <f t="shared" si="86"/>
        <v>239</v>
      </c>
    </row>
    <row r="5512" spans="1:7" ht="12.75">
      <c r="A5512" s="134" t="s">
        <v>343</v>
      </c>
      <c r="B5512" s="134">
        <v>180</v>
      </c>
      <c r="C5512" s="491">
        <v>31</v>
      </c>
      <c r="D5512" s="491">
        <v>71</v>
      </c>
      <c r="E5512" s="491">
        <v>0</v>
      </c>
      <c r="F5512" s="491">
        <v>0</v>
      </c>
      <c r="G5512" s="491">
        <f t="shared" si="86"/>
        <v>102</v>
      </c>
    </row>
    <row r="5513" spans="1:7" ht="12.75">
      <c r="A5513" s="134" t="s">
        <v>343</v>
      </c>
      <c r="B5513" s="134">
        <v>191</v>
      </c>
      <c r="C5513" s="491">
        <v>2</v>
      </c>
      <c r="D5513" s="491">
        <v>0</v>
      </c>
      <c r="E5513" s="491">
        <v>0</v>
      </c>
      <c r="F5513" s="491">
        <v>0</v>
      </c>
      <c r="G5513" s="491">
        <f t="shared" si="86"/>
        <v>2</v>
      </c>
    </row>
    <row r="5514" spans="1:7" ht="12.75">
      <c r="A5514" s="134" t="s">
        <v>343</v>
      </c>
      <c r="B5514" s="134">
        <v>214</v>
      </c>
      <c r="C5514" s="491">
        <v>137</v>
      </c>
      <c r="D5514" s="491">
        <v>120</v>
      </c>
      <c r="E5514" s="491">
        <v>0</v>
      </c>
      <c r="F5514" s="491">
        <v>0</v>
      </c>
      <c r="G5514" s="491">
        <f t="shared" si="86"/>
        <v>257</v>
      </c>
    </row>
    <row r="5515" spans="1:7" ht="12.75">
      <c r="A5515" s="134" t="s">
        <v>343</v>
      </c>
      <c r="B5515" s="134">
        <v>219</v>
      </c>
      <c r="C5515" s="491">
        <v>1</v>
      </c>
      <c r="D5515" s="491">
        <v>2</v>
      </c>
      <c r="E5515" s="491">
        <v>0</v>
      </c>
      <c r="F5515" s="491">
        <v>0</v>
      </c>
      <c r="G5515" s="491">
        <f t="shared" si="86"/>
        <v>3</v>
      </c>
    </row>
    <row r="5516" spans="1:7" ht="12.75">
      <c r="A5516" s="134" t="s">
        <v>343</v>
      </c>
      <c r="B5516" s="134">
        <v>300</v>
      </c>
      <c r="C5516" s="491">
        <v>5</v>
      </c>
      <c r="D5516" s="491">
        <v>1</v>
      </c>
      <c r="E5516" s="491">
        <v>0</v>
      </c>
      <c r="F5516" s="491">
        <v>0</v>
      </c>
      <c r="G5516" s="491">
        <f t="shared" si="86"/>
        <v>6</v>
      </c>
    </row>
    <row r="5517" spans="1:7" ht="12.75">
      <c r="A5517" s="134" t="s">
        <v>343</v>
      </c>
      <c r="B5517" s="134">
        <v>301</v>
      </c>
      <c r="C5517" s="491">
        <v>1</v>
      </c>
      <c r="D5517" s="491">
        <v>0</v>
      </c>
      <c r="E5517" s="491">
        <v>0</v>
      </c>
      <c r="F5517" s="491">
        <v>0</v>
      </c>
      <c r="G5517" s="491">
        <f t="shared" si="86"/>
        <v>1</v>
      </c>
    </row>
    <row r="5518" spans="1:7" ht="12.75">
      <c r="A5518" s="134" t="s">
        <v>343</v>
      </c>
      <c r="B5518" s="134">
        <v>314</v>
      </c>
      <c r="C5518" s="491">
        <v>1</v>
      </c>
      <c r="D5518" s="491">
        <v>0</v>
      </c>
      <c r="E5518" s="491">
        <v>0</v>
      </c>
      <c r="F5518" s="491">
        <v>0</v>
      </c>
      <c r="G5518" s="491">
        <f t="shared" si="86"/>
        <v>1</v>
      </c>
    </row>
    <row r="5519" spans="1:7" ht="12.75">
      <c r="A5519" s="134" t="s">
        <v>343</v>
      </c>
      <c r="B5519" s="134">
        <v>320</v>
      </c>
      <c r="C5519" s="491">
        <v>2</v>
      </c>
      <c r="D5519" s="491">
        <v>1</v>
      </c>
      <c r="E5519" s="491">
        <v>0</v>
      </c>
      <c r="F5519" s="491">
        <v>0</v>
      </c>
      <c r="G5519" s="491">
        <f t="shared" si="86"/>
        <v>3</v>
      </c>
    </row>
    <row r="5520" spans="1:7" ht="12.75">
      <c r="A5520" s="134" t="s">
        <v>343</v>
      </c>
      <c r="B5520" s="134">
        <v>330</v>
      </c>
      <c r="C5520" s="491">
        <v>3</v>
      </c>
      <c r="D5520" s="491">
        <v>0</v>
      </c>
      <c r="E5520" s="491">
        <v>0</v>
      </c>
      <c r="F5520" s="491">
        <v>0</v>
      </c>
      <c r="G5520" s="491">
        <f t="shared" si="86"/>
        <v>3</v>
      </c>
    </row>
    <row r="5521" spans="1:7" ht="12.75">
      <c r="A5521" s="134" t="s">
        <v>343</v>
      </c>
      <c r="B5521" s="134">
        <v>410</v>
      </c>
      <c r="C5521" s="491">
        <v>1267</v>
      </c>
      <c r="D5521" s="491">
        <v>446</v>
      </c>
      <c r="E5521" s="491">
        <v>2</v>
      </c>
      <c r="F5521" s="491">
        <v>3</v>
      </c>
      <c r="G5521" s="491">
        <f t="shared" si="86"/>
        <v>1718</v>
      </c>
    </row>
    <row r="5522" spans="1:7" ht="12.75">
      <c r="A5522" s="134" t="s">
        <v>343</v>
      </c>
      <c r="B5522" s="134">
        <v>501</v>
      </c>
      <c r="C5522" s="491">
        <v>0</v>
      </c>
      <c r="D5522" s="491">
        <v>1</v>
      </c>
      <c r="E5522" s="491">
        <v>0</v>
      </c>
      <c r="F5522" s="491">
        <v>0</v>
      </c>
      <c r="G5522" s="491">
        <f t="shared" si="86"/>
        <v>1</v>
      </c>
    </row>
    <row r="5523" spans="1:7" ht="12.75">
      <c r="A5523" s="134" t="s">
        <v>343</v>
      </c>
      <c r="B5523" s="134">
        <v>502</v>
      </c>
      <c r="C5523" s="491">
        <v>1</v>
      </c>
      <c r="D5523" s="491">
        <v>0</v>
      </c>
      <c r="E5523" s="491">
        <v>0</v>
      </c>
      <c r="F5523" s="491">
        <v>0</v>
      </c>
      <c r="G5523" s="491">
        <f t="shared" si="86"/>
        <v>1</v>
      </c>
    </row>
    <row r="5524" spans="1:7" ht="12.75">
      <c r="A5524" s="134" t="s">
        <v>343</v>
      </c>
      <c r="B5524" s="134">
        <v>650</v>
      </c>
      <c r="C5524" s="491">
        <v>88</v>
      </c>
      <c r="D5524" s="491">
        <v>115</v>
      </c>
      <c r="E5524" s="491">
        <v>0</v>
      </c>
      <c r="F5524" s="491">
        <v>0</v>
      </c>
      <c r="G5524" s="491">
        <f t="shared" si="86"/>
        <v>203</v>
      </c>
    </row>
    <row r="5525" spans="1:7" ht="12.75">
      <c r="A5525" s="134" t="s">
        <v>343</v>
      </c>
      <c r="B5525" s="134">
        <v>651</v>
      </c>
      <c r="C5525" s="491">
        <v>217</v>
      </c>
      <c r="D5525" s="491">
        <v>121</v>
      </c>
      <c r="E5525" s="491">
        <v>0</v>
      </c>
      <c r="F5525" s="491">
        <v>0</v>
      </c>
      <c r="G5525" s="491">
        <f t="shared" si="86"/>
        <v>338</v>
      </c>
    </row>
    <row r="5526" spans="1:7" ht="12.75">
      <c r="A5526" s="134" t="s">
        <v>343</v>
      </c>
      <c r="B5526" s="134">
        <v>654</v>
      </c>
      <c r="C5526" s="491">
        <v>0</v>
      </c>
      <c r="D5526" s="491">
        <v>1</v>
      </c>
      <c r="E5526" s="491">
        <v>0</v>
      </c>
      <c r="F5526" s="491">
        <v>0</v>
      </c>
      <c r="G5526" s="491">
        <f t="shared" si="86"/>
        <v>1</v>
      </c>
    </row>
    <row r="5527" spans="1:7" ht="12.75">
      <c r="A5527" s="134" t="s">
        <v>343</v>
      </c>
      <c r="B5527" s="134">
        <v>811</v>
      </c>
      <c r="C5527" s="491">
        <v>4</v>
      </c>
      <c r="D5527" s="491">
        <v>511</v>
      </c>
      <c r="E5527" s="491">
        <v>0</v>
      </c>
      <c r="F5527" s="491">
        <v>0</v>
      </c>
      <c r="G5527" s="491">
        <f t="shared" si="86"/>
        <v>515</v>
      </c>
    </row>
    <row r="5528" spans="1:7" ht="12.75">
      <c r="A5528" s="134" t="s">
        <v>343</v>
      </c>
      <c r="B5528" s="134">
        <v>812</v>
      </c>
      <c r="C5528" s="491">
        <v>68</v>
      </c>
      <c r="D5528" s="491">
        <v>83</v>
      </c>
      <c r="E5528" s="491">
        <v>0</v>
      </c>
      <c r="F5528" s="491">
        <v>0</v>
      </c>
      <c r="G5528" s="491">
        <f t="shared" si="86"/>
        <v>151</v>
      </c>
    </row>
    <row r="5529" spans="1:7" ht="12.75">
      <c r="A5529" s="134" t="s">
        <v>144</v>
      </c>
      <c r="B5529" s="134">
        <v>110</v>
      </c>
      <c r="C5529" s="491">
        <v>13</v>
      </c>
      <c r="D5529" s="491">
        <v>15</v>
      </c>
      <c r="E5529" s="491">
        <v>0</v>
      </c>
      <c r="F5529" s="491">
        <v>0</v>
      </c>
      <c r="G5529" s="491">
        <f t="shared" si="86"/>
        <v>28</v>
      </c>
    </row>
    <row r="5530" spans="1:7" ht="12.75">
      <c r="A5530" s="134" t="s">
        <v>144</v>
      </c>
      <c r="B5530" s="134">
        <v>120</v>
      </c>
      <c r="C5530" s="491">
        <v>0</v>
      </c>
      <c r="D5530" s="491">
        <v>2</v>
      </c>
      <c r="E5530" s="491">
        <v>0</v>
      </c>
      <c r="F5530" s="491">
        <v>0</v>
      </c>
      <c r="G5530" s="491">
        <f t="shared" si="86"/>
        <v>2</v>
      </c>
    </row>
    <row r="5531" spans="1:7" ht="12.75">
      <c r="A5531" s="134" t="s">
        <v>144</v>
      </c>
      <c r="B5531" s="134">
        <v>160</v>
      </c>
      <c r="C5531" s="491">
        <v>1</v>
      </c>
      <c r="D5531" s="491">
        <v>0</v>
      </c>
      <c r="E5531" s="491">
        <v>0</v>
      </c>
      <c r="F5531" s="491">
        <v>0</v>
      </c>
      <c r="G5531" s="491">
        <f t="shared" si="86"/>
        <v>1</v>
      </c>
    </row>
    <row r="5532" spans="1:7" ht="12.75">
      <c r="A5532" s="134" t="s">
        <v>144</v>
      </c>
      <c r="B5532" s="134">
        <v>258</v>
      </c>
      <c r="C5532" s="491">
        <v>0</v>
      </c>
      <c r="D5532" s="491">
        <v>1</v>
      </c>
      <c r="E5532" s="491">
        <v>0</v>
      </c>
      <c r="F5532" s="491">
        <v>0</v>
      </c>
      <c r="G5532" s="491">
        <f t="shared" si="86"/>
        <v>1</v>
      </c>
    </row>
    <row r="5533" spans="1:7" ht="12.75">
      <c r="A5533" s="134" t="s">
        <v>144</v>
      </c>
      <c r="B5533" s="134">
        <v>320</v>
      </c>
      <c r="C5533" s="491">
        <v>1</v>
      </c>
      <c r="D5533" s="491">
        <v>1</v>
      </c>
      <c r="E5533" s="491">
        <v>0</v>
      </c>
      <c r="F5533" s="491">
        <v>0</v>
      </c>
      <c r="G5533" s="491">
        <f t="shared" si="86"/>
        <v>2</v>
      </c>
    </row>
    <row r="5534" spans="1:7" ht="12.75">
      <c r="A5534" s="134" t="s">
        <v>144</v>
      </c>
      <c r="B5534" s="134">
        <v>321</v>
      </c>
      <c r="C5534" s="491">
        <v>3</v>
      </c>
      <c r="D5534" s="491">
        <v>1</v>
      </c>
      <c r="E5534" s="491">
        <v>0</v>
      </c>
      <c r="F5534" s="491">
        <v>0</v>
      </c>
      <c r="G5534" s="491">
        <f t="shared" si="86"/>
        <v>4</v>
      </c>
    </row>
    <row r="5535" spans="1:7" ht="12.75">
      <c r="A5535" s="134" t="s">
        <v>144</v>
      </c>
      <c r="B5535" s="134">
        <v>340</v>
      </c>
      <c r="C5535" s="491">
        <v>0</v>
      </c>
      <c r="D5535" s="491">
        <v>1</v>
      </c>
      <c r="E5535" s="491">
        <v>0</v>
      </c>
      <c r="F5535" s="491">
        <v>0</v>
      </c>
      <c r="G5535" s="491">
        <f t="shared" si="86"/>
        <v>1</v>
      </c>
    </row>
    <row r="5536" spans="1:7" ht="12.75">
      <c r="A5536" s="134" t="s">
        <v>144</v>
      </c>
      <c r="B5536" s="134">
        <v>410</v>
      </c>
      <c r="C5536" s="491">
        <v>1</v>
      </c>
      <c r="D5536" s="491">
        <v>2</v>
      </c>
      <c r="E5536" s="491">
        <v>0</v>
      </c>
      <c r="F5536" s="491">
        <v>0</v>
      </c>
      <c r="G5536" s="491">
        <f t="shared" si="86"/>
        <v>3</v>
      </c>
    </row>
    <row r="5537" spans="1:7" ht="12.75">
      <c r="A5537" s="134" t="s">
        <v>144</v>
      </c>
      <c r="B5537" s="134">
        <v>420</v>
      </c>
      <c r="C5537" s="491">
        <v>2</v>
      </c>
      <c r="D5537" s="491">
        <v>0</v>
      </c>
      <c r="E5537" s="491">
        <v>0</v>
      </c>
      <c r="F5537" s="491">
        <v>0</v>
      </c>
      <c r="G5537" s="491">
        <f t="shared" si="86"/>
        <v>2</v>
      </c>
    </row>
    <row r="5538" spans="1:7" ht="12.75">
      <c r="A5538" s="134" t="s">
        <v>144</v>
      </c>
      <c r="B5538" s="134">
        <v>502</v>
      </c>
      <c r="C5538" s="491">
        <v>1</v>
      </c>
      <c r="D5538" s="491">
        <v>3</v>
      </c>
      <c r="E5538" s="491">
        <v>0</v>
      </c>
      <c r="F5538" s="491">
        <v>0</v>
      </c>
      <c r="G5538" s="491">
        <f t="shared" si="86"/>
        <v>4</v>
      </c>
    </row>
    <row r="5539" spans="1:7" ht="12.75">
      <c r="A5539" s="134" t="s">
        <v>144</v>
      </c>
      <c r="B5539" s="134">
        <v>503</v>
      </c>
      <c r="C5539" s="491">
        <v>0</v>
      </c>
      <c r="D5539" s="491">
        <v>1</v>
      </c>
      <c r="E5539" s="491">
        <v>0</v>
      </c>
      <c r="F5539" s="491">
        <v>0</v>
      </c>
      <c r="G5539" s="491">
        <f t="shared" si="86"/>
        <v>1</v>
      </c>
    </row>
    <row r="5540" spans="1:7" ht="12.75">
      <c r="A5540" s="134" t="s">
        <v>144</v>
      </c>
      <c r="B5540" s="134">
        <v>650</v>
      </c>
      <c r="C5540" s="491">
        <v>1</v>
      </c>
      <c r="D5540" s="491">
        <v>2</v>
      </c>
      <c r="E5540" s="491">
        <v>0</v>
      </c>
      <c r="F5540" s="491">
        <v>0</v>
      </c>
      <c r="G5540" s="491">
        <f t="shared" si="86"/>
        <v>3</v>
      </c>
    </row>
    <row r="5541" spans="1:7" ht="12.75">
      <c r="A5541" s="134" t="s">
        <v>144</v>
      </c>
      <c r="B5541" s="134">
        <v>651</v>
      </c>
      <c r="C5541" s="491">
        <v>2</v>
      </c>
      <c r="D5541" s="491">
        <v>1</v>
      </c>
      <c r="E5541" s="491">
        <v>0</v>
      </c>
      <c r="F5541" s="491">
        <v>0</v>
      </c>
      <c r="G5541" s="491">
        <f t="shared" si="86"/>
        <v>3</v>
      </c>
    </row>
    <row r="5542" spans="1:7" ht="12.75">
      <c r="A5542" s="134" t="s">
        <v>144</v>
      </c>
      <c r="B5542" s="134">
        <v>811</v>
      </c>
      <c r="C5542" s="491">
        <v>8</v>
      </c>
      <c r="D5542" s="491">
        <v>0</v>
      </c>
      <c r="E5542" s="491">
        <v>0</v>
      </c>
      <c r="F5542" s="491">
        <v>0</v>
      </c>
      <c r="G5542" s="491">
        <f t="shared" si="86"/>
        <v>8</v>
      </c>
    </row>
    <row r="5543" spans="1:7" ht="12.75">
      <c r="A5543" s="134" t="s">
        <v>145</v>
      </c>
      <c r="B5543" s="134">
        <v>110</v>
      </c>
      <c r="C5543" s="491">
        <v>66</v>
      </c>
      <c r="D5543" s="491">
        <v>33</v>
      </c>
      <c r="E5543" s="491">
        <v>40</v>
      </c>
      <c r="F5543" s="491">
        <v>9</v>
      </c>
      <c r="G5543" s="491">
        <f t="shared" si="86"/>
        <v>148</v>
      </c>
    </row>
    <row r="5544" spans="1:7" ht="12.75">
      <c r="A5544" s="134" t="s">
        <v>145</v>
      </c>
      <c r="B5544" s="134">
        <v>214</v>
      </c>
      <c r="C5544" s="491">
        <v>4</v>
      </c>
      <c r="D5544" s="491">
        <v>0</v>
      </c>
      <c r="E5544" s="491">
        <v>0</v>
      </c>
      <c r="F5544" s="491">
        <v>0</v>
      </c>
      <c r="G5544" s="491">
        <f t="shared" si="86"/>
        <v>4</v>
      </c>
    </row>
    <row r="5545" spans="1:7" ht="12.75">
      <c r="A5545" s="134" t="s">
        <v>145</v>
      </c>
      <c r="B5545" s="134">
        <v>410</v>
      </c>
      <c r="C5545" s="491">
        <v>33</v>
      </c>
      <c r="D5545" s="491">
        <v>12</v>
      </c>
      <c r="E5545" s="491">
        <v>0</v>
      </c>
      <c r="F5545" s="491">
        <v>0</v>
      </c>
      <c r="G5545" s="491">
        <f t="shared" si="86"/>
        <v>45</v>
      </c>
    </row>
    <row r="5546" spans="1:7" ht="12.75">
      <c r="A5546" s="134" t="s">
        <v>145</v>
      </c>
      <c r="B5546" s="134">
        <v>650</v>
      </c>
      <c r="C5546" s="491">
        <v>165</v>
      </c>
      <c r="D5546" s="491">
        <v>24</v>
      </c>
      <c r="E5546" s="491">
        <v>0</v>
      </c>
      <c r="F5546" s="491">
        <v>0</v>
      </c>
      <c r="G5546" s="491">
        <f t="shared" si="86"/>
        <v>189</v>
      </c>
    </row>
    <row r="5547" spans="1:7" ht="12.75">
      <c r="A5547" s="134" t="s">
        <v>145</v>
      </c>
      <c r="B5547" s="134">
        <v>651</v>
      </c>
      <c r="C5547" s="491">
        <v>15</v>
      </c>
      <c r="D5547" s="491">
        <v>1</v>
      </c>
      <c r="E5547" s="491">
        <v>0</v>
      </c>
      <c r="F5547" s="491">
        <v>0</v>
      </c>
      <c r="G5547" s="491">
        <f t="shared" si="86"/>
        <v>16</v>
      </c>
    </row>
    <row r="5548" spans="1:7" ht="12.75">
      <c r="A5548" s="134" t="s">
        <v>145</v>
      </c>
      <c r="B5548" s="134">
        <v>811</v>
      </c>
      <c r="C5548" s="491">
        <v>0</v>
      </c>
      <c r="D5548" s="491">
        <v>8</v>
      </c>
      <c r="E5548" s="491">
        <v>0</v>
      </c>
      <c r="F5548" s="491">
        <v>0</v>
      </c>
      <c r="G5548" s="491">
        <f t="shared" si="86"/>
        <v>8</v>
      </c>
    </row>
    <row r="5549" spans="1:7" ht="12.75">
      <c r="A5549" s="134" t="s">
        <v>146</v>
      </c>
      <c r="B5549" s="134">
        <v>100</v>
      </c>
      <c r="C5549" s="491">
        <v>1</v>
      </c>
      <c r="D5549" s="491">
        <v>3</v>
      </c>
      <c r="E5549" s="491">
        <v>0</v>
      </c>
      <c r="F5549" s="491">
        <v>0</v>
      </c>
      <c r="G5549" s="491">
        <f t="shared" si="86"/>
        <v>4</v>
      </c>
    </row>
    <row r="5550" spans="1:7" ht="12.75">
      <c r="A5550" s="134" t="s">
        <v>146</v>
      </c>
      <c r="B5550" s="134">
        <v>101</v>
      </c>
      <c r="C5550" s="491">
        <v>1</v>
      </c>
      <c r="D5550" s="491">
        <v>0</v>
      </c>
      <c r="E5550" s="491">
        <v>0</v>
      </c>
      <c r="F5550" s="491">
        <v>0</v>
      </c>
      <c r="G5550" s="491">
        <f t="shared" si="86"/>
        <v>1</v>
      </c>
    </row>
    <row r="5551" spans="1:7" ht="12.75">
      <c r="A5551" s="134" t="s">
        <v>146</v>
      </c>
      <c r="B5551" s="134">
        <v>108</v>
      </c>
      <c r="C5551" s="491">
        <v>1</v>
      </c>
      <c r="D5551" s="491">
        <v>0</v>
      </c>
      <c r="E5551" s="491">
        <v>0</v>
      </c>
      <c r="F5551" s="491">
        <v>0</v>
      </c>
      <c r="G5551" s="491">
        <f t="shared" si="86"/>
        <v>1</v>
      </c>
    </row>
    <row r="5552" spans="1:7" ht="12.75">
      <c r="A5552" s="134" t="s">
        <v>146</v>
      </c>
      <c r="B5552" s="134">
        <v>110</v>
      </c>
      <c r="C5552" s="491">
        <v>581</v>
      </c>
      <c r="D5552" s="491">
        <v>315</v>
      </c>
      <c r="E5552" s="491">
        <v>31</v>
      </c>
      <c r="F5552" s="491">
        <v>38</v>
      </c>
      <c r="G5552" s="491">
        <f t="shared" si="86"/>
        <v>965</v>
      </c>
    </row>
    <row r="5553" spans="1:7" ht="12.75">
      <c r="A5553" s="134" t="s">
        <v>146</v>
      </c>
      <c r="B5553" s="134">
        <v>144</v>
      </c>
      <c r="C5553" s="491">
        <v>1</v>
      </c>
      <c r="D5553" s="491">
        <v>0</v>
      </c>
      <c r="E5553" s="491">
        <v>0</v>
      </c>
      <c r="F5553" s="491">
        <v>0</v>
      </c>
      <c r="G5553" s="491">
        <f t="shared" si="86"/>
        <v>1</v>
      </c>
    </row>
    <row r="5554" spans="1:7" ht="12.75">
      <c r="A5554" s="134" t="s">
        <v>146</v>
      </c>
      <c r="B5554" s="134">
        <v>160</v>
      </c>
      <c r="C5554" s="491">
        <v>2</v>
      </c>
      <c r="D5554" s="491">
        <v>1</v>
      </c>
      <c r="E5554" s="491">
        <v>0</v>
      </c>
      <c r="F5554" s="491">
        <v>0</v>
      </c>
      <c r="G5554" s="491">
        <f t="shared" si="86"/>
        <v>3</v>
      </c>
    </row>
    <row r="5555" spans="1:7" ht="12.75">
      <c r="A5555" s="134" t="s">
        <v>146</v>
      </c>
      <c r="B5555" s="134">
        <v>214</v>
      </c>
      <c r="C5555" s="491">
        <v>1</v>
      </c>
      <c r="D5555" s="491">
        <v>0</v>
      </c>
      <c r="E5555" s="491">
        <v>0</v>
      </c>
      <c r="F5555" s="491">
        <v>0</v>
      </c>
      <c r="G5555" s="491">
        <f t="shared" si="86"/>
        <v>1</v>
      </c>
    </row>
    <row r="5556" spans="1:7" ht="12.75">
      <c r="A5556" s="134" t="s">
        <v>146</v>
      </c>
      <c r="B5556" s="134">
        <v>302</v>
      </c>
      <c r="C5556" s="491">
        <v>2</v>
      </c>
      <c r="D5556" s="491">
        <v>0</v>
      </c>
      <c r="E5556" s="491">
        <v>0</v>
      </c>
      <c r="F5556" s="491">
        <v>0</v>
      </c>
      <c r="G5556" s="491">
        <f t="shared" si="86"/>
        <v>2</v>
      </c>
    </row>
    <row r="5557" spans="1:7" ht="12.75">
      <c r="A5557" s="134" t="s">
        <v>146</v>
      </c>
      <c r="B5557" s="134">
        <v>303</v>
      </c>
      <c r="C5557" s="491">
        <v>1</v>
      </c>
      <c r="D5557" s="491">
        <v>0</v>
      </c>
      <c r="E5557" s="491">
        <v>0</v>
      </c>
      <c r="F5557" s="491">
        <v>0</v>
      </c>
      <c r="G5557" s="491">
        <f t="shared" si="86"/>
        <v>1</v>
      </c>
    </row>
    <row r="5558" spans="1:7" ht="12.75">
      <c r="A5558" s="134" t="s">
        <v>146</v>
      </c>
      <c r="B5558" s="134">
        <v>370</v>
      </c>
      <c r="C5558" s="491">
        <v>1</v>
      </c>
      <c r="D5558" s="491">
        <v>0</v>
      </c>
      <c r="E5558" s="491">
        <v>0</v>
      </c>
      <c r="F5558" s="491">
        <v>0</v>
      </c>
      <c r="G5558" s="491">
        <f t="shared" si="86"/>
        <v>1</v>
      </c>
    </row>
    <row r="5559" spans="1:7" ht="12.75">
      <c r="A5559" s="134" t="s">
        <v>146</v>
      </c>
      <c r="B5559" s="134">
        <v>410</v>
      </c>
      <c r="C5559" s="491">
        <v>17</v>
      </c>
      <c r="D5559" s="491">
        <v>11</v>
      </c>
      <c r="E5559" s="491">
        <v>0</v>
      </c>
      <c r="F5559" s="491">
        <v>0</v>
      </c>
      <c r="G5559" s="491">
        <f t="shared" si="86"/>
        <v>28</v>
      </c>
    </row>
    <row r="5560" spans="1:7" ht="12.75">
      <c r="A5560" s="134" t="s">
        <v>146</v>
      </c>
      <c r="B5560" s="134">
        <v>650</v>
      </c>
      <c r="C5560" s="491">
        <v>1937</v>
      </c>
      <c r="D5560" s="491">
        <v>754</v>
      </c>
      <c r="E5560" s="491">
        <v>0</v>
      </c>
      <c r="F5560" s="491">
        <v>0</v>
      </c>
      <c r="G5560" s="491">
        <f t="shared" si="86"/>
        <v>2691</v>
      </c>
    </row>
    <row r="5561" spans="1:7" ht="12.75">
      <c r="A5561" s="134" t="s">
        <v>146</v>
      </c>
      <c r="B5561" s="134">
        <v>651</v>
      </c>
      <c r="C5561" s="491">
        <v>39</v>
      </c>
      <c r="D5561" s="491">
        <v>23</v>
      </c>
      <c r="E5561" s="491">
        <v>0</v>
      </c>
      <c r="F5561" s="491">
        <v>0</v>
      </c>
      <c r="G5561" s="491">
        <f t="shared" si="86"/>
        <v>62</v>
      </c>
    </row>
    <row r="5562" spans="1:7" ht="12.75">
      <c r="A5562" s="134" t="s">
        <v>146</v>
      </c>
      <c r="B5562" s="134">
        <v>653</v>
      </c>
      <c r="C5562" s="491">
        <v>0</v>
      </c>
      <c r="D5562" s="491">
        <v>1</v>
      </c>
      <c r="E5562" s="491">
        <v>0</v>
      </c>
      <c r="F5562" s="491">
        <v>0</v>
      </c>
      <c r="G5562" s="491">
        <f t="shared" si="86"/>
        <v>1</v>
      </c>
    </row>
    <row r="5563" spans="1:7" ht="12.75">
      <c r="A5563" s="134" t="s">
        <v>146</v>
      </c>
      <c r="B5563" s="134">
        <v>811</v>
      </c>
      <c r="C5563" s="491">
        <v>25</v>
      </c>
      <c r="D5563" s="491">
        <v>142</v>
      </c>
      <c r="E5563" s="491">
        <v>0</v>
      </c>
      <c r="F5563" s="491">
        <v>7</v>
      </c>
      <c r="G5563" s="491">
        <f t="shared" si="86"/>
        <v>174</v>
      </c>
    </row>
    <row r="5564" spans="1:7" ht="12.75">
      <c r="A5564" s="134" t="s">
        <v>146</v>
      </c>
      <c r="B5564" s="134">
        <v>812</v>
      </c>
      <c r="C5564" s="491">
        <v>52</v>
      </c>
      <c r="D5564" s="491">
        <v>37</v>
      </c>
      <c r="E5564" s="491">
        <v>0</v>
      </c>
      <c r="F5564" s="491">
        <v>0</v>
      </c>
      <c r="G5564" s="491">
        <f t="shared" si="86"/>
        <v>89</v>
      </c>
    </row>
    <row r="5565" spans="1:7" ht="12.75">
      <c r="A5565" s="134" t="s">
        <v>499</v>
      </c>
      <c r="B5565" s="134">
        <v>100</v>
      </c>
      <c r="C5565" s="491">
        <v>3</v>
      </c>
      <c r="D5565" s="491">
        <v>2</v>
      </c>
      <c r="E5565" s="491">
        <v>0</v>
      </c>
      <c r="F5565" s="491">
        <v>0</v>
      </c>
      <c r="G5565" s="491">
        <f t="shared" si="86"/>
        <v>5</v>
      </c>
    </row>
    <row r="5566" spans="1:7" ht="12.75">
      <c r="A5566" s="134" t="s">
        <v>499</v>
      </c>
      <c r="B5566" s="134">
        <v>101</v>
      </c>
      <c r="C5566" s="491">
        <v>1</v>
      </c>
      <c r="D5566" s="491">
        <v>0</v>
      </c>
      <c r="E5566" s="491">
        <v>0</v>
      </c>
      <c r="F5566" s="491">
        <v>0</v>
      </c>
      <c r="G5566" s="491">
        <f t="shared" si="86"/>
        <v>1</v>
      </c>
    </row>
    <row r="5567" spans="1:7" ht="12.75">
      <c r="A5567" s="134" t="s">
        <v>499</v>
      </c>
      <c r="B5567" s="134">
        <v>105</v>
      </c>
      <c r="C5567" s="491">
        <v>1</v>
      </c>
      <c r="D5567" s="491">
        <v>0</v>
      </c>
      <c r="E5567" s="491">
        <v>0</v>
      </c>
      <c r="F5567" s="491">
        <v>0</v>
      </c>
      <c r="G5567" s="491">
        <f t="shared" si="86"/>
        <v>1</v>
      </c>
    </row>
    <row r="5568" spans="1:7" ht="12.75">
      <c r="A5568" s="134" t="s">
        <v>499</v>
      </c>
      <c r="B5568" s="134">
        <v>108</v>
      </c>
      <c r="C5568" s="491">
        <v>1</v>
      </c>
      <c r="D5568" s="491">
        <v>0</v>
      </c>
      <c r="E5568" s="491">
        <v>0</v>
      </c>
      <c r="F5568" s="491">
        <v>0</v>
      </c>
      <c r="G5568" s="491">
        <f t="shared" si="86"/>
        <v>1</v>
      </c>
    </row>
    <row r="5569" spans="1:7" ht="12.75">
      <c r="A5569" s="134" t="s">
        <v>499</v>
      </c>
      <c r="B5569" s="134">
        <v>110</v>
      </c>
      <c r="C5569" s="491">
        <v>9195</v>
      </c>
      <c r="D5569" s="491">
        <v>7973</v>
      </c>
      <c r="E5569" s="491">
        <v>1148</v>
      </c>
      <c r="F5569" s="491">
        <v>632</v>
      </c>
      <c r="G5569" s="491">
        <f t="shared" si="86"/>
        <v>18948</v>
      </c>
    </row>
    <row r="5570" spans="1:7" ht="12.75">
      <c r="A5570" s="134" t="s">
        <v>499</v>
      </c>
      <c r="B5570" s="134">
        <v>120</v>
      </c>
      <c r="C5570" s="491">
        <v>2</v>
      </c>
      <c r="D5570" s="491">
        <v>0</v>
      </c>
      <c r="E5570" s="491">
        <v>0</v>
      </c>
      <c r="F5570" s="491">
        <v>0</v>
      </c>
      <c r="G5570" s="491">
        <f t="shared" si="86"/>
        <v>2</v>
      </c>
    </row>
    <row r="5571" spans="1:7" ht="12.75">
      <c r="A5571" s="134" t="s">
        <v>499</v>
      </c>
      <c r="B5571" s="134">
        <v>130</v>
      </c>
      <c r="C5571" s="491">
        <v>4</v>
      </c>
      <c r="D5571" s="491">
        <v>2</v>
      </c>
      <c r="E5571" s="491">
        <v>0</v>
      </c>
      <c r="F5571" s="491">
        <v>0</v>
      </c>
      <c r="G5571" s="491">
        <f t="shared" si="86"/>
        <v>6</v>
      </c>
    </row>
    <row r="5572" spans="1:7" ht="12.75">
      <c r="A5572" s="134" t="s">
        <v>499</v>
      </c>
      <c r="B5572" s="134">
        <v>140</v>
      </c>
      <c r="C5572" s="491">
        <v>1</v>
      </c>
      <c r="D5572" s="491">
        <v>0</v>
      </c>
      <c r="E5572" s="491">
        <v>0</v>
      </c>
      <c r="F5572" s="491">
        <v>0</v>
      </c>
      <c r="G5572" s="491">
        <f t="shared" ref="G5572:G5635" si="87">SUM(C5572:F5572)</f>
        <v>1</v>
      </c>
    </row>
    <row r="5573" spans="1:7" ht="12.75">
      <c r="A5573" s="134" t="s">
        <v>499</v>
      </c>
      <c r="B5573" s="134">
        <v>150</v>
      </c>
      <c r="C5573" s="491">
        <v>1</v>
      </c>
      <c r="D5573" s="491">
        <v>0</v>
      </c>
      <c r="E5573" s="491">
        <v>0</v>
      </c>
      <c r="F5573" s="491">
        <v>0</v>
      </c>
      <c r="G5573" s="491">
        <f t="shared" si="87"/>
        <v>1</v>
      </c>
    </row>
    <row r="5574" spans="1:7" ht="12.75">
      <c r="A5574" s="134" t="s">
        <v>499</v>
      </c>
      <c r="B5574" s="134">
        <v>160</v>
      </c>
      <c r="C5574" s="491">
        <v>2</v>
      </c>
      <c r="D5574" s="491">
        <v>0</v>
      </c>
      <c r="E5574" s="491">
        <v>0</v>
      </c>
      <c r="F5574" s="491">
        <v>0</v>
      </c>
      <c r="G5574" s="491">
        <f t="shared" si="87"/>
        <v>2</v>
      </c>
    </row>
    <row r="5575" spans="1:7" ht="12.75">
      <c r="A5575" s="134" t="s">
        <v>499</v>
      </c>
      <c r="B5575" s="134">
        <v>180</v>
      </c>
      <c r="C5575" s="491">
        <v>14</v>
      </c>
      <c r="D5575" s="491">
        <v>26</v>
      </c>
      <c r="E5575" s="491">
        <v>0</v>
      </c>
      <c r="F5575" s="491">
        <v>0</v>
      </c>
      <c r="G5575" s="491">
        <f t="shared" si="87"/>
        <v>40</v>
      </c>
    </row>
    <row r="5576" spans="1:7" ht="12.75">
      <c r="A5576" s="134" t="s">
        <v>499</v>
      </c>
      <c r="B5576" s="134">
        <v>190</v>
      </c>
      <c r="C5576" s="491">
        <v>1</v>
      </c>
      <c r="D5576" s="491">
        <v>0</v>
      </c>
      <c r="E5576" s="491">
        <v>0</v>
      </c>
      <c r="F5576" s="491">
        <v>0</v>
      </c>
      <c r="G5576" s="491">
        <f t="shared" si="87"/>
        <v>1</v>
      </c>
    </row>
    <row r="5577" spans="1:7" ht="12.75">
      <c r="A5577" s="134" t="s">
        <v>499</v>
      </c>
      <c r="B5577" s="134">
        <v>191</v>
      </c>
      <c r="C5577" s="491">
        <v>25</v>
      </c>
      <c r="D5577" s="491">
        <v>6</v>
      </c>
      <c r="E5577" s="491">
        <v>0</v>
      </c>
      <c r="F5577" s="491">
        <v>0</v>
      </c>
      <c r="G5577" s="491">
        <f t="shared" si="87"/>
        <v>31</v>
      </c>
    </row>
    <row r="5578" spans="1:7" ht="12.75">
      <c r="A5578" s="134" t="s">
        <v>499</v>
      </c>
      <c r="B5578" s="134">
        <v>214</v>
      </c>
      <c r="C5578" s="491">
        <v>354</v>
      </c>
      <c r="D5578" s="491">
        <v>228</v>
      </c>
      <c r="E5578" s="491">
        <v>0</v>
      </c>
      <c r="F5578" s="491">
        <v>0</v>
      </c>
      <c r="G5578" s="491">
        <f t="shared" si="87"/>
        <v>582</v>
      </c>
    </row>
    <row r="5579" spans="1:7" ht="12.75">
      <c r="A5579" s="134" t="s">
        <v>499</v>
      </c>
      <c r="B5579" s="134">
        <v>219</v>
      </c>
      <c r="C5579" s="491">
        <v>2</v>
      </c>
      <c r="D5579" s="491">
        <v>1</v>
      </c>
      <c r="E5579" s="491">
        <v>0</v>
      </c>
      <c r="F5579" s="491">
        <v>0</v>
      </c>
      <c r="G5579" s="491">
        <f t="shared" si="87"/>
        <v>3</v>
      </c>
    </row>
    <row r="5580" spans="1:7" ht="12.75">
      <c r="A5580" s="134" t="s">
        <v>499</v>
      </c>
      <c r="B5580" s="134">
        <v>257</v>
      </c>
      <c r="C5580" s="491">
        <v>1</v>
      </c>
      <c r="D5580" s="491">
        <v>0</v>
      </c>
      <c r="E5580" s="491">
        <v>0</v>
      </c>
      <c r="F5580" s="491">
        <v>0</v>
      </c>
      <c r="G5580" s="491">
        <f t="shared" si="87"/>
        <v>1</v>
      </c>
    </row>
    <row r="5581" spans="1:7" ht="12.75">
      <c r="A5581" s="134" t="s">
        <v>499</v>
      </c>
      <c r="B5581" s="134">
        <v>262</v>
      </c>
      <c r="C5581" s="491">
        <v>1</v>
      </c>
      <c r="D5581" s="491">
        <v>1</v>
      </c>
      <c r="E5581" s="491">
        <v>0</v>
      </c>
      <c r="F5581" s="491">
        <v>0</v>
      </c>
      <c r="G5581" s="491">
        <f t="shared" si="87"/>
        <v>2</v>
      </c>
    </row>
    <row r="5582" spans="1:7" ht="12.75">
      <c r="A5582" s="134" t="s">
        <v>499</v>
      </c>
      <c r="B5582" s="134">
        <v>300</v>
      </c>
      <c r="C5582" s="491">
        <v>20</v>
      </c>
      <c r="D5582" s="491">
        <v>2</v>
      </c>
      <c r="E5582" s="491">
        <v>0</v>
      </c>
      <c r="F5582" s="491">
        <v>1</v>
      </c>
      <c r="G5582" s="491">
        <f t="shared" si="87"/>
        <v>23</v>
      </c>
    </row>
    <row r="5583" spans="1:7" ht="12.75">
      <c r="A5583" s="134" t="s">
        <v>499</v>
      </c>
      <c r="B5583" s="134">
        <v>301</v>
      </c>
      <c r="C5583" s="491">
        <v>1</v>
      </c>
      <c r="D5583" s="491">
        <v>0</v>
      </c>
      <c r="E5583" s="491">
        <v>0</v>
      </c>
      <c r="F5583" s="491">
        <v>0</v>
      </c>
      <c r="G5583" s="491">
        <f t="shared" si="87"/>
        <v>1</v>
      </c>
    </row>
    <row r="5584" spans="1:7" ht="12.75">
      <c r="A5584" s="134" t="s">
        <v>499</v>
      </c>
      <c r="B5584" s="134">
        <v>303</v>
      </c>
      <c r="C5584" s="491">
        <v>2</v>
      </c>
      <c r="D5584" s="491">
        <v>0</v>
      </c>
      <c r="E5584" s="491">
        <v>0</v>
      </c>
      <c r="F5584" s="491">
        <v>0</v>
      </c>
      <c r="G5584" s="491">
        <f t="shared" si="87"/>
        <v>2</v>
      </c>
    </row>
    <row r="5585" spans="1:7" ht="12.75">
      <c r="A5585" s="134" t="s">
        <v>499</v>
      </c>
      <c r="B5585" s="134">
        <v>314</v>
      </c>
      <c r="C5585" s="491">
        <v>14</v>
      </c>
      <c r="D5585" s="491">
        <v>5</v>
      </c>
      <c r="E5585" s="491">
        <v>0</v>
      </c>
      <c r="F5585" s="491">
        <v>0</v>
      </c>
      <c r="G5585" s="491">
        <f t="shared" si="87"/>
        <v>19</v>
      </c>
    </row>
    <row r="5586" spans="1:7" ht="12.75">
      <c r="A5586" s="134" t="s">
        <v>499</v>
      </c>
      <c r="B5586" s="134">
        <v>320</v>
      </c>
      <c r="C5586" s="491">
        <v>0</v>
      </c>
      <c r="D5586" s="491">
        <v>1</v>
      </c>
      <c r="E5586" s="491">
        <v>0</v>
      </c>
      <c r="F5586" s="491">
        <v>0</v>
      </c>
      <c r="G5586" s="491">
        <f t="shared" si="87"/>
        <v>1</v>
      </c>
    </row>
    <row r="5587" spans="1:7" ht="12.75">
      <c r="A5587" s="134" t="s">
        <v>499</v>
      </c>
      <c r="B5587" s="134">
        <v>330</v>
      </c>
      <c r="C5587" s="491">
        <v>1</v>
      </c>
      <c r="D5587" s="491">
        <v>0</v>
      </c>
      <c r="E5587" s="491">
        <v>0</v>
      </c>
      <c r="F5587" s="491">
        <v>0</v>
      </c>
      <c r="G5587" s="491">
        <f t="shared" si="87"/>
        <v>1</v>
      </c>
    </row>
    <row r="5588" spans="1:7" ht="12.75">
      <c r="A5588" s="134" t="s">
        <v>499</v>
      </c>
      <c r="B5588" s="134">
        <v>340</v>
      </c>
      <c r="C5588" s="491">
        <v>3</v>
      </c>
      <c r="D5588" s="491">
        <v>0</v>
      </c>
      <c r="E5588" s="491">
        <v>0</v>
      </c>
      <c r="F5588" s="491">
        <v>0</v>
      </c>
      <c r="G5588" s="491">
        <f t="shared" si="87"/>
        <v>3</v>
      </c>
    </row>
    <row r="5589" spans="1:7" ht="12.75">
      <c r="A5589" s="134" t="s">
        <v>499</v>
      </c>
      <c r="B5589" s="134">
        <v>361</v>
      </c>
      <c r="C5589" s="491">
        <v>2</v>
      </c>
      <c r="D5589" s="491">
        <v>0</v>
      </c>
      <c r="E5589" s="491">
        <v>0</v>
      </c>
      <c r="F5589" s="491">
        <v>0</v>
      </c>
      <c r="G5589" s="491">
        <f t="shared" si="87"/>
        <v>2</v>
      </c>
    </row>
    <row r="5590" spans="1:7" ht="12.75">
      <c r="A5590" s="134" t="s">
        <v>499</v>
      </c>
      <c r="B5590" s="134">
        <v>370</v>
      </c>
      <c r="C5590" s="491">
        <v>3</v>
      </c>
      <c r="D5590" s="491">
        <v>0</v>
      </c>
      <c r="E5590" s="491">
        <v>0</v>
      </c>
      <c r="F5590" s="491">
        <v>0</v>
      </c>
      <c r="G5590" s="491">
        <f t="shared" si="87"/>
        <v>3</v>
      </c>
    </row>
    <row r="5591" spans="1:7" ht="12.75">
      <c r="A5591" s="134" t="s">
        <v>499</v>
      </c>
      <c r="B5591" s="134">
        <v>400</v>
      </c>
      <c r="C5591" s="491">
        <v>2</v>
      </c>
      <c r="D5591" s="491">
        <v>1</v>
      </c>
      <c r="E5591" s="491">
        <v>0</v>
      </c>
      <c r="F5591" s="491">
        <v>0</v>
      </c>
      <c r="G5591" s="491">
        <f t="shared" si="87"/>
        <v>3</v>
      </c>
    </row>
    <row r="5592" spans="1:7" ht="12.75">
      <c r="A5592" s="134" t="s">
        <v>499</v>
      </c>
      <c r="B5592" s="134">
        <v>410</v>
      </c>
      <c r="C5592" s="491">
        <v>1855</v>
      </c>
      <c r="D5592" s="491">
        <v>701</v>
      </c>
      <c r="E5592" s="491">
        <v>14</v>
      </c>
      <c r="F5592" s="491">
        <v>9</v>
      </c>
      <c r="G5592" s="491">
        <f t="shared" si="87"/>
        <v>2579</v>
      </c>
    </row>
    <row r="5593" spans="1:7" ht="12.75">
      <c r="A5593" s="134" t="s">
        <v>499</v>
      </c>
      <c r="B5593" s="134">
        <v>420</v>
      </c>
      <c r="C5593" s="491">
        <v>1</v>
      </c>
      <c r="D5593" s="491">
        <v>0</v>
      </c>
      <c r="E5593" s="491">
        <v>0</v>
      </c>
      <c r="F5593" s="491">
        <v>0</v>
      </c>
      <c r="G5593" s="491">
        <f t="shared" si="87"/>
        <v>1</v>
      </c>
    </row>
    <row r="5594" spans="1:7" ht="12.75">
      <c r="A5594" s="134" t="s">
        <v>499</v>
      </c>
      <c r="B5594" s="134">
        <v>501</v>
      </c>
      <c r="C5594" s="491">
        <v>0</v>
      </c>
      <c r="D5594" s="491">
        <v>1</v>
      </c>
      <c r="E5594" s="491">
        <v>0</v>
      </c>
      <c r="F5594" s="491">
        <v>0</v>
      </c>
      <c r="G5594" s="491">
        <f t="shared" si="87"/>
        <v>1</v>
      </c>
    </row>
    <row r="5595" spans="1:7" ht="12.75">
      <c r="A5595" s="134" t="s">
        <v>499</v>
      </c>
      <c r="B5595" s="134">
        <v>502</v>
      </c>
      <c r="C5595" s="491">
        <v>1</v>
      </c>
      <c r="D5595" s="491">
        <v>0</v>
      </c>
      <c r="E5595" s="491">
        <v>0</v>
      </c>
      <c r="F5595" s="491">
        <v>0</v>
      </c>
      <c r="G5595" s="491">
        <f t="shared" si="87"/>
        <v>1</v>
      </c>
    </row>
    <row r="5596" spans="1:7" ht="12.75">
      <c r="A5596" s="134" t="s">
        <v>499</v>
      </c>
      <c r="B5596" s="134">
        <v>560</v>
      </c>
      <c r="C5596" s="491">
        <v>0</v>
      </c>
      <c r="D5596" s="491">
        <v>1</v>
      </c>
      <c r="E5596" s="491">
        <v>0</v>
      </c>
      <c r="F5596" s="491">
        <v>0</v>
      </c>
      <c r="G5596" s="491">
        <f t="shared" si="87"/>
        <v>1</v>
      </c>
    </row>
    <row r="5597" spans="1:7" ht="12.75">
      <c r="A5597" s="134" t="s">
        <v>499</v>
      </c>
      <c r="B5597" s="134">
        <v>650</v>
      </c>
      <c r="C5597" s="491">
        <v>20</v>
      </c>
      <c r="D5597" s="491">
        <v>19</v>
      </c>
      <c r="E5597" s="491">
        <v>0</v>
      </c>
      <c r="F5597" s="491">
        <v>0</v>
      </c>
      <c r="G5597" s="491">
        <f t="shared" si="87"/>
        <v>39</v>
      </c>
    </row>
    <row r="5598" spans="1:7" ht="12.75">
      <c r="A5598" s="134" t="s">
        <v>499</v>
      </c>
      <c r="B5598" s="134">
        <v>651</v>
      </c>
      <c r="C5598" s="491">
        <v>8</v>
      </c>
      <c r="D5598" s="491">
        <v>4</v>
      </c>
      <c r="E5598" s="491">
        <v>0</v>
      </c>
      <c r="F5598" s="491">
        <v>0</v>
      </c>
      <c r="G5598" s="491">
        <f t="shared" si="87"/>
        <v>12</v>
      </c>
    </row>
    <row r="5599" spans="1:7" ht="12.75">
      <c r="A5599" s="134" t="s">
        <v>499</v>
      </c>
      <c r="B5599" s="134">
        <v>654</v>
      </c>
      <c r="C5599" s="491">
        <v>0</v>
      </c>
      <c r="D5599" s="491">
        <v>1</v>
      </c>
      <c r="E5599" s="491">
        <v>0</v>
      </c>
      <c r="F5599" s="491">
        <v>0</v>
      </c>
      <c r="G5599" s="491">
        <f t="shared" si="87"/>
        <v>1</v>
      </c>
    </row>
    <row r="5600" spans="1:7" ht="12.75">
      <c r="A5600" s="134" t="s">
        <v>499</v>
      </c>
      <c r="B5600" s="134">
        <v>658</v>
      </c>
      <c r="C5600" s="491">
        <v>2</v>
      </c>
      <c r="D5600" s="491">
        <v>1</v>
      </c>
      <c r="E5600" s="491">
        <v>0</v>
      </c>
      <c r="F5600" s="491">
        <v>0</v>
      </c>
      <c r="G5600" s="491">
        <f t="shared" si="87"/>
        <v>3</v>
      </c>
    </row>
    <row r="5601" spans="1:7" ht="12.75">
      <c r="A5601" s="134" t="s">
        <v>499</v>
      </c>
      <c r="B5601" s="134">
        <v>800</v>
      </c>
      <c r="C5601" s="491">
        <v>1</v>
      </c>
      <c r="D5601" s="491">
        <v>26</v>
      </c>
      <c r="E5601" s="491">
        <v>0</v>
      </c>
      <c r="F5601" s="491">
        <v>0</v>
      </c>
      <c r="G5601" s="491">
        <f t="shared" si="87"/>
        <v>27</v>
      </c>
    </row>
    <row r="5602" spans="1:7" ht="12.75">
      <c r="A5602" s="134" t="s">
        <v>499</v>
      </c>
      <c r="B5602" s="134">
        <v>811</v>
      </c>
      <c r="C5602" s="491">
        <v>17</v>
      </c>
      <c r="D5602" s="491">
        <v>477</v>
      </c>
      <c r="E5602" s="491">
        <v>0</v>
      </c>
      <c r="F5602" s="491">
        <v>3</v>
      </c>
      <c r="G5602" s="491">
        <f t="shared" si="87"/>
        <v>497</v>
      </c>
    </row>
    <row r="5603" spans="1:7" ht="12.75">
      <c r="A5603" s="134" t="s">
        <v>499</v>
      </c>
      <c r="B5603" s="134">
        <v>812</v>
      </c>
      <c r="C5603" s="491">
        <v>368</v>
      </c>
      <c r="D5603" s="491">
        <v>591</v>
      </c>
      <c r="E5603" s="491">
        <v>0</v>
      </c>
      <c r="F5603" s="491">
        <v>0</v>
      </c>
      <c r="G5603" s="491">
        <f t="shared" si="87"/>
        <v>959</v>
      </c>
    </row>
    <row r="5604" spans="1:7" ht="12.75">
      <c r="A5604" s="134" t="s">
        <v>147</v>
      </c>
      <c r="B5604" s="134">
        <v>101</v>
      </c>
      <c r="C5604" s="491">
        <v>0</v>
      </c>
      <c r="D5604" s="491">
        <v>1</v>
      </c>
      <c r="E5604" s="491">
        <v>0</v>
      </c>
      <c r="F5604" s="491">
        <v>0</v>
      </c>
      <c r="G5604" s="491">
        <f t="shared" si="87"/>
        <v>1</v>
      </c>
    </row>
    <row r="5605" spans="1:7" ht="12.75">
      <c r="A5605" s="134" t="s">
        <v>147</v>
      </c>
      <c r="B5605" s="134">
        <v>501</v>
      </c>
      <c r="C5605" s="491">
        <v>7</v>
      </c>
      <c r="D5605" s="491">
        <v>5</v>
      </c>
      <c r="E5605" s="491">
        <v>0</v>
      </c>
      <c r="F5605" s="491">
        <v>1</v>
      </c>
      <c r="G5605" s="491">
        <f t="shared" si="87"/>
        <v>13</v>
      </c>
    </row>
    <row r="5606" spans="1:7" ht="12.75">
      <c r="A5606" s="134" t="s">
        <v>147</v>
      </c>
      <c r="B5606" s="134">
        <v>502</v>
      </c>
      <c r="C5606" s="491">
        <v>11</v>
      </c>
      <c r="D5606" s="491">
        <v>3</v>
      </c>
      <c r="E5606" s="491">
        <v>0</v>
      </c>
      <c r="F5606" s="491">
        <v>1</v>
      </c>
      <c r="G5606" s="491">
        <f t="shared" si="87"/>
        <v>15</v>
      </c>
    </row>
    <row r="5607" spans="1:7" ht="12.75">
      <c r="A5607" s="134" t="s">
        <v>147</v>
      </c>
      <c r="B5607" s="134">
        <v>560</v>
      </c>
      <c r="C5607" s="491">
        <v>287</v>
      </c>
      <c r="D5607" s="491">
        <v>12</v>
      </c>
      <c r="E5607" s="491">
        <v>0</v>
      </c>
      <c r="F5607" s="491">
        <v>2</v>
      </c>
      <c r="G5607" s="491">
        <f t="shared" si="87"/>
        <v>301</v>
      </c>
    </row>
    <row r="5608" spans="1:7" ht="12.75">
      <c r="A5608" s="134" t="s">
        <v>148</v>
      </c>
      <c r="B5608" s="134">
        <v>110</v>
      </c>
      <c r="C5608" s="491">
        <v>53</v>
      </c>
      <c r="D5608" s="491">
        <v>36</v>
      </c>
      <c r="E5608" s="491">
        <v>4</v>
      </c>
      <c r="F5608" s="491">
        <v>1</v>
      </c>
      <c r="G5608" s="491">
        <f t="shared" si="87"/>
        <v>94</v>
      </c>
    </row>
    <row r="5609" spans="1:7" ht="12.75">
      <c r="A5609" s="134" t="s">
        <v>148</v>
      </c>
      <c r="B5609" s="134">
        <v>160</v>
      </c>
      <c r="C5609" s="491">
        <v>1</v>
      </c>
      <c r="D5609" s="491">
        <v>0</v>
      </c>
      <c r="E5609" s="491">
        <v>0</v>
      </c>
      <c r="F5609" s="491">
        <v>0</v>
      </c>
      <c r="G5609" s="491">
        <f t="shared" si="87"/>
        <v>1</v>
      </c>
    </row>
    <row r="5610" spans="1:7" ht="12.75">
      <c r="A5610" s="134" t="s">
        <v>148</v>
      </c>
      <c r="B5610" s="134">
        <v>214</v>
      </c>
      <c r="C5610" s="491">
        <v>3</v>
      </c>
      <c r="D5610" s="491">
        <v>0</v>
      </c>
      <c r="E5610" s="491">
        <v>0</v>
      </c>
      <c r="F5610" s="491">
        <v>0</v>
      </c>
      <c r="G5610" s="491">
        <f t="shared" si="87"/>
        <v>3</v>
      </c>
    </row>
    <row r="5611" spans="1:7" ht="12.75">
      <c r="A5611" s="134" t="s">
        <v>148</v>
      </c>
      <c r="B5611" s="134">
        <v>410</v>
      </c>
      <c r="C5611" s="491">
        <v>7</v>
      </c>
      <c r="D5611" s="491">
        <v>3</v>
      </c>
      <c r="E5611" s="491">
        <v>0</v>
      </c>
      <c r="F5611" s="491">
        <v>0</v>
      </c>
      <c r="G5611" s="491">
        <f t="shared" si="87"/>
        <v>10</v>
      </c>
    </row>
    <row r="5612" spans="1:7" ht="12.75">
      <c r="A5612" s="134" t="s">
        <v>148</v>
      </c>
      <c r="B5612" s="134">
        <v>420</v>
      </c>
      <c r="C5612" s="491">
        <v>0</v>
      </c>
      <c r="D5612" s="491">
        <v>0</v>
      </c>
      <c r="E5612" s="491">
        <v>1</v>
      </c>
      <c r="F5612" s="491">
        <v>0</v>
      </c>
      <c r="G5612" s="491">
        <f t="shared" si="87"/>
        <v>1</v>
      </c>
    </row>
    <row r="5613" spans="1:7" ht="12.75">
      <c r="A5613" s="134" t="s">
        <v>148</v>
      </c>
      <c r="B5613" s="134">
        <v>502</v>
      </c>
      <c r="C5613" s="491">
        <v>1</v>
      </c>
      <c r="D5613" s="491">
        <v>0</v>
      </c>
      <c r="E5613" s="491">
        <v>0</v>
      </c>
      <c r="F5613" s="491">
        <v>0</v>
      </c>
      <c r="G5613" s="491">
        <f t="shared" si="87"/>
        <v>1</v>
      </c>
    </row>
    <row r="5614" spans="1:7" ht="12.75">
      <c r="A5614" s="134" t="s">
        <v>148</v>
      </c>
      <c r="B5614" s="134">
        <v>650</v>
      </c>
      <c r="C5614" s="491">
        <v>12</v>
      </c>
      <c r="D5614" s="491">
        <v>0</v>
      </c>
      <c r="E5614" s="491">
        <v>0</v>
      </c>
      <c r="F5614" s="491">
        <v>0</v>
      </c>
      <c r="G5614" s="491">
        <f t="shared" si="87"/>
        <v>12</v>
      </c>
    </row>
    <row r="5615" spans="1:7" ht="12.75">
      <c r="A5615" s="134" t="s">
        <v>149</v>
      </c>
      <c r="B5615" s="134">
        <v>110</v>
      </c>
      <c r="C5615" s="491">
        <v>153</v>
      </c>
      <c r="D5615" s="491">
        <v>108</v>
      </c>
      <c r="E5615" s="491">
        <v>3</v>
      </c>
      <c r="F5615" s="491">
        <v>2</v>
      </c>
      <c r="G5615" s="491">
        <f t="shared" si="87"/>
        <v>266</v>
      </c>
    </row>
    <row r="5616" spans="1:7" ht="12.75">
      <c r="A5616" s="134" t="s">
        <v>149</v>
      </c>
      <c r="B5616" s="134">
        <v>160</v>
      </c>
      <c r="C5616" s="491">
        <v>0</v>
      </c>
      <c r="D5616" s="491">
        <v>1</v>
      </c>
      <c r="E5616" s="491">
        <v>0</v>
      </c>
      <c r="F5616" s="491">
        <v>0</v>
      </c>
      <c r="G5616" s="491">
        <f t="shared" si="87"/>
        <v>1</v>
      </c>
    </row>
    <row r="5617" spans="1:7" ht="12.75">
      <c r="A5617" s="134" t="s">
        <v>149</v>
      </c>
      <c r="B5617" s="134">
        <v>180</v>
      </c>
      <c r="C5617" s="491">
        <v>0</v>
      </c>
      <c r="D5617" s="491">
        <v>2</v>
      </c>
      <c r="E5617" s="491">
        <v>0</v>
      </c>
      <c r="F5617" s="491">
        <v>0</v>
      </c>
      <c r="G5617" s="491">
        <f t="shared" si="87"/>
        <v>2</v>
      </c>
    </row>
    <row r="5618" spans="1:7" ht="12.75">
      <c r="A5618" s="134" t="s">
        <v>149</v>
      </c>
      <c r="B5618" s="134">
        <v>300</v>
      </c>
      <c r="C5618" s="491">
        <v>1</v>
      </c>
      <c r="D5618" s="491">
        <v>6</v>
      </c>
      <c r="E5618" s="491">
        <v>0</v>
      </c>
      <c r="F5618" s="491">
        <v>0</v>
      </c>
      <c r="G5618" s="491">
        <f t="shared" si="87"/>
        <v>7</v>
      </c>
    </row>
    <row r="5619" spans="1:7" ht="12.75">
      <c r="A5619" s="134" t="s">
        <v>149</v>
      </c>
      <c r="B5619" s="134">
        <v>410</v>
      </c>
      <c r="C5619" s="491">
        <v>4</v>
      </c>
      <c r="D5619" s="491">
        <v>5</v>
      </c>
      <c r="E5619" s="491">
        <v>0</v>
      </c>
      <c r="F5619" s="491">
        <v>0</v>
      </c>
      <c r="G5619" s="491">
        <f t="shared" si="87"/>
        <v>9</v>
      </c>
    </row>
    <row r="5620" spans="1:7" ht="12.75">
      <c r="A5620" s="134" t="s">
        <v>149</v>
      </c>
      <c r="B5620" s="134">
        <v>650</v>
      </c>
      <c r="C5620" s="491">
        <v>12</v>
      </c>
      <c r="D5620" s="491">
        <v>1</v>
      </c>
      <c r="E5620" s="491">
        <v>0</v>
      </c>
      <c r="F5620" s="491">
        <v>0</v>
      </c>
      <c r="G5620" s="491">
        <f t="shared" si="87"/>
        <v>13</v>
      </c>
    </row>
    <row r="5621" spans="1:7" ht="12.75">
      <c r="A5621" s="134" t="s">
        <v>149</v>
      </c>
      <c r="B5621" s="134">
        <v>811</v>
      </c>
      <c r="C5621" s="491">
        <v>0</v>
      </c>
      <c r="D5621" s="491">
        <v>10</v>
      </c>
      <c r="E5621" s="491">
        <v>0</v>
      </c>
      <c r="F5621" s="491">
        <v>0</v>
      </c>
      <c r="G5621" s="491">
        <f t="shared" si="87"/>
        <v>10</v>
      </c>
    </row>
    <row r="5622" spans="1:7" ht="12.75">
      <c r="A5622" s="134" t="s">
        <v>149</v>
      </c>
      <c r="B5622" s="134">
        <v>812</v>
      </c>
      <c r="C5622" s="491">
        <v>2</v>
      </c>
      <c r="D5622" s="491">
        <v>5</v>
      </c>
      <c r="E5622" s="491">
        <v>0</v>
      </c>
      <c r="F5622" s="491">
        <v>0</v>
      </c>
      <c r="G5622" s="491">
        <f t="shared" si="87"/>
        <v>7</v>
      </c>
    </row>
    <row r="5623" spans="1:7" ht="12.75">
      <c r="A5623" s="134" t="s">
        <v>475</v>
      </c>
      <c r="B5623" s="134">
        <v>100</v>
      </c>
      <c r="C5623" s="491">
        <v>1</v>
      </c>
      <c r="D5623" s="491">
        <v>0</v>
      </c>
      <c r="E5623" s="491">
        <v>0</v>
      </c>
      <c r="F5623" s="491">
        <v>0</v>
      </c>
      <c r="G5623" s="491">
        <f t="shared" si="87"/>
        <v>1</v>
      </c>
    </row>
    <row r="5624" spans="1:7" ht="12.75">
      <c r="A5624" s="134" t="s">
        <v>475</v>
      </c>
      <c r="B5624" s="134">
        <v>110</v>
      </c>
      <c r="C5624" s="491">
        <v>3483</v>
      </c>
      <c r="D5624" s="491">
        <v>3862</v>
      </c>
      <c r="E5624" s="491">
        <v>118</v>
      </c>
      <c r="F5624" s="491">
        <v>220</v>
      </c>
      <c r="G5624" s="491">
        <f t="shared" si="87"/>
        <v>7683</v>
      </c>
    </row>
    <row r="5625" spans="1:7" ht="12.75">
      <c r="A5625" s="134" t="s">
        <v>475</v>
      </c>
      <c r="B5625" s="134">
        <v>144</v>
      </c>
      <c r="C5625" s="491">
        <v>0</v>
      </c>
      <c r="D5625" s="491">
        <v>1</v>
      </c>
      <c r="E5625" s="491">
        <v>0</v>
      </c>
      <c r="F5625" s="491">
        <v>0</v>
      </c>
      <c r="G5625" s="491">
        <f t="shared" si="87"/>
        <v>1</v>
      </c>
    </row>
    <row r="5626" spans="1:7" ht="12.75">
      <c r="A5626" s="134" t="s">
        <v>475</v>
      </c>
      <c r="B5626" s="134">
        <v>150</v>
      </c>
      <c r="C5626" s="491">
        <v>1</v>
      </c>
      <c r="D5626" s="491">
        <v>0</v>
      </c>
      <c r="E5626" s="491">
        <v>0</v>
      </c>
      <c r="F5626" s="491">
        <v>0</v>
      </c>
      <c r="G5626" s="491">
        <f t="shared" si="87"/>
        <v>1</v>
      </c>
    </row>
    <row r="5627" spans="1:7" ht="12.75">
      <c r="A5627" s="134" t="s">
        <v>475</v>
      </c>
      <c r="B5627" s="134">
        <v>160</v>
      </c>
      <c r="C5627" s="491">
        <v>2</v>
      </c>
      <c r="D5627" s="491">
        <v>1</v>
      </c>
      <c r="E5627" s="491">
        <v>0</v>
      </c>
      <c r="F5627" s="491">
        <v>0</v>
      </c>
      <c r="G5627" s="491">
        <f t="shared" si="87"/>
        <v>3</v>
      </c>
    </row>
    <row r="5628" spans="1:7" ht="12.75">
      <c r="A5628" s="134" t="s">
        <v>475</v>
      </c>
      <c r="B5628" s="134">
        <v>180</v>
      </c>
      <c r="C5628" s="491">
        <v>12</v>
      </c>
      <c r="D5628" s="491">
        <v>37</v>
      </c>
      <c r="E5628" s="491">
        <v>0</v>
      </c>
      <c r="F5628" s="491">
        <v>0</v>
      </c>
      <c r="G5628" s="491">
        <f t="shared" si="87"/>
        <v>49</v>
      </c>
    </row>
    <row r="5629" spans="1:7" ht="12.75">
      <c r="A5629" s="134" t="s">
        <v>475</v>
      </c>
      <c r="B5629" s="134">
        <v>191</v>
      </c>
      <c r="C5629" s="491">
        <v>0</v>
      </c>
      <c r="D5629" s="491">
        <v>1</v>
      </c>
      <c r="E5629" s="491">
        <v>0</v>
      </c>
      <c r="F5629" s="491">
        <v>0</v>
      </c>
      <c r="G5629" s="491">
        <f t="shared" si="87"/>
        <v>1</v>
      </c>
    </row>
    <row r="5630" spans="1:7" ht="12.75">
      <c r="A5630" s="134" t="s">
        <v>475</v>
      </c>
      <c r="B5630" s="134">
        <v>214</v>
      </c>
      <c r="C5630" s="491">
        <v>53</v>
      </c>
      <c r="D5630" s="491">
        <v>48</v>
      </c>
      <c r="E5630" s="491">
        <v>0</v>
      </c>
      <c r="F5630" s="491">
        <v>0</v>
      </c>
      <c r="G5630" s="491">
        <f t="shared" si="87"/>
        <v>101</v>
      </c>
    </row>
    <row r="5631" spans="1:7" ht="12.75">
      <c r="A5631" s="134" t="s">
        <v>475</v>
      </c>
      <c r="B5631" s="134">
        <v>314</v>
      </c>
      <c r="C5631" s="491">
        <v>1</v>
      </c>
      <c r="D5631" s="491">
        <v>0</v>
      </c>
      <c r="E5631" s="491">
        <v>0</v>
      </c>
      <c r="F5631" s="491">
        <v>0</v>
      </c>
      <c r="G5631" s="491">
        <f t="shared" si="87"/>
        <v>1</v>
      </c>
    </row>
    <row r="5632" spans="1:7" ht="12.75">
      <c r="A5632" s="134" t="s">
        <v>475</v>
      </c>
      <c r="B5632" s="134">
        <v>361</v>
      </c>
      <c r="C5632" s="491">
        <v>1</v>
      </c>
      <c r="D5632" s="491">
        <v>0</v>
      </c>
      <c r="E5632" s="491">
        <v>0</v>
      </c>
      <c r="F5632" s="491">
        <v>0</v>
      </c>
      <c r="G5632" s="491">
        <f t="shared" si="87"/>
        <v>1</v>
      </c>
    </row>
    <row r="5633" spans="1:7" ht="12.75">
      <c r="A5633" s="134" t="s">
        <v>475</v>
      </c>
      <c r="B5633" s="134">
        <v>400</v>
      </c>
      <c r="C5633" s="491">
        <v>0</v>
      </c>
      <c r="D5633" s="491">
        <v>1</v>
      </c>
      <c r="E5633" s="491">
        <v>0</v>
      </c>
      <c r="F5633" s="491">
        <v>0</v>
      </c>
      <c r="G5633" s="491">
        <f t="shared" si="87"/>
        <v>1</v>
      </c>
    </row>
    <row r="5634" spans="1:7" ht="12.75">
      <c r="A5634" s="134" t="s">
        <v>475</v>
      </c>
      <c r="B5634" s="134">
        <v>410</v>
      </c>
      <c r="C5634" s="491">
        <v>227</v>
      </c>
      <c r="D5634" s="491">
        <v>92</v>
      </c>
      <c r="E5634" s="491">
        <v>4</v>
      </c>
      <c r="F5634" s="491">
        <v>0</v>
      </c>
      <c r="G5634" s="491">
        <f t="shared" si="87"/>
        <v>323</v>
      </c>
    </row>
    <row r="5635" spans="1:7" ht="12.75">
      <c r="A5635" s="134" t="s">
        <v>475</v>
      </c>
      <c r="B5635" s="134">
        <v>502</v>
      </c>
      <c r="C5635" s="491">
        <v>0</v>
      </c>
      <c r="D5635" s="491">
        <v>1</v>
      </c>
      <c r="E5635" s="491">
        <v>0</v>
      </c>
      <c r="F5635" s="491">
        <v>0</v>
      </c>
      <c r="G5635" s="491">
        <f t="shared" si="87"/>
        <v>1</v>
      </c>
    </row>
    <row r="5636" spans="1:7" ht="12.75">
      <c r="A5636" s="134" t="s">
        <v>475</v>
      </c>
      <c r="B5636" s="134">
        <v>650</v>
      </c>
      <c r="C5636" s="491">
        <v>17</v>
      </c>
      <c r="D5636" s="491">
        <v>15</v>
      </c>
      <c r="E5636" s="491">
        <v>0</v>
      </c>
      <c r="F5636" s="491">
        <v>0</v>
      </c>
      <c r="G5636" s="491">
        <f t="shared" ref="G5636:G5699" si="88">SUM(C5636:F5636)</f>
        <v>32</v>
      </c>
    </row>
    <row r="5637" spans="1:7" ht="12.75">
      <c r="A5637" s="134" t="s">
        <v>475</v>
      </c>
      <c r="B5637" s="134">
        <v>651</v>
      </c>
      <c r="C5637" s="491">
        <v>4</v>
      </c>
      <c r="D5637" s="491">
        <v>5</v>
      </c>
      <c r="E5637" s="491">
        <v>0</v>
      </c>
      <c r="F5637" s="491">
        <v>0</v>
      </c>
      <c r="G5637" s="491">
        <f t="shared" si="88"/>
        <v>9</v>
      </c>
    </row>
    <row r="5638" spans="1:7" ht="12.75">
      <c r="A5638" s="134" t="s">
        <v>475</v>
      </c>
      <c r="B5638" s="134">
        <v>800</v>
      </c>
      <c r="C5638" s="491">
        <v>0</v>
      </c>
      <c r="D5638" s="491">
        <v>2</v>
      </c>
      <c r="E5638" s="491">
        <v>0</v>
      </c>
      <c r="F5638" s="491">
        <v>0</v>
      </c>
      <c r="G5638" s="491">
        <f t="shared" si="88"/>
        <v>2</v>
      </c>
    </row>
    <row r="5639" spans="1:7" ht="12.75">
      <c r="A5639" s="134" t="s">
        <v>475</v>
      </c>
      <c r="B5639" s="134">
        <v>811</v>
      </c>
      <c r="C5639" s="491">
        <v>0</v>
      </c>
      <c r="D5639" s="491">
        <v>64</v>
      </c>
      <c r="E5639" s="491">
        <v>0</v>
      </c>
      <c r="F5639" s="491">
        <v>0</v>
      </c>
      <c r="G5639" s="491">
        <f t="shared" si="88"/>
        <v>64</v>
      </c>
    </row>
    <row r="5640" spans="1:7" ht="12.75">
      <c r="A5640" s="134" t="s">
        <v>475</v>
      </c>
      <c r="B5640" s="134">
        <v>812</v>
      </c>
      <c r="C5640" s="491">
        <v>20</v>
      </c>
      <c r="D5640" s="491">
        <v>69</v>
      </c>
      <c r="E5640" s="491">
        <v>0</v>
      </c>
      <c r="F5640" s="491">
        <v>0</v>
      </c>
      <c r="G5640" s="491">
        <f t="shared" si="88"/>
        <v>89</v>
      </c>
    </row>
    <row r="5641" spans="1:7" ht="12.75">
      <c r="A5641" s="134" t="s">
        <v>150</v>
      </c>
      <c r="B5641" s="134">
        <v>100</v>
      </c>
      <c r="C5641" s="491">
        <v>429</v>
      </c>
      <c r="D5641" s="491">
        <v>83</v>
      </c>
      <c r="E5641" s="491">
        <v>2</v>
      </c>
      <c r="F5641" s="491">
        <v>3</v>
      </c>
      <c r="G5641" s="491">
        <f t="shared" si="88"/>
        <v>517</v>
      </c>
    </row>
    <row r="5642" spans="1:7" ht="12.75">
      <c r="A5642" s="134" t="s">
        <v>150</v>
      </c>
      <c r="B5642" s="134">
        <v>101</v>
      </c>
      <c r="C5642" s="491">
        <v>15</v>
      </c>
      <c r="D5642" s="491">
        <v>7</v>
      </c>
      <c r="E5642" s="491">
        <v>0</v>
      </c>
      <c r="F5642" s="491">
        <v>0</v>
      </c>
      <c r="G5642" s="491">
        <f t="shared" si="88"/>
        <v>22</v>
      </c>
    </row>
    <row r="5643" spans="1:7" ht="12.75">
      <c r="A5643" s="134" t="s">
        <v>150</v>
      </c>
      <c r="B5643" s="134">
        <v>102</v>
      </c>
      <c r="C5643" s="491">
        <v>1</v>
      </c>
      <c r="D5643" s="491">
        <v>0</v>
      </c>
      <c r="E5643" s="491">
        <v>0</v>
      </c>
      <c r="F5643" s="491">
        <v>0</v>
      </c>
      <c r="G5643" s="491">
        <f t="shared" si="88"/>
        <v>1</v>
      </c>
    </row>
    <row r="5644" spans="1:7" ht="12.75">
      <c r="A5644" s="134" t="s">
        <v>150</v>
      </c>
      <c r="B5644" s="134">
        <v>103</v>
      </c>
      <c r="C5644" s="491">
        <v>820</v>
      </c>
      <c r="D5644" s="491">
        <v>72</v>
      </c>
      <c r="E5644" s="491">
        <v>118</v>
      </c>
      <c r="F5644" s="491">
        <v>12</v>
      </c>
      <c r="G5644" s="491">
        <f t="shared" si="88"/>
        <v>1022</v>
      </c>
    </row>
    <row r="5645" spans="1:7" ht="12.75">
      <c r="A5645" s="134" t="s">
        <v>150</v>
      </c>
      <c r="B5645" s="134">
        <v>104</v>
      </c>
      <c r="C5645" s="491">
        <v>10</v>
      </c>
      <c r="D5645" s="491">
        <v>3</v>
      </c>
      <c r="E5645" s="491">
        <v>1</v>
      </c>
      <c r="F5645" s="491">
        <v>0</v>
      </c>
      <c r="G5645" s="491">
        <f t="shared" si="88"/>
        <v>14</v>
      </c>
    </row>
    <row r="5646" spans="1:7" ht="12.75">
      <c r="A5646" s="134" t="s">
        <v>150</v>
      </c>
      <c r="B5646" s="134">
        <v>105</v>
      </c>
      <c r="C5646" s="491">
        <v>1</v>
      </c>
      <c r="D5646" s="491">
        <v>0</v>
      </c>
      <c r="E5646" s="491">
        <v>0</v>
      </c>
      <c r="F5646" s="491">
        <v>0</v>
      </c>
      <c r="G5646" s="491">
        <f t="shared" si="88"/>
        <v>1</v>
      </c>
    </row>
    <row r="5647" spans="1:7" ht="12.75">
      <c r="A5647" s="134" t="s">
        <v>150</v>
      </c>
      <c r="B5647" s="134">
        <v>106</v>
      </c>
      <c r="C5647" s="491">
        <v>2</v>
      </c>
      <c r="D5647" s="491">
        <v>3</v>
      </c>
      <c r="E5647" s="491">
        <v>0</v>
      </c>
      <c r="F5647" s="491">
        <v>1</v>
      </c>
      <c r="G5647" s="491">
        <f t="shared" si="88"/>
        <v>6</v>
      </c>
    </row>
    <row r="5648" spans="1:7" ht="12.75">
      <c r="A5648" s="134" t="s">
        <v>150</v>
      </c>
      <c r="B5648" s="134">
        <v>107</v>
      </c>
      <c r="C5648" s="491">
        <v>18</v>
      </c>
      <c r="D5648" s="491">
        <v>6</v>
      </c>
      <c r="E5648" s="491">
        <v>0</v>
      </c>
      <c r="F5648" s="491">
        <v>0</v>
      </c>
      <c r="G5648" s="491">
        <f t="shared" si="88"/>
        <v>24</v>
      </c>
    </row>
    <row r="5649" spans="1:7" ht="12.75">
      <c r="A5649" s="134" t="s">
        <v>150</v>
      </c>
      <c r="B5649" s="134">
        <v>108</v>
      </c>
      <c r="C5649" s="491">
        <v>2</v>
      </c>
      <c r="D5649" s="491">
        <v>0</v>
      </c>
      <c r="E5649" s="491">
        <v>0</v>
      </c>
      <c r="F5649" s="491">
        <v>0</v>
      </c>
      <c r="G5649" s="491">
        <f t="shared" si="88"/>
        <v>2</v>
      </c>
    </row>
    <row r="5650" spans="1:7" ht="12.75">
      <c r="A5650" s="134" t="s">
        <v>150</v>
      </c>
      <c r="B5650" s="134">
        <v>110</v>
      </c>
      <c r="C5650" s="491">
        <v>18285</v>
      </c>
      <c r="D5650" s="491">
        <v>9979</v>
      </c>
      <c r="E5650" s="491">
        <v>1080</v>
      </c>
      <c r="F5650" s="491">
        <v>511</v>
      </c>
      <c r="G5650" s="491">
        <f t="shared" si="88"/>
        <v>29855</v>
      </c>
    </row>
    <row r="5651" spans="1:7" ht="12.75">
      <c r="A5651" s="134" t="s">
        <v>150</v>
      </c>
      <c r="B5651" s="134">
        <v>120</v>
      </c>
      <c r="C5651" s="491">
        <v>229</v>
      </c>
      <c r="D5651" s="491">
        <v>168</v>
      </c>
      <c r="E5651" s="491">
        <v>4</v>
      </c>
      <c r="F5651" s="491">
        <v>0</v>
      </c>
      <c r="G5651" s="491">
        <f t="shared" si="88"/>
        <v>401</v>
      </c>
    </row>
    <row r="5652" spans="1:7" ht="12.75">
      <c r="A5652" s="134" t="s">
        <v>150</v>
      </c>
      <c r="B5652" s="134">
        <v>130</v>
      </c>
      <c r="C5652" s="491">
        <v>5</v>
      </c>
      <c r="D5652" s="491">
        <v>6</v>
      </c>
      <c r="E5652" s="491">
        <v>0</v>
      </c>
      <c r="F5652" s="491">
        <v>0</v>
      </c>
      <c r="G5652" s="491">
        <f t="shared" si="88"/>
        <v>11</v>
      </c>
    </row>
    <row r="5653" spans="1:7" ht="12.75">
      <c r="A5653" s="134" t="s">
        <v>150</v>
      </c>
      <c r="B5653" s="134">
        <v>140</v>
      </c>
      <c r="C5653" s="491">
        <v>45</v>
      </c>
      <c r="D5653" s="491">
        <v>8</v>
      </c>
      <c r="E5653" s="491">
        <v>1</v>
      </c>
      <c r="F5653" s="491">
        <v>1</v>
      </c>
      <c r="G5653" s="491">
        <f t="shared" si="88"/>
        <v>55</v>
      </c>
    </row>
    <row r="5654" spans="1:7" ht="12.75">
      <c r="A5654" s="134" t="s">
        <v>150</v>
      </c>
      <c r="B5654" s="134">
        <v>143</v>
      </c>
      <c r="C5654" s="491">
        <v>4</v>
      </c>
      <c r="D5654" s="491">
        <v>1</v>
      </c>
      <c r="E5654" s="491">
        <v>0</v>
      </c>
      <c r="F5654" s="491">
        <v>0</v>
      </c>
      <c r="G5654" s="491">
        <f t="shared" si="88"/>
        <v>5</v>
      </c>
    </row>
    <row r="5655" spans="1:7" ht="12.75">
      <c r="A5655" s="134" t="s">
        <v>150</v>
      </c>
      <c r="B5655" s="134">
        <v>144</v>
      </c>
      <c r="C5655" s="491">
        <v>25</v>
      </c>
      <c r="D5655" s="491">
        <v>6</v>
      </c>
      <c r="E5655" s="491">
        <v>0</v>
      </c>
      <c r="F5655" s="491">
        <v>1</v>
      </c>
      <c r="G5655" s="491">
        <f t="shared" si="88"/>
        <v>32</v>
      </c>
    </row>
    <row r="5656" spans="1:7" ht="12.75">
      <c r="A5656" s="134" t="s">
        <v>150</v>
      </c>
      <c r="B5656" s="134">
        <v>150</v>
      </c>
      <c r="C5656" s="491">
        <v>3</v>
      </c>
      <c r="D5656" s="491">
        <v>0</v>
      </c>
      <c r="E5656" s="491">
        <v>0</v>
      </c>
      <c r="F5656" s="491">
        <v>1</v>
      </c>
      <c r="G5656" s="491">
        <f t="shared" si="88"/>
        <v>4</v>
      </c>
    </row>
    <row r="5657" spans="1:7" ht="12.75">
      <c r="A5657" s="134" t="s">
        <v>150</v>
      </c>
      <c r="B5657" s="134">
        <v>160</v>
      </c>
      <c r="C5657" s="491">
        <v>682</v>
      </c>
      <c r="D5657" s="491">
        <v>219</v>
      </c>
      <c r="E5657" s="491">
        <v>321</v>
      </c>
      <c r="F5657" s="491">
        <v>121</v>
      </c>
      <c r="G5657" s="491">
        <f t="shared" si="88"/>
        <v>1343</v>
      </c>
    </row>
    <row r="5658" spans="1:7" ht="12.75">
      <c r="A5658" s="134" t="s">
        <v>150</v>
      </c>
      <c r="B5658" s="134">
        <v>161</v>
      </c>
      <c r="C5658" s="491">
        <v>0</v>
      </c>
      <c r="D5658" s="491">
        <v>0</v>
      </c>
      <c r="E5658" s="491">
        <v>1</v>
      </c>
      <c r="F5658" s="491">
        <v>0</v>
      </c>
      <c r="G5658" s="491">
        <f t="shared" si="88"/>
        <v>1</v>
      </c>
    </row>
    <row r="5659" spans="1:7" ht="12.75">
      <c r="A5659" s="134" t="s">
        <v>150</v>
      </c>
      <c r="B5659" s="134">
        <v>171</v>
      </c>
      <c r="C5659" s="491">
        <v>2</v>
      </c>
      <c r="D5659" s="491">
        <v>0</v>
      </c>
      <c r="E5659" s="491">
        <v>0</v>
      </c>
      <c r="F5659" s="491">
        <v>0</v>
      </c>
      <c r="G5659" s="491">
        <f t="shared" si="88"/>
        <v>2</v>
      </c>
    </row>
    <row r="5660" spans="1:7" ht="12.75">
      <c r="A5660" s="134" t="s">
        <v>150</v>
      </c>
      <c r="B5660" s="134">
        <v>173</v>
      </c>
      <c r="C5660" s="491">
        <v>0</v>
      </c>
      <c r="D5660" s="491">
        <v>1</v>
      </c>
      <c r="E5660" s="491">
        <v>0</v>
      </c>
      <c r="F5660" s="491">
        <v>0</v>
      </c>
      <c r="G5660" s="491">
        <f t="shared" si="88"/>
        <v>1</v>
      </c>
    </row>
    <row r="5661" spans="1:7" ht="12.75">
      <c r="A5661" s="134" t="s">
        <v>150</v>
      </c>
      <c r="B5661" s="134">
        <v>180</v>
      </c>
      <c r="C5661" s="491">
        <v>27</v>
      </c>
      <c r="D5661" s="491">
        <v>68</v>
      </c>
      <c r="E5661" s="491">
        <v>0</v>
      </c>
      <c r="F5661" s="491">
        <v>0</v>
      </c>
      <c r="G5661" s="491">
        <f t="shared" si="88"/>
        <v>95</v>
      </c>
    </row>
    <row r="5662" spans="1:7" ht="12.75">
      <c r="A5662" s="134" t="s">
        <v>150</v>
      </c>
      <c r="B5662" s="134">
        <v>190</v>
      </c>
      <c r="C5662" s="491">
        <v>0</v>
      </c>
      <c r="D5662" s="491">
        <v>2</v>
      </c>
      <c r="E5662" s="491">
        <v>0</v>
      </c>
      <c r="F5662" s="491">
        <v>0</v>
      </c>
      <c r="G5662" s="491">
        <f t="shared" si="88"/>
        <v>2</v>
      </c>
    </row>
    <row r="5663" spans="1:7" ht="12.75">
      <c r="A5663" s="134" t="s">
        <v>150</v>
      </c>
      <c r="B5663" s="134">
        <v>191</v>
      </c>
      <c r="C5663" s="491">
        <v>112</v>
      </c>
      <c r="D5663" s="491">
        <v>33</v>
      </c>
      <c r="E5663" s="491">
        <v>1</v>
      </c>
      <c r="F5663" s="491">
        <v>0</v>
      </c>
      <c r="G5663" s="491">
        <f t="shared" si="88"/>
        <v>146</v>
      </c>
    </row>
    <row r="5664" spans="1:7" ht="12.75">
      <c r="A5664" s="134" t="s">
        <v>150</v>
      </c>
      <c r="B5664" s="134">
        <v>211</v>
      </c>
      <c r="C5664" s="491">
        <v>0</v>
      </c>
      <c r="D5664" s="491">
        <v>1</v>
      </c>
      <c r="E5664" s="491">
        <v>0</v>
      </c>
      <c r="F5664" s="491">
        <v>0</v>
      </c>
      <c r="G5664" s="491">
        <f t="shared" si="88"/>
        <v>1</v>
      </c>
    </row>
    <row r="5665" spans="1:7" ht="12.75">
      <c r="A5665" s="134" t="s">
        <v>150</v>
      </c>
      <c r="B5665" s="134">
        <v>214</v>
      </c>
      <c r="C5665" s="491">
        <v>409</v>
      </c>
      <c r="D5665" s="491">
        <v>119</v>
      </c>
      <c r="E5665" s="491">
        <v>1</v>
      </c>
      <c r="F5665" s="491">
        <v>2</v>
      </c>
      <c r="G5665" s="491">
        <f t="shared" si="88"/>
        <v>531</v>
      </c>
    </row>
    <row r="5666" spans="1:7" ht="12.75">
      <c r="A5666" s="134" t="s">
        <v>150</v>
      </c>
      <c r="B5666" s="134">
        <v>215</v>
      </c>
      <c r="C5666" s="491">
        <v>4</v>
      </c>
      <c r="D5666" s="491">
        <v>2</v>
      </c>
      <c r="E5666" s="491">
        <v>1</v>
      </c>
      <c r="F5666" s="491">
        <v>0</v>
      </c>
      <c r="G5666" s="491">
        <f t="shared" si="88"/>
        <v>7</v>
      </c>
    </row>
    <row r="5667" spans="1:7" ht="12.75">
      <c r="A5667" s="134" t="s">
        <v>150</v>
      </c>
      <c r="B5667" s="134">
        <v>217</v>
      </c>
      <c r="C5667" s="491">
        <v>1</v>
      </c>
      <c r="D5667" s="491">
        <v>0</v>
      </c>
      <c r="E5667" s="491">
        <v>0</v>
      </c>
      <c r="F5667" s="491">
        <v>0</v>
      </c>
      <c r="G5667" s="491">
        <f t="shared" si="88"/>
        <v>1</v>
      </c>
    </row>
    <row r="5668" spans="1:7" ht="12.75">
      <c r="A5668" s="134" t="s">
        <v>150</v>
      </c>
      <c r="B5668" s="134">
        <v>219</v>
      </c>
      <c r="C5668" s="491">
        <v>65</v>
      </c>
      <c r="D5668" s="491">
        <v>7</v>
      </c>
      <c r="E5668" s="491">
        <v>3</v>
      </c>
      <c r="F5668" s="491">
        <v>0</v>
      </c>
      <c r="G5668" s="491">
        <f t="shared" si="88"/>
        <v>75</v>
      </c>
    </row>
    <row r="5669" spans="1:7" ht="12.75">
      <c r="A5669" s="134" t="s">
        <v>150</v>
      </c>
      <c r="B5669" s="134">
        <v>220</v>
      </c>
      <c r="C5669" s="491">
        <v>11</v>
      </c>
      <c r="D5669" s="491">
        <v>1</v>
      </c>
      <c r="E5669" s="491">
        <v>0</v>
      </c>
      <c r="F5669" s="491">
        <v>0</v>
      </c>
      <c r="G5669" s="491">
        <f t="shared" si="88"/>
        <v>12</v>
      </c>
    </row>
    <row r="5670" spans="1:7" ht="12.75">
      <c r="A5670" s="134" t="s">
        <v>150</v>
      </c>
      <c r="B5670" s="134">
        <v>254</v>
      </c>
      <c r="C5670" s="491">
        <v>0</v>
      </c>
      <c r="D5670" s="491">
        <v>1</v>
      </c>
      <c r="E5670" s="491">
        <v>0</v>
      </c>
      <c r="F5670" s="491">
        <v>0</v>
      </c>
      <c r="G5670" s="491">
        <f t="shared" si="88"/>
        <v>1</v>
      </c>
    </row>
    <row r="5671" spans="1:7" ht="12.75">
      <c r="A5671" s="134" t="s">
        <v>150</v>
      </c>
      <c r="B5671" s="134">
        <v>258</v>
      </c>
      <c r="C5671" s="491">
        <v>1</v>
      </c>
      <c r="D5671" s="491">
        <v>0</v>
      </c>
      <c r="E5671" s="491">
        <v>0</v>
      </c>
      <c r="F5671" s="491">
        <v>0</v>
      </c>
      <c r="G5671" s="491">
        <f t="shared" si="88"/>
        <v>1</v>
      </c>
    </row>
    <row r="5672" spans="1:7" ht="12.75">
      <c r="A5672" s="134" t="s">
        <v>150</v>
      </c>
      <c r="B5672" s="134">
        <v>259</v>
      </c>
      <c r="C5672" s="491">
        <v>0</v>
      </c>
      <c r="D5672" s="491">
        <v>0</v>
      </c>
      <c r="E5672" s="491">
        <v>1</v>
      </c>
      <c r="F5672" s="491">
        <v>0</v>
      </c>
      <c r="G5672" s="491">
        <f t="shared" si="88"/>
        <v>1</v>
      </c>
    </row>
    <row r="5673" spans="1:7" ht="12.75">
      <c r="A5673" s="134" t="s">
        <v>150</v>
      </c>
      <c r="B5673" s="134">
        <v>262</v>
      </c>
      <c r="C5673" s="491">
        <v>242</v>
      </c>
      <c r="D5673" s="491">
        <v>145</v>
      </c>
      <c r="E5673" s="491">
        <v>357</v>
      </c>
      <c r="F5673" s="491">
        <v>51</v>
      </c>
      <c r="G5673" s="491">
        <f t="shared" si="88"/>
        <v>795</v>
      </c>
    </row>
    <row r="5674" spans="1:7" ht="12.75">
      <c r="A5674" s="134" t="s">
        <v>150</v>
      </c>
      <c r="B5674" s="134">
        <v>263</v>
      </c>
      <c r="C5674" s="491">
        <v>1</v>
      </c>
      <c r="D5674" s="491">
        <v>0</v>
      </c>
      <c r="E5674" s="491">
        <v>0</v>
      </c>
      <c r="F5674" s="491">
        <v>0</v>
      </c>
      <c r="G5674" s="491">
        <f t="shared" si="88"/>
        <v>1</v>
      </c>
    </row>
    <row r="5675" spans="1:7" ht="12.75">
      <c r="A5675" s="134" t="s">
        <v>150</v>
      </c>
      <c r="B5675" s="134">
        <v>264</v>
      </c>
      <c r="C5675" s="491">
        <v>1</v>
      </c>
      <c r="D5675" s="491">
        <v>0</v>
      </c>
      <c r="E5675" s="491">
        <v>1</v>
      </c>
      <c r="F5675" s="491">
        <v>0</v>
      </c>
      <c r="G5675" s="491">
        <f t="shared" si="88"/>
        <v>2</v>
      </c>
    </row>
    <row r="5676" spans="1:7" ht="12.75">
      <c r="A5676" s="134" t="s">
        <v>150</v>
      </c>
      <c r="B5676" s="134">
        <v>291</v>
      </c>
      <c r="C5676" s="491">
        <v>0</v>
      </c>
      <c r="D5676" s="491">
        <v>0</v>
      </c>
      <c r="E5676" s="491">
        <v>1</v>
      </c>
      <c r="F5676" s="491">
        <v>0</v>
      </c>
      <c r="G5676" s="491">
        <f t="shared" si="88"/>
        <v>1</v>
      </c>
    </row>
    <row r="5677" spans="1:7" ht="12.75">
      <c r="A5677" s="134" t="s">
        <v>150</v>
      </c>
      <c r="B5677" s="134">
        <v>300</v>
      </c>
      <c r="C5677" s="491">
        <v>55</v>
      </c>
      <c r="D5677" s="491">
        <v>30</v>
      </c>
      <c r="E5677" s="491">
        <v>0</v>
      </c>
      <c r="F5677" s="491">
        <v>0</v>
      </c>
      <c r="G5677" s="491">
        <f t="shared" si="88"/>
        <v>85</v>
      </c>
    </row>
    <row r="5678" spans="1:7" ht="12.75">
      <c r="A5678" s="134" t="s">
        <v>150</v>
      </c>
      <c r="B5678" s="134">
        <v>301</v>
      </c>
      <c r="C5678" s="491">
        <v>3</v>
      </c>
      <c r="D5678" s="491">
        <v>1</v>
      </c>
      <c r="E5678" s="491">
        <v>0</v>
      </c>
      <c r="F5678" s="491">
        <v>0</v>
      </c>
      <c r="G5678" s="491">
        <f t="shared" si="88"/>
        <v>4</v>
      </c>
    </row>
    <row r="5679" spans="1:7" ht="12.75">
      <c r="A5679" s="134" t="s">
        <v>150</v>
      </c>
      <c r="B5679" s="134">
        <v>302</v>
      </c>
      <c r="C5679" s="491">
        <v>1</v>
      </c>
      <c r="D5679" s="491">
        <v>3</v>
      </c>
      <c r="E5679" s="491">
        <v>0</v>
      </c>
      <c r="F5679" s="491">
        <v>0</v>
      </c>
      <c r="G5679" s="491">
        <f t="shared" si="88"/>
        <v>4</v>
      </c>
    </row>
    <row r="5680" spans="1:7" ht="12.75">
      <c r="A5680" s="134" t="s">
        <v>150</v>
      </c>
      <c r="B5680" s="134">
        <v>303</v>
      </c>
      <c r="C5680" s="491">
        <v>888</v>
      </c>
      <c r="D5680" s="491">
        <v>165</v>
      </c>
      <c r="E5680" s="491">
        <v>26</v>
      </c>
      <c r="F5680" s="491">
        <v>4</v>
      </c>
      <c r="G5680" s="491">
        <f t="shared" si="88"/>
        <v>1083</v>
      </c>
    </row>
    <row r="5681" spans="1:7" ht="12.75">
      <c r="A5681" s="134" t="s">
        <v>150</v>
      </c>
      <c r="B5681" s="134">
        <v>304</v>
      </c>
      <c r="C5681" s="491">
        <v>0</v>
      </c>
      <c r="D5681" s="491">
        <v>3</v>
      </c>
      <c r="E5681" s="491">
        <v>0</v>
      </c>
      <c r="F5681" s="491">
        <v>0</v>
      </c>
      <c r="G5681" s="491">
        <f t="shared" si="88"/>
        <v>3</v>
      </c>
    </row>
    <row r="5682" spans="1:7" ht="12.75">
      <c r="A5682" s="134" t="s">
        <v>150</v>
      </c>
      <c r="B5682" s="134">
        <v>306</v>
      </c>
      <c r="C5682" s="491">
        <v>0</v>
      </c>
      <c r="D5682" s="491">
        <v>1</v>
      </c>
      <c r="E5682" s="491">
        <v>0</v>
      </c>
      <c r="F5682" s="491">
        <v>0</v>
      </c>
      <c r="G5682" s="491">
        <f t="shared" si="88"/>
        <v>1</v>
      </c>
    </row>
    <row r="5683" spans="1:7" ht="12.75">
      <c r="A5683" s="134" t="s">
        <v>150</v>
      </c>
      <c r="B5683" s="134">
        <v>307</v>
      </c>
      <c r="C5683" s="491">
        <v>10</v>
      </c>
      <c r="D5683" s="491">
        <v>1</v>
      </c>
      <c r="E5683" s="491">
        <v>9</v>
      </c>
      <c r="F5683" s="491">
        <v>3</v>
      </c>
      <c r="G5683" s="491">
        <f t="shared" si="88"/>
        <v>23</v>
      </c>
    </row>
    <row r="5684" spans="1:7" ht="12.75">
      <c r="A5684" s="134" t="s">
        <v>150</v>
      </c>
      <c r="B5684" s="134">
        <v>310</v>
      </c>
      <c r="C5684" s="491">
        <v>0</v>
      </c>
      <c r="D5684" s="491">
        <v>1</v>
      </c>
      <c r="E5684" s="491">
        <v>0</v>
      </c>
      <c r="F5684" s="491">
        <v>0</v>
      </c>
      <c r="G5684" s="491">
        <f t="shared" si="88"/>
        <v>1</v>
      </c>
    </row>
    <row r="5685" spans="1:7" ht="12.75">
      <c r="A5685" s="134" t="s">
        <v>150</v>
      </c>
      <c r="B5685" s="134">
        <v>314</v>
      </c>
      <c r="C5685" s="491">
        <v>6</v>
      </c>
      <c r="D5685" s="491">
        <v>1</v>
      </c>
      <c r="E5685" s="491">
        <v>1</v>
      </c>
      <c r="F5685" s="491">
        <v>0</v>
      </c>
      <c r="G5685" s="491">
        <f t="shared" si="88"/>
        <v>8</v>
      </c>
    </row>
    <row r="5686" spans="1:7" ht="12.75">
      <c r="A5686" s="134" t="s">
        <v>150</v>
      </c>
      <c r="B5686" s="134">
        <v>320</v>
      </c>
      <c r="C5686" s="491">
        <v>4</v>
      </c>
      <c r="D5686" s="491">
        <v>4</v>
      </c>
      <c r="E5686" s="491">
        <v>0</v>
      </c>
      <c r="F5686" s="491">
        <v>0</v>
      </c>
      <c r="G5686" s="491">
        <f t="shared" si="88"/>
        <v>8</v>
      </c>
    </row>
    <row r="5687" spans="1:7" ht="12.75">
      <c r="A5687" s="134" t="s">
        <v>150</v>
      </c>
      <c r="B5687" s="134">
        <v>324</v>
      </c>
      <c r="C5687" s="491">
        <v>5</v>
      </c>
      <c r="D5687" s="491">
        <v>2</v>
      </c>
      <c r="E5687" s="491">
        <v>0</v>
      </c>
      <c r="F5687" s="491">
        <v>0</v>
      </c>
      <c r="G5687" s="491">
        <f t="shared" si="88"/>
        <v>7</v>
      </c>
    </row>
    <row r="5688" spans="1:7" ht="12.75">
      <c r="A5688" s="134" t="s">
        <v>150</v>
      </c>
      <c r="B5688" s="134">
        <v>325</v>
      </c>
      <c r="C5688" s="491">
        <v>13</v>
      </c>
      <c r="D5688" s="491">
        <v>2</v>
      </c>
      <c r="E5688" s="491">
        <v>0</v>
      </c>
      <c r="F5688" s="491">
        <v>0</v>
      </c>
      <c r="G5688" s="491">
        <f t="shared" si="88"/>
        <v>15</v>
      </c>
    </row>
    <row r="5689" spans="1:7" ht="12.75">
      <c r="A5689" s="134" t="s">
        <v>150</v>
      </c>
      <c r="B5689" s="134">
        <v>328</v>
      </c>
      <c r="C5689" s="491">
        <v>2</v>
      </c>
      <c r="D5689" s="491">
        <v>0</v>
      </c>
      <c r="E5689" s="491">
        <v>0</v>
      </c>
      <c r="F5689" s="491">
        <v>0</v>
      </c>
      <c r="G5689" s="491">
        <f t="shared" si="88"/>
        <v>2</v>
      </c>
    </row>
    <row r="5690" spans="1:7" ht="12.75">
      <c r="A5690" s="134" t="s">
        <v>150</v>
      </c>
      <c r="B5690" s="134">
        <v>330</v>
      </c>
      <c r="C5690" s="491">
        <v>30</v>
      </c>
      <c r="D5690" s="491">
        <v>8</v>
      </c>
      <c r="E5690" s="491">
        <v>4</v>
      </c>
      <c r="F5690" s="491">
        <v>1</v>
      </c>
      <c r="G5690" s="491">
        <f t="shared" si="88"/>
        <v>43</v>
      </c>
    </row>
    <row r="5691" spans="1:7" ht="12.75">
      <c r="A5691" s="134" t="s">
        <v>150</v>
      </c>
      <c r="B5691" s="134">
        <v>340</v>
      </c>
      <c r="C5691" s="491">
        <v>9</v>
      </c>
      <c r="D5691" s="491">
        <v>11</v>
      </c>
      <c r="E5691" s="491">
        <v>0</v>
      </c>
      <c r="F5691" s="491">
        <v>0</v>
      </c>
      <c r="G5691" s="491">
        <f t="shared" si="88"/>
        <v>20</v>
      </c>
    </row>
    <row r="5692" spans="1:7" ht="12.75">
      <c r="A5692" s="134" t="s">
        <v>150</v>
      </c>
      <c r="B5692" s="134">
        <v>341</v>
      </c>
      <c r="C5692" s="491">
        <v>0</v>
      </c>
      <c r="D5692" s="491">
        <v>1</v>
      </c>
      <c r="E5692" s="491">
        <v>0</v>
      </c>
      <c r="F5692" s="491">
        <v>0</v>
      </c>
      <c r="G5692" s="491">
        <f t="shared" si="88"/>
        <v>1</v>
      </c>
    </row>
    <row r="5693" spans="1:7" ht="12.75">
      <c r="A5693" s="134" t="s">
        <v>150</v>
      </c>
      <c r="B5693" s="134">
        <v>350</v>
      </c>
      <c r="C5693" s="491">
        <v>0</v>
      </c>
      <c r="D5693" s="491">
        <v>1</v>
      </c>
      <c r="E5693" s="491">
        <v>0</v>
      </c>
      <c r="F5693" s="491">
        <v>0</v>
      </c>
      <c r="G5693" s="491">
        <f t="shared" si="88"/>
        <v>1</v>
      </c>
    </row>
    <row r="5694" spans="1:7" ht="12.75">
      <c r="A5694" s="134" t="s">
        <v>150</v>
      </c>
      <c r="B5694" s="134">
        <v>360</v>
      </c>
      <c r="C5694" s="491">
        <v>1</v>
      </c>
      <c r="D5694" s="491">
        <v>0</v>
      </c>
      <c r="E5694" s="491">
        <v>0</v>
      </c>
      <c r="F5694" s="491">
        <v>0</v>
      </c>
      <c r="G5694" s="491">
        <f t="shared" si="88"/>
        <v>1</v>
      </c>
    </row>
    <row r="5695" spans="1:7" ht="12.75">
      <c r="A5695" s="134" t="s">
        <v>150</v>
      </c>
      <c r="B5695" s="134">
        <v>361</v>
      </c>
      <c r="C5695" s="491">
        <v>0</v>
      </c>
      <c r="D5695" s="491">
        <v>1</v>
      </c>
      <c r="E5695" s="491">
        <v>0</v>
      </c>
      <c r="F5695" s="491">
        <v>0</v>
      </c>
      <c r="G5695" s="491">
        <f t="shared" si="88"/>
        <v>1</v>
      </c>
    </row>
    <row r="5696" spans="1:7" ht="12.75">
      <c r="A5696" s="134" t="s">
        <v>150</v>
      </c>
      <c r="B5696" s="134">
        <v>370</v>
      </c>
      <c r="C5696" s="491">
        <v>13</v>
      </c>
      <c r="D5696" s="491">
        <v>20</v>
      </c>
      <c r="E5696" s="491">
        <v>1</v>
      </c>
      <c r="F5696" s="491">
        <v>0</v>
      </c>
      <c r="G5696" s="491">
        <f t="shared" si="88"/>
        <v>34</v>
      </c>
    </row>
    <row r="5697" spans="1:7" ht="12.75">
      <c r="A5697" s="134" t="s">
        <v>150</v>
      </c>
      <c r="B5697" s="134">
        <v>400</v>
      </c>
      <c r="C5697" s="491">
        <v>15</v>
      </c>
      <c r="D5697" s="491">
        <v>42</v>
      </c>
      <c r="E5697" s="491">
        <v>6</v>
      </c>
      <c r="F5697" s="491">
        <v>2</v>
      </c>
      <c r="G5697" s="491">
        <f t="shared" si="88"/>
        <v>65</v>
      </c>
    </row>
    <row r="5698" spans="1:7" ht="12.75">
      <c r="A5698" s="134" t="s">
        <v>150</v>
      </c>
      <c r="B5698" s="134">
        <v>410</v>
      </c>
      <c r="C5698" s="491">
        <v>6619</v>
      </c>
      <c r="D5698" s="491">
        <v>1159</v>
      </c>
      <c r="E5698" s="491">
        <v>79</v>
      </c>
      <c r="F5698" s="491">
        <v>14</v>
      </c>
      <c r="G5698" s="491">
        <f t="shared" si="88"/>
        <v>7871</v>
      </c>
    </row>
    <row r="5699" spans="1:7" ht="12.75">
      <c r="A5699" s="134" t="s">
        <v>150</v>
      </c>
      <c r="B5699" s="134">
        <v>420</v>
      </c>
      <c r="C5699" s="491">
        <v>3</v>
      </c>
      <c r="D5699" s="491">
        <v>5</v>
      </c>
      <c r="E5699" s="491">
        <v>0</v>
      </c>
      <c r="F5699" s="491">
        <v>0</v>
      </c>
      <c r="G5699" s="491">
        <f t="shared" si="88"/>
        <v>8</v>
      </c>
    </row>
    <row r="5700" spans="1:7" ht="12.75">
      <c r="A5700" s="134" t="s">
        <v>150</v>
      </c>
      <c r="B5700" s="134">
        <v>421</v>
      </c>
      <c r="C5700" s="491">
        <v>0</v>
      </c>
      <c r="D5700" s="491">
        <v>1</v>
      </c>
      <c r="E5700" s="491">
        <v>0</v>
      </c>
      <c r="F5700" s="491">
        <v>0</v>
      </c>
      <c r="G5700" s="491">
        <f t="shared" ref="G5700:G5763" si="89">SUM(C5700:F5700)</f>
        <v>1</v>
      </c>
    </row>
    <row r="5701" spans="1:7" ht="12.75">
      <c r="A5701" s="134" t="s">
        <v>150</v>
      </c>
      <c r="B5701" s="134">
        <v>430</v>
      </c>
      <c r="C5701" s="491">
        <v>5</v>
      </c>
      <c r="D5701" s="491">
        <v>2</v>
      </c>
      <c r="E5701" s="491">
        <v>0</v>
      </c>
      <c r="F5701" s="491">
        <v>1</v>
      </c>
      <c r="G5701" s="491">
        <f t="shared" si="89"/>
        <v>8</v>
      </c>
    </row>
    <row r="5702" spans="1:7" ht="12.75">
      <c r="A5702" s="134" t="s">
        <v>150</v>
      </c>
      <c r="B5702" s="134">
        <v>501</v>
      </c>
      <c r="C5702" s="491">
        <v>10</v>
      </c>
      <c r="D5702" s="491">
        <v>2</v>
      </c>
      <c r="E5702" s="491">
        <v>0</v>
      </c>
      <c r="F5702" s="491">
        <v>1</v>
      </c>
      <c r="G5702" s="491">
        <f t="shared" si="89"/>
        <v>13</v>
      </c>
    </row>
    <row r="5703" spans="1:7" ht="12.75">
      <c r="A5703" s="134" t="s">
        <v>150</v>
      </c>
      <c r="B5703" s="134">
        <v>502</v>
      </c>
      <c r="C5703" s="491">
        <v>19</v>
      </c>
      <c r="D5703" s="491">
        <v>31</v>
      </c>
      <c r="E5703" s="491">
        <v>1</v>
      </c>
      <c r="F5703" s="491">
        <v>0</v>
      </c>
      <c r="G5703" s="491">
        <f t="shared" si="89"/>
        <v>51</v>
      </c>
    </row>
    <row r="5704" spans="1:7" ht="12.75">
      <c r="A5704" s="134" t="s">
        <v>150</v>
      </c>
      <c r="B5704" s="134">
        <v>503</v>
      </c>
      <c r="C5704" s="491">
        <v>2</v>
      </c>
      <c r="D5704" s="491">
        <v>2</v>
      </c>
      <c r="E5704" s="491">
        <v>0</v>
      </c>
      <c r="F5704" s="491">
        <v>0</v>
      </c>
      <c r="G5704" s="491">
        <f t="shared" si="89"/>
        <v>4</v>
      </c>
    </row>
    <row r="5705" spans="1:7" ht="12.75">
      <c r="A5705" s="134" t="s">
        <v>150</v>
      </c>
      <c r="B5705" s="134">
        <v>560</v>
      </c>
      <c r="C5705" s="491">
        <v>3</v>
      </c>
      <c r="D5705" s="491">
        <v>2</v>
      </c>
      <c r="E5705" s="491">
        <v>0</v>
      </c>
      <c r="F5705" s="491">
        <v>1</v>
      </c>
      <c r="G5705" s="491">
        <f t="shared" si="89"/>
        <v>6</v>
      </c>
    </row>
    <row r="5706" spans="1:7" ht="12.75">
      <c r="A5706" s="134" t="s">
        <v>150</v>
      </c>
      <c r="B5706" s="134">
        <v>650</v>
      </c>
      <c r="C5706" s="491">
        <v>6571</v>
      </c>
      <c r="D5706" s="491">
        <v>2512</v>
      </c>
      <c r="E5706" s="491">
        <v>1</v>
      </c>
      <c r="F5706" s="491">
        <v>0</v>
      </c>
      <c r="G5706" s="491">
        <f t="shared" si="89"/>
        <v>9084</v>
      </c>
    </row>
    <row r="5707" spans="1:7" ht="12.75">
      <c r="A5707" s="134" t="s">
        <v>150</v>
      </c>
      <c r="B5707" s="134">
        <v>651</v>
      </c>
      <c r="C5707" s="491">
        <v>232</v>
      </c>
      <c r="D5707" s="491">
        <v>80</v>
      </c>
      <c r="E5707" s="491">
        <v>2</v>
      </c>
      <c r="F5707" s="491">
        <v>0</v>
      </c>
      <c r="G5707" s="491">
        <f t="shared" si="89"/>
        <v>314</v>
      </c>
    </row>
    <row r="5708" spans="1:7" ht="12.75">
      <c r="A5708" s="134" t="s">
        <v>150</v>
      </c>
      <c r="B5708" s="134">
        <v>653</v>
      </c>
      <c r="C5708" s="491">
        <v>302</v>
      </c>
      <c r="D5708" s="491">
        <v>43</v>
      </c>
      <c r="E5708" s="491">
        <v>6</v>
      </c>
      <c r="F5708" s="491">
        <v>0</v>
      </c>
      <c r="G5708" s="491">
        <f t="shared" si="89"/>
        <v>351</v>
      </c>
    </row>
    <row r="5709" spans="1:7" ht="12.75">
      <c r="A5709" s="134" t="s">
        <v>150</v>
      </c>
      <c r="B5709" s="134">
        <v>654</v>
      </c>
      <c r="C5709" s="491">
        <v>0</v>
      </c>
      <c r="D5709" s="491">
        <v>1</v>
      </c>
      <c r="E5709" s="491">
        <v>0</v>
      </c>
      <c r="F5709" s="491">
        <v>0</v>
      </c>
      <c r="G5709" s="491">
        <f t="shared" si="89"/>
        <v>1</v>
      </c>
    </row>
    <row r="5710" spans="1:7" ht="12.75">
      <c r="A5710" s="134" t="s">
        <v>150</v>
      </c>
      <c r="B5710" s="134">
        <v>655</v>
      </c>
      <c r="C5710" s="491">
        <v>0</v>
      </c>
      <c r="D5710" s="491">
        <v>2</v>
      </c>
      <c r="E5710" s="491">
        <v>0</v>
      </c>
      <c r="F5710" s="491">
        <v>0</v>
      </c>
      <c r="G5710" s="491">
        <f t="shared" si="89"/>
        <v>2</v>
      </c>
    </row>
    <row r="5711" spans="1:7" ht="12.75">
      <c r="A5711" s="134" t="s">
        <v>150</v>
      </c>
      <c r="B5711" s="134">
        <v>656</v>
      </c>
      <c r="C5711" s="491">
        <v>1</v>
      </c>
      <c r="D5711" s="491">
        <v>0</v>
      </c>
      <c r="E5711" s="491">
        <v>0</v>
      </c>
      <c r="F5711" s="491">
        <v>0</v>
      </c>
      <c r="G5711" s="491">
        <f t="shared" si="89"/>
        <v>1</v>
      </c>
    </row>
    <row r="5712" spans="1:7" ht="12.75">
      <c r="A5712" s="134" t="s">
        <v>150</v>
      </c>
      <c r="B5712" s="134">
        <v>658</v>
      </c>
      <c r="C5712" s="491">
        <v>1</v>
      </c>
      <c r="D5712" s="491">
        <v>1</v>
      </c>
      <c r="E5712" s="491">
        <v>0</v>
      </c>
      <c r="F5712" s="491">
        <v>0</v>
      </c>
      <c r="G5712" s="491">
        <f t="shared" si="89"/>
        <v>2</v>
      </c>
    </row>
    <row r="5713" spans="1:7" ht="12.75">
      <c r="A5713" s="134" t="s">
        <v>150</v>
      </c>
      <c r="B5713" s="134">
        <v>800</v>
      </c>
      <c r="C5713" s="491">
        <v>7</v>
      </c>
      <c r="D5713" s="491">
        <v>4</v>
      </c>
      <c r="E5713" s="491">
        <v>0</v>
      </c>
      <c r="F5713" s="491">
        <v>0</v>
      </c>
      <c r="G5713" s="491">
        <f t="shared" si="89"/>
        <v>11</v>
      </c>
    </row>
    <row r="5714" spans="1:7" ht="12.75">
      <c r="A5714" s="134" t="s">
        <v>150</v>
      </c>
      <c r="B5714" s="134">
        <v>811</v>
      </c>
      <c r="C5714" s="491">
        <v>9</v>
      </c>
      <c r="D5714" s="491">
        <v>34</v>
      </c>
      <c r="E5714" s="491">
        <v>0</v>
      </c>
      <c r="F5714" s="491">
        <v>12</v>
      </c>
      <c r="G5714" s="491">
        <f t="shared" si="89"/>
        <v>55</v>
      </c>
    </row>
    <row r="5715" spans="1:7" ht="12.75">
      <c r="A5715" s="134" t="s">
        <v>150</v>
      </c>
      <c r="B5715" s="134">
        <v>812</v>
      </c>
      <c r="C5715" s="491">
        <v>213</v>
      </c>
      <c r="D5715" s="491">
        <v>53</v>
      </c>
      <c r="E5715" s="491">
        <v>0</v>
      </c>
      <c r="F5715" s="491">
        <v>1</v>
      </c>
      <c r="G5715" s="491">
        <f t="shared" si="89"/>
        <v>267</v>
      </c>
    </row>
    <row r="5716" spans="1:7" ht="12.75">
      <c r="A5716" s="134" t="s">
        <v>150</v>
      </c>
      <c r="B5716" s="134">
        <v>840</v>
      </c>
      <c r="C5716" s="491">
        <v>1</v>
      </c>
      <c r="D5716" s="491">
        <v>0</v>
      </c>
      <c r="E5716" s="491">
        <v>0</v>
      </c>
      <c r="F5716" s="491">
        <v>0</v>
      </c>
      <c r="G5716" s="491">
        <f t="shared" si="89"/>
        <v>1</v>
      </c>
    </row>
    <row r="5717" spans="1:7" ht="12.75">
      <c r="A5717" s="134" t="s">
        <v>882</v>
      </c>
      <c r="B5717" s="134">
        <v>120</v>
      </c>
      <c r="C5717" s="491">
        <v>2</v>
      </c>
      <c r="D5717" s="491">
        <v>1</v>
      </c>
      <c r="E5717" s="491">
        <v>0</v>
      </c>
      <c r="F5717" s="491">
        <v>0</v>
      </c>
      <c r="G5717" s="491">
        <f t="shared" si="89"/>
        <v>3</v>
      </c>
    </row>
    <row r="5718" spans="1:7" ht="12.75">
      <c r="A5718" s="134" t="s">
        <v>882</v>
      </c>
      <c r="B5718" s="134">
        <v>130</v>
      </c>
      <c r="C5718" s="491">
        <v>1</v>
      </c>
      <c r="D5718" s="491">
        <v>0</v>
      </c>
      <c r="E5718" s="491">
        <v>0</v>
      </c>
      <c r="F5718" s="491">
        <v>0</v>
      </c>
      <c r="G5718" s="491">
        <f t="shared" si="89"/>
        <v>1</v>
      </c>
    </row>
    <row r="5719" spans="1:7" ht="12.75">
      <c r="A5719" s="134" t="s">
        <v>882</v>
      </c>
      <c r="B5719" s="134">
        <v>420</v>
      </c>
      <c r="C5719" s="491">
        <v>1</v>
      </c>
      <c r="D5719" s="491">
        <v>0</v>
      </c>
      <c r="E5719" s="491">
        <v>0</v>
      </c>
      <c r="F5719" s="491">
        <v>0</v>
      </c>
      <c r="G5719" s="491">
        <f t="shared" si="89"/>
        <v>1</v>
      </c>
    </row>
    <row r="5720" spans="1:7" ht="12.75">
      <c r="A5720" s="134" t="s">
        <v>883</v>
      </c>
      <c r="B5720" s="134">
        <v>101</v>
      </c>
      <c r="C5720" s="491">
        <v>0</v>
      </c>
      <c r="D5720" s="491">
        <v>2</v>
      </c>
      <c r="E5720" s="491">
        <v>0</v>
      </c>
      <c r="F5720" s="491">
        <v>0</v>
      </c>
      <c r="G5720" s="491">
        <f t="shared" si="89"/>
        <v>2</v>
      </c>
    </row>
    <row r="5721" spans="1:7" ht="12.75">
      <c r="A5721" s="134" t="s">
        <v>883</v>
      </c>
      <c r="B5721" s="134">
        <v>103</v>
      </c>
      <c r="C5721" s="491">
        <v>0</v>
      </c>
      <c r="D5721" s="491">
        <v>2</v>
      </c>
      <c r="E5721" s="491">
        <v>0</v>
      </c>
      <c r="F5721" s="491">
        <v>0</v>
      </c>
      <c r="G5721" s="491">
        <f t="shared" si="89"/>
        <v>2</v>
      </c>
    </row>
    <row r="5722" spans="1:7" ht="12.75">
      <c r="A5722" s="134" t="s">
        <v>883</v>
      </c>
      <c r="B5722" s="134">
        <v>110</v>
      </c>
      <c r="C5722" s="491">
        <v>2</v>
      </c>
      <c r="D5722" s="491">
        <v>0</v>
      </c>
      <c r="E5722" s="491">
        <v>0</v>
      </c>
      <c r="F5722" s="491">
        <v>0</v>
      </c>
      <c r="G5722" s="491">
        <f t="shared" si="89"/>
        <v>2</v>
      </c>
    </row>
    <row r="5723" spans="1:7" ht="12.75">
      <c r="A5723" s="134" t="s">
        <v>883</v>
      </c>
      <c r="B5723" s="134">
        <v>120</v>
      </c>
      <c r="C5723" s="491">
        <v>4</v>
      </c>
      <c r="D5723" s="491">
        <v>2</v>
      </c>
      <c r="E5723" s="491">
        <v>0</v>
      </c>
      <c r="F5723" s="491">
        <v>1</v>
      </c>
      <c r="G5723" s="491">
        <f t="shared" si="89"/>
        <v>7</v>
      </c>
    </row>
    <row r="5724" spans="1:7" ht="12.75">
      <c r="A5724" s="134" t="s">
        <v>883</v>
      </c>
      <c r="B5724" s="134">
        <v>215</v>
      </c>
      <c r="C5724" s="491">
        <v>1</v>
      </c>
      <c r="D5724" s="491">
        <v>1</v>
      </c>
      <c r="E5724" s="491">
        <v>0</v>
      </c>
      <c r="F5724" s="491">
        <v>0</v>
      </c>
      <c r="G5724" s="491">
        <f t="shared" si="89"/>
        <v>2</v>
      </c>
    </row>
    <row r="5725" spans="1:7" ht="12.75">
      <c r="A5725" s="134" t="s">
        <v>883</v>
      </c>
      <c r="B5725" s="134">
        <v>263</v>
      </c>
      <c r="C5725" s="491">
        <v>0</v>
      </c>
      <c r="D5725" s="491">
        <v>0</v>
      </c>
      <c r="E5725" s="491">
        <v>1</v>
      </c>
      <c r="F5725" s="491">
        <v>0</v>
      </c>
      <c r="G5725" s="491">
        <f t="shared" si="89"/>
        <v>1</v>
      </c>
    </row>
    <row r="5726" spans="1:7" ht="12.75">
      <c r="A5726" s="134" t="s">
        <v>883</v>
      </c>
      <c r="B5726" s="134">
        <v>301</v>
      </c>
      <c r="C5726" s="491">
        <v>0</v>
      </c>
      <c r="D5726" s="491">
        <v>4</v>
      </c>
      <c r="E5726" s="491">
        <v>0</v>
      </c>
      <c r="F5726" s="491">
        <v>0</v>
      </c>
      <c r="G5726" s="491">
        <f t="shared" si="89"/>
        <v>4</v>
      </c>
    </row>
    <row r="5727" spans="1:7" ht="12.75">
      <c r="A5727" s="134" t="s">
        <v>883</v>
      </c>
      <c r="B5727" s="134">
        <v>410</v>
      </c>
      <c r="C5727" s="491">
        <v>0</v>
      </c>
      <c r="D5727" s="491">
        <v>1</v>
      </c>
      <c r="E5727" s="491">
        <v>0</v>
      </c>
      <c r="F5727" s="491">
        <v>0</v>
      </c>
      <c r="G5727" s="491">
        <f t="shared" si="89"/>
        <v>1</v>
      </c>
    </row>
    <row r="5728" spans="1:7" ht="12.75">
      <c r="A5728" s="134" t="s">
        <v>883</v>
      </c>
      <c r="B5728" s="134">
        <v>420</v>
      </c>
      <c r="C5728" s="491">
        <v>0</v>
      </c>
      <c r="D5728" s="491">
        <v>1</v>
      </c>
      <c r="E5728" s="491">
        <v>0</v>
      </c>
      <c r="F5728" s="491">
        <v>0</v>
      </c>
      <c r="G5728" s="491">
        <f t="shared" si="89"/>
        <v>1</v>
      </c>
    </row>
    <row r="5729" spans="1:7" ht="12.75">
      <c r="A5729" s="134" t="s">
        <v>883</v>
      </c>
      <c r="B5729" s="134">
        <v>501</v>
      </c>
      <c r="C5729" s="491">
        <v>2</v>
      </c>
      <c r="D5729" s="491">
        <v>0</v>
      </c>
      <c r="E5729" s="491">
        <v>0</v>
      </c>
      <c r="F5729" s="491">
        <v>0</v>
      </c>
      <c r="G5729" s="491">
        <f t="shared" si="89"/>
        <v>2</v>
      </c>
    </row>
    <row r="5730" spans="1:7" ht="12.75">
      <c r="A5730" s="134" t="s">
        <v>884</v>
      </c>
      <c r="B5730" s="134">
        <v>101</v>
      </c>
      <c r="C5730" s="491">
        <v>0</v>
      </c>
      <c r="D5730" s="491">
        <v>1</v>
      </c>
      <c r="E5730" s="491">
        <v>0</v>
      </c>
      <c r="F5730" s="491">
        <v>0</v>
      </c>
      <c r="G5730" s="491">
        <f t="shared" si="89"/>
        <v>1</v>
      </c>
    </row>
    <row r="5731" spans="1:7" ht="12.75">
      <c r="A5731" s="134" t="s">
        <v>884</v>
      </c>
      <c r="B5731" s="134">
        <v>110</v>
      </c>
      <c r="C5731" s="491">
        <v>1</v>
      </c>
      <c r="D5731" s="491">
        <v>0</v>
      </c>
      <c r="E5731" s="491">
        <v>0</v>
      </c>
      <c r="F5731" s="491">
        <v>0</v>
      </c>
      <c r="G5731" s="491">
        <f t="shared" si="89"/>
        <v>1</v>
      </c>
    </row>
    <row r="5732" spans="1:7" ht="12.75">
      <c r="A5732" s="134" t="s">
        <v>884</v>
      </c>
      <c r="B5732" s="134">
        <v>120</v>
      </c>
      <c r="C5732" s="491">
        <v>1</v>
      </c>
      <c r="D5732" s="491">
        <v>0</v>
      </c>
      <c r="E5732" s="491">
        <v>0</v>
      </c>
      <c r="F5732" s="491">
        <v>0</v>
      </c>
      <c r="G5732" s="491">
        <f t="shared" si="89"/>
        <v>1</v>
      </c>
    </row>
    <row r="5733" spans="1:7" ht="12.75">
      <c r="A5733" s="134" t="s">
        <v>884</v>
      </c>
      <c r="B5733" s="134">
        <v>171</v>
      </c>
      <c r="C5733" s="491">
        <v>13</v>
      </c>
      <c r="D5733" s="491">
        <v>0</v>
      </c>
      <c r="E5733" s="491">
        <v>4</v>
      </c>
      <c r="F5733" s="491">
        <v>0</v>
      </c>
      <c r="G5733" s="491">
        <f t="shared" si="89"/>
        <v>17</v>
      </c>
    </row>
    <row r="5734" spans="1:7" ht="12.75">
      <c r="A5734" s="134" t="s">
        <v>884</v>
      </c>
      <c r="B5734" s="134">
        <v>191</v>
      </c>
      <c r="C5734" s="491">
        <v>2</v>
      </c>
      <c r="D5734" s="491">
        <v>0</v>
      </c>
      <c r="E5734" s="491">
        <v>0</v>
      </c>
      <c r="F5734" s="491">
        <v>0</v>
      </c>
      <c r="G5734" s="491">
        <f t="shared" si="89"/>
        <v>2</v>
      </c>
    </row>
    <row r="5735" spans="1:7" ht="12.75">
      <c r="A5735" s="134" t="s">
        <v>884</v>
      </c>
      <c r="B5735" s="134">
        <v>211</v>
      </c>
      <c r="C5735" s="491">
        <v>1</v>
      </c>
      <c r="D5735" s="491">
        <v>0</v>
      </c>
      <c r="E5735" s="491">
        <v>0</v>
      </c>
      <c r="F5735" s="491">
        <v>0</v>
      </c>
      <c r="G5735" s="491">
        <f t="shared" si="89"/>
        <v>1</v>
      </c>
    </row>
    <row r="5736" spans="1:7" ht="12.75">
      <c r="A5736" s="134" t="s">
        <v>884</v>
      </c>
      <c r="B5736" s="134">
        <v>215</v>
      </c>
      <c r="C5736" s="491">
        <v>1</v>
      </c>
      <c r="D5736" s="491">
        <v>1</v>
      </c>
      <c r="E5736" s="491">
        <v>0</v>
      </c>
      <c r="F5736" s="491">
        <v>0</v>
      </c>
      <c r="G5736" s="491">
        <f t="shared" si="89"/>
        <v>2</v>
      </c>
    </row>
    <row r="5737" spans="1:7" ht="12.75">
      <c r="A5737" s="134" t="s">
        <v>884</v>
      </c>
      <c r="B5737" s="134">
        <v>302</v>
      </c>
      <c r="C5737" s="491">
        <v>0</v>
      </c>
      <c r="D5737" s="491">
        <v>1</v>
      </c>
      <c r="E5737" s="491">
        <v>0</v>
      </c>
      <c r="F5737" s="491">
        <v>0</v>
      </c>
      <c r="G5737" s="491">
        <f t="shared" si="89"/>
        <v>1</v>
      </c>
    </row>
    <row r="5738" spans="1:7" ht="12.75">
      <c r="A5738" s="134" t="s">
        <v>884</v>
      </c>
      <c r="B5738" s="134">
        <v>330</v>
      </c>
      <c r="C5738" s="491">
        <v>7</v>
      </c>
      <c r="D5738" s="491">
        <v>0</v>
      </c>
      <c r="E5738" s="491">
        <v>0</v>
      </c>
      <c r="F5738" s="491">
        <v>0</v>
      </c>
      <c r="G5738" s="491">
        <f t="shared" si="89"/>
        <v>7</v>
      </c>
    </row>
    <row r="5739" spans="1:7" ht="12.75">
      <c r="A5739" s="134" t="s">
        <v>884</v>
      </c>
      <c r="B5739" s="134">
        <v>343</v>
      </c>
      <c r="C5739" s="491">
        <v>0</v>
      </c>
      <c r="D5739" s="491">
        <v>0</v>
      </c>
      <c r="E5739" s="491">
        <v>3</v>
      </c>
      <c r="F5739" s="491">
        <v>0</v>
      </c>
      <c r="G5739" s="491">
        <f t="shared" si="89"/>
        <v>3</v>
      </c>
    </row>
    <row r="5740" spans="1:7" ht="12.75">
      <c r="A5740" s="134" t="s">
        <v>884</v>
      </c>
      <c r="B5740" s="134">
        <v>420</v>
      </c>
      <c r="C5740" s="491">
        <v>1</v>
      </c>
      <c r="D5740" s="491">
        <v>2</v>
      </c>
      <c r="E5740" s="491">
        <v>0</v>
      </c>
      <c r="F5740" s="491">
        <v>0</v>
      </c>
      <c r="G5740" s="491">
        <f t="shared" si="89"/>
        <v>3</v>
      </c>
    </row>
    <row r="5741" spans="1:7" ht="12.75">
      <c r="A5741" s="134" t="s">
        <v>885</v>
      </c>
      <c r="B5741" s="134">
        <v>101</v>
      </c>
      <c r="C5741" s="491">
        <v>0</v>
      </c>
      <c r="D5741" s="491">
        <v>1</v>
      </c>
      <c r="E5741" s="491">
        <v>0</v>
      </c>
      <c r="F5741" s="491">
        <v>0</v>
      </c>
      <c r="G5741" s="491">
        <f t="shared" si="89"/>
        <v>1</v>
      </c>
    </row>
    <row r="5742" spans="1:7" ht="12.75">
      <c r="A5742" s="134" t="s">
        <v>885</v>
      </c>
      <c r="B5742" s="134">
        <v>108</v>
      </c>
      <c r="C5742" s="491">
        <v>1</v>
      </c>
      <c r="D5742" s="491">
        <v>0</v>
      </c>
      <c r="E5742" s="491">
        <v>0</v>
      </c>
      <c r="F5742" s="491">
        <v>0</v>
      </c>
      <c r="G5742" s="491">
        <f t="shared" si="89"/>
        <v>1</v>
      </c>
    </row>
    <row r="5743" spans="1:7" ht="12.75">
      <c r="A5743" s="134" t="s">
        <v>885</v>
      </c>
      <c r="B5743" s="134">
        <v>110</v>
      </c>
      <c r="C5743" s="491">
        <v>1</v>
      </c>
      <c r="D5743" s="491">
        <v>3</v>
      </c>
      <c r="E5743" s="491">
        <v>0</v>
      </c>
      <c r="F5743" s="491">
        <v>0</v>
      </c>
      <c r="G5743" s="491">
        <f t="shared" si="89"/>
        <v>4</v>
      </c>
    </row>
    <row r="5744" spans="1:7" ht="12.75">
      <c r="A5744" s="134" t="s">
        <v>885</v>
      </c>
      <c r="B5744" s="134">
        <v>120</v>
      </c>
      <c r="C5744" s="491">
        <v>3</v>
      </c>
      <c r="D5744" s="491">
        <v>1</v>
      </c>
      <c r="E5744" s="491">
        <v>0</v>
      </c>
      <c r="F5744" s="491">
        <v>0</v>
      </c>
      <c r="G5744" s="491">
        <f t="shared" si="89"/>
        <v>4</v>
      </c>
    </row>
    <row r="5745" spans="1:7" ht="12.75">
      <c r="A5745" s="134" t="s">
        <v>885</v>
      </c>
      <c r="B5745" s="134">
        <v>130</v>
      </c>
      <c r="C5745" s="491">
        <v>1</v>
      </c>
      <c r="D5745" s="491">
        <v>1</v>
      </c>
      <c r="E5745" s="491">
        <v>0</v>
      </c>
      <c r="F5745" s="491">
        <v>0</v>
      </c>
      <c r="G5745" s="491">
        <f t="shared" si="89"/>
        <v>2</v>
      </c>
    </row>
    <row r="5746" spans="1:7" ht="12.75">
      <c r="A5746" s="134" t="s">
        <v>885</v>
      </c>
      <c r="B5746" s="134">
        <v>140</v>
      </c>
      <c r="C5746" s="491">
        <v>3</v>
      </c>
      <c r="D5746" s="491">
        <v>0</v>
      </c>
      <c r="E5746" s="491">
        <v>0</v>
      </c>
      <c r="F5746" s="491">
        <v>0</v>
      </c>
      <c r="G5746" s="491">
        <f t="shared" si="89"/>
        <v>3</v>
      </c>
    </row>
    <row r="5747" spans="1:7" ht="12.75">
      <c r="A5747" s="134" t="s">
        <v>885</v>
      </c>
      <c r="B5747" s="134">
        <v>142</v>
      </c>
      <c r="C5747" s="491">
        <v>0</v>
      </c>
      <c r="D5747" s="491">
        <v>1</v>
      </c>
      <c r="E5747" s="491">
        <v>0</v>
      </c>
      <c r="F5747" s="491">
        <v>0</v>
      </c>
      <c r="G5747" s="491">
        <f t="shared" si="89"/>
        <v>1</v>
      </c>
    </row>
    <row r="5748" spans="1:7" ht="12.75">
      <c r="A5748" s="134" t="s">
        <v>885</v>
      </c>
      <c r="B5748" s="134">
        <v>150</v>
      </c>
      <c r="C5748" s="491">
        <v>5</v>
      </c>
      <c r="D5748" s="491">
        <v>1</v>
      </c>
      <c r="E5748" s="491">
        <v>0</v>
      </c>
      <c r="F5748" s="491">
        <v>0</v>
      </c>
      <c r="G5748" s="491">
        <f t="shared" si="89"/>
        <v>6</v>
      </c>
    </row>
    <row r="5749" spans="1:7" ht="12.75">
      <c r="A5749" s="134" t="s">
        <v>885</v>
      </c>
      <c r="B5749" s="134">
        <v>160</v>
      </c>
      <c r="C5749" s="491">
        <v>1</v>
      </c>
      <c r="D5749" s="491">
        <v>0</v>
      </c>
      <c r="E5749" s="491">
        <v>0</v>
      </c>
      <c r="F5749" s="491">
        <v>0</v>
      </c>
      <c r="G5749" s="491">
        <f t="shared" si="89"/>
        <v>1</v>
      </c>
    </row>
    <row r="5750" spans="1:7" ht="12.75">
      <c r="A5750" s="134" t="s">
        <v>885</v>
      </c>
      <c r="B5750" s="134">
        <v>190</v>
      </c>
      <c r="C5750" s="491">
        <v>1</v>
      </c>
      <c r="D5750" s="491">
        <v>0</v>
      </c>
      <c r="E5750" s="491">
        <v>0</v>
      </c>
      <c r="F5750" s="491">
        <v>0</v>
      </c>
      <c r="G5750" s="491">
        <f t="shared" si="89"/>
        <v>1</v>
      </c>
    </row>
    <row r="5751" spans="1:7" ht="12.75">
      <c r="A5751" s="134" t="s">
        <v>885</v>
      </c>
      <c r="B5751" s="134">
        <v>191</v>
      </c>
      <c r="C5751" s="491">
        <v>4</v>
      </c>
      <c r="D5751" s="491">
        <v>0</v>
      </c>
      <c r="E5751" s="491">
        <v>0</v>
      </c>
      <c r="F5751" s="491">
        <v>0</v>
      </c>
      <c r="G5751" s="491">
        <f t="shared" si="89"/>
        <v>4</v>
      </c>
    </row>
    <row r="5752" spans="1:7" ht="12.75">
      <c r="A5752" s="134" t="s">
        <v>885</v>
      </c>
      <c r="B5752" s="134">
        <v>300</v>
      </c>
      <c r="C5752" s="491">
        <v>1</v>
      </c>
      <c r="D5752" s="491">
        <v>0</v>
      </c>
      <c r="E5752" s="491">
        <v>0</v>
      </c>
      <c r="F5752" s="491">
        <v>0</v>
      </c>
      <c r="G5752" s="491">
        <f t="shared" si="89"/>
        <v>1</v>
      </c>
    </row>
    <row r="5753" spans="1:7" ht="12.75">
      <c r="A5753" s="134" t="s">
        <v>885</v>
      </c>
      <c r="B5753" s="134">
        <v>361</v>
      </c>
      <c r="C5753" s="491">
        <v>2</v>
      </c>
      <c r="D5753" s="491">
        <v>0</v>
      </c>
      <c r="E5753" s="491">
        <v>0</v>
      </c>
      <c r="F5753" s="491">
        <v>0</v>
      </c>
      <c r="G5753" s="491">
        <f t="shared" si="89"/>
        <v>2</v>
      </c>
    </row>
    <row r="5754" spans="1:7" ht="12.75">
      <c r="A5754" s="134" t="s">
        <v>885</v>
      </c>
      <c r="B5754" s="134">
        <v>420</v>
      </c>
      <c r="C5754" s="491">
        <v>0</v>
      </c>
      <c r="D5754" s="491">
        <v>1</v>
      </c>
      <c r="E5754" s="491">
        <v>0</v>
      </c>
      <c r="F5754" s="491">
        <v>0</v>
      </c>
      <c r="G5754" s="491">
        <f t="shared" si="89"/>
        <v>1</v>
      </c>
    </row>
    <row r="5755" spans="1:7" ht="12.75">
      <c r="A5755" s="134" t="s">
        <v>885</v>
      </c>
      <c r="B5755" s="134">
        <v>502</v>
      </c>
      <c r="C5755" s="491">
        <v>1</v>
      </c>
      <c r="D5755" s="491">
        <v>0</v>
      </c>
      <c r="E5755" s="491">
        <v>0</v>
      </c>
      <c r="F5755" s="491">
        <v>0</v>
      </c>
      <c r="G5755" s="491">
        <f t="shared" si="89"/>
        <v>1</v>
      </c>
    </row>
    <row r="5756" spans="1:7" ht="12.75">
      <c r="A5756" s="134" t="s">
        <v>886</v>
      </c>
      <c r="B5756" s="134">
        <v>110</v>
      </c>
      <c r="C5756" s="491">
        <v>2</v>
      </c>
      <c r="D5756" s="491">
        <v>2</v>
      </c>
      <c r="E5756" s="491">
        <v>0</v>
      </c>
      <c r="F5756" s="491">
        <v>0</v>
      </c>
      <c r="G5756" s="491">
        <f t="shared" si="89"/>
        <v>4</v>
      </c>
    </row>
    <row r="5757" spans="1:7" ht="12.75">
      <c r="A5757" s="134" t="s">
        <v>886</v>
      </c>
      <c r="B5757" s="134">
        <v>120</v>
      </c>
      <c r="C5757" s="491">
        <v>0</v>
      </c>
      <c r="D5757" s="491">
        <v>3</v>
      </c>
      <c r="E5757" s="491">
        <v>0</v>
      </c>
      <c r="F5757" s="491">
        <v>0</v>
      </c>
      <c r="G5757" s="491">
        <f t="shared" si="89"/>
        <v>3</v>
      </c>
    </row>
    <row r="5758" spans="1:7" ht="12.75">
      <c r="A5758" s="134" t="s">
        <v>886</v>
      </c>
      <c r="B5758" s="134">
        <v>191</v>
      </c>
      <c r="C5758" s="491">
        <v>2</v>
      </c>
      <c r="D5758" s="491">
        <v>0</v>
      </c>
      <c r="E5758" s="491">
        <v>0</v>
      </c>
      <c r="F5758" s="491">
        <v>0</v>
      </c>
      <c r="G5758" s="491">
        <f t="shared" si="89"/>
        <v>2</v>
      </c>
    </row>
    <row r="5759" spans="1:7" ht="12.75">
      <c r="A5759" s="134" t="s">
        <v>886</v>
      </c>
      <c r="B5759" s="134">
        <v>315</v>
      </c>
      <c r="C5759" s="491">
        <v>2</v>
      </c>
      <c r="D5759" s="491">
        <v>0</v>
      </c>
      <c r="E5759" s="491">
        <v>0</v>
      </c>
      <c r="F5759" s="491">
        <v>0</v>
      </c>
      <c r="G5759" s="491">
        <f t="shared" si="89"/>
        <v>2</v>
      </c>
    </row>
    <row r="5760" spans="1:7" ht="12.75">
      <c r="A5760" s="134" t="s">
        <v>886</v>
      </c>
      <c r="B5760" s="134">
        <v>410</v>
      </c>
      <c r="C5760" s="491">
        <v>4</v>
      </c>
      <c r="D5760" s="491">
        <v>4</v>
      </c>
      <c r="E5760" s="491">
        <v>0</v>
      </c>
      <c r="F5760" s="491">
        <v>0</v>
      </c>
      <c r="G5760" s="491">
        <f t="shared" si="89"/>
        <v>8</v>
      </c>
    </row>
    <row r="5761" spans="1:7" ht="12.75">
      <c r="A5761" s="134" t="s">
        <v>886</v>
      </c>
      <c r="B5761" s="134">
        <v>656</v>
      </c>
      <c r="C5761" s="491">
        <v>0</v>
      </c>
      <c r="D5761" s="491">
        <v>1</v>
      </c>
      <c r="E5761" s="491">
        <v>0</v>
      </c>
      <c r="F5761" s="491">
        <v>0</v>
      </c>
      <c r="G5761" s="491">
        <f t="shared" si="89"/>
        <v>1</v>
      </c>
    </row>
    <row r="5762" spans="1:7" ht="12.75">
      <c r="A5762" s="134" t="s">
        <v>886</v>
      </c>
      <c r="B5762" s="134">
        <v>812</v>
      </c>
      <c r="C5762" s="491">
        <v>3</v>
      </c>
      <c r="D5762" s="491">
        <v>6</v>
      </c>
      <c r="E5762" s="491">
        <v>0</v>
      </c>
      <c r="F5762" s="491">
        <v>0</v>
      </c>
      <c r="G5762" s="491">
        <f t="shared" si="89"/>
        <v>9</v>
      </c>
    </row>
    <row r="5763" spans="1:7" ht="12.75">
      <c r="A5763" s="134" t="s">
        <v>370</v>
      </c>
      <c r="B5763" s="134">
        <v>103</v>
      </c>
      <c r="C5763" s="491">
        <v>7</v>
      </c>
      <c r="D5763" s="491">
        <v>0</v>
      </c>
      <c r="E5763" s="491">
        <v>0</v>
      </c>
      <c r="F5763" s="491">
        <v>0</v>
      </c>
      <c r="G5763" s="491">
        <f t="shared" si="89"/>
        <v>7</v>
      </c>
    </row>
    <row r="5764" spans="1:7" ht="12.75">
      <c r="A5764" s="134" t="s">
        <v>370</v>
      </c>
      <c r="B5764" s="134">
        <v>110</v>
      </c>
      <c r="C5764" s="491">
        <v>7</v>
      </c>
      <c r="D5764" s="491">
        <v>4</v>
      </c>
      <c r="E5764" s="491">
        <v>0</v>
      </c>
      <c r="F5764" s="491">
        <v>0</v>
      </c>
      <c r="G5764" s="491">
        <f t="shared" ref="G5764:G5827" si="90">SUM(C5764:F5764)</f>
        <v>11</v>
      </c>
    </row>
    <row r="5765" spans="1:7" ht="12.75">
      <c r="A5765" s="134" t="s">
        <v>370</v>
      </c>
      <c r="B5765" s="134">
        <v>120</v>
      </c>
      <c r="C5765" s="491">
        <v>17</v>
      </c>
      <c r="D5765" s="491">
        <v>45</v>
      </c>
      <c r="E5765" s="491">
        <v>0</v>
      </c>
      <c r="F5765" s="491">
        <v>2</v>
      </c>
      <c r="G5765" s="491">
        <f t="shared" si="90"/>
        <v>64</v>
      </c>
    </row>
    <row r="5766" spans="1:7" ht="12.75">
      <c r="A5766" s="134" t="s">
        <v>370</v>
      </c>
      <c r="B5766" s="134">
        <v>191</v>
      </c>
      <c r="C5766" s="491">
        <v>17</v>
      </c>
      <c r="D5766" s="491">
        <v>11</v>
      </c>
      <c r="E5766" s="491">
        <v>0</v>
      </c>
      <c r="F5766" s="491">
        <v>0</v>
      </c>
      <c r="G5766" s="491">
        <f t="shared" si="90"/>
        <v>28</v>
      </c>
    </row>
    <row r="5767" spans="1:7" ht="12.75">
      <c r="A5767" s="134" t="s">
        <v>370</v>
      </c>
      <c r="B5767" s="134">
        <v>330</v>
      </c>
      <c r="C5767" s="491">
        <v>2</v>
      </c>
      <c r="D5767" s="491">
        <v>0</v>
      </c>
      <c r="E5767" s="491">
        <v>0</v>
      </c>
      <c r="F5767" s="491">
        <v>0</v>
      </c>
      <c r="G5767" s="491">
        <f t="shared" si="90"/>
        <v>2</v>
      </c>
    </row>
    <row r="5768" spans="1:7" ht="12.75">
      <c r="A5768" s="134" t="s">
        <v>370</v>
      </c>
      <c r="B5768" s="134">
        <v>410</v>
      </c>
      <c r="C5768" s="491">
        <v>18</v>
      </c>
      <c r="D5768" s="491">
        <v>8</v>
      </c>
      <c r="E5768" s="491">
        <v>0</v>
      </c>
      <c r="F5768" s="491">
        <v>1</v>
      </c>
      <c r="G5768" s="491">
        <f t="shared" si="90"/>
        <v>27</v>
      </c>
    </row>
    <row r="5769" spans="1:7" ht="12.75">
      <c r="A5769" s="134" t="s">
        <v>370</v>
      </c>
      <c r="B5769" s="134">
        <v>501</v>
      </c>
      <c r="C5769" s="491">
        <v>1</v>
      </c>
      <c r="D5769" s="491">
        <v>0</v>
      </c>
      <c r="E5769" s="491">
        <v>0</v>
      </c>
      <c r="F5769" s="491">
        <v>0</v>
      </c>
      <c r="G5769" s="491">
        <f t="shared" si="90"/>
        <v>1</v>
      </c>
    </row>
    <row r="5770" spans="1:7" ht="12.75">
      <c r="A5770" s="134" t="s">
        <v>370</v>
      </c>
      <c r="B5770" s="134">
        <v>811</v>
      </c>
      <c r="C5770" s="491">
        <v>0</v>
      </c>
      <c r="D5770" s="491">
        <v>1</v>
      </c>
      <c r="E5770" s="491">
        <v>0</v>
      </c>
      <c r="F5770" s="491">
        <v>0</v>
      </c>
      <c r="G5770" s="491">
        <f t="shared" si="90"/>
        <v>1</v>
      </c>
    </row>
    <row r="5771" spans="1:7" ht="12.75">
      <c r="A5771" s="134" t="s">
        <v>887</v>
      </c>
      <c r="B5771" s="134">
        <v>100</v>
      </c>
      <c r="C5771" s="491">
        <v>8</v>
      </c>
      <c r="D5771" s="491">
        <v>1</v>
      </c>
      <c r="E5771" s="491">
        <v>0</v>
      </c>
      <c r="F5771" s="491">
        <v>0</v>
      </c>
      <c r="G5771" s="491">
        <f t="shared" si="90"/>
        <v>9</v>
      </c>
    </row>
    <row r="5772" spans="1:7" ht="12.75">
      <c r="A5772" s="134" t="s">
        <v>887</v>
      </c>
      <c r="B5772" s="134">
        <v>101</v>
      </c>
      <c r="C5772" s="491">
        <v>7</v>
      </c>
      <c r="D5772" s="491">
        <v>1</v>
      </c>
      <c r="E5772" s="491">
        <v>0</v>
      </c>
      <c r="F5772" s="491">
        <v>0</v>
      </c>
      <c r="G5772" s="491">
        <f t="shared" si="90"/>
        <v>8</v>
      </c>
    </row>
    <row r="5773" spans="1:7" ht="12.75">
      <c r="A5773" s="134" t="s">
        <v>887</v>
      </c>
      <c r="B5773" s="134">
        <v>103</v>
      </c>
      <c r="C5773" s="491">
        <v>0</v>
      </c>
      <c r="D5773" s="491">
        <v>0</v>
      </c>
      <c r="E5773" s="491">
        <v>0</v>
      </c>
      <c r="F5773" s="491">
        <v>1</v>
      </c>
      <c r="G5773" s="491">
        <f t="shared" si="90"/>
        <v>1</v>
      </c>
    </row>
    <row r="5774" spans="1:7" ht="12.75">
      <c r="A5774" s="134" t="s">
        <v>887</v>
      </c>
      <c r="B5774" s="134">
        <v>104</v>
      </c>
      <c r="C5774" s="491">
        <v>2</v>
      </c>
      <c r="D5774" s="491">
        <v>0</v>
      </c>
      <c r="E5774" s="491">
        <v>0</v>
      </c>
      <c r="F5774" s="491">
        <v>0</v>
      </c>
      <c r="G5774" s="491">
        <f t="shared" si="90"/>
        <v>2</v>
      </c>
    </row>
    <row r="5775" spans="1:7" ht="12.75">
      <c r="A5775" s="134" t="s">
        <v>887</v>
      </c>
      <c r="B5775" s="134">
        <v>106</v>
      </c>
      <c r="C5775" s="491">
        <v>1</v>
      </c>
      <c r="D5775" s="491">
        <v>0</v>
      </c>
      <c r="E5775" s="491">
        <v>0</v>
      </c>
      <c r="F5775" s="491">
        <v>0</v>
      </c>
      <c r="G5775" s="491">
        <f t="shared" si="90"/>
        <v>1</v>
      </c>
    </row>
    <row r="5776" spans="1:7" ht="12.75">
      <c r="A5776" s="134" t="s">
        <v>887</v>
      </c>
      <c r="B5776" s="134">
        <v>110</v>
      </c>
      <c r="C5776" s="491">
        <v>6</v>
      </c>
      <c r="D5776" s="491">
        <v>1</v>
      </c>
      <c r="E5776" s="491">
        <v>0</v>
      </c>
      <c r="F5776" s="491">
        <v>0</v>
      </c>
      <c r="G5776" s="491">
        <f t="shared" si="90"/>
        <v>7</v>
      </c>
    </row>
    <row r="5777" spans="1:7" ht="12.75">
      <c r="A5777" s="134" t="s">
        <v>887</v>
      </c>
      <c r="B5777" s="134">
        <v>120</v>
      </c>
      <c r="C5777" s="491">
        <v>4</v>
      </c>
      <c r="D5777" s="491">
        <v>0</v>
      </c>
      <c r="E5777" s="491">
        <v>0</v>
      </c>
      <c r="F5777" s="491">
        <v>0</v>
      </c>
      <c r="G5777" s="491">
        <f t="shared" si="90"/>
        <v>4</v>
      </c>
    </row>
    <row r="5778" spans="1:7" ht="12.75">
      <c r="A5778" s="134" t="s">
        <v>887</v>
      </c>
      <c r="B5778" s="134">
        <v>130</v>
      </c>
      <c r="C5778" s="491">
        <v>10</v>
      </c>
      <c r="D5778" s="491">
        <v>0</v>
      </c>
      <c r="E5778" s="491">
        <v>0</v>
      </c>
      <c r="F5778" s="491">
        <v>0</v>
      </c>
      <c r="G5778" s="491">
        <f t="shared" si="90"/>
        <v>10</v>
      </c>
    </row>
    <row r="5779" spans="1:7" ht="12.75">
      <c r="A5779" s="134" t="s">
        <v>887</v>
      </c>
      <c r="B5779" s="134">
        <v>160</v>
      </c>
      <c r="C5779" s="491">
        <v>0</v>
      </c>
      <c r="D5779" s="491">
        <v>3</v>
      </c>
      <c r="E5779" s="491">
        <v>0</v>
      </c>
      <c r="F5779" s="491">
        <v>0</v>
      </c>
      <c r="G5779" s="491">
        <f t="shared" si="90"/>
        <v>3</v>
      </c>
    </row>
    <row r="5780" spans="1:7" ht="12.75">
      <c r="A5780" s="134" t="s">
        <v>887</v>
      </c>
      <c r="B5780" s="134">
        <v>191</v>
      </c>
      <c r="C5780" s="491">
        <v>1</v>
      </c>
      <c r="D5780" s="491">
        <v>1</v>
      </c>
      <c r="E5780" s="491">
        <v>0</v>
      </c>
      <c r="F5780" s="491">
        <v>0</v>
      </c>
      <c r="G5780" s="491">
        <f t="shared" si="90"/>
        <v>2</v>
      </c>
    </row>
    <row r="5781" spans="1:7" ht="12.75">
      <c r="A5781" s="134" t="s">
        <v>887</v>
      </c>
      <c r="B5781" s="134">
        <v>307</v>
      </c>
      <c r="C5781" s="491">
        <v>1</v>
      </c>
      <c r="D5781" s="491">
        <v>0</v>
      </c>
      <c r="E5781" s="491">
        <v>0</v>
      </c>
      <c r="F5781" s="491">
        <v>0</v>
      </c>
      <c r="G5781" s="491">
        <f t="shared" si="90"/>
        <v>1</v>
      </c>
    </row>
    <row r="5782" spans="1:7" ht="12.75">
      <c r="A5782" s="134" t="s">
        <v>887</v>
      </c>
      <c r="B5782" s="134">
        <v>330</v>
      </c>
      <c r="C5782" s="491">
        <v>2</v>
      </c>
      <c r="D5782" s="491">
        <v>1</v>
      </c>
      <c r="E5782" s="491">
        <v>0</v>
      </c>
      <c r="F5782" s="491">
        <v>0</v>
      </c>
      <c r="G5782" s="491">
        <f t="shared" si="90"/>
        <v>3</v>
      </c>
    </row>
    <row r="5783" spans="1:7" ht="12.75">
      <c r="A5783" s="134" t="s">
        <v>887</v>
      </c>
      <c r="B5783" s="134">
        <v>401</v>
      </c>
      <c r="C5783" s="491">
        <v>0</v>
      </c>
      <c r="D5783" s="491">
        <v>1</v>
      </c>
      <c r="E5783" s="491">
        <v>0</v>
      </c>
      <c r="F5783" s="491">
        <v>0</v>
      </c>
      <c r="G5783" s="491">
        <f t="shared" si="90"/>
        <v>1</v>
      </c>
    </row>
    <row r="5784" spans="1:7" ht="12.75">
      <c r="A5784" s="134" t="s">
        <v>887</v>
      </c>
      <c r="B5784" s="134">
        <v>410</v>
      </c>
      <c r="C5784" s="491">
        <v>0</v>
      </c>
      <c r="D5784" s="491">
        <v>1</v>
      </c>
      <c r="E5784" s="491">
        <v>0</v>
      </c>
      <c r="F5784" s="491">
        <v>0</v>
      </c>
      <c r="G5784" s="491">
        <f t="shared" si="90"/>
        <v>1</v>
      </c>
    </row>
    <row r="5785" spans="1:7" ht="12.75">
      <c r="A5785" s="134" t="s">
        <v>887</v>
      </c>
      <c r="B5785" s="134">
        <v>420</v>
      </c>
      <c r="C5785" s="491">
        <v>1</v>
      </c>
      <c r="D5785" s="491">
        <v>0</v>
      </c>
      <c r="E5785" s="491">
        <v>0</v>
      </c>
      <c r="F5785" s="491">
        <v>0</v>
      </c>
      <c r="G5785" s="491">
        <f t="shared" si="90"/>
        <v>1</v>
      </c>
    </row>
    <row r="5786" spans="1:7" ht="12.75">
      <c r="A5786" s="134" t="s">
        <v>887</v>
      </c>
      <c r="B5786" s="134">
        <v>502</v>
      </c>
      <c r="C5786" s="491">
        <v>25</v>
      </c>
      <c r="D5786" s="491">
        <v>0</v>
      </c>
      <c r="E5786" s="491">
        <v>0</v>
      </c>
      <c r="F5786" s="491">
        <v>0</v>
      </c>
      <c r="G5786" s="491">
        <f t="shared" si="90"/>
        <v>25</v>
      </c>
    </row>
    <row r="5787" spans="1:7" ht="12.75">
      <c r="A5787" s="134" t="s">
        <v>887</v>
      </c>
      <c r="B5787" s="134">
        <v>653</v>
      </c>
      <c r="C5787" s="491">
        <v>0</v>
      </c>
      <c r="D5787" s="491">
        <v>0</v>
      </c>
      <c r="E5787" s="491">
        <v>1</v>
      </c>
      <c r="F5787" s="491">
        <v>0</v>
      </c>
      <c r="G5787" s="491">
        <f t="shared" si="90"/>
        <v>1</v>
      </c>
    </row>
    <row r="5788" spans="1:7" ht="12.75">
      <c r="A5788" s="134" t="s">
        <v>151</v>
      </c>
      <c r="B5788" s="134">
        <v>101</v>
      </c>
      <c r="C5788" s="491">
        <v>1</v>
      </c>
      <c r="D5788" s="491">
        <v>0</v>
      </c>
      <c r="E5788" s="491">
        <v>0</v>
      </c>
      <c r="F5788" s="491">
        <v>0</v>
      </c>
      <c r="G5788" s="491">
        <f t="shared" si="90"/>
        <v>1</v>
      </c>
    </row>
    <row r="5789" spans="1:7" ht="12.75">
      <c r="A5789" s="134" t="s">
        <v>151</v>
      </c>
      <c r="B5789" s="134">
        <v>110</v>
      </c>
      <c r="C5789" s="491">
        <v>6</v>
      </c>
      <c r="D5789" s="491">
        <v>0</v>
      </c>
      <c r="E5789" s="491">
        <v>0</v>
      </c>
      <c r="F5789" s="491">
        <v>0</v>
      </c>
      <c r="G5789" s="491">
        <f t="shared" si="90"/>
        <v>6</v>
      </c>
    </row>
    <row r="5790" spans="1:7" ht="12.75">
      <c r="A5790" s="134" t="s">
        <v>151</v>
      </c>
      <c r="B5790" s="134">
        <v>191</v>
      </c>
      <c r="C5790" s="491">
        <v>3</v>
      </c>
      <c r="D5790" s="491">
        <v>0</v>
      </c>
      <c r="E5790" s="491">
        <v>0</v>
      </c>
      <c r="F5790" s="491">
        <v>0</v>
      </c>
      <c r="G5790" s="491">
        <f t="shared" si="90"/>
        <v>3</v>
      </c>
    </row>
    <row r="5791" spans="1:7" ht="12.75">
      <c r="A5791" s="134" t="s">
        <v>151</v>
      </c>
      <c r="B5791" s="134">
        <v>410</v>
      </c>
      <c r="C5791" s="491">
        <v>0</v>
      </c>
      <c r="D5791" s="491">
        <v>1</v>
      </c>
      <c r="E5791" s="491">
        <v>0</v>
      </c>
      <c r="F5791" s="491">
        <v>0</v>
      </c>
      <c r="G5791" s="491">
        <f t="shared" si="90"/>
        <v>1</v>
      </c>
    </row>
    <row r="5792" spans="1:7" ht="12.75">
      <c r="A5792" s="134" t="s">
        <v>151</v>
      </c>
      <c r="B5792" s="134">
        <v>502</v>
      </c>
      <c r="C5792" s="491">
        <v>2</v>
      </c>
      <c r="D5792" s="491">
        <v>0</v>
      </c>
      <c r="E5792" s="491">
        <v>0</v>
      </c>
      <c r="F5792" s="491">
        <v>0</v>
      </c>
      <c r="G5792" s="491">
        <f t="shared" si="90"/>
        <v>2</v>
      </c>
    </row>
    <row r="5793" spans="1:7" ht="12.75">
      <c r="A5793" s="134" t="s">
        <v>152</v>
      </c>
      <c r="B5793" s="134">
        <v>110</v>
      </c>
      <c r="C5793" s="491">
        <v>1</v>
      </c>
      <c r="D5793" s="491">
        <v>0</v>
      </c>
      <c r="E5793" s="491">
        <v>0</v>
      </c>
      <c r="F5793" s="491">
        <v>0</v>
      </c>
      <c r="G5793" s="491">
        <f t="shared" si="90"/>
        <v>1</v>
      </c>
    </row>
    <row r="5794" spans="1:7" ht="12.75">
      <c r="A5794" s="134" t="s">
        <v>152</v>
      </c>
      <c r="B5794" s="134">
        <v>214</v>
      </c>
      <c r="C5794" s="491">
        <v>0</v>
      </c>
      <c r="D5794" s="491">
        <v>1</v>
      </c>
      <c r="E5794" s="491">
        <v>0</v>
      </c>
      <c r="F5794" s="491">
        <v>0</v>
      </c>
      <c r="G5794" s="491">
        <f t="shared" si="90"/>
        <v>1</v>
      </c>
    </row>
    <row r="5795" spans="1:7" ht="12.75">
      <c r="A5795" s="134" t="s">
        <v>153</v>
      </c>
      <c r="B5795" s="134">
        <v>100</v>
      </c>
      <c r="C5795" s="491">
        <v>1</v>
      </c>
      <c r="D5795" s="491">
        <v>0</v>
      </c>
      <c r="E5795" s="491">
        <v>0</v>
      </c>
      <c r="F5795" s="491">
        <v>0</v>
      </c>
      <c r="G5795" s="491">
        <f t="shared" si="90"/>
        <v>1</v>
      </c>
    </row>
    <row r="5796" spans="1:7" ht="12.75">
      <c r="A5796" s="134" t="s">
        <v>153</v>
      </c>
      <c r="B5796" s="134">
        <v>150</v>
      </c>
      <c r="C5796" s="491">
        <v>2</v>
      </c>
      <c r="D5796" s="491">
        <v>0</v>
      </c>
      <c r="E5796" s="491">
        <v>0</v>
      </c>
      <c r="F5796" s="491">
        <v>0</v>
      </c>
      <c r="G5796" s="491">
        <f t="shared" si="90"/>
        <v>2</v>
      </c>
    </row>
    <row r="5797" spans="1:7" ht="12.75">
      <c r="A5797" s="134" t="s">
        <v>153</v>
      </c>
      <c r="B5797" s="134">
        <v>180</v>
      </c>
      <c r="C5797" s="491">
        <v>0</v>
      </c>
      <c r="D5797" s="491">
        <v>30</v>
      </c>
      <c r="E5797" s="491">
        <v>0</v>
      </c>
      <c r="F5797" s="491">
        <v>0</v>
      </c>
      <c r="G5797" s="491">
        <f t="shared" si="90"/>
        <v>30</v>
      </c>
    </row>
    <row r="5798" spans="1:7" ht="12.75">
      <c r="A5798" s="134" t="s">
        <v>153</v>
      </c>
      <c r="B5798" s="134">
        <v>191</v>
      </c>
      <c r="C5798" s="491">
        <v>2</v>
      </c>
      <c r="D5798" s="491">
        <v>1</v>
      </c>
      <c r="E5798" s="491">
        <v>0</v>
      </c>
      <c r="F5798" s="491">
        <v>0</v>
      </c>
      <c r="G5798" s="491">
        <f t="shared" si="90"/>
        <v>3</v>
      </c>
    </row>
    <row r="5799" spans="1:7" ht="12.75">
      <c r="A5799" s="134" t="s">
        <v>153</v>
      </c>
      <c r="B5799" s="134">
        <v>211</v>
      </c>
      <c r="C5799" s="491">
        <v>1</v>
      </c>
      <c r="D5799" s="491">
        <v>0</v>
      </c>
      <c r="E5799" s="491">
        <v>0</v>
      </c>
      <c r="F5799" s="491">
        <v>0</v>
      </c>
      <c r="G5799" s="491">
        <f t="shared" si="90"/>
        <v>1</v>
      </c>
    </row>
    <row r="5800" spans="1:7" ht="12.75">
      <c r="A5800" s="134" t="s">
        <v>153</v>
      </c>
      <c r="B5800" s="134">
        <v>215</v>
      </c>
      <c r="C5800" s="491">
        <v>2</v>
      </c>
      <c r="D5800" s="491">
        <v>1</v>
      </c>
      <c r="E5800" s="491">
        <v>0</v>
      </c>
      <c r="F5800" s="491">
        <v>0</v>
      </c>
      <c r="G5800" s="491">
        <f t="shared" si="90"/>
        <v>3</v>
      </c>
    </row>
    <row r="5801" spans="1:7" ht="12.75">
      <c r="A5801" s="134" t="s">
        <v>153</v>
      </c>
      <c r="B5801" s="134">
        <v>217</v>
      </c>
      <c r="C5801" s="491">
        <v>1</v>
      </c>
      <c r="D5801" s="491">
        <v>0</v>
      </c>
      <c r="E5801" s="491">
        <v>0</v>
      </c>
      <c r="F5801" s="491">
        <v>0</v>
      </c>
      <c r="G5801" s="491">
        <f t="shared" si="90"/>
        <v>1</v>
      </c>
    </row>
    <row r="5802" spans="1:7" ht="12.75">
      <c r="A5802" s="134" t="s">
        <v>153</v>
      </c>
      <c r="B5802" s="134">
        <v>251</v>
      </c>
      <c r="C5802" s="491">
        <v>0</v>
      </c>
      <c r="D5802" s="491">
        <v>1</v>
      </c>
      <c r="E5802" s="491">
        <v>0</v>
      </c>
      <c r="F5802" s="491">
        <v>0</v>
      </c>
      <c r="G5802" s="491">
        <f t="shared" si="90"/>
        <v>1</v>
      </c>
    </row>
    <row r="5803" spans="1:7" ht="12.75">
      <c r="A5803" s="134" t="s">
        <v>153</v>
      </c>
      <c r="B5803" s="134">
        <v>252</v>
      </c>
      <c r="C5803" s="491">
        <v>1</v>
      </c>
      <c r="D5803" s="491">
        <v>1</v>
      </c>
      <c r="E5803" s="491">
        <v>0</v>
      </c>
      <c r="F5803" s="491">
        <v>0</v>
      </c>
      <c r="G5803" s="491">
        <f t="shared" si="90"/>
        <v>2</v>
      </c>
    </row>
    <row r="5804" spans="1:7" ht="12.75">
      <c r="A5804" s="134" t="s">
        <v>153</v>
      </c>
      <c r="B5804" s="134">
        <v>255</v>
      </c>
      <c r="C5804" s="491">
        <v>0</v>
      </c>
      <c r="D5804" s="491">
        <v>0</v>
      </c>
      <c r="E5804" s="491">
        <v>1</v>
      </c>
      <c r="F5804" s="491">
        <v>0</v>
      </c>
      <c r="G5804" s="491">
        <f t="shared" si="90"/>
        <v>1</v>
      </c>
    </row>
    <row r="5805" spans="1:7" ht="12.75">
      <c r="A5805" s="134" t="s">
        <v>153</v>
      </c>
      <c r="B5805" s="134">
        <v>258</v>
      </c>
      <c r="C5805" s="491">
        <v>2</v>
      </c>
      <c r="D5805" s="491">
        <v>0</v>
      </c>
      <c r="E5805" s="491">
        <v>1</v>
      </c>
      <c r="F5805" s="491">
        <v>2</v>
      </c>
      <c r="G5805" s="491">
        <f t="shared" si="90"/>
        <v>5</v>
      </c>
    </row>
    <row r="5806" spans="1:7" ht="12.75">
      <c r="A5806" s="134" t="s">
        <v>153</v>
      </c>
      <c r="B5806" s="134">
        <v>260</v>
      </c>
      <c r="C5806" s="491">
        <v>9</v>
      </c>
      <c r="D5806" s="491">
        <v>0</v>
      </c>
      <c r="E5806" s="491">
        <v>0</v>
      </c>
      <c r="F5806" s="491">
        <v>0</v>
      </c>
      <c r="G5806" s="491">
        <f t="shared" si="90"/>
        <v>9</v>
      </c>
    </row>
    <row r="5807" spans="1:7" ht="12.75">
      <c r="A5807" s="134" t="s">
        <v>153</v>
      </c>
      <c r="B5807" s="134">
        <v>262</v>
      </c>
      <c r="C5807" s="491">
        <v>0</v>
      </c>
      <c r="D5807" s="491">
        <v>1</v>
      </c>
      <c r="E5807" s="491">
        <v>1</v>
      </c>
      <c r="F5807" s="491">
        <v>0</v>
      </c>
      <c r="G5807" s="491">
        <f t="shared" si="90"/>
        <v>2</v>
      </c>
    </row>
    <row r="5808" spans="1:7" ht="12.75">
      <c r="A5808" s="134" t="s">
        <v>153</v>
      </c>
      <c r="B5808" s="134">
        <v>264</v>
      </c>
      <c r="C5808" s="491">
        <v>1</v>
      </c>
      <c r="D5808" s="491">
        <v>0</v>
      </c>
      <c r="E5808" s="491">
        <v>0</v>
      </c>
      <c r="F5808" s="491">
        <v>0</v>
      </c>
      <c r="G5808" s="491">
        <f t="shared" si="90"/>
        <v>1</v>
      </c>
    </row>
    <row r="5809" spans="1:7" ht="12.75">
      <c r="A5809" s="134" t="s">
        <v>153</v>
      </c>
      <c r="B5809" s="134">
        <v>300</v>
      </c>
      <c r="C5809" s="491">
        <v>30</v>
      </c>
      <c r="D5809" s="491">
        <v>104</v>
      </c>
      <c r="E5809" s="491">
        <v>4</v>
      </c>
      <c r="F5809" s="491">
        <v>4</v>
      </c>
      <c r="G5809" s="491">
        <f t="shared" si="90"/>
        <v>142</v>
      </c>
    </row>
    <row r="5810" spans="1:7" ht="12.75">
      <c r="A5810" s="134" t="s">
        <v>153</v>
      </c>
      <c r="B5810" s="134">
        <v>301</v>
      </c>
      <c r="C5810" s="491">
        <v>2</v>
      </c>
      <c r="D5810" s="491">
        <v>5</v>
      </c>
      <c r="E5810" s="491">
        <v>0</v>
      </c>
      <c r="F5810" s="491">
        <v>0</v>
      </c>
      <c r="G5810" s="491">
        <f t="shared" si="90"/>
        <v>7</v>
      </c>
    </row>
    <row r="5811" spans="1:7" ht="12.75">
      <c r="A5811" s="134" t="s">
        <v>153</v>
      </c>
      <c r="B5811" s="134">
        <v>302</v>
      </c>
      <c r="C5811" s="491">
        <v>0</v>
      </c>
      <c r="D5811" s="491">
        <v>1</v>
      </c>
      <c r="E5811" s="491">
        <v>0</v>
      </c>
      <c r="F5811" s="491">
        <v>0</v>
      </c>
      <c r="G5811" s="491">
        <f t="shared" si="90"/>
        <v>1</v>
      </c>
    </row>
    <row r="5812" spans="1:7" ht="12.75">
      <c r="A5812" s="134" t="s">
        <v>153</v>
      </c>
      <c r="B5812" s="134">
        <v>303</v>
      </c>
      <c r="C5812" s="491">
        <v>16</v>
      </c>
      <c r="D5812" s="491">
        <v>0</v>
      </c>
      <c r="E5812" s="491">
        <v>0</v>
      </c>
      <c r="F5812" s="491">
        <v>0</v>
      </c>
      <c r="G5812" s="491">
        <f t="shared" si="90"/>
        <v>16</v>
      </c>
    </row>
    <row r="5813" spans="1:7" ht="12.75">
      <c r="A5813" s="134" t="s">
        <v>153</v>
      </c>
      <c r="B5813" s="134">
        <v>307</v>
      </c>
      <c r="C5813" s="491">
        <v>0</v>
      </c>
      <c r="D5813" s="491">
        <v>1</v>
      </c>
      <c r="E5813" s="491">
        <v>0</v>
      </c>
      <c r="F5813" s="491">
        <v>0</v>
      </c>
      <c r="G5813" s="491">
        <f t="shared" si="90"/>
        <v>1</v>
      </c>
    </row>
    <row r="5814" spans="1:7" ht="12.75">
      <c r="A5814" s="134" t="s">
        <v>153</v>
      </c>
      <c r="B5814" s="134">
        <v>308</v>
      </c>
      <c r="C5814" s="491">
        <v>2</v>
      </c>
      <c r="D5814" s="491">
        <v>0</v>
      </c>
      <c r="E5814" s="491">
        <v>0</v>
      </c>
      <c r="F5814" s="491">
        <v>0</v>
      </c>
      <c r="G5814" s="491">
        <f t="shared" si="90"/>
        <v>2</v>
      </c>
    </row>
    <row r="5815" spans="1:7" ht="12.75">
      <c r="A5815" s="134" t="s">
        <v>153</v>
      </c>
      <c r="B5815" s="134">
        <v>321</v>
      </c>
      <c r="C5815" s="491">
        <v>0</v>
      </c>
      <c r="D5815" s="491">
        <v>0</v>
      </c>
      <c r="E5815" s="491">
        <v>0</v>
      </c>
      <c r="F5815" s="491">
        <v>1</v>
      </c>
      <c r="G5815" s="491">
        <f t="shared" si="90"/>
        <v>1</v>
      </c>
    </row>
    <row r="5816" spans="1:7" ht="12.75">
      <c r="A5816" s="134" t="s">
        <v>153</v>
      </c>
      <c r="B5816" s="134">
        <v>328</v>
      </c>
      <c r="C5816" s="491">
        <v>0</v>
      </c>
      <c r="D5816" s="491">
        <v>1</v>
      </c>
      <c r="E5816" s="491">
        <v>0</v>
      </c>
      <c r="F5816" s="491">
        <v>0</v>
      </c>
      <c r="G5816" s="491">
        <f t="shared" si="90"/>
        <v>1</v>
      </c>
    </row>
    <row r="5817" spans="1:7" ht="12.75">
      <c r="A5817" s="134" t="s">
        <v>153</v>
      </c>
      <c r="B5817" s="134">
        <v>329</v>
      </c>
      <c r="C5817" s="491">
        <v>0</v>
      </c>
      <c r="D5817" s="491">
        <v>1</v>
      </c>
      <c r="E5817" s="491">
        <v>0</v>
      </c>
      <c r="F5817" s="491">
        <v>0</v>
      </c>
      <c r="G5817" s="491">
        <f t="shared" si="90"/>
        <v>1</v>
      </c>
    </row>
    <row r="5818" spans="1:7" ht="12.75">
      <c r="A5818" s="134" t="s">
        <v>153</v>
      </c>
      <c r="B5818" s="134">
        <v>340</v>
      </c>
      <c r="C5818" s="491">
        <v>4</v>
      </c>
      <c r="D5818" s="491">
        <v>2</v>
      </c>
      <c r="E5818" s="491">
        <v>0</v>
      </c>
      <c r="F5818" s="491">
        <v>0</v>
      </c>
      <c r="G5818" s="491">
        <f t="shared" si="90"/>
        <v>6</v>
      </c>
    </row>
    <row r="5819" spans="1:7" ht="12.75">
      <c r="A5819" s="134" t="s">
        <v>153</v>
      </c>
      <c r="B5819" s="134">
        <v>350</v>
      </c>
      <c r="C5819" s="491">
        <v>8</v>
      </c>
      <c r="D5819" s="491">
        <v>1</v>
      </c>
      <c r="E5819" s="491">
        <v>0</v>
      </c>
      <c r="F5819" s="491">
        <v>0</v>
      </c>
      <c r="G5819" s="491">
        <f t="shared" si="90"/>
        <v>9</v>
      </c>
    </row>
    <row r="5820" spans="1:7" ht="12.75">
      <c r="A5820" s="134" t="s">
        <v>153</v>
      </c>
      <c r="B5820" s="134">
        <v>361</v>
      </c>
      <c r="C5820" s="491">
        <v>0</v>
      </c>
      <c r="D5820" s="491">
        <v>5</v>
      </c>
      <c r="E5820" s="491">
        <v>0</v>
      </c>
      <c r="F5820" s="491">
        <v>0</v>
      </c>
      <c r="G5820" s="491">
        <f t="shared" si="90"/>
        <v>5</v>
      </c>
    </row>
    <row r="5821" spans="1:7" ht="12.75">
      <c r="A5821" s="134" t="s">
        <v>153</v>
      </c>
      <c r="B5821" s="134">
        <v>370</v>
      </c>
      <c r="C5821" s="491">
        <v>5</v>
      </c>
      <c r="D5821" s="491">
        <v>0</v>
      </c>
      <c r="E5821" s="491">
        <v>0</v>
      </c>
      <c r="F5821" s="491">
        <v>0</v>
      </c>
      <c r="G5821" s="491">
        <f t="shared" si="90"/>
        <v>5</v>
      </c>
    </row>
    <row r="5822" spans="1:7" ht="12.75">
      <c r="A5822" s="134" t="s">
        <v>153</v>
      </c>
      <c r="B5822" s="134">
        <v>400</v>
      </c>
      <c r="C5822" s="491">
        <v>13</v>
      </c>
      <c r="D5822" s="491">
        <v>10</v>
      </c>
      <c r="E5822" s="491">
        <v>0</v>
      </c>
      <c r="F5822" s="491">
        <v>0</v>
      </c>
      <c r="G5822" s="491">
        <f t="shared" si="90"/>
        <v>23</v>
      </c>
    </row>
    <row r="5823" spans="1:7" ht="12.75">
      <c r="A5823" s="134" t="s">
        <v>153</v>
      </c>
      <c r="B5823" s="134">
        <v>410</v>
      </c>
      <c r="C5823" s="491">
        <v>1</v>
      </c>
      <c r="D5823" s="491">
        <v>0</v>
      </c>
      <c r="E5823" s="491">
        <v>0</v>
      </c>
      <c r="F5823" s="491">
        <v>0</v>
      </c>
      <c r="G5823" s="491">
        <f t="shared" si="90"/>
        <v>1</v>
      </c>
    </row>
    <row r="5824" spans="1:7" ht="12.75">
      <c r="A5824" s="134" t="s">
        <v>153</v>
      </c>
      <c r="B5824" s="134">
        <v>420</v>
      </c>
      <c r="C5824" s="491">
        <v>18</v>
      </c>
      <c r="D5824" s="491">
        <v>12</v>
      </c>
      <c r="E5824" s="491">
        <v>0</v>
      </c>
      <c r="F5824" s="491">
        <v>0</v>
      </c>
      <c r="G5824" s="491">
        <f t="shared" si="90"/>
        <v>30</v>
      </c>
    </row>
    <row r="5825" spans="1:7" ht="12.75">
      <c r="A5825" s="134" t="s">
        <v>153</v>
      </c>
      <c r="B5825" s="134">
        <v>421</v>
      </c>
      <c r="C5825" s="491">
        <v>0</v>
      </c>
      <c r="D5825" s="491">
        <v>3</v>
      </c>
      <c r="E5825" s="491">
        <v>0</v>
      </c>
      <c r="F5825" s="491">
        <v>0</v>
      </c>
      <c r="G5825" s="491">
        <f t="shared" si="90"/>
        <v>3</v>
      </c>
    </row>
    <row r="5826" spans="1:7" ht="12.75">
      <c r="A5826" s="134" t="s">
        <v>153</v>
      </c>
      <c r="B5826" s="134">
        <v>430</v>
      </c>
      <c r="C5826" s="491">
        <v>0</v>
      </c>
      <c r="D5826" s="491">
        <v>8</v>
      </c>
      <c r="E5826" s="491">
        <v>0</v>
      </c>
      <c r="F5826" s="491">
        <v>0</v>
      </c>
      <c r="G5826" s="491">
        <f t="shared" si="90"/>
        <v>8</v>
      </c>
    </row>
    <row r="5827" spans="1:7" ht="12.75">
      <c r="A5827" s="134" t="s">
        <v>153</v>
      </c>
      <c r="B5827" s="134">
        <v>502</v>
      </c>
      <c r="C5827" s="491">
        <v>8</v>
      </c>
      <c r="D5827" s="491">
        <v>17</v>
      </c>
      <c r="E5827" s="491">
        <v>0</v>
      </c>
      <c r="F5827" s="491">
        <v>0</v>
      </c>
      <c r="G5827" s="491">
        <f t="shared" si="90"/>
        <v>25</v>
      </c>
    </row>
    <row r="5828" spans="1:7" ht="12.75">
      <c r="A5828" s="134" t="s">
        <v>153</v>
      </c>
      <c r="B5828" s="134">
        <v>503</v>
      </c>
      <c r="C5828" s="491">
        <v>1</v>
      </c>
      <c r="D5828" s="491">
        <v>0</v>
      </c>
      <c r="E5828" s="491">
        <v>0</v>
      </c>
      <c r="F5828" s="491">
        <v>0</v>
      </c>
      <c r="G5828" s="491">
        <f t="shared" ref="G5828:G5891" si="91">SUM(C5828:F5828)</f>
        <v>1</v>
      </c>
    </row>
    <row r="5829" spans="1:7" ht="12.75">
      <c r="A5829" s="134" t="s">
        <v>153</v>
      </c>
      <c r="B5829" s="134">
        <v>800</v>
      </c>
      <c r="C5829" s="491">
        <v>5</v>
      </c>
      <c r="D5829" s="491">
        <v>3</v>
      </c>
      <c r="E5829" s="491">
        <v>0</v>
      </c>
      <c r="F5829" s="491">
        <v>0</v>
      </c>
      <c r="G5829" s="491">
        <f t="shared" si="91"/>
        <v>8</v>
      </c>
    </row>
    <row r="5830" spans="1:7" ht="12.75">
      <c r="A5830" s="134" t="s">
        <v>153</v>
      </c>
      <c r="B5830" s="134">
        <v>811</v>
      </c>
      <c r="C5830" s="491">
        <v>0</v>
      </c>
      <c r="D5830" s="491">
        <v>9</v>
      </c>
      <c r="E5830" s="491">
        <v>0</v>
      </c>
      <c r="F5830" s="491">
        <v>0</v>
      </c>
      <c r="G5830" s="491">
        <f t="shared" si="91"/>
        <v>9</v>
      </c>
    </row>
    <row r="5831" spans="1:7" ht="12.75">
      <c r="A5831" s="134" t="s">
        <v>153</v>
      </c>
      <c r="B5831" s="134">
        <v>812</v>
      </c>
      <c r="C5831" s="491">
        <v>19</v>
      </c>
      <c r="D5831" s="491">
        <v>7</v>
      </c>
      <c r="E5831" s="491">
        <v>0</v>
      </c>
      <c r="F5831" s="491">
        <v>0</v>
      </c>
      <c r="G5831" s="491">
        <f t="shared" si="91"/>
        <v>26</v>
      </c>
    </row>
    <row r="5832" spans="1:7" ht="12.75">
      <c r="A5832" s="134" t="s">
        <v>1057</v>
      </c>
      <c r="B5832" s="134">
        <v>108</v>
      </c>
      <c r="C5832" s="491">
        <v>0</v>
      </c>
      <c r="D5832" s="491">
        <v>0</v>
      </c>
      <c r="E5832" s="491">
        <v>1</v>
      </c>
      <c r="F5832" s="491">
        <v>0</v>
      </c>
      <c r="G5832" s="491">
        <f t="shared" si="91"/>
        <v>1</v>
      </c>
    </row>
    <row r="5833" spans="1:7" ht="12.75">
      <c r="A5833" s="134" t="s">
        <v>1058</v>
      </c>
      <c r="B5833" s="134">
        <v>711</v>
      </c>
      <c r="C5833" s="491">
        <v>0</v>
      </c>
      <c r="D5833" s="491">
        <v>1</v>
      </c>
      <c r="E5833" s="491">
        <v>0</v>
      </c>
      <c r="F5833" s="491">
        <v>0</v>
      </c>
      <c r="G5833" s="491">
        <f t="shared" si="91"/>
        <v>1</v>
      </c>
    </row>
    <row r="5834" spans="1:7" ht="12.75">
      <c r="A5834" s="134" t="s">
        <v>888</v>
      </c>
      <c r="B5834" s="134">
        <v>100</v>
      </c>
      <c r="C5834" s="491">
        <v>0</v>
      </c>
      <c r="D5834" s="491">
        <v>1</v>
      </c>
      <c r="E5834" s="491">
        <v>0</v>
      </c>
      <c r="F5834" s="491">
        <v>0</v>
      </c>
      <c r="G5834" s="491">
        <f t="shared" si="91"/>
        <v>1</v>
      </c>
    </row>
    <row r="5835" spans="1:7" ht="12.75">
      <c r="A5835" s="134" t="s">
        <v>888</v>
      </c>
      <c r="B5835" s="134">
        <v>101</v>
      </c>
      <c r="C5835" s="491">
        <v>1</v>
      </c>
      <c r="D5835" s="491">
        <v>0</v>
      </c>
      <c r="E5835" s="491">
        <v>0</v>
      </c>
      <c r="F5835" s="491">
        <v>0</v>
      </c>
      <c r="G5835" s="491">
        <f t="shared" si="91"/>
        <v>1</v>
      </c>
    </row>
    <row r="5836" spans="1:7" ht="12.75">
      <c r="A5836" s="134" t="s">
        <v>888</v>
      </c>
      <c r="B5836" s="134">
        <v>103</v>
      </c>
      <c r="C5836" s="491">
        <v>0</v>
      </c>
      <c r="D5836" s="491">
        <v>1</v>
      </c>
      <c r="E5836" s="491">
        <v>0</v>
      </c>
      <c r="F5836" s="491">
        <v>0</v>
      </c>
      <c r="G5836" s="491">
        <f t="shared" si="91"/>
        <v>1</v>
      </c>
    </row>
    <row r="5837" spans="1:7" ht="12.75">
      <c r="A5837" s="134" t="s">
        <v>888</v>
      </c>
      <c r="B5837" s="134">
        <v>107</v>
      </c>
      <c r="C5837" s="491">
        <v>0</v>
      </c>
      <c r="D5837" s="491">
        <v>1</v>
      </c>
      <c r="E5837" s="491">
        <v>0</v>
      </c>
      <c r="F5837" s="491">
        <v>0</v>
      </c>
      <c r="G5837" s="491">
        <f t="shared" si="91"/>
        <v>1</v>
      </c>
    </row>
    <row r="5838" spans="1:7" ht="12.75">
      <c r="A5838" s="134" t="s">
        <v>888</v>
      </c>
      <c r="B5838" s="134">
        <v>110</v>
      </c>
      <c r="C5838" s="491">
        <v>59</v>
      </c>
      <c r="D5838" s="491">
        <v>22</v>
      </c>
      <c r="E5838" s="491">
        <v>1</v>
      </c>
      <c r="F5838" s="491">
        <v>0</v>
      </c>
      <c r="G5838" s="491">
        <f t="shared" si="91"/>
        <v>82</v>
      </c>
    </row>
    <row r="5839" spans="1:7" ht="12.75">
      <c r="A5839" s="134" t="s">
        <v>888</v>
      </c>
      <c r="B5839" s="134">
        <v>120</v>
      </c>
      <c r="C5839" s="491">
        <v>3</v>
      </c>
      <c r="D5839" s="491">
        <v>0</v>
      </c>
      <c r="E5839" s="491">
        <v>0</v>
      </c>
      <c r="F5839" s="491">
        <v>0</v>
      </c>
      <c r="G5839" s="491">
        <f t="shared" si="91"/>
        <v>3</v>
      </c>
    </row>
    <row r="5840" spans="1:7" ht="12.75">
      <c r="A5840" s="134" t="s">
        <v>888</v>
      </c>
      <c r="B5840" s="134">
        <v>130</v>
      </c>
      <c r="C5840" s="491">
        <v>1</v>
      </c>
      <c r="D5840" s="491">
        <v>0</v>
      </c>
      <c r="E5840" s="491">
        <v>0</v>
      </c>
      <c r="F5840" s="491">
        <v>0</v>
      </c>
      <c r="G5840" s="491">
        <f t="shared" si="91"/>
        <v>1</v>
      </c>
    </row>
    <row r="5841" spans="1:7" ht="12.75">
      <c r="A5841" s="134" t="s">
        <v>888</v>
      </c>
      <c r="B5841" s="134">
        <v>140</v>
      </c>
      <c r="C5841" s="491">
        <v>0</v>
      </c>
      <c r="D5841" s="491">
        <v>2</v>
      </c>
      <c r="E5841" s="491">
        <v>0</v>
      </c>
      <c r="F5841" s="491">
        <v>1</v>
      </c>
      <c r="G5841" s="491">
        <f t="shared" si="91"/>
        <v>3</v>
      </c>
    </row>
    <row r="5842" spans="1:7" ht="12.75">
      <c r="A5842" s="134" t="s">
        <v>888</v>
      </c>
      <c r="B5842" s="134">
        <v>160</v>
      </c>
      <c r="C5842" s="491">
        <v>1</v>
      </c>
      <c r="D5842" s="491">
        <v>0</v>
      </c>
      <c r="E5842" s="491">
        <v>1</v>
      </c>
      <c r="F5842" s="491">
        <v>0</v>
      </c>
      <c r="G5842" s="491">
        <f t="shared" si="91"/>
        <v>2</v>
      </c>
    </row>
    <row r="5843" spans="1:7" ht="12.75">
      <c r="A5843" s="134" t="s">
        <v>888</v>
      </c>
      <c r="B5843" s="134">
        <v>191</v>
      </c>
      <c r="C5843" s="491">
        <v>1</v>
      </c>
      <c r="D5843" s="491">
        <v>0</v>
      </c>
      <c r="E5843" s="491">
        <v>0</v>
      </c>
      <c r="F5843" s="491">
        <v>0</v>
      </c>
      <c r="G5843" s="491">
        <f t="shared" si="91"/>
        <v>1</v>
      </c>
    </row>
    <row r="5844" spans="1:7" ht="12.75">
      <c r="A5844" s="134" t="s">
        <v>888</v>
      </c>
      <c r="B5844" s="134">
        <v>214</v>
      </c>
      <c r="C5844" s="491">
        <v>8</v>
      </c>
      <c r="D5844" s="491">
        <v>0</v>
      </c>
      <c r="E5844" s="491">
        <v>0</v>
      </c>
      <c r="F5844" s="491">
        <v>0</v>
      </c>
      <c r="G5844" s="491">
        <f t="shared" si="91"/>
        <v>8</v>
      </c>
    </row>
    <row r="5845" spans="1:7" ht="12.75">
      <c r="A5845" s="134" t="s">
        <v>888</v>
      </c>
      <c r="B5845" s="134">
        <v>258</v>
      </c>
      <c r="C5845" s="491">
        <v>1</v>
      </c>
      <c r="D5845" s="491">
        <v>1</v>
      </c>
      <c r="E5845" s="491">
        <v>0</v>
      </c>
      <c r="F5845" s="491">
        <v>0</v>
      </c>
      <c r="G5845" s="491">
        <f t="shared" si="91"/>
        <v>2</v>
      </c>
    </row>
    <row r="5846" spans="1:7" ht="12.75">
      <c r="A5846" s="134" t="s">
        <v>888</v>
      </c>
      <c r="B5846" s="134">
        <v>262</v>
      </c>
      <c r="C5846" s="491">
        <v>2</v>
      </c>
      <c r="D5846" s="491">
        <v>2</v>
      </c>
      <c r="E5846" s="491">
        <v>0</v>
      </c>
      <c r="F5846" s="491">
        <v>1</v>
      </c>
      <c r="G5846" s="491">
        <f t="shared" si="91"/>
        <v>5</v>
      </c>
    </row>
    <row r="5847" spans="1:7" ht="12.75">
      <c r="A5847" s="134" t="s">
        <v>888</v>
      </c>
      <c r="B5847" s="134">
        <v>264</v>
      </c>
      <c r="C5847" s="491">
        <v>0</v>
      </c>
      <c r="D5847" s="491">
        <v>0</v>
      </c>
      <c r="E5847" s="491">
        <v>1</v>
      </c>
      <c r="F5847" s="491">
        <v>0</v>
      </c>
      <c r="G5847" s="491">
        <f t="shared" si="91"/>
        <v>1</v>
      </c>
    </row>
    <row r="5848" spans="1:7" ht="12.75">
      <c r="A5848" s="134" t="s">
        <v>888</v>
      </c>
      <c r="B5848" s="134">
        <v>290</v>
      </c>
      <c r="C5848" s="491">
        <v>1</v>
      </c>
      <c r="D5848" s="491">
        <v>0</v>
      </c>
      <c r="E5848" s="491">
        <v>0</v>
      </c>
      <c r="F5848" s="491">
        <v>0</v>
      </c>
      <c r="G5848" s="491">
        <f t="shared" si="91"/>
        <v>1</v>
      </c>
    </row>
    <row r="5849" spans="1:7" ht="12.75">
      <c r="A5849" s="134" t="s">
        <v>888</v>
      </c>
      <c r="B5849" s="134">
        <v>300</v>
      </c>
      <c r="C5849" s="491">
        <v>6</v>
      </c>
      <c r="D5849" s="491">
        <v>2</v>
      </c>
      <c r="E5849" s="491">
        <v>1</v>
      </c>
      <c r="F5849" s="491">
        <v>0</v>
      </c>
      <c r="G5849" s="491">
        <f t="shared" si="91"/>
        <v>9</v>
      </c>
    </row>
    <row r="5850" spans="1:7" ht="12.75">
      <c r="A5850" s="134" t="s">
        <v>888</v>
      </c>
      <c r="B5850" s="134">
        <v>303</v>
      </c>
      <c r="C5850" s="491">
        <v>1</v>
      </c>
      <c r="D5850" s="491">
        <v>0</v>
      </c>
      <c r="E5850" s="491">
        <v>0</v>
      </c>
      <c r="F5850" s="491">
        <v>0</v>
      </c>
      <c r="G5850" s="491">
        <f t="shared" si="91"/>
        <v>1</v>
      </c>
    </row>
    <row r="5851" spans="1:7" ht="12.75">
      <c r="A5851" s="134" t="s">
        <v>888</v>
      </c>
      <c r="B5851" s="134">
        <v>320</v>
      </c>
      <c r="C5851" s="491">
        <v>1</v>
      </c>
      <c r="D5851" s="491">
        <v>2</v>
      </c>
      <c r="E5851" s="491">
        <v>0</v>
      </c>
      <c r="F5851" s="491">
        <v>0</v>
      </c>
      <c r="G5851" s="491">
        <f t="shared" si="91"/>
        <v>3</v>
      </c>
    </row>
    <row r="5852" spans="1:7" ht="12.75">
      <c r="A5852" s="134" t="s">
        <v>888</v>
      </c>
      <c r="B5852" s="134">
        <v>321</v>
      </c>
      <c r="C5852" s="491">
        <v>5</v>
      </c>
      <c r="D5852" s="491">
        <v>0</v>
      </c>
      <c r="E5852" s="491">
        <v>0</v>
      </c>
      <c r="F5852" s="491">
        <v>0</v>
      </c>
      <c r="G5852" s="491">
        <f t="shared" si="91"/>
        <v>5</v>
      </c>
    </row>
    <row r="5853" spans="1:7" ht="12.75">
      <c r="A5853" s="134" t="s">
        <v>888</v>
      </c>
      <c r="B5853" s="134">
        <v>330</v>
      </c>
      <c r="C5853" s="491">
        <v>1</v>
      </c>
      <c r="D5853" s="491">
        <v>0</v>
      </c>
      <c r="E5853" s="491">
        <v>0</v>
      </c>
      <c r="F5853" s="491">
        <v>0</v>
      </c>
      <c r="G5853" s="491">
        <f t="shared" si="91"/>
        <v>1</v>
      </c>
    </row>
    <row r="5854" spans="1:7" ht="12.75">
      <c r="A5854" s="134" t="s">
        <v>888</v>
      </c>
      <c r="B5854" s="134">
        <v>340</v>
      </c>
      <c r="C5854" s="491">
        <v>4</v>
      </c>
      <c r="D5854" s="491">
        <v>4</v>
      </c>
      <c r="E5854" s="491">
        <v>0</v>
      </c>
      <c r="F5854" s="491">
        <v>0</v>
      </c>
      <c r="G5854" s="491">
        <f t="shared" si="91"/>
        <v>8</v>
      </c>
    </row>
    <row r="5855" spans="1:7" ht="12.75">
      <c r="A5855" s="134" t="s">
        <v>888</v>
      </c>
      <c r="B5855" s="134">
        <v>361</v>
      </c>
      <c r="C5855" s="491">
        <v>3</v>
      </c>
      <c r="D5855" s="491">
        <v>0</v>
      </c>
      <c r="E5855" s="491">
        <v>0</v>
      </c>
      <c r="F5855" s="491">
        <v>0</v>
      </c>
      <c r="G5855" s="491">
        <f t="shared" si="91"/>
        <v>3</v>
      </c>
    </row>
    <row r="5856" spans="1:7" ht="12.75">
      <c r="A5856" s="134" t="s">
        <v>888</v>
      </c>
      <c r="B5856" s="134">
        <v>370</v>
      </c>
      <c r="C5856" s="491">
        <v>0</v>
      </c>
      <c r="D5856" s="491">
        <v>0</v>
      </c>
      <c r="E5856" s="491">
        <v>1</v>
      </c>
      <c r="F5856" s="491">
        <v>0</v>
      </c>
      <c r="G5856" s="491">
        <f t="shared" si="91"/>
        <v>1</v>
      </c>
    </row>
    <row r="5857" spans="1:7" ht="12.75">
      <c r="A5857" s="134" t="s">
        <v>888</v>
      </c>
      <c r="B5857" s="134">
        <v>410</v>
      </c>
      <c r="C5857" s="491">
        <v>11</v>
      </c>
      <c r="D5857" s="491">
        <v>5</v>
      </c>
      <c r="E5857" s="491">
        <v>0</v>
      </c>
      <c r="F5857" s="491">
        <v>0</v>
      </c>
      <c r="G5857" s="491">
        <f t="shared" si="91"/>
        <v>16</v>
      </c>
    </row>
    <row r="5858" spans="1:7" ht="12.75">
      <c r="A5858" s="134" t="s">
        <v>888</v>
      </c>
      <c r="B5858" s="134">
        <v>420</v>
      </c>
      <c r="C5858" s="491">
        <v>11</v>
      </c>
      <c r="D5858" s="491">
        <v>8</v>
      </c>
      <c r="E5858" s="491">
        <v>1</v>
      </c>
      <c r="F5858" s="491">
        <v>0</v>
      </c>
      <c r="G5858" s="491">
        <f t="shared" si="91"/>
        <v>20</v>
      </c>
    </row>
    <row r="5859" spans="1:7" ht="12.75">
      <c r="A5859" s="134" t="s">
        <v>888</v>
      </c>
      <c r="B5859" s="134">
        <v>501</v>
      </c>
      <c r="C5859" s="491">
        <v>3</v>
      </c>
      <c r="D5859" s="491">
        <v>0</v>
      </c>
      <c r="E5859" s="491">
        <v>1</v>
      </c>
      <c r="F5859" s="491">
        <v>0</v>
      </c>
      <c r="G5859" s="491">
        <f t="shared" si="91"/>
        <v>4</v>
      </c>
    </row>
    <row r="5860" spans="1:7" ht="12.75">
      <c r="A5860" s="134" t="s">
        <v>888</v>
      </c>
      <c r="B5860" s="134">
        <v>502</v>
      </c>
      <c r="C5860" s="491">
        <v>12</v>
      </c>
      <c r="D5860" s="491">
        <v>8</v>
      </c>
      <c r="E5860" s="491">
        <v>0</v>
      </c>
      <c r="F5860" s="491">
        <v>0</v>
      </c>
      <c r="G5860" s="491">
        <f t="shared" si="91"/>
        <v>20</v>
      </c>
    </row>
    <row r="5861" spans="1:7" ht="12.75">
      <c r="A5861" s="134" t="s">
        <v>888</v>
      </c>
      <c r="B5861" s="134">
        <v>503</v>
      </c>
      <c r="C5861" s="491">
        <v>0</v>
      </c>
      <c r="D5861" s="491">
        <v>1</v>
      </c>
      <c r="E5861" s="491">
        <v>0</v>
      </c>
      <c r="F5861" s="491">
        <v>0</v>
      </c>
      <c r="G5861" s="491">
        <f t="shared" si="91"/>
        <v>1</v>
      </c>
    </row>
    <row r="5862" spans="1:7" ht="12.75">
      <c r="A5862" s="134" t="s">
        <v>888</v>
      </c>
      <c r="B5862" s="134">
        <v>560</v>
      </c>
      <c r="C5862" s="491">
        <v>1</v>
      </c>
      <c r="D5862" s="491">
        <v>0</v>
      </c>
      <c r="E5862" s="491">
        <v>0</v>
      </c>
      <c r="F5862" s="491">
        <v>0</v>
      </c>
      <c r="G5862" s="491">
        <f t="shared" si="91"/>
        <v>1</v>
      </c>
    </row>
    <row r="5863" spans="1:7" ht="12.75">
      <c r="A5863" s="134" t="s">
        <v>889</v>
      </c>
      <c r="B5863" s="134">
        <v>104</v>
      </c>
      <c r="C5863" s="491">
        <v>1</v>
      </c>
      <c r="D5863" s="491">
        <v>0</v>
      </c>
      <c r="E5863" s="491">
        <v>0</v>
      </c>
      <c r="F5863" s="491">
        <v>0</v>
      </c>
      <c r="G5863" s="491">
        <f t="shared" si="91"/>
        <v>1</v>
      </c>
    </row>
    <row r="5864" spans="1:7" ht="12.75">
      <c r="A5864" s="134" t="s">
        <v>889</v>
      </c>
      <c r="B5864" s="134">
        <v>110</v>
      </c>
      <c r="C5864" s="491">
        <v>13</v>
      </c>
      <c r="D5864" s="491">
        <v>5</v>
      </c>
      <c r="E5864" s="491">
        <v>2</v>
      </c>
      <c r="F5864" s="491">
        <v>1</v>
      </c>
      <c r="G5864" s="491">
        <f t="shared" si="91"/>
        <v>21</v>
      </c>
    </row>
    <row r="5865" spans="1:7" ht="12.75">
      <c r="A5865" s="134" t="s">
        <v>889</v>
      </c>
      <c r="B5865" s="134">
        <v>120</v>
      </c>
      <c r="C5865" s="491">
        <v>1</v>
      </c>
      <c r="D5865" s="491">
        <v>1</v>
      </c>
      <c r="E5865" s="491">
        <v>0</v>
      </c>
      <c r="F5865" s="491">
        <v>0</v>
      </c>
      <c r="G5865" s="491">
        <f t="shared" si="91"/>
        <v>2</v>
      </c>
    </row>
    <row r="5866" spans="1:7" ht="12.75">
      <c r="A5866" s="134" t="s">
        <v>889</v>
      </c>
      <c r="B5866" s="134">
        <v>160</v>
      </c>
      <c r="C5866" s="491">
        <v>1</v>
      </c>
      <c r="D5866" s="491">
        <v>1</v>
      </c>
      <c r="E5866" s="491">
        <v>0</v>
      </c>
      <c r="F5866" s="491">
        <v>0</v>
      </c>
      <c r="G5866" s="491">
        <f t="shared" si="91"/>
        <v>2</v>
      </c>
    </row>
    <row r="5867" spans="1:7" ht="12.75">
      <c r="A5867" s="134" t="s">
        <v>889</v>
      </c>
      <c r="B5867" s="134">
        <v>214</v>
      </c>
      <c r="C5867" s="491">
        <v>2</v>
      </c>
      <c r="D5867" s="491">
        <v>0</v>
      </c>
      <c r="E5867" s="491">
        <v>0</v>
      </c>
      <c r="F5867" s="491">
        <v>0</v>
      </c>
      <c r="G5867" s="491">
        <f t="shared" si="91"/>
        <v>2</v>
      </c>
    </row>
    <row r="5868" spans="1:7" ht="12.75">
      <c r="A5868" s="134" t="s">
        <v>889</v>
      </c>
      <c r="B5868" s="134">
        <v>300</v>
      </c>
      <c r="C5868" s="491">
        <v>1</v>
      </c>
      <c r="D5868" s="491">
        <v>0</v>
      </c>
      <c r="E5868" s="491">
        <v>0</v>
      </c>
      <c r="F5868" s="491">
        <v>0</v>
      </c>
      <c r="G5868" s="491">
        <f t="shared" si="91"/>
        <v>1</v>
      </c>
    </row>
    <row r="5869" spans="1:7" ht="12.75">
      <c r="A5869" s="134" t="s">
        <v>889</v>
      </c>
      <c r="B5869" s="134">
        <v>302</v>
      </c>
      <c r="C5869" s="491">
        <v>1</v>
      </c>
      <c r="D5869" s="491">
        <v>0</v>
      </c>
      <c r="E5869" s="491">
        <v>0</v>
      </c>
      <c r="F5869" s="491">
        <v>0</v>
      </c>
      <c r="G5869" s="491">
        <f t="shared" si="91"/>
        <v>1</v>
      </c>
    </row>
    <row r="5870" spans="1:7" ht="12.75">
      <c r="A5870" s="134" t="s">
        <v>889</v>
      </c>
      <c r="B5870" s="134">
        <v>330</v>
      </c>
      <c r="C5870" s="491">
        <v>1</v>
      </c>
      <c r="D5870" s="491">
        <v>0</v>
      </c>
      <c r="E5870" s="491">
        <v>0</v>
      </c>
      <c r="F5870" s="491">
        <v>0</v>
      </c>
      <c r="G5870" s="491">
        <f t="shared" si="91"/>
        <v>1</v>
      </c>
    </row>
    <row r="5871" spans="1:7" ht="12.75">
      <c r="A5871" s="134" t="s">
        <v>889</v>
      </c>
      <c r="B5871" s="134">
        <v>340</v>
      </c>
      <c r="C5871" s="491">
        <v>1</v>
      </c>
      <c r="D5871" s="491">
        <v>1</v>
      </c>
      <c r="E5871" s="491">
        <v>0</v>
      </c>
      <c r="F5871" s="491">
        <v>0</v>
      </c>
      <c r="G5871" s="491">
        <f t="shared" si="91"/>
        <v>2</v>
      </c>
    </row>
    <row r="5872" spans="1:7" ht="12.75">
      <c r="A5872" s="134" t="s">
        <v>889</v>
      </c>
      <c r="B5872" s="134">
        <v>410</v>
      </c>
      <c r="C5872" s="491">
        <v>1</v>
      </c>
      <c r="D5872" s="491">
        <v>0</v>
      </c>
      <c r="E5872" s="491">
        <v>0</v>
      </c>
      <c r="F5872" s="491">
        <v>0</v>
      </c>
      <c r="G5872" s="491">
        <f t="shared" si="91"/>
        <v>1</v>
      </c>
    </row>
    <row r="5873" spans="1:7" ht="12.75">
      <c r="A5873" s="134" t="s">
        <v>889</v>
      </c>
      <c r="B5873" s="134">
        <v>420</v>
      </c>
      <c r="C5873" s="491">
        <v>0</v>
      </c>
      <c r="D5873" s="491">
        <v>1</v>
      </c>
      <c r="E5873" s="491">
        <v>0</v>
      </c>
      <c r="F5873" s="491">
        <v>0</v>
      </c>
      <c r="G5873" s="491">
        <f t="shared" si="91"/>
        <v>1</v>
      </c>
    </row>
    <row r="5874" spans="1:7" ht="12.75">
      <c r="A5874" s="134" t="s">
        <v>889</v>
      </c>
      <c r="B5874" s="134">
        <v>502</v>
      </c>
      <c r="C5874" s="491">
        <v>2</v>
      </c>
      <c r="D5874" s="491">
        <v>1</v>
      </c>
      <c r="E5874" s="491">
        <v>2</v>
      </c>
      <c r="F5874" s="491">
        <v>0</v>
      </c>
      <c r="G5874" s="491">
        <f t="shared" si="91"/>
        <v>5</v>
      </c>
    </row>
    <row r="5875" spans="1:7" ht="12.75">
      <c r="A5875" s="134" t="s">
        <v>890</v>
      </c>
      <c r="B5875" s="134">
        <v>110</v>
      </c>
      <c r="C5875" s="491">
        <v>4</v>
      </c>
      <c r="D5875" s="491">
        <v>1</v>
      </c>
      <c r="E5875" s="491">
        <v>0</v>
      </c>
      <c r="F5875" s="491">
        <v>0</v>
      </c>
      <c r="G5875" s="491">
        <f t="shared" si="91"/>
        <v>5</v>
      </c>
    </row>
    <row r="5876" spans="1:7" ht="12.75">
      <c r="A5876" s="134" t="s">
        <v>891</v>
      </c>
      <c r="B5876" s="134">
        <v>100</v>
      </c>
      <c r="C5876" s="491">
        <v>2420</v>
      </c>
      <c r="D5876" s="491">
        <v>5467</v>
      </c>
      <c r="E5876" s="491">
        <v>66</v>
      </c>
      <c r="F5876" s="491">
        <v>473</v>
      </c>
      <c r="G5876" s="491">
        <f t="shared" si="91"/>
        <v>8426</v>
      </c>
    </row>
    <row r="5877" spans="1:7" ht="12.75">
      <c r="A5877" s="134" t="s">
        <v>891</v>
      </c>
      <c r="B5877" s="134">
        <v>101</v>
      </c>
      <c r="C5877" s="491">
        <v>5</v>
      </c>
      <c r="D5877" s="491">
        <v>4</v>
      </c>
      <c r="E5877" s="491">
        <v>0</v>
      </c>
      <c r="F5877" s="491">
        <v>0</v>
      </c>
      <c r="G5877" s="491">
        <f t="shared" si="91"/>
        <v>9</v>
      </c>
    </row>
    <row r="5878" spans="1:7" ht="12.75">
      <c r="A5878" s="134" t="s">
        <v>891</v>
      </c>
      <c r="B5878" s="134">
        <v>103</v>
      </c>
      <c r="C5878" s="491">
        <v>19018</v>
      </c>
      <c r="D5878" s="491">
        <v>38481</v>
      </c>
      <c r="E5878" s="491">
        <v>2284</v>
      </c>
      <c r="F5878" s="491">
        <v>10591</v>
      </c>
      <c r="G5878" s="491">
        <f t="shared" si="91"/>
        <v>70374</v>
      </c>
    </row>
    <row r="5879" spans="1:7" ht="12.75">
      <c r="A5879" s="134" t="s">
        <v>891</v>
      </c>
      <c r="B5879" s="134">
        <v>104</v>
      </c>
      <c r="C5879" s="491">
        <v>6</v>
      </c>
      <c r="D5879" s="491">
        <v>16</v>
      </c>
      <c r="E5879" s="491">
        <v>0</v>
      </c>
      <c r="F5879" s="491">
        <v>0</v>
      </c>
      <c r="G5879" s="491">
        <f t="shared" si="91"/>
        <v>22</v>
      </c>
    </row>
    <row r="5880" spans="1:7" ht="12.75">
      <c r="A5880" s="134" t="s">
        <v>891</v>
      </c>
      <c r="B5880" s="134">
        <v>106</v>
      </c>
      <c r="C5880" s="491">
        <v>2</v>
      </c>
      <c r="D5880" s="491">
        <v>3</v>
      </c>
      <c r="E5880" s="491">
        <v>0</v>
      </c>
      <c r="F5880" s="491">
        <v>0</v>
      </c>
      <c r="G5880" s="491">
        <f t="shared" si="91"/>
        <v>5</v>
      </c>
    </row>
    <row r="5881" spans="1:7" ht="12.75">
      <c r="A5881" s="134" t="s">
        <v>891</v>
      </c>
      <c r="B5881" s="134">
        <v>107</v>
      </c>
      <c r="C5881" s="491">
        <v>6</v>
      </c>
      <c r="D5881" s="491">
        <v>2</v>
      </c>
      <c r="E5881" s="491">
        <v>0</v>
      </c>
      <c r="F5881" s="491">
        <v>1</v>
      </c>
      <c r="G5881" s="491">
        <f t="shared" si="91"/>
        <v>9</v>
      </c>
    </row>
    <row r="5882" spans="1:7" ht="12.75">
      <c r="A5882" s="134" t="s">
        <v>891</v>
      </c>
      <c r="B5882" s="134">
        <v>110</v>
      </c>
      <c r="C5882" s="491">
        <v>8</v>
      </c>
      <c r="D5882" s="491">
        <v>12</v>
      </c>
      <c r="E5882" s="491">
        <v>0</v>
      </c>
      <c r="F5882" s="491">
        <v>1</v>
      </c>
      <c r="G5882" s="491">
        <f t="shared" si="91"/>
        <v>21</v>
      </c>
    </row>
    <row r="5883" spans="1:7" ht="12.75">
      <c r="A5883" s="134" t="s">
        <v>891</v>
      </c>
      <c r="B5883" s="134">
        <v>120</v>
      </c>
      <c r="C5883" s="491">
        <v>7</v>
      </c>
      <c r="D5883" s="491">
        <v>3</v>
      </c>
      <c r="E5883" s="491">
        <v>9</v>
      </c>
      <c r="F5883" s="491">
        <v>1</v>
      </c>
      <c r="G5883" s="491">
        <f t="shared" si="91"/>
        <v>20</v>
      </c>
    </row>
    <row r="5884" spans="1:7" ht="12.75">
      <c r="A5884" s="134" t="s">
        <v>891</v>
      </c>
      <c r="B5884" s="134">
        <v>130</v>
      </c>
      <c r="C5884" s="491">
        <v>10</v>
      </c>
      <c r="D5884" s="491">
        <v>4</v>
      </c>
      <c r="E5884" s="491">
        <v>0</v>
      </c>
      <c r="F5884" s="491">
        <v>0</v>
      </c>
      <c r="G5884" s="491">
        <f t="shared" si="91"/>
        <v>14</v>
      </c>
    </row>
    <row r="5885" spans="1:7" ht="12.75">
      <c r="A5885" s="134" t="s">
        <v>891</v>
      </c>
      <c r="B5885" s="134">
        <v>140</v>
      </c>
      <c r="C5885" s="491">
        <v>84</v>
      </c>
      <c r="D5885" s="491">
        <v>35</v>
      </c>
      <c r="E5885" s="491">
        <v>0</v>
      </c>
      <c r="F5885" s="491">
        <v>0</v>
      </c>
      <c r="G5885" s="491">
        <f t="shared" si="91"/>
        <v>119</v>
      </c>
    </row>
    <row r="5886" spans="1:7" ht="12.75">
      <c r="A5886" s="134" t="s">
        <v>891</v>
      </c>
      <c r="B5886" s="134">
        <v>143</v>
      </c>
      <c r="C5886" s="491">
        <v>6</v>
      </c>
      <c r="D5886" s="491">
        <v>0</v>
      </c>
      <c r="E5886" s="491">
        <v>0</v>
      </c>
      <c r="F5886" s="491">
        <v>0</v>
      </c>
      <c r="G5886" s="491">
        <f t="shared" si="91"/>
        <v>6</v>
      </c>
    </row>
    <row r="5887" spans="1:7" ht="12.75">
      <c r="A5887" s="134" t="s">
        <v>891</v>
      </c>
      <c r="B5887" s="134">
        <v>144</v>
      </c>
      <c r="C5887" s="491">
        <v>3</v>
      </c>
      <c r="D5887" s="491">
        <v>3</v>
      </c>
      <c r="E5887" s="491">
        <v>0</v>
      </c>
      <c r="F5887" s="491">
        <v>0</v>
      </c>
      <c r="G5887" s="491">
        <f t="shared" si="91"/>
        <v>6</v>
      </c>
    </row>
    <row r="5888" spans="1:7" ht="12.75">
      <c r="A5888" s="134" t="s">
        <v>891</v>
      </c>
      <c r="B5888" s="134">
        <v>160</v>
      </c>
      <c r="C5888" s="491">
        <v>1311</v>
      </c>
      <c r="D5888" s="491">
        <v>501</v>
      </c>
      <c r="E5888" s="491">
        <v>29</v>
      </c>
      <c r="F5888" s="491">
        <v>5</v>
      </c>
      <c r="G5888" s="491">
        <f t="shared" si="91"/>
        <v>1846</v>
      </c>
    </row>
    <row r="5889" spans="1:7" ht="12.75">
      <c r="A5889" s="134" t="s">
        <v>891</v>
      </c>
      <c r="B5889" s="134">
        <v>171</v>
      </c>
      <c r="C5889" s="491">
        <v>2</v>
      </c>
      <c r="D5889" s="491">
        <v>2</v>
      </c>
      <c r="E5889" s="491">
        <v>0</v>
      </c>
      <c r="F5889" s="491">
        <v>0</v>
      </c>
      <c r="G5889" s="491">
        <f t="shared" si="91"/>
        <v>4</v>
      </c>
    </row>
    <row r="5890" spans="1:7" ht="12.75">
      <c r="A5890" s="134" t="s">
        <v>891</v>
      </c>
      <c r="B5890" s="134">
        <v>173</v>
      </c>
      <c r="C5890" s="491">
        <v>0</v>
      </c>
      <c r="D5890" s="491">
        <v>1</v>
      </c>
      <c r="E5890" s="491">
        <v>0</v>
      </c>
      <c r="F5890" s="491">
        <v>0</v>
      </c>
      <c r="G5890" s="491">
        <f t="shared" si="91"/>
        <v>1</v>
      </c>
    </row>
    <row r="5891" spans="1:7" ht="12.75">
      <c r="A5891" s="134" t="s">
        <v>891</v>
      </c>
      <c r="B5891" s="134">
        <v>180</v>
      </c>
      <c r="C5891" s="491">
        <v>1</v>
      </c>
      <c r="D5891" s="491">
        <v>0</v>
      </c>
      <c r="E5891" s="491">
        <v>0</v>
      </c>
      <c r="F5891" s="491">
        <v>0</v>
      </c>
      <c r="G5891" s="491">
        <f t="shared" si="91"/>
        <v>1</v>
      </c>
    </row>
    <row r="5892" spans="1:7" ht="12.75">
      <c r="A5892" s="134" t="s">
        <v>891</v>
      </c>
      <c r="B5892" s="134">
        <v>190</v>
      </c>
      <c r="C5892" s="491">
        <v>89</v>
      </c>
      <c r="D5892" s="491">
        <v>0</v>
      </c>
      <c r="E5892" s="491">
        <v>0</v>
      </c>
      <c r="F5892" s="491">
        <v>0</v>
      </c>
      <c r="G5892" s="491">
        <f t="shared" ref="G5892:G5955" si="92">SUM(C5892:F5892)</f>
        <v>89</v>
      </c>
    </row>
    <row r="5893" spans="1:7" ht="12.75">
      <c r="A5893" s="134" t="s">
        <v>891</v>
      </c>
      <c r="B5893" s="134">
        <v>191</v>
      </c>
      <c r="C5893" s="491">
        <v>21</v>
      </c>
      <c r="D5893" s="491">
        <v>3</v>
      </c>
      <c r="E5893" s="491">
        <v>2</v>
      </c>
      <c r="F5893" s="491">
        <v>0</v>
      </c>
      <c r="G5893" s="491">
        <f t="shared" si="92"/>
        <v>26</v>
      </c>
    </row>
    <row r="5894" spans="1:7" ht="12.75">
      <c r="A5894" s="134" t="s">
        <v>891</v>
      </c>
      <c r="B5894" s="134">
        <v>214</v>
      </c>
      <c r="C5894" s="491">
        <v>1</v>
      </c>
      <c r="D5894" s="491">
        <v>2</v>
      </c>
      <c r="E5894" s="491">
        <v>0</v>
      </c>
      <c r="F5894" s="491">
        <v>1</v>
      </c>
      <c r="G5894" s="491">
        <f t="shared" si="92"/>
        <v>4</v>
      </c>
    </row>
    <row r="5895" spans="1:7" ht="12.75">
      <c r="A5895" s="134" t="s">
        <v>891</v>
      </c>
      <c r="B5895" s="134">
        <v>251</v>
      </c>
      <c r="C5895" s="491">
        <v>0</v>
      </c>
      <c r="D5895" s="491">
        <v>1</v>
      </c>
      <c r="E5895" s="491">
        <v>0</v>
      </c>
      <c r="F5895" s="491">
        <v>0</v>
      </c>
      <c r="G5895" s="491">
        <f t="shared" si="92"/>
        <v>1</v>
      </c>
    </row>
    <row r="5896" spans="1:7" ht="12.75">
      <c r="A5896" s="134" t="s">
        <v>891</v>
      </c>
      <c r="B5896" s="134">
        <v>253</v>
      </c>
      <c r="C5896" s="491">
        <v>1</v>
      </c>
      <c r="D5896" s="491">
        <v>0</v>
      </c>
      <c r="E5896" s="491">
        <v>0</v>
      </c>
      <c r="F5896" s="491">
        <v>0</v>
      </c>
      <c r="G5896" s="491">
        <f t="shared" si="92"/>
        <v>1</v>
      </c>
    </row>
    <row r="5897" spans="1:7" ht="12.75">
      <c r="A5897" s="134" t="s">
        <v>891</v>
      </c>
      <c r="B5897" s="134">
        <v>300</v>
      </c>
      <c r="C5897" s="491">
        <v>5</v>
      </c>
      <c r="D5897" s="491">
        <v>7</v>
      </c>
      <c r="E5897" s="491">
        <v>0</v>
      </c>
      <c r="F5897" s="491">
        <v>0</v>
      </c>
      <c r="G5897" s="491">
        <f t="shared" si="92"/>
        <v>12</v>
      </c>
    </row>
    <row r="5898" spans="1:7" ht="12.75">
      <c r="A5898" s="134" t="s">
        <v>891</v>
      </c>
      <c r="B5898" s="134">
        <v>301</v>
      </c>
      <c r="C5898" s="491">
        <v>3</v>
      </c>
      <c r="D5898" s="491">
        <v>6</v>
      </c>
      <c r="E5898" s="491">
        <v>1</v>
      </c>
      <c r="F5898" s="491">
        <v>0</v>
      </c>
      <c r="G5898" s="491">
        <f t="shared" si="92"/>
        <v>10</v>
      </c>
    </row>
    <row r="5899" spans="1:7" ht="12.75">
      <c r="A5899" s="134" t="s">
        <v>891</v>
      </c>
      <c r="B5899" s="134">
        <v>303</v>
      </c>
      <c r="C5899" s="491">
        <v>6</v>
      </c>
      <c r="D5899" s="491">
        <v>7</v>
      </c>
      <c r="E5899" s="491">
        <v>3</v>
      </c>
      <c r="F5899" s="491">
        <v>0</v>
      </c>
      <c r="G5899" s="491">
        <f t="shared" si="92"/>
        <v>16</v>
      </c>
    </row>
    <row r="5900" spans="1:7" ht="12.75">
      <c r="A5900" s="134" t="s">
        <v>891</v>
      </c>
      <c r="B5900" s="134">
        <v>304</v>
      </c>
      <c r="C5900" s="491">
        <v>1</v>
      </c>
      <c r="D5900" s="491">
        <v>0</v>
      </c>
      <c r="E5900" s="491">
        <v>0</v>
      </c>
      <c r="F5900" s="491">
        <v>0</v>
      </c>
      <c r="G5900" s="491">
        <f t="shared" si="92"/>
        <v>1</v>
      </c>
    </row>
    <row r="5901" spans="1:7" ht="12.75">
      <c r="A5901" s="134" t="s">
        <v>891</v>
      </c>
      <c r="B5901" s="134">
        <v>305</v>
      </c>
      <c r="C5901" s="491">
        <v>1</v>
      </c>
      <c r="D5901" s="491">
        <v>0</v>
      </c>
      <c r="E5901" s="491">
        <v>0</v>
      </c>
      <c r="F5901" s="491">
        <v>0</v>
      </c>
      <c r="G5901" s="491">
        <f t="shared" si="92"/>
        <v>1</v>
      </c>
    </row>
    <row r="5902" spans="1:7" ht="12.75">
      <c r="A5902" s="134" t="s">
        <v>891</v>
      </c>
      <c r="B5902" s="134">
        <v>306</v>
      </c>
      <c r="C5902" s="491">
        <v>0</v>
      </c>
      <c r="D5902" s="491">
        <v>0</v>
      </c>
      <c r="E5902" s="491">
        <v>1</v>
      </c>
      <c r="F5902" s="491">
        <v>0</v>
      </c>
      <c r="G5902" s="491">
        <f t="shared" si="92"/>
        <v>1</v>
      </c>
    </row>
    <row r="5903" spans="1:7" ht="12.75">
      <c r="A5903" s="134" t="s">
        <v>891</v>
      </c>
      <c r="B5903" s="134">
        <v>311</v>
      </c>
      <c r="C5903" s="491">
        <v>1</v>
      </c>
      <c r="D5903" s="491">
        <v>0</v>
      </c>
      <c r="E5903" s="491">
        <v>0</v>
      </c>
      <c r="F5903" s="491">
        <v>0</v>
      </c>
      <c r="G5903" s="491">
        <f t="shared" si="92"/>
        <v>1</v>
      </c>
    </row>
    <row r="5904" spans="1:7" ht="12.75">
      <c r="A5904" s="134" t="s">
        <v>891</v>
      </c>
      <c r="B5904" s="134">
        <v>314</v>
      </c>
      <c r="C5904" s="491">
        <v>0</v>
      </c>
      <c r="D5904" s="491">
        <v>1</v>
      </c>
      <c r="E5904" s="491">
        <v>0</v>
      </c>
      <c r="F5904" s="491">
        <v>0</v>
      </c>
      <c r="G5904" s="491">
        <f t="shared" si="92"/>
        <v>1</v>
      </c>
    </row>
    <row r="5905" spans="1:7" ht="12.75">
      <c r="A5905" s="134" t="s">
        <v>891</v>
      </c>
      <c r="B5905" s="134">
        <v>315</v>
      </c>
      <c r="C5905" s="491">
        <v>1</v>
      </c>
      <c r="D5905" s="491">
        <v>0</v>
      </c>
      <c r="E5905" s="491">
        <v>0</v>
      </c>
      <c r="F5905" s="491">
        <v>0</v>
      </c>
      <c r="G5905" s="491">
        <f t="shared" si="92"/>
        <v>1</v>
      </c>
    </row>
    <row r="5906" spans="1:7" ht="12.75">
      <c r="A5906" s="134" t="s">
        <v>891</v>
      </c>
      <c r="B5906" s="134">
        <v>320</v>
      </c>
      <c r="C5906" s="491">
        <v>7</v>
      </c>
      <c r="D5906" s="491">
        <v>15</v>
      </c>
      <c r="E5906" s="491">
        <v>0</v>
      </c>
      <c r="F5906" s="491">
        <v>0</v>
      </c>
      <c r="G5906" s="491">
        <f t="shared" si="92"/>
        <v>22</v>
      </c>
    </row>
    <row r="5907" spans="1:7" ht="12.75">
      <c r="A5907" s="134" t="s">
        <v>891</v>
      </c>
      <c r="B5907" s="134">
        <v>321</v>
      </c>
      <c r="C5907" s="491">
        <v>0</v>
      </c>
      <c r="D5907" s="491">
        <v>0</v>
      </c>
      <c r="E5907" s="491">
        <v>1</v>
      </c>
      <c r="F5907" s="491">
        <v>0</v>
      </c>
      <c r="G5907" s="491">
        <f t="shared" si="92"/>
        <v>1</v>
      </c>
    </row>
    <row r="5908" spans="1:7" ht="12.75">
      <c r="A5908" s="134" t="s">
        <v>891</v>
      </c>
      <c r="B5908" s="134">
        <v>324</v>
      </c>
      <c r="C5908" s="491">
        <v>0</v>
      </c>
      <c r="D5908" s="491">
        <v>1</v>
      </c>
      <c r="E5908" s="491">
        <v>1</v>
      </c>
      <c r="F5908" s="491">
        <v>0</v>
      </c>
      <c r="G5908" s="491">
        <f t="shared" si="92"/>
        <v>2</v>
      </c>
    </row>
    <row r="5909" spans="1:7" ht="12.75">
      <c r="A5909" s="134" t="s">
        <v>891</v>
      </c>
      <c r="B5909" s="134">
        <v>330</v>
      </c>
      <c r="C5909" s="491">
        <v>31</v>
      </c>
      <c r="D5909" s="491">
        <v>5</v>
      </c>
      <c r="E5909" s="491">
        <v>0</v>
      </c>
      <c r="F5909" s="491">
        <v>0</v>
      </c>
      <c r="G5909" s="491">
        <f t="shared" si="92"/>
        <v>36</v>
      </c>
    </row>
    <row r="5910" spans="1:7" ht="12.75">
      <c r="A5910" s="134" t="s">
        <v>891</v>
      </c>
      <c r="B5910" s="134">
        <v>340</v>
      </c>
      <c r="C5910" s="491">
        <v>3</v>
      </c>
      <c r="D5910" s="491">
        <v>7</v>
      </c>
      <c r="E5910" s="491">
        <v>0</v>
      </c>
      <c r="F5910" s="491">
        <v>0</v>
      </c>
      <c r="G5910" s="491">
        <f t="shared" si="92"/>
        <v>10</v>
      </c>
    </row>
    <row r="5911" spans="1:7" ht="12.75">
      <c r="A5911" s="134" t="s">
        <v>891</v>
      </c>
      <c r="B5911" s="134">
        <v>350</v>
      </c>
      <c r="C5911" s="491">
        <v>0</v>
      </c>
      <c r="D5911" s="491">
        <v>0</v>
      </c>
      <c r="E5911" s="491">
        <v>1</v>
      </c>
      <c r="F5911" s="491">
        <v>0</v>
      </c>
      <c r="G5911" s="491">
        <f t="shared" si="92"/>
        <v>1</v>
      </c>
    </row>
    <row r="5912" spans="1:7" ht="12.75">
      <c r="A5912" s="134" t="s">
        <v>891</v>
      </c>
      <c r="B5912" s="134">
        <v>361</v>
      </c>
      <c r="C5912" s="491">
        <v>1</v>
      </c>
      <c r="D5912" s="491">
        <v>0</v>
      </c>
      <c r="E5912" s="491">
        <v>0</v>
      </c>
      <c r="F5912" s="491">
        <v>0</v>
      </c>
      <c r="G5912" s="491">
        <f t="shared" si="92"/>
        <v>1</v>
      </c>
    </row>
    <row r="5913" spans="1:7" ht="12.75">
      <c r="A5913" s="134" t="s">
        <v>891</v>
      </c>
      <c r="B5913" s="134">
        <v>370</v>
      </c>
      <c r="C5913" s="491">
        <v>102</v>
      </c>
      <c r="D5913" s="491">
        <v>32</v>
      </c>
      <c r="E5913" s="491">
        <v>12</v>
      </c>
      <c r="F5913" s="491">
        <v>2</v>
      </c>
      <c r="G5913" s="491">
        <f t="shared" si="92"/>
        <v>148</v>
      </c>
    </row>
    <row r="5914" spans="1:7" ht="12.75">
      <c r="A5914" s="134" t="s">
        <v>891</v>
      </c>
      <c r="B5914" s="134">
        <v>400</v>
      </c>
      <c r="C5914" s="491">
        <v>3</v>
      </c>
      <c r="D5914" s="491">
        <v>2</v>
      </c>
      <c r="E5914" s="491">
        <v>0</v>
      </c>
      <c r="F5914" s="491">
        <v>0</v>
      </c>
      <c r="G5914" s="491">
        <f t="shared" si="92"/>
        <v>5</v>
      </c>
    </row>
    <row r="5915" spans="1:7" ht="12.75">
      <c r="A5915" s="134" t="s">
        <v>891</v>
      </c>
      <c r="B5915" s="134">
        <v>410</v>
      </c>
      <c r="C5915" s="491">
        <v>3</v>
      </c>
      <c r="D5915" s="491">
        <v>4</v>
      </c>
      <c r="E5915" s="491">
        <v>0</v>
      </c>
      <c r="F5915" s="491">
        <v>0</v>
      </c>
      <c r="G5915" s="491">
        <f t="shared" si="92"/>
        <v>7</v>
      </c>
    </row>
    <row r="5916" spans="1:7" ht="12.75">
      <c r="A5916" s="134" t="s">
        <v>891</v>
      </c>
      <c r="B5916" s="134">
        <v>420</v>
      </c>
      <c r="C5916" s="491">
        <v>4</v>
      </c>
      <c r="D5916" s="491">
        <v>3</v>
      </c>
      <c r="E5916" s="491">
        <v>0</v>
      </c>
      <c r="F5916" s="491">
        <v>0</v>
      </c>
      <c r="G5916" s="491">
        <f t="shared" si="92"/>
        <v>7</v>
      </c>
    </row>
    <row r="5917" spans="1:7" ht="12.75">
      <c r="A5917" s="134" t="s">
        <v>891</v>
      </c>
      <c r="B5917" s="134">
        <v>430</v>
      </c>
      <c r="C5917" s="491">
        <v>0</v>
      </c>
      <c r="D5917" s="491">
        <v>1</v>
      </c>
      <c r="E5917" s="491">
        <v>0</v>
      </c>
      <c r="F5917" s="491">
        <v>0</v>
      </c>
      <c r="G5917" s="491">
        <f t="shared" si="92"/>
        <v>1</v>
      </c>
    </row>
    <row r="5918" spans="1:7" ht="12.75">
      <c r="A5918" s="134" t="s">
        <v>891</v>
      </c>
      <c r="B5918" s="134">
        <v>501</v>
      </c>
      <c r="C5918" s="491">
        <v>6</v>
      </c>
      <c r="D5918" s="491">
        <v>3</v>
      </c>
      <c r="E5918" s="491">
        <v>0</v>
      </c>
      <c r="F5918" s="491">
        <v>0</v>
      </c>
      <c r="G5918" s="491">
        <f t="shared" si="92"/>
        <v>9</v>
      </c>
    </row>
    <row r="5919" spans="1:7" ht="12.75">
      <c r="A5919" s="134" t="s">
        <v>891</v>
      </c>
      <c r="B5919" s="134">
        <v>502</v>
      </c>
      <c r="C5919" s="491">
        <v>21</v>
      </c>
      <c r="D5919" s="491">
        <v>12</v>
      </c>
      <c r="E5919" s="491">
        <v>0</v>
      </c>
      <c r="F5919" s="491">
        <v>0</v>
      </c>
      <c r="G5919" s="491">
        <f t="shared" si="92"/>
        <v>33</v>
      </c>
    </row>
    <row r="5920" spans="1:7" ht="12.75">
      <c r="A5920" s="134" t="s">
        <v>891</v>
      </c>
      <c r="B5920" s="134">
        <v>560</v>
      </c>
      <c r="C5920" s="491">
        <v>4</v>
      </c>
      <c r="D5920" s="491">
        <v>8</v>
      </c>
      <c r="E5920" s="491">
        <v>0</v>
      </c>
      <c r="F5920" s="491">
        <v>0</v>
      </c>
      <c r="G5920" s="491">
        <f t="shared" si="92"/>
        <v>12</v>
      </c>
    </row>
    <row r="5921" spans="1:7" ht="12.75">
      <c r="A5921" s="134" t="s">
        <v>891</v>
      </c>
      <c r="B5921" s="134">
        <v>650</v>
      </c>
      <c r="C5921" s="491">
        <v>3</v>
      </c>
      <c r="D5921" s="491">
        <v>7</v>
      </c>
      <c r="E5921" s="491">
        <v>0</v>
      </c>
      <c r="F5921" s="491">
        <v>0</v>
      </c>
      <c r="G5921" s="491">
        <f t="shared" si="92"/>
        <v>10</v>
      </c>
    </row>
    <row r="5922" spans="1:7" ht="12.75">
      <c r="A5922" s="134" t="s">
        <v>891</v>
      </c>
      <c r="B5922" s="134">
        <v>651</v>
      </c>
      <c r="C5922" s="491">
        <v>0</v>
      </c>
      <c r="D5922" s="491">
        <v>1</v>
      </c>
      <c r="E5922" s="491">
        <v>0</v>
      </c>
      <c r="F5922" s="491">
        <v>0</v>
      </c>
      <c r="G5922" s="491">
        <f t="shared" si="92"/>
        <v>1</v>
      </c>
    </row>
    <row r="5923" spans="1:7" ht="12.75">
      <c r="A5923" s="134" t="s">
        <v>891</v>
      </c>
      <c r="B5923" s="134">
        <v>654</v>
      </c>
      <c r="C5923" s="491">
        <v>3</v>
      </c>
      <c r="D5923" s="491">
        <v>0</v>
      </c>
      <c r="E5923" s="491">
        <v>0</v>
      </c>
      <c r="F5923" s="491">
        <v>0</v>
      </c>
      <c r="G5923" s="491">
        <f t="shared" si="92"/>
        <v>3</v>
      </c>
    </row>
    <row r="5924" spans="1:7" ht="12.75">
      <c r="A5924" s="134" t="s">
        <v>891</v>
      </c>
      <c r="B5924" s="134">
        <v>656</v>
      </c>
      <c r="C5924" s="491">
        <v>1</v>
      </c>
      <c r="D5924" s="491">
        <v>0</v>
      </c>
      <c r="E5924" s="491">
        <v>0</v>
      </c>
      <c r="F5924" s="491">
        <v>0</v>
      </c>
      <c r="G5924" s="491">
        <f t="shared" si="92"/>
        <v>1</v>
      </c>
    </row>
    <row r="5925" spans="1:7" ht="12.75">
      <c r="A5925" s="134" t="s">
        <v>891</v>
      </c>
      <c r="B5925" s="134">
        <v>800</v>
      </c>
      <c r="C5925" s="491">
        <v>61</v>
      </c>
      <c r="D5925" s="491">
        <v>66</v>
      </c>
      <c r="E5925" s="491">
        <v>1</v>
      </c>
      <c r="F5925" s="491">
        <v>3</v>
      </c>
      <c r="G5925" s="491">
        <f t="shared" si="92"/>
        <v>131</v>
      </c>
    </row>
    <row r="5926" spans="1:7" ht="12.75">
      <c r="A5926" s="134" t="s">
        <v>891</v>
      </c>
      <c r="B5926" s="134">
        <v>811</v>
      </c>
      <c r="C5926" s="491">
        <v>222</v>
      </c>
      <c r="D5926" s="491">
        <v>2546</v>
      </c>
      <c r="E5926" s="491">
        <v>0</v>
      </c>
      <c r="F5926" s="491">
        <v>5</v>
      </c>
      <c r="G5926" s="491">
        <f t="shared" si="92"/>
        <v>2773</v>
      </c>
    </row>
    <row r="5927" spans="1:7" ht="12.75">
      <c r="A5927" s="134" t="s">
        <v>891</v>
      </c>
      <c r="B5927" s="134">
        <v>812</v>
      </c>
      <c r="C5927" s="491">
        <v>4274</v>
      </c>
      <c r="D5927" s="491">
        <v>3869</v>
      </c>
      <c r="E5927" s="491">
        <v>0</v>
      </c>
      <c r="F5927" s="491">
        <v>0</v>
      </c>
      <c r="G5927" s="491">
        <f t="shared" si="92"/>
        <v>8143</v>
      </c>
    </row>
    <row r="5928" spans="1:7" ht="12.75">
      <c r="A5928" s="134" t="s">
        <v>891</v>
      </c>
      <c r="B5928" s="134">
        <v>822</v>
      </c>
      <c r="C5928" s="491">
        <v>0</v>
      </c>
      <c r="D5928" s="491">
        <v>0</v>
      </c>
      <c r="E5928" s="491">
        <v>1</v>
      </c>
      <c r="F5928" s="491">
        <v>0</v>
      </c>
      <c r="G5928" s="491">
        <f t="shared" si="92"/>
        <v>1</v>
      </c>
    </row>
    <row r="5929" spans="1:7" ht="12.75">
      <c r="A5929" s="134" t="s">
        <v>362</v>
      </c>
      <c r="B5929" s="134">
        <v>100</v>
      </c>
      <c r="C5929" s="491">
        <v>24</v>
      </c>
      <c r="D5929" s="491">
        <v>86</v>
      </c>
      <c r="E5929" s="491">
        <v>3</v>
      </c>
      <c r="F5929" s="491">
        <v>29</v>
      </c>
      <c r="G5929" s="491">
        <f t="shared" si="92"/>
        <v>142</v>
      </c>
    </row>
    <row r="5930" spans="1:7" ht="12.75">
      <c r="A5930" s="134" t="s">
        <v>362</v>
      </c>
      <c r="B5930" s="134">
        <v>103</v>
      </c>
      <c r="C5930" s="491">
        <v>263</v>
      </c>
      <c r="D5930" s="491">
        <v>1062</v>
      </c>
      <c r="E5930" s="491">
        <v>10</v>
      </c>
      <c r="F5930" s="491">
        <v>305</v>
      </c>
      <c r="G5930" s="491">
        <f t="shared" si="92"/>
        <v>1640</v>
      </c>
    </row>
    <row r="5931" spans="1:7" ht="12.75">
      <c r="A5931" s="134" t="s">
        <v>362</v>
      </c>
      <c r="B5931" s="134">
        <v>104</v>
      </c>
      <c r="C5931" s="491">
        <v>1</v>
      </c>
      <c r="D5931" s="491">
        <v>0</v>
      </c>
      <c r="E5931" s="491">
        <v>0</v>
      </c>
      <c r="F5931" s="491">
        <v>0</v>
      </c>
      <c r="G5931" s="491">
        <f t="shared" si="92"/>
        <v>1</v>
      </c>
    </row>
    <row r="5932" spans="1:7" ht="12.75">
      <c r="A5932" s="134" t="s">
        <v>362</v>
      </c>
      <c r="B5932" s="134">
        <v>110</v>
      </c>
      <c r="C5932" s="491">
        <v>0</v>
      </c>
      <c r="D5932" s="491">
        <v>3</v>
      </c>
      <c r="E5932" s="491">
        <v>0</v>
      </c>
      <c r="F5932" s="491">
        <v>0</v>
      </c>
      <c r="G5932" s="491">
        <f t="shared" si="92"/>
        <v>3</v>
      </c>
    </row>
    <row r="5933" spans="1:7" ht="12.75">
      <c r="A5933" s="134" t="s">
        <v>362</v>
      </c>
      <c r="B5933" s="134">
        <v>120</v>
      </c>
      <c r="C5933" s="491">
        <v>1</v>
      </c>
      <c r="D5933" s="491">
        <v>1</v>
      </c>
      <c r="E5933" s="491">
        <v>0</v>
      </c>
      <c r="F5933" s="491">
        <v>0</v>
      </c>
      <c r="G5933" s="491">
        <f t="shared" si="92"/>
        <v>2</v>
      </c>
    </row>
    <row r="5934" spans="1:7" ht="12.75">
      <c r="A5934" s="134" t="s">
        <v>362</v>
      </c>
      <c r="B5934" s="134">
        <v>130</v>
      </c>
      <c r="C5934" s="491">
        <v>2</v>
      </c>
      <c r="D5934" s="491">
        <v>1</v>
      </c>
      <c r="E5934" s="491">
        <v>0</v>
      </c>
      <c r="F5934" s="491">
        <v>0</v>
      </c>
      <c r="G5934" s="491">
        <f t="shared" si="92"/>
        <v>3</v>
      </c>
    </row>
    <row r="5935" spans="1:7" ht="12.75">
      <c r="A5935" s="134" t="s">
        <v>362</v>
      </c>
      <c r="B5935" s="134">
        <v>160</v>
      </c>
      <c r="C5935" s="491">
        <v>39</v>
      </c>
      <c r="D5935" s="491">
        <v>20</v>
      </c>
      <c r="E5935" s="491">
        <v>0</v>
      </c>
      <c r="F5935" s="491">
        <v>0</v>
      </c>
      <c r="G5935" s="491">
        <f t="shared" si="92"/>
        <v>59</v>
      </c>
    </row>
    <row r="5936" spans="1:7" ht="12.75">
      <c r="A5936" s="134" t="s">
        <v>362</v>
      </c>
      <c r="B5936" s="134">
        <v>191</v>
      </c>
      <c r="C5936" s="491">
        <v>1</v>
      </c>
      <c r="D5936" s="491">
        <v>0</v>
      </c>
      <c r="E5936" s="491">
        <v>0</v>
      </c>
      <c r="F5936" s="491">
        <v>0</v>
      </c>
      <c r="G5936" s="491">
        <f t="shared" si="92"/>
        <v>1</v>
      </c>
    </row>
    <row r="5937" spans="1:7" ht="12.75">
      <c r="A5937" s="134" t="s">
        <v>362</v>
      </c>
      <c r="B5937" s="134">
        <v>320</v>
      </c>
      <c r="C5937" s="491">
        <v>1</v>
      </c>
      <c r="D5937" s="491">
        <v>0</v>
      </c>
      <c r="E5937" s="491">
        <v>0</v>
      </c>
      <c r="F5937" s="491">
        <v>0</v>
      </c>
      <c r="G5937" s="491">
        <f t="shared" si="92"/>
        <v>1</v>
      </c>
    </row>
    <row r="5938" spans="1:7" ht="12.75">
      <c r="A5938" s="134" t="s">
        <v>362</v>
      </c>
      <c r="B5938" s="134">
        <v>370</v>
      </c>
      <c r="C5938" s="491">
        <v>2</v>
      </c>
      <c r="D5938" s="491">
        <v>3</v>
      </c>
      <c r="E5938" s="491">
        <v>0</v>
      </c>
      <c r="F5938" s="491">
        <v>0</v>
      </c>
      <c r="G5938" s="491">
        <f t="shared" si="92"/>
        <v>5</v>
      </c>
    </row>
    <row r="5939" spans="1:7" ht="12.75">
      <c r="A5939" s="134" t="s">
        <v>362</v>
      </c>
      <c r="B5939" s="134">
        <v>400</v>
      </c>
      <c r="C5939" s="491">
        <v>1</v>
      </c>
      <c r="D5939" s="491">
        <v>0</v>
      </c>
      <c r="E5939" s="491">
        <v>0</v>
      </c>
      <c r="F5939" s="491">
        <v>0</v>
      </c>
      <c r="G5939" s="491">
        <f t="shared" si="92"/>
        <v>1</v>
      </c>
    </row>
    <row r="5940" spans="1:7" ht="12.75">
      <c r="A5940" s="134" t="s">
        <v>362</v>
      </c>
      <c r="B5940" s="134">
        <v>800</v>
      </c>
      <c r="C5940" s="491">
        <v>7</v>
      </c>
      <c r="D5940" s="491">
        <v>32</v>
      </c>
      <c r="E5940" s="491">
        <v>0</v>
      </c>
      <c r="F5940" s="491">
        <v>0</v>
      </c>
      <c r="G5940" s="491">
        <f t="shared" si="92"/>
        <v>39</v>
      </c>
    </row>
    <row r="5941" spans="1:7" ht="12.75">
      <c r="A5941" s="134" t="s">
        <v>362</v>
      </c>
      <c r="B5941" s="134">
        <v>811</v>
      </c>
      <c r="C5941" s="491">
        <v>3</v>
      </c>
      <c r="D5941" s="491">
        <v>20</v>
      </c>
      <c r="E5941" s="491">
        <v>0</v>
      </c>
      <c r="F5941" s="491">
        <v>0</v>
      </c>
      <c r="G5941" s="491">
        <f t="shared" si="92"/>
        <v>23</v>
      </c>
    </row>
    <row r="5942" spans="1:7" ht="12.75">
      <c r="A5942" s="134" t="s">
        <v>362</v>
      </c>
      <c r="B5942" s="134">
        <v>812</v>
      </c>
      <c r="C5942" s="491">
        <v>34</v>
      </c>
      <c r="D5942" s="491">
        <v>4</v>
      </c>
      <c r="E5942" s="491">
        <v>0</v>
      </c>
      <c r="F5942" s="491">
        <v>0</v>
      </c>
      <c r="G5942" s="491">
        <f t="shared" si="92"/>
        <v>38</v>
      </c>
    </row>
    <row r="5943" spans="1:7" ht="12.75">
      <c r="A5943" s="134" t="s">
        <v>892</v>
      </c>
      <c r="B5943" s="134">
        <v>100</v>
      </c>
      <c r="C5943" s="491">
        <v>103</v>
      </c>
      <c r="D5943" s="491">
        <v>5</v>
      </c>
      <c r="E5943" s="491">
        <v>0</v>
      </c>
      <c r="F5943" s="491">
        <v>0</v>
      </c>
      <c r="G5943" s="491">
        <f t="shared" si="92"/>
        <v>108</v>
      </c>
    </row>
    <row r="5944" spans="1:7" ht="12.75">
      <c r="A5944" s="134" t="s">
        <v>892</v>
      </c>
      <c r="B5944" s="134">
        <v>103</v>
      </c>
      <c r="C5944" s="491">
        <v>701</v>
      </c>
      <c r="D5944" s="491">
        <v>399</v>
      </c>
      <c r="E5944" s="491">
        <v>31</v>
      </c>
      <c r="F5944" s="491">
        <v>6</v>
      </c>
      <c r="G5944" s="491">
        <f t="shared" si="92"/>
        <v>1137</v>
      </c>
    </row>
    <row r="5945" spans="1:7" ht="12.75">
      <c r="A5945" s="134" t="s">
        <v>892</v>
      </c>
      <c r="B5945" s="134">
        <v>104</v>
      </c>
      <c r="C5945" s="491">
        <v>2</v>
      </c>
      <c r="D5945" s="491">
        <v>0</v>
      </c>
      <c r="E5945" s="491">
        <v>0</v>
      </c>
      <c r="F5945" s="491">
        <v>0</v>
      </c>
      <c r="G5945" s="491">
        <f t="shared" si="92"/>
        <v>2</v>
      </c>
    </row>
    <row r="5946" spans="1:7" ht="12.75">
      <c r="A5946" s="134" t="s">
        <v>892</v>
      </c>
      <c r="B5946" s="134">
        <v>110</v>
      </c>
      <c r="C5946" s="491">
        <v>0</v>
      </c>
      <c r="D5946" s="491">
        <v>1</v>
      </c>
      <c r="E5946" s="491">
        <v>0</v>
      </c>
      <c r="F5946" s="491">
        <v>0</v>
      </c>
      <c r="G5946" s="491">
        <f t="shared" si="92"/>
        <v>1</v>
      </c>
    </row>
    <row r="5947" spans="1:7" ht="12.75">
      <c r="A5947" s="134" t="s">
        <v>892</v>
      </c>
      <c r="B5947" s="134">
        <v>140</v>
      </c>
      <c r="C5947" s="491">
        <v>2</v>
      </c>
      <c r="D5947" s="491">
        <v>0</v>
      </c>
      <c r="E5947" s="491">
        <v>0</v>
      </c>
      <c r="F5947" s="491">
        <v>0</v>
      </c>
      <c r="G5947" s="491">
        <f t="shared" si="92"/>
        <v>2</v>
      </c>
    </row>
    <row r="5948" spans="1:7" ht="12.75">
      <c r="A5948" s="134" t="s">
        <v>892</v>
      </c>
      <c r="B5948" s="134">
        <v>160</v>
      </c>
      <c r="C5948" s="491">
        <v>38</v>
      </c>
      <c r="D5948" s="491">
        <v>4</v>
      </c>
      <c r="E5948" s="491">
        <v>0</v>
      </c>
      <c r="F5948" s="491">
        <v>0</v>
      </c>
      <c r="G5948" s="491">
        <f t="shared" si="92"/>
        <v>42</v>
      </c>
    </row>
    <row r="5949" spans="1:7" ht="12.75">
      <c r="A5949" s="134" t="s">
        <v>892</v>
      </c>
      <c r="B5949" s="134">
        <v>320</v>
      </c>
      <c r="C5949" s="491">
        <v>1</v>
      </c>
      <c r="D5949" s="491">
        <v>0</v>
      </c>
      <c r="E5949" s="491">
        <v>0</v>
      </c>
      <c r="F5949" s="491">
        <v>0</v>
      </c>
      <c r="G5949" s="491">
        <f t="shared" si="92"/>
        <v>1</v>
      </c>
    </row>
    <row r="5950" spans="1:7" ht="12.75">
      <c r="A5950" s="134" t="s">
        <v>892</v>
      </c>
      <c r="B5950" s="134">
        <v>370</v>
      </c>
      <c r="C5950" s="491">
        <v>1</v>
      </c>
      <c r="D5950" s="491">
        <v>0</v>
      </c>
      <c r="E5950" s="491">
        <v>1</v>
      </c>
      <c r="F5950" s="491">
        <v>0</v>
      </c>
      <c r="G5950" s="491">
        <f t="shared" si="92"/>
        <v>2</v>
      </c>
    </row>
    <row r="5951" spans="1:7" ht="12.75">
      <c r="A5951" s="134" t="s">
        <v>892</v>
      </c>
      <c r="B5951" s="134">
        <v>501</v>
      </c>
      <c r="C5951" s="491">
        <v>18</v>
      </c>
      <c r="D5951" s="491">
        <v>3</v>
      </c>
      <c r="E5951" s="491">
        <v>0</v>
      </c>
      <c r="F5951" s="491">
        <v>0</v>
      </c>
      <c r="G5951" s="491">
        <f t="shared" si="92"/>
        <v>21</v>
      </c>
    </row>
    <row r="5952" spans="1:7" ht="12.75">
      <c r="A5952" s="134" t="s">
        <v>892</v>
      </c>
      <c r="B5952" s="134">
        <v>502</v>
      </c>
      <c r="C5952" s="491">
        <v>0</v>
      </c>
      <c r="D5952" s="491">
        <v>1</v>
      </c>
      <c r="E5952" s="491">
        <v>0</v>
      </c>
      <c r="F5952" s="491">
        <v>0</v>
      </c>
      <c r="G5952" s="491">
        <f t="shared" si="92"/>
        <v>1</v>
      </c>
    </row>
    <row r="5953" spans="1:7" ht="12.75">
      <c r="A5953" s="134" t="s">
        <v>892</v>
      </c>
      <c r="B5953" s="134">
        <v>650</v>
      </c>
      <c r="C5953" s="491">
        <v>0</v>
      </c>
      <c r="D5953" s="491">
        <v>1</v>
      </c>
      <c r="E5953" s="491">
        <v>0</v>
      </c>
      <c r="F5953" s="491">
        <v>0</v>
      </c>
      <c r="G5953" s="491">
        <f t="shared" si="92"/>
        <v>1</v>
      </c>
    </row>
    <row r="5954" spans="1:7" ht="12.75">
      <c r="A5954" s="134" t="s">
        <v>892</v>
      </c>
      <c r="B5954" s="134">
        <v>800</v>
      </c>
      <c r="C5954" s="491">
        <v>2</v>
      </c>
      <c r="D5954" s="491">
        <v>37</v>
      </c>
      <c r="E5954" s="491">
        <v>0</v>
      </c>
      <c r="F5954" s="491">
        <v>0</v>
      </c>
      <c r="G5954" s="491">
        <f t="shared" si="92"/>
        <v>39</v>
      </c>
    </row>
    <row r="5955" spans="1:7" ht="12.75">
      <c r="A5955" s="134" t="s">
        <v>892</v>
      </c>
      <c r="B5955" s="134">
        <v>812</v>
      </c>
      <c r="C5955" s="491">
        <v>2</v>
      </c>
      <c r="D5955" s="491">
        <v>2</v>
      </c>
      <c r="E5955" s="491">
        <v>0</v>
      </c>
      <c r="F5955" s="491">
        <v>0</v>
      </c>
      <c r="G5955" s="491">
        <f t="shared" si="92"/>
        <v>4</v>
      </c>
    </row>
    <row r="5956" spans="1:7" ht="12.75">
      <c r="A5956" s="134" t="s">
        <v>332</v>
      </c>
      <c r="B5956" s="134">
        <v>103</v>
      </c>
      <c r="C5956" s="491">
        <v>5</v>
      </c>
      <c r="D5956" s="491">
        <v>0</v>
      </c>
      <c r="E5956" s="491">
        <v>0</v>
      </c>
      <c r="F5956" s="491">
        <v>1</v>
      </c>
      <c r="G5956" s="491">
        <f t="shared" ref="G5956:G6019" si="93">SUM(C5956:F5956)</f>
        <v>6</v>
      </c>
    </row>
    <row r="5957" spans="1:7" ht="12.75">
      <c r="A5957" s="134" t="s">
        <v>332</v>
      </c>
      <c r="B5957" s="134">
        <v>800</v>
      </c>
      <c r="C5957" s="491">
        <v>0</v>
      </c>
      <c r="D5957" s="491">
        <v>1</v>
      </c>
      <c r="E5957" s="491">
        <v>0</v>
      </c>
      <c r="F5957" s="491">
        <v>0</v>
      </c>
      <c r="G5957" s="491">
        <f t="shared" si="93"/>
        <v>1</v>
      </c>
    </row>
    <row r="5958" spans="1:7" ht="12.75">
      <c r="A5958" s="134" t="s">
        <v>893</v>
      </c>
      <c r="B5958" s="134">
        <v>100</v>
      </c>
      <c r="C5958" s="491">
        <v>69</v>
      </c>
      <c r="D5958" s="491">
        <v>37</v>
      </c>
      <c r="E5958" s="491">
        <v>6</v>
      </c>
      <c r="F5958" s="491">
        <v>5</v>
      </c>
      <c r="G5958" s="491">
        <f t="shared" si="93"/>
        <v>117</v>
      </c>
    </row>
    <row r="5959" spans="1:7" ht="12.75">
      <c r="A5959" s="134" t="s">
        <v>893</v>
      </c>
      <c r="B5959" s="134">
        <v>101</v>
      </c>
      <c r="C5959" s="491">
        <v>2</v>
      </c>
      <c r="D5959" s="491">
        <v>0</v>
      </c>
      <c r="E5959" s="491">
        <v>0</v>
      </c>
      <c r="F5959" s="491">
        <v>0</v>
      </c>
      <c r="G5959" s="491">
        <f t="shared" si="93"/>
        <v>2</v>
      </c>
    </row>
    <row r="5960" spans="1:7" ht="12.75">
      <c r="A5960" s="134" t="s">
        <v>893</v>
      </c>
      <c r="B5960" s="134">
        <v>103</v>
      </c>
      <c r="C5960" s="491">
        <v>1697</v>
      </c>
      <c r="D5960" s="491">
        <v>1752</v>
      </c>
      <c r="E5960" s="491">
        <v>289</v>
      </c>
      <c r="F5960" s="491">
        <v>355</v>
      </c>
      <c r="G5960" s="491">
        <f t="shared" si="93"/>
        <v>4093</v>
      </c>
    </row>
    <row r="5961" spans="1:7" ht="12.75">
      <c r="A5961" s="134" t="s">
        <v>893</v>
      </c>
      <c r="B5961" s="134">
        <v>104</v>
      </c>
      <c r="C5961" s="491">
        <v>1</v>
      </c>
      <c r="D5961" s="491">
        <v>0</v>
      </c>
      <c r="E5961" s="491">
        <v>0</v>
      </c>
      <c r="F5961" s="491">
        <v>0</v>
      </c>
      <c r="G5961" s="491">
        <f t="shared" si="93"/>
        <v>1</v>
      </c>
    </row>
    <row r="5962" spans="1:7" ht="12.75">
      <c r="A5962" s="134" t="s">
        <v>893</v>
      </c>
      <c r="B5962" s="134">
        <v>107</v>
      </c>
      <c r="C5962" s="491">
        <v>3</v>
      </c>
      <c r="D5962" s="491">
        <v>2</v>
      </c>
      <c r="E5962" s="491">
        <v>0</v>
      </c>
      <c r="F5962" s="491">
        <v>0</v>
      </c>
      <c r="G5962" s="491">
        <f t="shared" si="93"/>
        <v>5</v>
      </c>
    </row>
    <row r="5963" spans="1:7" ht="12.75">
      <c r="A5963" s="134" t="s">
        <v>893</v>
      </c>
      <c r="B5963" s="134">
        <v>110</v>
      </c>
      <c r="C5963" s="491">
        <v>1</v>
      </c>
      <c r="D5963" s="491">
        <v>0</v>
      </c>
      <c r="E5963" s="491">
        <v>0</v>
      </c>
      <c r="F5963" s="491">
        <v>0</v>
      </c>
      <c r="G5963" s="491">
        <f t="shared" si="93"/>
        <v>1</v>
      </c>
    </row>
    <row r="5964" spans="1:7" ht="12.75">
      <c r="A5964" s="134" t="s">
        <v>893</v>
      </c>
      <c r="B5964" s="134">
        <v>120</v>
      </c>
      <c r="C5964" s="491">
        <v>11</v>
      </c>
      <c r="D5964" s="491">
        <v>5</v>
      </c>
      <c r="E5964" s="491">
        <v>0</v>
      </c>
      <c r="F5964" s="491">
        <v>1</v>
      </c>
      <c r="G5964" s="491">
        <f t="shared" si="93"/>
        <v>17</v>
      </c>
    </row>
    <row r="5965" spans="1:7" ht="12.75">
      <c r="A5965" s="134" t="s">
        <v>893</v>
      </c>
      <c r="B5965" s="134">
        <v>140</v>
      </c>
      <c r="C5965" s="491">
        <v>30</v>
      </c>
      <c r="D5965" s="491">
        <v>26</v>
      </c>
      <c r="E5965" s="491">
        <v>0</v>
      </c>
      <c r="F5965" s="491">
        <v>0</v>
      </c>
      <c r="G5965" s="491">
        <f t="shared" si="93"/>
        <v>56</v>
      </c>
    </row>
    <row r="5966" spans="1:7" ht="12.75">
      <c r="A5966" s="134" t="s">
        <v>893</v>
      </c>
      <c r="B5966" s="134">
        <v>144</v>
      </c>
      <c r="C5966" s="491">
        <v>2</v>
      </c>
      <c r="D5966" s="491">
        <v>0</v>
      </c>
      <c r="E5966" s="491">
        <v>0</v>
      </c>
      <c r="F5966" s="491">
        <v>0</v>
      </c>
      <c r="G5966" s="491">
        <f t="shared" si="93"/>
        <v>2</v>
      </c>
    </row>
    <row r="5967" spans="1:7" ht="12.75">
      <c r="A5967" s="134" t="s">
        <v>893</v>
      </c>
      <c r="B5967" s="134">
        <v>160</v>
      </c>
      <c r="C5967" s="491">
        <v>111</v>
      </c>
      <c r="D5967" s="491">
        <v>4</v>
      </c>
      <c r="E5967" s="491">
        <v>51</v>
      </c>
      <c r="F5967" s="491">
        <v>1</v>
      </c>
      <c r="G5967" s="491">
        <f t="shared" si="93"/>
        <v>167</v>
      </c>
    </row>
    <row r="5968" spans="1:7" ht="12.75">
      <c r="A5968" s="134" t="s">
        <v>893</v>
      </c>
      <c r="B5968" s="134">
        <v>190</v>
      </c>
      <c r="C5968" s="491">
        <v>3</v>
      </c>
      <c r="D5968" s="491">
        <v>0</v>
      </c>
      <c r="E5968" s="491">
        <v>0</v>
      </c>
      <c r="F5968" s="491">
        <v>0</v>
      </c>
      <c r="G5968" s="491">
        <f t="shared" si="93"/>
        <v>3</v>
      </c>
    </row>
    <row r="5969" spans="1:7" ht="12.75">
      <c r="A5969" s="134" t="s">
        <v>893</v>
      </c>
      <c r="B5969" s="134">
        <v>191</v>
      </c>
      <c r="C5969" s="491">
        <v>1</v>
      </c>
      <c r="D5969" s="491">
        <v>0</v>
      </c>
      <c r="E5969" s="491">
        <v>0</v>
      </c>
      <c r="F5969" s="491">
        <v>1</v>
      </c>
      <c r="G5969" s="491">
        <f t="shared" si="93"/>
        <v>2</v>
      </c>
    </row>
    <row r="5970" spans="1:7" ht="12.75">
      <c r="A5970" s="134" t="s">
        <v>893</v>
      </c>
      <c r="B5970" s="134">
        <v>300</v>
      </c>
      <c r="C5970" s="491">
        <v>1</v>
      </c>
      <c r="D5970" s="491">
        <v>0</v>
      </c>
      <c r="E5970" s="491">
        <v>0</v>
      </c>
      <c r="F5970" s="491">
        <v>0</v>
      </c>
      <c r="G5970" s="491">
        <f t="shared" si="93"/>
        <v>1</v>
      </c>
    </row>
    <row r="5971" spans="1:7" ht="12.75">
      <c r="A5971" s="134" t="s">
        <v>893</v>
      </c>
      <c r="B5971" s="134">
        <v>301</v>
      </c>
      <c r="C5971" s="491">
        <v>0</v>
      </c>
      <c r="D5971" s="491">
        <v>1</v>
      </c>
      <c r="E5971" s="491">
        <v>0</v>
      </c>
      <c r="F5971" s="491">
        <v>0</v>
      </c>
      <c r="G5971" s="491">
        <f t="shared" si="93"/>
        <v>1</v>
      </c>
    </row>
    <row r="5972" spans="1:7" ht="12.75">
      <c r="A5972" s="134" t="s">
        <v>893</v>
      </c>
      <c r="B5972" s="134">
        <v>302</v>
      </c>
      <c r="C5972" s="491">
        <v>1</v>
      </c>
      <c r="D5972" s="491">
        <v>1</v>
      </c>
      <c r="E5972" s="491">
        <v>0</v>
      </c>
      <c r="F5972" s="491">
        <v>0</v>
      </c>
      <c r="G5972" s="491">
        <f t="shared" si="93"/>
        <v>2</v>
      </c>
    </row>
    <row r="5973" spans="1:7" ht="12.75">
      <c r="A5973" s="134" t="s">
        <v>893</v>
      </c>
      <c r="B5973" s="134">
        <v>303</v>
      </c>
      <c r="C5973" s="491">
        <v>5</v>
      </c>
      <c r="D5973" s="491">
        <v>2</v>
      </c>
      <c r="E5973" s="491">
        <v>0</v>
      </c>
      <c r="F5973" s="491">
        <v>0</v>
      </c>
      <c r="G5973" s="491">
        <f t="shared" si="93"/>
        <v>7</v>
      </c>
    </row>
    <row r="5974" spans="1:7" ht="12.75">
      <c r="A5974" s="134" t="s">
        <v>893</v>
      </c>
      <c r="B5974" s="134">
        <v>305</v>
      </c>
      <c r="C5974" s="491">
        <v>1</v>
      </c>
      <c r="D5974" s="491">
        <v>0</v>
      </c>
      <c r="E5974" s="491">
        <v>0</v>
      </c>
      <c r="F5974" s="491">
        <v>0</v>
      </c>
      <c r="G5974" s="491">
        <f t="shared" si="93"/>
        <v>1</v>
      </c>
    </row>
    <row r="5975" spans="1:7" ht="12.75">
      <c r="A5975" s="134" t="s">
        <v>893</v>
      </c>
      <c r="B5975" s="134">
        <v>320</v>
      </c>
      <c r="C5975" s="491">
        <v>0</v>
      </c>
      <c r="D5975" s="491">
        <v>1</v>
      </c>
      <c r="E5975" s="491">
        <v>0</v>
      </c>
      <c r="F5975" s="491">
        <v>0</v>
      </c>
      <c r="G5975" s="491">
        <f t="shared" si="93"/>
        <v>1</v>
      </c>
    </row>
    <row r="5976" spans="1:7" ht="12.75">
      <c r="A5976" s="134" t="s">
        <v>893</v>
      </c>
      <c r="B5976" s="134">
        <v>330</v>
      </c>
      <c r="C5976" s="491">
        <v>7</v>
      </c>
      <c r="D5976" s="491">
        <v>1</v>
      </c>
      <c r="E5976" s="491">
        <v>0</v>
      </c>
      <c r="F5976" s="491">
        <v>0</v>
      </c>
      <c r="G5976" s="491">
        <f t="shared" si="93"/>
        <v>8</v>
      </c>
    </row>
    <row r="5977" spans="1:7" ht="12.75">
      <c r="A5977" s="134" t="s">
        <v>893</v>
      </c>
      <c r="B5977" s="134">
        <v>340</v>
      </c>
      <c r="C5977" s="491">
        <v>7</v>
      </c>
      <c r="D5977" s="491">
        <v>2</v>
      </c>
      <c r="E5977" s="491">
        <v>0</v>
      </c>
      <c r="F5977" s="491">
        <v>0</v>
      </c>
      <c r="G5977" s="491">
        <f t="shared" si="93"/>
        <v>9</v>
      </c>
    </row>
    <row r="5978" spans="1:7" ht="12.75">
      <c r="A5978" s="134" t="s">
        <v>893</v>
      </c>
      <c r="B5978" s="134">
        <v>370</v>
      </c>
      <c r="C5978" s="491">
        <v>25</v>
      </c>
      <c r="D5978" s="491">
        <v>4</v>
      </c>
      <c r="E5978" s="491">
        <v>2</v>
      </c>
      <c r="F5978" s="491">
        <v>1</v>
      </c>
      <c r="G5978" s="491">
        <f t="shared" si="93"/>
        <v>32</v>
      </c>
    </row>
    <row r="5979" spans="1:7" ht="12.75">
      <c r="A5979" s="134" t="s">
        <v>893</v>
      </c>
      <c r="B5979" s="134">
        <v>501</v>
      </c>
      <c r="C5979" s="491">
        <v>5</v>
      </c>
      <c r="D5979" s="491">
        <v>3</v>
      </c>
      <c r="E5979" s="491">
        <v>0</v>
      </c>
      <c r="F5979" s="491">
        <v>0</v>
      </c>
      <c r="G5979" s="491">
        <f t="shared" si="93"/>
        <v>8</v>
      </c>
    </row>
    <row r="5980" spans="1:7" ht="12.75">
      <c r="A5980" s="134" t="s">
        <v>893</v>
      </c>
      <c r="B5980" s="134">
        <v>502</v>
      </c>
      <c r="C5980" s="491">
        <v>6</v>
      </c>
      <c r="D5980" s="491">
        <v>5</v>
      </c>
      <c r="E5980" s="491">
        <v>0</v>
      </c>
      <c r="F5980" s="491">
        <v>0</v>
      </c>
      <c r="G5980" s="491">
        <f t="shared" si="93"/>
        <v>11</v>
      </c>
    </row>
    <row r="5981" spans="1:7" ht="12.75">
      <c r="A5981" s="134" t="s">
        <v>893</v>
      </c>
      <c r="B5981" s="134">
        <v>560</v>
      </c>
      <c r="C5981" s="491">
        <v>2</v>
      </c>
      <c r="D5981" s="491">
        <v>3</v>
      </c>
      <c r="E5981" s="491">
        <v>0</v>
      </c>
      <c r="F5981" s="491">
        <v>0</v>
      </c>
      <c r="G5981" s="491">
        <f t="shared" si="93"/>
        <v>5</v>
      </c>
    </row>
    <row r="5982" spans="1:7" ht="12.75">
      <c r="A5982" s="134" t="s">
        <v>893</v>
      </c>
      <c r="B5982" s="134">
        <v>650</v>
      </c>
      <c r="C5982" s="491">
        <v>6</v>
      </c>
      <c r="D5982" s="491">
        <v>4</v>
      </c>
      <c r="E5982" s="491">
        <v>0</v>
      </c>
      <c r="F5982" s="491">
        <v>0</v>
      </c>
      <c r="G5982" s="491">
        <f t="shared" si="93"/>
        <v>10</v>
      </c>
    </row>
    <row r="5983" spans="1:7" ht="12.75">
      <c r="A5983" s="134" t="s">
        <v>893</v>
      </c>
      <c r="B5983" s="134">
        <v>800</v>
      </c>
      <c r="C5983" s="491">
        <v>15</v>
      </c>
      <c r="D5983" s="491">
        <v>4</v>
      </c>
      <c r="E5983" s="491">
        <v>0</v>
      </c>
      <c r="F5983" s="491">
        <v>0</v>
      </c>
      <c r="G5983" s="491">
        <f t="shared" si="93"/>
        <v>19</v>
      </c>
    </row>
    <row r="5984" spans="1:7" ht="12.75">
      <c r="A5984" s="134" t="s">
        <v>893</v>
      </c>
      <c r="B5984" s="134">
        <v>811</v>
      </c>
      <c r="C5984" s="491">
        <v>14</v>
      </c>
      <c r="D5984" s="491">
        <v>186</v>
      </c>
      <c r="E5984" s="491">
        <v>0</v>
      </c>
      <c r="F5984" s="491">
        <v>2</v>
      </c>
      <c r="G5984" s="491">
        <f t="shared" si="93"/>
        <v>202</v>
      </c>
    </row>
    <row r="5985" spans="1:7" ht="12.75">
      <c r="A5985" s="134" t="s">
        <v>893</v>
      </c>
      <c r="B5985" s="134">
        <v>812</v>
      </c>
      <c r="C5985" s="491">
        <v>947</v>
      </c>
      <c r="D5985" s="491">
        <v>610</v>
      </c>
      <c r="E5985" s="491">
        <v>0</v>
      </c>
      <c r="F5985" s="491">
        <v>0</v>
      </c>
      <c r="G5985" s="491">
        <f t="shared" si="93"/>
        <v>1557</v>
      </c>
    </row>
    <row r="5986" spans="1:7" ht="12.75">
      <c r="A5986" s="134" t="s">
        <v>327</v>
      </c>
      <c r="B5986" s="134">
        <v>100</v>
      </c>
      <c r="C5986" s="491">
        <v>1</v>
      </c>
      <c r="D5986" s="491">
        <v>18</v>
      </c>
      <c r="E5986" s="491">
        <v>0</v>
      </c>
      <c r="F5986" s="491">
        <v>1</v>
      </c>
      <c r="G5986" s="491">
        <f t="shared" si="93"/>
        <v>20</v>
      </c>
    </row>
    <row r="5987" spans="1:7" ht="12.75">
      <c r="A5987" s="134" t="s">
        <v>327</v>
      </c>
      <c r="B5987" s="134">
        <v>103</v>
      </c>
      <c r="C5987" s="491">
        <v>28</v>
      </c>
      <c r="D5987" s="491">
        <v>82</v>
      </c>
      <c r="E5987" s="491">
        <v>2</v>
      </c>
      <c r="F5987" s="491">
        <v>16</v>
      </c>
      <c r="G5987" s="491">
        <f t="shared" si="93"/>
        <v>128</v>
      </c>
    </row>
    <row r="5988" spans="1:7" ht="12.75">
      <c r="A5988" s="134" t="s">
        <v>327</v>
      </c>
      <c r="B5988" s="134">
        <v>120</v>
      </c>
      <c r="C5988" s="491">
        <v>0</v>
      </c>
      <c r="D5988" s="491">
        <v>1</v>
      </c>
      <c r="E5988" s="491">
        <v>0</v>
      </c>
      <c r="F5988" s="491">
        <v>0</v>
      </c>
      <c r="G5988" s="491">
        <f t="shared" si="93"/>
        <v>1</v>
      </c>
    </row>
    <row r="5989" spans="1:7" ht="12.75">
      <c r="A5989" s="134" t="s">
        <v>327</v>
      </c>
      <c r="B5989" s="134">
        <v>370</v>
      </c>
      <c r="C5989" s="491">
        <v>0</v>
      </c>
      <c r="D5989" s="491">
        <v>2</v>
      </c>
      <c r="E5989" s="491">
        <v>0</v>
      </c>
      <c r="F5989" s="491">
        <v>0</v>
      </c>
      <c r="G5989" s="491">
        <f t="shared" si="93"/>
        <v>2</v>
      </c>
    </row>
    <row r="5990" spans="1:7" ht="12.75">
      <c r="A5990" s="134" t="s">
        <v>327</v>
      </c>
      <c r="B5990" s="134">
        <v>800</v>
      </c>
      <c r="C5990" s="491">
        <v>0</v>
      </c>
      <c r="D5990" s="491">
        <v>4</v>
      </c>
      <c r="E5990" s="491">
        <v>0</v>
      </c>
      <c r="F5990" s="491">
        <v>0</v>
      </c>
      <c r="G5990" s="491">
        <f t="shared" si="93"/>
        <v>4</v>
      </c>
    </row>
    <row r="5991" spans="1:7" ht="12.75">
      <c r="A5991" s="134" t="s">
        <v>327</v>
      </c>
      <c r="B5991" s="134">
        <v>812</v>
      </c>
      <c r="C5991" s="491">
        <v>11</v>
      </c>
      <c r="D5991" s="491">
        <v>0</v>
      </c>
      <c r="E5991" s="491">
        <v>0</v>
      </c>
      <c r="F5991" s="491">
        <v>0</v>
      </c>
      <c r="G5991" s="491">
        <f t="shared" si="93"/>
        <v>11</v>
      </c>
    </row>
    <row r="5992" spans="1:7" ht="12.75">
      <c r="A5992" s="134" t="s">
        <v>369</v>
      </c>
      <c r="B5992" s="134">
        <v>103</v>
      </c>
      <c r="C5992" s="491">
        <v>1</v>
      </c>
      <c r="D5992" s="491">
        <v>2</v>
      </c>
      <c r="E5992" s="491">
        <v>0</v>
      </c>
      <c r="F5992" s="491">
        <v>0</v>
      </c>
      <c r="G5992" s="491">
        <f t="shared" si="93"/>
        <v>3</v>
      </c>
    </row>
    <row r="5993" spans="1:7" ht="12.75">
      <c r="A5993" s="134" t="s">
        <v>369</v>
      </c>
      <c r="B5993" s="134">
        <v>340</v>
      </c>
      <c r="C5993" s="491">
        <v>1</v>
      </c>
      <c r="D5993" s="491">
        <v>1</v>
      </c>
      <c r="E5993" s="491">
        <v>0</v>
      </c>
      <c r="F5993" s="491">
        <v>0</v>
      </c>
      <c r="G5993" s="491">
        <f t="shared" si="93"/>
        <v>2</v>
      </c>
    </row>
    <row r="5994" spans="1:7" ht="12.75">
      <c r="A5994" s="134" t="s">
        <v>369</v>
      </c>
      <c r="B5994" s="134">
        <v>501</v>
      </c>
      <c r="C5994" s="491">
        <v>1</v>
      </c>
      <c r="D5994" s="491">
        <v>0</v>
      </c>
      <c r="E5994" s="491">
        <v>0</v>
      </c>
      <c r="F5994" s="491">
        <v>0</v>
      </c>
      <c r="G5994" s="491">
        <f t="shared" si="93"/>
        <v>1</v>
      </c>
    </row>
    <row r="5995" spans="1:7" ht="12.75">
      <c r="A5995" s="134" t="s">
        <v>369</v>
      </c>
      <c r="B5995" s="134">
        <v>502</v>
      </c>
      <c r="C5995" s="491">
        <v>2</v>
      </c>
      <c r="D5995" s="491">
        <v>2</v>
      </c>
      <c r="E5995" s="491">
        <v>0</v>
      </c>
      <c r="F5995" s="491">
        <v>0</v>
      </c>
      <c r="G5995" s="491">
        <f t="shared" si="93"/>
        <v>4</v>
      </c>
    </row>
    <row r="5996" spans="1:7" ht="12.75">
      <c r="A5996" s="134" t="s">
        <v>1059</v>
      </c>
      <c r="B5996" s="134">
        <v>103</v>
      </c>
      <c r="C5996" s="491">
        <v>1</v>
      </c>
      <c r="D5996" s="491">
        <v>1</v>
      </c>
      <c r="E5996" s="491">
        <v>0</v>
      </c>
      <c r="F5996" s="491">
        <v>0</v>
      </c>
      <c r="G5996" s="491">
        <f t="shared" si="93"/>
        <v>2</v>
      </c>
    </row>
    <row r="5997" spans="1:7" ht="12.75">
      <c r="A5997" s="134" t="s">
        <v>894</v>
      </c>
      <c r="B5997" s="134">
        <v>100</v>
      </c>
      <c r="C5997" s="491">
        <v>0</v>
      </c>
      <c r="D5997" s="491">
        <v>1</v>
      </c>
      <c r="E5997" s="491">
        <v>0</v>
      </c>
      <c r="F5997" s="491">
        <v>0</v>
      </c>
      <c r="G5997" s="491">
        <f t="shared" si="93"/>
        <v>1</v>
      </c>
    </row>
    <row r="5998" spans="1:7" ht="12.75">
      <c r="A5998" s="134" t="s">
        <v>894</v>
      </c>
      <c r="B5998" s="134">
        <v>103</v>
      </c>
      <c r="C5998" s="491">
        <v>0</v>
      </c>
      <c r="D5998" s="491">
        <v>2</v>
      </c>
      <c r="E5998" s="491">
        <v>0</v>
      </c>
      <c r="F5998" s="491">
        <v>0</v>
      </c>
      <c r="G5998" s="491">
        <f t="shared" si="93"/>
        <v>2</v>
      </c>
    </row>
    <row r="5999" spans="1:7" ht="12.75">
      <c r="A5999" s="134" t="s">
        <v>894</v>
      </c>
      <c r="B5999" s="134">
        <v>410</v>
      </c>
      <c r="C5999" s="491">
        <v>1</v>
      </c>
      <c r="D5999" s="491">
        <v>0</v>
      </c>
      <c r="E5999" s="491">
        <v>0</v>
      </c>
      <c r="F5999" s="491">
        <v>0</v>
      </c>
      <c r="G5999" s="491">
        <f t="shared" si="93"/>
        <v>1</v>
      </c>
    </row>
    <row r="6000" spans="1:7" ht="12.75">
      <c r="A6000" s="134" t="s">
        <v>895</v>
      </c>
      <c r="B6000" s="134">
        <v>100</v>
      </c>
      <c r="C6000" s="491">
        <v>8</v>
      </c>
      <c r="D6000" s="491">
        <v>2</v>
      </c>
      <c r="E6000" s="491">
        <v>0</v>
      </c>
      <c r="F6000" s="491">
        <v>0</v>
      </c>
      <c r="G6000" s="491">
        <f t="shared" si="93"/>
        <v>10</v>
      </c>
    </row>
    <row r="6001" spans="1:7" ht="12.75">
      <c r="A6001" s="134" t="s">
        <v>895</v>
      </c>
      <c r="B6001" s="134">
        <v>101</v>
      </c>
      <c r="C6001" s="491">
        <v>1</v>
      </c>
      <c r="D6001" s="491">
        <v>0</v>
      </c>
      <c r="E6001" s="491">
        <v>0</v>
      </c>
      <c r="F6001" s="491">
        <v>0</v>
      </c>
      <c r="G6001" s="491">
        <f t="shared" si="93"/>
        <v>1</v>
      </c>
    </row>
    <row r="6002" spans="1:7" ht="12.75">
      <c r="A6002" s="134" t="s">
        <v>895</v>
      </c>
      <c r="B6002" s="134">
        <v>103</v>
      </c>
      <c r="C6002" s="491">
        <v>5</v>
      </c>
      <c r="D6002" s="491">
        <v>2</v>
      </c>
      <c r="E6002" s="491">
        <v>0</v>
      </c>
      <c r="F6002" s="491">
        <v>0</v>
      </c>
      <c r="G6002" s="491">
        <f t="shared" si="93"/>
        <v>7</v>
      </c>
    </row>
    <row r="6003" spans="1:7" ht="12.75">
      <c r="A6003" s="134" t="s">
        <v>895</v>
      </c>
      <c r="B6003" s="134">
        <v>104</v>
      </c>
      <c r="C6003" s="491">
        <v>1</v>
      </c>
      <c r="D6003" s="491">
        <v>0</v>
      </c>
      <c r="E6003" s="491">
        <v>0</v>
      </c>
      <c r="F6003" s="491">
        <v>0</v>
      </c>
      <c r="G6003" s="491">
        <f t="shared" si="93"/>
        <v>1</v>
      </c>
    </row>
    <row r="6004" spans="1:7" ht="12.75">
      <c r="A6004" s="134" t="s">
        <v>895</v>
      </c>
      <c r="B6004" s="134">
        <v>107</v>
      </c>
      <c r="C6004" s="491">
        <v>2</v>
      </c>
      <c r="D6004" s="491">
        <v>4</v>
      </c>
      <c r="E6004" s="491">
        <v>1</v>
      </c>
      <c r="F6004" s="491">
        <v>0</v>
      </c>
      <c r="G6004" s="491">
        <f t="shared" si="93"/>
        <v>7</v>
      </c>
    </row>
    <row r="6005" spans="1:7" ht="12.75">
      <c r="A6005" s="134" t="s">
        <v>895</v>
      </c>
      <c r="B6005" s="134">
        <v>110</v>
      </c>
      <c r="C6005" s="491">
        <v>41</v>
      </c>
      <c r="D6005" s="491">
        <v>36</v>
      </c>
      <c r="E6005" s="491">
        <v>24</v>
      </c>
      <c r="F6005" s="491">
        <v>18</v>
      </c>
      <c r="G6005" s="491">
        <f t="shared" si="93"/>
        <v>119</v>
      </c>
    </row>
    <row r="6006" spans="1:7" ht="12.75">
      <c r="A6006" s="134" t="s">
        <v>895</v>
      </c>
      <c r="B6006" s="134">
        <v>120</v>
      </c>
      <c r="C6006" s="491">
        <v>1</v>
      </c>
      <c r="D6006" s="491">
        <v>0</v>
      </c>
      <c r="E6006" s="491">
        <v>1</v>
      </c>
      <c r="F6006" s="491">
        <v>0</v>
      </c>
      <c r="G6006" s="491">
        <f t="shared" si="93"/>
        <v>2</v>
      </c>
    </row>
    <row r="6007" spans="1:7" ht="12.75">
      <c r="A6007" s="134" t="s">
        <v>895</v>
      </c>
      <c r="B6007" s="134">
        <v>140</v>
      </c>
      <c r="C6007" s="491">
        <v>7</v>
      </c>
      <c r="D6007" s="491">
        <v>1</v>
      </c>
      <c r="E6007" s="491">
        <v>0</v>
      </c>
      <c r="F6007" s="491">
        <v>0</v>
      </c>
      <c r="G6007" s="491">
        <f t="shared" si="93"/>
        <v>8</v>
      </c>
    </row>
    <row r="6008" spans="1:7" ht="12.75">
      <c r="A6008" s="134" t="s">
        <v>895</v>
      </c>
      <c r="B6008" s="134">
        <v>144</v>
      </c>
      <c r="C6008" s="491">
        <v>40</v>
      </c>
      <c r="D6008" s="491">
        <v>15</v>
      </c>
      <c r="E6008" s="491">
        <v>0</v>
      </c>
      <c r="F6008" s="491">
        <v>0</v>
      </c>
      <c r="G6008" s="491">
        <f t="shared" si="93"/>
        <v>55</v>
      </c>
    </row>
    <row r="6009" spans="1:7" ht="12.75">
      <c r="A6009" s="134" t="s">
        <v>895</v>
      </c>
      <c r="B6009" s="134">
        <v>160</v>
      </c>
      <c r="C6009" s="491">
        <v>1207</v>
      </c>
      <c r="D6009" s="491">
        <v>297</v>
      </c>
      <c r="E6009" s="491">
        <v>405</v>
      </c>
      <c r="F6009" s="491">
        <v>79</v>
      </c>
      <c r="G6009" s="491">
        <f t="shared" si="93"/>
        <v>1988</v>
      </c>
    </row>
    <row r="6010" spans="1:7" ht="12.75">
      <c r="A6010" s="134" t="s">
        <v>895</v>
      </c>
      <c r="B6010" s="134">
        <v>161</v>
      </c>
      <c r="C6010" s="491">
        <v>3192</v>
      </c>
      <c r="D6010" s="491">
        <v>554</v>
      </c>
      <c r="E6010" s="491">
        <v>1124</v>
      </c>
      <c r="F6010" s="491">
        <v>334</v>
      </c>
      <c r="G6010" s="491">
        <f t="shared" si="93"/>
        <v>5204</v>
      </c>
    </row>
    <row r="6011" spans="1:7" ht="12.75">
      <c r="A6011" s="134" t="s">
        <v>895</v>
      </c>
      <c r="B6011" s="134">
        <v>172</v>
      </c>
      <c r="C6011" s="491">
        <v>0</v>
      </c>
      <c r="D6011" s="491">
        <v>1</v>
      </c>
      <c r="E6011" s="491">
        <v>0</v>
      </c>
      <c r="F6011" s="491">
        <v>0</v>
      </c>
      <c r="G6011" s="491">
        <f t="shared" si="93"/>
        <v>1</v>
      </c>
    </row>
    <row r="6012" spans="1:7" ht="12.75">
      <c r="A6012" s="134" t="s">
        <v>895</v>
      </c>
      <c r="B6012" s="134">
        <v>180</v>
      </c>
      <c r="C6012" s="491">
        <v>249</v>
      </c>
      <c r="D6012" s="491">
        <v>563</v>
      </c>
      <c r="E6012" s="491">
        <v>0</v>
      </c>
      <c r="F6012" s="491">
        <v>1</v>
      </c>
      <c r="G6012" s="491">
        <f t="shared" si="93"/>
        <v>813</v>
      </c>
    </row>
    <row r="6013" spans="1:7" ht="12.75">
      <c r="A6013" s="134" t="s">
        <v>895</v>
      </c>
      <c r="B6013" s="134">
        <v>219</v>
      </c>
      <c r="C6013" s="491">
        <v>14</v>
      </c>
      <c r="D6013" s="491">
        <v>6</v>
      </c>
      <c r="E6013" s="491">
        <v>0</v>
      </c>
      <c r="F6013" s="491">
        <v>0</v>
      </c>
      <c r="G6013" s="491">
        <f t="shared" si="93"/>
        <v>20</v>
      </c>
    </row>
    <row r="6014" spans="1:7" ht="12.75">
      <c r="A6014" s="134" t="s">
        <v>895</v>
      </c>
      <c r="B6014" s="134">
        <v>220</v>
      </c>
      <c r="C6014" s="491">
        <v>312</v>
      </c>
      <c r="D6014" s="491">
        <v>165</v>
      </c>
      <c r="E6014" s="491">
        <v>15</v>
      </c>
      <c r="F6014" s="491">
        <v>5</v>
      </c>
      <c r="G6014" s="491">
        <f t="shared" si="93"/>
        <v>497</v>
      </c>
    </row>
    <row r="6015" spans="1:7" ht="12.75">
      <c r="A6015" s="134" t="s">
        <v>895</v>
      </c>
      <c r="B6015" s="134">
        <v>253</v>
      </c>
      <c r="C6015" s="491">
        <v>1</v>
      </c>
      <c r="D6015" s="491">
        <v>0</v>
      </c>
      <c r="E6015" s="491">
        <v>0</v>
      </c>
      <c r="F6015" s="491">
        <v>0</v>
      </c>
      <c r="G6015" s="491">
        <f t="shared" si="93"/>
        <v>1</v>
      </c>
    </row>
    <row r="6016" spans="1:7" ht="12.75">
      <c r="A6016" s="134" t="s">
        <v>895</v>
      </c>
      <c r="B6016" s="134">
        <v>290</v>
      </c>
      <c r="C6016" s="491">
        <v>0</v>
      </c>
      <c r="D6016" s="491">
        <v>1</v>
      </c>
      <c r="E6016" s="491">
        <v>0</v>
      </c>
      <c r="F6016" s="491">
        <v>0</v>
      </c>
      <c r="G6016" s="491">
        <f t="shared" si="93"/>
        <v>1</v>
      </c>
    </row>
    <row r="6017" spans="1:7" ht="12.75">
      <c r="A6017" s="134" t="s">
        <v>895</v>
      </c>
      <c r="B6017" s="134">
        <v>300</v>
      </c>
      <c r="C6017" s="491">
        <v>3</v>
      </c>
      <c r="D6017" s="491">
        <v>0</v>
      </c>
      <c r="E6017" s="491">
        <v>0</v>
      </c>
      <c r="F6017" s="491">
        <v>1</v>
      </c>
      <c r="G6017" s="491">
        <f t="shared" si="93"/>
        <v>4</v>
      </c>
    </row>
    <row r="6018" spans="1:7" ht="12.75">
      <c r="A6018" s="134" t="s">
        <v>895</v>
      </c>
      <c r="B6018" s="134">
        <v>303</v>
      </c>
      <c r="C6018" s="491">
        <v>4</v>
      </c>
      <c r="D6018" s="491">
        <v>0</v>
      </c>
      <c r="E6018" s="491">
        <v>0</v>
      </c>
      <c r="F6018" s="491">
        <v>0</v>
      </c>
      <c r="G6018" s="491">
        <f t="shared" si="93"/>
        <v>4</v>
      </c>
    </row>
    <row r="6019" spans="1:7" ht="12.75">
      <c r="A6019" s="134" t="s">
        <v>895</v>
      </c>
      <c r="B6019" s="134">
        <v>307</v>
      </c>
      <c r="C6019" s="491">
        <v>1</v>
      </c>
      <c r="D6019" s="491">
        <v>0</v>
      </c>
      <c r="E6019" s="491">
        <v>0</v>
      </c>
      <c r="F6019" s="491">
        <v>0</v>
      </c>
      <c r="G6019" s="491">
        <f t="shared" si="93"/>
        <v>1</v>
      </c>
    </row>
    <row r="6020" spans="1:7" ht="12.75">
      <c r="A6020" s="134" t="s">
        <v>895</v>
      </c>
      <c r="B6020" s="134">
        <v>314</v>
      </c>
      <c r="C6020" s="491">
        <v>0</v>
      </c>
      <c r="D6020" s="491">
        <v>1</v>
      </c>
      <c r="E6020" s="491">
        <v>0</v>
      </c>
      <c r="F6020" s="491">
        <v>0</v>
      </c>
      <c r="G6020" s="491">
        <f t="shared" ref="G6020:G6083" si="94">SUM(C6020:F6020)</f>
        <v>1</v>
      </c>
    </row>
    <row r="6021" spans="1:7" ht="12.75">
      <c r="A6021" s="134" t="s">
        <v>895</v>
      </c>
      <c r="B6021" s="134">
        <v>330</v>
      </c>
      <c r="C6021" s="491">
        <v>101</v>
      </c>
      <c r="D6021" s="491">
        <v>4</v>
      </c>
      <c r="E6021" s="491">
        <v>0</v>
      </c>
      <c r="F6021" s="491">
        <v>0</v>
      </c>
      <c r="G6021" s="491">
        <f t="shared" si="94"/>
        <v>105</v>
      </c>
    </row>
    <row r="6022" spans="1:7" ht="12.75">
      <c r="A6022" s="134" t="s">
        <v>895</v>
      </c>
      <c r="B6022" s="134">
        <v>350</v>
      </c>
      <c r="C6022" s="491">
        <v>1</v>
      </c>
      <c r="D6022" s="491">
        <v>0</v>
      </c>
      <c r="E6022" s="491">
        <v>0</v>
      </c>
      <c r="F6022" s="491">
        <v>0</v>
      </c>
      <c r="G6022" s="491">
        <f t="shared" si="94"/>
        <v>1</v>
      </c>
    </row>
    <row r="6023" spans="1:7" ht="12.75">
      <c r="A6023" s="134" t="s">
        <v>895</v>
      </c>
      <c r="B6023" s="134">
        <v>400</v>
      </c>
      <c r="C6023" s="491">
        <v>3</v>
      </c>
      <c r="D6023" s="491">
        <v>0</v>
      </c>
      <c r="E6023" s="491">
        <v>0</v>
      </c>
      <c r="F6023" s="491">
        <v>0</v>
      </c>
      <c r="G6023" s="491">
        <f t="shared" si="94"/>
        <v>3</v>
      </c>
    </row>
    <row r="6024" spans="1:7" ht="12.75">
      <c r="A6024" s="134" t="s">
        <v>895</v>
      </c>
      <c r="B6024" s="134">
        <v>420</v>
      </c>
      <c r="C6024" s="491">
        <v>2</v>
      </c>
      <c r="D6024" s="491">
        <v>2</v>
      </c>
      <c r="E6024" s="491">
        <v>0</v>
      </c>
      <c r="F6024" s="491">
        <v>0</v>
      </c>
      <c r="G6024" s="491">
        <f t="shared" si="94"/>
        <v>4</v>
      </c>
    </row>
    <row r="6025" spans="1:7" ht="12.75">
      <c r="A6025" s="134" t="s">
        <v>895</v>
      </c>
      <c r="B6025" s="134">
        <v>502</v>
      </c>
      <c r="C6025" s="491">
        <v>1</v>
      </c>
      <c r="D6025" s="491">
        <v>3</v>
      </c>
      <c r="E6025" s="491">
        <v>0</v>
      </c>
      <c r="F6025" s="491">
        <v>0</v>
      </c>
      <c r="G6025" s="491">
        <f t="shared" si="94"/>
        <v>4</v>
      </c>
    </row>
    <row r="6026" spans="1:7" ht="12.75">
      <c r="A6026" s="134" t="s">
        <v>895</v>
      </c>
      <c r="B6026" s="134">
        <v>650</v>
      </c>
      <c r="C6026" s="491">
        <v>3</v>
      </c>
      <c r="D6026" s="491">
        <v>0</v>
      </c>
      <c r="E6026" s="491">
        <v>0</v>
      </c>
      <c r="F6026" s="491">
        <v>0</v>
      </c>
      <c r="G6026" s="491">
        <f t="shared" si="94"/>
        <v>3</v>
      </c>
    </row>
    <row r="6027" spans="1:7" ht="12.75">
      <c r="A6027" s="134" t="s">
        <v>895</v>
      </c>
      <c r="B6027" s="134">
        <v>651</v>
      </c>
      <c r="C6027" s="491">
        <v>2</v>
      </c>
      <c r="D6027" s="491">
        <v>1</v>
      </c>
      <c r="E6027" s="491">
        <v>1</v>
      </c>
      <c r="F6027" s="491">
        <v>0</v>
      </c>
      <c r="G6027" s="491">
        <f t="shared" si="94"/>
        <v>4</v>
      </c>
    </row>
    <row r="6028" spans="1:7" ht="12.75">
      <c r="A6028" s="134" t="s">
        <v>895</v>
      </c>
      <c r="B6028" s="134">
        <v>653</v>
      </c>
      <c r="C6028" s="491">
        <v>6</v>
      </c>
      <c r="D6028" s="491">
        <v>0</v>
      </c>
      <c r="E6028" s="491">
        <v>0</v>
      </c>
      <c r="F6028" s="491">
        <v>0</v>
      </c>
      <c r="G6028" s="491">
        <f t="shared" si="94"/>
        <v>6</v>
      </c>
    </row>
    <row r="6029" spans="1:7" ht="12.75">
      <c r="A6029" s="134" t="s">
        <v>896</v>
      </c>
      <c r="B6029" s="134">
        <v>110</v>
      </c>
      <c r="C6029" s="491">
        <v>0</v>
      </c>
      <c r="D6029" s="491">
        <v>2</v>
      </c>
      <c r="E6029" s="491">
        <v>0</v>
      </c>
      <c r="F6029" s="491">
        <v>0</v>
      </c>
      <c r="G6029" s="491">
        <f t="shared" si="94"/>
        <v>2</v>
      </c>
    </row>
    <row r="6030" spans="1:7" ht="12.75">
      <c r="A6030" s="134" t="s">
        <v>896</v>
      </c>
      <c r="B6030" s="134">
        <v>330</v>
      </c>
      <c r="C6030" s="491">
        <v>49</v>
      </c>
      <c r="D6030" s="491">
        <v>4</v>
      </c>
      <c r="E6030" s="491">
        <v>0</v>
      </c>
      <c r="F6030" s="491">
        <v>0</v>
      </c>
      <c r="G6030" s="491">
        <f t="shared" si="94"/>
        <v>53</v>
      </c>
    </row>
    <row r="6031" spans="1:7" ht="12.75">
      <c r="A6031" s="134" t="s">
        <v>897</v>
      </c>
      <c r="B6031" s="134">
        <v>100</v>
      </c>
      <c r="C6031" s="491">
        <v>1</v>
      </c>
      <c r="D6031" s="491">
        <v>3</v>
      </c>
      <c r="E6031" s="491">
        <v>0</v>
      </c>
      <c r="F6031" s="491">
        <v>0</v>
      </c>
      <c r="G6031" s="491">
        <f t="shared" si="94"/>
        <v>4</v>
      </c>
    </row>
    <row r="6032" spans="1:7" ht="12.75">
      <c r="A6032" s="134" t="s">
        <v>897</v>
      </c>
      <c r="B6032" s="134">
        <v>101</v>
      </c>
      <c r="C6032" s="491">
        <v>5</v>
      </c>
      <c r="D6032" s="491">
        <v>11</v>
      </c>
      <c r="E6032" s="491">
        <v>0</v>
      </c>
      <c r="F6032" s="491">
        <v>0</v>
      </c>
      <c r="G6032" s="491">
        <f t="shared" si="94"/>
        <v>16</v>
      </c>
    </row>
    <row r="6033" spans="1:7" ht="12.75">
      <c r="A6033" s="134" t="s">
        <v>897</v>
      </c>
      <c r="B6033" s="134">
        <v>103</v>
      </c>
      <c r="C6033" s="491">
        <v>4</v>
      </c>
      <c r="D6033" s="491">
        <v>3</v>
      </c>
      <c r="E6033" s="491">
        <v>0</v>
      </c>
      <c r="F6033" s="491">
        <v>0</v>
      </c>
      <c r="G6033" s="491">
        <f t="shared" si="94"/>
        <v>7</v>
      </c>
    </row>
    <row r="6034" spans="1:7" ht="12.75">
      <c r="A6034" s="134" t="s">
        <v>897</v>
      </c>
      <c r="B6034" s="134">
        <v>104</v>
      </c>
      <c r="C6034" s="491">
        <v>0</v>
      </c>
      <c r="D6034" s="491">
        <v>3</v>
      </c>
      <c r="E6034" s="491">
        <v>0</v>
      </c>
      <c r="F6034" s="491">
        <v>0</v>
      </c>
      <c r="G6034" s="491">
        <f t="shared" si="94"/>
        <v>3</v>
      </c>
    </row>
    <row r="6035" spans="1:7" ht="12.75">
      <c r="A6035" s="134" t="s">
        <v>897</v>
      </c>
      <c r="B6035" s="134">
        <v>107</v>
      </c>
      <c r="C6035" s="491">
        <v>1</v>
      </c>
      <c r="D6035" s="491">
        <v>0</v>
      </c>
      <c r="E6035" s="491">
        <v>0</v>
      </c>
      <c r="F6035" s="491">
        <v>0</v>
      </c>
      <c r="G6035" s="491">
        <f t="shared" si="94"/>
        <v>1</v>
      </c>
    </row>
    <row r="6036" spans="1:7" ht="12.75">
      <c r="A6036" s="134" t="s">
        <v>897</v>
      </c>
      <c r="B6036" s="134">
        <v>110</v>
      </c>
      <c r="C6036" s="491">
        <v>4</v>
      </c>
      <c r="D6036" s="491">
        <v>4</v>
      </c>
      <c r="E6036" s="491">
        <v>0</v>
      </c>
      <c r="F6036" s="491">
        <v>0</v>
      </c>
      <c r="G6036" s="491">
        <f t="shared" si="94"/>
        <v>8</v>
      </c>
    </row>
    <row r="6037" spans="1:7" ht="12.75">
      <c r="A6037" s="134" t="s">
        <v>897</v>
      </c>
      <c r="B6037" s="134">
        <v>120</v>
      </c>
      <c r="C6037" s="491">
        <v>28</v>
      </c>
      <c r="D6037" s="491">
        <v>84</v>
      </c>
      <c r="E6037" s="491">
        <v>0</v>
      </c>
      <c r="F6037" s="491">
        <v>0</v>
      </c>
      <c r="G6037" s="491">
        <f t="shared" si="94"/>
        <v>112</v>
      </c>
    </row>
    <row r="6038" spans="1:7" ht="12.75">
      <c r="A6038" s="134" t="s">
        <v>897</v>
      </c>
      <c r="B6038" s="134">
        <v>130</v>
      </c>
      <c r="C6038" s="491">
        <v>3</v>
      </c>
      <c r="D6038" s="491">
        <v>0</v>
      </c>
      <c r="E6038" s="491">
        <v>0</v>
      </c>
      <c r="F6038" s="491">
        <v>0</v>
      </c>
      <c r="G6038" s="491">
        <f t="shared" si="94"/>
        <v>3</v>
      </c>
    </row>
    <row r="6039" spans="1:7" ht="12.75">
      <c r="A6039" s="134" t="s">
        <v>897</v>
      </c>
      <c r="B6039" s="134">
        <v>140</v>
      </c>
      <c r="C6039" s="491">
        <v>17</v>
      </c>
      <c r="D6039" s="491">
        <v>1</v>
      </c>
      <c r="E6039" s="491">
        <v>0</v>
      </c>
      <c r="F6039" s="491">
        <v>0</v>
      </c>
      <c r="G6039" s="491">
        <f t="shared" si="94"/>
        <v>18</v>
      </c>
    </row>
    <row r="6040" spans="1:7" ht="12.75">
      <c r="A6040" s="134" t="s">
        <v>897</v>
      </c>
      <c r="B6040" s="134">
        <v>144</v>
      </c>
      <c r="C6040" s="491">
        <v>1</v>
      </c>
      <c r="D6040" s="491">
        <v>3</v>
      </c>
      <c r="E6040" s="491">
        <v>0</v>
      </c>
      <c r="F6040" s="491">
        <v>0</v>
      </c>
      <c r="G6040" s="491">
        <f t="shared" si="94"/>
        <v>4</v>
      </c>
    </row>
    <row r="6041" spans="1:7" ht="12.75">
      <c r="A6041" s="134" t="s">
        <v>897</v>
      </c>
      <c r="B6041" s="134">
        <v>150</v>
      </c>
      <c r="C6041" s="491">
        <v>0</v>
      </c>
      <c r="D6041" s="491">
        <v>2</v>
      </c>
      <c r="E6041" s="491">
        <v>0</v>
      </c>
      <c r="F6041" s="491">
        <v>0</v>
      </c>
      <c r="G6041" s="491">
        <f t="shared" si="94"/>
        <v>2</v>
      </c>
    </row>
    <row r="6042" spans="1:7" ht="12.75">
      <c r="A6042" s="134" t="s">
        <v>897</v>
      </c>
      <c r="B6042" s="134">
        <v>160</v>
      </c>
      <c r="C6042" s="491">
        <v>4</v>
      </c>
      <c r="D6042" s="491">
        <v>2</v>
      </c>
      <c r="E6042" s="491">
        <v>1</v>
      </c>
      <c r="F6042" s="491">
        <v>0</v>
      </c>
      <c r="G6042" s="491">
        <f t="shared" si="94"/>
        <v>7</v>
      </c>
    </row>
    <row r="6043" spans="1:7" ht="12.75">
      <c r="A6043" s="134" t="s">
        <v>897</v>
      </c>
      <c r="B6043" s="134">
        <v>172</v>
      </c>
      <c r="C6043" s="491">
        <v>0</v>
      </c>
      <c r="D6043" s="491">
        <v>1</v>
      </c>
      <c r="E6043" s="491">
        <v>0</v>
      </c>
      <c r="F6043" s="491">
        <v>0</v>
      </c>
      <c r="G6043" s="491">
        <f t="shared" si="94"/>
        <v>1</v>
      </c>
    </row>
    <row r="6044" spans="1:7" ht="12.75">
      <c r="A6044" s="134" t="s">
        <v>897</v>
      </c>
      <c r="B6044" s="134">
        <v>191</v>
      </c>
      <c r="C6044" s="491">
        <v>0</v>
      </c>
      <c r="D6044" s="491">
        <v>3</v>
      </c>
      <c r="E6044" s="491">
        <v>0</v>
      </c>
      <c r="F6044" s="491">
        <v>0</v>
      </c>
      <c r="G6044" s="491">
        <f t="shared" si="94"/>
        <v>3</v>
      </c>
    </row>
    <row r="6045" spans="1:7" ht="12.75">
      <c r="A6045" s="134" t="s">
        <v>897</v>
      </c>
      <c r="B6045" s="134">
        <v>211</v>
      </c>
      <c r="C6045" s="491">
        <v>0</v>
      </c>
      <c r="D6045" s="491">
        <v>1</v>
      </c>
      <c r="E6045" s="491">
        <v>0</v>
      </c>
      <c r="F6045" s="491">
        <v>0</v>
      </c>
      <c r="G6045" s="491">
        <f t="shared" si="94"/>
        <v>1</v>
      </c>
    </row>
    <row r="6046" spans="1:7" ht="12.75">
      <c r="A6046" s="134" t="s">
        <v>897</v>
      </c>
      <c r="B6046" s="134">
        <v>215</v>
      </c>
      <c r="C6046" s="491">
        <v>1</v>
      </c>
      <c r="D6046" s="491">
        <v>2</v>
      </c>
      <c r="E6046" s="491">
        <v>0</v>
      </c>
      <c r="F6046" s="491">
        <v>0</v>
      </c>
      <c r="G6046" s="491">
        <f t="shared" si="94"/>
        <v>3</v>
      </c>
    </row>
    <row r="6047" spans="1:7" ht="12.75">
      <c r="A6047" s="134" t="s">
        <v>897</v>
      </c>
      <c r="B6047" s="134">
        <v>257</v>
      </c>
      <c r="C6047" s="491">
        <v>0</v>
      </c>
      <c r="D6047" s="491">
        <v>0</v>
      </c>
      <c r="E6047" s="491">
        <v>0</v>
      </c>
      <c r="F6047" s="491">
        <v>1</v>
      </c>
      <c r="G6047" s="491">
        <f t="shared" si="94"/>
        <v>1</v>
      </c>
    </row>
    <row r="6048" spans="1:7" ht="12.75">
      <c r="A6048" s="134" t="s">
        <v>897</v>
      </c>
      <c r="B6048" s="134">
        <v>258</v>
      </c>
      <c r="C6048" s="491">
        <v>0</v>
      </c>
      <c r="D6048" s="491">
        <v>1</v>
      </c>
      <c r="E6048" s="491">
        <v>0</v>
      </c>
      <c r="F6048" s="491">
        <v>0</v>
      </c>
      <c r="G6048" s="491">
        <f t="shared" si="94"/>
        <v>1</v>
      </c>
    </row>
    <row r="6049" spans="1:7" ht="12.75">
      <c r="A6049" s="134" t="s">
        <v>897</v>
      </c>
      <c r="B6049" s="134">
        <v>259</v>
      </c>
      <c r="C6049" s="491">
        <v>1</v>
      </c>
      <c r="D6049" s="491">
        <v>0</v>
      </c>
      <c r="E6049" s="491">
        <v>0</v>
      </c>
      <c r="F6049" s="491">
        <v>0</v>
      </c>
      <c r="G6049" s="491">
        <f t="shared" si="94"/>
        <v>1</v>
      </c>
    </row>
    <row r="6050" spans="1:7" ht="12.75">
      <c r="A6050" s="134" t="s">
        <v>897</v>
      </c>
      <c r="B6050" s="134">
        <v>263</v>
      </c>
      <c r="C6050" s="491">
        <v>3</v>
      </c>
      <c r="D6050" s="491">
        <v>0</v>
      </c>
      <c r="E6050" s="491">
        <v>0</v>
      </c>
      <c r="F6050" s="491">
        <v>0</v>
      </c>
      <c r="G6050" s="491">
        <f t="shared" si="94"/>
        <v>3</v>
      </c>
    </row>
    <row r="6051" spans="1:7" ht="12.75">
      <c r="A6051" s="134" t="s">
        <v>897</v>
      </c>
      <c r="B6051" s="134">
        <v>300</v>
      </c>
      <c r="C6051" s="491">
        <v>0</v>
      </c>
      <c r="D6051" s="491">
        <v>3</v>
      </c>
      <c r="E6051" s="491">
        <v>0</v>
      </c>
      <c r="F6051" s="491">
        <v>0</v>
      </c>
      <c r="G6051" s="491">
        <f t="shared" si="94"/>
        <v>3</v>
      </c>
    </row>
    <row r="6052" spans="1:7" ht="12.75">
      <c r="A6052" s="134" t="s">
        <v>897</v>
      </c>
      <c r="B6052" s="134">
        <v>307</v>
      </c>
      <c r="C6052" s="491">
        <v>1</v>
      </c>
      <c r="D6052" s="491">
        <v>0</v>
      </c>
      <c r="E6052" s="491">
        <v>0</v>
      </c>
      <c r="F6052" s="491">
        <v>0</v>
      </c>
      <c r="G6052" s="491">
        <f t="shared" si="94"/>
        <v>1</v>
      </c>
    </row>
    <row r="6053" spans="1:7" ht="12.75">
      <c r="A6053" s="134" t="s">
        <v>897</v>
      </c>
      <c r="B6053" s="134">
        <v>310</v>
      </c>
      <c r="C6053" s="491">
        <v>0</v>
      </c>
      <c r="D6053" s="491">
        <v>1</v>
      </c>
      <c r="E6053" s="491">
        <v>0</v>
      </c>
      <c r="F6053" s="491">
        <v>0</v>
      </c>
      <c r="G6053" s="491">
        <f t="shared" si="94"/>
        <v>1</v>
      </c>
    </row>
    <row r="6054" spans="1:7" ht="12.75">
      <c r="A6054" s="134" t="s">
        <v>897</v>
      </c>
      <c r="B6054" s="134">
        <v>311</v>
      </c>
      <c r="C6054" s="491">
        <v>0</v>
      </c>
      <c r="D6054" s="491">
        <v>2</v>
      </c>
      <c r="E6054" s="491">
        <v>0</v>
      </c>
      <c r="F6054" s="491">
        <v>0</v>
      </c>
      <c r="G6054" s="491">
        <f t="shared" si="94"/>
        <v>2</v>
      </c>
    </row>
    <row r="6055" spans="1:7" ht="12.75">
      <c r="A6055" s="134" t="s">
        <v>897</v>
      </c>
      <c r="B6055" s="134">
        <v>317</v>
      </c>
      <c r="C6055" s="491">
        <v>24</v>
      </c>
      <c r="D6055" s="491">
        <v>88</v>
      </c>
      <c r="E6055" s="491">
        <v>0</v>
      </c>
      <c r="F6055" s="491">
        <v>0</v>
      </c>
      <c r="G6055" s="491">
        <f t="shared" si="94"/>
        <v>112</v>
      </c>
    </row>
    <row r="6056" spans="1:7" ht="12.75">
      <c r="A6056" s="134" t="s">
        <v>897</v>
      </c>
      <c r="B6056" s="134">
        <v>320</v>
      </c>
      <c r="C6056" s="491">
        <v>0</v>
      </c>
      <c r="D6056" s="491">
        <v>4</v>
      </c>
      <c r="E6056" s="491">
        <v>0</v>
      </c>
      <c r="F6056" s="491">
        <v>0</v>
      </c>
      <c r="G6056" s="491">
        <f t="shared" si="94"/>
        <v>4</v>
      </c>
    </row>
    <row r="6057" spans="1:7" ht="12.75">
      <c r="A6057" s="134" t="s">
        <v>897</v>
      </c>
      <c r="B6057" s="134">
        <v>324</v>
      </c>
      <c r="C6057" s="491">
        <v>0</v>
      </c>
      <c r="D6057" s="491">
        <v>2</v>
      </c>
      <c r="E6057" s="491">
        <v>0</v>
      </c>
      <c r="F6057" s="491">
        <v>0</v>
      </c>
      <c r="G6057" s="491">
        <f t="shared" si="94"/>
        <v>2</v>
      </c>
    </row>
    <row r="6058" spans="1:7" ht="12.75">
      <c r="A6058" s="134" t="s">
        <v>897</v>
      </c>
      <c r="B6058" s="134">
        <v>330</v>
      </c>
      <c r="C6058" s="491">
        <v>1441</v>
      </c>
      <c r="D6058" s="491">
        <v>364</v>
      </c>
      <c r="E6058" s="491">
        <v>2</v>
      </c>
      <c r="F6058" s="491">
        <v>2</v>
      </c>
      <c r="G6058" s="491">
        <f t="shared" si="94"/>
        <v>1809</v>
      </c>
    </row>
    <row r="6059" spans="1:7" ht="12.75">
      <c r="A6059" s="134" t="s">
        <v>897</v>
      </c>
      <c r="B6059" s="134">
        <v>340</v>
      </c>
      <c r="C6059" s="491">
        <v>0</v>
      </c>
      <c r="D6059" s="491">
        <v>5</v>
      </c>
      <c r="E6059" s="491">
        <v>0</v>
      </c>
      <c r="F6059" s="491">
        <v>0</v>
      </c>
      <c r="G6059" s="491">
        <f t="shared" si="94"/>
        <v>5</v>
      </c>
    </row>
    <row r="6060" spans="1:7" ht="12.75">
      <c r="A6060" s="134" t="s">
        <v>897</v>
      </c>
      <c r="B6060" s="134">
        <v>341</v>
      </c>
      <c r="C6060" s="491">
        <v>0</v>
      </c>
      <c r="D6060" s="491">
        <v>1</v>
      </c>
      <c r="E6060" s="491">
        <v>0</v>
      </c>
      <c r="F6060" s="491">
        <v>0</v>
      </c>
      <c r="G6060" s="491">
        <f t="shared" si="94"/>
        <v>1</v>
      </c>
    </row>
    <row r="6061" spans="1:7" ht="12.75">
      <c r="A6061" s="134" t="s">
        <v>897</v>
      </c>
      <c r="B6061" s="134">
        <v>361</v>
      </c>
      <c r="C6061" s="491">
        <v>3</v>
      </c>
      <c r="D6061" s="491">
        <v>0</v>
      </c>
      <c r="E6061" s="491">
        <v>0</v>
      </c>
      <c r="F6061" s="491">
        <v>0</v>
      </c>
      <c r="G6061" s="491">
        <f t="shared" si="94"/>
        <v>3</v>
      </c>
    </row>
    <row r="6062" spans="1:7" ht="12.75">
      <c r="A6062" s="134" t="s">
        <v>897</v>
      </c>
      <c r="B6062" s="134">
        <v>370</v>
      </c>
      <c r="C6062" s="491">
        <v>0</v>
      </c>
      <c r="D6062" s="491">
        <v>10</v>
      </c>
      <c r="E6062" s="491">
        <v>0</v>
      </c>
      <c r="F6062" s="491">
        <v>0</v>
      </c>
      <c r="G6062" s="491">
        <f t="shared" si="94"/>
        <v>10</v>
      </c>
    </row>
    <row r="6063" spans="1:7" ht="12.75">
      <c r="A6063" s="134" t="s">
        <v>897</v>
      </c>
      <c r="B6063" s="134">
        <v>400</v>
      </c>
      <c r="C6063" s="491">
        <v>1</v>
      </c>
      <c r="D6063" s="491">
        <v>0</v>
      </c>
      <c r="E6063" s="491">
        <v>0</v>
      </c>
      <c r="F6063" s="491">
        <v>0</v>
      </c>
      <c r="G6063" s="491">
        <f t="shared" si="94"/>
        <v>1</v>
      </c>
    </row>
    <row r="6064" spans="1:7" ht="12.75">
      <c r="A6064" s="134" t="s">
        <v>897</v>
      </c>
      <c r="B6064" s="134">
        <v>410</v>
      </c>
      <c r="C6064" s="491">
        <v>0</v>
      </c>
      <c r="D6064" s="491">
        <v>4</v>
      </c>
      <c r="E6064" s="491">
        <v>0</v>
      </c>
      <c r="F6064" s="491">
        <v>0</v>
      </c>
      <c r="G6064" s="491">
        <f t="shared" si="94"/>
        <v>4</v>
      </c>
    </row>
    <row r="6065" spans="1:7" ht="12.75">
      <c r="A6065" s="134" t="s">
        <v>897</v>
      </c>
      <c r="B6065" s="134">
        <v>420</v>
      </c>
      <c r="C6065" s="491">
        <v>3</v>
      </c>
      <c r="D6065" s="491">
        <v>4</v>
      </c>
      <c r="E6065" s="491">
        <v>4</v>
      </c>
      <c r="F6065" s="491">
        <v>0</v>
      </c>
      <c r="G6065" s="491">
        <f t="shared" si="94"/>
        <v>11</v>
      </c>
    </row>
    <row r="6066" spans="1:7" ht="12.75">
      <c r="A6066" s="134" t="s">
        <v>897</v>
      </c>
      <c r="B6066" s="134">
        <v>501</v>
      </c>
      <c r="C6066" s="491">
        <v>7</v>
      </c>
      <c r="D6066" s="491">
        <v>3</v>
      </c>
      <c r="E6066" s="491">
        <v>0</v>
      </c>
      <c r="F6066" s="491">
        <v>0</v>
      </c>
      <c r="G6066" s="491">
        <f t="shared" si="94"/>
        <v>10</v>
      </c>
    </row>
    <row r="6067" spans="1:7" ht="12.75">
      <c r="A6067" s="134" t="s">
        <v>897</v>
      </c>
      <c r="B6067" s="134">
        <v>502</v>
      </c>
      <c r="C6067" s="491">
        <v>7</v>
      </c>
      <c r="D6067" s="491">
        <v>3</v>
      </c>
      <c r="E6067" s="491">
        <v>0</v>
      </c>
      <c r="F6067" s="491">
        <v>0</v>
      </c>
      <c r="G6067" s="491">
        <f t="shared" si="94"/>
        <v>10</v>
      </c>
    </row>
    <row r="6068" spans="1:7" ht="12.75">
      <c r="A6068" s="134" t="s">
        <v>897</v>
      </c>
      <c r="B6068" s="134">
        <v>560</v>
      </c>
      <c r="C6068" s="491">
        <v>1</v>
      </c>
      <c r="D6068" s="491">
        <v>3</v>
      </c>
      <c r="E6068" s="491">
        <v>0</v>
      </c>
      <c r="F6068" s="491">
        <v>0</v>
      </c>
      <c r="G6068" s="491">
        <f t="shared" si="94"/>
        <v>4</v>
      </c>
    </row>
    <row r="6069" spans="1:7" ht="12.75">
      <c r="A6069" s="134" t="s">
        <v>897</v>
      </c>
      <c r="B6069" s="134">
        <v>650</v>
      </c>
      <c r="C6069" s="491">
        <v>0</v>
      </c>
      <c r="D6069" s="491">
        <v>11</v>
      </c>
      <c r="E6069" s="491">
        <v>0</v>
      </c>
      <c r="F6069" s="491">
        <v>0</v>
      </c>
      <c r="G6069" s="491">
        <f t="shared" si="94"/>
        <v>11</v>
      </c>
    </row>
    <row r="6070" spans="1:7" ht="12.75">
      <c r="A6070" s="134" t="s">
        <v>897</v>
      </c>
      <c r="B6070" s="134">
        <v>653</v>
      </c>
      <c r="C6070" s="491">
        <v>0</v>
      </c>
      <c r="D6070" s="491">
        <v>2</v>
      </c>
      <c r="E6070" s="491">
        <v>0</v>
      </c>
      <c r="F6070" s="491">
        <v>0</v>
      </c>
      <c r="G6070" s="491">
        <f t="shared" si="94"/>
        <v>2</v>
      </c>
    </row>
    <row r="6071" spans="1:7" ht="12.75">
      <c r="A6071" s="134" t="s">
        <v>897</v>
      </c>
      <c r="B6071" s="134">
        <v>812</v>
      </c>
      <c r="C6071" s="491">
        <v>0</v>
      </c>
      <c r="D6071" s="491">
        <v>1</v>
      </c>
      <c r="E6071" s="491">
        <v>0</v>
      </c>
      <c r="F6071" s="491">
        <v>0</v>
      </c>
      <c r="G6071" s="491">
        <f t="shared" si="94"/>
        <v>1</v>
      </c>
    </row>
    <row r="6072" spans="1:7" ht="12.75">
      <c r="A6072" s="134" t="s">
        <v>897</v>
      </c>
      <c r="B6072" s="134">
        <v>822</v>
      </c>
      <c r="C6072" s="491">
        <v>0</v>
      </c>
      <c r="D6072" s="491">
        <v>1</v>
      </c>
      <c r="E6072" s="491">
        <v>0</v>
      </c>
      <c r="F6072" s="491">
        <v>0</v>
      </c>
      <c r="G6072" s="491">
        <f t="shared" si="94"/>
        <v>1</v>
      </c>
    </row>
    <row r="6073" spans="1:7" ht="12.75">
      <c r="A6073" s="134" t="s">
        <v>898</v>
      </c>
      <c r="B6073" s="134">
        <v>100</v>
      </c>
      <c r="C6073" s="491">
        <v>1041</v>
      </c>
      <c r="D6073" s="491">
        <v>613</v>
      </c>
      <c r="E6073" s="491">
        <v>55</v>
      </c>
      <c r="F6073" s="491">
        <v>27</v>
      </c>
      <c r="G6073" s="491">
        <f t="shared" si="94"/>
        <v>1736</v>
      </c>
    </row>
    <row r="6074" spans="1:7" ht="12.75">
      <c r="A6074" s="134" t="s">
        <v>898</v>
      </c>
      <c r="B6074" s="134">
        <v>101</v>
      </c>
      <c r="C6074" s="491">
        <v>66</v>
      </c>
      <c r="D6074" s="491">
        <v>34</v>
      </c>
      <c r="E6074" s="491">
        <v>0</v>
      </c>
      <c r="F6074" s="491">
        <v>4</v>
      </c>
      <c r="G6074" s="491">
        <f t="shared" si="94"/>
        <v>104</v>
      </c>
    </row>
    <row r="6075" spans="1:7" ht="12.75">
      <c r="A6075" s="134" t="s">
        <v>898</v>
      </c>
      <c r="B6075" s="134">
        <v>102</v>
      </c>
      <c r="C6075" s="491">
        <v>0</v>
      </c>
      <c r="D6075" s="491">
        <v>7</v>
      </c>
      <c r="E6075" s="491">
        <v>0</v>
      </c>
      <c r="F6075" s="491">
        <v>0</v>
      </c>
      <c r="G6075" s="491">
        <f t="shared" si="94"/>
        <v>7</v>
      </c>
    </row>
    <row r="6076" spans="1:7" ht="12.75">
      <c r="A6076" s="134" t="s">
        <v>898</v>
      </c>
      <c r="B6076" s="134">
        <v>103</v>
      </c>
      <c r="C6076" s="491">
        <v>2166</v>
      </c>
      <c r="D6076" s="491">
        <v>362</v>
      </c>
      <c r="E6076" s="491">
        <v>297</v>
      </c>
      <c r="F6076" s="491">
        <v>26</v>
      </c>
      <c r="G6076" s="491">
        <f t="shared" si="94"/>
        <v>2851</v>
      </c>
    </row>
    <row r="6077" spans="1:7" ht="12.75">
      <c r="A6077" s="134" t="s">
        <v>898</v>
      </c>
      <c r="B6077" s="134">
        <v>104</v>
      </c>
      <c r="C6077" s="491">
        <v>76</v>
      </c>
      <c r="D6077" s="491">
        <v>40</v>
      </c>
      <c r="E6077" s="491">
        <v>5</v>
      </c>
      <c r="F6077" s="491">
        <v>1</v>
      </c>
      <c r="G6077" s="491">
        <f t="shared" si="94"/>
        <v>122</v>
      </c>
    </row>
    <row r="6078" spans="1:7" ht="12.75">
      <c r="A6078" s="134" t="s">
        <v>898</v>
      </c>
      <c r="B6078" s="134">
        <v>105</v>
      </c>
      <c r="C6078" s="491">
        <v>0</v>
      </c>
      <c r="D6078" s="491">
        <v>0</v>
      </c>
      <c r="E6078" s="491">
        <v>1</v>
      </c>
      <c r="F6078" s="491">
        <v>0</v>
      </c>
      <c r="G6078" s="491">
        <f t="shared" si="94"/>
        <v>1</v>
      </c>
    </row>
    <row r="6079" spans="1:7" ht="12.75">
      <c r="A6079" s="134" t="s">
        <v>898</v>
      </c>
      <c r="B6079" s="134">
        <v>106</v>
      </c>
      <c r="C6079" s="491">
        <v>3</v>
      </c>
      <c r="D6079" s="491">
        <v>8</v>
      </c>
      <c r="E6079" s="491">
        <v>0</v>
      </c>
      <c r="F6079" s="491">
        <v>1</v>
      </c>
      <c r="G6079" s="491">
        <f t="shared" si="94"/>
        <v>12</v>
      </c>
    </row>
    <row r="6080" spans="1:7" ht="12.75">
      <c r="A6080" s="134" t="s">
        <v>898</v>
      </c>
      <c r="B6080" s="134">
        <v>107</v>
      </c>
      <c r="C6080" s="491">
        <v>693</v>
      </c>
      <c r="D6080" s="491">
        <v>205</v>
      </c>
      <c r="E6080" s="491">
        <v>169</v>
      </c>
      <c r="F6080" s="491">
        <v>28</v>
      </c>
      <c r="G6080" s="491">
        <f t="shared" si="94"/>
        <v>1095</v>
      </c>
    </row>
    <row r="6081" spans="1:7" ht="12.75">
      <c r="A6081" s="134" t="s">
        <v>898</v>
      </c>
      <c r="B6081" s="134">
        <v>110</v>
      </c>
      <c r="C6081" s="491">
        <v>759</v>
      </c>
      <c r="D6081" s="491">
        <v>455</v>
      </c>
      <c r="E6081" s="491">
        <v>76</v>
      </c>
      <c r="F6081" s="491">
        <v>39</v>
      </c>
      <c r="G6081" s="491">
        <f t="shared" si="94"/>
        <v>1329</v>
      </c>
    </row>
    <row r="6082" spans="1:7" ht="12.75">
      <c r="A6082" s="134" t="s">
        <v>898</v>
      </c>
      <c r="B6082" s="134">
        <v>120</v>
      </c>
      <c r="C6082" s="491">
        <v>1658</v>
      </c>
      <c r="D6082" s="491">
        <v>1360</v>
      </c>
      <c r="E6082" s="491">
        <v>64</v>
      </c>
      <c r="F6082" s="491">
        <v>9</v>
      </c>
      <c r="G6082" s="491">
        <f t="shared" si="94"/>
        <v>3091</v>
      </c>
    </row>
    <row r="6083" spans="1:7" ht="12.75">
      <c r="A6083" s="134" t="s">
        <v>898</v>
      </c>
      <c r="B6083" s="134">
        <v>130</v>
      </c>
      <c r="C6083" s="491">
        <v>268</v>
      </c>
      <c r="D6083" s="491">
        <v>43</v>
      </c>
      <c r="E6083" s="491">
        <v>24</v>
      </c>
      <c r="F6083" s="491">
        <v>4</v>
      </c>
      <c r="G6083" s="491">
        <f t="shared" si="94"/>
        <v>339</v>
      </c>
    </row>
    <row r="6084" spans="1:7" ht="12.75">
      <c r="A6084" s="134" t="s">
        <v>898</v>
      </c>
      <c r="B6084" s="134">
        <v>140</v>
      </c>
      <c r="C6084" s="491">
        <v>1889</v>
      </c>
      <c r="D6084" s="491">
        <v>280</v>
      </c>
      <c r="E6084" s="491">
        <v>27</v>
      </c>
      <c r="F6084" s="491">
        <v>8</v>
      </c>
      <c r="G6084" s="491">
        <f t="shared" ref="G6084:G6147" si="95">SUM(C6084:F6084)</f>
        <v>2204</v>
      </c>
    </row>
    <row r="6085" spans="1:7" ht="12.75">
      <c r="A6085" s="134" t="s">
        <v>898</v>
      </c>
      <c r="B6085" s="134">
        <v>141</v>
      </c>
      <c r="C6085" s="491">
        <v>54</v>
      </c>
      <c r="D6085" s="491">
        <v>7</v>
      </c>
      <c r="E6085" s="491">
        <v>1</v>
      </c>
      <c r="F6085" s="491">
        <v>0</v>
      </c>
      <c r="G6085" s="491">
        <f t="shared" si="95"/>
        <v>62</v>
      </c>
    </row>
    <row r="6086" spans="1:7" ht="12.75">
      <c r="A6086" s="134" t="s">
        <v>898</v>
      </c>
      <c r="B6086" s="134">
        <v>143</v>
      </c>
      <c r="C6086" s="491">
        <v>2</v>
      </c>
      <c r="D6086" s="491">
        <v>8</v>
      </c>
      <c r="E6086" s="491">
        <v>0</v>
      </c>
      <c r="F6086" s="491">
        <v>2</v>
      </c>
      <c r="G6086" s="491">
        <f t="shared" si="95"/>
        <v>12</v>
      </c>
    </row>
    <row r="6087" spans="1:7" ht="12.75">
      <c r="A6087" s="134" t="s">
        <v>898</v>
      </c>
      <c r="B6087" s="134">
        <v>144</v>
      </c>
      <c r="C6087" s="491">
        <v>4523</v>
      </c>
      <c r="D6087" s="491">
        <v>523</v>
      </c>
      <c r="E6087" s="491">
        <v>501</v>
      </c>
      <c r="F6087" s="491">
        <v>22</v>
      </c>
      <c r="G6087" s="491">
        <f t="shared" si="95"/>
        <v>5569</v>
      </c>
    </row>
    <row r="6088" spans="1:7" ht="12.75">
      <c r="A6088" s="134" t="s">
        <v>898</v>
      </c>
      <c r="B6088" s="134">
        <v>150</v>
      </c>
      <c r="C6088" s="491">
        <v>1</v>
      </c>
      <c r="D6088" s="491">
        <v>13</v>
      </c>
      <c r="E6088" s="491">
        <v>0</v>
      </c>
      <c r="F6088" s="491">
        <v>1</v>
      </c>
      <c r="G6088" s="491">
        <f t="shared" si="95"/>
        <v>15</v>
      </c>
    </row>
    <row r="6089" spans="1:7" ht="12.75">
      <c r="A6089" s="134" t="s">
        <v>898</v>
      </c>
      <c r="B6089" s="134">
        <v>160</v>
      </c>
      <c r="C6089" s="491">
        <v>17107</v>
      </c>
      <c r="D6089" s="491">
        <v>2375</v>
      </c>
      <c r="E6089" s="491">
        <v>1728</v>
      </c>
      <c r="F6089" s="491">
        <v>413</v>
      </c>
      <c r="G6089" s="491">
        <f t="shared" si="95"/>
        <v>21623</v>
      </c>
    </row>
    <row r="6090" spans="1:7" ht="12.75">
      <c r="A6090" s="134" t="s">
        <v>898</v>
      </c>
      <c r="B6090" s="134">
        <v>161</v>
      </c>
      <c r="C6090" s="491">
        <v>463</v>
      </c>
      <c r="D6090" s="491">
        <v>101</v>
      </c>
      <c r="E6090" s="491">
        <v>258</v>
      </c>
      <c r="F6090" s="491">
        <v>117</v>
      </c>
      <c r="G6090" s="491">
        <f t="shared" si="95"/>
        <v>939</v>
      </c>
    </row>
    <row r="6091" spans="1:7" ht="12.75">
      <c r="A6091" s="134" t="s">
        <v>898</v>
      </c>
      <c r="B6091" s="134">
        <v>170</v>
      </c>
      <c r="C6091" s="491">
        <v>0</v>
      </c>
      <c r="D6091" s="491">
        <v>1</v>
      </c>
      <c r="E6091" s="491">
        <v>0</v>
      </c>
      <c r="F6091" s="491">
        <v>0</v>
      </c>
      <c r="G6091" s="491">
        <f t="shared" si="95"/>
        <v>1</v>
      </c>
    </row>
    <row r="6092" spans="1:7" ht="12.75">
      <c r="A6092" s="134" t="s">
        <v>898</v>
      </c>
      <c r="B6092" s="134">
        <v>172</v>
      </c>
      <c r="C6092" s="491">
        <v>0</v>
      </c>
      <c r="D6092" s="491">
        <v>6</v>
      </c>
      <c r="E6092" s="491">
        <v>0</v>
      </c>
      <c r="F6092" s="491">
        <v>0</v>
      </c>
      <c r="G6092" s="491">
        <f t="shared" si="95"/>
        <v>6</v>
      </c>
    </row>
    <row r="6093" spans="1:7" ht="12.75">
      <c r="A6093" s="134" t="s">
        <v>898</v>
      </c>
      <c r="B6093" s="134">
        <v>173</v>
      </c>
      <c r="C6093" s="491">
        <v>1</v>
      </c>
      <c r="D6093" s="491">
        <v>2</v>
      </c>
      <c r="E6093" s="491">
        <v>0</v>
      </c>
      <c r="F6093" s="491">
        <v>0</v>
      </c>
      <c r="G6093" s="491">
        <f t="shared" si="95"/>
        <v>3</v>
      </c>
    </row>
    <row r="6094" spans="1:7" ht="12.75">
      <c r="A6094" s="134" t="s">
        <v>898</v>
      </c>
      <c r="B6094" s="134">
        <v>180</v>
      </c>
      <c r="C6094" s="491">
        <v>50</v>
      </c>
      <c r="D6094" s="491">
        <v>133</v>
      </c>
      <c r="E6094" s="491">
        <v>1</v>
      </c>
      <c r="F6094" s="491">
        <v>0</v>
      </c>
      <c r="G6094" s="491">
        <f t="shared" si="95"/>
        <v>184</v>
      </c>
    </row>
    <row r="6095" spans="1:7" ht="12.75">
      <c r="A6095" s="134" t="s">
        <v>898</v>
      </c>
      <c r="B6095" s="134">
        <v>190</v>
      </c>
      <c r="C6095" s="491">
        <v>0</v>
      </c>
      <c r="D6095" s="491">
        <v>5</v>
      </c>
      <c r="E6095" s="491">
        <v>0</v>
      </c>
      <c r="F6095" s="491">
        <v>0</v>
      </c>
      <c r="G6095" s="491">
        <f t="shared" si="95"/>
        <v>5</v>
      </c>
    </row>
    <row r="6096" spans="1:7" ht="12.75">
      <c r="A6096" s="134" t="s">
        <v>898</v>
      </c>
      <c r="B6096" s="134">
        <v>191</v>
      </c>
      <c r="C6096" s="491">
        <v>3</v>
      </c>
      <c r="D6096" s="491">
        <v>8</v>
      </c>
      <c r="E6096" s="491">
        <v>0</v>
      </c>
      <c r="F6096" s="491">
        <v>1</v>
      </c>
      <c r="G6096" s="491">
        <f t="shared" si="95"/>
        <v>12</v>
      </c>
    </row>
    <row r="6097" spans="1:7" ht="12.75">
      <c r="A6097" s="134" t="s">
        <v>898</v>
      </c>
      <c r="B6097" s="134">
        <v>211</v>
      </c>
      <c r="C6097" s="491">
        <v>0</v>
      </c>
      <c r="D6097" s="491">
        <v>1</v>
      </c>
      <c r="E6097" s="491">
        <v>0</v>
      </c>
      <c r="F6097" s="491">
        <v>1</v>
      </c>
      <c r="G6097" s="491">
        <f t="shared" si="95"/>
        <v>2</v>
      </c>
    </row>
    <row r="6098" spans="1:7" ht="12.75">
      <c r="A6098" s="134" t="s">
        <v>898</v>
      </c>
      <c r="B6098" s="134">
        <v>215</v>
      </c>
      <c r="C6098" s="491">
        <v>16</v>
      </c>
      <c r="D6098" s="491">
        <v>7</v>
      </c>
      <c r="E6098" s="491">
        <v>0</v>
      </c>
      <c r="F6098" s="491">
        <v>0</v>
      </c>
      <c r="G6098" s="491">
        <f t="shared" si="95"/>
        <v>23</v>
      </c>
    </row>
    <row r="6099" spans="1:7" ht="12.75">
      <c r="A6099" s="134" t="s">
        <v>898</v>
      </c>
      <c r="B6099" s="134">
        <v>217</v>
      </c>
      <c r="C6099" s="491">
        <v>1</v>
      </c>
      <c r="D6099" s="491">
        <v>1</v>
      </c>
      <c r="E6099" s="491">
        <v>0</v>
      </c>
      <c r="F6099" s="491">
        <v>0</v>
      </c>
      <c r="G6099" s="491">
        <f t="shared" si="95"/>
        <v>2</v>
      </c>
    </row>
    <row r="6100" spans="1:7" ht="12.75">
      <c r="A6100" s="134" t="s">
        <v>898</v>
      </c>
      <c r="B6100" s="134">
        <v>219</v>
      </c>
      <c r="C6100" s="491">
        <v>290</v>
      </c>
      <c r="D6100" s="491">
        <v>7</v>
      </c>
      <c r="E6100" s="491">
        <v>13</v>
      </c>
      <c r="F6100" s="491">
        <v>1</v>
      </c>
      <c r="G6100" s="491">
        <f t="shared" si="95"/>
        <v>311</v>
      </c>
    </row>
    <row r="6101" spans="1:7" ht="12.75">
      <c r="A6101" s="134" t="s">
        <v>898</v>
      </c>
      <c r="B6101" s="134">
        <v>252</v>
      </c>
      <c r="C6101" s="491">
        <v>1</v>
      </c>
      <c r="D6101" s="491">
        <v>0</v>
      </c>
      <c r="E6101" s="491">
        <v>0</v>
      </c>
      <c r="F6101" s="491">
        <v>0</v>
      </c>
      <c r="G6101" s="491">
        <f t="shared" si="95"/>
        <v>1</v>
      </c>
    </row>
    <row r="6102" spans="1:7" ht="12.75">
      <c r="A6102" s="134" t="s">
        <v>898</v>
      </c>
      <c r="B6102" s="134">
        <v>253</v>
      </c>
      <c r="C6102" s="491">
        <v>2</v>
      </c>
      <c r="D6102" s="491">
        <v>0</v>
      </c>
      <c r="E6102" s="491">
        <v>0</v>
      </c>
      <c r="F6102" s="491">
        <v>0</v>
      </c>
      <c r="G6102" s="491">
        <f t="shared" si="95"/>
        <v>2</v>
      </c>
    </row>
    <row r="6103" spans="1:7" ht="12.75">
      <c r="A6103" s="134" t="s">
        <v>898</v>
      </c>
      <c r="B6103" s="134">
        <v>257</v>
      </c>
      <c r="C6103" s="491">
        <v>340</v>
      </c>
      <c r="D6103" s="491">
        <v>18</v>
      </c>
      <c r="E6103" s="491">
        <v>0</v>
      </c>
      <c r="F6103" s="491">
        <v>0</v>
      </c>
      <c r="G6103" s="491">
        <f t="shared" si="95"/>
        <v>358</v>
      </c>
    </row>
    <row r="6104" spans="1:7" ht="12.75">
      <c r="A6104" s="134" t="s">
        <v>898</v>
      </c>
      <c r="B6104" s="134">
        <v>263</v>
      </c>
      <c r="C6104" s="491">
        <v>0</v>
      </c>
      <c r="D6104" s="491">
        <v>0</v>
      </c>
      <c r="E6104" s="491">
        <v>1</v>
      </c>
      <c r="F6104" s="491">
        <v>0</v>
      </c>
      <c r="G6104" s="491">
        <f t="shared" si="95"/>
        <v>1</v>
      </c>
    </row>
    <row r="6105" spans="1:7" ht="12.75">
      <c r="A6105" s="134" t="s">
        <v>898</v>
      </c>
      <c r="B6105" s="134">
        <v>290</v>
      </c>
      <c r="C6105" s="491">
        <v>1</v>
      </c>
      <c r="D6105" s="491">
        <v>0</v>
      </c>
      <c r="E6105" s="491">
        <v>0</v>
      </c>
      <c r="F6105" s="491">
        <v>0</v>
      </c>
      <c r="G6105" s="491">
        <f t="shared" si="95"/>
        <v>1</v>
      </c>
    </row>
    <row r="6106" spans="1:7" ht="12.75">
      <c r="A6106" s="134" t="s">
        <v>898</v>
      </c>
      <c r="B6106" s="134">
        <v>300</v>
      </c>
      <c r="C6106" s="491">
        <v>2163</v>
      </c>
      <c r="D6106" s="491">
        <v>322</v>
      </c>
      <c r="E6106" s="491">
        <v>55</v>
      </c>
      <c r="F6106" s="491">
        <v>12</v>
      </c>
      <c r="G6106" s="491">
        <f t="shared" si="95"/>
        <v>2552</v>
      </c>
    </row>
    <row r="6107" spans="1:7" ht="12.75">
      <c r="A6107" s="134" t="s">
        <v>898</v>
      </c>
      <c r="B6107" s="134">
        <v>301</v>
      </c>
      <c r="C6107" s="491">
        <v>11</v>
      </c>
      <c r="D6107" s="491">
        <v>16</v>
      </c>
      <c r="E6107" s="491">
        <v>0</v>
      </c>
      <c r="F6107" s="491">
        <v>3</v>
      </c>
      <c r="G6107" s="491">
        <f t="shared" si="95"/>
        <v>30</v>
      </c>
    </row>
    <row r="6108" spans="1:7" ht="12.75">
      <c r="A6108" s="134" t="s">
        <v>898</v>
      </c>
      <c r="B6108" s="134">
        <v>302</v>
      </c>
      <c r="C6108" s="491">
        <v>19</v>
      </c>
      <c r="D6108" s="491">
        <v>45</v>
      </c>
      <c r="E6108" s="491">
        <v>0</v>
      </c>
      <c r="F6108" s="491">
        <v>3</v>
      </c>
      <c r="G6108" s="491">
        <f t="shared" si="95"/>
        <v>67</v>
      </c>
    </row>
    <row r="6109" spans="1:7" ht="12.75">
      <c r="A6109" s="134" t="s">
        <v>898</v>
      </c>
      <c r="B6109" s="134">
        <v>303</v>
      </c>
      <c r="C6109" s="491">
        <v>15</v>
      </c>
      <c r="D6109" s="491">
        <v>12</v>
      </c>
      <c r="E6109" s="491">
        <v>2</v>
      </c>
      <c r="F6109" s="491">
        <v>0</v>
      </c>
      <c r="G6109" s="491">
        <f t="shared" si="95"/>
        <v>29</v>
      </c>
    </row>
    <row r="6110" spans="1:7" ht="12.75">
      <c r="A6110" s="134" t="s">
        <v>898</v>
      </c>
      <c r="B6110" s="134">
        <v>305</v>
      </c>
      <c r="C6110" s="491">
        <v>0</v>
      </c>
      <c r="D6110" s="491">
        <v>1</v>
      </c>
      <c r="E6110" s="491">
        <v>0</v>
      </c>
      <c r="F6110" s="491">
        <v>0</v>
      </c>
      <c r="G6110" s="491">
        <f t="shared" si="95"/>
        <v>1</v>
      </c>
    </row>
    <row r="6111" spans="1:7" ht="12.75">
      <c r="A6111" s="134" t="s">
        <v>898</v>
      </c>
      <c r="B6111" s="134">
        <v>306</v>
      </c>
      <c r="C6111" s="491">
        <v>0</v>
      </c>
      <c r="D6111" s="491">
        <v>4</v>
      </c>
      <c r="E6111" s="491">
        <v>0</v>
      </c>
      <c r="F6111" s="491">
        <v>0</v>
      </c>
      <c r="G6111" s="491">
        <f t="shared" si="95"/>
        <v>4</v>
      </c>
    </row>
    <row r="6112" spans="1:7" ht="12.75">
      <c r="A6112" s="134" t="s">
        <v>898</v>
      </c>
      <c r="B6112" s="134">
        <v>307</v>
      </c>
      <c r="C6112" s="491">
        <v>12763</v>
      </c>
      <c r="D6112" s="491">
        <v>1006</v>
      </c>
      <c r="E6112" s="491">
        <v>9179</v>
      </c>
      <c r="F6112" s="491">
        <v>1031</v>
      </c>
      <c r="G6112" s="491">
        <f t="shared" si="95"/>
        <v>23979</v>
      </c>
    </row>
    <row r="6113" spans="1:7" ht="12.75">
      <c r="A6113" s="134" t="s">
        <v>898</v>
      </c>
      <c r="B6113" s="134">
        <v>310</v>
      </c>
      <c r="C6113" s="491">
        <v>1</v>
      </c>
      <c r="D6113" s="491">
        <v>19</v>
      </c>
      <c r="E6113" s="491">
        <v>0</v>
      </c>
      <c r="F6113" s="491">
        <v>1</v>
      </c>
      <c r="G6113" s="491">
        <f t="shared" si="95"/>
        <v>21</v>
      </c>
    </row>
    <row r="6114" spans="1:7" ht="12.75">
      <c r="A6114" s="134" t="s">
        <v>898</v>
      </c>
      <c r="B6114" s="134">
        <v>311</v>
      </c>
      <c r="C6114" s="491">
        <v>0</v>
      </c>
      <c r="D6114" s="491">
        <v>3</v>
      </c>
      <c r="E6114" s="491">
        <v>0</v>
      </c>
      <c r="F6114" s="491">
        <v>1</v>
      </c>
      <c r="G6114" s="491">
        <f t="shared" si="95"/>
        <v>4</v>
      </c>
    </row>
    <row r="6115" spans="1:7" ht="12.75">
      <c r="A6115" s="134" t="s">
        <v>898</v>
      </c>
      <c r="B6115" s="134">
        <v>314</v>
      </c>
      <c r="C6115" s="491">
        <v>0</v>
      </c>
      <c r="D6115" s="491">
        <v>3</v>
      </c>
      <c r="E6115" s="491">
        <v>0</v>
      </c>
      <c r="F6115" s="491">
        <v>0</v>
      </c>
      <c r="G6115" s="491">
        <f t="shared" si="95"/>
        <v>3</v>
      </c>
    </row>
    <row r="6116" spans="1:7" ht="12.75">
      <c r="A6116" s="134" t="s">
        <v>898</v>
      </c>
      <c r="B6116" s="134">
        <v>315</v>
      </c>
      <c r="C6116" s="491">
        <v>1</v>
      </c>
      <c r="D6116" s="491">
        <v>0</v>
      </c>
      <c r="E6116" s="491">
        <v>0</v>
      </c>
      <c r="F6116" s="491">
        <v>0</v>
      </c>
      <c r="G6116" s="491">
        <f t="shared" si="95"/>
        <v>1</v>
      </c>
    </row>
    <row r="6117" spans="1:7" ht="12.75">
      <c r="A6117" s="134" t="s">
        <v>898</v>
      </c>
      <c r="B6117" s="134">
        <v>317</v>
      </c>
      <c r="C6117" s="491">
        <v>0</v>
      </c>
      <c r="D6117" s="491">
        <v>1</v>
      </c>
      <c r="E6117" s="491">
        <v>0</v>
      </c>
      <c r="F6117" s="491">
        <v>0</v>
      </c>
      <c r="G6117" s="491">
        <f t="shared" si="95"/>
        <v>1</v>
      </c>
    </row>
    <row r="6118" spans="1:7" ht="12.75">
      <c r="A6118" s="134" t="s">
        <v>898</v>
      </c>
      <c r="B6118" s="134">
        <v>320</v>
      </c>
      <c r="C6118" s="491">
        <v>3</v>
      </c>
      <c r="D6118" s="491">
        <v>53</v>
      </c>
      <c r="E6118" s="491">
        <v>0</v>
      </c>
      <c r="F6118" s="491">
        <v>5</v>
      </c>
      <c r="G6118" s="491">
        <f t="shared" si="95"/>
        <v>61</v>
      </c>
    </row>
    <row r="6119" spans="1:7" ht="12.75">
      <c r="A6119" s="134" t="s">
        <v>898</v>
      </c>
      <c r="B6119" s="134">
        <v>323</v>
      </c>
      <c r="C6119" s="491">
        <v>1</v>
      </c>
      <c r="D6119" s="491">
        <v>0</v>
      </c>
      <c r="E6119" s="491">
        <v>0</v>
      </c>
      <c r="F6119" s="491">
        <v>0</v>
      </c>
      <c r="G6119" s="491">
        <f t="shared" si="95"/>
        <v>1</v>
      </c>
    </row>
    <row r="6120" spans="1:7" ht="12.75">
      <c r="A6120" s="134" t="s">
        <v>898</v>
      </c>
      <c r="B6120" s="134">
        <v>324</v>
      </c>
      <c r="C6120" s="491">
        <v>0</v>
      </c>
      <c r="D6120" s="491">
        <v>34</v>
      </c>
      <c r="E6120" s="491">
        <v>0</v>
      </c>
      <c r="F6120" s="491">
        <v>3</v>
      </c>
      <c r="G6120" s="491">
        <f t="shared" si="95"/>
        <v>37</v>
      </c>
    </row>
    <row r="6121" spans="1:7" ht="12.75">
      <c r="A6121" s="134" t="s">
        <v>898</v>
      </c>
      <c r="B6121" s="134">
        <v>330</v>
      </c>
      <c r="C6121" s="491">
        <v>20001</v>
      </c>
      <c r="D6121" s="491">
        <v>3000</v>
      </c>
      <c r="E6121" s="491">
        <v>282</v>
      </c>
      <c r="F6121" s="491">
        <v>76</v>
      </c>
      <c r="G6121" s="491">
        <f t="shared" si="95"/>
        <v>23359</v>
      </c>
    </row>
    <row r="6122" spans="1:7" ht="12.75">
      <c r="A6122" s="134" t="s">
        <v>898</v>
      </c>
      <c r="B6122" s="134">
        <v>340</v>
      </c>
      <c r="C6122" s="491">
        <v>8</v>
      </c>
      <c r="D6122" s="491">
        <v>43</v>
      </c>
      <c r="E6122" s="491">
        <v>0</v>
      </c>
      <c r="F6122" s="491">
        <v>1</v>
      </c>
      <c r="G6122" s="491">
        <f t="shared" si="95"/>
        <v>52</v>
      </c>
    </row>
    <row r="6123" spans="1:7" ht="12.75">
      <c r="A6123" s="134" t="s">
        <v>898</v>
      </c>
      <c r="B6123" s="134">
        <v>341</v>
      </c>
      <c r="C6123" s="491">
        <v>0</v>
      </c>
      <c r="D6123" s="491">
        <v>6</v>
      </c>
      <c r="E6123" s="491">
        <v>0</v>
      </c>
      <c r="F6123" s="491">
        <v>0</v>
      </c>
      <c r="G6123" s="491">
        <f t="shared" si="95"/>
        <v>6</v>
      </c>
    </row>
    <row r="6124" spans="1:7" ht="12.75">
      <c r="A6124" s="134" t="s">
        <v>898</v>
      </c>
      <c r="B6124" s="134">
        <v>350</v>
      </c>
      <c r="C6124" s="491">
        <v>4</v>
      </c>
      <c r="D6124" s="491">
        <v>3</v>
      </c>
      <c r="E6124" s="491">
        <v>1</v>
      </c>
      <c r="F6124" s="491">
        <v>0</v>
      </c>
      <c r="G6124" s="491">
        <f t="shared" si="95"/>
        <v>8</v>
      </c>
    </row>
    <row r="6125" spans="1:7" ht="12.75">
      <c r="A6125" s="134" t="s">
        <v>898</v>
      </c>
      <c r="B6125" s="134">
        <v>352</v>
      </c>
      <c r="C6125" s="491">
        <v>0</v>
      </c>
      <c r="D6125" s="491">
        <v>1</v>
      </c>
      <c r="E6125" s="491">
        <v>0</v>
      </c>
      <c r="F6125" s="491">
        <v>4</v>
      </c>
      <c r="G6125" s="491">
        <f t="shared" si="95"/>
        <v>5</v>
      </c>
    </row>
    <row r="6126" spans="1:7" ht="12.75">
      <c r="A6126" s="134" t="s">
        <v>898</v>
      </c>
      <c r="B6126" s="134">
        <v>361</v>
      </c>
      <c r="C6126" s="491">
        <v>3</v>
      </c>
      <c r="D6126" s="491">
        <v>5</v>
      </c>
      <c r="E6126" s="491">
        <v>0</v>
      </c>
      <c r="F6126" s="491">
        <v>0</v>
      </c>
      <c r="G6126" s="491">
        <f t="shared" si="95"/>
        <v>8</v>
      </c>
    </row>
    <row r="6127" spans="1:7" ht="12.75">
      <c r="A6127" s="134" t="s">
        <v>898</v>
      </c>
      <c r="B6127" s="134">
        <v>370</v>
      </c>
      <c r="C6127" s="491">
        <v>71</v>
      </c>
      <c r="D6127" s="491">
        <v>24</v>
      </c>
      <c r="E6127" s="491">
        <v>5</v>
      </c>
      <c r="F6127" s="491">
        <v>4</v>
      </c>
      <c r="G6127" s="491">
        <f t="shared" si="95"/>
        <v>104</v>
      </c>
    </row>
    <row r="6128" spans="1:7" ht="12.75">
      <c r="A6128" s="134" t="s">
        <v>898</v>
      </c>
      <c r="B6128" s="134">
        <v>400</v>
      </c>
      <c r="C6128" s="491">
        <v>5</v>
      </c>
      <c r="D6128" s="491">
        <v>19</v>
      </c>
      <c r="E6128" s="491">
        <v>0</v>
      </c>
      <c r="F6128" s="491">
        <v>0</v>
      </c>
      <c r="G6128" s="491">
        <f t="shared" si="95"/>
        <v>24</v>
      </c>
    </row>
    <row r="6129" spans="1:7" ht="12.75">
      <c r="A6129" s="134" t="s">
        <v>898</v>
      </c>
      <c r="B6129" s="134">
        <v>410</v>
      </c>
      <c r="C6129" s="491">
        <v>173</v>
      </c>
      <c r="D6129" s="491">
        <v>31</v>
      </c>
      <c r="E6129" s="491">
        <v>6</v>
      </c>
      <c r="F6129" s="491">
        <v>2</v>
      </c>
      <c r="G6129" s="491">
        <f t="shared" si="95"/>
        <v>212</v>
      </c>
    </row>
    <row r="6130" spans="1:7" ht="12.75">
      <c r="A6130" s="134" t="s">
        <v>898</v>
      </c>
      <c r="B6130" s="134">
        <v>420</v>
      </c>
      <c r="C6130" s="491">
        <v>105</v>
      </c>
      <c r="D6130" s="491">
        <v>6</v>
      </c>
      <c r="E6130" s="491">
        <v>0</v>
      </c>
      <c r="F6130" s="491">
        <v>0</v>
      </c>
      <c r="G6130" s="491">
        <f t="shared" si="95"/>
        <v>111</v>
      </c>
    </row>
    <row r="6131" spans="1:7" ht="12.75">
      <c r="A6131" s="134" t="s">
        <v>898</v>
      </c>
      <c r="B6131" s="134">
        <v>430</v>
      </c>
      <c r="C6131" s="491">
        <v>0</v>
      </c>
      <c r="D6131" s="491">
        <v>5</v>
      </c>
      <c r="E6131" s="491">
        <v>0</v>
      </c>
      <c r="F6131" s="491">
        <v>1</v>
      </c>
      <c r="G6131" s="491">
        <f t="shared" si="95"/>
        <v>6</v>
      </c>
    </row>
    <row r="6132" spans="1:7" ht="12.75">
      <c r="A6132" s="134" t="s">
        <v>898</v>
      </c>
      <c r="B6132" s="134">
        <v>450</v>
      </c>
      <c r="C6132" s="491">
        <v>2</v>
      </c>
      <c r="D6132" s="491">
        <v>0</v>
      </c>
      <c r="E6132" s="491">
        <v>0</v>
      </c>
      <c r="F6132" s="491">
        <v>0</v>
      </c>
      <c r="G6132" s="491">
        <f t="shared" si="95"/>
        <v>2</v>
      </c>
    </row>
    <row r="6133" spans="1:7" ht="12.75">
      <c r="A6133" s="134" t="s">
        <v>898</v>
      </c>
      <c r="B6133" s="134">
        <v>501</v>
      </c>
      <c r="C6133" s="491">
        <v>3</v>
      </c>
      <c r="D6133" s="491">
        <v>47</v>
      </c>
      <c r="E6133" s="491">
        <v>0</v>
      </c>
      <c r="F6133" s="491">
        <v>9</v>
      </c>
      <c r="G6133" s="491">
        <f t="shared" si="95"/>
        <v>59</v>
      </c>
    </row>
    <row r="6134" spans="1:7" ht="12.75">
      <c r="A6134" s="134" t="s">
        <v>898</v>
      </c>
      <c r="B6134" s="134">
        <v>502</v>
      </c>
      <c r="C6134" s="491">
        <v>349</v>
      </c>
      <c r="D6134" s="491">
        <v>515</v>
      </c>
      <c r="E6134" s="491">
        <v>1</v>
      </c>
      <c r="F6134" s="491">
        <v>6</v>
      </c>
      <c r="G6134" s="491">
        <f t="shared" si="95"/>
        <v>871</v>
      </c>
    </row>
    <row r="6135" spans="1:7" ht="12.75">
      <c r="A6135" s="134" t="s">
        <v>898</v>
      </c>
      <c r="B6135" s="134">
        <v>503</v>
      </c>
      <c r="C6135" s="491">
        <v>2</v>
      </c>
      <c r="D6135" s="491">
        <v>13</v>
      </c>
      <c r="E6135" s="491">
        <v>0</v>
      </c>
      <c r="F6135" s="491">
        <v>1</v>
      </c>
      <c r="G6135" s="491">
        <f t="shared" si="95"/>
        <v>16</v>
      </c>
    </row>
    <row r="6136" spans="1:7" ht="12.75">
      <c r="A6136" s="134" t="s">
        <v>898</v>
      </c>
      <c r="B6136" s="134">
        <v>560</v>
      </c>
      <c r="C6136" s="491">
        <v>5</v>
      </c>
      <c r="D6136" s="491">
        <v>19</v>
      </c>
      <c r="E6136" s="491">
        <v>0</v>
      </c>
      <c r="F6136" s="491">
        <v>5</v>
      </c>
      <c r="G6136" s="491">
        <f t="shared" si="95"/>
        <v>29</v>
      </c>
    </row>
    <row r="6137" spans="1:7" ht="12.75">
      <c r="A6137" s="134" t="s">
        <v>898</v>
      </c>
      <c r="B6137" s="134">
        <v>650</v>
      </c>
      <c r="C6137" s="491">
        <v>9</v>
      </c>
      <c r="D6137" s="491">
        <v>126</v>
      </c>
      <c r="E6137" s="491">
        <v>1</v>
      </c>
      <c r="F6137" s="491">
        <v>10</v>
      </c>
      <c r="G6137" s="491">
        <f t="shared" si="95"/>
        <v>146</v>
      </c>
    </row>
    <row r="6138" spans="1:7" ht="12.75">
      <c r="A6138" s="134" t="s">
        <v>898</v>
      </c>
      <c r="B6138" s="134">
        <v>651</v>
      </c>
      <c r="C6138" s="491">
        <v>6</v>
      </c>
      <c r="D6138" s="491">
        <v>4</v>
      </c>
      <c r="E6138" s="491">
        <v>0</v>
      </c>
      <c r="F6138" s="491">
        <v>1</v>
      </c>
      <c r="G6138" s="491">
        <f t="shared" si="95"/>
        <v>11</v>
      </c>
    </row>
    <row r="6139" spans="1:7" ht="12.75">
      <c r="A6139" s="134" t="s">
        <v>898</v>
      </c>
      <c r="B6139" s="134">
        <v>652</v>
      </c>
      <c r="C6139" s="491">
        <v>0</v>
      </c>
      <c r="D6139" s="491">
        <v>1</v>
      </c>
      <c r="E6139" s="491">
        <v>0</v>
      </c>
      <c r="F6139" s="491">
        <v>0</v>
      </c>
      <c r="G6139" s="491">
        <f t="shared" si="95"/>
        <v>1</v>
      </c>
    </row>
    <row r="6140" spans="1:7" ht="12.75">
      <c r="A6140" s="134" t="s">
        <v>898</v>
      </c>
      <c r="B6140" s="134">
        <v>653</v>
      </c>
      <c r="C6140" s="491">
        <v>6297</v>
      </c>
      <c r="D6140" s="491">
        <v>333</v>
      </c>
      <c r="E6140" s="491">
        <v>6499</v>
      </c>
      <c r="F6140" s="491">
        <v>80</v>
      </c>
      <c r="G6140" s="491">
        <f t="shared" si="95"/>
        <v>13209</v>
      </c>
    </row>
    <row r="6141" spans="1:7" ht="12.75">
      <c r="A6141" s="134" t="s">
        <v>898</v>
      </c>
      <c r="B6141" s="134">
        <v>654</v>
      </c>
      <c r="C6141" s="491">
        <v>0</v>
      </c>
      <c r="D6141" s="491">
        <v>1</v>
      </c>
      <c r="E6141" s="491">
        <v>0</v>
      </c>
      <c r="F6141" s="491">
        <v>1</v>
      </c>
      <c r="G6141" s="491">
        <f t="shared" si="95"/>
        <v>2</v>
      </c>
    </row>
    <row r="6142" spans="1:7" ht="12.75">
      <c r="A6142" s="134" t="s">
        <v>898</v>
      </c>
      <c r="B6142" s="134">
        <v>711</v>
      </c>
      <c r="C6142" s="491">
        <v>1</v>
      </c>
      <c r="D6142" s="491">
        <v>0</v>
      </c>
      <c r="E6142" s="491">
        <v>0</v>
      </c>
      <c r="F6142" s="491">
        <v>0</v>
      </c>
      <c r="G6142" s="491">
        <f t="shared" si="95"/>
        <v>1</v>
      </c>
    </row>
    <row r="6143" spans="1:7" ht="12.75">
      <c r="A6143" s="134" t="s">
        <v>898</v>
      </c>
      <c r="B6143" s="134">
        <v>800</v>
      </c>
      <c r="C6143" s="491">
        <v>23</v>
      </c>
      <c r="D6143" s="491">
        <v>4</v>
      </c>
      <c r="E6143" s="491">
        <v>7</v>
      </c>
      <c r="F6143" s="491">
        <v>4</v>
      </c>
      <c r="G6143" s="491">
        <f t="shared" si="95"/>
        <v>38</v>
      </c>
    </row>
    <row r="6144" spans="1:7" ht="12.75">
      <c r="A6144" s="134" t="s">
        <v>898</v>
      </c>
      <c r="B6144" s="134">
        <v>811</v>
      </c>
      <c r="C6144" s="491">
        <v>21</v>
      </c>
      <c r="D6144" s="491">
        <v>2</v>
      </c>
      <c r="E6144" s="491">
        <v>0</v>
      </c>
      <c r="F6144" s="491">
        <v>0</v>
      </c>
      <c r="G6144" s="491">
        <f t="shared" si="95"/>
        <v>23</v>
      </c>
    </row>
    <row r="6145" spans="1:7" ht="12.75">
      <c r="A6145" s="134" t="s">
        <v>898</v>
      </c>
      <c r="B6145" s="134">
        <v>812</v>
      </c>
      <c r="C6145" s="491">
        <v>227</v>
      </c>
      <c r="D6145" s="491">
        <v>390</v>
      </c>
      <c r="E6145" s="491">
        <v>0</v>
      </c>
      <c r="F6145" s="491">
        <v>1</v>
      </c>
      <c r="G6145" s="491">
        <f t="shared" si="95"/>
        <v>618</v>
      </c>
    </row>
    <row r="6146" spans="1:7" ht="12.75">
      <c r="A6146" s="134" t="s">
        <v>899</v>
      </c>
      <c r="B6146" s="134">
        <v>100</v>
      </c>
      <c r="C6146" s="491">
        <v>1</v>
      </c>
      <c r="D6146" s="491">
        <v>1</v>
      </c>
      <c r="E6146" s="491">
        <v>0</v>
      </c>
      <c r="F6146" s="491">
        <v>0</v>
      </c>
      <c r="G6146" s="491">
        <f t="shared" si="95"/>
        <v>2</v>
      </c>
    </row>
    <row r="6147" spans="1:7" ht="12.75">
      <c r="A6147" s="134" t="s">
        <v>899</v>
      </c>
      <c r="B6147" s="134">
        <v>104</v>
      </c>
      <c r="C6147" s="491">
        <v>1</v>
      </c>
      <c r="D6147" s="491">
        <v>0</v>
      </c>
      <c r="E6147" s="491">
        <v>0</v>
      </c>
      <c r="F6147" s="491">
        <v>0</v>
      </c>
      <c r="G6147" s="491">
        <f t="shared" si="95"/>
        <v>1</v>
      </c>
    </row>
    <row r="6148" spans="1:7" ht="12.75">
      <c r="A6148" s="134" t="s">
        <v>899</v>
      </c>
      <c r="B6148" s="134">
        <v>107</v>
      </c>
      <c r="C6148" s="491">
        <v>0</v>
      </c>
      <c r="D6148" s="491">
        <v>1</v>
      </c>
      <c r="E6148" s="491">
        <v>0</v>
      </c>
      <c r="F6148" s="491">
        <v>0</v>
      </c>
      <c r="G6148" s="491">
        <f t="shared" ref="G6148:G6211" si="96">SUM(C6148:F6148)</f>
        <v>1</v>
      </c>
    </row>
    <row r="6149" spans="1:7" ht="12.75">
      <c r="A6149" s="134" t="s">
        <v>899</v>
      </c>
      <c r="B6149" s="134">
        <v>110</v>
      </c>
      <c r="C6149" s="491">
        <v>28</v>
      </c>
      <c r="D6149" s="491">
        <v>40</v>
      </c>
      <c r="E6149" s="491">
        <v>2</v>
      </c>
      <c r="F6149" s="491">
        <v>3</v>
      </c>
      <c r="G6149" s="491">
        <f t="shared" si="96"/>
        <v>73</v>
      </c>
    </row>
    <row r="6150" spans="1:7" ht="12.75">
      <c r="A6150" s="134" t="s">
        <v>899</v>
      </c>
      <c r="B6150" s="134">
        <v>120</v>
      </c>
      <c r="C6150" s="491">
        <v>64</v>
      </c>
      <c r="D6150" s="491">
        <v>39</v>
      </c>
      <c r="E6150" s="491">
        <v>1</v>
      </c>
      <c r="F6150" s="491">
        <v>1</v>
      </c>
      <c r="G6150" s="491">
        <f t="shared" si="96"/>
        <v>105</v>
      </c>
    </row>
    <row r="6151" spans="1:7" ht="12.75">
      <c r="A6151" s="134" t="s">
        <v>899</v>
      </c>
      <c r="B6151" s="134">
        <v>130</v>
      </c>
      <c r="C6151" s="491">
        <v>3</v>
      </c>
      <c r="D6151" s="491">
        <v>0</v>
      </c>
      <c r="E6151" s="491">
        <v>0</v>
      </c>
      <c r="F6151" s="491">
        <v>0</v>
      </c>
      <c r="G6151" s="491">
        <f t="shared" si="96"/>
        <v>3</v>
      </c>
    </row>
    <row r="6152" spans="1:7" ht="12.75">
      <c r="A6152" s="134" t="s">
        <v>899</v>
      </c>
      <c r="B6152" s="134">
        <v>140</v>
      </c>
      <c r="C6152" s="491">
        <v>5</v>
      </c>
      <c r="D6152" s="491">
        <v>16</v>
      </c>
      <c r="E6152" s="491">
        <v>0</v>
      </c>
      <c r="F6152" s="491">
        <v>0</v>
      </c>
      <c r="G6152" s="491">
        <f t="shared" si="96"/>
        <v>21</v>
      </c>
    </row>
    <row r="6153" spans="1:7" ht="12.75">
      <c r="A6153" s="134" t="s">
        <v>899</v>
      </c>
      <c r="B6153" s="134">
        <v>142</v>
      </c>
      <c r="C6153" s="491">
        <v>0</v>
      </c>
      <c r="D6153" s="491">
        <v>1</v>
      </c>
      <c r="E6153" s="491">
        <v>0</v>
      </c>
      <c r="F6153" s="491">
        <v>0</v>
      </c>
      <c r="G6153" s="491">
        <f t="shared" si="96"/>
        <v>1</v>
      </c>
    </row>
    <row r="6154" spans="1:7" ht="12.75">
      <c r="A6154" s="134" t="s">
        <v>899</v>
      </c>
      <c r="B6154" s="134">
        <v>143</v>
      </c>
      <c r="C6154" s="491">
        <v>0</v>
      </c>
      <c r="D6154" s="491">
        <v>1</v>
      </c>
      <c r="E6154" s="491">
        <v>0</v>
      </c>
      <c r="F6154" s="491">
        <v>0</v>
      </c>
      <c r="G6154" s="491">
        <f t="shared" si="96"/>
        <v>1</v>
      </c>
    </row>
    <row r="6155" spans="1:7" ht="12.75">
      <c r="A6155" s="134" t="s">
        <v>899</v>
      </c>
      <c r="B6155" s="134">
        <v>144</v>
      </c>
      <c r="C6155" s="491">
        <v>17</v>
      </c>
      <c r="D6155" s="491">
        <v>22</v>
      </c>
      <c r="E6155" s="491">
        <v>6</v>
      </c>
      <c r="F6155" s="491">
        <v>2</v>
      </c>
      <c r="G6155" s="491">
        <f t="shared" si="96"/>
        <v>47</v>
      </c>
    </row>
    <row r="6156" spans="1:7" ht="12.75">
      <c r="A6156" s="134" t="s">
        <v>899</v>
      </c>
      <c r="B6156" s="134">
        <v>150</v>
      </c>
      <c r="C6156" s="491">
        <v>0</v>
      </c>
      <c r="D6156" s="491">
        <v>0</v>
      </c>
      <c r="E6156" s="491">
        <v>0</v>
      </c>
      <c r="F6156" s="491">
        <v>1</v>
      </c>
      <c r="G6156" s="491">
        <f t="shared" si="96"/>
        <v>1</v>
      </c>
    </row>
    <row r="6157" spans="1:7" ht="12.75">
      <c r="A6157" s="134" t="s">
        <v>899</v>
      </c>
      <c r="B6157" s="134">
        <v>160</v>
      </c>
      <c r="C6157" s="491">
        <v>217</v>
      </c>
      <c r="D6157" s="491">
        <v>65</v>
      </c>
      <c r="E6157" s="491">
        <v>15</v>
      </c>
      <c r="F6157" s="491">
        <v>9</v>
      </c>
      <c r="G6157" s="491">
        <f t="shared" si="96"/>
        <v>306</v>
      </c>
    </row>
    <row r="6158" spans="1:7" ht="12.75">
      <c r="A6158" s="134" t="s">
        <v>899</v>
      </c>
      <c r="B6158" s="134">
        <v>161</v>
      </c>
      <c r="C6158" s="491">
        <v>9</v>
      </c>
      <c r="D6158" s="491">
        <v>3</v>
      </c>
      <c r="E6158" s="491">
        <v>2</v>
      </c>
      <c r="F6158" s="491">
        <v>3</v>
      </c>
      <c r="G6158" s="491">
        <f t="shared" si="96"/>
        <v>17</v>
      </c>
    </row>
    <row r="6159" spans="1:7" ht="12.75">
      <c r="A6159" s="134" t="s">
        <v>899</v>
      </c>
      <c r="B6159" s="134">
        <v>171</v>
      </c>
      <c r="C6159" s="491">
        <v>0</v>
      </c>
      <c r="D6159" s="491">
        <v>4</v>
      </c>
      <c r="E6159" s="491">
        <v>0</v>
      </c>
      <c r="F6159" s="491">
        <v>0</v>
      </c>
      <c r="G6159" s="491">
        <f t="shared" si="96"/>
        <v>4</v>
      </c>
    </row>
    <row r="6160" spans="1:7" ht="12.75">
      <c r="A6160" s="134" t="s">
        <v>899</v>
      </c>
      <c r="B6160" s="134">
        <v>180</v>
      </c>
      <c r="C6160" s="491">
        <v>4</v>
      </c>
      <c r="D6160" s="491">
        <v>26</v>
      </c>
      <c r="E6160" s="491">
        <v>0</v>
      </c>
      <c r="F6160" s="491">
        <v>0</v>
      </c>
      <c r="G6160" s="491">
        <f t="shared" si="96"/>
        <v>30</v>
      </c>
    </row>
    <row r="6161" spans="1:7" ht="12.75">
      <c r="A6161" s="134" t="s">
        <v>899</v>
      </c>
      <c r="B6161" s="134">
        <v>211</v>
      </c>
      <c r="C6161" s="491">
        <v>0</v>
      </c>
      <c r="D6161" s="491">
        <v>2</v>
      </c>
      <c r="E6161" s="491">
        <v>0</v>
      </c>
      <c r="F6161" s="491">
        <v>0</v>
      </c>
      <c r="G6161" s="491">
        <f t="shared" si="96"/>
        <v>2</v>
      </c>
    </row>
    <row r="6162" spans="1:7" ht="12.75">
      <c r="A6162" s="134" t="s">
        <v>899</v>
      </c>
      <c r="B6162" s="134">
        <v>214</v>
      </c>
      <c r="C6162" s="491">
        <v>6</v>
      </c>
      <c r="D6162" s="491">
        <v>3</v>
      </c>
      <c r="E6162" s="491">
        <v>0</v>
      </c>
      <c r="F6162" s="491">
        <v>0</v>
      </c>
      <c r="G6162" s="491">
        <f t="shared" si="96"/>
        <v>9</v>
      </c>
    </row>
    <row r="6163" spans="1:7" ht="12.75">
      <c r="A6163" s="134" t="s">
        <v>899</v>
      </c>
      <c r="B6163" s="134">
        <v>215</v>
      </c>
      <c r="C6163" s="491">
        <v>23</v>
      </c>
      <c r="D6163" s="491">
        <v>13</v>
      </c>
      <c r="E6163" s="491">
        <v>1</v>
      </c>
      <c r="F6163" s="491">
        <v>0</v>
      </c>
      <c r="G6163" s="491">
        <f t="shared" si="96"/>
        <v>37</v>
      </c>
    </row>
    <row r="6164" spans="1:7" ht="12.75">
      <c r="A6164" s="134" t="s">
        <v>899</v>
      </c>
      <c r="B6164" s="134">
        <v>219</v>
      </c>
      <c r="C6164" s="491">
        <v>199</v>
      </c>
      <c r="D6164" s="491">
        <v>44</v>
      </c>
      <c r="E6164" s="491">
        <v>17</v>
      </c>
      <c r="F6164" s="491">
        <v>6</v>
      </c>
      <c r="G6164" s="491">
        <f t="shared" si="96"/>
        <v>266</v>
      </c>
    </row>
    <row r="6165" spans="1:7" ht="12.75">
      <c r="A6165" s="134" t="s">
        <v>899</v>
      </c>
      <c r="B6165" s="134">
        <v>220</v>
      </c>
      <c r="C6165" s="491">
        <v>4</v>
      </c>
      <c r="D6165" s="491">
        <v>0</v>
      </c>
      <c r="E6165" s="491">
        <v>0</v>
      </c>
      <c r="F6165" s="491">
        <v>0</v>
      </c>
      <c r="G6165" s="491">
        <f t="shared" si="96"/>
        <v>4</v>
      </c>
    </row>
    <row r="6166" spans="1:7" ht="12.75">
      <c r="A6166" s="134" t="s">
        <v>899</v>
      </c>
      <c r="B6166" s="134">
        <v>251</v>
      </c>
      <c r="C6166" s="491">
        <v>0</v>
      </c>
      <c r="D6166" s="491">
        <v>1</v>
      </c>
      <c r="E6166" s="491">
        <v>0</v>
      </c>
      <c r="F6166" s="491">
        <v>0</v>
      </c>
      <c r="G6166" s="491">
        <f t="shared" si="96"/>
        <v>1</v>
      </c>
    </row>
    <row r="6167" spans="1:7" ht="12.75">
      <c r="A6167" s="134" t="s">
        <v>899</v>
      </c>
      <c r="B6167" s="134">
        <v>252</v>
      </c>
      <c r="C6167" s="491">
        <v>0</v>
      </c>
      <c r="D6167" s="491">
        <v>1</v>
      </c>
      <c r="E6167" s="491">
        <v>0</v>
      </c>
      <c r="F6167" s="491">
        <v>0</v>
      </c>
      <c r="G6167" s="491">
        <f t="shared" si="96"/>
        <v>1</v>
      </c>
    </row>
    <row r="6168" spans="1:7" ht="12.75">
      <c r="A6168" s="134" t="s">
        <v>899</v>
      </c>
      <c r="B6168" s="134">
        <v>253</v>
      </c>
      <c r="C6168" s="491">
        <v>7</v>
      </c>
      <c r="D6168" s="491">
        <v>1</v>
      </c>
      <c r="E6168" s="491">
        <v>0</v>
      </c>
      <c r="F6168" s="491">
        <v>0</v>
      </c>
      <c r="G6168" s="491">
        <f t="shared" si="96"/>
        <v>8</v>
      </c>
    </row>
    <row r="6169" spans="1:7" ht="12.75">
      <c r="A6169" s="134" t="s">
        <v>899</v>
      </c>
      <c r="B6169" s="134">
        <v>257</v>
      </c>
      <c r="C6169" s="491">
        <v>124</v>
      </c>
      <c r="D6169" s="491">
        <v>23</v>
      </c>
      <c r="E6169" s="491">
        <v>1</v>
      </c>
      <c r="F6169" s="491">
        <v>0</v>
      </c>
      <c r="G6169" s="491">
        <f t="shared" si="96"/>
        <v>148</v>
      </c>
    </row>
    <row r="6170" spans="1:7" ht="12.75">
      <c r="A6170" s="134" t="s">
        <v>899</v>
      </c>
      <c r="B6170" s="134">
        <v>258</v>
      </c>
      <c r="C6170" s="491">
        <v>0</v>
      </c>
      <c r="D6170" s="491">
        <v>3</v>
      </c>
      <c r="E6170" s="491">
        <v>0</v>
      </c>
      <c r="F6170" s="491">
        <v>0</v>
      </c>
      <c r="G6170" s="491">
        <f t="shared" si="96"/>
        <v>3</v>
      </c>
    </row>
    <row r="6171" spans="1:7" ht="12.75">
      <c r="A6171" s="134" t="s">
        <v>899</v>
      </c>
      <c r="B6171" s="134">
        <v>260</v>
      </c>
      <c r="C6171" s="491">
        <v>3</v>
      </c>
      <c r="D6171" s="491">
        <v>0</v>
      </c>
      <c r="E6171" s="491">
        <v>0</v>
      </c>
      <c r="F6171" s="491">
        <v>0</v>
      </c>
      <c r="G6171" s="491">
        <f t="shared" si="96"/>
        <v>3</v>
      </c>
    </row>
    <row r="6172" spans="1:7" ht="12.75">
      <c r="A6172" s="134" t="s">
        <v>899</v>
      </c>
      <c r="B6172" s="134">
        <v>263</v>
      </c>
      <c r="C6172" s="491">
        <v>0</v>
      </c>
      <c r="D6172" s="491">
        <v>0</v>
      </c>
      <c r="E6172" s="491">
        <v>1</v>
      </c>
      <c r="F6172" s="491">
        <v>0</v>
      </c>
      <c r="G6172" s="491">
        <f t="shared" si="96"/>
        <v>1</v>
      </c>
    </row>
    <row r="6173" spans="1:7" ht="12.75">
      <c r="A6173" s="134" t="s">
        <v>899</v>
      </c>
      <c r="B6173" s="134">
        <v>290</v>
      </c>
      <c r="C6173" s="491">
        <v>2</v>
      </c>
      <c r="D6173" s="491">
        <v>0</v>
      </c>
      <c r="E6173" s="491">
        <v>0</v>
      </c>
      <c r="F6173" s="491">
        <v>0</v>
      </c>
      <c r="G6173" s="491">
        <f t="shared" si="96"/>
        <v>2</v>
      </c>
    </row>
    <row r="6174" spans="1:7" ht="12.75">
      <c r="A6174" s="134" t="s">
        <v>899</v>
      </c>
      <c r="B6174" s="134">
        <v>302</v>
      </c>
      <c r="C6174" s="491">
        <v>0</v>
      </c>
      <c r="D6174" s="491">
        <v>1</v>
      </c>
      <c r="E6174" s="491">
        <v>0</v>
      </c>
      <c r="F6174" s="491">
        <v>0</v>
      </c>
      <c r="G6174" s="491">
        <f t="shared" si="96"/>
        <v>1</v>
      </c>
    </row>
    <row r="6175" spans="1:7" ht="12.75">
      <c r="A6175" s="134" t="s">
        <v>899</v>
      </c>
      <c r="B6175" s="134">
        <v>307</v>
      </c>
      <c r="C6175" s="491">
        <v>0</v>
      </c>
      <c r="D6175" s="491">
        <v>1</v>
      </c>
      <c r="E6175" s="491">
        <v>1</v>
      </c>
      <c r="F6175" s="491">
        <v>0</v>
      </c>
      <c r="G6175" s="491">
        <f t="shared" si="96"/>
        <v>2</v>
      </c>
    </row>
    <row r="6176" spans="1:7" ht="12.75">
      <c r="A6176" s="134" t="s">
        <v>899</v>
      </c>
      <c r="B6176" s="134">
        <v>308</v>
      </c>
      <c r="C6176" s="491">
        <v>2</v>
      </c>
      <c r="D6176" s="491">
        <v>0</v>
      </c>
      <c r="E6176" s="491">
        <v>0</v>
      </c>
      <c r="F6176" s="491">
        <v>0</v>
      </c>
      <c r="G6176" s="491">
        <f t="shared" si="96"/>
        <v>2</v>
      </c>
    </row>
    <row r="6177" spans="1:7" ht="12.75">
      <c r="A6177" s="134" t="s">
        <v>899</v>
      </c>
      <c r="B6177" s="134">
        <v>321</v>
      </c>
      <c r="C6177" s="491">
        <v>0</v>
      </c>
      <c r="D6177" s="491">
        <v>1</v>
      </c>
      <c r="E6177" s="491">
        <v>0</v>
      </c>
      <c r="F6177" s="491">
        <v>0</v>
      </c>
      <c r="G6177" s="491">
        <f t="shared" si="96"/>
        <v>1</v>
      </c>
    </row>
    <row r="6178" spans="1:7" ht="12.75">
      <c r="A6178" s="134" t="s">
        <v>899</v>
      </c>
      <c r="B6178" s="134">
        <v>324</v>
      </c>
      <c r="C6178" s="491">
        <v>0</v>
      </c>
      <c r="D6178" s="491">
        <v>1</v>
      </c>
      <c r="E6178" s="491">
        <v>0</v>
      </c>
      <c r="F6178" s="491">
        <v>0</v>
      </c>
      <c r="G6178" s="491">
        <f t="shared" si="96"/>
        <v>1</v>
      </c>
    </row>
    <row r="6179" spans="1:7" ht="12.75">
      <c r="A6179" s="134" t="s">
        <v>899</v>
      </c>
      <c r="B6179" s="134">
        <v>330</v>
      </c>
      <c r="C6179" s="491">
        <v>197</v>
      </c>
      <c r="D6179" s="491">
        <v>91</v>
      </c>
      <c r="E6179" s="491">
        <v>1</v>
      </c>
      <c r="F6179" s="491">
        <v>1</v>
      </c>
      <c r="G6179" s="491">
        <f t="shared" si="96"/>
        <v>290</v>
      </c>
    </row>
    <row r="6180" spans="1:7" ht="12.75">
      <c r="A6180" s="134" t="s">
        <v>899</v>
      </c>
      <c r="B6180" s="134">
        <v>340</v>
      </c>
      <c r="C6180" s="491">
        <v>7</v>
      </c>
      <c r="D6180" s="491">
        <v>9</v>
      </c>
      <c r="E6180" s="491">
        <v>0</v>
      </c>
      <c r="F6180" s="491">
        <v>0</v>
      </c>
      <c r="G6180" s="491">
        <f t="shared" si="96"/>
        <v>16</v>
      </c>
    </row>
    <row r="6181" spans="1:7" ht="12.75">
      <c r="A6181" s="134" t="s">
        <v>899</v>
      </c>
      <c r="B6181" s="134">
        <v>420</v>
      </c>
      <c r="C6181" s="491">
        <v>339</v>
      </c>
      <c r="D6181" s="491">
        <v>19</v>
      </c>
      <c r="E6181" s="491">
        <v>0</v>
      </c>
      <c r="F6181" s="491">
        <v>2</v>
      </c>
      <c r="G6181" s="491">
        <f t="shared" si="96"/>
        <v>360</v>
      </c>
    </row>
    <row r="6182" spans="1:7" ht="12.75">
      <c r="A6182" s="134" t="s">
        <v>899</v>
      </c>
      <c r="B6182" s="134">
        <v>421</v>
      </c>
      <c r="C6182" s="491">
        <v>0</v>
      </c>
      <c r="D6182" s="491">
        <v>5</v>
      </c>
      <c r="E6182" s="491">
        <v>0</v>
      </c>
      <c r="F6182" s="491">
        <v>1</v>
      </c>
      <c r="G6182" s="491">
        <f t="shared" si="96"/>
        <v>6</v>
      </c>
    </row>
    <row r="6183" spans="1:7" ht="12.75">
      <c r="A6183" s="134" t="s">
        <v>899</v>
      </c>
      <c r="B6183" s="134">
        <v>422</v>
      </c>
      <c r="C6183" s="491">
        <v>0</v>
      </c>
      <c r="D6183" s="491">
        <v>2</v>
      </c>
      <c r="E6183" s="491">
        <v>0</v>
      </c>
      <c r="F6183" s="491">
        <v>0</v>
      </c>
      <c r="G6183" s="491">
        <f t="shared" si="96"/>
        <v>2</v>
      </c>
    </row>
    <row r="6184" spans="1:7" ht="12.75">
      <c r="A6184" s="134" t="s">
        <v>899</v>
      </c>
      <c r="B6184" s="134">
        <v>650</v>
      </c>
      <c r="C6184" s="491">
        <v>0</v>
      </c>
      <c r="D6184" s="491">
        <v>1</v>
      </c>
      <c r="E6184" s="491">
        <v>0</v>
      </c>
      <c r="F6184" s="491">
        <v>1</v>
      </c>
      <c r="G6184" s="491">
        <f t="shared" si="96"/>
        <v>2</v>
      </c>
    </row>
    <row r="6185" spans="1:7" ht="12.75">
      <c r="A6185" s="134" t="s">
        <v>899</v>
      </c>
      <c r="B6185" s="134">
        <v>653</v>
      </c>
      <c r="C6185" s="491">
        <v>2</v>
      </c>
      <c r="D6185" s="491">
        <v>0</v>
      </c>
      <c r="E6185" s="491">
        <v>0</v>
      </c>
      <c r="F6185" s="491">
        <v>0</v>
      </c>
      <c r="G6185" s="491">
        <f t="shared" si="96"/>
        <v>2</v>
      </c>
    </row>
    <row r="6186" spans="1:7" ht="12.75">
      <c r="A6186" s="134" t="s">
        <v>899</v>
      </c>
      <c r="B6186" s="134">
        <v>656</v>
      </c>
      <c r="C6186" s="491">
        <v>1</v>
      </c>
      <c r="D6186" s="491">
        <v>0</v>
      </c>
      <c r="E6186" s="491">
        <v>0</v>
      </c>
      <c r="F6186" s="491">
        <v>0</v>
      </c>
      <c r="G6186" s="491">
        <f t="shared" si="96"/>
        <v>1</v>
      </c>
    </row>
    <row r="6187" spans="1:7" ht="12.75">
      <c r="A6187" s="134" t="s">
        <v>900</v>
      </c>
      <c r="B6187" s="134">
        <v>100</v>
      </c>
      <c r="C6187" s="491">
        <v>17632</v>
      </c>
      <c r="D6187" s="491">
        <v>4995</v>
      </c>
      <c r="E6187" s="491">
        <v>421</v>
      </c>
      <c r="F6187" s="491">
        <v>143</v>
      </c>
      <c r="G6187" s="491">
        <f t="shared" si="96"/>
        <v>23191</v>
      </c>
    </row>
    <row r="6188" spans="1:7" ht="12.75">
      <c r="A6188" s="134" t="s">
        <v>900</v>
      </c>
      <c r="B6188" s="134">
        <v>101</v>
      </c>
      <c r="C6188" s="491">
        <v>2121</v>
      </c>
      <c r="D6188" s="491">
        <v>544</v>
      </c>
      <c r="E6188" s="491">
        <v>12</v>
      </c>
      <c r="F6188" s="491">
        <v>5</v>
      </c>
      <c r="G6188" s="491">
        <f t="shared" si="96"/>
        <v>2682</v>
      </c>
    </row>
    <row r="6189" spans="1:7" ht="12.75">
      <c r="A6189" s="134" t="s">
        <v>900</v>
      </c>
      <c r="B6189" s="134">
        <v>102</v>
      </c>
      <c r="C6189" s="491">
        <v>504</v>
      </c>
      <c r="D6189" s="491">
        <v>80</v>
      </c>
      <c r="E6189" s="491">
        <v>2</v>
      </c>
      <c r="F6189" s="491">
        <v>0</v>
      </c>
      <c r="G6189" s="491">
        <f t="shared" si="96"/>
        <v>586</v>
      </c>
    </row>
    <row r="6190" spans="1:7" ht="12.75">
      <c r="A6190" s="134" t="s">
        <v>900</v>
      </c>
      <c r="B6190" s="134">
        <v>103</v>
      </c>
      <c r="C6190" s="491">
        <v>16048</v>
      </c>
      <c r="D6190" s="491">
        <v>1394</v>
      </c>
      <c r="E6190" s="491">
        <v>1393</v>
      </c>
      <c r="F6190" s="491">
        <v>251</v>
      </c>
      <c r="G6190" s="491">
        <f t="shared" si="96"/>
        <v>19086</v>
      </c>
    </row>
    <row r="6191" spans="1:7" ht="12.75">
      <c r="A6191" s="134" t="s">
        <v>900</v>
      </c>
      <c r="B6191" s="134">
        <v>104</v>
      </c>
      <c r="C6191" s="491">
        <v>3227</v>
      </c>
      <c r="D6191" s="491">
        <v>448</v>
      </c>
      <c r="E6191" s="491">
        <v>218</v>
      </c>
      <c r="F6191" s="491">
        <v>38</v>
      </c>
      <c r="G6191" s="491">
        <f t="shared" si="96"/>
        <v>3931</v>
      </c>
    </row>
    <row r="6192" spans="1:7" ht="12.75">
      <c r="A6192" s="134" t="s">
        <v>900</v>
      </c>
      <c r="B6192" s="134">
        <v>105</v>
      </c>
      <c r="C6192" s="491">
        <v>86</v>
      </c>
      <c r="D6192" s="491">
        <v>8</v>
      </c>
      <c r="E6192" s="491">
        <v>78</v>
      </c>
      <c r="F6192" s="491">
        <v>2</v>
      </c>
      <c r="G6192" s="491">
        <f t="shared" si="96"/>
        <v>174</v>
      </c>
    </row>
    <row r="6193" spans="1:7" ht="12.75">
      <c r="A6193" s="134" t="s">
        <v>900</v>
      </c>
      <c r="B6193" s="134">
        <v>106</v>
      </c>
      <c r="C6193" s="491">
        <v>338</v>
      </c>
      <c r="D6193" s="491">
        <v>102</v>
      </c>
      <c r="E6193" s="491">
        <v>7</v>
      </c>
      <c r="F6193" s="491">
        <v>2</v>
      </c>
      <c r="G6193" s="491">
        <f t="shared" si="96"/>
        <v>449</v>
      </c>
    </row>
    <row r="6194" spans="1:7" ht="12.75">
      <c r="A6194" s="134" t="s">
        <v>900</v>
      </c>
      <c r="B6194" s="134">
        <v>107</v>
      </c>
      <c r="C6194" s="491">
        <v>14747</v>
      </c>
      <c r="D6194" s="491">
        <v>5071</v>
      </c>
      <c r="E6194" s="491">
        <v>542</v>
      </c>
      <c r="F6194" s="491">
        <v>363</v>
      </c>
      <c r="G6194" s="491">
        <f t="shared" si="96"/>
        <v>20723</v>
      </c>
    </row>
    <row r="6195" spans="1:7" ht="12.75">
      <c r="A6195" s="134" t="s">
        <v>900</v>
      </c>
      <c r="B6195" s="134">
        <v>108</v>
      </c>
      <c r="C6195" s="491">
        <v>37</v>
      </c>
      <c r="D6195" s="491">
        <v>0</v>
      </c>
      <c r="E6195" s="491">
        <v>0</v>
      </c>
      <c r="F6195" s="491">
        <v>0</v>
      </c>
      <c r="G6195" s="491">
        <f t="shared" si="96"/>
        <v>37</v>
      </c>
    </row>
    <row r="6196" spans="1:7" ht="12.75">
      <c r="A6196" s="134" t="s">
        <v>900</v>
      </c>
      <c r="B6196" s="134">
        <v>110</v>
      </c>
      <c r="C6196" s="491">
        <v>81782</v>
      </c>
      <c r="D6196" s="491">
        <v>20433</v>
      </c>
      <c r="E6196" s="491">
        <v>5897</v>
      </c>
      <c r="F6196" s="491">
        <v>968</v>
      </c>
      <c r="G6196" s="491">
        <f t="shared" si="96"/>
        <v>109080</v>
      </c>
    </row>
    <row r="6197" spans="1:7" ht="12.75">
      <c r="A6197" s="134" t="s">
        <v>900</v>
      </c>
      <c r="B6197" s="134">
        <v>120</v>
      </c>
      <c r="C6197" s="491">
        <v>10359</v>
      </c>
      <c r="D6197" s="491">
        <v>3153</v>
      </c>
      <c r="E6197" s="491">
        <v>301</v>
      </c>
      <c r="F6197" s="491">
        <v>217</v>
      </c>
      <c r="G6197" s="491">
        <f t="shared" si="96"/>
        <v>14030</v>
      </c>
    </row>
    <row r="6198" spans="1:7" ht="12.75">
      <c r="A6198" s="134" t="s">
        <v>900</v>
      </c>
      <c r="B6198" s="134">
        <v>130</v>
      </c>
      <c r="C6198" s="491">
        <v>3567</v>
      </c>
      <c r="D6198" s="491">
        <v>210</v>
      </c>
      <c r="E6198" s="491">
        <v>13</v>
      </c>
      <c r="F6198" s="491">
        <v>6</v>
      </c>
      <c r="G6198" s="491">
        <f t="shared" si="96"/>
        <v>3796</v>
      </c>
    </row>
    <row r="6199" spans="1:7" ht="12.75">
      <c r="A6199" s="134" t="s">
        <v>900</v>
      </c>
      <c r="B6199" s="134">
        <v>140</v>
      </c>
      <c r="C6199" s="491">
        <v>7820</v>
      </c>
      <c r="D6199" s="491">
        <v>1902</v>
      </c>
      <c r="E6199" s="491">
        <v>142</v>
      </c>
      <c r="F6199" s="491">
        <v>26</v>
      </c>
      <c r="G6199" s="491">
        <f t="shared" si="96"/>
        <v>9890</v>
      </c>
    </row>
    <row r="6200" spans="1:7" ht="12.75">
      <c r="A6200" s="134" t="s">
        <v>900</v>
      </c>
      <c r="B6200" s="134">
        <v>141</v>
      </c>
      <c r="C6200" s="491">
        <v>19</v>
      </c>
      <c r="D6200" s="491">
        <v>11</v>
      </c>
      <c r="E6200" s="491">
        <v>1</v>
      </c>
      <c r="F6200" s="491">
        <v>0</v>
      </c>
      <c r="G6200" s="491">
        <f t="shared" si="96"/>
        <v>31</v>
      </c>
    </row>
    <row r="6201" spans="1:7" ht="12.75">
      <c r="A6201" s="134" t="s">
        <v>900</v>
      </c>
      <c r="B6201" s="134">
        <v>142</v>
      </c>
      <c r="C6201" s="491">
        <v>1</v>
      </c>
      <c r="D6201" s="491">
        <v>0</v>
      </c>
      <c r="E6201" s="491">
        <v>0</v>
      </c>
      <c r="F6201" s="491">
        <v>0</v>
      </c>
      <c r="G6201" s="491">
        <f t="shared" si="96"/>
        <v>1</v>
      </c>
    </row>
    <row r="6202" spans="1:7" ht="12.75">
      <c r="A6202" s="134" t="s">
        <v>900</v>
      </c>
      <c r="B6202" s="134">
        <v>143</v>
      </c>
      <c r="C6202" s="491">
        <v>57</v>
      </c>
      <c r="D6202" s="491">
        <v>43</v>
      </c>
      <c r="E6202" s="491">
        <v>4</v>
      </c>
      <c r="F6202" s="491">
        <v>1</v>
      </c>
      <c r="G6202" s="491">
        <f t="shared" si="96"/>
        <v>105</v>
      </c>
    </row>
    <row r="6203" spans="1:7" ht="12.75">
      <c r="A6203" s="134" t="s">
        <v>900</v>
      </c>
      <c r="B6203" s="134">
        <v>144</v>
      </c>
      <c r="C6203" s="491">
        <v>6873</v>
      </c>
      <c r="D6203" s="491">
        <v>2088</v>
      </c>
      <c r="E6203" s="491">
        <v>72</v>
      </c>
      <c r="F6203" s="491">
        <v>18</v>
      </c>
      <c r="G6203" s="491">
        <f t="shared" si="96"/>
        <v>9051</v>
      </c>
    </row>
    <row r="6204" spans="1:7" ht="12.75">
      <c r="A6204" s="134" t="s">
        <v>900</v>
      </c>
      <c r="B6204" s="134">
        <v>150</v>
      </c>
      <c r="C6204" s="491">
        <v>102</v>
      </c>
      <c r="D6204" s="491">
        <v>100</v>
      </c>
      <c r="E6204" s="491">
        <v>12</v>
      </c>
      <c r="F6204" s="491">
        <v>3</v>
      </c>
      <c r="G6204" s="491">
        <f t="shared" si="96"/>
        <v>217</v>
      </c>
    </row>
    <row r="6205" spans="1:7" ht="12.75">
      <c r="A6205" s="134" t="s">
        <v>900</v>
      </c>
      <c r="B6205" s="134">
        <v>160</v>
      </c>
      <c r="C6205" s="491">
        <v>109886</v>
      </c>
      <c r="D6205" s="491">
        <v>23341</v>
      </c>
      <c r="E6205" s="491">
        <v>12326</v>
      </c>
      <c r="F6205" s="491">
        <v>3655</v>
      </c>
      <c r="G6205" s="491">
        <f t="shared" si="96"/>
        <v>149208</v>
      </c>
    </row>
    <row r="6206" spans="1:7" ht="12.75">
      <c r="A6206" s="134" t="s">
        <v>900</v>
      </c>
      <c r="B6206" s="134">
        <v>161</v>
      </c>
      <c r="C6206" s="491">
        <v>1771</v>
      </c>
      <c r="D6206" s="491">
        <v>184</v>
      </c>
      <c r="E6206" s="491">
        <v>1050</v>
      </c>
      <c r="F6206" s="491">
        <v>120</v>
      </c>
      <c r="G6206" s="491">
        <f t="shared" si="96"/>
        <v>3125</v>
      </c>
    </row>
    <row r="6207" spans="1:7" ht="12.75">
      <c r="A6207" s="134" t="s">
        <v>900</v>
      </c>
      <c r="B6207" s="134">
        <v>170</v>
      </c>
      <c r="C6207" s="491">
        <v>111</v>
      </c>
      <c r="D6207" s="491">
        <v>13</v>
      </c>
      <c r="E6207" s="491">
        <v>1</v>
      </c>
      <c r="F6207" s="491">
        <v>1</v>
      </c>
      <c r="G6207" s="491">
        <f t="shared" si="96"/>
        <v>126</v>
      </c>
    </row>
    <row r="6208" spans="1:7" ht="12.75">
      <c r="A6208" s="134" t="s">
        <v>900</v>
      </c>
      <c r="B6208" s="134">
        <v>171</v>
      </c>
      <c r="C6208" s="491">
        <v>32</v>
      </c>
      <c r="D6208" s="491">
        <v>2</v>
      </c>
      <c r="E6208" s="491">
        <v>0</v>
      </c>
      <c r="F6208" s="491">
        <v>0</v>
      </c>
      <c r="G6208" s="491">
        <f t="shared" si="96"/>
        <v>34</v>
      </c>
    </row>
    <row r="6209" spans="1:7" ht="12.75">
      <c r="A6209" s="134" t="s">
        <v>900</v>
      </c>
      <c r="B6209" s="134">
        <v>172</v>
      </c>
      <c r="C6209" s="491">
        <v>3</v>
      </c>
      <c r="D6209" s="491">
        <v>18</v>
      </c>
      <c r="E6209" s="491">
        <v>0</v>
      </c>
      <c r="F6209" s="491">
        <v>1</v>
      </c>
      <c r="G6209" s="491">
        <f t="shared" si="96"/>
        <v>22</v>
      </c>
    </row>
    <row r="6210" spans="1:7" ht="12.75">
      <c r="A6210" s="134" t="s">
        <v>900</v>
      </c>
      <c r="B6210" s="134">
        <v>173</v>
      </c>
      <c r="C6210" s="491">
        <v>195</v>
      </c>
      <c r="D6210" s="491">
        <v>24</v>
      </c>
      <c r="E6210" s="491">
        <v>0</v>
      </c>
      <c r="F6210" s="491">
        <v>0</v>
      </c>
      <c r="G6210" s="491">
        <f t="shared" si="96"/>
        <v>219</v>
      </c>
    </row>
    <row r="6211" spans="1:7" ht="12.75">
      <c r="A6211" s="134" t="s">
        <v>900</v>
      </c>
      <c r="B6211" s="134">
        <v>180</v>
      </c>
      <c r="C6211" s="491">
        <v>791</v>
      </c>
      <c r="D6211" s="491">
        <v>1501</v>
      </c>
      <c r="E6211" s="491">
        <v>2</v>
      </c>
      <c r="F6211" s="491">
        <v>6</v>
      </c>
      <c r="G6211" s="491">
        <f t="shared" si="96"/>
        <v>2300</v>
      </c>
    </row>
    <row r="6212" spans="1:7" ht="12.75">
      <c r="A6212" s="134" t="s">
        <v>900</v>
      </c>
      <c r="B6212" s="134">
        <v>190</v>
      </c>
      <c r="C6212" s="491">
        <v>25</v>
      </c>
      <c r="D6212" s="491">
        <v>31</v>
      </c>
      <c r="E6212" s="491">
        <v>0</v>
      </c>
      <c r="F6212" s="491">
        <v>0</v>
      </c>
      <c r="G6212" s="491">
        <f t="shared" ref="G6212:G6275" si="97">SUM(C6212:F6212)</f>
        <v>56</v>
      </c>
    </row>
    <row r="6213" spans="1:7" ht="12.75">
      <c r="A6213" s="134" t="s">
        <v>900</v>
      </c>
      <c r="B6213" s="134">
        <v>191</v>
      </c>
      <c r="C6213" s="491">
        <v>672</v>
      </c>
      <c r="D6213" s="491">
        <v>121</v>
      </c>
      <c r="E6213" s="491">
        <v>0</v>
      </c>
      <c r="F6213" s="491">
        <v>0</v>
      </c>
      <c r="G6213" s="491">
        <f t="shared" si="97"/>
        <v>793</v>
      </c>
    </row>
    <row r="6214" spans="1:7" ht="12.75">
      <c r="A6214" s="134" t="s">
        <v>900</v>
      </c>
      <c r="B6214" s="134">
        <v>192</v>
      </c>
      <c r="C6214" s="491">
        <v>1</v>
      </c>
      <c r="D6214" s="491">
        <v>1</v>
      </c>
      <c r="E6214" s="491">
        <v>0</v>
      </c>
      <c r="F6214" s="491">
        <v>0</v>
      </c>
      <c r="G6214" s="491">
        <f t="shared" si="97"/>
        <v>2</v>
      </c>
    </row>
    <row r="6215" spans="1:7" ht="12.75">
      <c r="A6215" s="134" t="s">
        <v>900</v>
      </c>
      <c r="B6215" s="134">
        <v>211</v>
      </c>
      <c r="C6215" s="491">
        <v>19</v>
      </c>
      <c r="D6215" s="491">
        <v>1</v>
      </c>
      <c r="E6215" s="491">
        <v>0</v>
      </c>
      <c r="F6215" s="491">
        <v>0</v>
      </c>
      <c r="G6215" s="491">
        <f t="shared" si="97"/>
        <v>20</v>
      </c>
    </row>
    <row r="6216" spans="1:7" ht="12.75">
      <c r="A6216" s="134" t="s">
        <v>900</v>
      </c>
      <c r="B6216" s="134">
        <v>214</v>
      </c>
      <c r="C6216" s="491">
        <v>247</v>
      </c>
      <c r="D6216" s="491">
        <v>49</v>
      </c>
      <c r="E6216" s="491">
        <v>3</v>
      </c>
      <c r="F6216" s="491">
        <v>0</v>
      </c>
      <c r="G6216" s="491">
        <f t="shared" si="97"/>
        <v>299</v>
      </c>
    </row>
    <row r="6217" spans="1:7" ht="12.75">
      <c r="A6217" s="134" t="s">
        <v>900</v>
      </c>
      <c r="B6217" s="134">
        <v>215</v>
      </c>
      <c r="C6217" s="491">
        <v>47</v>
      </c>
      <c r="D6217" s="491">
        <v>41</v>
      </c>
      <c r="E6217" s="491">
        <v>0</v>
      </c>
      <c r="F6217" s="491">
        <v>0</v>
      </c>
      <c r="G6217" s="491">
        <f t="shared" si="97"/>
        <v>88</v>
      </c>
    </row>
    <row r="6218" spans="1:7" ht="12.75">
      <c r="A6218" s="134" t="s">
        <v>900</v>
      </c>
      <c r="B6218" s="134">
        <v>216</v>
      </c>
      <c r="C6218" s="491">
        <v>11</v>
      </c>
      <c r="D6218" s="491">
        <v>2</v>
      </c>
      <c r="E6218" s="491">
        <v>0</v>
      </c>
      <c r="F6218" s="491">
        <v>0</v>
      </c>
      <c r="G6218" s="491">
        <f t="shared" si="97"/>
        <v>13</v>
      </c>
    </row>
    <row r="6219" spans="1:7" ht="12.75">
      <c r="A6219" s="134" t="s">
        <v>900</v>
      </c>
      <c r="B6219" s="134">
        <v>217</v>
      </c>
      <c r="C6219" s="491">
        <v>4</v>
      </c>
      <c r="D6219" s="491">
        <v>3</v>
      </c>
      <c r="E6219" s="491">
        <v>0</v>
      </c>
      <c r="F6219" s="491">
        <v>0</v>
      </c>
      <c r="G6219" s="491">
        <f t="shared" si="97"/>
        <v>7</v>
      </c>
    </row>
    <row r="6220" spans="1:7" ht="12.75">
      <c r="A6220" s="134" t="s">
        <v>900</v>
      </c>
      <c r="B6220" s="134">
        <v>219</v>
      </c>
      <c r="C6220" s="491">
        <v>1011</v>
      </c>
      <c r="D6220" s="491">
        <v>682</v>
      </c>
      <c r="E6220" s="491">
        <v>94</v>
      </c>
      <c r="F6220" s="491">
        <v>18</v>
      </c>
      <c r="G6220" s="491">
        <f t="shared" si="97"/>
        <v>1805</v>
      </c>
    </row>
    <row r="6221" spans="1:7" ht="12.75">
      <c r="A6221" s="134" t="s">
        <v>900</v>
      </c>
      <c r="B6221" s="134">
        <v>220</v>
      </c>
      <c r="C6221" s="491">
        <v>57</v>
      </c>
      <c r="D6221" s="491">
        <v>20</v>
      </c>
      <c r="E6221" s="491">
        <v>0</v>
      </c>
      <c r="F6221" s="491">
        <v>1</v>
      </c>
      <c r="G6221" s="491">
        <f t="shared" si="97"/>
        <v>78</v>
      </c>
    </row>
    <row r="6222" spans="1:7" ht="12.75">
      <c r="A6222" s="134" t="s">
        <v>900</v>
      </c>
      <c r="B6222" s="134">
        <v>251</v>
      </c>
      <c r="C6222" s="491">
        <v>2</v>
      </c>
      <c r="D6222" s="491">
        <v>6</v>
      </c>
      <c r="E6222" s="491">
        <v>0</v>
      </c>
      <c r="F6222" s="491">
        <v>0</v>
      </c>
      <c r="G6222" s="491">
        <f t="shared" si="97"/>
        <v>8</v>
      </c>
    </row>
    <row r="6223" spans="1:7" ht="12.75">
      <c r="A6223" s="134" t="s">
        <v>900</v>
      </c>
      <c r="B6223" s="134">
        <v>252</v>
      </c>
      <c r="C6223" s="491">
        <v>2</v>
      </c>
      <c r="D6223" s="491">
        <v>6</v>
      </c>
      <c r="E6223" s="491">
        <v>0</v>
      </c>
      <c r="F6223" s="491">
        <v>0</v>
      </c>
      <c r="G6223" s="491">
        <f t="shared" si="97"/>
        <v>8</v>
      </c>
    </row>
    <row r="6224" spans="1:7" ht="12.75">
      <c r="A6224" s="134" t="s">
        <v>900</v>
      </c>
      <c r="B6224" s="134">
        <v>253</v>
      </c>
      <c r="C6224" s="491">
        <v>30</v>
      </c>
      <c r="D6224" s="491">
        <v>4</v>
      </c>
      <c r="E6224" s="491">
        <v>2</v>
      </c>
      <c r="F6224" s="491">
        <v>1</v>
      </c>
      <c r="G6224" s="491">
        <f t="shared" si="97"/>
        <v>37</v>
      </c>
    </row>
    <row r="6225" spans="1:7" ht="12.75">
      <c r="A6225" s="134" t="s">
        <v>900</v>
      </c>
      <c r="B6225" s="134">
        <v>255</v>
      </c>
      <c r="C6225" s="491">
        <v>268</v>
      </c>
      <c r="D6225" s="491">
        <v>184</v>
      </c>
      <c r="E6225" s="491">
        <v>29</v>
      </c>
      <c r="F6225" s="491">
        <v>45</v>
      </c>
      <c r="G6225" s="491">
        <f t="shared" si="97"/>
        <v>526</v>
      </c>
    </row>
    <row r="6226" spans="1:7" ht="12.75">
      <c r="A6226" s="134" t="s">
        <v>900</v>
      </c>
      <c r="B6226" s="134">
        <v>257</v>
      </c>
      <c r="C6226" s="491">
        <v>1206</v>
      </c>
      <c r="D6226" s="491">
        <v>414</v>
      </c>
      <c r="E6226" s="491">
        <v>15</v>
      </c>
      <c r="F6226" s="491">
        <v>9</v>
      </c>
      <c r="G6226" s="491">
        <f t="shared" si="97"/>
        <v>1644</v>
      </c>
    </row>
    <row r="6227" spans="1:7" ht="12.75">
      <c r="A6227" s="134" t="s">
        <v>900</v>
      </c>
      <c r="B6227" s="134">
        <v>258</v>
      </c>
      <c r="C6227" s="491">
        <v>16</v>
      </c>
      <c r="D6227" s="491">
        <v>13</v>
      </c>
      <c r="E6227" s="491">
        <v>2</v>
      </c>
      <c r="F6227" s="491">
        <v>5</v>
      </c>
      <c r="G6227" s="491">
        <f t="shared" si="97"/>
        <v>36</v>
      </c>
    </row>
    <row r="6228" spans="1:7" ht="12.75">
      <c r="A6228" s="134" t="s">
        <v>900</v>
      </c>
      <c r="B6228" s="134">
        <v>259</v>
      </c>
      <c r="C6228" s="491">
        <v>1</v>
      </c>
      <c r="D6228" s="491">
        <v>0</v>
      </c>
      <c r="E6228" s="491">
        <v>0</v>
      </c>
      <c r="F6228" s="491">
        <v>0</v>
      </c>
      <c r="G6228" s="491">
        <f t="shared" si="97"/>
        <v>1</v>
      </c>
    </row>
    <row r="6229" spans="1:7" ht="12.75">
      <c r="A6229" s="134" t="s">
        <v>900</v>
      </c>
      <c r="B6229" s="134">
        <v>260</v>
      </c>
      <c r="C6229" s="491">
        <v>29</v>
      </c>
      <c r="D6229" s="491">
        <v>1</v>
      </c>
      <c r="E6229" s="491">
        <v>2</v>
      </c>
      <c r="F6229" s="491">
        <v>1</v>
      </c>
      <c r="G6229" s="491">
        <f t="shared" si="97"/>
        <v>33</v>
      </c>
    </row>
    <row r="6230" spans="1:7" ht="12.75">
      <c r="A6230" s="134" t="s">
        <v>900</v>
      </c>
      <c r="B6230" s="134">
        <v>263</v>
      </c>
      <c r="C6230" s="491">
        <v>7</v>
      </c>
      <c r="D6230" s="491">
        <v>0</v>
      </c>
      <c r="E6230" s="491">
        <v>2</v>
      </c>
      <c r="F6230" s="491">
        <v>0</v>
      </c>
      <c r="G6230" s="491">
        <f t="shared" si="97"/>
        <v>9</v>
      </c>
    </row>
    <row r="6231" spans="1:7" ht="12.75">
      <c r="A6231" s="134" t="s">
        <v>900</v>
      </c>
      <c r="B6231" s="134">
        <v>264</v>
      </c>
      <c r="C6231" s="491">
        <v>1</v>
      </c>
      <c r="D6231" s="491">
        <v>3</v>
      </c>
      <c r="E6231" s="491">
        <v>4</v>
      </c>
      <c r="F6231" s="491">
        <v>0</v>
      </c>
      <c r="G6231" s="491">
        <f t="shared" si="97"/>
        <v>8</v>
      </c>
    </row>
    <row r="6232" spans="1:7" ht="12.75">
      <c r="A6232" s="134" t="s">
        <v>900</v>
      </c>
      <c r="B6232" s="134">
        <v>290</v>
      </c>
      <c r="C6232" s="491">
        <v>362</v>
      </c>
      <c r="D6232" s="491">
        <v>29</v>
      </c>
      <c r="E6232" s="491">
        <v>0</v>
      </c>
      <c r="F6232" s="491">
        <v>0</v>
      </c>
      <c r="G6232" s="491">
        <f t="shared" si="97"/>
        <v>391</v>
      </c>
    </row>
    <row r="6233" spans="1:7" ht="12.75">
      <c r="A6233" s="134" t="s">
        <v>900</v>
      </c>
      <c r="B6233" s="134">
        <v>300</v>
      </c>
      <c r="C6233" s="491">
        <v>2551</v>
      </c>
      <c r="D6233" s="491">
        <v>1135</v>
      </c>
      <c r="E6233" s="491">
        <v>176</v>
      </c>
      <c r="F6233" s="491">
        <v>40</v>
      </c>
      <c r="G6233" s="491">
        <f t="shared" si="97"/>
        <v>3902</v>
      </c>
    </row>
    <row r="6234" spans="1:7" ht="12.75">
      <c r="A6234" s="134" t="s">
        <v>900</v>
      </c>
      <c r="B6234" s="134">
        <v>301</v>
      </c>
      <c r="C6234" s="491">
        <v>600</v>
      </c>
      <c r="D6234" s="491">
        <v>266</v>
      </c>
      <c r="E6234" s="491">
        <v>4</v>
      </c>
      <c r="F6234" s="491">
        <v>2</v>
      </c>
      <c r="G6234" s="491">
        <f t="shared" si="97"/>
        <v>872</v>
      </c>
    </row>
    <row r="6235" spans="1:7" ht="12.75">
      <c r="A6235" s="134" t="s">
        <v>900</v>
      </c>
      <c r="B6235" s="134">
        <v>302</v>
      </c>
      <c r="C6235" s="491">
        <v>224</v>
      </c>
      <c r="D6235" s="491">
        <v>61</v>
      </c>
      <c r="E6235" s="491">
        <v>6</v>
      </c>
      <c r="F6235" s="491">
        <v>1</v>
      </c>
      <c r="G6235" s="491">
        <f t="shared" si="97"/>
        <v>292</v>
      </c>
    </row>
    <row r="6236" spans="1:7" ht="12.75">
      <c r="A6236" s="134" t="s">
        <v>900</v>
      </c>
      <c r="B6236" s="134">
        <v>303</v>
      </c>
      <c r="C6236" s="491">
        <v>1934</v>
      </c>
      <c r="D6236" s="491">
        <v>99</v>
      </c>
      <c r="E6236" s="491">
        <v>503</v>
      </c>
      <c r="F6236" s="491">
        <v>11</v>
      </c>
      <c r="G6236" s="491">
        <f t="shared" si="97"/>
        <v>2547</v>
      </c>
    </row>
    <row r="6237" spans="1:7" ht="12.75">
      <c r="A6237" s="134" t="s">
        <v>900</v>
      </c>
      <c r="B6237" s="134">
        <v>304</v>
      </c>
      <c r="C6237" s="491">
        <v>30</v>
      </c>
      <c r="D6237" s="491">
        <v>86</v>
      </c>
      <c r="E6237" s="491">
        <v>0</v>
      </c>
      <c r="F6237" s="491">
        <v>0</v>
      </c>
      <c r="G6237" s="491">
        <f t="shared" si="97"/>
        <v>116</v>
      </c>
    </row>
    <row r="6238" spans="1:7" ht="12.75">
      <c r="A6238" s="134" t="s">
        <v>900</v>
      </c>
      <c r="B6238" s="134">
        <v>305</v>
      </c>
      <c r="C6238" s="491">
        <v>7</v>
      </c>
      <c r="D6238" s="491">
        <v>0</v>
      </c>
      <c r="E6238" s="491">
        <v>0</v>
      </c>
      <c r="F6238" s="491">
        <v>0</v>
      </c>
      <c r="G6238" s="491">
        <f t="shared" si="97"/>
        <v>7</v>
      </c>
    </row>
    <row r="6239" spans="1:7" ht="12.75">
      <c r="A6239" s="134" t="s">
        <v>900</v>
      </c>
      <c r="B6239" s="134">
        <v>306</v>
      </c>
      <c r="C6239" s="491">
        <v>356</v>
      </c>
      <c r="D6239" s="491">
        <v>29</v>
      </c>
      <c r="E6239" s="491">
        <v>6</v>
      </c>
      <c r="F6239" s="491">
        <v>2</v>
      </c>
      <c r="G6239" s="491">
        <f t="shared" si="97"/>
        <v>393</v>
      </c>
    </row>
    <row r="6240" spans="1:7" ht="12.75">
      <c r="A6240" s="134" t="s">
        <v>900</v>
      </c>
      <c r="B6240" s="134">
        <v>307</v>
      </c>
      <c r="C6240" s="491">
        <v>4662</v>
      </c>
      <c r="D6240" s="491">
        <v>766</v>
      </c>
      <c r="E6240" s="491">
        <v>1053</v>
      </c>
      <c r="F6240" s="491">
        <v>196</v>
      </c>
      <c r="G6240" s="491">
        <f t="shared" si="97"/>
        <v>6677</v>
      </c>
    </row>
    <row r="6241" spans="1:7" ht="12.75">
      <c r="A6241" s="134" t="s">
        <v>900</v>
      </c>
      <c r="B6241" s="134">
        <v>308</v>
      </c>
      <c r="C6241" s="491">
        <v>13</v>
      </c>
      <c r="D6241" s="491">
        <v>1</v>
      </c>
      <c r="E6241" s="491">
        <v>0</v>
      </c>
      <c r="F6241" s="491">
        <v>0</v>
      </c>
      <c r="G6241" s="491">
        <f t="shared" si="97"/>
        <v>14</v>
      </c>
    </row>
    <row r="6242" spans="1:7" ht="12.75">
      <c r="A6242" s="134" t="s">
        <v>900</v>
      </c>
      <c r="B6242" s="134">
        <v>309</v>
      </c>
      <c r="C6242" s="491">
        <v>4</v>
      </c>
      <c r="D6242" s="491">
        <v>3</v>
      </c>
      <c r="E6242" s="491">
        <v>1</v>
      </c>
      <c r="F6242" s="491">
        <v>0</v>
      </c>
      <c r="G6242" s="491">
        <f t="shared" si="97"/>
        <v>8</v>
      </c>
    </row>
    <row r="6243" spans="1:7" ht="12.75">
      <c r="A6243" s="134" t="s">
        <v>900</v>
      </c>
      <c r="B6243" s="134">
        <v>310</v>
      </c>
      <c r="C6243" s="491">
        <v>10</v>
      </c>
      <c r="D6243" s="491">
        <v>91</v>
      </c>
      <c r="E6243" s="491">
        <v>0</v>
      </c>
      <c r="F6243" s="491">
        <v>2</v>
      </c>
      <c r="G6243" s="491">
        <f t="shared" si="97"/>
        <v>103</v>
      </c>
    </row>
    <row r="6244" spans="1:7" ht="12.75">
      <c r="A6244" s="134" t="s">
        <v>900</v>
      </c>
      <c r="B6244" s="134">
        <v>311</v>
      </c>
      <c r="C6244" s="491">
        <v>5</v>
      </c>
      <c r="D6244" s="491">
        <v>14</v>
      </c>
      <c r="E6244" s="491">
        <v>0</v>
      </c>
      <c r="F6244" s="491">
        <v>3</v>
      </c>
      <c r="G6244" s="491">
        <f t="shared" si="97"/>
        <v>22</v>
      </c>
    </row>
    <row r="6245" spans="1:7" ht="12.75">
      <c r="A6245" s="134" t="s">
        <v>900</v>
      </c>
      <c r="B6245" s="134">
        <v>313</v>
      </c>
      <c r="C6245" s="491">
        <v>444</v>
      </c>
      <c r="D6245" s="491">
        <v>1386</v>
      </c>
      <c r="E6245" s="491">
        <v>83</v>
      </c>
      <c r="F6245" s="491">
        <v>727</v>
      </c>
      <c r="G6245" s="491">
        <f t="shared" si="97"/>
        <v>2640</v>
      </c>
    </row>
    <row r="6246" spans="1:7" ht="12.75">
      <c r="A6246" s="134" t="s">
        <v>900</v>
      </c>
      <c r="B6246" s="134">
        <v>314</v>
      </c>
      <c r="C6246" s="491">
        <v>97</v>
      </c>
      <c r="D6246" s="491">
        <v>22</v>
      </c>
      <c r="E6246" s="491">
        <v>292</v>
      </c>
      <c r="F6246" s="491">
        <v>53</v>
      </c>
      <c r="G6246" s="491">
        <f t="shared" si="97"/>
        <v>464</v>
      </c>
    </row>
    <row r="6247" spans="1:7" ht="12.75">
      <c r="A6247" s="134" t="s">
        <v>900</v>
      </c>
      <c r="B6247" s="134">
        <v>315</v>
      </c>
      <c r="C6247" s="491">
        <v>74</v>
      </c>
      <c r="D6247" s="491">
        <v>3</v>
      </c>
      <c r="E6247" s="491">
        <v>1</v>
      </c>
      <c r="F6247" s="491">
        <v>0</v>
      </c>
      <c r="G6247" s="491">
        <f t="shared" si="97"/>
        <v>78</v>
      </c>
    </row>
    <row r="6248" spans="1:7" ht="12.75">
      <c r="A6248" s="134" t="s">
        <v>900</v>
      </c>
      <c r="B6248" s="134">
        <v>316</v>
      </c>
      <c r="C6248" s="491">
        <v>35</v>
      </c>
      <c r="D6248" s="491">
        <v>215</v>
      </c>
      <c r="E6248" s="491">
        <v>10</v>
      </c>
      <c r="F6248" s="491">
        <v>7</v>
      </c>
      <c r="G6248" s="491">
        <f t="shared" si="97"/>
        <v>267</v>
      </c>
    </row>
    <row r="6249" spans="1:7" ht="12.75">
      <c r="A6249" s="134" t="s">
        <v>900</v>
      </c>
      <c r="B6249" s="134">
        <v>317</v>
      </c>
      <c r="C6249" s="491">
        <v>307</v>
      </c>
      <c r="D6249" s="491">
        <v>1457</v>
      </c>
      <c r="E6249" s="491">
        <v>129</v>
      </c>
      <c r="F6249" s="491">
        <v>1514</v>
      </c>
      <c r="G6249" s="491">
        <f t="shared" si="97"/>
        <v>3407</v>
      </c>
    </row>
    <row r="6250" spans="1:7" ht="12.75">
      <c r="A6250" s="134" t="s">
        <v>900</v>
      </c>
      <c r="B6250" s="134">
        <v>318</v>
      </c>
      <c r="C6250" s="491">
        <v>30</v>
      </c>
      <c r="D6250" s="491">
        <v>37</v>
      </c>
      <c r="E6250" s="491">
        <v>0</v>
      </c>
      <c r="F6250" s="491">
        <v>0</v>
      </c>
      <c r="G6250" s="491">
        <f t="shared" si="97"/>
        <v>67</v>
      </c>
    </row>
    <row r="6251" spans="1:7" ht="12.75">
      <c r="A6251" s="134" t="s">
        <v>900</v>
      </c>
      <c r="B6251" s="134">
        <v>320</v>
      </c>
      <c r="C6251" s="491">
        <v>527</v>
      </c>
      <c r="D6251" s="491">
        <v>459</v>
      </c>
      <c r="E6251" s="491">
        <v>3</v>
      </c>
      <c r="F6251" s="491">
        <v>6</v>
      </c>
      <c r="G6251" s="491">
        <f t="shared" si="97"/>
        <v>995</v>
      </c>
    </row>
    <row r="6252" spans="1:7" ht="12.75">
      <c r="A6252" s="134" t="s">
        <v>900</v>
      </c>
      <c r="B6252" s="134">
        <v>321</v>
      </c>
      <c r="C6252" s="491">
        <v>7</v>
      </c>
      <c r="D6252" s="491">
        <v>0</v>
      </c>
      <c r="E6252" s="491">
        <v>2</v>
      </c>
      <c r="F6252" s="491">
        <v>0</v>
      </c>
      <c r="G6252" s="491">
        <f t="shared" si="97"/>
        <v>9</v>
      </c>
    </row>
    <row r="6253" spans="1:7" ht="12.75">
      <c r="A6253" s="134" t="s">
        <v>900</v>
      </c>
      <c r="B6253" s="134">
        <v>322</v>
      </c>
      <c r="C6253" s="491">
        <v>49</v>
      </c>
      <c r="D6253" s="491">
        <v>4</v>
      </c>
      <c r="E6253" s="491">
        <v>0</v>
      </c>
      <c r="F6253" s="491">
        <v>0</v>
      </c>
      <c r="G6253" s="491">
        <f t="shared" si="97"/>
        <v>53</v>
      </c>
    </row>
    <row r="6254" spans="1:7" ht="12.75">
      <c r="A6254" s="134" t="s">
        <v>900</v>
      </c>
      <c r="B6254" s="134">
        <v>323</v>
      </c>
      <c r="C6254" s="491">
        <v>30</v>
      </c>
      <c r="D6254" s="491">
        <v>1</v>
      </c>
      <c r="E6254" s="491">
        <v>1</v>
      </c>
      <c r="F6254" s="491">
        <v>0</v>
      </c>
      <c r="G6254" s="491">
        <f t="shared" si="97"/>
        <v>32</v>
      </c>
    </row>
    <row r="6255" spans="1:7" ht="12.75">
      <c r="A6255" s="134" t="s">
        <v>900</v>
      </c>
      <c r="B6255" s="134">
        <v>324</v>
      </c>
      <c r="C6255" s="491">
        <v>19</v>
      </c>
      <c r="D6255" s="491">
        <v>123</v>
      </c>
      <c r="E6255" s="491">
        <v>0</v>
      </c>
      <c r="F6255" s="491">
        <v>3</v>
      </c>
      <c r="G6255" s="491">
        <f t="shared" si="97"/>
        <v>145</v>
      </c>
    </row>
    <row r="6256" spans="1:7" ht="12.75">
      <c r="A6256" s="134" t="s">
        <v>900</v>
      </c>
      <c r="B6256" s="134">
        <v>329</v>
      </c>
      <c r="C6256" s="491">
        <v>0</v>
      </c>
      <c r="D6256" s="491">
        <v>6</v>
      </c>
      <c r="E6256" s="491">
        <v>0</v>
      </c>
      <c r="F6256" s="491">
        <v>0</v>
      </c>
      <c r="G6256" s="491">
        <f t="shared" si="97"/>
        <v>6</v>
      </c>
    </row>
    <row r="6257" spans="1:7" ht="12.75">
      <c r="A6257" s="134" t="s">
        <v>900</v>
      </c>
      <c r="B6257" s="134">
        <v>330</v>
      </c>
      <c r="C6257" s="491">
        <v>289330</v>
      </c>
      <c r="D6257" s="491">
        <v>144206</v>
      </c>
      <c r="E6257" s="491">
        <v>3451</v>
      </c>
      <c r="F6257" s="491">
        <v>2128</v>
      </c>
      <c r="G6257" s="491">
        <f t="shared" si="97"/>
        <v>439115</v>
      </c>
    </row>
    <row r="6258" spans="1:7" ht="12.75">
      <c r="A6258" s="134" t="s">
        <v>900</v>
      </c>
      <c r="B6258" s="134">
        <v>340</v>
      </c>
      <c r="C6258" s="491">
        <v>646</v>
      </c>
      <c r="D6258" s="491">
        <v>744</v>
      </c>
      <c r="E6258" s="491">
        <v>33</v>
      </c>
      <c r="F6258" s="491">
        <v>42</v>
      </c>
      <c r="G6258" s="491">
        <f t="shared" si="97"/>
        <v>1465</v>
      </c>
    </row>
    <row r="6259" spans="1:7" ht="12.75">
      <c r="A6259" s="134" t="s">
        <v>900</v>
      </c>
      <c r="B6259" s="134">
        <v>341</v>
      </c>
      <c r="C6259" s="491">
        <v>7</v>
      </c>
      <c r="D6259" s="491">
        <v>62</v>
      </c>
      <c r="E6259" s="491">
        <v>0</v>
      </c>
      <c r="F6259" s="491">
        <v>0</v>
      </c>
      <c r="G6259" s="491">
        <f t="shared" si="97"/>
        <v>69</v>
      </c>
    </row>
    <row r="6260" spans="1:7" ht="12.75">
      <c r="A6260" s="134" t="s">
        <v>900</v>
      </c>
      <c r="B6260" s="134">
        <v>343</v>
      </c>
      <c r="C6260" s="491">
        <v>5</v>
      </c>
      <c r="D6260" s="491">
        <v>0</v>
      </c>
      <c r="E6260" s="491">
        <v>1</v>
      </c>
      <c r="F6260" s="491">
        <v>0</v>
      </c>
      <c r="G6260" s="491">
        <f t="shared" si="97"/>
        <v>6</v>
      </c>
    </row>
    <row r="6261" spans="1:7" ht="12.75">
      <c r="A6261" s="134" t="s">
        <v>900</v>
      </c>
      <c r="B6261" s="134">
        <v>350</v>
      </c>
      <c r="C6261" s="491">
        <v>387</v>
      </c>
      <c r="D6261" s="491">
        <v>105</v>
      </c>
      <c r="E6261" s="491">
        <v>3</v>
      </c>
      <c r="F6261" s="491">
        <v>1</v>
      </c>
      <c r="G6261" s="491">
        <f t="shared" si="97"/>
        <v>496</v>
      </c>
    </row>
    <row r="6262" spans="1:7" ht="12.75">
      <c r="A6262" s="134" t="s">
        <v>900</v>
      </c>
      <c r="B6262" s="134">
        <v>352</v>
      </c>
      <c r="C6262" s="491">
        <v>18</v>
      </c>
      <c r="D6262" s="491">
        <v>14</v>
      </c>
      <c r="E6262" s="491">
        <v>27</v>
      </c>
      <c r="F6262" s="491">
        <v>12</v>
      </c>
      <c r="G6262" s="491">
        <f t="shared" si="97"/>
        <v>71</v>
      </c>
    </row>
    <row r="6263" spans="1:7" ht="12.75">
      <c r="A6263" s="134" t="s">
        <v>900</v>
      </c>
      <c r="B6263" s="134">
        <v>361</v>
      </c>
      <c r="C6263" s="491">
        <v>1716</v>
      </c>
      <c r="D6263" s="491">
        <v>193</v>
      </c>
      <c r="E6263" s="491">
        <v>74</v>
      </c>
      <c r="F6263" s="491">
        <v>4</v>
      </c>
      <c r="G6263" s="491">
        <f t="shared" si="97"/>
        <v>1987</v>
      </c>
    </row>
    <row r="6264" spans="1:7" ht="12.75">
      <c r="A6264" s="134" t="s">
        <v>900</v>
      </c>
      <c r="B6264" s="134">
        <v>370</v>
      </c>
      <c r="C6264" s="491">
        <v>8227</v>
      </c>
      <c r="D6264" s="491">
        <v>276</v>
      </c>
      <c r="E6264" s="491">
        <v>72</v>
      </c>
      <c r="F6264" s="491">
        <v>9</v>
      </c>
      <c r="G6264" s="491">
        <f t="shared" si="97"/>
        <v>8584</v>
      </c>
    </row>
    <row r="6265" spans="1:7" ht="12.75">
      <c r="A6265" s="134" t="s">
        <v>900</v>
      </c>
      <c r="B6265" s="134">
        <v>400</v>
      </c>
      <c r="C6265" s="491">
        <v>2592</v>
      </c>
      <c r="D6265" s="491">
        <v>300</v>
      </c>
      <c r="E6265" s="491">
        <v>3</v>
      </c>
      <c r="F6265" s="491">
        <v>3</v>
      </c>
      <c r="G6265" s="491">
        <f t="shared" si="97"/>
        <v>2898</v>
      </c>
    </row>
    <row r="6266" spans="1:7" ht="12.75">
      <c r="A6266" s="134" t="s">
        <v>900</v>
      </c>
      <c r="B6266" s="134">
        <v>410</v>
      </c>
      <c r="C6266" s="491">
        <v>3951</v>
      </c>
      <c r="D6266" s="491">
        <v>421</v>
      </c>
      <c r="E6266" s="491">
        <v>10</v>
      </c>
      <c r="F6266" s="491">
        <v>4</v>
      </c>
      <c r="G6266" s="491">
        <f t="shared" si="97"/>
        <v>4386</v>
      </c>
    </row>
    <row r="6267" spans="1:7" ht="12.75">
      <c r="A6267" s="134" t="s">
        <v>900</v>
      </c>
      <c r="B6267" s="134">
        <v>420</v>
      </c>
      <c r="C6267" s="491">
        <v>954</v>
      </c>
      <c r="D6267" s="491">
        <v>516</v>
      </c>
      <c r="E6267" s="491">
        <v>52</v>
      </c>
      <c r="F6267" s="491">
        <v>56</v>
      </c>
      <c r="G6267" s="491">
        <f t="shared" si="97"/>
        <v>1578</v>
      </c>
    </row>
    <row r="6268" spans="1:7" ht="12.75">
      <c r="A6268" s="134" t="s">
        <v>900</v>
      </c>
      <c r="B6268" s="134">
        <v>421</v>
      </c>
      <c r="C6268" s="491">
        <v>2</v>
      </c>
      <c r="D6268" s="491">
        <v>1</v>
      </c>
      <c r="E6268" s="491">
        <v>0</v>
      </c>
      <c r="F6268" s="491">
        <v>0</v>
      </c>
      <c r="G6268" s="491">
        <f t="shared" si="97"/>
        <v>3</v>
      </c>
    </row>
    <row r="6269" spans="1:7" ht="12.75">
      <c r="A6269" s="134" t="s">
        <v>900</v>
      </c>
      <c r="B6269" s="134">
        <v>430</v>
      </c>
      <c r="C6269" s="491">
        <v>201</v>
      </c>
      <c r="D6269" s="491">
        <v>122</v>
      </c>
      <c r="E6269" s="491">
        <v>0</v>
      </c>
      <c r="F6269" s="491">
        <v>2</v>
      </c>
      <c r="G6269" s="491">
        <f t="shared" si="97"/>
        <v>325</v>
      </c>
    </row>
    <row r="6270" spans="1:7" ht="12.75">
      <c r="A6270" s="134" t="s">
        <v>900</v>
      </c>
      <c r="B6270" s="134">
        <v>450</v>
      </c>
      <c r="C6270" s="491">
        <v>91</v>
      </c>
      <c r="D6270" s="491">
        <v>8</v>
      </c>
      <c r="E6270" s="491">
        <v>0</v>
      </c>
      <c r="F6270" s="491">
        <v>0</v>
      </c>
      <c r="G6270" s="491">
        <f t="shared" si="97"/>
        <v>99</v>
      </c>
    </row>
    <row r="6271" spans="1:7" ht="12.75">
      <c r="A6271" s="134" t="s">
        <v>900</v>
      </c>
      <c r="B6271" s="134">
        <v>460</v>
      </c>
      <c r="C6271" s="491">
        <v>3</v>
      </c>
      <c r="D6271" s="491">
        <v>0</v>
      </c>
      <c r="E6271" s="491">
        <v>0</v>
      </c>
      <c r="F6271" s="491">
        <v>0</v>
      </c>
      <c r="G6271" s="491">
        <f t="shared" si="97"/>
        <v>3</v>
      </c>
    </row>
    <row r="6272" spans="1:7" ht="12.75">
      <c r="A6272" s="134" t="s">
        <v>900</v>
      </c>
      <c r="B6272" s="134">
        <v>501</v>
      </c>
      <c r="C6272" s="491">
        <v>491</v>
      </c>
      <c r="D6272" s="491">
        <v>319</v>
      </c>
      <c r="E6272" s="491">
        <v>23</v>
      </c>
      <c r="F6272" s="491">
        <v>16</v>
      </c>
      <c r="G6272" s="491">
        <f t="shared" si="97"/>
        <v>849</v>
      </c>
    </row>
    <row r="6273" spans="1:7" ht="12.75">
      <c r="A6273" s="134" t="s">
        <v>900</v>
      </c>
      <c r="B6273" s="134">
        <v>502</v>
      </c>
      <c r="C6273" s="491">
        <v>6653</v>
      </c>
      <c r="D6273" s="491">
        <v>3676</v>
      </c>
      <c r="E6273" s="491">
        <v>354</v>
      </c>
      <c r="F6273" s="491">
        <v>44</v>
      </c>
      <c r="G6273" s="491">
        <f t="shared" si="97"/>
        <v>10727</v>
      </c>
    </row>
    <row r="6274" spans="1:7" ht="12.75">
      <c r="A6274" s="134" t="s">
        <v>900</v>
      </c>
      <c r="B6274" s="134">
        <v>503</v>
      </c>
      <c r="C6274" s="491">
        <v>83</v>
      </c>
      <c r="D6274" s="491">
        <v>120</v>
      </c>
      <c r="E6274" s="491">
        <v>13</v>
      </c>
      <c r="F6274" s="491">
        <v>0</v>
      </c>
      <c r="G6274" s="491">
        <f t="shared" si="97"/>
        <v>216</v>
      </c>
    </row>
    <row r="6275" spans="1:7" ht="12.75">
      <c r="A6275" s="134" t="s">
        <v>900</v>
      </c>
      <c r="B6275" s="134">
        <v>560</v>
      </c>
      <c r="C6275" s="491">
        <v>598</v>
      </c>
      <c r="D6275" s="491">
        <v>262</v>
      </c>
      <c r="E6275" s="491">
        <v>12</v>
      </c>
      <c r="F6275" s="491">
        <v>12</v>
      </c>
      <c r="G6275" s="491">
        <f t="shared" si="97"/>
        <v>884</v>
      </c>
    </row>
    <row r="6276" spans="1:7" ht="12.75">
      <c r="A6276" s="134" t="s">
        <v>900</v>
      </c>
      <c r="B6276" s="134">
        <v>650</v>
      </c>
      <c r="C6276" s="491">
        <v>921</v>
      </c>
      <c r="D6276" s="491">
        <v>873</v>
      </c>
      <c r="E6276" s="491">
        <v>5</v>
      </c>
      <c r="F6276" s="491">
        <v>42</v>
      </c>
      <c r="G6276" s="491">
        <f t="shared" ref="G6276:G6339" si="98">SUM(C6276:F6276)</f>
        <v>1841</v>
      </c>
    </row>
    <row r="6277" spans="1:7" ht="12.75">
      <c r="A6277" s="134" t="s">
        <v>900</v>
      </c>
      <c r="B6277" s="134">
        <v>651</v>
      </c>
      <c r="C6277" s="491">
        <v>113</v>
      </c>
      <c r="D6277" s="491">
        <v>68</v>
      </c>
      <c r="E6277" s="491">
        <v>17</v>
      </c>
      <c r="F6277" s="491">
        <v>10</v>
      </c>
      <c r="G6277" s="491">
        <f t="shared" si="98"/>
        <v>208</v>
      </c>
    </row>
    <row r="6278" spans="1:7" ht="12.75">
      <c r="A6278" s="134" t="s">
        <v>900</v>
      </c>
      <c r="B6278" s="134">
        <v>652</v>
      </c>
      <c r="C6278" s="491">
        <v>5</v>
      </c>
      <c r="D6278" s="491">
        <v>7</v>
      </c>
      <c r="E6278" s="491">
        <v>0</v>
      </c>
      <c r="F6278" s="491">
        <v>1</v>
      </c>
      <c r="G6278" s="491">
        <f t="shared" si="98"/>
        <v>13</v>
      </c>
    </row>
    <row r="6279" spans="1:7" ht="12.75">
      <c r="A6279" s="134" t="s">
        <v>900</v>
      </c>
      <c r="B6279" s="134">
        <v>653</v>
      </c>
      <c r="C6279" s="491">
        <v>4487</v>
      </c>
      <c r="D6279" s="491">
        <v>363</v>
      </c>
      <c r="E6279" s="491">
        <v>142</v>
      </c>
      <c r="F6279" s="491">
        <v>14</v>
      </c>
      <c r="G6279" s="491">
        <f t="shared" si="98"/>
        <v>5006</v>
      </c>
    </row>
    <row r="6280" spans="1:7" ht="12.75">
      <c r="A6280" s="134" t="s">
        <v>900</v>
      </c>
      <c r="B6280" s="134">
        <v>654</v>
      </c>
      <c r="C6280" s="491">
        <v>16</v>
      </c>
      <c r="D6280" s="491">
        <v>15</v>
      </c>
      <c r="E6280" s="491">
        <v>0</v>
      </c>
      <c r="F6280" s="491">
        <v>1</v>
      </c>
      <c r="G6280" s="491">
        <f t="shared" si="98"/>
        <v>32</v>
      </c>
    </row>
    <row r="6281" spans="1:7" ht="12.75">
      <c r="A6281" s="134" t="s">
        <v>900</v>
      </c>
      <c r="B6281" s="134">
        <v>655</v>
      </c>
      <c r="C6281" s="491">
        <v>3</v>
      </c>
      <c r="D6281" s="491">
        <v>1</v>
      </c>
      <c r="E6281" s="491">
        <v>0</v>
      </c>
      <c r="F6281" s="491">
        <v>0</v>
      </c>
      <c r="G6281" s="491">
        <f t="shared" si="98"/>
        <v>4</v>
      </c>
    </row>
    <row r="6282" spans="1:7" ht="12.75">
      <c r="A6282" s="134" t="s">
        <v>900</v>
      </c>
      <c r="B6282" s="134">
        <v>656</v>
      </c>
      <c r="C6282" s="491">
        <v>2</v>
      </c>
      <c r="D6282" s="491">
        <v>0</v>
      </c>
      <c r="E6282" s="491">
        <v>0</v>
      </c>
      <c r="F6282" s="491">
        <v>0</v>
      </c>
      <c r="G6282" s="491">
        <f t="shared" si="98"/>
        <v>2</v>
      </c>
    </row>
    <row r="6283" spans="1:7" ht="12.75">
      <c r="A6283" s="134" t="s">
        <v>900</v>
      </c>
      <c r="B6283" s="134">
        <v>657</v>
      </c>
      <c r="C6283" s="491">
        <v>1</v>
      </c>
      <c r="D6283" s="491">
        <v>0</v>
      </c>
      <c r="E6283" s="491">
        <v>0</v>
      </c>
      <c r="F6283" s="491">
        <v>0</v>
      </c>
      <c r="G6283" s="491">
        <f t="shared" si="98"/>
        <v>1</v>
      </c>
    </row>
    <row r="6284" spans="1:7" ht="12.75">
      <c r="A6284" s="134" t="s">
        <v>900</v>
      </c>
      <c r="B6284" s="134">
        <v>658</v>
      </c>
      <c r="C6284" s="491">
        <v>57</v>
      </c>
      <c r="D6284" s="491">
        <v>3</v>
      </c>
      <c r="E6284" s="491">
        <v>0</v>
      </c>
      <c r="F6284" s="491">
        <v>0</v>
      </c>
      <c r="G6284" s="491">
        <f t="shared" si="98"/>
        <v>60</v>
      </c>
    </row>
    <row r="6285" spans="1:7" ht="12.75">
      <c r="A6285" s="134" t="s">
        <v>900</v>
      </c>
      <c r="B6285" s="134">
        <v>662</v>
      </c>
      <c r="C6285" s="491">
        <v>0</v>
      </c>
      <c r="D6285" s="491">
        <v>1</v>
      </c>
      <c r="E6285" s="491">
        <v>0</v>
      </c>
      <c r="F6285" s="491">
        <v>0</v>
      </c>
      <c r="G6285" s="491">
        <f t="shared" si="98"/>
        <v>1</v>
      </c>
    </row>
    <row r="6286" spans="1:7" ht="12.75">
      <c r="A6286" s="134" t="s">
        <v>900</v>
      </c>
      <c r="B6286" s="134">
        <v>713</v>
      </c>
      <c r="C6286" s="491">
        <v>1</v>
      </c>
      <c r="D6286" s="491">
        <v>0</v>
      </c>
      <c r="E6286" s="491">
        <v>0</v>
      </c>
      <c r="F6286" s="491">
        <v>0</v>
      </c>
      <c r="G6286" s="491">
        <f t="shared" si="98"/>
        <v>1</v>
      </c>
    </row>
    <row r="6287" spans="1:7" ht="12.75">
      <c r="A6287" s="134" t="s">
        <v>900</v>
      </c>
      <c r="B6287" s="134">
        <v>722</v>
      </c>
      <c r="C6287" s="491">
        <v>1</v>
      </c>
      <c r="D6287" s="491">
        <v>0</v>
      </c>
      <c r="E6287" s="491">
        <v>0</v>
      </c>
      <c r="F6287" s="491">
        <v>0</v>
      </c>
      <c r="G6287" s="491">
        <f t="shared" si="98"/>
        <v>1</v>
      </c>
    </row>
    <row r="6288" spans="1:7" ht="12.75">
      <c r="A6288" s="134" t="s">
        <v>900</v>
      </c>
      <c r="B6288" s="134">
        <v>800</v>
      </c>
      <c r="C6288" s="491">
        <v>5137</v>
      </c>
      <c r="D6288" s="491">
        <v>275</v>
      </c>
      <c r="E6288" s="491">
        <v>56</v>
      </c>
      <c r="F6288" s="491">
        <v>30</v>
      </c>
      <c r="G6288" s="491">
        <f t="shared" si="98"/>
        <v>5498</v>
      </c>
    </row>
    <row r="6289" spans="1:7" ht="12.75">
      <c r="A6289" s="134" t="s">
        <v>900</v>
      </c>
      <c r="B6289" s="134">
        <v>811</v>
      </c>
      <c r="C6289" s="491">
        <v>39</v>
      </c>
      <c r="D6289" s="491">
        <v>108</v>
      </c>
      <c r="E6289" s="491">
        <v>0</v>
      </c>
      <c r="F6289" s="491">
        <v>0</v>
      </c>
      <c r="G6289" s="491">
        <f t="shared" si="98"/>
        <v>147</v>
      </c>
    </row>
    <row r="6290" spans="1:7" ht="12.75">
      <c r="A6290" s="134" t="s">
        <v>900</v>
      </c>
      <c r="B6290" s="134">
        <v>812</v>
      </c>
      <c r="C6290" s="491">
        <v>77</v>
      </c>
      <c r="D6290" s="491">
        <v>61</v>
      </c>
      <c r="E6290" s="491">
        <v>0</v>
      </c>
      <c r="F6290" s="491">
        <v>0</v>
      </c>
      <c r="G6290" s="491">
        <f t="shared" si="98"/>
        <v>138</v>
      </c>
    </row>
    <row r="6291" spans="1:7" ht="12.75">
      <c r="A6291" s="134" t="s">
        <v>900</v>
      </c>
      <c r="B6291" s="134">
        <v>822</v>
      </c>
      <c r="C6291" s="491">
        <v>1</v>
      </c>
      <c r="D6291" s="491">
        <v>1</v>
      </c>
      <c r="E6291" s="491">
        <v>0</v>
      </c>
      <c r="F6291" s="491">
        <v>0</v>
      </c>
      <c r="G6291" s="491">
        <f t="shared" si="98"/>
        <v>2</v>
      </c>
    </row>
    <row r="6292" spans="1:7" ht="12.75">
      <c r="A6292" s="134" t="s">
        <v>900</v>
      </c>
      <c r="B6292" s="134">
        <v>840</v>
      </c>
      <c r="C6292" s="491">
        <v>4</v>
      </c>
      <c r="D6292" s="491">
        <v>7</v>
      </c>
      <c r="E6292" s="491">
        <v>0</v>
      </c>
      <c r="F6292" s="491">
        <v>0</v>
      </c>
      <c r="G6292" s="491">
        <f t="shared" si="98"/>
        <v>11</v>
      </c>
    </row>
    <row r="6293" spans="1:7" ht="12.75">
      <c r="A6293" s="134" t="s">
        <v>901</v>
      </c>
      <c r="B6293" s="134">
        <v>100</v>
      </c>
      <c r="C6293" s="491">
        <v>88</v>
      </c>
      <c r="D6293" s="491">
        <v>22</v>
      </c>
      <c r="E6293" s="491">
        <v>3</v>
      </c>
      <c r="F6293" s="491">
        <v>1</v>
      </c>
      <c r="G6293" s="491">
        <f t="shared" si="98"/>
        <v>114</v>
      </c>
    </row>
    <row r="6294" spans="1:7" ht="12.75">
      <c r="A6294" s="134" t="s">
        <v>901</v>
      </c>
      <c r="B6294" s="134">
        <v>101</v>
      </c>
      <c r="C6294" s="491">
        <v>2</v>
      </c>
      <c r="D6294" s="491">
        <v>0</v>
      </c>
      <c r="E6294" s="491">
        <v>0</v>
      </c>
      <c r="F6294" s="491">
        <v>0</v>
      </c>
      <c r="G6294" s="491">
        <f t="shared" si="98"/>
        <v>2</v>
      </c>
    </row>
    <row r="6295" spans="1:7" ht="12.75">
      <c r="A6295" s="134" t="s">
        <v>901</v>
      </c>
      <c r="B6295" s="134">
        <v>103</v>
      </c>
      <c r="C6295" s="491">
        <v>4</v>
      </c>
      <c r="D6295" s="491">
        <v>0</v>
      </c>
      <c r="E6295" s="491">
        <v>1</v>
      </c>
      <c r="F6295" s="491">
        <v>0</v>
      </c>
      <c r="G6295" s="491">
        <f t="shared" si="98"/>
        <v>5</v>
      </c>
    </row>
    <row r="6296" spans="1:7" ht="12.75">
      <c r="A6296" s="134" t="s">
        <v>901</v>
      </c>
      <c r="B6296" s="134">
        <v>104</v>
      </c>
      <c r="C6296" s="491">
        <v>8</v>
      </c>
      <c r="D6296" s="491">
        <v>0</v>
      </c>
      <c r="E6296" s="491">
        <v>0</v>
      </c>
      <c r="F6296" s="491">
        <v>0</v>
      </c>
      <c r="G6296" s="491">
        <f t="shared" si="98"/>
        <v>8</v>
      </c>
    </row>
    <row r="6297" spans="1:7" ht="12.75">
      <c r="A6297" s="134" t="s">
        <v>901</v>
      </c>
      <c r="B6297" s="134">
        <v>106</v>
      </c>
      <c r="C6297" s="491">
        <v>0</v>
      </c>
      <c r="D6297" s="491">
        <v>3</v>
      </c>
      <c r="E6297" s="491">
        <v>0</v>
      </c>
      <c r="F6297" s="491">
        <v>0</v>
      </c>
      <c r="G6297" s="491">
        <f t="shared" si="98"/>
        <v>3</v>
      </c>
    </row>
    <row r="6298" spans="1:7" ht="12.75">
      <c r="A6298" s="134" t="s">
        <v>901</v>
      </c>
      <c r="B6298" s="134">
        <v>107</v>
      </c>
      <c r="C6298" s="491">
        <v>1</v>
      </c>
      <c r="D6298" s="491">
        <v>6</v>
      </c>
      <c r="E6298" s="491">
        <v>0</v>
      </c>
      <c r="F6298" s="491">
        <v>0</v>
      </c>
      <c r="G6298" s="491">
        <f t="shared" si="98"/>
        <v>7</v>
      </c>
    </row>
    <row r="6299" spans="1:7" ht="12.75">
      <c r="A6299" s="134" t="s">
        <v>901</v>
      </c>
      <c r="B6299" s="134">
        <v>108</v>
      </c>
      <c r="C6299" s="491">
        <v>1</v>
      </c>
      <c r="D6299" s="491">
        <v>0</v>
      </c>
      <c r="E6299" s="491">
        <v>0</v>
      </c>
      <c r="F6299" s="491">
        <v>0</v>
      </c>
      <c r="G6299" s="491">
        <f t="shared" si="98"/>
        <v>1</v>
      </c>
    </row>
    <row r="6300" spans="1:7" ht="12.75">
      <c r="A6300" s="134" t="s">
        <v>901</v>
      </c>
      <c r="B6300" s="134">
        <v>110</v>
      </c>
      <c r="C6300" s="491">
        <v>2269</v>
      </c>
      <c r="D6300" s="491">
        <v>1867</v>
      </c>
      <c r="E6300" s="491">
        <v>145</v>
      </c>
      <c r="F6300" s="491">
        <v>98</v>
      </c>
      <c r="G6300" s="491">
        <f t="shared" si="98"/>
        <v>4379</v>
      </c>
    </row>
    <row r="6301" spans="1:7" ht="12.75">
      <c r="A6301" s="134" t="s">
        <v>901</v>
      </c>
      <c r="B6301" s="134">
        <v>120</v>
      </c>
      <c r="C6301" s="491">
        <v>403</v>
      </c>
      <c r="D6301" s="491">
        <v>180</v>
      </c>
      <c r="E6301" s="491">
        <v>18</v>
      </c>
      <c r="F6301" s="491">
        <v>12</v>
      </c>
      <c r="G6301" s="491">
        <f t="shared" si="98"/>
        <v>613</v>
      </c>
    </row>
    <row r="6302" spans="1:7" ht="12.75">
      <c r="A6302" s="134" t="s">
        <v>901</v>
      </c>
      <c r="B6302" s="134">
        <v>130</v>
      </c>
      <c r="C6302" s="491">
        <v>32</v>
      </c>
      <c r="D6302" s="491">
        <v>12</v>
      </c>
      <c r="E6302" s="491">
        <v>0</v>
      </c>
      <c r="F6302" s="491">
        <v>0</v>
      </c>
      <c r="G6302" s="491">
        <f t="shared" si="98"/>
        <v>44</v>
      </c>
    </row>
    <row r="6303" spans="1:7" ht="12.75">
      <c r="A6303" s="134" t="s">
        <v>901</v>
      </c>
      <c r="B6303" s="134">
        <v>140</v>
      </c>
      <c r="C6303" s="491">
        <v>101</v>
      </c>
      <c r="D6303" s="491">
        <v>151</v>
      </c>
      <c r="E6303" s="491">
        <v>0</v>
      </c>
      <c r="F6303" s="491">
        <v>7</v>
      </c>
      <c r="G6303" s="491">
        <f t="shared" si="98"/>
        <v>259</v>
      </c>
    </row>
    <row r="6304" spans="1:7" ht="12.75">
      <c r="A6304" s="134" t="s">
        <v>901</v>
      </c>
      <c r="B6304" s="134">
        <v>141</v>
      </c>
      <c r="C6304" s="491">
        <v>0</v>
      </c>
      <c r="D6304" s="491">
        <v>0</v>
      </c>
      <c r="E6304" s="491">
        <v>1</v>
      </c>
      <c r="F6304" s="491">
        <v>0</v>
      </c>
      <c r="G6304" s="491">
        <f t="shared" si="98"/>
        <v>1</v>
      </c>
    </row>
    <row r="6305" spans="1:7" ht="12.75">
      <c r="A6305" s="134" t="s">
        <v>901</v>
      </c>
      <c r="B6305" s="134">
        <v>142</v>
      </c>
      <c r="C6305" s="491">
        <v>1</v>
      </c>
      <c r="D6305" s="491">
        <v>2</v>
      </c>
      <c r="E6305" s="491">
        <v>0</v>
      </c>
      <c r="F6305" s="491">
        <v>0</v>
      </c>
      <c r="G6305" s="491">
        <f t="shared" si="98"/>
        <v>3</v>
      </c>
    </row>
    <row r="6306" spans="1:7" ht="12.75">
      <c r="A6306" s="134" t="s">
        <v>901</v>
      </c>
      <c r="B6306" s="134">
        <v>143</v>
      </c>
      <c r="C6306" s="491">
        <v>12</v>
      </c>
      <c r="D6306" s="491">
        <v>8</v>
      </c>
      <c r="E6306" s="491">
        <v>0</v>
      </c>
      <c r="F6306" s="491">
        <v>0</v>
      </c>
      <c r="G6306" s="491">
        <f t="shared" si="98"/>
        <v>20</v>
      </c>
    </row>
    <row r="6307" spans="1:7" ht="12.75">
      <c r="A6307" s="134" t="s">
        <v>901</v>
      </c>
      <c r="B6307" s="134">
        <v>144</v>
      </c>
      <c r="C6307" s="491">
        <v>131</v>
      </c>
      <c r="D6307" s="491">
        <v>126</v>
      </c>
      <c r="E6307" s="491">
        <v>1</v>
      </c>
      <c r="F6307" s="491">
        <v>0</v>
      </c>
      <c r="G6307" s="491">
        <f t="shared" si="98"/>
        <v>258</v>
      </c>
    </row>
    <row r="6308" spans="1:7" ht="12.75">
      <c r="A6308" s="134" t="s">
        <v>901</v>
      </c>
      <c r="B6308" s="134">
        <v>150</v>
      </c>
      <c r="C6308" s="491">
        <v>0</v>
      </c>
      <c r="D6308" s="491">
        <v>5</v>
      </c>
      <c r="E6308" s="491">
        <v>0</v>
      </c>
      <c r="F6308" s="491">
        <v>0</v>
      </c>
      <c r="G6308" s="491">
        <f t="shared" si="98"/>
        <v>5</v>
      </c>
    </row>
    <row r="6309" spans="1:7" ht="12.75">
      <c r="A6309" s="134" t="s">
        <v>901</v>
      </c>
      <c r="B6309" s="134">
        <v>160</v>
      </c>
      <c r="C6309" s="491">
        <v>2361</v>
      </c>
      <c r="D6309" s="491">
        <v>1283</v>
      </c>
      <c r="E6309" s="491">
        <v>97</v>
      </c>
      <c r="F6309" s="491">
        <v>29</v>
      </c>
      <c r="G6309" s="491">
        <f t="shared" si="98"/>
        <v>3770</v>
      </c>
    </row>
    <row r="6310" spans="1:7" ht="12.75">
      <c r="A6310" s="134" t="s">
        <v>901</v>
      </c>
      <c r="B6310" s="134">
        <v>161</v>
      </c>
      <c r="C6310" s="491">
        <v>136</v>
      </c>
      <c r="D6310" s="491">
        <v>89</v>
      </c>
      <c r="E6310" s="491">
        <v>48</v>
      </c>
      <c r="F6310" s="491">
        <v>12</v>
      </c>
      <c r="G6310" s="491">
        <f t="shared" si="98"/>
        <v>285</v>
      </c>
    </row>
    <row r="6311" spans="1:7" ht="12.75">
      <c r="A6311" s="134" t="s">
        <v>901</v>
      </c>
      <c r="B6311" s="134">
        <v>171</v>
      </c>
      <c r="C6311" s="491">
        <v>38</v>
      </c>
      <c r="D6311" s="491">
        <v>22</v>
      </c>
      <c r="E6311" s="491">
        <v>1</v>
      </c>
      <c r="F6311" s="491">
        <v>1</v>
      </c>
      <c r="G6311" s="491">
        <f t="shared" si="98"/>
        <v>62</v>
      </c>
    </row>
    <row r="6312" spans="1:7" ht="12.75">
      <c r="A6312" s="134" t="s">
        <v>901</v>
      </c>
      <c r="B6312" s="134">
        <v>180</v>
      </c>
      <c r="C6312" s="491">
        <v>130</v>
      </c>
      <c r="D6312" s="491">
        <v>358</v>
      </c>
      <c r="E6312" s="491">
        <v>0</v>
      </c>
      <c r="F6312" s="491">
        <v>1</v>
      </c>
      <c r="G6312" s="491">
        <f t="shared" si="98"/>
        <v>489</v>
      </c>
    </row>
    <row r="6313" spans="1:7" ht="12.75">
      <c r="A6313" s="134" t="s">
        <v>901</v>
      </c>
      <c r="B6313" s="134">
        <v>190</v>
      </c>
      <c r="C6313" s="491">
        <v>0</v>
      </c>
      <c r="D6313" s="491">
        <v>2</v>
      </c>
      <c r="E6313" s="491">
        <v>0</v>
      </c>
      <c r="F6313" s="491">
        <v>0</v>
      </c>
      <c r="G6313" s="491">
        <f t="shared" si="98"/>
        <v>2</v>
      </c>
    </row>
    <row r="6314" spans="1:7" ht="12.75">
      <c r="A6314" s="134" t="s">
        <v>901</v>
      </c>
      <c r="B6314" s="134">
        <v>211</v>
      </c>
      <c r="C6314" s="491">
        <v>266</v>
      </c>
      <c r="D6314" s="491">
        <v>16</v>
      </c>
      <c r="E6314" s="491">
        <v>0</v>
      </c>
      <c r="F6314" s="491">
        <v>2</v>
      </c>
      <c r="G6314" s="491">
        <f t="shared" si="98"/>
        <v>284</v>
      </c>
    </row>
    <row r="6315" spans="1:7" ht="12.75">
      <c r="A6315" s="134" t="s">
        <v>901</v>
      </c>
      <c r="B6315" s="134">
        <v>214</v>
      </c>
      <c r="C6315" s="491">
        <v>359</v>
      </c>
      <c r="D6315" s="491">
        <v>83</v>
      </c>
      <c r="E6315" s="491">
        <v>5</v>
      </c>
      <c r="F6315" s="491">
        <v>1</v>
      </c>
      <c r="G6315" s="491">
        <f t="shared" si="98"/>
        <v>448</v>
      </c>
    </row>
    <row r="6316" spans="1:7" ht="12.75">
      <c r="A6316" s="134" t="s">
        <v>901</v>
      </c>
      <c r="B6316" s="134">
        <v>215</v>
      </c>
      <c r="C6316" s="491">
        <v>105</v>
      </c>
      <c r="D6316" s="491">
        <v>183</v>
      </c>
      <c r="E6316" s="491">
        <v>3</v>
      </c>
      <c r="F6316" s="491">
        <v>0</v>
      </c>
      <c r="G6316" s="491">
        <f t="shared" si="98"/>
        <v>291</v>
      </c>
    </row>
    <row r="6317" spans="1:7" ht="12.75">
      <c r="A6317" s="134" t="s">
        <v>901</v>
      </c>
      <c r="B6317" s="134">
        <v>216</v>
      </c>
      <c r="C6317" s="491">
        <v>10</v>
      </c>
      <c r="D6317" s="491">
        <v>3</v>
      </c>
      <c r="E6317" s="491">
        <v>0</v>
      </c>
      <c r="F6317" s="491">
        <v>1</v>
      </c>
      <c r="G6317" s="491">
        <f t="shared" si="98"/>
        <v>14</v>
      </c>
    </row>
    <row r="6318" spans="1:7" ht="12.75">
      <c r="A6318" s="134" t="s">
        <v>901</v>
      </c>
      <c r="B6318" s="134">
        <v>217</v>
      </c>
      <c r="C6318" s="491">
        <v>27</v>
      </c>
      <c r="D6318" s="491">
        <v>2</v>
      </c>
      <c r="E6318" s="491">
        <v>1</v>
      </c>
      <c r="F6318" s="491">
        <v>0</v>
      </c>
      <c r="G6318" s="491">
        <f t="shared" si="98"/>
        <v>30</v>
      </c>
    </row>
    <row r="6319" spans="1:7" ht="12.75">
      <c r="A6319" s="134" t="s">
        <v>901</v>
      </c>
      <c r="B6319" s="134">
        <v>218</v>
      </c>
      <c r="C6319" s="491">
        <v>3</v>
      </c>
      <c r="D6319" s="491">
        <v>0</v>
      </c>
      <c r="E6319" s="491">
        <v>0</v>
      </c>
      <c r="F6319" s="491">
        <v>0</v>
      </c>
      <c r="G6319" s="491">
        <f t="shared" si="98"/>
        <v>3</v>
      </c>
    </row>
    <row r="6320" spans="1:7" ht="12.75">
      <c r="A6320" s="134" t="s">
        <v>901</v>
      </c>
      <c r="B6320" s="134">
        <v>219</v>
      </c>
      <c r="C6320" s="491">
        <v>2558</v>
      </c>
      <c r="D6320" s="491">
        <v>1608</v>
      </c>
      <c r="E6320" s="491">
        <v>201</v>
      </c>
      <c r="F6320" s="491">
        <v>80</v>
      </c>
      <c r="G6320" s="491">
        <f t="shared" si="98"/>
        <v>4447</v>
      </c>
    </row>
    <row r="6321" spans="1:7" ht="12.75">
      <c r="A6321" s="134" t="s">
        <v>901</v>
      </c>
      <c r="B6321" s="134">
        <v>220</v>
      </c>
      <c r="C6321" s="491">
        <v>587</v>
      </c>
      <c r="D6321" s="491">
        <v>253</v>
      </c>
      <c r="E6321" s="491">
        <v>0</v>
      </c>
      <c r="F6321" s="491">
        <v>0</v>
      </c>
      <c r="G6321" s="491">
        <f t="shared" si="98"/>
        <v>840</v>
      </c>
    </row>
    <row r="6322" spans="1:7" ht="12.75">
      <c r="A6322" s="134" t="s">
        <v>901</v>
      </c>
      <c r="B6322" s="134">
        <v>221</v>
      </c>
      <c r="C6322" s="491">
        <v>2</v>
      </c>
      <c r="D6322" s="491">
        <v>0</v>
      </c>
      <c r="E6322" s="491">
        <v>0</v>
      </c>
      <c r="F6322" s="491">
        <v>0</v>
      </c>
      <c r="G6322" s="491">
        <f t="shared" si="98"/>
        <v>2</v>
      </c>
    </row>
    <row r="6323" spans="1:7" ht="12.75">
      <c r="A6323" s="134" t="s">
        <v>901</v>
      </c>
      <c r="B6323" s="134">
        <v>251</v>
      </c>
      <c r="C6323" s="491">
        <v>10</v>
      </c>
      <c r="D6323" s="491">
        <v>20</v>
      </c>
      <c r="E6323" s="491">
        <v>1</v>
      </c>
      <c r="F6323" s="491">
        <v>0</v>
      </c>
      <c r="G6323" s="491">
        <f t="shared" si="98"/>
        <v>31</v>
      </c>
    </row>
    <row r="6324" spans="1:7" ht="12.75">
      <c r="A6324" s="134" t="s">
        <v>901</v>
      </c>
      <c r="B6324" s="134">
        <v>252</v>
      </c>
      <c r="C6324" s="491">
        <v>5</v>
      </c>
      <c r="D6324" s="491">
        <v>8</v>
      </c>
      <c r="E6324" s="491">
        <v>1</v>
      </c>
      <c r="F6324" s="491">
        <v>0</v>
      </c>
      <c r="G6324" s="491">
        <f t="shared" si="98"/>
        <v>14</v>
      </c>
    </row>
    <row r="6325" spans="1:7" ht="12.75">
      <c r="A6325" s="134" t="s">
        <v>901</v>
      </c>
      <c r="B6325" s="134">
        <v>253</v>
      </c>
      <c r="C6325" s="491">
        <v>189</v>
      </c>
      <c r="D6325" s="491">
        <v>5</v>
      </c>
      <c r="E6325" s="491">
        <v>16</v>
      </c>
      <c r="F6325" s="491">
        <v>0</v>
      </c>
      <c r="G6325" s="491">
        <f t="shared" si="98"/>
        <v>210</v>
      </c>
    </row>
    <row r="6326" spans="1:7" ht="12.75">
      <c r="A6326" s="134" t="s">
        <v>901</v>
      </c>
      <c r="B6326" s="134">
        <v>255</v>
      </c>
      <c r="C6326" s="491">
        <v>1695</v>
      </c>
      <c r="D6326" s="491">
        <v>1792</v>
      </c>
      <c r="E6326" s="491">
        <v>199</v>
      </c>
      <c r="F6326" s="491">
        <v>547</v>
      </c>
      <c r="G6326" s="491">
        <f t="shared" si="98"/>
        <v>4233</v>
      </c>
    </row>
    <row r="6327" spans="1:7" ht="12.75">
      <c r="A6327" s="134" t="s">
        <v>901</v>
      </c>
      <c r="B6327" s="134">
        <v>257</v>
      </c>
      <c r="C6327" s="491">
        <v>2720</v>
      </c>
      <c r="D6327" s="491">
        <v>891</v>
      </c>
      <c r="E6327" s="491">
        <v>18</v>
      </c>
      <c r="F6327" s="491">
        <v>14</v>
      </c>
      <c r="G6327" s="491">
        <f t="shared" si="98"/>
        <v>3643</v>
      </c>
    </row>
    <row r="6328" spans="1:7" ht="12.75">
      <c r="A6328" s="134" t="s">
        <v>901</v>
      </c>
      <c r="B6328" s="134">
        <v>258</v>
      </c>
      <c r="C6328" s="491">
        <v>164</v>
      </c>
      <c r="D6328" s="491">
        <v>169</v>
      </c>
      <c r="E6328" s="491">
        <v>34</v>
      </c>
      <c r="F6328" s="491">
        <v>39</v>
      </c>
      <c r="G6328" s="491">
        <f t="shared" si="98"/>
        <v>406</v>
      </c>
    </row>
    <row r="6329" spans="1:7" ht="12.75">
      <c r="A6329" s="134" t="s">
        <v>901</v>
      </c>
      <c r="B6329" s="134">
        <v>259</v>
      </c>
      <c r="C6329" s="491">
        <v>3</v>
      </c>
      <c r="D6329" s="491">
        <v>0</v>
      </c>
      <c r="E6329" s="491">
        <v>0</v>
      </c>
      <c r="F6329" s="491">
        <v>0</v>
      </c>
      <c r="G6329" s="491">
        <f t="shared" si="98"/>
        <v>3</v>
      </c>
    </row>
    <row r="6330" spans="1:7" ht="12.75">
      <c r="A6330" s="134" t="s">
        <v>901</v>
      </c>
      <c r="B6330" s="134">
        <v>260</v>
      </c>
      <c r="C6330" s="491">
        <v>41</v>
      </c>
      <c r="D6330" s="491">
        <v>1</v>
      </c>
      <c r="E6330" s="491">
        <v>11</v>
      </c>
      <c r="F6330" s="491">
        <v>3</v>
      </c>
      <c r="G6330" s="491">
        <f t="shared" si="98"/>
        <v>56</v>
      </c>
    </row>
    <row r="6331" spans="1:7" ht="12.75">
      <c r="A6331" s="134" t="s">
        <v>901</v>
      </c>
      <c r="B6331" s="134">
        <v>262</v>
      </c>
      <c r="C6331" s="491">
        <v>2</v>
      </c>
      <c r="D6331" s="491">
        <v>1</v>
      </c>
      <c r="E6331" s="491">
        <v>0</v>
      </c>
      <c r="F6331" s="491">
        <v>0</v>
      </c>
      <c r="G6331" s="491">
        <f t="shared" si="98"/>
        <v>3</v>
      </c>
    </row>
    <row r="6332" spans="1:7" ht="12.75">
      <c r="A6332" s="134" t="s">
        <v>901</v>
      </c>
      <c r="B6332" s="134">
        <v>263</v>
      </c>
      <c r="C6332" s="491">
        <v>4</v>
      </c>
      <c r="D6332" s="491">
        <v>0</v>
      </c>
      <c r="E6332" s="491">
        <v>2</v>
      </c>
      <c r="F6332" s="491">
        <v>0</v>
      </c>
      <c r="G6332" s="491">
        <f t="shared" si="98"/>
        <v>6</v>
      </c>
    </row>
    <row r="6333" spans="1:7" ht="12.75">
      <c r="A6333" s="134" t="s">
        <v>901</v>
      </c>
      <c r="B6333" s="134">
        <v>264</v>
      </c>
      <c r="C6333" s="491">
        <v>10</v>
      </c>
      <c r="D6333" s="491">
        <v>14</v>
      </c>
      <c r="E6333" s="491">
        <v>2</v>
      </c>
      <c r="F6333" s="491">
        <v>0</v>
      </c>
      <c r="G6333" s="491">
        <f t="shared" si="98"/>
        <v>26</v>
      </c>
    </row>
    <row r="6334" spans="1:7" ht="12.75">
      <c r="A6334" s="134" t="s">
        <v>901</v>
      </c>
      <c r="B6334" s="134">
        <v>290</v>
      </c>
      <c r="C6334" s="491">
        <v>484</v>
      </c>
      <c r="D6334" s="491">
        <v>84</v>
      </c>
      <c r="E6334" s="491">
        <v>0</v>
      </c>
      <c r="F6334" s="491">
        <v>0</v>
      </c>
      <c r="G6334" s="491">
        <f t="shared" si="98"/>
        <v>568</v>
      </c>
    </row>
    <row r="6335" spans="1:7" ht="12.75">
      <c r="A6335" s="134" t="s">
        <v>901</v>
      </c>
      <c r="B6335" s="134">
        <v>300</v>
      </c>
      <c r="C6335" s="491">
        <v>20</v>
      </c>
      <c r="D6335" s="491">
        <v>76</v>
      </c>
      <c r="E6335" s="491">
        <v>0</v>
      </c>
      <c r="F6335" s="491">
        <v>0</v>
      </c>
      <c r="G6335" s="491">
        <f t="shared" si="98"/>
        <v>96</v>
      </c>
    </row>
    <row r="6336" spans="1:7" ht="12.75">
      <c r="A6336" s="134" t="s">
        <v>901</v>
      </c>
      <c r="B6336" s="134">
        <v>302</v>
      </c>
      <c r="C6336" s="491">
        <v>0</v>
      </c>
      <c r="D6336" s="491">
        <v>1</v>
      </c>
      <c r="E6336" s="491">
        <v>0</v>
      </c>
      <c r="F6336" s="491">
        <v>0</v>
      </c>
      <c r="G6336" s="491">
        <f t="shared" si="98"/>
        <v>1</v>
      </c>
    </row>
    <row r="6337" spans="1:7" ht="12.75">
      <c r="A6337" s="134" t="s">
        <v>901</v>
      </c>
      <c r="B6337" s="134">
        <v>303</v>
      </c>
      <c r="C6337" s="491">
        <v>26</v>
      </c>
      <c r="D6337" s="491">
        <v>0</v>
      </c>
      <c r="E6337" s="491">
        <v>0</v>
      </c>
      <c r="F6337" s="491">
        <v>0</v>
      </c>
      <c r="G6337" s="491">
        <f t="shared" si="98"/>
        <v>26</v>
      </c>
    </row>
    <row r="6338" spans="1:7" ht="12.75">
      <c r="A6338" s="134" t="s">
        <v>901</v>
      </c>
      <c r="B6338" s="134">
        <v>307</v>
      </c>
      <c r="C6338" s="491">
        <v>8</v>
      </c>
      <c r="D6338" s="491">
        <v>2</v>
      </c>
      <c r="E6338" s="491">
        <v>0</v>
      </c>
      <c r="F6338" s="491">
        <v>0</v>
      </c>
      <c r="G6338" s="491">
        <f t="shared" si="98"/>
        <v>10</v>
      </c>
    </row>
    <row r="6339" spans="1:7" ht="12.75">
      <c r="A6339" s="134" t="s">
        <v>901</v>
      </c>
      <c r="B6339" s="134">
        <v>308</v>
      </c>
      <c r="C6339" s="491">
        <v>124</v>
      </c>
      <c r="D6339" s="491">
        <v>1</v>
      </c>
      <c r="E6339" s="491">
        <v>0</v>
      </c>
      <c r="F6339" s="491">
        <v>0</v>
      </c>
      <c r="G6339" s="491">
        <f t="shared" si="98"/>
        <v>125</v>
      </c>
    </row>
    <row r="6340" spans="1:7" ht="12.75">
      <c r="A6340" s="134" t="s">
        <v>901</v>
      </c>
      <c r="B6340" s="134">
        <v>309</v>
      </c>
      <c r="C6340" s="491">
        <v>1</v>
      </c>
      <c r="D6340" s="491">
        <v>0</v>
      </c>
      <c r="E6340" s="491">
        <v>0</v>
      </c>
      <c r="F6340" s="491">
        <v>0</v>
      </c>
      <c r="G6340" s="491">
        <f t="shared" ref="G6340:G6403" si="99">SUM(C6340:F6340)</f>
        <v>1</v>
      </c>
    </row>
    <row r="6341" spans="1:7" ht="12.75">
      <c r="A6341" s="134" t="s">
        <v>901</v>
      </c>
      <c r="B6341" s="134">
        <v>310</v>
      </c>
      <c r="C6341" s="491">
        <v>0</v>
      </c>
      <c r="D6341" s="491">
        <v>11</v>
      </c>
      <c r="E6341" s="491">
        <v>0</v>
      </c>
      <c r="F6341" s="491">
        <v>0</v>
      </c>
      <c r="G6341" s="491">
        <f t="shared" si="99"/>
        <v>11</v>
      </c>
    </row>
    <row r="6342" spans="1:7" ht="12.75">
      <c r="A6342" s="134" t="s">
        <v>901</v>
      </c>
      <c r="B6342" s="134">
        <v>311</v>
      </c>
      <c r="C6342" s="491">
        <v>0</v>
      </c>
      <c r="D6342" s="491">
        <v>3</v>
      </c>
      <c r="E6342" s="491">
        <v>0</v>
      </c>
      <c r="F6342" s="491">
        <v>0</v>
      </c>
      <c r="G6342" s="491">
        <f t="shared" si="99"/>
        <v>3</v>
      </c>
    </row>
    <row r="6343" spans="1:7" ht="12.75">
      <c r="A6343" s="134" t="s">
        <v>901</v>
      </c>
      <c r="B6343" s="134">
        <v>313</v>
      </c>
      <c r="C6343" s="491">
        <v>93</v>
      </c>
      <c r="D6343" s="491">
        <v>196</v>
      </c>
      <c r="E6343" s="491">
        <v>1</v>
      </c>
      <c r="F6343" s="491">
        <v>0</v>
      </c>
      <c r="G6343" s="491">
        <f t="shared" si="99"/>
        <v>290</v>
      </c>
    </row>
    <row r="6344" spans="1:7" ht="12.75">
      <c r="A6344" s="134" t="s">
        <v>901</v>
      </c>
      <c r="B6344" s="134">
        <v>314</v>
      </c>
      <c r="C6344" s="491">
        <v>2</v>
      </c>
      <c r="D6344" s="491">
        <v>0</v>
      </c>
      <c r="E6344" s="491">
        <v>0</v>
      </c>
      <c r="F6344" s="491">
        <v>0</v>
      </c>
      <c r="G6344" s="491">
        <f t="shared" si="99"/>
        <v>2</v>
      </c>
    </row>
    <row r="6345" spans="1:7" ht="12.75">
      <c r="A6345" s="134" t="s">
        <v>901</v>
      </c>
      <c r="B6345" s="134">
        <v>316</v>
      </c>
      <c r="C6345" s="491">
        <v>2</v>
      </c>
      <c r="D6345" s="491">
        <v>6</v>
      </c>
      <c r="E6345" s="491">
        <v>0</v>
      </c>
      <c r="F6345" s="491">
        <v>0</v>
      </c>
      <c r="G6345" s="491">
        <f t="shared" si="99"/>
        <v>8</v>
      </c>
    </row>
    <row r="6346" spans="1:7" ht="12.75">
      <c r="A6346" s="134" t="s">
        <v>901</v>
      </c>
      <c r="B6346" s="134">
        <v>317</v>
      </c>
      <c r="C6346" s="491">
        <v>230</v>
      </c>
      <c r="D6346" s="491">
        <v>338</v>
      </c>
      <c r="E6346" s="491">
        <v>179</v>
      </c>
      <c r="F6346" s="491">
        <v>236</v>
      </c>
      <c r="G6346" s="491">
        <f t="shared" si="99"/>
        <v>983</v>
      </c>
    </row>
    <row r="6347" spans="1:7" ht="12.75">
      <c r="A6347" s="134" t="s">
        <v>901</v>
      </c>
      <c r="B6347" s="134">
        <v>318</v>
      </c>
      <c r="C6347" s="491">
        <v>0</v>
      </c>
      <c r="D6347" s="491">
        <v>1</v>
      </c>
      <c r="E6347" s="491">
        <v>0</v>
      </c>
      <c r="F6347" s="491">
        <v>0</v>
      </c>
      <c r="G6347" s="491">
        <f t="shared" si="99"/>
        <v>1</v>
      </c>
    </row>
    <row r="6348" spans="1:7" ht="12.75">
      <c r="A6348" s="134" t="s">
        <v>901</v>
      </c>
      <c r="B6348" s="134">
        <v>320</v>
      </c>
      <c r="C6348" s="491">
        <v>0</v>
      </c>
      <c r="D6348" s="491">
        <v>3</v>
      </c>
      <c r="E6348" s="491">
        <v>0</v>
      </c>
      <c r="F6348" s="491">
        <v>0</v>
      </c>
      <c r="G6348" s="491">
        <f t="shared" si="99"/>
        <v>3</v>
      </c>
    </row>
    <row r="6349" spans="1:7" ht="12.75">
      <c r="A6349" s="134" t="s">
        <v>901</v>
      </c>
      <c r="B6349" s="134">
        <v>321</v>
      </c>
      <c r="C6349" s="491">
        <v>25</v>
      </c>
      <c r="D6349" s="491">
        <v>6</v>
      </c>
      <c r="E6349" s="491">
        <v>17</v>
      </c>
      <c r="F6349" s="491">
        <v>1</v>
      </c>
      <c r="G6349" s="491">
        <f t="shared" si="99"/>
        <v>49</v>
      </c>
    </row>
    <row r="6350" spans="1:7" ht="12.75">
      <c r="A6350" s="134" t="s">
        <v>901</v>
      </c>
      <c r="B6350" s="134">
        <v>330</v>
      </c>
      <c r="C6350" s="491">
        <v>3695</v>
      </c>
      <c r="D6350" s="491">
        <v>1634</v>
      </c>
      <c r="E6350" s="491">
        <v>49</v>
      </c>
      <c r="F6350" s="491">
        <v>49</v>
      </c>
      <c r="G6350" s="491">
        <f t="shared" si="99"/>
        <v>5427</v>
      </c>
    </row>
    <row r="6351" spans="1:7" ht="12.75">
      <c r="A6351" s="134" t="s">
        <v>901</v>
      </c>
      <c r="B6351" s="134">
        <v>340</v>
      </c>
      <c r="C6351" s="491">
        <v>68</v>
      </c>
      <c r="D6351" s="491">
        <v>731</v>
      </c>
      <c r="E6351" s="491">
        <v>0</v>
      </c>
      <c r="F6351" s="491">
        <v>0</v>
      </c>
      <c r="G6351" s="491">
        <f t="shared" si="99"/>
        <v>799</v>
      </c>
    </row>
    <row r="6352" spans="1:7" ht="12.75">
      <c r="A6352" s="134" t="s">
        <v>901</v>
      </c>
      <c r="B6352" s="134">
        <v>341</v>
      </c>
      <c r="C6352" s="491">
        <v>122</v>
      </c>
      <c r="D6352" s="491">
        <v>60</v>
      </c>
      <c r="E6352" s="491">
        <v>0</v>
      </c>
      <c r="F6352" s="491">
        <v>0</v>
      </c>
      <c r="G6352" s="491">
        <f t="shared" si="99"/>
        <v>182</v>
      </c>
    </row>
    <row r="6353" spans="1:7" ht="12.75">
      <c r="A6353" s="134" t="s">
        <v>901</v>
      </c>
      <c r="B6353" s="134">
        <v>410</v>
      </c>
      <c r="C6353" s="491">
        <v>0</v>
      </c>
      <c r="D6353" s="491">
        <v>2</v>
      </c>
      <c r="E6353" s="491">
        <v>0</v>
      </c>
      <c r="F6353" s="491">
        <v>0</v>
      </c>
      <c r="G6353" s="491">
        <f t="shared" si="99"/>
        <v>2</v>
      </c>
    </row>
    <row r="6354" spans="1:7" ht="12.75">
      <c r="A6354" s="134" t="s">
        <v>901</v>
      </c>
      <c r="B6354" s="134">
        <v>420</v>
      </c>
      <c r="C6354" s="491">
        <v>4608</v>
      </c>
      <c r="D6354" s="491">
        <v>3734</v>
      </c>
      <c r="E6354" s="491">
        <v>548</v>
      </c>
      <c r="F6354" s="491">
        <v>670</v>
      </c>
      <c r="G6354" s="491">
        <f t="shared" si="99"/>
        <v>9560</v>
      </c>
    </row>
    <row r="6355" spans="1:7" ht="12.75">
      <c r="A6355" s="134" t="s">
        <v>901</v>
      </c>
      <c r="B6355" s="134">
        <v>421</v>
      </c>
      <c r="C6355" s="491">
        <v>4</v>
      </c>
      <c r="D6355" s="491">
        <v>4</v>
      </c>
      <c r="E6355" s="491">
        <v>0</v>
      </c>
      <c r="F6355" s="491">
        <v>0</v>
      </c>
      <c r="G6355" s="491">
        <f t="shared" si="99"/>
        <v>8</v>
      </c>
    </row>
    <row r="6356" spans="1:7" ht="12.75">
      <c r="A6356" s="134" t="s">
        <v>901</v>
      </c>
      <c r="B6356" s="134">
        <v>422</v>
      </c>
      <c r="C6356" s="491">
        <v>6</v>
      </c>
      <c r="D6356" s="491">
        <v>9</v>
      </c>
      <c r="E6356" s="491">
        <v>0</v>
      </c>
      <c r="F6356" s="491">
        <v>0</v>
      </c>
      <c r="G6356" s="491">
        <f t="shared" si="99"/>
        <v>15</v>
      </c>
    </row>
    <row r="6357" spans="1:7" ht="12.75">
      <c r="A6357" s="134" t="s">
        <v>901</v>
      </c>
      <c r="B6357" s="134">
        <v>450</v>
      </c>
      <c r="C6357" s="491">
        <v>5</v>
      </c>
      <c r="D6357" s="491">
        <v>1</v>
      </c>
      <c r="E6357" s="491">
        <v>0</v>
      </c>
      <c r="F6357" s="491">
        <v>0</v>
      </c>
      <c r="G6357" s="491">
        <f t="shared" si="99"/>
        <v>6</v>
      </c>
    </row>
    <row r="6358" spans="1:7" ht="12.75">
      <c r="A6358" s="134" t="s">
        <v>901</v>
      </c>
      <c r="B6358" s="134">
        <v>502</v>
      </c>
      <c r="C6358" s="491">
        <v>1</v>
      </c>
      <c r="D6358" s="491">
        <v>1</v>
      </c>
      <c r="E6358" s="491">
        <v>0</v>
      </c>
      <c r="F6358" s="491">
        <v>0</v>
      </c>
      <c r="G6358" s="491">
        <f t="shared" si="99"/>
        <v>2</v>
      </c>
    </row>
    <row r="6359" spans="1:7" ht="12.75">
      <c r="A6359" s="134" t="s">
        <v>901</v>
      </c>
      <c r="B6359" s="134">
        <v>650</v>
      </c>
      <c r="C6359" s="491">
        <v>5</v>
      </c>
      <c r="D6359" s="491">
        <v>18</v>
      </c>
      <c r="E6359" s="491">
        <v>0</v>
      </c>
      <c r="F6359" s="491">
        <v>0</v>
      </c>
      <c r="G6359" s="491">
        <f t="shared" si="99"/>
        <v>23</v>
      </c>
    </row>
    <row r="6360" spans="1:7" ht="12.75">
      <c r="A6360" s="134" t="s">
        <v>901</v>
      </c>
      <c r="B6360" s="134">
        <v>651</v>
      </c>
      <c r="C6360" s="491">
        <v>2</v>
      </c>
      <c r="D6360" s="491">
        <v>2</v>
      </c>
      <c r="E6360" s="491">
        <v>0</v>
      </c>
      <c r="F6360" s="491">
        <v>0</v>
      </c>
      <c r="G6360" s="491">
        <f t="shared" si="99"/>
        <v>4</v>
      </c>
    </row>
    <row r="6361" spans="1:7" ht="12.75">
      <c r="A6361" s="134" t="s">
        <v>901</v>
      </c>
      <c r="B6361" s="134">
        <v>653</v>
      </c>
      <c r="C6361" s="491">
        <v>13</v>
      </c>
      <c r="D6361" s="491">
        <v>2</v>
      </c>
      <c r="E6361" s="491">
        <v>0</v>
      </c>
      <c r="F6361" s="491">
        <v>0</v>
      </c>
      <c r="G6361" s="491">
        <f t="shared" si="99"/>
        <v>15</v>
      </c>
    </row>
    <row r="6362" spans="1:7" ht="12.75">
      <c r="A6362" s="134" t="s">
        <v>901</v>
      </c>
      <c r="B6362" s="134">
        <v>654</v>
      </c>
      <c r="C6362" s="491">
        <v>14</v>
      </c>
      <c r="D6362" s="491">
        <v>12</v>
      </c>
      <c r="E6362" s="491">
        <v>1</v>
      </c>
      <c r="F6362" s="491">
        <v>3</v>
      </c>
      <c r="G6362" s="491">
        <f t="shared" si="99"/>
        <v>30</v>
      </c>
    </row>
    <row r="6363" spans="1:7" ht="12.75">
      <c r="A6363" s="134" t="s">
        <v>901</v>
      </c>
      <c r="B6363" s="134">
        <v>655</v>
      </c>
      <c r="C6363" s="491">
        <v>1</v>
      </c>
      <c r="D6363" s="491">
        <v>0</v>
      </c>
      <c r="E6363" s="491">
        <v>0</v>
      </c>
      <c r="F6363" s="491">
        <v>0</v>
      </c>
      <c r="G6363" s="491">
        <f t="shared" si="99"/>
        <v>1</v>
      </c>
    </row>
    <row r="6364" spans="1:7" ht="12.75">
      <c r="A6364" s="134" t="s">
        <v>901</v>
      </c>
      <c r="B6364" s="134">
        <v>800</v>
      </c>
      <c r="C6364" s="491">
        <v>17</v>
      </c>
      <c r="D6364" s="491">
        <v>0</v>
      </c>
      <c r="E6364" s="491">
        <v>0</v>
      </c>
      <c r="F6364" s="491">
        <v>0</v>
      </c>
      <c r="G6364" s="491">
        <f t="shared" si="99"/>
        <v>17</v>
      </c>
    </row>
    <row r="6365" spans="1:7" ht="12.75">
      <c r="A6365" s="134" t="s">
        <v>901</v>
      </c>
      <c r="B6365" s="134">
        <v>822</v>
      </c>
      <c r="C6365" s="491">
        <v>0</v>
      </c>
      <c r="D6365" s="491">
        <v>1</v>
      </c>
      <c r="E6365" s="491">
        <v>0</v>
      </c>
      <c r="F6365" s="491">
        <v>0</v>
      </c>
      <c r="G6365" s="491">
        <f t="shared" si="99"/>
        <v>1</v>
      </c>
    </row>
    <row r="6366" spans="1:7" ht="12.75">
      <c r="A6366" s="134" t="s">
        <v>901</v>
      </c>
      <c r="B6366" s="134">
        <v>840</v>
      </c>
      <c r="C6366" s="491">
        <v>6</v>
      </c>
      <c r="D6366" s="491">
        <v>3</v>
      </c>
      <c r="E6366" s="491">
        <v>0</v>
      </c>
      <c r="F6366" s="491">
        <v>0</v>
      </c>
      <c r="G6366" s="491">
        <f t="shared" si="99"/>
        <v>9</v>
      </c>
    </row>
    <row r="6367" spans="1:7" ht="12.75">
      <c r="A6367" s="134" t="s">
        <v>902</v>
      </c>
      <c r="B6367" s="134">
        <v>100</v>
      </c>
      <c r="C6367" s="491">
        <v>1</v>
      </c>
      <c r="D6367" s="491">
        <v>1</v>
      </c>
      <c r="E6367" s="491">
        <v>0</v>
      </c>
      <c r="F6367" s="491">
        <v>0</v>
      </c>
      <c r="G6367" s="491">
        <f t="shared" si="99"/>
        <v>2</v>
      </c>
    </row>
    <row r="6368" spans="1:7" ht="12.75">
      <c r="A6368" s="134" t="s">
        <v>902</v>
      </c>
      <c r="B6368" s="134">
        <v>101</v>
      </c>
      <c r="C6368" s="491">
        <v>3</v>
      </c>
      <c r="D6368" s="491">
        <v>0</v>
      </c>
      <c r="E6368" s="491">
        <v>0</v>
      </c>
      <c r="F6368" s="491">
        <v>0</v>
      </c>
      <c r="G6368" s="491">
        <f t="shared" si="99"/>
        <v>3</v>
      </c>
    </row>
    <row r="6369" spans="1:7" ht="12.75">
      <c r="A6369" s="134" t="s">
        <v>902</v>
      </c>
      <c r="B6369" s="134">
        <v>103</v>
      </c>
      <c r="C6369" s="491">
        <v>1</v>
      </c>
      <c r="D6369" s="491">
        <v>3</v>
      </c>
      <c r="E6369" s="491">
        <v>0</v>
      </c>
      <c r="F6369" s="491">
        <v>0</v>
      </c>
      <c r="G6369" s="491">
        <f t="shared" si="99"/>
        <v>4</v>
      </c>
    </row>
    <row r="6370" spans="1:7" ht="12.75">
      <c r="A6370" s="134" t="s">
        <v>902</v>
      </c>
      <c r="B6370" s="134">
        <v>104</v>
      </c>
      <c r="C6370" s="491">
        <v>0</v>
      </c>
      <c r="D6370" s="491">
        <v>1</v>
      </c>
      <c r="E6370" s="491">
        <v>0</v>
      </c>
      <c r="F6370" s="491">
        <v>0</v>
      </c>
      <c r="G6370" s="491">
        <f t="shared" si="99"/>
        <v>1</v>
      </c>
    </row>
    <row r="6371" spans="1:7" ht="12.75">
      <c r="A6371" s="134" t="s">
        <v>902</v>
      </c>
      <c r="B6371" s="134">
        <v>110</v>
      </c>
      <c r="C6371" s="491">
        <v>5</v>
      </c>
      <c r="D6371" s="491">
        <v>3</v>
      </c>
      <c r="E6371" s="491">
        <v>0</v>
      </c>
      <c r="F6371" s="491">
        <v>0</v>
      </c>
      <c r="G6371" s="491">
        <f t="shared" si="99"/>
        <v>8</v>
      </c>
    </row>
    <row r="6372" spans="1:7" ht="12.75">
      <c r="A6372" s="134" t="s">
        <v>902</v>
      </c>
      <c r="B6372" s="134">
        <v>120</v>
      </c>
      <c r="C6372" s="491">
        <v>24</v>
      </c>
      <c r="D6372" s="491">
        <v>56</v>
      </c>
      <c r="E6372" s="491">
        <v>0</v>
      </c>
      <c r="F6372" s="491">
        <v>1</v>
      </c>
      <c r="G6372" s="491">
        <f t="shared" si="99"/>
        <v>81</v>
      </c>
    </row>
    <row r="6373" spans="1:7" ht="12.75">
      <c r="A6373" s="134" t="s">
        <v>902</v>
      </c>
      <c r="B6373" s="134">
        <v>130</v>
      </c>
      <c r="C6373" s="491">
        <v>11</v>
      </c>
      <c r="D6373" s="491">
        <v>2</v>
      </c>
      <c r="E6373" s="491">
        <v>0</v>
      </c>
      <c r="F6373" s="491">
        <v>0</v>
      </c>
      <c r="G6373" s="491">
        <f t="shared" si="99"/>
        <v>13</v>
      </c>
    </row>
    <row r="6374" spans="1:7" ht="12.75">
      <c r="A6374" s="134" t="s">
        <v>902</v>
      </c>
      <c r="B6374" s="134">
        <v>140</v>
      </c>
      <c r="C6374" s="491">
        <v>3</v>
      </c>
      <c r="D6374" s="491">
        <v>0</v>
      </c>
      <c r="E6374" s="491">
        <v>0</v>
      </c>
      <c r="F6374" s="491">
        <v>0</v>
      </c>
      <c r="G6374" s="491">
        <f t="shared" si="99"/>
        <v>3</v>
      </c>
    </row>
    <row r="6375" spans="1:7" ht="12.75">
      <c r="A6375" s="134" t="s">
        <v>902</v>
      </c>
      <c r="B6375" s="134">
        <v>143</v>
      </c>
      <c r="C6375" s="491">
        <v>5</v>
      </c>
      <c r="D6375" s="491">
        <v>1</v>
      </c>
      <c r="E6375" s="491">
        <v>0</v>
      </c>
      <c r="F6375" s="491">
        <v>0</v>
      </c>
      <c r="G6375" s="491">
        <f t="shared" si="99"/>
        <v>6</v>
      </c>
    </row>
    <row r="6376" spans="1:7" ht="12.75">
      <c r="A6376" s="134" t="s">
        <v>902</v>
      </c>
      <c r="B6376" s="134">
        <v>144</v>
      </c>
      <c r="C6376" s="491">
        <v>2</v>
      </c>
      <c r="D6376" s="491">
        <v>1</v>
      </c>
      <c r="E6376" s="491">
        <v>0</v>
      </c>
      <c r="F6376" s="491">
        <v>0</v>
      </c>
      <c r="G6376" s="491">
        <f t="shared" si="99"/>
        <v>3</v>
      </c>
    </row>
    <row r="6377" spans="1:7" ht="12.75">
      <c r="A6377" s="134" t="s">
        <v>902</v>
      </c>
      <c r="B6377" s="134">
        <v>214</v>
      </c>
      <c r="C6377" s="491">
        <v>2</v>
      </c>
      <c r="D6377" s="491">
        <v>1</v>
      </c>
      <c r="E6377" s="491">
        <v>0</v>
      </c>
      <c r="F6377" s="491">
        <v>0</v>
      </c>
      <c r="G6377" s="491">
        <f t="shared" si="99"/>
        <v>3</v>
      </c>
    </row>
    <row r="6378" spans="1:7" ht="12.75">
      <c r="A6378" s="134" t="s">
        <v>902</v>
      </c>
      <c r="B6378" s="134">
        <v>217</v>
      </c>
      <c r="C6378" s="491">
        <v>0</v>
      </c>
      <c r="D6378" s="491">
        <v>0</v>
      </c>
      <c r="E6378" s="491">
        <v>0</v>
      </c>
      <c r="F6378" s="491">
        <v>1</v>
      </c>
      <c r="G6378" s="491">
        <f t="shared" si="99"/>
        <v>1</v>
      </c>
    </row>
    <row r="6379" spans="1:7" ht="12.75">
      <c r="A6379" s="134" t="s">
        <v>902</v>
      </c>
      <c r="B6379" s="134">
        <v>255</v>
      </c>
      <c r="C6379" s="491">
        <v>1</v>
      </c>
      <c r="D6379" s="491">
        <v>2</v>
      </c>
      <c r="E6379" s="491">
        <v>0</v>
      </c>
      <c r="F6379" s="491">
        <v>0</v>
      </c>
      <c r="G6379" s="491">
        <f t="shared" si="99"/>
        <v>3</v>
      </c>
    </row>
    <row r="6380" spans="1:7" ht="12.75">
      <c r="A6380" s="134" t="s">
        <v>902</v>
      </c>
      <c r="B6380" s="134">
        <v>257</v>
      </c>
      <c r="C6380" s="491">
        <v>27</v>
      </c>
      <c r="D6380" s="491">
        <v>3</v>
      </c>
      <c r="E6380" s="491">
        <v>0</v>
      </c>
      <c r="F6380" s="491">
        <v>1</v>
      </c>
      <c r="G6380" s="491">
        <f t="shared" si="99"/>
        <v>31</v>
      </c>
    </row>
    <row r="6381" spans="1:7" ht="12.75">
      <c r="A6381" s="134" t="s">
        <v>902</v>
      </c>
      <c r="B6381" s="134">
        <v>300</v>
      </c>
      <c r="C6381" s="491">
        <v>2</v>
      </c>
      <c r="D6381" s="491">
        <v>1</v>
      </c>
      <c r="E6381" s="491">
        <v>0</v>
      </c>
      <c r="F6381" s="491">
        <v>0</v>
      </c>
      <c r="G6381" s="491">
        <f t="shared" si="99"/>
        <v>3</v>
      </c>
    </row>
    <row r="6382" spans="1:7" ht="12.75">
      <c r="A6382" s="134" t="s">
        <v>902</v>
      </c>
      <c r="B6382" s="134">
        <v>303</v>
      </c>
      <c r="C6382" s="491">
        <v>1</v>
      </c>
      <c r="D6382" s="491">
        <v>0</v>
      </c>
      <c r="E6382" s="491">
        <v>0</v>
      </c>
      <c r="F6382" s="491">
        <v>0</v>
      </c>
      <c r="G6382" s="491">
        <f t="shared" si="99"/>
        <v>1</v>
      </c>
    </row>
    <row r="6383" spans="1:7" ht="12.75">
      <c r="A6383" s="134" t="s">
        <v>902</v>
      </c>
      <c r="B6383" s="134">
        <v>307</v>
      </c>
      <c r="C6383" s="491">
        <v>2</v>
      </c>
      <c r="D6383" s="491">
        <v>0</v>
      </c>
      <c r="E6383" s="491">
        <v>0</v>
      </c>
      <c r="F6383" s="491">
        <v>0</v>
      </c>
      <c r="G6383" s="491">
        <f t="shared" si="99"/>
        <v>2</v>
      </c>
    </row>
    <row r="6384" spans="1:7" ht="12.75">
      <c r="A6384" s="134" t="s">
        <v>902</v>
      </c>
      <c r="B6384" s="134">
        <v>314</v>
      </c>
      <c r="C6384" s="491">
        <v>2</v>
      </c>
      <c r="D6384" s="491">
        <v>0</v>
      </c>
      <c r="E6384" s="491">
        <v>0</v>
      </c>
      <c r="F6384" s="491">
        <v>0</v>
      </c>
      <c r="G6384" s="491">
        <f t="shared" si="99"/>
        <v>2</v>
      </c>
    </row>
    <row r="6385" spans="1:7" ht="12.75">
      <c r="A6385" s="134" t="s">
        <v>902</v>
      </c>
      <c r="B6385" s="134">
        <v>317</v>
      </c>
      <c r="C6385" s="491">
        <v>188</v>
      </c>
      <c r="D6385" s="491">
        <v>105</v>
      </c>
      <c r="E6385" s="491">
        <v>0</v>
      </c>
      <c r="F6385" s="491">
        <v>0</v>
      </c>
      <c r="G6385" s="491">
        <f t="shared" si="99"/>
        <v>293</v>
      </c>
    </row>
    <row r="6386" spans="1:7" ht="12.75">
      <c r="A6386" s="134" t="s">
        <v>902</v>
      </c>
      <c r="B6386" s="134">
        <v>320</v>
      </c>
      <c r="C6386" s="491">
        <v>1</v>
      </c>
      <c r="D6386" s="491">
        <v>2</v>
      </c>
      <c r="E6386" s="491">
        <v>0</v>
      </c>
      <c r="F6386" s="491">
        <v>0</v>
      </c>
      <c r="G6386" s="491">
        <f t="shared" si="99"/>
        <v>3</v>
      </c>
    </row>
    <row r="6387" spans="1:7" ht="12.75">
      <c r="A6387" s="134" t="s">
        <v>902</v>
      </c>
      <c r="B6387" s="134">
        <v>330</v>
      </c>
      <c r="C6387" s="491">
        <v>6071</v>
      </c>
      <c r="D6387" s="491">
        <v>781</v>
      </c>
      <c r="E6387" s="491">
        <v>27</v>
      </c>
      <c r="F6387" s="491">
        <v>66</v>
      </c>
      <c r="G6387" s="491">
        <f t="shared" si="99"/>
        <v>6945</v>
      </c>
    </row>
    <row r="6388" spans="1:7" ht="12.75">
      <c r="A6388" s="134" t="s">
        <v>902</v>
      </c>
      <c r="B6388" s="134">
        <v>340</v>
      </c>
      <c r="C6388" s="491">
        <v>1</v>
      </c>
      <c r="D6388" s="491">
        <v>1</v>
      </c>
      <c r="E6388" s="491">
        <v>0</v>
      </c>
      <c r="F6388" s="491">
        <v>0</v>
      </c>
      <c r="G6388" s="491">
        <f t="shared" si="99"/>
        <v>2</v>
      </c>
    </row>
    <row r="6389" spans="1:7" ht="12.75">
      <c r="A6389" s="134" t="s">
        <v>902</v>
      </c>
      <c r="B6389" s="134">
        <v>341</v>
      </c>
      <c r="C6389" s="491">
        <v>2</v>
      </c>
      <c r="D6389" s="491">
        <v>1</v>
      </c>
      <c r="E6389" s="491">
        <v>0</v>
      </c>
      <c r="F6389" s="491">
        <v>0</v>
      </c>
      <c r="G6389" s="491">
        <f t="shared" si="99"/>
        <v>3</v>
      </c>
    </row>
    <row r="6390" spans="1:7" ht="12.75">
      <c r="A6390" s="134" t="s">
        <v>902</v>
      </c>
      <c r="B6390" s="134">
        <v>410</v>
      </c>
      <c r="C6390" s="491">
        <v>2</v>
      </c>
      <c r="D6390" s="491">
        <v>1</v>
      </c>
      <c r="E6390" s="491">
        <v>0</v>
      </c>
      <c r="F6390" s="491">
        <v>0</v>
      </c>
      <c r="G6390" s="491">
        <f t="shared" si="99"/>
        <v>3</v>
      </c>
    </row>
    <row r="6391" spans="1:7" ht="12.75">
      <c r="A6391" s="134" t="s">
        <v>902</v>
      </c>
      <c r="B6391" s="134">
        <v>420</v>
      </c>
      <c r="C6391" s="491">
        <v>3</v>
      </c>
      <c r="D6391" s="491">
        <v>4</v>
      </c>
      <c r="E6391" s="491">
        <v>1</v>
      </c>
      <c r="F6391" s="491">
        <v>1</v>
      </c>
      <c r="G6391" s="491">
        <f t="shared" si="99"/>
        <v>9</v>
      </c>
    </row>
    <row r="6392" spans="1:7" ht="12.75">
      <c r="A6392" s="134" t="s">
        <v>902</v>
      </c>
      <c r="B6392" s="134">
        <v>430</v>
      </c>
      <c r="C6392" s="491">
        <v>0</v>
      </c>
      <c r="D6392" s="491">
        <v>2</v>
      </c>
      <c r="E6392" s="491">
        <v>0</v>
      </c>
      <c r="F6392" s="491">
        <v>0</v>
      </c>
      <c r="G6392" s="491">
        <f t="shared" si="99"/>
        <v>2</v>
      </c>
    </row>
    <row r="6393" spans="1:7" ht="12.75">
      <c r="A6393" s="134" t="s">
        <v>902</v>
      </c>
      <c r="B6393" s="134">
        <v>450</v>
      </c>
      <c r="C6393" s="491">
        <v>114</v>
      </c>
      <c r="D6393" s="491">
        <v>14</v>
      </c>
      <c r="E6393" s="491">
        <v>0</v>
      </c>
      <c r="F6393" s="491">
        <v>0</v>
      </c>
      <c r="G6393" s="491">
        <f t="shared" si="99"/>
        <v>128</v>
      </c>
    </row>
    <row r="6394" spans="1:7" ht="12.75">
      <c r="A6394" s="134" t="s">
        <v>902</v>
      </c>
      <c r="B6394" s="134">
        <v>501</v>
      </c>
      <c r="C6394" s="491">
        <v>1</v>
      </c>
      <c r="D6394" s="491">
        <v>2</v>
      </c>
      <c r="E6394" s="491">
        <v>0</v>
      </c>
      <c r="F6394" s="491">
        <v>0</v>
      </c>
      <c r="G6394" s="491">
        <f t="shared" si="99"/>
        <v>3</v>
      </c>
    </row>
    <row r="6395" spans="1:7" ht="12.75">
      <c r="A6395" s="134" t="s">
        <v>902</v>
      </c>
      <c r="B6395" s="134">
        <v>502</v>
      </c>
      <c r="C6395" s="491">
        <v>2</v>
      </c>
      <c r="D6395" s="491">
        <v>1</v>
      </c>
      <c r="E6395" s="491">
        <v>0</v>
      </c>
      <c r="F6395" s="491">
        <v>0</v>
      </c>
      <c r="G6395" s="491">
        <f t="shared" si="99"/>
        <v>3</v>
      </c>
    </row>
    <row r="6396" spans="1:7" ht="12.75">
      <c r="A6396" s="134" t="s">
        <v>902</v>
      </c>
      <c r="B6396" s="134">
        <v>654</v>
      </c>
      <c r="C6396" s="491">
        <v>4</v>
      </c>
      <c r="D6396" s="491">
        <v>0</v>
      </c>
      <c r="E6396" s="491">
        <v>0</v>
      </c>
      <c r="F6396" s="491">
        <v>0</v>
      </c>
      <c r="G6396" s="491">
        <f t="shared" si="99"/>
        <v>4</v>
      </c>
    </row>
    <row r="6397" spans="1:7" ht="12.75">
      <c r="A6397" s="134" t="s">
        <v>902</v>
      </c>
      <c r="B6397" s="134">
        <v>840</v>
      </c>
      <c r="C6397" s="491">
        <v>2</v>
      </c>
      <c r="D6397" s="491">
        <v>0</v>
      </c>
      <c r="E6397" s="491">
        <v>0</v>
      </c>
      <c r="F6397" s="491">
        <v>0</v>
      </c>
      <c r="G6397" s="491">
        <f t="shared" si="99"/>
        <v>2</v>
      </c>
    </row>
    <row r="6398" spans="1:7" ht="12.75">
      <c r="A6398" s="134" t="s">
        <v>903</v>
      </c>
      <c r="B6398" s="134">
        <v>100</v>
      </c>
      <c r="C6398" s="491">
        <v>0</v>
      </c>
      <c r="D6398" s="491">
        <v>1</v>
      </c>
      <c r="E6398" s="491">
        <v>0</v>
      </c>
      <c r="F6398" s="491">
        <v>0</v>
      </c>
      <c r="G6398" s="491">
        <f t="shared" si="99"/>
        <v>1</v>
      </c>
    </row>
    <row r="6399" spans="1:7" ht="12.75">
      <c r="A6399" s="134" t="s">
        <v>903</v>
      </c>
      <c r="B6399" s="134">
        <v>101</v>
      </c>
      <c r="C6399" s="491">
        <v>2</v>
      </c>
      <c r="D6399" s="491">
        <v>3</v>
      </c>
      <c r="E6399" s="491">
        <v>0</v>
      </c>
      <c r="F6399" s="491">
        <v>0</v>
      </c>
      <c r="G6399" s="491">
        <f t="shared" si="99"/>
        <v>5</v>
      </c>
    </row>
    <row r="6400" spans="1:7" ht="12.75">
      <c r="A6400" s="134" t="s">
        <v>903</v>
      </c>
      <c r="B6400" s="134">
        <v>103</v>
      </c>
      <c r="C6400" s="491">
        <v>13</v>
      </c>
      <c r="D6400" s="491">
        <v>3</v>
      </c>
      <c r="E6400" s="491">
        <v>0</v>
      </c>
      <c r="F6400" s="491">
        <v>0</v>
      </c>
      <c r="G6400" s="491">
        <f t="shared" si="99"/>
        <v>16</v>
      </c>
    </row>
    <row r="6401" spans="1:7" ht="12.75">
      <c r="A6401" s="134" t="s">
        <v>903</v>
      </c>
      <c r="B6401" s="134">
        <v>104</v>
      </c>
      <c r="C6401" s="491">
        <v>0</v>
      </c>
      <c r="D6401" s="491">
        <v>1</v>
      </c>
      <c r="E6401" s="491">
        <v>0</v>
      </c>
      <c r="F6401" s="491">
        <v>0</v>
      </c>
      <c r="G6401" s="491">
        <f t="shared" si="99"/>
        <v>1</v>
      </c>
    </row>
    <row r="6402" spans="1:7" ht="12.75">
      <c r="A6402" s="134" t="s">
        <v>903</v>
      </c>
      <c r="B6402" s="134">
        <v>110</v>
      </c>
      <c r="C6402" s="491">
        <v>6</v>
      </c>
      <c r="D6402" s="491">
        <v>7</v>
      </c>
      <c r="E6402" s="491">
        <v>0</v>
      </c>
      <c r="F6402" s="491">
        <v>0</v>
      </c>
      <c r="G6402" s="491">
        <f t="shared" si="99"/>
        <v>13</v>
      </c>
    </row>
    <row r="6403" spans="1:7" ht="12.75">
      <c r="A6403" s="134" t="s">
        <v>903</v>
      </c>
      <c r="B6403" s="134">
        <v>120</v>
      </c>
      <c r="C6403" s="491">
        <v>1130</v>
      </c>
      <c r="D6403" s="491">
        <v>1013</v>
      </c>
      <c r="E6403" s="491">
        <v>0</v>
      </c>
      <c r="F6403" s="491">
        <v>0</v>
      </c>
      <c r="G6403" s="491">
        <f t="shared" si="99"/>
        <v>2143</v>
      </c>
    </row>
    <row r="6404" spans="1:7" ht="12.75">
      <c r="A6404" s="134" t="s">
        <v>903</v>
      </c>
      <c r="B6404" s="134">
        <v>130</v>
      </c>
      <c r="C6404" s="491">
        <v>1</v>
      </c>
      <c r="D6404" s="491">
        <v>0</v>
      </c>
      <c r="E6404" s="491">
        <v>0</v>
      </c>
      <c r="F6404" s="491">
        <v>0</v>
      </c>
      <c r="G6404" s="491">
        <f t="shared" ref="G6404:G6467" si="100">SUM(C6404:F6404)</f>
        <v>1</v>
      </c>
    </row>
    <row r="6405" spans="1:7" ht="12.75">
      <c r="A6405" s="134" t="s">
        <v>903</v>
      </c>
      <c r="B6405" s="134">
        <v>140</v>
      </c>
      <c r="C6405" s="491">
        <v>1</v>
      </c>
      <c r="D6405" s="491">
        <v>4</v>
      </c>
      <c r="E6405" s="491">
        <v>0</v>
      </c>
      <c r="F6405" s="491">
        <v>0</v>
      </c>
      <c r="G6405" s="491">
        <f t="shared" si="100"/>
        <v>5</v>
      </c>
    </row>
    <row r="6406" spans="1:7" ht="12.75">
      <c r="A6406" s="134" t="s">
        <v>903</v>
      </c>
      <c r="B6406" s="134">
        <v>144</v>
      </c>
      <c r="C6406" s="491">
        <v>1</v>
      </c>
      <c r="D6406" s="491">
        <v>0</v>
      </c>
      <c r="E6406" s="491">
        <v>0</v>
      </c>
      <c r="F6406" s="491">
        <v>0</v>
      </c>
      <c r="G6406" s="491">
        <f t="shared" si="100"/>
        <v>1</v>
      </c>
    </row>
    <row r="6407" spans="1:7" ht="12.75">
      <c r="A6407" s="134" t="s">
        <v>903</v>
      </c>
      <c r="B6407" s="134">
        <v>150</v>
      </c>
      <c r="C6407" s="491">
        <v>0</v>
      </c>
      <c r="D6407" s="491">
        <v>1</v>
      </c>
      <c r="E6407" s="491">
        <v>0</v>
      </c>
      <c r="F6407" s="491">
        <v>0</v>
      </c>
      <c r="G6407" s="491">
        <f t="shared" si="100"/>
        <v>1</v>
      </c>
    </row>
    <row r="6408" spans="1:7" ht="12.75">
      <c r="A6408" s="134" t="s">
        <v>903</v>
      </c>
      <c r="B6408" s="134">
        <v>160</v>
      </c>
      <c r="C6408" s="491">
        <v>1</v>
      </c>
      <c r="D6408" s="491">
        <v>1</v>
      </c>
      <c r="E6408" s="491">
        <v>0</v>
      </c>
      <c r="F6408" s="491">
        <v>0</v>
      </c>
      <c r="G6408" s="491">
        <f t="shared" si="100"/>
        <v>2</v>
      </c>
    </row>
    <row r="6409" spans="1:7" ht="12.75">
      <c r="A6409" s="134" t="s">
        <v>903</v>
      </c>
      <c r="B6409" s="134">
        <v>173</v>
      </c>
      <c r="C6409" s="491">
        <v>0</v>
      </c>
      <c r="D6409" s="491">
        <v>1</v>
      </c>
      <c r="E6409" s="491">
        <v>0</v>
      </c>
      <c r="F6409" s="491">
        <v>0</v>
      </c>
      <c r="G6409" s="491">
        <f t="shared" si="100"/>
        <v>1</v>
      </c>
    </row>
    <row r="6410" spans="1:7" ht="12.75">
      <c r="A6410" s="134" t="s">
        <v>903</v>
      </c>
      <c r="B6410" s="134">
        <v>191</v>
      </c>
      <c r="C6410" s="491">
        <v>1</v>
      </c>
      <c r="D6410" s="491">
        <v>1</v>
      </c>
      <c r="E6410" s="491">
        <v>0</v>
      </c>
      <c r="F6410" s="491">
        <v>0</v>
      </c>
      <c r="G6410" s="491">
        <f t="shared" si="100"/>
        <v>2</v>
      </c>
    </row>
    <row r="6411" spans="1:7" ht="12.75">
      <c r="A6411" s="134" t="s">
        <v>903</v>
      </c>
      <c r="B6411" s="134">
        <v>215</v>
      </c>
      <c r="C6411" s="491">
        <v>2</v>
      </c>
      <c r="D6411" s="491">
        <v>13</v>
      </c>
      <c r="E6411" s="491">
        <v>0</v>
      </c>
      <c r="F6411" s="491">
        <v>0</v>
      </c>
      <c r="G6411" s="491">
        <f t="shared" si="100"/>
        <v>15</v>
      </c>
    </row>
    <row r="6412" spans="1:7" ht="12.75">
      <c r="A6412" s="134" t="s">
        <v>903</v>
      </c>
      <c r="B6412" s="134">
        <v>254</v>
      </c>
      <c r="C6412" s="491">
        <v>1</v>
      </c>
      <c r="D6412" s="491">
        <v>0</v>
      </c>
      <c r="E6412" s="491">
        <v>0</v>
      </c>
      <c r="F6412" s="491">
        <v>0</v>
      </c>
      <c r="G6412" s="491">
        <f t="shared" si="100"/>
        <v>1</v>
      </c>
    </row>
    <row r="6413" spans="1:7" ht="12.75">
      <c r="A6413" s="134" t="s">
        <v>903</v>
      </c>
      <c r="B6413" s="134">
        <v>255</v>
      </c>
      <c r="C6413" s="491">
        <v>4</v>
      </c>
      <c r="D6413" s="491">
        <v>1</v>
      </c>
      <c r="E6413" s="491">
        <v>0</v>
      </c>
      <c r="F6413" s="491">
        <v>1</v>
      </c>
      <c r="G6413" s="491">
        <f t="shared" si="100"/>
        <v>6</v>
      </c>
    </row>
    <row r="6414" spans="1:7" ht="12.75">
      <c r="A6414" s="134" t="s">
        <v>903</v>
      </c>
      <c r="B6414" s="134">
        <v>257</v>
      </c>
      <c r="C6414" s="491">
        <v>144</v>
      </c>
      <c r="D6414" s="491">
        <v>7</v>
      </c>
      <c r="E6414" s="491">
        <v>0</v>
      </c>
      <c r="F6414" s="491">
        <v>0</v>
      </c>
      <c r="G6414" s="491">
        <f t="shared" si="100"/>
        <v>151</v>
      </c>
    </row>
    <row r="6415" spans="1:7" ht="12.75">
      <c r="A6415" s="134" t="s">
        <v>903</v>
      </c>
      <c r="B6415" s="134">
        <v>263</v>
      </c>
      <c r="C6415" s="491">
        <v>1</v>
      </c>
      <c r="D6415" s="491">
        <v>0</v>
      </c>
      <c r="E6415" s="491">
        <v>1</v>
      </c>
      <c r="F6415" s="491">
        <v>0</v>
      </c>
      <c r="G6415" s="491">
        <f t="shared" si="100"/>
        <v>2</v>
      </c>
    </row>
    <row r="6416" spans="1:7" ht="12.75">
      <c r="A6416" s="134" t="s">
        <v>903</v>
      </c>
      <c r="B6416" s="134">
        <v>300</v>
      </c>
      <c r="C6416" s="491">
        <v>0</v>
      </c>
      <c r="D6416" s="491">
        <v>3</v>
      </c>
      <c r="E6416" s="491">
        <v>0</v>
      </c>
      <c r="F6416" s="491">
        <v>0</v>
      </c>
      <c r="G6416" s="491">
        <f t="shared" si="100"/>
        <v>3</v>
      </c>
    </row>
    <row r="6417" spans="1:7" ht="12.75">
      <c r="A6417" s="134" t="s">
        <v>903</v>
      </c>
      <c r="B6417" s="134">
        <v>301</v>
      </c>
      <c r="C6417" s="491">
        <v>0</v>
      </c>
      <c r="D6417" s="491">
        <v>1</v>
      </c>
      <c r="E6417" s="491">
        <v>0</v>
      </c>
      <c r="F6417" s="491">
        <v>0</v>
      </c>
      <c r="G6417" s="491">
        <f t="shared" si="100"/>
        <v>1</v>
      </c>
    </row>
    <row r="6418" spans="1:7" ht="12.75">
      <c r="A6418" s="134" t="s">
        <v>903</v>
      </c>
      <c r="B6418" s="134">
        <v>303</v>
      </c>
      <c r="C6418" s="491">
        <v>0</v>
      </c>
      <c r="D6418" s="491">
        <v>2</v>
      </c>
      <c r="E6418" s="491">
        <v>0</v>
      </c>
      <c r="F6418" s="491">
        <v>0</v>
      </c>
      <c r="G6418" s="491">
        <f t="shared" si="100"/>
        <v>2</v>
      </c>
    </row>
    <row r="6419" spans="1:7" ht="12.75">
      <c r="A6419" s="134" t="s">
        <v>903</v>
      </c>
      <c r="B6419" s="134">
        <v>306</v>
      </c>
      <c r="C6419" s="491">
        <v>0</v>
      </c>
      <c r="D6419" s="491">
        <v>1</v>
      </c>
      <c r="E6419" s="491">
        <v>0</v>
      </c>
      <c r="F6419" s="491">
        <v>0</v>
      </c>
      <c r="G6419" s="491">
        <f t="shared" si="100"/>
        <v>1</v>
      </c>
    </row>
    <row r="6420" spans="1:7" ht="12.75">
      <c r="A6420" s="134" t="s">
        <v>903</v>
      </c>
      <c r="B6420" s="134">
        <v>307</v>
      </c>
      <c r="C6420" s="491">
        <v>1</v>
      </c>
      <c r="D6420" s="491">
        <v>1</v>
      </c>
      <c r="E6420" s="491">
        <v>0</v>
      </c>
      <c r="F6420" s="491">
        <v>0</v>
      </c>
      <c r="G6420" s="491">
        <f t="shared" si="100"/>
        <v>2</v>
      </c>
    </row>
    <row r="6421" spans="1:7" ht="12.75">
      <c r="A6421" s="134" t="s">
        <v>903</v>
      </c>
      <c r="B6421" s="134">
        <v>310</v>
      </c>
      <c r="C6421" s="491">
        <v>0</v>
      </c>
      <c r="D6421" s="491">
        <v>4</v>
      </c>
      <c r="E6421" s="491">
        <v>0</v>
      </c>
      <c r="F6421" s="491">
        <v>0</v>
      </c>
      <c r="G6421" s="491">
        <f t="shared" si="100"/>
        <v>4</v>
      </c>
    </row>
    <row r="6422" spans="1:7" ht="12.75">
      <c r="A6422" s="134" t="s">
        <v>903</v>
      </c>
      <c r="B6422" s="134">
        <v>313</v>
      </c>
      <c r="C6422" s="491">
        <v>0</v>
      </c>
      <c r="D6422" s="491">
        <v>1</v>
      </c>
      <c r="E6422" s="491">
        <v>0</v>
      </c>
      <c r="F6422" s="491">
        <v>0</v>
      </c>
      <c r="G6422" s="491">
        <f t="shared" si="100"/>
        <v>1</v>
      </c>
    </row>
    <row r="6423" spans="1:7" ht="12.75">
      <c r="A6423" s="134" t="s">
        <v>903</v>
      </c>
      <c r="B6423" s="134">
        <v>316</v>
      </c>
      <c r="C6423" s="491">
        <v>2</v>
      </c>
      <c r="D6423" s="491">
        <v>6</v>
      </c>
      <c r="E6423" s="491">
        <v>0</v>
      </c>
      <c r="F6423" s="491">
        <v>0</v>
      </c>
      <c r="G6423" s="491">
        <f t="shared" si="100"/>
        <v>8</v>
      </c>
    </row>
    <row r="6424" spans="1:7" ht="12.75">
      <c r="A6424" s="134" t="s">
        <v>903</v>
      </c>
      <c r="B6424" s="134">
        <v>317</v>
      </c>
      <c r="C6424" s="491">
        <v>204</v>
      </c>
      <c r="D6424" s="491">
        <v>732</v>
      </c>
      <c r="E6424" s="491">
        <v>0</v>
      </c>
      <c r="F6424" s="491">
        <v>0</v>
      </c>
      <c r="G6424" s="491">
        <f t="shared" si="100"/>
        <v>936</v>
      </c>
    </row>
    <row r="6425" spans="1:7" ht="12.75">
      <c r="A6425" s="134" t="s">
        <v>903</v>
      </c>
      <c r="B6425" s="134">
        <v>320</v>
      </c>
      <c r="C6425" s="491">
        <v>12</v>
      </c>
      <c r="D6425" s="491">
        <v>49</v>
      </c>
      <c r="E6425" s="491">
        <v>0</v>
      </c>
      <c r="F6425" s="491">
        <v>0</v>
      </c>
      <c r="G6425" s="491">
        <f t="shared" si="100"/>
        <v>61</v>
      </c>
    </row>
    <row r="6426" spans="1:7" ht="12.75">
      <c r="A6426" s="134" t="s">
        <v>903</v>
      </c>
      <c r="B6426" s="134">
        <v>330</v>
      </c>
      <c r="C6426" s="491">
        <v>19733</v>
      </c>
      <c r="D6426" s="491">
        <v>3940</v>
      </c>
      <c r="E6426" s="491">
        <v>290</v>
      </c>
      <c r="F6426" s="491">
        <v>73</v>
      </c>
      <c r="G6426" s="491">
        <f t="shared" si="100"/>
        <v>24036</v>
      </c>
    </row>
    <row r="6427" spans="1:7" ht="12.75">
      <c r="A6427" s="134" t="s">
        <v>903</v>
      </c>
      <c r="B6427" s="134">
        <v>340</v>
      </c>
      <c r="C6427" s="491">
        <v>34</v>
      </c>
      <c r="D6427" s="491">
        <v>118</v>
      </c>
      <c r="E6427" s="491">
        <v>1</v>
      </c>
      <c r="F6427" s="491">
        <v>0</v>
      </c>
      <c r="G6427" s="491">
        <f t="shared" si="100"/>
        <v>153</v>
      </c>
    </row>
    <row r="6428" spans="1:7" ht="12.75">
      <c r="A6428" s="134" t="s">
        <v>903</v>
      </c>
      <c r="B6428" s="134">
        <v>341</v>
      </c>
      <c r="C6428" s="491">
        <v>233</v>
      </c>
      <c r="D6428" s="491">
        <v>13</v>
      </c>
      <c r="E6428" s="491">
        <v>0</v>
      </c>
      <c r="F6428" s="491">
        <v>0</v>
      </c>
      <c r="G6428" s="491">
        <f t="shared" si="100"/>
        <v>246</v>
      </c>
    </row>
    <row r="6429" spans="1:7" ht="12.75">
      <c r="A6429" s="134" t="s">
        <v>903</v>
      </c>
      <c r="B6429" s="134">
        <v>361</v>
      </c>
      <c r="C6429" s="491">
        <v>0</v>
      </c>
      <c r="D6429" s="491">
        <v>1</v>
      </c>
      <c r="E6429" s="491">
        <v>0</v>
      </c>
      <c r="F6429" s="491">
        <v>0</v>
      </c>
      <c r="G6429" s="491">
        <f t="shared" si="100"/>
        <v>1</v>
      </c>
    </row>
    <row r="6430" spans="1:7" ht="12.75">
      <c r="A6430" s="134" t="s">
        <v>903</v>
      </c>
      <c r="B6430" s="134">
        <v>370</v>
      </c>
      <c r="C6430" s="491">
        <v>0</v>
      </c>
      <c r="D6430" s="491">
        <v>3</v>
      </c>
      <c r="E6430" s="491">
        <v>0</v>
      </c>
      <c r="F6430" s="491">
        <v>0</v>
      </c>
      <c r="G6430" s="491">
        <f t="shared" si="100"/>
        <v>3</v>
      </c>
    </row>
    <row r="6431" spans="1:7" ht="12.75">
      <c r="A6431" s="134" t="s">
        <v>903</v>
      </c>
      <c r="B6431" s="134">
        <v>400</v>
      </c>
      <c r="C6431" s="491">
        <v>0</v>
      </c>
      <c r="D6431" s="491">
        <v>1</v>
      </c>
      <c r="E6431" s="491">
        <v>0</v>
      </c>
      <c r="F6431" s="491">
        <v>0</v>
      </c>
      <c r="G6431" s="491">
        <f t="shared" si="100"/>
        <v>1</v>
      </c>
    </row>
    <row r="6432" spans="1:7" ht="12.75">
      <c r="A6432" s="134" t="s">
        <v>903</v>
      </c>
      <c r="B6432" s="134">
        <v>410</v>
      </c>
      <c r="C6432" s="491">
        <v>0</v>
      </c>
      <c r="D6432" s="491">
        <v>6</v>
      </c>
      <c r="E6432" s="491">
        <v>0</v>
      </c>
      <c r="F6432" s="491">
        <v>0</v>
      </c>
      <c r="G6432" s="491">
        <f t="shared" si="100"/>
        <v>6</v>
      </c>
    </row>
    <row r="6433" spans="1:7" ht="12.75">
      <c r="A6433" s="134" t="s">
        <v>903</v>
      </c>
      <c r="B6433" s="134">
        <v>420</v>
      </c>
      <c r="C6433" s="491">
        <v>12</v>
      </c>
      <c r="D6433" s="491">
        <v>38</v>
      </c>
      <c r="E6433" s="491">
        <v>2</v>
      </c>
      <c r="F6433" s="491">
        <v>11</v>
      </c>
      <c r="G6433" s="491">
        <f t="shared" si="100"/>
        <v>63</v>
      </c>
    </row>
    <row r="6434" spans="1:7" ht="12.75">
      <c r="A6434" s="134" t="s">
        <v>903</v>
      </c>
      <c r="B6434" s="134">
        <v>450</v>
      </c>
      <c r="C6434" s="491">
        <v>122</v>
      </c>
      <c r="D6434" s="491">
        <v>10</v>
      </c>
      <c r="E6434" s="491">
        <v>0</v>
      </c>
      <c r="F6434" s="491">
        <v>0</v>
      </c>
      <c r="G6434" s="491">
        <f t="shared" si="100"/>
        <v>132</v>
      </c>
    </row>
    <row r="6435" spans="1:7" ht="12.75">
      <c r="A6435" s="134" t="s">
        <v>903</v>
      </c>
      <c r="B6435" s="134">
        <v>501</v>
      </c>
      <c r="C6435" s="491">
        <v>4</v>
      </c>
      <c r="D6435" s="491">
        <v>1</v>
      </c>
      <c r="E6435" s="491">
        <v>3</v>
      </c>
      <c r="F6435" s="491">
        <v>1</v>
      </c>
      <c r="G6435" s="491">
        <f t="shared" si="100"/>
        <v>9</v>
      </c>
    </row>
    <row r="6436" spans="1:7" ht="12.75">
      <c r="A6436" s="134" t="s">
        <v>903</v>
      </c>
      <c r="B6436" s="134">
        <v>502</v>
      </c>
      <c r="C6436" s="491">
        <v>1</v>
      </c>
      <c r="D6436" s="491">
        <v>3</v>
      </c>
      <c r="E6436" s="491">
        <v>0</v>
      </c>
      <c r="F6436" s="491">
        <v>0</v>
      </c>
      <c r="G6436" s="491">
        <f t="shared" si="100"/>
        <v>4</v>
      </c>
    </row>
    <row r="6437" spans="1:7" ht="12.75">
      <c r="A6437" s="134" t="s">
        <v>903</v>
      </c>
      <c r="B6437" s="134">
        <v>503</v>
      </c>
      <c r="C6437" s="491">
        <v>0</v>
      </c>
      <c r="D6437" s="491">
        <v>1</v>
      </c>
      <c r="E6437" s="491">
        <v>0</v>
      </c>
      <c r="F6437" s="491">
        <v>0</v>
      </c>
      <c r="G6437" s="491">
        <f t="shared" si="100"/>
        <v>1</v>
      </c>
    </row>
    <row r="6438" spans="1:7" ht="12.75">
      <c r="A6438" s="134" t="s">
        <v>903</v>
      </c>
      <c r="B6438" s="134">
        <v>560</v>
      </c>
      <c r="C6438" s="491">
        <v>2</v>
      </c>
      <c r="D6438" s="491">
        <v>0</v>
      </c>
      <c r="E6438" s="491">
        <v>0</v>
      </c>
      <c r="F6438" s="491">
        <v>0</v>
      </c>
      <c r="G6438" s="491">
        <f t="shared" si="100"/>
        <v>2</v>
      </c>
    </row>
    <row r="6439" spans="1:7" ht="12.75">
      <c r="A6439" s="134" t="s">
        <v>903</v>
      </c>
      <c r="B6439" s="134">
        <v>650</v>
      </c>
      <c r="C6439" s="491">
        <v>0</v>
      </c>
      <c r="D6439" s="491">
        <v>3</v>
      </c>
      <c r="E6439" s="491">
        <v>0</v>
      </c>
      <c r="F6439" s="491">
        <v>0</v>
      </c>
      <c r="G6439" s="491">
        <f t="shared" si="100"/>
        <v>3</v>
      </c>
    </row>
    <row r="6440" spans="1:7" ht="12.75">
      <c r="A6440" s="134" t="s">
        <v>903</v>
      </c>
      <c r="B6440" s="134">
        <v>800</v>
      </c>
      <c r="C6440" s="491">
        <v>2</v>
      </c>
      <c r="D6440" s="491">
        <v>0</v>
      </c>
      <c r="E6440" s="491">
        <v>0</v>
      </c>
      <c r="F6440" s="491">
        <v>0</v>
      </c>
      <c r="G6440" s="491">
        <f t="shared" si="100"/>
        <v>2</v>
      </c>
    </row>
    <row r="6441" spans="1:7" ht="12.75">
      <c r="A6441" s="134" t="s">
        <v>903</v>
      </c>
      <c r="B6441" s="134">
        <v>822</v>
      </c>
      <c r="C6441" s="491">
        <v>0</v>
      </c>
      <c r="D6441" s="491">
        <v>1</v>
      </c>
      <c r="E6441" s="491">
        <v>0</v>
      </c>
      <c r="F6441" s="491">
        <v>0</v>
      </c>
      <c r="G6441" s="491">
        <f t="shared" si="100"/>
        <v>1</v>
      </c>
    </row>
    <row r="6442" spans="1:7" ht="12.75">
      <c r="A6442" s="134" t="s">
        <v>903</v>
      </c>
      <c r="B6442" s="134">
        <v>840</v>
      </c>
      <c r="C6442" s="491">
        <v>2</v>
      </c>
      <c r="D6442" s="491">
        <v>0</v>
      </c>
      <c r="E6442" s="491">
        <v>0</v>
      </c>
      <c r="F6442" s="491">
        <v>0</v>
      </c>
      <c r="G6442" s="491">
        <f t="shared" si="100"/>
        <v>2</v>
      </c>
    </row>
    <row r="6443" spans="1:7" ht="12.75">
      <c r="A6443" s="134" t="s">
        <v>904</v>
      </c>
      <c r="B6443" s="134">
        <v>110</v>
      </c>
      <c r="C6443" s="491">
        <v>0</v>
      </c>
      <c r="D6443" s="491">
        <v>3</v>
      </c>
      <c r="E6443" s="491">
        <v>0</v>
      </c>
      <c r="F6443" s="491">
        <v>0</v>
      </c>
      <c r="G6443" s="491">
        <f t="shared" si="100"/>
        <v>3</v>
      </c>
    </row>
    <row r="6444" spans="1:7" ht="12.75">
      <c r="A6444" s="134" t="s">
        <v>904</v>
      </c>
      <c r="B6444" s="134">
        <v>120</v>
      </c>
      <c r="C6444" s="491">
        <v>95</v>
      </c>
      <c r="D6444" s="491">
        <v>41</v>
      </c>
      <c r="E6444" s="491">
        <v>0</v>
      </c>
      <c r="F6444" s="491">
        <v>0</v>
      </c>
      <c r="G6444" s="491">
        <f t="shared" si="100"/>
        <v>136</v>
      </c>
    </row>
    <row r="6445" spans="1:7" ht="12.75">
      <c r="A6445" s="134" t="s">
        <v>904</v>
      </c>
      <c r="B6445" s="134">
        <v>130</v>
      </c>
      <c r="C6445" s="491">
        <v>1</v>
      </c>
      <c r="D6445" s="491">
        <v>0</v>
      </c>
      <c r="E6445" s="491">
        <v>0</v>
      </c>
      <c r="F6445" s="491">
        <v>0</v>
      </c>
      <c r="G6445" s="491">
        <f t="shared" si="100"/>
        <v>1</v>
      </c>
    </row>
    <row r="6446" spans="1:7" ht="12.75">
      <c r="A6446" s="134" t="s">
        <v>904</v>
      </c>
      <c r="B6446" s="134">
        <v>215</v>
      </c>
      <c r="C6446" s="491">
        <v>3</v>
      </c>
      <c r="D6446" s="491">
        <v>27</v>
      </c>
      <c r="E6446" s="491">
        <v>0</v>
      </c>
      <c r="F6446" s="491">
        <v>0</v>
      </c>
      <c r="G6446" s="491">
        <f t="shared" si="100"/>
        <v>30</v>
      </c>
    </row>
    <row r="6447" spans="1:7" ht="12.75">
      <c r="A6447" s="134" t="s">
        <v>904</v>
      </c>
      <c r="B6447" s="134">
        <v>251</v>
      </c>
      <c r="C6447" s="491">
        <v>0</v>
      </c>
      <c r="D6447" s="491">
        <v>1</v>
      </c>
      <c r="E6447" s="491">
        <v>0</v>
      </c>
      <c r="F6447" s="491">
        <v>0</v>
      </c>
      <c r="G6447" s="491">
        <f t="shared" si="100"/>
        <v>1</v>
      </c>
    </row>
    <row r="6448" spans="1:7" ht="12.75">
      <c r="A6448" s="134" t="s">
        <v>904</v>
      </c>
      <c r="B6448" s="134">
        <v>255</v>
      </c>
      <c r="C6448" s="491">
        <v>13</v>
      </c>
      <c r="D6448" s="491">
        <v>26</v>
      </c>
      <c r="E6448" s="491">
        <v>0</v>
      </c>
      <c r="F6448" s="491">
        <v>3</v>
      </c>
      <c r="G6448" s="491">
        <f t="shared" si="100"/>
        <v>42</v>
      </c>
    </row>
    <row r="6449" spans="1:7" ht="12.75">
      <c r="A6449" s="134" t="s">
        <v>904</v>
      </c>
      <c r="B6449" s="134">
        <v>257</v>
      </c>
      <c r="C6449" s="491">
        <v>74</v>
      </c>
      <c r="D6449" s="491">
        <v>8</v>
      </c>
      <c r="E6449" s="491">
        <v>0</v>
      </c>
      <c r="F6449" s="491">
        <v>0</v>
      </c>
      <c r="G6449" s="491">
        <f t="shared" si="100"/>
        <v>82</v>
      </c>
    </row>
    <row r="6450" spans="1:7" ht="12.75">
      <c r="A6450" s="134" t="s">
        <v>904</v>
      </c>
      <c r="B6450" s="134">
        <v>258</v>
      </c>
      <c r="C6450" s="491">
        <v>1</v>
      </c>
      <c r="D6450" s="491">
        <v>0</v>
      </c>
      <c r="E6450" s="491">
        <v>0</v>
      </c>
      <c r="F6450" s="491">
        <v>0</v>
      </c>
      <c r="G6450" s="491">
        <f t="shared" si="100"/>
        <v>1</v>
      </c>
    </row>
    <row r="6451" spans="1:7" ht="12.75">
      <c r="A6451" s="134" t="s">
        <v>904</v>
      </c>
      <c r="B6451" s="134">
        <v>316</v>
      </c>
      <c r="C6451" s="491">
        <v>5</v>
      </c>
      <c r="D6451" s="491">
        <v>9</v>
      </c>
      <c r="E6451" s="491">
        <v>0</v>
      </c>
      <c r="F6451" s="491">
        <v>0</v>
      </c>
      <c r="G6451" s="491">
        <f t="shared" si="100"/>
        <v>14</v>
      </c>
    </row>
    <row r="6452" spans="1:7" ht="12.75">
      <c r="A6452" s="134" t="s">
        <v>904</v>
      </c>
      <c r="B6452" s="134">
        <v>317</v>
      </c>
      <c r="C6452" s="491">
        <v>9</v>
      </c>
      <c r="D6452" s="491">
        <v>40</v>
      </c>
      <c r="E6452" s="491">
        <v>0</v>
      </c>
      <c r="F6452" s="491">
        <v>0</v>
      </c>
      <c r="G6452" s="491">
        <f t="shared" si="100"/>
        <v>49</v>
      </c>
    </row>
    <row r="6453" spans="1:7" ht="12.75">
      <c r="A6453" s="134" t="s">
        <v>904</v>
      </c>
      <c r="B6453" s="134">
        <v>330</v>
      </c>
      <c r="C6453" s="491">
        <v>565</v>
      </c>
      <c r="D6453" s="491">
        <v>100</v>
      </c>
      <c r="E6453" s="491">
        <v>11</v>
      </c>
      <c r="F6453" s="491">
        <v>0</v>
      </c>
      <c r="G6453" s="491">
        <f t="shared" si="100"/>
        <v>676</v>
      </c>
    </row>
    <row r="6454" spans="1:7" ht="12.75">
      <c r="A6454" s="134" t="s">
        <v>904</v>
      </c>
      <c r="B6454" s="134">
        <v>420</v>
      </c>
      <c r="C6454" s="491">
        <v>190</v>
      </c>
      <c r="D6454" s="491">
        <v>350</v>
      </c>
      <c r="E6454" s="491">
        <v>42</v>
      </c>
      <c r="F6454" s="491">
        <v>83</v>
      </c>
      <c r="G6454" s="491">
        <f t="shared" si="100"/>
        <v>665</v>
      </c>
    </row>
    <row r="6455" spans="1:7" ht="12.75">
      <c r="A6455" s="134" t="s">
        <v>904</v>
      </c>
      <c r="B6455" s="134">
        <v>450</v>
      </c>
      <c r="C6455" s="491">
        <v>5</v>
      </c>
      <c r="D6455" s="491">
        <v>0</v>
      </c>
      <c r="E6455" s="491">
        <v>0</v>
      </c>
      <c r="F6455" s="491">
        <v>0</v>
      </c>
      <c r="G6455" s="491">
        <f t="shared" si="100"/>
        <v>5</v>
      </c>
    </row>
    <row r="6456" spans="1:7" ht="12.75">
      <c r="A6456" s="134" t="s">
        <v>904</v>
      </c>
      <c r="B6456" s="134">
        <v>654</v>
      </c>
      <c r="C6456" s="491">
        <v>0</v>
      </c>
      <c r="D6456" s="491">
        <v>2</v>
      </c>
      <c r="E6456" s="491">
        <v>0</v>
      </c>
      <c r="F6456" s="491">
        <v>0</v>
      </c>
      <c r="G6456" s="491">
        <f t="shared" si="100"/>
        <v>2</v>
      </c>
    </row>
    <row r="6457" spans="1:7" ht="12.75">
      <c r="A6457" s="134" t="s">
        <v>905</v>
      </c>
      <c r="B6457" s="134">
        <v>100</v>
      </c>
      <c r="C6457" s="491">
        <v>0</v>
      </c>
      <c r="D6457" s="491">
        <v>1</v>
      </c>
      <c r="E6457" s="491">
        <v>0</v>
      </c>
      <c r="F6457" s="491">
        <v>0</v>
      </c>
      <c r="G6457" s="491">
        <f t="shared" si="100"/>
        <v>1</v>
      </c>
    </row>
    <row r="6458" spans="1:7" ht="12.75">
      <c r="A6458" s="134" t="s">
        <v>905</v>
      </c>
      <c r="B6458" s="134">
        <v>110</v>
      </c>
      <c r="C6458" s="491">
        <v>0</v>
      </c>
      <c r="D6458" s="491">
        <v>2</v>
      </c>
      <c r="E6458" s="491">
        <v>0</v>
      </c>
      <c r="F6458" s="491">
        <v>0</v>
      </c>
      <c r="G6458" s="491">
        <f t="shared" si="100"/>
        <v>2</v>
      </c>
    </row>
    <row r="6459" spans="1:7" ht="12.75">
      <c r="A6459" s="134" t="s">
        <v>905</v>
      </c>
      <c r="B6459" s="134">
        <v>120</v>
      </c>
      <c r="C6459" s="491">
        <v>5</v>
      </c>
      <c r="D6459" s="491">
        <v>2</v>
      </c>
      <c r="E6459" s="491">
        <v>0</v>
      </c>
      <c r="F6459" s="491">
        <v>1</v>
      </c>
      <c r="G6459" s="491">
        <f t="shared" si="100"/>
        <v>8</v>
      </c>
    </row>
    <row r="6460" spans="1:7" ht="12.75">
      <c r="A6460" s="134" t="s">
        <v>905</v>
      </c>
      <c r="B6460" s="134">
        <v>144</v>
      </c>
      <c r="C6460" s="491">
        <v>66</v>
      </c>
      <c r="D6460" s="491">
        <v>0</v>
      </c>
      <c r="E6460" s="491">
        <v>0</v>
      </c>
      <c r="F6460" s="491">
        <v>0</v>
      </c>
      <c r="G6460" s="491">
        <f t="shared" si="100"/>
        <v>66</v>
      </c>
    </row>
    <row r="6461" spans="1:7" ht="12.75">
      <c r="A6461" s="134" t="s">
        <v>905</v>
      </c>
      <c r="B6461" s="134">
        <v>160</v>
      </c>
      <c r="C6461" s="491">
        <v>7</v>
      </c>
      <c r="D6461" s="491">
        <v>0</v>
      </c>
      <c r="E6461" s="491">
        <v>0</v>
      </c>
      <c r="F6461" s="491">
        <v>0</v>
      </c>
      <c r="G6461" s="491">
        <f t="shared" si="100"/>
        <v>7</v>
      </c>
    </row>
    <row r="6462" spans="1:7" ht="12.75">
      <c r="A6462" s="134" t="s">
        <v>905</v>
      </c>
      <c r="B6462" s="134">
        <v>191</v>
      </c>
      <c r="C6462" s="491">
        <v>1</v>
      </c>
      <c r="D6462" s="491">
        <v>0</v>
      </c>
      <c r="E6462" s="491">
        <v>0</v>
      </c>
      <c r="F6462" s="491">
        <v>0</v>
      </c>
      <c r="G6462" s="491">
        <f t="shared" si="100"/>
        <v>1</v>
      </c>
    </row>
    <row r="6463" spans="1:7" ht="12.75">
      <c r="A6463" s="134" t="s">
        <v>905</v>
      </c>
      <c r="B6463" s="134">
        <v>257</v>
      </c>
      <c r="C6463" s="491">
        <v>5</v>
      </c>
      <c r="D6463" s="491">
        <v>0</v>
      </c>
      <c r="E6463" s="491">
        <v>0</v>
      </c>
      <c r="F6463" s="491">
        <v>0</v>
      </c>
      <c r="G6463" s="491">
        <f t="shared" si="100"/>
        <v>5</v>
      </c>
    </row>
    <row r="6464" spans="1:7" ht="12.75">
      <c r="A6464" s="134" t="s">
        <v>905</v>
      </c>
      <c r="B6464" s="134">
        <v>303</v>
      </c>
      <c r="C6464" s="491">
        <v>0</v>
      </c>
      <c r="D6464" s="491">
        <v>1</v>
      </c>
      <c r="E6464" s="491">
        <v>0</v>
      </c>
      <c r="F6464" s="491">
        <v>0</v>
      </c>
      <c r="G6464" s="491">
        <f t="shared" si="100"/>
        <v>1</v>
      </c>
    </row>
    <row r="6465" spans="1:7" ht="12.75">
      <c r="A6465" s="134" t="s">
        <v>905</v>
      </c>
      <c r="B6465" s="134">
        <v>306</v>
      </c>
      <c r="C6465" s="491">
        <v>1</v>
      </c>
      <c r="D6465" s="491">
        <v>0</v>
      </c>
      <c r="E6465" s="491">
        <v>0</v>
      </c>
      <c r="F6465" s="491">
        <v>0</v>
      </c>
      <c r="G6465" s="491">
        <f t="shared" si="100"/>
        <v>1</v>
      </c>
    </row>
    <row r="6466" spans="1:7" ht="12.75">
      <c r="A6466" s="134" t="s">
        <v>905</v>
      </c>
      <c r="B6466" s="134">
        <v>320</v>
      </c>
      <c r="C6466" s="491">
        <v>0</v>
      </c>
      <c r="D6466" s="491">
        <v>2</v>
      </c>
      <c r="E6466" s="491">
        <v>0</v>
      </c>
      <c r="F6466" s="491">
        <v>0</v>
      </c>
      <c r="G6466" s="491">
        <f t="shared" si="100"/>
        <v>2</v>
      </c>
    </row>
    <row r="6467" spans="1:7" ht="12.75">
      <c r="A6467" s="134" t="s">
        <v>905</v>
      </c>
      <c r="B6467" s="134">
        <v>330</v>
      </c>
      <c r="C6467" s="491">
        <v>5430</v>
      </c>
      <c r="D6467" s="491">
        <v>235</v>
      </c>
      <c r="E6467" s="491">
        <v>18</v>
      </c>
      <c r="F6467" s="491">
        <v>1</v>
      </c>
      <c r="G6467" s="491">
        <f t="shared" si="100"/>
        <v>5684</v>
      </c>
    </row>
    <row r="6468" spans="1:7" ht="12.75">
      <c r="A6468" s="134" t="s">
        <v>905</v>
      </c>
      <c r="B6468" s="134">
        <v>370</v>
      </c>
      <c r="C6468" s="491">
        <v>0</v>
      </c>
      <c r="D6468" s="491">
        <v>2</v>
      </c>
      <c r="E6468" s="491">
        <v>0</v>
      </c>
      <c r="F6468" s="491">
        <v>0</v>
      </c>
      <c r="G6468" s="491">
        <f t="shared" ref="G6468:G6531" si="101">SUM(C6468:F6468)</f>
        <v>2</v>
      </c>
    </row>
    <row r="6469" spans="1:7" ht="12.75">
      <c r="A6469" s="134" t="s">
        <v>905</v>
      </c>
      <c r="B6469" s="134">
        <v>400</v>
      </c>
      <c r="C6469" s="491">
        <v>0</v>
      </c>
      <c r="D6469" s="491">
        <v>0</v>
      </c>
      <c r="E6469" s="491">
        <v>0</v>
      </c>
      <c r="F6469" s="491">
        <v>1</v>
      </c>
      <c r="G6469" s="491">
        <f t="shared" si="101"/>
        <v>1</v>
      </c>
    </row>
    <row r="6470" spans="1:7" ht="12.75">
      <c r="A6470" s="134" t="s">
        <v>905</v>
      </c>
      <c r="B6470" s="134">
        <v>501</v>
      </c>
      <c r="C6470" s="491">
        <v>0</v>
      </c>
      <c r="D6470" s="491">
        <v>1</v>
      </c>
      <c r="E6470" s="491">
        <v>0</v>
      </c>
      <c r="F6470" s="491">
        <v>0</v>
      </c>
      <c r="G6470" s="491">
        <f t="shared" si="101"/>
        <v>1</v>
      </c>
    </row>
    <row r="6471" spans="1:7" ht="12.75">
      <c r="A6471" s="134" t="s">
        <v>905</v>
      </c>
      <c r="B6471" s="134">
        <v>502</v>
      </c>
      <c r="C6471" s="491">
        <v>2</v>
      </c>
      <c r="D6471" s="491">
        <v>2</v>
      </c>
      <c r="E6471" s="491">
        <v>0</v>
      </c>
      <c r="F6471" s="491">
        <v>0</v>
      </c>
      <c r="G6471" s="491">
        <f t="shared" si="101"/>
        <v>4</v>
      </c>
    </row>
    <row r="6472" spans="1:7" ht="12.75">
      <c r="A6472" s="134" t="s">
        <v>905</v>
      </c>
      <c r="B6472" s="134">
        <v>650</v>
      </c>
      <c r="C6472" s="491">
        <v>0</v>
      </c>
      <c r="D6472" s="491">
        <v>5</v>
      </c>
      <c r="E6472" s="491">
        <v>0</v>
      </c>
      <c r="F6472" s="491">
        <v>0</v>
      </c>
      <c r="G6472" s="491">
        <f t="shared" si="101"/>
        <v>5</v>
      </c>
    </row>
    <row r="6473" spans="1:7" ht="12.75">
      <c r="A6473" s="134" t="s">
        <v>905</v>
      </c>
      <c r="B6473" s="134">
        <v>653</v>
      </c>
      <c r="C6473" s="491">
        <v>1</v>
      </c>
      <c r="D6473" s="491">
        <v>0</v>
      </c>
      <c r="E6473" s="491">
        <v>0</v>
      </c>
      <c r="F6473" s="491">
        <v>0</v>
      </c>
      <c r="G6473" s="491">
        <f t="shared" si="101"/>
        <v>1</v>
      </c>
    </row>
    <row r="6474" spans="1:7" ht="12.75">
      <c r="A6474" s="134" t="s">
        <v>905</v>
      </c>
      <c r="B6474" s="134">
        <v>800</v>
      </c>
      <c r="C6474" s="491">
        <v>74</v>
      </c>
      <c r="D6474" s="491">
        <v>9</v>
      </c>
      <c r="E6474" s="491">
        <v>0</v>
      </c>
      <c r="F6474" s="491">
        <v>0</v>
      </c>
      <c r="G6474" s="491">
        <f t="shared" si="101"/>
        <v>83</v>
      </c>
    </row>
    <row r="6475" spans="1:7" ht="12.75">
      <c r="A6475" s="134" t="s">
        <v>906</v>
      </c>
      <c r="B6475" s="134">
        <v>100</v>
      </c>
      <c r="C6475" s="491">
        <v>205</v>
      </c>
      <c r="D6475" s="491">
        <v>23</v>
      </c>
      <c r="E6475" s="491">
        <v>0</v>
      </c>
      <c r="F6475" s="491">
        <v>0</v>
      </c>
      <c r="G6475" s="491">
        <f t="shared" si="101"/>
        <v>228</v>
      </c>
    </row>
    <row r="6476" spans="1:7" ht="12.75">
      <c r="A6476" s="134" t="s">
        <v>906</v>
      </c>
      <c r="B6476" s="134">
        <v>101</v>
      </c>
      <c r="C6476" s="491">
        <v>22</v>
      </c>
      <c r="D6476" s="491">
        <v>48</v>
      </c>
      <c r="E6476" s="491">
        <v>0</v>
      </c>
      <c r="F6476" s="491">
        <v>0</v>
      </c>
      <c r="G6476" s="491">
        <f t="shared" si="101"/>
        <v>70</v>
      </c>
    </row>
    <row r="6477" spans="1:7" ht="12.75">
      <c r="A6477" s="134" t="s">
        <v>906</v>
      </c>
      <c r="B6477" s="134">
        <v>102</v>
      </c>
      <c r="C6477" s="491">
        <v>9</v>
      </c>
      <c r="D6477" s="491">
        <v>14</v>
      </c>
      <c r="E6477" s="491">
        <v>0</v>
      </c>
      <c r="F6477" s="491">
        <v>0</v>
      </c>
      <c r="G6477" s="491">
        <f t="shared" si="101"/>
        <v>23</v>
      </c>
    </row>
    <row r="6478" spans="1:7" ht="12.75">
      <c r="A6478" s="134" t="s">
        <v>906</v>
      </c>
      <c r="B6478" s="134">
        <v>103</v>
      </c>
      <c r="C6478" s="491">
        <v>7</v>
      </c>
      <c r="D6478" s="491">
        <v>31</v>
      </c>
      <c r="E6478" s="491">
        <v>0</v>
      </c>
      <c r="F6478" s="491">
        <v>0</v>
      </c>
      <c r="G6478" s="491">
        <f t="shared" si="101"/>
        <v>38</v>
      </c>
    </row>
    <row r="6479" spans="1:7" ht="12.75">
      <c r="A6479" s="134" t="s">
        <v>906</v>
      </c>
      <c r="B6479" s="134">
        <v>104</v>
      </c>
      <c r="C6479" s="491">
        <v>2</v>
      </c>
      <c r="D6479" s="491">
        <v>29</v>
      </c>
      <c r="E6479" s="491">
        <v>0</v>
      </c>
      <c r="F6479" s="491">
        <v>0</v>
      </c>
      <c r="G6479" s="491">
        <f t="shared" si="101"/>
        <v>31</v>
      </c>
    </row>
    <row r="6480" spans="1:7" ht="12.75">
      <c r="A6480" s="134" t="s">
        <v>906</v>
      </c>
      <c r="B6480" s="134">
        <v>106</v>
      </c>
      <c r="C6480" s="491">
        <v>2</v>
      </c>
      <c r="D6480" s="491">
        <v>13</v>
      </c>
      <c r="E6480" s="491">
        <v>0</v>
      </c>
      <c r="F6480" s="491">
        <v>0</v>
      </c>
      <c r="G6480" s="491">
        <f t="shared" si="101"/>
        <v>15</v>
      </c>
    </row>
    <row r="6481" spans="1:7" ht="12.75">
      <c r="A6481" s="134" t="s">
        <v>906</v>
      </c>
      <c r="B6481" s="134">
        <v>107</v>
      </c>
      <c r="C6481" s="491">
        <v>8</v>
      </c>
      <c r="D6481" s="491">
        <v>28</v>
      </c>
      <c r="E6481" s="491">
        <v>0</v>
      </c>
      <c r="F6481" s="491">
        <v>0</v>
      </c>
      <c r="G6481" s="491">
        <f t="shared" si="101"/>
        <v>36</v>
      </c>
    </row>
    <row r="6482" spans="1:7" ht="12.75">
      <c r="A6482" s="134" t="s">
        <v>906</v>
      </c>
      <c r="B6482" s="134">
        <v>110</v>
      </c>
      <c r="C6482" s="491">
        <v>40</v>
      </c>
      <c r="D6482" s="491">
        <v>78</v>
      </c>
      <c r="E6482" s="491">
        <v>0</v>
      </c>
      <c r="F6482" s="491">
        <v>0</v>
      </c>
      <c r="G6482" s="491">
        <f t="shared" si="101"/>
        <v>118</v>
      </c>
    </row>
    <row r="6483" spans="1:7" ht="12.75">
      <c r="A6483" s="134" t="s">
        <v>906</v>
      </c>
      <c r="B6483" s="134">
        <v>120</v>
      </c>
      <c r="C6483" s="491">
        <v>5</v>
      </c>
      <c r="D6483" s="491">
        <v>53</v>
      </c>
      <c r="E6483" s="491">
        <v>0</v>
      </c>
      <c r="F6483" s="491">
        <v>0</v>
      </c>
      <c r="G6483" s="491">
        <f t="shared" si="101"/>
        <v>58</v>
      </c>
    </row>
    <row r="6484" spans="1:7" ht="12.75">
      <c r="A6484" s="134" t="s">
        <v>906</v>
      </c>
      <c r="B6484" s="134">
        <v>130</v>
      </c>
      <c r="C6484" s="491">
        <v>29</v>
      </c>
      <c r="D6484" s="491">
        <v>4</v>
      </c>
      <c r="E6484" s="491">
        <v>0</v>
      </c>
      <c r="F6484" s="491">
        <v>0</v>
      </c>
      <c r="G6484" s="491">
        <f t="shared" si="101"/>
        <v>33</v>
      </c>
    </row>
    <row r="6485" spans="1:7" ht="12.75">
      <c r="A6485" s="134" t="s">
        <v>906</v>
      </c>
      <c r="B6485" s="134">
        <v>140</v>
      </c>
      <c r="C6485" s="491">
        <v>5</v>
      </c>
      <c r="D6485" s="491">
        <v>25</v>
      </c>
      <c r="E6485" s="491">
        <v>0</v>
      </c>
      <c r="F6485" s="491">
        <v>0</v>
      </c>
      <c r="G6485" s="491">
        <f t="shared" si="101"/>
        <v>30</v>
      </c>
    </row>
    <row r="6486" spans="1:7" ht="12.75">
      <c r="A6486" s="134" t="s">
        <v>906</v>
      </c>
      <c r="B6486" s="134">
        <v>141</v>
      </c>
      <c r="C6486" s="491">
        <v>3</v>
      </c>
      <c r="D6486" s="491">
        <v>0</v>
      </c>
      <c r="E6486" s="491">
        <v>0</v>
      </c>
      <c r="F6486" s="491">
        <v>0</v>
      </c>
      <c r="G6486" s="491">
        <f t="shared" si="101"/>
        <v>3</v>
      </c>
    </row>
    <row r="6487" spans="1:7" ht="12.75">
      <c r="A6487" s="134" t="s">
        <v>906</v>
      </c>
      <c r="B6487" s="134">
        <v>143</v>
      </c>
      <c r="C6487" s="491">
        <v>4</v>
      </c>
      <c r="D6487" s="491">
        <v>22</v>
      </c>
      <c r="E6487" s="491">
        <v>0</v>
      </c>
      <c r="F6487" s="491">
        <v>0</v>
      </c>
      <c r="G6487" s="491">
        <f t="shared" si="101"/>
        <v>26</v>
      </c>
    </row>
    <row r="6488" spans="1:7" ht="12.75">
      <c r="A6488" s="134" t="s">
        <v>906</v>
      </c>
      <c r="B6488" s="134">
        <v>144</v>
      </c>
      <c r="C6488" s="491">
        <v>0</v>
      </c>
      <c r="D6488" s="491">
        <v>26</v>
      </c>
      <c r="E6488" s="491">
        <v>0</v>
      </c>
      <c r="F6488" s="491">
        <v>1</v>
      </c>
      <c r="G6488" s="491">
        <f t="shared" si="101"/>
        <v>27</v>
      </c>
    </row>
    <row r="6489" spans="1:7" ht="12.75">
      <c r="A6489" s="134" t="s">
        <v>906</v>
      </c>
      <c r="B6489" s="134">
        <v>150</v>
      </c>
      <c r="C6489" s="491">
        <v>1</v>
      </c>
      <c r="D6489" s="491">
        <v>37</v>
      </c>
      <c r="E6489" s="491">
        <v>0</v>
      </c>
      <c r="F6489" s="491">
        <v>0</v>
      </c>
      <c r="G6489" s="491">
        <f t="shared" si="101"/>
        <v>38</v>
      </c>
    </row>
    <row r="6490" spans="1:7" ht="12.75">
      <c r="A6490" s="134" t="s">
        <v>906</v>
      </c>
      <c r="B6490" s="134">
        <v>160</v>
      </c>
      <c r="C6490" s="491">
        <v>11</v>
      </c>
      <c r="D6490" s="491">
        <v>67</v>
      </c>
      <c r="E6490" s="491">
        <v>0</v>
      </c>
      <c r="F6490" s="491">
        <v>0</v>
      </c>
      <c r="G6490" s="491">
        <f t="shared" si="101"/>
        <v>78</v>
      </c>
    </row>
    <row r="6491" spans="1:7" ht="12.75">
      <c r="A6491" s="134" t="s">
        <v>906</v>
      </c>
      <c r="B6491" s="134">
        <v>171</v>
      </c>
      <c r="C6491" s="491">
        <v>0</v>
      </c>
      <c r="D6491" s="491">
        <v>4</v>
      </c>
      <c r="E6491" s="491">
        <v>0</v>
      </c>
      <c r="F6491" s="491">
        <v>0</v>
      </c>
      <c r="G6491" s="491">
        <f t="shared" si="101"/>
        <v>4</v>
      </c>
    </row>
    <row r="6492" spans="1:7" ht="12.75">
      <c r="A6492" s="134" t="s">
        <v>906</v>
      </c>
      <c r="B6492" s="134">
        <v>172</v>
      </c>
      <c r="C6492" s="491">
        <v>0</v>
      </c>
      <c r="D6492" s="491">
        <v>4</v>
      </c>
      <c r="E6492" s="491">
        <v>0</v>
      </c>
      <c r="F6492" s="491">
        <v>0</v>
      </c>
      <c r="G6492" s="491">
        <f t="shared" si="101"/>
        <v>4</v>
      </c>
    </row>
    <row r="6493" spans="1:7" ht="12.75">
      <c r="A6493" s="134" t="s">
        <v>906</v>
      </c>
      <c r="B6493" s="134">
        <v>180</v>
      </c>
      <c r="C6493" s="491">
        <v>0</v>
      </c>
      <c r="D6493" s="491">
        <v>10</v>
      </c>
      <c r="E6493" s="491">
        <v>0</v>
      </c>
      <c r="F6493" s="491">
        <v>0</v>
      </c>
      <c r="G6493" s="491">
        <f t="shared" si="101"/>
        <v>10</v>
      </c>
    </row>
    <row r="6494" spans="1:7" ht="12.75">
      <c r="A6494" s="134" t="s">
        <v>906</v>
      </c>
      <c r="B6494" s="134">
        <v>190</v>
      </c>
      <c r="C6494" s="491">
        <v>3</v>
      </c>
      <c r="D6494" s="491">
        <v>7</v>
      </c>
      <c r="E6494" s="491">
        <v>0</v>
      </c>
      <c r="F6494" s="491">
        <v>0</v>
      </c>
      <c r="G6494" s="491">
        <f t="shared" si="101"/>
        <v>10</v>
      </c>
    </row>
    <row r="6495" spans="1:7" ht="12.75">
      <c r="A6495" s="134" t="s">
        <v>906</v>
      </c>
      <c r="B6495" s="134">
        <v>191</v>
      </c>
      <c r="C6495" s="491">
        <v>8</v>
      </c>
      <c r="D6495" s="491">
        <v>10</v>
      </c>
      <c r="E6495" s="491">
        <v>0</v>
      </c>
      <c r="F6495" s="491">
        <v>0</v>
      </c>
      <c r="G6495" s="491">
        <f t="shared" si="101"/>
        <v>18</v>
      </c>
    </row>
    <row r="6496" spans="1:7" ht="12.75">
      <c r="A6496" s="134" t="s">
        <v>906</v>
      </c>
      <c r="B6496" s="134">
        <v>211</v>
      </c>
      <c r="C6496" s="491">
        <v>0</v>
      </c>
      <c r="D6496" s="491">
        <v>1</v>
      </c>
      <c r="E6496" s="491">
        <v>0</v>
      </c>
      <c r="F6496" s="491">
        <v>0</v>
      </c>
      <c r="G6496" s="491">
        <f t="shared" si="101"/>
        <v>1</v>
      </c>
    </row>
    <row r="6497" spans="1:7" ht="12.75">
      <c r="A6497" s="134" t="s">
        <v>906</v>
      </c>
      <c r="B6497" s="134">
        <v>214</v>
      </c>
      <c r="C6497" s="491">
        <v>3</v>
      </c>
      <c r="D6497" s="491">
        <v>0</v>
      </c>
      <c r="E6497" s="491">
        <v>0</v>
      </c>
      <c r="F6497" s="491">
        <v>0</v>
      </c>
      <c r="G6497" s="491">
        <f t="shared" si="101"/>
        <v>3</v>
      </c>
    </row>
    <row r="6498" spans="1:7" ht="12.75">
      <c r="A6498" s="134" t="s">
        <v>906</v>
      </c>
      <c r="B6498" s="134">
        <v>216</v>
      </c>
      <c r="C6498" s="491">
        <v>0</v>
      </c>
      <c r="D6498" s="491">
        <v>1</v>
      </c>
      <c r="E6498" s="491">
        <v>0</v>
      </c>
      <c r="F6498" s="491">
        <v>0</v>
      </c>
      <c r="G6498" s="491">
        <f t="shared" si="101"/>
        <v>1</v>
      </c>
    </row>
    <row r="6499" spans="1:7" ht="12.75">
      <c r="A6499" s="134" t="s">
        <v>906</v>
      </c>
      <c r="B6499" s="134">
        <v>251</v>
      </c>
      <c r="C6499" s="491">
        <v>0</v>
      </c>
      <c r="D6499" s="491">
        <v>2</v>
      </c>
      <c r="E6499" s="491">
        <v>0</v>
      </c>
      <c r="F6499" s="491">
        <v>0</v>
      </c>
      <c r="G6499" s="491">
        <f t="shared" si="101"/>
        <v>2</v>
      </c>
    </row>
    <row r="6500" spans="1:7" ht="12.75">
      <c r="A6500" s="134" t="s">
        <v>906</v>
      </c>
      <c r="B6500" s="134">
        <v>252</v>
      </c>
      <c r="C6500" s="491">
        <v>0</v>
      </c>
      <c r="D6500" s="491">
        <v>1</v>
      </c>
      <c r="E6500" s="491">
        <v>0</v>
      </c>
      <c r="F6500" s="491">
        <v>0</v>
      </c>
      <c r="G6500" s="491">
        <f t="shared" si="101"/>
        <v>1</v>
      </c>
    </row>
    <row r="6501" spans="1:7" ht="12.75">
      <c r="A6501" s="134" t="s">
        <v>906</v>
      </c>
      <c r="B6501" s="134">
        <v>253</v>
      </c>
      <c r="C6501" s="491">
        <v>0</v>
      </c>
      <c r="D6501" s="491">
        <v>2</v>
      </c>
      <c r="E6501" s="491">
        <v>0</v>
      </c>
      <c r="F6501" s="491">
        <v>0</v>
      </c>
      <c r="G6501" s="491">
        <f t="shared" si="101"/>
        <v>2</v>
      </c>
    </row>
    <row r="6502" spans="1:7" ht="12.75">
      <c r="A6502" s="134" t="s">
        <v>906</v>
      </c>
      <c r="B6502" s="134">
        <v>257</v>
      </c>
      <c r="C6502" s="491">
        <v>3021</v>
      </c>
      <c r="D6502" s="491">
        <v>21</v>
      </c>
      <c r="E6502" s="491">
        <v>0</v>
      </c>
      <c r="F6502" s="491">
        <v>0</v>
      </c>
      <c r="G6502" s="491">
        <f t="shared" si="101"/>
        <v>3042</v>
      </c>
    </row>
    <row r="6503" spans="1:7" ht="12.75">
      <c r="A6503" s="134" t="s">
        <v>906</v>
      </c>
      <c r="B6503" s="134">
        <v>300</v>
      </c>
      <c r="C6503" s="491">
        <v>4</v>
      </c>
      <c r="D6503" s="491">
        <v>23</v>
      </c>
      <c r="E6503" s="491">
        <v>0</v>
      </c>
      <c r="F6503" s="491">
        <v>0</v>
      </c>
      <c r="G6503" s="491">
        <f t="shared" si="101"/>
        <v>27</v>
      </c>
    </row>
    <row r="6504" spans="1:7" ht="12.75">
      <c r="A6504" s="134" t="s">
        <v>906</v>
      </c>
      <c r="B6504" s="134">
        <v>301</v>
      </c>
      <c r="C6504" s="491">
        <v>7</v>
      </c>
      <c r="D6504" s="491">
        <v>30</v>
      </c>
      <c r="E6504" s="491">
        <v>0</v>
      </c>
      <c r="F6504" s="491">
        <v>0</v>
      </c>
      <c r="G6504" s="491">
        <f t="shared" si="101"/>
        <v>37</v>
      </c>
    </row>
    <row r="6505" spans="1:7" ht="12.75">
      <c r="A6505" s="134" t="s">
        <v>906</v>
      </c>
      <c r="B6505" s="134">
        <v>302</v>
      </c>
      <c r="C6505" s="491">
        <v>0</v>
      </c>
      <c r="D6505" s="491">
        <v>11</v>
      </c>
      <c r="E6505" s="491">
        <v>0</v>
      </c>
      <c r="F6505" s="491">
        <v>0</v>
      </c>
      <c r="G6505" s="491">
        <f t="shared" si="101"/>
        <v>11</v>
      </c>
    </row>
    <row r="6506" spans="1:7" ht="12.75">
      <c r="A6506" s="134" t="s">
        <v>906</v>
      </c>
      <c r="B6506" s="134">
        <v>303</v>
      </c>
      <c r="C6506" s="491">
        <v>8</v>
      </c>
      <c r="D6506" s="491">
        <v>15</v>
      </c>
      <c r="E6506" s="491">
        <v>0</v>
      </c>
      <c r="F6506" s="491">
        <v>0</v>
      </c>
      <c r="G6506" s="491">
        <f t="shared" si="101"/>
        <v>23</v>
      </c>
    </row>
    <row r="6507" spans="1:7" ht="12.75">
      <c r="A6507" s="134" t="s">
        <v>906</v>
      </c>
      <c r="B6507" s="134">
        <v>306</v>
      </c>
      <c r="C6507" s="491">
        <v>1</v>
      </c>
      <c r="D6507" s="491">
        <v>8</v>
      </c>
      <c r="E6507" s="491">
        <v>0</v>
      </c>
      <c r="F6507" s="491">
        <v>0</v>
      </c>
      <c r="G6507" s="491">
        <f t="shared" si="101"/>
        <v>9</v>
      </c>
    </row>
    <row r="6508" spans="1:7" ht="12.75">
      <c r="A6508" s="134" t="s">
        <v>906</v>
      </c>
      <c r="B6508" s="134">
        <v>307</v>
      </c>
      <c r="C6508" s="491">
        <v>15</v>
      </c>
      <c r="D6508" s="491">
        <v>34</v>
      </c>
      <c r="E6508" s="491">
        <v>0</v>
      </c>
      <c r="F6508" s="491">
        <v>0</v>
      </c>
      <c r="G6508" s="491">
        <f t="shared" si="101"/>
        <v>49</v>
      </c>
    </row>
    <row r="6509" spans="1:7" ht="12.75">
      <c r="A6509" s="134" t="s">
        <v>906</v>
      </c>
      <c r="B6509" s="134">
        <v>309</v>
      </c>
      <c r="C6509" s="491">
        <v>1</v>
      </c>
      <c r="D6509" s="491">
        <v>0</v>
      </c>
      <c r="E6509" s="491">
        <v>0</v>
      </c>
      <c r="F6509" s="491">
        <v>0</v>
      </c>
      <c r="G6509" s="491">
        <f t="shared" si="101"/>
        <v>1</v>
      </c>
    </row>
    <row r="6510" spans="1:7" ht="12.75">
      <c r="A6510" s="134" t="s">
        <v>906</v>
      </c>
      <c r="B6510" s="134">
        <v>310</v>
      </c>
      <c r="C6510" s="491">
        <v>0</v>
      </c>
      <c r="D6510" s="491">
        <v>37</v>
      </c>
      <c r="E6510" s="491">
        <v>0</v>
      </c>
      <c r="F6510" s="491">
        <v>0</v>
      </c>
      <c r="G6510" s="491">
        <f t="shared" si="101"/>
        <v>37</v>
      </c>
    </row>
    <row r="6511" spans="1:7" ht="12.75">
      <c r="A6511" s="134" t="s">
        <v>906</v>
      </c>
      <c r="B6511" s="134">
        <v>311</v>
      </c>
      <c r="C6511" s="491">
        <v>0</v>
      </c>
      <c r="D6511" s="491">
        <v>8</v>
      </c>
      <c r="E6511" s="491">
        <v>0</v>
      </c>
      <c r="F6511" s="491">
        <v>0</v>
      </c>
      <c r="G6511" s="491">
        <f t="shared" si="101"/>
        <v>8</v>
      </c>
    </row>
    <row r="6512" spans="1:7" ht="12.75">
      <c r="A6512" s="134" t="s">
        <v>906</v>
      </c>
      <c r="B6512" s="134">
        <v>314</v>
      </c>
      <c r="C6512" s="491">
        <v>0</v>
      </c>
      <c r="D6512" s="491">
        <v>7</v>
      </c>
      <c r="E6512" s="491">
        <v>0</v>
      </c>
      <c r="F6512" s="491">
        <v>0</v>
      </c>
      <c r="G6512" s="491">
        <f t="shared" si="101"/>
        <v>7</v>
      </c>
    </row>
    <row r="6513" spans="1:7" ht="12.75">
      <c r="A6513" s="134" t="s">
        <v>906</v>
      </c>
      <c r="B6513" s="134">
        <v>316</v>
      </c>
      <c r="C6513" s="491">
        <v>1</v>
      </c>
      <c r="D6513" s="491">
        <v>1</v>
      </c>
      <c r="E6513" s="491">
        <v>0</v>
      </c>
      <c r="F6513" s="491">
        <v>0</v>
      </c>
      <c r="G6513" s="491">
        <f t="shared" si="101"/>
        <v>2</v>
      </c>
    </row>
    <row r="6514" spans="1:7" ht="12.75">
      <c r="A6514" s="134" t="s">
        <v>906</v>
      </c>
      <c r="B6514" s="134">
        <v>317</v>
      </c>
      <c r="C6514" s="491">
        <v>6</v>
      </c>
      <c r="D6514" s="491">
        <v>0</v>
      </c>
      <c r="E6514" s="491">
        <v>0</v>
      </c>
      <c r="F6514" s="491">
        <v>0</v>
      </c>
      <c r="G6514" s="491">
        <f t="shared" si="101"/>
        <v>6</v>
      </c>
    </row>
    <row r="6515" spans="1:7" ht="12.75">
      <c r="A6515" s="134" t="s">
        <v>906</v>
      </c>
      <c r="B6515" s="134">
        <v>320</v>
      </c>
      <c r="C6515" s="491">
        <v>9</v>
      </c>
      <c r="D6515" s="491">
        <v>109</v>
      </c>
      <c r="E6515" s="491">
        <v>0</v>
      </c>
      <c r="F6515" s="491">
        <v>0</v>
      </c>
      <c r="G6515" s="491">
        <f t="shared" si="101"/>
        <v>118</v>
      </c>
    </row>
    <row r="6516" spans="1:7" ht="12.75">
      <c r="A6516" s="134" t="s">
        <v>906</v>
      </c>
      <c r="B6516" s="134">
        <v>321</v>
      </c>
      <c r="C6516" s="491">
        <v>0</v>
      </c>
      <c r="D6516" s="491">
        <v>1</v>
      </c>
      <c r="E6516" s="491">
        <v>0</v>
      </c>
      <c r="F6516" s="491">
        <v>0</v>
      </c>
      <c r="G6516" s="491">
        <f t="shared" si="101"/>
        <v>1</v>
      </c>
    </row>
    <row r="6517" spans="1:7" ht="12.75">
      <c r="A6517" s="134" t="s">
        <v>906</v>
      </c>
      <c r="B6517" s="134">
        <v>324</v>
      </c>
      <c r="C6517" s="491">
        <v>1</v>
      </c>
      <c r="D6517" s="491">
        <v>45</v>
      </c>
      <c r="E6517" s="491">
        <v>0</v>
      </c>
      <c r="F6517" s="491">
        <v>0</v>
      </c>
      <c r="G6517" s="491">
        <f t="shared" si="101"/>
        <v>46</v>
      </c>
    </row>
    <row r="6518" spans="1:7" ht="12.75">
      <c r="A6518" s="134" t="s">
        <v>906</v>
      </c>
      <c r="B6518" s="134">
        <v>329</v>
      </c>
      <c r="C6518" s="491">
        <v>0</v>
      </c>
      <c r="D6518" s="491">
        <v>1</v>
      </c>
      <c r="E6518" s="491">
        <v>0</v>
      </c>
      <c r="F6518" s="491">
        <v>0</v>
      </c>
      <c r="G6518" s="491">
        <f t="shared" si="101"/>
        <v>1</v>
      </c>
    </row>
    <row r="6519" spans="1:7" ht="12.75">
      <c r="A6519" s="134" t="s">
        <v>906</v>
      </c>
      <c r="B6519" s="134">
        <v>330</v>
      </c>
      <c r="C6519" s="491">
        <v>503903</v>
      </c>
      <c r="D6519" s="491">
        <v>5016</v>
      </c>
      <c r="E6519" s="491">
        <v>873</v>
      </c>
      <c r="F6519" s="491">
        <v>22</v>
      </c>
      <c r="G6519" s="491">
        <f t="shared" si="101"/>
        <v>509814</v>
      </c>
    </row>
    <row r="6520" spans="1:7" ht="12.75">
      <c r="A6520" s="134" t="s">
        <v>906</v>
      </c>
      <c r="B6520" s="134">
        <v>340</v>
      </c>
      <c r="C6520" s="491">
        <v>8</v>
      </c>
      <c r="D6520" s="491">
        <v>53</v>
      </c>
      <c r="E6520" s="491">
        <v>0</v>
      </c>
      <c r="F6520" s="491">
        <v>0</v>
      </c>
      <c r="G6520" s="491">
        <f t="shared" si="101"/>
        <v>61</v>
      </c>
    </row>
    <row r="6521" spans="1:7" ht="12.75">
      <c r="A6521" s="134" t="s">
        <v>906</v>
      </c>
      <c r="B6521" s="134">
        <v>341</v>
      </c>
      <c r="C6521" s="491">
        <v>0</v>
      </c>
      <c r="D6521" s="491">
        <v>14</v>
      </c>
      <c r="E6521" s="491">
        <v>0</v>
      </c>
      <c r="F6521" s="491">
        <v>0</v>
      </c>
      <c r="G6521" s="491">
        <f t="shared" si="101"/>
        <v>14</v>
      </c>
    </row>
    <row r="6522" spans="1:7" ht="12.75">
      <c r="A6522" s="134" t="s">
        <v>906</v>
      </c>
      <c r="B6522" s="134">
        <v>350</v>
      </c>
      <c r="C6522" s="491">
        <v>0</v>
      </c>
      <c r="D6522" s="491">
        <v>6</v>
      </c>
      <c r="E6522" s="491">
        <v>0</v>
      </c>
      <c r="F6522" s="491">
        <v>0</v>
      </c>
      <c r="G6522" s="491">
        <f t="shared" si="101"/>
        <v>6</v>
      </c>
    </row>
    <row r="6523" spans="1:7" ht="12.75">
      <c r="A6523" s="134" t="s">
        <v>906</v>
      </c>
      <c r="B6523" s="134">
        <v>361</v>
      </c>
      <c r="C6523" s="491">
        <v>1</v>
      </c>
      <c r="D6523" s="491">
        <v>16</v>
      </c>
      <c r="E6523" s="491">
        <v>0</v>
      </c>
      <c r="F6523" s="491">
        <v>0</v>
      </c>
      <c r="G6523" s="491">
        <f t="shared" si="101"/>
        <v>17</v>
      </c>
    </row>
    <row r="6524" spans="1:7" ht="12.75">
      <c r="A6524" s="134" t="s">
        <v>906</v>
      </c>
      <c r="B6524" s="134">
        <v>370</v>
      </c>
      <c r="C6524" s="491">
        <v>7</v>
      </c>
      <c r="D6524" s="491">
        <v>30</v>
      </c>
      <c r="E6524" s="491">
        <v>0</v>
      </c>
      <c r="F6524" s="491">
        <v>0</v>
      </c>
      <c r="G6524" s="491">
        <f t="shared" si="101"/>
        <v>37</v>
      </c>
    </row>
    <row r="6525" spans="1:7" ht="12.75">
      <c r="A6525" s="134" t="s">
        <v>906</v>
      </c>
      <c r="B6525" s="134">
        <v>400</v>
      </c>
      <c r="C6525" s="491">
        <v>1</v>
      </c>
      <c r="D6525" s="491">
        <v>39</v>
      </c>
      <c r="E6525" s="491">
        <v>0</v>
      </c>
      <c r="F6525" s="491">
        <v>0</v>
      </c>
      <c r="G6525" s="491">
        <f t="shared" si="101"/>
        <v>40</v>
      </c>
    </row>
    <row r="6526" spans="1:7" ht="12.75">
      <c r="A6526" s="134" t="s">
        <v>906</v>
      </c>
      <c r="B6526" s="134">
        <v>410</v>
      </c>
      <c r="C6526" s="491">
        <v>58</v>
      </c>
      <c r="D6526" s="491">
        <v>43</v>
      </c>
      <c r="E6526" s="491">
        <v>0</v>
      </c>
      <c r="F6526" s="491">
        <v>0</v>
      </c>
      <c r="G6526" s="491">
        <f t="shared" si="101"/>
        <v>101</v>
      </c>
    </row>
    <row r="6527" spans="1:7" ht="12.75">
      <c r="A6527" s="134" t="s">
        <v>906</v>
      </c>
      <c r="B6527" s="134">
        <v>420</v>
      </c>
      <c r="C6527" s="491">
        <v>16</v>
      </c>
      <c r="D6527" s="491">
        <v>9</v>
      </c>
      <c r="E6527" s="491">
        <v>0</v>
      </c>
      <c r="F6527" s="491">
        <v>0</v>
      </c>
      <c r="G6527" s="491">
        <f t="shared" si="101"/>
        <v>25</v>
      </c>
    </row>
    <row r="6528" spans="1:7" ht="12.75">
      <c r="A6528" s="134" t="s">
        <v>906</v>
      </c>
      <c r="B6528" s="134">
        <v>430</v>
      </c>
      <c r="C6528" s="491">
        <v>2</v>
      </c>
      <c r="D6528" s="491">
        <v>4</v>
      </c>
      <c r="E6528" s="491">
        <v>0</v>
      </c>
      <c r="F6528" s="491">
        <v>0</v>
      </c>
      <c r="G6528" s="491">
        <f t="shared" si="101"/>
        <v>6</v>
      </c>
    </row>
    <row r="6529" spans="1:7" ht="12.75">
      <c r="A6529" s="134" t="s">
        <v>906</v>
      </c>
      <c r="B6529" s="134">
        <v>501</v>
      </c>
      <c r="C6529" s="491">
        <v>15</v>
      </c>
      <c r="D6529" s="491">
        <v>74</v>
      </c>
      <c r="E6529" s="491">
        <v>0</v>
      </c>
      <c r="F6529" s="491">
        <v>0</v>
      </c>
      <c r="G6529" s="491">
        <f t="shared" si="101"/>
        <v>89</v>
      </c>
    </row>
    <row r="6530" spans="1:7" ht="12.75">
      <c r="A6530" s="134" t="s">
        <v>906</v>
      </c>
      <c r="B6530" s="134">
        <v>502</v>
      </c>
      <c r="C6530" s="491">
        <v>17</v>
      </c>
      <c r="D6530" s="491">
        <v>64</v>
      </c>
      <c r="E6530" s="491">
        <v>0</v>
      </c>
      <c r="F6530" s="491">
        <v>1</v>
      </c>
      <c r="G6530" s="491">
        <f t="shared" si="101"/>
        <v>82</v>
      </c>
    </row>
    <row r="6531" spans="1:7" ht="12.75">
      <c r="A6531" s="134" t="s">
        <v>906</v>
      </c>
      <c r="B6531" s="134">
        <v>503</v>
      </c>
      <c r="C6531" s="491">
        <v>1</v>
      </c>
      <c r="D6531" s="491">
        <v>7</v>
      </c>
      <c r="E6531" s="491">
        <v>0</v>
      </c>
      <c r="F6531" s="491">
        <v>0</v>
      </c>
      <c r="G6531" s="491">
        <f t="shared" si="101"/>
        <v>8</v>
      </c>
    </row>
    <row r="6532" spans="1:7" ht="12.75">
      <c r="A6532" s="134" t="s">
        <v>906</v>
      </c>
      <c r="B6532" s="134">
        <v>560</v>
      </c>
      <c r="C6532" s="491">
        <v>2</v>
      </c>
      <c r="D6532" s="491">
        <v>41</v>
      </c>
      <c r="E6532" s="491">
        <v>0</v>
      </c>
      <c r="F6532" s="491">
        <v>0</v>
      </c>
      <c r="G6532" s="491">
        <f t="shared" ref="G6532:G6595" si="102">SUM(C6532:F6532)</f>
        <v>43</v>
      </c>
    </row>
    <row r="6533" spans="1:7" ht="12.75">
      <c r="A6533" s="134" t="s">
        <v>906</v>
      </c>
      <c r="B6533" s="134">
        <v>650</v>
      </c>
      <c r="C6533" s="491">
        <v>21</v>
      </c>
      <c r="D6533" s="491">
        <v>218</v>
      </c>
      <c r="E6533" s="491">
        <v>0</v>
      </c>
      <c r="F6533" s="491">
        <v>0</v>
      </c>
      <c r="G6533" s="491">
        <f t="shared" si="102"/>
        <v>239</v>
      </c>
    </row>
    <row r="6534" spans="1:7" ht="12.75">
      <c r="A6534" s="134" t="s">
        <v>906</v>
      </c>
      <c r="B6534" s="134">
        <v>653</v>
      </c>
      <c r="C6534" s="491">
        <v>5</v>
      </c>
      <c r="D6534" s="491">
        <v>14</v>
      </c>
      <c r="E6534" s="491">
        <v>0</v>
      </c>
      <c r="F6534" s="491">
        <v>0</v>
      </c>
      <c r="G6534" s="491">
        <f t="shared" si="102"/>
        <v>19</v>
      </c>
    </row>
    <row r="6535" spans="1:7" ht="12.75">
      <c r="A6535" s="134" t="s">
        <v>906</v>
      </c>
      <c r="B6535" s="134">
        <v>654</v>
      </c>
      <c r="C6535" s="491">
        <v>1</v>
      </c>
      <c r="D6535" s="491">
        <v>2</v>
      </c>
      <c r="E6535" s="491">
        <v>0</v>
      </c>
      <c r="F6535" s="491">
        <v>0</v>
      </c>
      <c r="G6535" s="491">
        <f t="shared" si="102"/>
        <v>3</v>
      </c>
    </row>
    <row r="6536" spans="1:7" ht="12.75">
      <c r="A6536" s="134" t="s">
        <v>906</v>
      </c>
      <c r="B6536" s="134">
        <v>656</v>
      </c>
      <c r="C6536" s="491">
        <v>1</v>
      </c>
      <c r="D6536" s="491">
        <v>0</v>
      </c>
      <c r="E6536" s="491">
        <v>0</v>
      </c>
      <c r="F6536" s="491">
        <v>0</v>
      </c>
      <c r="G6536" s="491">
        <f t="shared" si="102"/>
        <v>1</v>
      </c>
    </row>
    <row r="6537" spans="1:7" ht="12.75">
      <c r="A6537" s="134" t="s">
        <v>906</v>
      </c>
      <c r="B6537" s="134">
        <v>658</v>
      </c>
      <c r="C6537" s="491">
        <v>2</v>
      </c>
      <c r="D6537" s="491">
        <v>0</v>
      </c>
      <c r="E6537" s="491">
        <v>0</v>
      </c>
      <c r="F6537" s="491">
        <v>0</v>
      </c>
      <c r="G6537" s="491">
        <f t="shared" si="102"/>
        <v>2</v>
      </c>
    </row>
    <row r="6538" spans="1:7" ht="12.75">
      <c r="A6538" s="134" t="s">
        <v>906</v>
      </c>
      <c r="B6538" s="134">
        <v>800</v>
      </c>
      <c r="C6538" s="491">
        <v>6</v>
      </c>
      <c r="D6538" s="491">
        <v>1</v>
      </c>
      <c r="E6538" s="491">
        <v>0</v>
      </c>
      <c r="F6538" s="491">
        <v>0</v>
      </c>
      <c r="G6538" s="491">
        <f t="shared" si="102"/>
        <v>7</v>
      </c>
    </row>
    <row r="6539" spans="1:7" ht="12.75">
      <c r="A6539" s="134" t="s">
        <v>906</v>
      </c>
      <c r="B6539" s="134">
        <v>822</v>
      </c>
      <c r="C6539" s="491">
        <v>0</v>
      </c>
      <c r="D6539" s="491">
        <v>1</v>
      </c>
      <c r="E6539" s="491">
        <v>0</v>
      </c>
      <c r="F6539" s="491">
        <v>0</v>
      </c>
      <c r="G6539" s="491">
        <f t="shared" si="102"/>
        <v>1</v>
      </c>
    </row>
    <row r="6540" spans="1:7" ht="12.75">
      <c r="A6540" s="134" t="s">
        <v>907</v>
      </c>
      <c r="B6540" s="134">
        <v>107</v>
      </c>
      <c r="C6540" s="491">
        <v>0</v>
      </c>
      <c r="D6540" s="491">
        <v>1</v>
      </c>
      <c r="E6540" s="491">
        <v>0</v>
      </c>
      <c r="F6540" s="491">
        <v>0</v>
      </c>
      <c r="G6540" s="491">
        <f t="shared" si="102"/>
        <v>1</v>
      </c>
    </row>
    <row r="6541" spans="1:7" ht="12.75">
      <c r="A6541" s="134" t="s">
        <v>907</v>
      </c>
      <c r="B6541" s="134">
        <v>110</v>
      </c>
      <c r="C6541" s="491">
        <v>2</v>
      </c>
      <c r="D6541" s="491">
        <v>7</v>
      </c>
      <c r="E6541" s="491">
        <v>0</v>
      </c>
      <c r="F6541" s="491">
        <v>0</v>
      </c>
      <c r="G6541" s="491">
        <f t="shared" si="102"/>
        <v>9</v>
      </c>
    </row>
    <row r="6542" spans="1:7" ht="12.75">
      <c r="A6542" s="134" t="s">
        <v>907</v>
      </c>
      <c r="B6542" s="134">
        <v>120</v>
      </c>
      <c r="C6542" s="491">
        <v>1</v>
      </c>
      <c r="D6542" s="491">
        <v>9</v>
      </c>
      <c r="E6542" s="491">
        <v>0</v>
      </c>
      <c r="F6542" s="491">
        <v>0</v>
      </c>
      <c r="G6542" s="491">
        <f t="shared" si="102"/>
        <v>10</v>
      </c>
    </row>
    <row r="6543" spans="1:7" ht="12.75">
      <c r="A6543" s="134" t="s">
        <v>907</v>
      </c>
      <c r="B6543" s="134">
        <v>130</v>
      </c>
      <c r="C6543" s="491">
        <v>9</v>
      </c>
      <c r="D6543" s="491">
        <v>4</v>
      </c>
      <c r="E6543" s="491">
        <v>0</v>
      </c>
      <c r="F6543" s="491">
        <v>0</v>
      </c>
      <c r="G6543" s="491">
        <f t="shared" si="102"/>
        <v>13</v>
      </c>
    </row>
    <row r="6544" spans="1:7" ht="12.75">
      <c r="A6544" s="134" t="s">
        <v>907</v>
      </c>
      <c r="B6544" s="134">
        <v>140</v>
      </c>
      <c r="C6544" s="491">
        <v>0</v>
      </c>
      <c r="D6544" s="491">
        <v>5</v>
      </c>
      <c r="E6544" s="491">
        <v>0</v>
      </c>
      <c r="F6544" s="491">
        <v>0</v>
      </c>
      <c r="G6544" s="491">
        <f t="shared" si="102"/>
        <v>5</v>
      </c>
    </row>
    <row r="6545" spans="1:7" ht="12.75">
      <c r="A6545" s="134" t="s">
        <v>907</v>
      </c>
      <c r="B6545" s="134">
        <v>144</v>
      </c>
      <c r="C6545" s="491">
        <v>0</v>
      </c>
      <c r="D6545" s="491">
        <v>6</v>
      </c>
      <c r="E6545" s="491">
        <v>0</v>
      </c>
      <c r="F6545" s="491">
        <v>0</v>
      </c>
      <c r="G6545" s="491">
        <f t="shared" si="102"/>
        <v>6</v>
      </c>
    </row>
    <row r="6546" spans="1:7" ht="12.75">
      <c r="A6546" s="134" t="s">
        <v>907</v>
      </c>
      <c r="B6546" s="134">
        <v>150</v>
      </c>
      <c r="C6546" s="491">
        <v>0</v>
      </c>
      <c r="D6546" s="491">
        <v>1</v>
      </c>
      <c r="E6546" s="491">
        <v>0</v>
      </c>
      <c r="F6546" s="491">
        <v>0</v>
      </c>
      <c r="G6546" s="491">
        <f t="shared" si="102"/>
        <v>1</v>
      </c>
    </row>
    <row r="6547" spans="1:7" ht="12.75">
      <c r="A6547" s="134" t="s">
        <v>907</v>
      </c>
      <c r="B6547" s="134">
        <v>160</v>
      </c>
      <c r="C6547" s="491">
        <v>1</v>
      </c>
      <c r="D6547" s="491">
        <v>6</v>
      </c>
      <c r="E6547" s="491">
        <v>0</v>
      </c>
      <c r="F6547" s="491">
        <v>0</v>
      </c>
      <c r="G6547" s="491">
        <f t="shared" si="102"/>
        <v>7</v>
      </c>
    </row>
    <row r="6548" spans="1:7" ht="12.75">
      <c r="A6548" s="134" t="s">
        <v>907</v>
      </c>
      <c r="B6548" s="134">
        <v>171</v>
      </c>
      <c r="C6548" s="491">
        <v>0</v>
      </c>
      <c r="D6548" s="491">
        <v>5</v>
      </c>
      <c r="E6548" s="491">
        <v>0</v>
      </c>
      <c r="F6548" s="491">
        <v>0</v>
      </c>
      <c r="G6548" s="491">
        <f t="shared" si="102"/>
        <v>5</v>
      </c>
    </row>
    <row r="6549" spans="1:7" ht="12.75">
      <c r="A6549" s="134" t="s">
        <v>907</v>
      </c>
      <c r="B6549" s="134">
        <v>180</v>
      </c>
      <c r="C6549" s="491">
        <v>0</v>
      </c>
      <c r="D6549" s="491">
        <v>7</v>
      </c>
      <c r="E6549" s="491">
        <v>0</v>
      </c>
      <c r="F6549" s="491">
        <v>0</v>
      </c>
      <c r="G6549" s="491">
        <f t="shared" si="102"/>
        <v>7</v>
      </c>
    </row>
    <row r="6550" spans="1:7" ht="12.75">
      <c r="A6550" s="134" t="s">
        <v>907</v>
      </c>
      <c r="B6550" s="134">
        <v>190</v>
      </c>
      <c r="C6550" s="491">
        <v>0</v>
      </c>
      <c r="D6550" s="491">
        <v>2</v>
      </c>
      <c r="E6550" s="491">
        <v>0</v>
      </c>
      <c r="F6550" s="491">
        <v>0</v>
      </c>
      <c r="G6550" s="491">
        <f t="shared" si="102"/>
        <v>2</v>
      </c>
    </row>
    <row r="6551" spans="1:7" ht="12.75">
      <c r="A6551" s="134" t="s">
        <v>907</v>
      </c>
      <c r="B6551" s="134">
        <v>211</v>
      </c>
      <c r="C6551" s="491">
        <v>1</v>
      </c>
      <c r="D6551" s="491">
        <v>7</v>
      </c>
      <c r="E6551" s="491">
        <v>0</v>
      </c>
      <c r="F6551" s="491">
        <v>0</v>
      </c>
      <c r="G6551" s="491">
        <f t="shared" si="102"/>
        <v>8</v>
      </c>
    </row>
    <row r="6552" spans="1:7" ht="12.75">
      <c r="A6552" s="134" t="s">
        <v>907</v>
      </c>
      <c r="B6552" s="134">
        <v>214</v>
      </c>
      <c r="C6552" s="491">
        <v>0</v>
      </c>
      <c r="D6552" s="491">
        <v>2</v>
      </c>
      <c r="E6552" s="491">
        <v>0</v>
      </c>
      <c r="F6552" s="491">
        <v>0</v>
      </c>
      <c r="G6552" s="491">
        <f t="shared" si="102"/>
        <v>2</v>
      </c>
    </row>
    <row r="6553" spans="1:7" ht="12.75">
      <c r="A6553" s="134" t="s">
        <v>907</v>
      </c>
      <c r="B6553" s="134">
        <v>215</v>
      </c>
      <c r="C6553" s="491">
        <v>0</v>
      </c>
      <c r="D6553" s="491">
        <v>1</v>
      </c>
      <c r="E6553" s="491">
        <v>0</v>
      </c>
      <c r="F6553" s="491">
        <v>0</v>
      </c>
      <c r="G6553" s="491">
        <f t="shared" si="102"/>
        <v>1</v>
      </c>
    </row>
    <row r="6554" spans="1:7" ht="12.75">
      <c r="A6554" s="134" t="s">
        <v>907</v>
      </c>
      <c r="B6554" s="134">
        <v>217</v>
      </c>
      <c r="C6554" s="491">
        <v>1</v>
      </c>
      <c r="D6554" s="491">
        <v>0</v>
      </c>
      <c r="E6554" s="491">
        <v>0</v>
      </c>
      <c r="F6554" s="491">
        <v>0</v>
      </c>
      <c r="G6554" s="491">
        <f t="shared" si="102"/>
        <v>1</v>
      </c>
    </row>
    <row r="6555" spans="1:7" ht="12.75">
      <c r="A6555" s="134" t="s">
        <v>907</v>
      </c>
      <c r="B6555" s="134">
        <v>252</v>
      </c>
      <c r="C6555" s="491">
        <v>0</v>
      </c>
      <c r="D6555" s="491">
        <v>1</v>
      </c>
      <c r="E6555" s="491">
        <v>0</v>
      </c>
      <c r="F6555" s="491">
        <v>0</v>
      </c>
      <c r="G6555" s="491">
        <f t="shared" si="102"/>
        <v>1</v>
      </c>
    </row>
    <row r="6556" spans="1:7" ht="12.75">
      <c r="A6556" s="134" t="s">
        <v>907</v>
      </c>
      <c r="B6556" s="134">
        <v>253</v>
      </c>
      <c r="C6556" s="491">
        <v>0</v>
      </c>
      <c r="D6556" s="491">
        <v>2</v>
      </c>
      <c r="E6556" s="491">
        <v>0</v>
      </c>
      <c r="F6556" s="491">
        <v>0</v>
      </c>
      <c r="G6556" s="491">
        <f t="shared" si="102"/>
        <v>2</v>
      </c>
    </row>
    <row r="6557" spans="1:7" ht="12.75">
      <c r="A6557" s="134" t="s">
        <v>907</v>
      </c>
      <c r="B6557" s="134">
        <v>257</v>
      </c>
      <c r="C6557" s="491">
        <v>2244</v>
      </c>
      <c r="D6557" s="491">
        <v>7</v>
      </c>
      <c r="E6557" s="491">
        <v>0</v>
      </c>
      <c r="F6557" s="491">
        <v>0</v>
      </c>
      <c r="G6557" s="491">
        <f t="shared" si="102"/>
        <v>2251</v>
      </c>
    </row>
    <row r="6558" spans="1:7" ht="12.75">
      <c r="A6558" s="134" t="s">
        <v>907</v>
      </c>
      <c r="B6558" s="134">
        <v>258</v>
      </c>
      <c r="C6558" s="491">
        <v>0</v>
      </c>
      <c r="D6558" s="491">
        <v>2</v>
      </c>
      <c r="E6558" s="491">
        <v>0</v>
      </c>
      <c r="F6558" s="491">
        <v>0</v>
      </c>
      <c r="G6558" s="491">
        <f t="shared" si="102"/>
        <v>2</v>
      </c>
    </row>
    <row r="6559" spans="1:7" ht="12.75">
      <c r="A6559" s="134" t="s">
        <v>907</v>
      </c>
      <c r="B6559" s="134">
        <v>290</v>
      </c>
      <c r="C6559" s="491">
        <v>1</v>
      </c>
      <c r="D6559" s="491">
        <v>0</v>
      </c>
      <c r="E6559" s="491">
        <v>0</v>
      </c>
      <c r="F6559" s="491">
        <v>0</v>
      </c>
      <c r="G6559" s="491">
        <f t="shared" si="102"/>
        <v>1</v>
      </c>
    </row>
    <row r="6560" spans="1:7" ht="12.75">
      <c r="A6560" s="134" t="s">
        <v>907</v>
      </c>
      <c r="B6560" s="134">
        <v>310</v>
      </c>
      <c r="C6560" s="491">
        <v>0</v>
      </c>
      <c r="D6560" s="491">
        <v>2</v>
      </c>
      <c r="E6560" s="491">
        <v>0</v>
      </c>
      <c r="F6560" s="491">
        <v>0</v>
      </c>
      <c r="G6560" s="491">
        <f t="shared" si="102"/>
        <v>2</v>
      </c>
    </row>
    <row r="6561" spans="1:7" ht="12.75">
      <c r="A6561" s="134" t="s">
        <v>907</v>
      </c>
      <c r="B6561" s="134">
        <v>314</v>
      </c>
      <c r="C6561" s="491">
        <v>1</v>
      </c>
      <c r="D6561" s="491">
        <v>0</v>
      </c>
      <c r="E6561" s="491">
        <v>0</v>
      </c>
      <c r="F6561" s="491">
        <v>0</v>
      </c>
      <c r="G6561" s="491">
        <f t="shared" si="102"/>
        <v>1</v>
      </c>
    </row>
    <row r="6562" spans="1:7" ht="12.75">
      <c r="A6562" s="134" t="s">
        <v>907</v>
      </c>
      <c r="B6562" s="134">
        <v>321</v>
      </c>
      <c r="C6562" s="491">
        <v>0</v>
      </c>
      <c r="D6562" s="491">
        <v>1</v>
      </c>
      <c r="E6562" s="491">
        <v>0</v>
      </c>
      <c r="F6562" s="491">
        <v>0</v>
      </c>
      <c r="G6562" s="491">
        <f t="shared" si="102"/>
        <v>1</v>
      </c>
    </row>
    <row r="6563" spans="1:7" ht="12.75">
      <c r="A6563" s="134" t="s">
        <v>907</v>
      </c>
      <c r="B6563" s="134">
        <v>330</v>
      </c>
      <c r="C6563" s="491">
        <v>10704</v>
      </c>
      <c r="D6563" s="491">
        <v>119</v>
      </c>
      <c r="E6563" s="491">
        <v>28</v>
      </c>
      <c r="F6563" s="491">
        <v>1</v>
      </c>
      <c r="G6563" s="491">
        <f t="shared" si="102"/>
        <v>10852</v>
      </c>
    </row>
    <row r="6564" spans="1:7" ht="12.75">
      <c r="A6564" s="134" t="s">
        <v>907</v>
      </c>
      <c r="B6564" s="134">
        <v>340</v>
      </c>
      <c r="C6564" s="491">
        <v>0</v>
      </c>
      <c r="D6564" s="491">
        <v>1</v>
      </c>
      <c r="E6564" s="491">
        <v>0</v>
      </c>
      <c r="F6564" s="491">
        <v>0</v>
      </c>
      <c r="G6564" s="491">
        <f t="shared" si="102"/>
        <v>1</v>
      </c>
    </row>
    <row r="6565" spans="1:7" ht="12.75">
      <c r="A6565" s="134" t="s">
        <v>907</v>
      </c>
      <c r="B6565" s="134">
        <v>420</v>
      </c>
      <c r="C6565" s="491">
        <v>27</v>
      </c>
      <c r="D6565" s="491">
        <v>14</v>
      </c>
      <c r="E6565" s="491">
        <v>0</v>
      </c>
      <c r="F6565" s="491">
        <v>0</v>
      </c>
      <c r="G6565" s="491">
        <f t="shared" si="102"/>
        <v>41</v>
      </c>
    </row>
    <row r="6566" spans="1:7" ht="12.75">
      <c r="A6566" s="134" t="s">
        <v>907</v>
      </c>
      <c r="B6566" s="134">
        <v>422</v>
      </c>
      <c r="C6566" s="491">
        <v>3</v>
      </c>
      <c r="D6566" s="491">
        <v>0</v>
      </c>
      <c r="E6566" s="491">
        <v>0</v>
      </c>
      <c r="F6566" s="491">
        <v>0</v>
      </c>
      <c r="G6566" s="491">
        <f t="shared" si="102"/>
        <v>3</v>
      </c>
    </row>
    <row r="6567" spans="1:7" ht="12.75">
      <c r="A6567" s="134" t="s">
        <v>907</v>
      </c>
      <c r="B6567" s="134">
        <v>650</v>
      </c>
      <c r="C6567" s="491">
        <v>0</v>
      </c>
      <c r="D6567" s="491">
        <v>9</v>
      </c>
      <c r="E6567" s="491">
        <v>0</v>
      </c>
      <c r="F6567" s="491">
        <v>0</v>
      </c>
      <c r="G6567" s="491">
        <f t="shared" si="102"/>
        <v>9</v>
      </c>
    </row>
    <row r="6568" spans="1:7" ht="12.75">
      <c r="A6568" s="134" t="s">
        <v>907</v>
      </c>
      <c r="B6568" s="134">
        <v>654</v>
      </c>
      <c r="C6568" s="491">
        <v>1</v>
      </c>
      <c r="D6568" s="491">
        <v>0</v>
      </c>
      <c r="E6568" s="491">
        <v>0</v>
      </c>
      <c r="F6568" s="491">
        <v>0</v>
      </c>
      <c r="G6568" s="491">
        <f t="shared" si="102"/>
        <v>1</v>
      </c>
    </row>
    <row r="6569" spans="1:7" ht="12.75">
      <c r="A6569" s="134" t="s">
        <v>908</v>
      </c>
      <c r="B6569" s="134">
        <v>104</v>
      </c>
      <c r="C6569" s="491">
        <v>0</v>
      </c>
      <c r="D6569" s="491">
        <v>2</v>
      </c>
      <c r="E6569" s="491">
        <v>0</v>
      </c>
      <c r="F6569" s="491">
        <v>0</v>
      </c>
      <c r="G6569" s="491">
        <f t="shared" si="102"/>
        <v>2</v>
      </c>
    </row>
    <row r="6570" spans="1:7" ht="12.75">
      <c r="A6570" s="134" t="s">
        <v>908</v>
      </c>
      <c r="B6570" s="134">
        <v>120</v>
      </c>
      <c r="C6570" s="491">
        <v>1</v>
      </c>
      <c r="D6570" s="491">
        <v>0</v>
      </c>
      <c r="E6570" s="491">
        <v>0</v>
      </c>
      <c r="F6570" s="491">
        <v>0</v>
      </c>
      <c r="G6570" s="491">
        <f t="shared" si="102"/>
        <v>1</v>
      </c>
    </row>
    <row r="6571" spans="1:7" ht="12.75">
      <c r="A6571" s="134" t="s">
        <v>909</v>
      </c>
      <c r="B6571" s="134">
        <v>100</v>
      </c>
      <c r="C6571" s="491">
        <v>0</v>
      </c>
      <c r="D6571" s="491">
        <v>2</v>
      </c>
      <c r="E6571" s="491">
        <v>0</v>
      </c>
      <c r="F6571" s="491">
        <v>0</v>
      </c>
      <c r="G6571" s="491">
        <f t="shared" si="102"/>
        <v>2</v>
      </c>
    </row>
    <row r="6572" spans="1:7" ht="12.75">
      <c r="A6572" s="134" t="s">
        <v>909</v>
      </c>
      <c r="B6572" s="134">
        <v>103</v>
      </c>
      <c r="C6572" s="491">
        <v>0</v>
      </c>
      <c r="D6572" s="491">
        <v>3</v>
      </c>
      <c r="E6572" s="491">
        <v>0</v>
      </c>
      <c r="F6572" s="491">
        <v>1</v>
      </c>
      <c r="G6572" s="491">
        <f t="shared" si="102"/>
        <v>4</v>
      </c>
    </row>
    <row r="6573" spans="1:7" ht="12.75">
      <c r="A6573" s="134" t="s">
        <v>909</v>
      </c>
      <c r="B6573" s="134">
        <v>120</v>
      </c>
      <c r="C6573" s="491">
        <v>3</v>
      </c>
      <c r="D6573" s="491">
        <v>1</v>
      </c>
      <c r="E6573" s="491">
        <v>0</v>
      </c>
      <c r="F6573" s="491">
        <v>0</v>
      </c>
      <c r="G6573" s="491">
        <f t="shared" si="102"/>
        <v>4</v>
      </c>
    </row>
    <row r="6574" spans="1:7" ht="12.75">
      <c r="A6574" s="134" t="s">
        <v>909</v>
      </c>
      <c r="B6574" s="134">
        <v>330</v>
      </c>
      <c r="C6574" s="491">
        <v>1</v>
      </c>
      <c r="D6574" s="491">
        <v>0</v>
      </c>
      <c r="E6574" s="491">
        <v>0</v>
      </c>
      <c r="F6574" s="491">
        <v>0</v>
      </c>
      <c r="G6574" s="491">
        <f t="shared" si="102"/>
        <v>1</v>
      </c>
    </row>
    <row r="6575" spans="1:7" ht="12.75">
      <c r="A6575" s="134" t="s">
        <v>910</v>
      </c>
      <c r="B6575" s="134">
        <v>100</v>
      </c>
      <c r="C6575" s="491">
        <v>343</v>
      </c>
      <c r="D6575" s="491">
        <v>568</v>
      </c>
      <c r="E6575" s="491">
        <v>4</v>
      </c>
      <c r="F6575" s="491">
        <v>17</v>
      </c>
      <c r="G6575" s="491">
        <f t="shared" si="102"/>
        <v>932</v>
      </c>
    </row>
    <row r="6576" spans="1:7" ht="12.75">
      <c r="A6576" s="134" t="s">
        <v>910</v>
      </c>
      <c r="B6576" s="134">
        <v>101</v>
      </c>
      <c r="C6576" s="491">
        <v>1</v>
      </c>
      <c r="D6576" s="491">
        <v>0</v>
      </c>
      <c r="E6576" s="491">
        <v>0</v>
      </c>
      <c r="F6576" s="491">
        <v>0</v>
      </c>
      <c r="G6576" s="491">
        <f t="shared" si="102"/>
        <v>1</v>
      </c>
    </row>
    <row r="6577" spans="1:7" ht="12.75">
      <c r="A6577" s="134" t="s">
        <v>910</v>
      </c>
      <c r="B6577" s="134">
        <v>103</v>
      </c>
      <c r="C6577" s="491">
        <v>123</v>
      </c>
      <c r="D6577" s="491">
        <v>14</v>
      </c>
      <c r="E6577" s="491">
        <v>0</v>
      </c>
      <c r="F6577" s="491">
        <v>1</v>
      </c>
      <c r="G6577" s="491">
        <f t="shared" si="102"/>
        <v>138</v>
      </c>
    </row>
    <row r="6578" spans="1:7" ht="12.75">
      <c r="A6578" s="134" t="s">
        <v>910</v>
      </c>
      <c r="B6578" s="134">
        <v>104</v>
      </c>
      <c r="C6578" s="491">
        <v>17</v>
      </c>
      <c r="D6578" s="491">
        <v>4</v>
      </c>
      <c r="E6578" s="491">
        <v>0</v>
      </c>
      <c r="F6578" s="491">
        <v>0</v>
      </c>
      <c r="G6578" s="491">
        <f t="shared" si="102"/>
        <v>21</v>
      </c>
    </row>
    <row r="6579" spans="1:7" ht="12.75">
      <c r="A6579" s="134" t="s">
        <v>910</v>
      </c>
      <c r="B6579" s="134">
        <v>105</v>
      </c>
      <c r="C6579" s="491">
        <v>5</v>
      </c>
      <c r="D6579" s="491">
        <v>0</v>
      </c>
      <c r="E6579" s="491">
        <v>0</v>
      </c>
      <c r="F6579" s="491">
        <v>0</v>
      </c>
      <c r="G6579" s="491">
        <f t="shared" si="102"/>
        <v>5</v>
      </c>
    </row>
    <row r="6580" spans="1:7" ht="12.75">
      <c r="A6580" s="134" t="s">
        <v>910</v>
      </c>
      <c r="B6580" s="134">
        <v>106</v>
      </c>
      <c r="C6580" s="491">
        <v>0</v>
      </c>
      <c r="D6580" s="491">
        <v>1</v>
      </c>
      <c r="E6580" s="491">
        <v>0</v>
      </c>
      <c r="F6580" s="491">
        <v>0</v>
      </c>
      <c r="G6580" s="491">
        <f t="shared" si="102"/>
        <v>1</v>
      </c>
    </row>
    <row r="6581" spans="1:7" ht="12.75">
      <c r="A6581" s="134" t="s">
        <v>910</v>
      </c>
      <c r="B6581" s="134">
        <v>107</v>
      </c>
      <c r="C6581" s="491">
        <v>4</v>
      </c>
      <c r="D6581" s="491">
        <v>1</v>
      </c>
      <c r="E6581" s="491">
        <v>0</v>
      </c>
      <c r="F6581" s="491">
        <v>0</v>
      </c>
      <c r="G6581" s="491">
        <f t="shared" si="102"/>
        <v>5</v>
      </c>
    </row>
    <row r="6582" spans="1:7" ht="12.75">
      <c r="A6582" s="134" t="s">
        <v>910</v>
      </c>
      <c r="B6582" s="134">
        <v>110</v>
      </c>
      <c r="C6582" s="491">
        <v>2</v>
      </c>
      <c r="D6582" s="491">
        <v>2</v>
      </c>
      <c r="E6582" s="491">
        <v>0</v>
      </c>
      <c r="F6582" s="491">
        <v>0</v>
      </c>
      <c r="G6582" s="491">
        <f t="shared" si="102"/>
        <v>4</v>
      </c>
    </row>
    <row r="6583" spans="1:7" ht="12.75">
      <c r="A6583" s="134" t="s">
        <v>910</v>
      </c>
      <c r="B6583" s="134">
        <v>120</v>
      </c>
      <c r="C6583" s="491">
        <v>1004</v>
      </c>
      <c r="D6583" s="491">
        <v>1405</v>
      </c>
      <c r="E6583" s="491">
        <v>122</v>
      </c>
      <c r="F6583" s="491">
        <v>131</v>
      </c>
      <c r="G6583" s="491">
        <f t="shared" si="102"/>
        <v>2662</v>
      </c>
    </row>
    <row r="6584" spans="1:7" ht="12.75">
      <c r="A6584" s="134" t="s">
        <v>910</v>
      </c>
      <c r="B6584" s="134">
        <v>130</v>
      </c>
      <c r="C6584" s="491">
        <v>1</v>
      </c>
      <c r="D6584" s="491">
        <v>0</v>
      </c>
      <c r="E6584" s="491">
        <v>2</v>
      </c>
      <c r="F6584" s="491">
        <v>0</v>
      </c>
      <c r="G6584" s="491">
        <f t="shared" si="102"/>
        <v>3</v>
      </c>
    </row>
    <row r="6585" spans="1:7" ht="12.75">
      <c r="A6585" s="134" t="s">
        <v>910</v>
      </c>
      <c r="B6585" s="134">
        <v>140</v>
      </c>
      <c r="C6585" s="491">
        <v>9</v>
      </c>
      <c r="D6585" s="491">
        <v>4</v>
      </c>
      <c r="E6585" s="491">
        <v>0</v>
      </c>
      <c r="F6585" s="491">
        <v>0</v>
      </c>
      <c r="G6585" s="491">
        <f t="shared" si="102"/>
        <v>13</v>
      </c>
    </row>
    <row r="6586" spans="1:7" ht="12.75">
      <c r="A6586" s="134" t="s">
        <v>910</v>
      </c>
      <c r="B6586" s="134">
        <v>143</v>
      </c>
      <c r="C6586" s="491">
        <v>2</v>
      </c>
      <c r="D6586" s="491">
        <v>0</v>
      </c>
      <c r="E6586" s="491">
        <v>0</v>
      </c>
      <c r="F6586" s="491">
        <v>0</v>
      </c>
      <c r="G6586" s="491">
        <f t="shared" si="102"/>
        <v>2</v>
      </c>
    </row>
    <row r="6587" spans="1:7" ht="12.75">
      <c r="A6587" s="134" t="s">
        <v>910</v>
      </c>
      <c r="B6587" s="134">
        <v>144</v>
      </c>
      <c r="C6587" s="491">
        <v>7</v>
      </c>
      <c r="D6587" s="491">
        <v>4</v>
      </c>
      <c r="E6587" s="491">
        <v>0</v>
      </c>
      <c r="F6587" s="491">
        <v>0</v>
      </c>
      <c r="G6587" s="491">
        <f t="shared" si="102"/>
        <v>11</v>
      </c>
    </row>
    <row r="6588" spans="1:7" ht="12.75">
      <c r="A6588" s="134" t="s">
        <v>910</v>
      </c>
      <c r="B6588" s="134">
        <v>190</v>
      </c>
      <c r="C6588" s="491">
        <v>4</v>
      </c>
      <c r="D6588" s="491">
        <v>0</v>
      </c>
      <c r="E6588" s="491">
        <v>0</v>
      </c>
      <c r="F6588" s="491">
        <v>0</v>
      </c>
      <c r="G6588" s="491">
        <f t="shared" si="102"/>
        <v>4</v>
      </c>
    </row>
    <row r="6589" spans="1:7" ht="12.75">
      <c r="A6589" s="134" t="s">
        <v>910</v>
      </c>
      <c r="B6589" s="134">
        <v>191</v>
      </c>
      <c r="C6589" s="491">
        <v>1</v>
      </c>
      <c r="D6589" s="491">
        <v>0</v>
      </c>
      <c r="E6589" s="491">
        <v>1</v>
      </c>
      <c r="F6589" s="491">
        <v>1</v>
      </c>
      <c r="G6589" s="491">
        <f t="shared" si="102"/>
        <v>3</v>
      </c>
    </row>
    <row r="6590" spans="1:7" ht="12.75">
      <c r="A6590" s="134" t="s">
        <v>910</v>
      </c>
      <c r="B6590" s="134">
        <v>214</v>
      </c>
      <c r="C6590" s="491">
        <v>0</v>
      </c>
      <c r="D6590" s="491">
        <v>1</v>
      </c>
      <c r="E6590" s="491">
        <v>0</v>
      </c>
      <c r="F6590" s="491">
        <v>0</v>
      </c>
      <c r="G6590" s="491">
        <f t="shared" si="102"/>
        <v>1</v>
      </c>
    </row>
    <row r="6591" spans="1:7" ht="12.75">
      <c r="A6591" s="134" t="s">
        <v>910</v>
      </c>
      <c r="B6591" s="134">
        <v>215</v>
      </c>
      <c r="C6591" s="491">
        <v>3</v>
      </c>
      <c r="D6591" s="491">
        <v>4</v>
      </c>
      <c r="E6591" s="491">
        <v>0</v>
      </c>
      <c r="F6591" s="491">
        <v>0</v>
      </c>
      <c r="G6591" s="491">
        <f t="shared" si="102"/>
        <v>7</v>
      </c>
    </row>
    <row r="6592" spans="1:7" ht="12.75">
      <c r="A6592" s="134" t="s">
        <v>910</v>
      </c>
      <c r="B6592" s="134">
        <v>300</v>
      </c>
      <c r="C6592" s="491">
        <v>22</v>
      </c>
      <c r="D6592" s="491">
        <v>13</v>
      </c>
      <c r="E6592" s="491">
        <v>0</v>
      </c>
      <c r="F6592" s="491">
        <v>0</v>
      </c>
      <c r="G6592" s="491">
        <f t="shared" si="102"/>
        <v>35</v>
      </c>
    </row>
    <row r="6593" spans="1:7" ht="12.75">
      <c r="A6593" s="134" t="s">
        <v>910</v>
      </c>
      <c r="B6593" s="134">
        <v>301</v>
      </c>
      <c r="C6593" s="491">
        <v>2</v>
      </c>
      <c r="D6593" s="491">
        <v>0</v>
      </c>
      <c r="E6593" s="491">
        <v>0</v>
      </c>
      <c r="F6593" s="491">
        <v>0</v>
      </c>
      <c r="G6593" s="491">
        <f t="shared" si="102"/>
        <v>2</v>
      </c>
    </row>
    <row r="6594" spans="1:7" ht="12.75">
      <c r="A6594" s="134" t="s">
        <v>910</v>
      </c>
      <c r="B6594" s="134">
        <v>302</v>
      </c>
      <c r="C6594" s="491">
        <v>333</v>
      </c>
      <c r="D6594" s="491">
        <v>245</v>
      </c>
      <c r="E6594" s="491">
        <v>37</v>
      </c>
      <c r="F6594" s="491">
        <v>52</v>
      </c>
      <c r="G6594" s="491">
        <f t="shared" si="102"/>
        <v>667</v>
      </c>
    </row>
    <row r="6595" spans="1:7" ht="12.75">
      <c r="A6595" s="134" t="s">
        <v>910</v>
      </c>
      <c r="B6595" s="134">
        <v>303</v>
      </c>
      <c r="C6595" s="491">
        <v>4</v>
      </c>
      <c r="D6595" s="491">
        <v>2</v>
      </c>
      <c r="E6595" s="491">
        <v>0</v>
      </c>
      <c r="F6595" s="491">
        <v>0</v>
      </c>
      <c r="G6595" s="491">
        <f t="shared" si="102"/>
        <v>6</v>
      </c>
    </row>
    <row r="6596" spans="1:7" ht="12.75">
      <c r="A6596" s="134" t="s">
        <v>910</v>
      </c>
      <c r="B6596" s="134">
        <v>306</v>
      </c>
      <c r="C6596" s="491">
        <v>0</v>
      </c>
      <c r="D6596" s="491">
        <v>0</v>
      </c>
      <c r="E6596" s="491">
        <v>1</v>
      </c>
      <c r="F6596" s="491">
        <v>0</v>
      </c>
      <c r="G6596" s="491">
        <f t="shared" ref="G6596:G6659" si="103">SUM(C6596:F6596)</f>
        <v>1</v>
      </c>
    </row>
    <row r="6597" spans="1:7" ht="12.75">
      <c r="A6597" s="134" t="s">
        <v>910</v>
      </c>
      <c r="B6597" s="134">
        <v>307</v>
      </c>
      <c r="C6597" s="491">
        <v>7</v>
      </c>
      <c r="D6597" s="491">
        <v>1</v>
      </c>
      <c r="E6597" s="491">
        <v>1</v>
      </c>
      <c r="F6597" s="491">
        <v>1</v>
      </c>
      <c r="G6597" s="491">
        <f t="shared" si="103"/>
        <v>10</v>
      </c>
    </row>
    <row r="6598" spans="1:7" ht="12.75">
      <c r="A6598" s="134" t="s">
        <v>910</v>
      </c>
      <c r="B6598" s="134">
        <v>310</v>
      </c>
      <c r="C6598" s="491">
        <v>1</v>
      </c>
      <c r="D6598" s="491">
        <v>0</v>
      </c>
      <c r="E6598" s="491">
        <v>0</v>
      </c>
      <c r="F6598" s="491">
        <v>0</v>
      </c>
      <c r="G6598" s="491">
        <f t="shared" si="103"/>
        <v>1</v>
      </c>
    </row>
    <row r="6599" spans="1:7" ht="12.75">
      <c r="A6599" s="134" t="s">
        <v>910</v>
      </c>
      <c r="B6599" s="134">
        <v>314</v>
      </c>
      <c r="C6599" s="491">
        <v>0</v>
      </c>
      <c r="D6599" s="491">
        <v>1</v>
      </c>
      <c r="E6599" s="491">
        <v>0</v>
      </c>
      <c r="F6599" s="491">
        <v>0</v>
      </c>
      <c r="G6599" s="491">
        <f t="shared" si="103"/>
        <v>1</v>
      </c>
    </row>
    <row r="6600" spans="1:7" ht="12.75">
      <c r="A6600" s="134" t="s">
        <v>910</v>
      </c>
      <c r="B6600" s="134">
        <v>320</v>
      </c>
      <c r="C6600" s="491">
        <v>2</v>
      </c>
      <c r="D6600" s="491">
        <v>0</v>
      </c>
      <c r="E6600" s="491">
        <v>0</v>
      </c>
      <c r="F6600" s="491">
        <v>0</v>
      </c>
      <c r="G6600" s="491">
        <f t="shared" si="103"/>
        <v>2</v>
      </c>
    </row>
    <row r="6601" spans="1:7" ht="12.75">
      <c r="A6601" s="134" t="s">
        <v>910</v>
      </c>
      <c r="B6601" s="134">
        <v>330</v>
      </c>
      <c r="C6601" s="491">
        <v>1</v>
      </c>
      <c r="D6601" s="491">
        <v>0</v>
      </c>
      <c r="E6601" s="491">
        <v>0</v>
      </c>
      <c r="F6601" s="491">
        <v>0</v>
      </c>
      <c r="G6601" s="491">
        <f t="shared" si="103"/>
        <v>1</v>
      </c>
    </row>
    <row r="6602" spans="1:7" ht="12.75">
      <c r="A6602" s="134" t="s">
        <v>910</v>
      </c>
      <c r="B6602" s="134">
        <v>340</v>
      </c>
      <c r="C6602" s="491">
        <v>6</v>
      </c>
      <c r="D6602" s="491">
        <v>6</v>
      </c>
      <c r="E6602" s="491">
        <v>0</v>
      </c>
      <c r="F6602" s="491">
        <v>0</v>
      </c>
      <c r="G6602" s="491">
        <f t="shared" si="103"/>
        <v>12</v>
      </c>
    </row>
    <row r="6603" spans="1:7" ht="12.75">
      <c r="A6603" s="134" t="s">
        <v>910</v>
      </c>
      <c r="B6603" s="134">
        <v>361</v>
      </c>
      <c r="C6603" s="491">
        <v>2</v>
      </c>
      <c r="D6603" s="491">
        <v>0</v>
      </c>
      <c r="E6603" s="491">
        <v>0</v>
      </c>
      <c r="F6603" s="491">
        <v>0</v>
      </c>
      <c r="G6603" s="491">
        <f t="shared" si="103"/>
        <v>2</v>
      </c>
    </row>
    <row r="6604" spans="1:7" ht="12.75">
      <c r="A6604" s="134" t="s">
        <v>910</v>
      </c>
      <c r="B6604" s="134">
        <v>370</v>
      </c>
      <c r="C6604" s="491">
        <v>12</v>
      </c>
      <c r="D6604" s="491">
        <v>1</v>
      </c>
      <c r="E6604" s="491">
        <v>0</v>
      </c>
      <c r="F6604" s="491">
        <v>0</v>
      </c>
      <c r="G6604" s="491">
        <f t="shared" si="103"/>
        <v>13</v>
      </c>
    </row>
    <row r="6605" spans="1:7" ht="12.75">
      <c r="A6605" s="134" t="s">
        <v>910</v>
      </c>
      <c r="B6605" s="134">
        <v>410</v>
      </c>
      <c r="C6605" s="491">
        <v>4</v>
      </c>
      <c r="D6605" s="491">
        <v>2</v>
      </c>
      <c r="E6605" s="491">
        <v>0</v>
      </c>
      <c r="F6605" s="491">
        <v>0</v>
      </c>
      <c r="G6605" s="491">
        <f t="shared" si="103"/>
        <v>6</v>
      </c>
    </row>
    <row r="6606" spans="1:7" ht="12.75">
      <c r="A6606" s="134" t="s">
        <v>910</v>
      </c>
      <c r="B6606" s="134">
        <v>430</v>
      </c>
      <c r="C6606" s="491">
        <v>1</v>
      </c>
      <c r="D6606" s="491">
        <v>0</v>
      </c>
      <c r="E6606" s="491">
        <v>0</v>
      </c>
      <c r="F6606" s="491">
        <v>0</v>
      </c>
      <c r="G6606" s="491">
        <f t="shared" si="103"/>
        <v>1</v>
      </c>
    </row>
    <row r="6607" spans="1:7" ht="12.75">
      <c r="A6607" s="134" t="s">
        <v>910</v>
      </c>
      <c r="B6607" s="134">
        <v>501</v>
      </c>
      <c r="C6607" s="491">
        <v>1</v>
      </c>
      <c r="D6607" s="491">
        <v>1</v>
      </c>
      <c r="E6607" s="491">
        <v>0</v>
      </c>
      <c r="F6607" s="491">
        <v>0</v>
      </c>
      <c r="G6607" s="491">
        <f t="shared" si="103"/>
        <v>2</v>
      </c>
    </row>
    <row r="6608" spans="1:7" ht="12.75">
      <c r="A6608" s="134" t="s">
        <v>910</v>
      </c>
      <c r="B6608" s="134">
        <v>502</v>
      </c>
      <c r="C6608" s="491">
        <v>3</v>
      </c>
      <c r="D6608" s="491">
        <v>0</v>
      </c>
      <c r="E6608" s="491">
        <v>0</v>
      </c>
      <c r="F6608" s="491">
        <v>0</v>
      </c>
      <c r="G6608" s="491">
        <f t="shared" si="103"/>
        <v>3</v>
      </c>
    </row>
    <row r="6609" spans="1:7" ht="12.75">
      <c r="A6609" s="134" t="s">
        <v>910</v>
      </c>
      <c r="B6609" s="134">
        <v>654</v>
      </c>
      <c r="C6609" s="491">
        <v>1</v>
      </c>
      <c r="D6609" s="491">
        <v>0</v>
      </c>
      <c r="E6609" s="491">
        <v>0</v>
      </c>
      <c r="F6609" s="491">
        <v>0</v>
      </c>
      <c r="G6609" s="491">
        <f t="shared" si="103"/>
        <v>1</v>
      </c>
    </row>
    <row r="6610" spans="1:7" ht="12.75">
      <c r="A6610" s="134" t="s">
        <v>910</v>
      </c>
      <c r="B6610" s="134">
        <v>800</v>
      </c>
      <c r="C6610" s="491">
        <v>15</v>
      </c>
      <c r="D6610" s="491">
        <v>1</v>
      </c>
      <c r="E6610" s="491">
        <v>1</v>
      </c>
      <c r="F6610" s="491">
        <v>0</v>
      </c>
      <c r="G6610" s="491">
        <f t="shared" si="103"/>
        <v>17</v>
      </c>
    </row>
    <row r="6611" spans="1:7" ht="12.75">
      <c r="A6611" s="134" t="s">
        <v>910</v>
      </c>
      <c r="B6611" s="134">
        <v>811</v>
      </c>
      <c r="C6611" s="491">
        <v>260</v>
      </c>
      <c r="D6611" s="491">
        <v>610</v>
      </c>
      <c r="E6611" s="491">
        <v>0</v>
      </c>
      <c r="F6611" s="491">
        <v>2</v>
      </c>
      <c r="G6611" s="491">
        <f t="shared" si="103"/>
        <v>872</v>
      </c>
    </row>
    <row r="6612" spans="1:7" ht="12.75">
      <c r="A6612" s="134" t="s">
        <v>910</v>
      </c>
      <c r="B6612" s="134">
        <v>812</v>
      </c>
      <c r="C6612" s="491">
        <v>279</v>
      </c>
      <c r="D6612" s="491">
        <v>516</v>
      </c>
      <c r="E6612" s="491">
        <v>0</v>
      </c>
      <c r="F6612" s="491">
        <v>0</v>
      </c>
      <c r="G6612" s="491">
        <f t="shared" si="103"/>
        <v>795</v>
      </c>
    </row>
    <row r="6613" spans="1:7" ht="12.75">
      <c r="A6613" s="134" t="s">
        <v>910</v>
      </c>
      <c r="B6613" s="134">
        <v>822</v>
      </c>
      <c r="C6613" s="491">
        <v>12</v>
      </c>
      <c r="D6613" s="491">
        <v>0</v>
      </c>
      <c r="E6613" s="491">
        <v>0</v>
      </c>
      <c r="F6613" s="491">
        <v>0</v>
      </c>
      <c r="G6613" s="491">
        <f t="shared" si="103"/>
        <v>12</v>
      </c>
    </row>
    <row r="6614" spans="1:7" ht="12.75">
      <c r="A6614" s="134" t="s">
        <v>478</v>
      </c>
      <c r="B6614" s="134">
        <v>100</v>
      </c>
      <c r="C6614" s="491">
        <v>0</v>
      </c>
      <c r="D6614" s="491">
        <v>3</v>
      </c>
      <c r="E6614" s="491">
        <v>0</v>
      </c>
      <c r="F6614" s="491">
        <v>0</v>
      </c>
      <c r="G6614" s="491">
        <f t="shared" si="103"/>
        <v>3</v>
      </c>
    </row>
    <row r="6615" spans="1:7" ht="12.75">
      <c r="A6615" s="134" t="s">
        <v>478</v>
      </c>
      <c r="B6615" s="134">
        <v>102</v>
      </c>
      <c r="C6615" s="491">
        <v>8</v>
      </c>
      <c r="D6615" s="491">
        <v>0</v>
      </c>
      <c r="E6615" s="491">
        <v>0</v>
      </c>
      <c r="F6615" s="491">
        <v>0</v>
      </c>
      <c r="G6615" s="491">
        <f t="shared" si="103"/>
        <v>8</v>
      </c>
    </row>
    <row r="6616" spans="1:7" ht="12.75">
      <c r="A6616" s="134" t="s">
        <v>478</v>
      </c>
      <c r="B6616" s="134">
        <v>252</v>
      </c>
      <c r="C6616" s="491">
        <v>0</v>
      </c>
      <c r="D6616" s="491">
        <v>1</v>
      </c>
      <c r="E6616" s="491">
        <v>0</v>
      </c>
      <c r="F6616" s="491">
        <v>0</v>
      </c>
      <c r="G6616" s="491">
        <f t="shared" si="103"/>
        <v>1</v>
      </c>
    </row>
    <row r="6617" spans="1:7" ht="12.75">
      <c r="A6617" s="134" t="s">
        <v>478</v>
      </c>
      <c r="B6617" s="134">
        <v>263</v>
      </c>
      <c r="C6617" s="491">
        <v>4</v>
      </c>
      <c r="D6617" s="491">
        <v>0</v>
      </c>
      <c r="E6617" s="491">
        <v>68</v>
      </c>
      <c r="F6617" s="491">
        <v>0</v>
      </c>
      <c r="G6617" s="491">
        <f t="shared" si="103"/>
        <v>72</v>
      </c>
    </row>
    <row r="6618" spans="1:7" ht="12.75">
      <c r="A6618" s="134" t="s">
        <v>478</v>
      </c>
      <c r="B6618" s="134">
        <v>300</v>
      </c>
      <c r="C6618" s="491">
        <v>7</v>
      </c>
      <c r="D6618" s="491">
        <v>0</v>
      </c>
      <c r="E6618" s="491">
        <v>1</v>
      </c>
      <c r="F6618" s="491">
        <v>2</v>
      </c>
      <c r="G6618" s="491">
        <f t="shared" si="103"/>
        <v>10</v>
      </c>
    </row>
    <row r="6619" spans="1:7" ht="12.75">
      <c r="A6619" s="134" t="s">
        <v>478</v>
      </c>
      <c r="B6619" s="134">
        <v>302</v>
      </c>
      <c r="C6619" s="491">
        <v>3</v>
      </c>
      <c r="D6619" s="491">
        <v>0</v>
      </c>
      <c r="E6619" s="491">
        <v>0</v>
      </c>
      <c r="F6619" s="491">
        <v>0</v>
      </c>
      <c r="G6619" s="491">
        <f t="shared" si="103"/>
        <v>3</v>
      </c>
    </row>
    <row r="6620" spans="1:7" ht="12.75">
      <c r="A6620" s="134" t="s">
        <v>478</v>
      </c>
      <c r="B6620" s="134">
        <v>307</v>
      </c>
      <c r="C6620" s="491">
        <v>201</v>
      </c>
      <c r="D6620" s="491">
        <v>12</v>
      </c>
      <c r="E6620" s="491">
        <v>116</v>
      </c>
      <c r="F6620" s="491">
        <v>3</v>
      </c>
      <c r="G6620" s="491">
        <f t="shared" si="103"/>
        <v>332</v>
      </c>
    </row>
    <row r="6621" spans="1:7" ht="12.75">
      <c r="A6621" s="134" t="s">
        <v>478</v>
      </c>
      <c r="B6621" s="134">
        <v>330</v>
      </c>
      <c r="C6621" s="491">
        <v>1</v>
      </c>
      <c r="D6621" s="491">
        <v>0</v>
      </c>
      <c r="E6621" s="491">
        <v>0</v>
      </c>
      <c r="F6621" s="491">
        <v>0</v>
      </c>
      <c r="G6621" s="491">
        <f t="shared" si="103"/>
        <v>1</v>
      </c>
    </row>
    <row r="6622" spans="1:7" ht="12.75">
      <c r="A6622" s="134" t="s">
        <v>478</v>
      </c>
      <c r="B6622" s="134">
        <v>361</v>
      </c>
      <c r="C6622" s="491">
        <v>363</v>
      </c>
      <c r="D6622" s="491">
        <v>80</v>
      </c>
      <c r="E6622" s="491">
        <v>0</v>
      </c>
      <c r="F6622" s="491">
        <v>0</v>
      </c>
      <c r="G6622" s="491">
        <f t="shared" si="103"/>
        <v>443</v>
      </c>
    </row>
    <row r="6623" spans="1:7" ht="12.75">
      <c r="A6623" s="134" t="s">
        <v>478</v>
      </c>
      <c r="B6623" s="134">
        <v>370</v>
      </c>
      <c r="C6623" s="491">
        <v>1</v>
      </c>
      <c r="D6623" s="491">
        <v>0</v>
      </c>
      <c r="E6623" s="491">
        <v>0</v>
      </c>
      <c r="F6623" s="491">
        <v>0</v>
      </c>
      <c r="G6623" s="491">
        <f t="shared" si="103"/>
        <v>1</v>
      </c>
    </row>
    <row r="6624" spans="1:7" ht="12.75">
      <c r="A6624" s="134" t="s">
        <v>478</v>
      </c>
      <c r="B6624" s="134">
        <v>410</v>
      </c>
      <c r="C6624" s="491">
        <v>2</v>
      </c>
      <c r="D6624" s="491">
        <v>1</v>
      </c>
      <c r="E6624" s="491">
        <v>0</v>
      </c>
      <c r="F6624" s="491">
        <v>0</v>
      </c>
      <c r="G6624" s="491">
        <f t="shared" si="103"/>
        <v>3</v>
      </c>
    </row>
    <row r="6625" spans="1:7" ht="12.75">
      <c r="A6625" s="134" t="s">
        <v>478</v>
      </c>
      <c r="B6625" s="134">
        <v>420</v>
      </c>
      <c r="C6625" s="491">
        <v>7</v>
      </c>
      <c r="D6625" s="491">
        <v>2</v>
      </c>
      <c r="E6625" s="491">
        <v>0</v>
      </c>
      <c r="F6625" s="491">
        <v>0</v>
      </c>
      <c r="G6625" s="491">
        <f t="shared" si="103"/>
        <v>9</v>
      </c>
    </row>
    <row r="6626" spans="1:7" ht="12.75">
      <c r="A6626" s="134" t="s">
        <v>154</v>
      </c>
      <c r="B6626" s="134">
        <v>100</v>
      </c>
      <c r="C6626" s="491">
        <v>5</v>
      </c>
      <c r="D6626" s="491">
        <v>1</v>
      </c>
      <c r="E6626" s="491">
        <v>0</v>
      </c>
      <c r="F6626" s="491">
        <v>0</v>
      </c>
      <c r="G6626" s="491">
        <f t="shared" si="103"/>
        <v>6</v>
      </c>
    </row>
    <row r="6627" spans="1:7" ht="12.75">
      <c r="A6627" s="134" t="s">
        <v>154</v>
      </c>
      <c r="B6627" s="134">
        <v>101</v>
      </c>
      <c r="C6627" s="491">
        <v>6</v>
      </c>
      <c r="D6627" s="491">
        <v>1</v>
      </c>
      <c r="E6627" s="491">
        <v>0</v>
      </c>
      <c r="F6627" s="491">
        <v>0</v>
      </c>
      <c r="G6627" s="491">
        <f t="shared" si="103"/>
        <v>7</v>
      </c>
    </row>
    <row r="6628" spans="1:7" ht="12.75">
      <c r="A6628" s="134" t="s">
        <v>154</v>
      </c>
      <c r="B6628" s="134">
        <v>107</v>
      </c>
      <c r="C6628" s="491">
        <v>1</v>
      </c>
      <c r="D6628" s="491">
        <v>10</v>
      </c>
      <c r="E6628" s="491">
        <v>0</v>
      </c>
      <c r="F6628" s="491">
        <v>0</v>
      </c>
      <c r="G6628" s="491">
        <f t="shared" si="103"/>
        <v>11</v>
      </c>
    </row>
    <row r="6629" spans="1:7" ht="12.75">
      <c r="A6629" s="134" t="s">
        <v>154</v>
      </c>
      <c r="B6629" s="134">
        <v>110</v>
      </c>
      <c r="C6629" s="491">
        <v>10</v>
      </c>
      <c r="D6629" s="491">
        <v>8</v>
      </c>
      <c r="E6629" s="491">
        <v>0</v>
      </c>
      <c r="F6629" s="491">
        <v>0</v>
      </c>
      <c r="G6629" s="491">
        <f t="shared" si="103"/>
        <v>18</v>
      </c>
    </row>
    <row r="6630" spans="1:7" ht="12.75">
      <c r="A6630" s="134" t="s">
        <v>154</v>
      </c>
      <c r="B6630" s="134">
        <v>120</v>
      </c>
      <c r="C6630" s="491">
        <v>0</v>
      </c>
      <c r="D6630" s="491">
        <v>1</v>
      </c>
      <c r="E6630" s="491">
        <v>0</v>
      </c>
      <c r="F6630" s="491">
        <v>0</v>
      </c>
      <c r="G6630" s="491">
        <f t="shared" si="103"/>
        <v>1</v>
      </c>
    </row>
    <row r="6631" spans="1:7" ht="12.75">
      <c r="A6631" s="134" t="s">
        <v>154</v>
      </c>
      <c r="B6631" s="134">
        <v>140</v>
      </c>
      <c r="C6631" s="491">
        <v>1</v>
      </c>
      <c r="D6631" s="491">
        <v>0</v>
      </c>
      <c r="E6631" s="491">
        <v>0</v>
      </c>
      <c r="F6631" s="491">
        <v>0</v>
      </c>
      <c r="G6631" s="491">
        <f t="shared" si="103"/>
        <v>1</v>
      </c>
    </row>
    <row r="6632" spans="1:7" ht="12.75">
      <c r="A6632" s="134" t="s">
        <v>154</v>
      </c>
      <c r="B6632" s="134">
        <v>160</v>
      </c>
      <c r="C6632" s="491">
        <v>0</v>
      </c>
      <c r="D6632" s="491">
        <v>1</v>
      </c>
      <c r="E6632" s="491">
        <v>0</v>
      </c>
      <c r="F6632" s="491">
        <v>0</v>
      </c>
      <c r="G6632" s="491">
        <f t="shared" si="103"/>
        <v>1</v>
      </c>
    </row>
    <row r="6633" spans="1:7" ht="12.75">
      <c r="A6633" s="134" t="s">
        <v>154</v>
      </c>
      <c r="B6633" s="134">
        <v>290</v>
      </c>
      <c r="C6633" s="491">
        <v>4</v>
      </c>
      <c r="D6633" s="491">
        <v>0</v>
      </c>
      <c r="E6633" s="491">
        <v>0</v>
      </c>
      <c r="F6633" s="491">
        <v>0</v>
      </c>
      <c r="G6633" s="491">
        <f t="shared" si="103"/>
        <v>4</v>
      </c>
    </row>
    <row r="6634" spans="1:7" ht="12.75">
      <c r="A6634" s="134" t="s">
        <v>154</v>
      </c>
      <c r="B6634" s="134">
        <v>300</v>
      </c>
      <c r="C6634" s="491">
        <v>8</v>
      </c>
      <c r="D6634" s="491">
        <v>0</v>
      </c>
      <c r="E6634" s="491">
        <v>0</v>
      </c>
      <c r="F6634" s="491">
        <v>0</v>
      </c>
      <c r="G6634" s="491">
        <f t="shared" si="103"/>
        <v>8</v>
      </c>
    </row>
    <row r="6635" spans="1:7" ht="12.75">
      <c r="A6635" s="134" t="s">
        <v>154</v>
      </c>
      <c r="B6635" s="134">
        <v>320</v>
      </c>
      <c r="C6635" s="491">
        <v>0</v>
      </c>
      <c r="D6635" s="491">
        <v>3</v>
      </c>
      <c r="E6635" s="491">
        <v>0</v>
      </c>
      <c r="F6635" s="491">
        <v>0</v>
      </c>
      <c r="G6635" s="491">
        <f t="shared" si="103"/>
        <v>3</v>
      </c>
    </row>
    <row r="6636" spans="1:7" ht="12.75">
      <c r="A6636" s="134" t="s">
        <v>154</v>
      </c>
      <c r="B6636" s="134">
        <v>330</v>
      </c>
      <c r="C6636" s="491">
        <v>2</v>
      </c>
      <c r="D6636" s="491">
        <v>2</v>
      </c>
      <c r="E6636" s="491">
        <v>1</v>
      </c>
      <c r="F6636" s="491">
        <v>0</v>
      </c>
      <c r="G6636" s="491">
        <f t="shared" si="103"/>
        <v>5</v>
      </c>
    </row>
    <row r="6637" spans="1:7" ht="12.75">
      <c r="A6637" s="134" t="s">
        <v>154</v>
      </c>
      <c r="B6637" s="134">
        <v>361</v>
      </c>
      <c r="C6637" s="491">
        <v>218</v>
      </c>
      <c r="D6637" s="491">
        <v>16</v>
      </c>
      <c r="E6637" s="491">
        <v>5</v>
      </c>
      <c r="F6637" s="491">
        <v>0</v>
      </c>
      <c r="G6637" s="491">
        <f t="shared" si="103"/>
        <v>239</v>
      </c>
    </row>
    <row r="6638" spans="1:7" ht="12.75">
      <c r="A6638" s="134" t="s">
        <v>154</v>
      </c>
      <c r="B6638" s="134">
        <v>370</v>
      </c>
      <c r="C6638" s="491">
        <v>1</v>
      </c>
      <c r="D6638" s="491">
        <v>0</v>
      </c>
      <c r="E6638" s="491">
        <v>0</v>
      </c>
      <c r="F6638" s="491">
        <v>0</v>
      </c>
      <c r="G6638" s="491">
        <f t="shared" si="103"/>
        <v>1</v>
      </c>
    </row>
    <row r="6639" spans="1:7" ht="12.75">
      <c r="A6639" s="134" t="s">
        <v>154</v>
      </c>
      <c r="B6639" s="134">
        <v>410</v>
      </c>
      <c r="C6639" s="491">
        <v>3</v>
      </c>
      <c r="D6639" s="491">
        <v>1</v>
      </c>
      <c r="E6639" s="491">
        <v>0</v>
      </c>
      <c r="F6639" s="491">
        <v>0</v>
      </c>
      <c r="G6639" s="491">
        <f t="shared" si="103"/>
        <v>4</v>
      </c>
    </row>
    <row r="6640" spans="1:7" ht="12.75">
      <c r="A6640" s="134" t="s">
        <v>154</v>
      </c>
      <c r="B6640" s="134">
        <v>420</v>
      </c>
      <c r="C6640" s="491">
        <v>1</v>
      </c>
      <c r="D6640" s="491">
        <v>0</v>
      </c>
      <c r="E6640" s="491">
        <v>0</v>
      </c>
      <c r="F6640" s="491">
        <v>0</v>
      </c>
      <c r="G6640" s="491">
        <f t="shared" si="103"/>
        <v>1</v>
      </c>
    </row>
    <row r="6641" spans="1:7" ht="12.75">
      <c r="A6641" s="134" t="s">
        <v>154</v>
      </c>
      <c r="B6641" s="134">
        <v>501</v>
      </c>
      <c r="C6641" s="491">
        <v>0</v>
      </c>
      <c r="D6641" s="491">
        <v>0</v>
      </c>
      <c r="E6641" s="491">
        <v>1</v>
      </c>
      <c r="F6641" s="491">
        <v>0</v>
      </c>
      <c r="G6641" s="491">
        <f t="shared" si="103"/>
        <v>1</v>
      </c>
    </row>
    <row r="6642" spans="1:7" ht="12.75">
      <c r="A6642" s="134" t="s">
        <v>154</v>
      </c>
      <c r="B6642" s="134">
        <v>502</v>
      </c>
      <c r="C6642" s="491">
        <v>1</v>
      </c>
      <c r="D6642" s="491">
        <v>0</v>
      </c>
      <c r="E6642" s="491">
        <v>0</v>
      </c>
      <c r="F6642" s="491">
        <v>0</v>
      </c>
      <c r="G6642" s="491">
        <f t="shared" si="103"/>
        <v>1</v>
      </c>
    </row>
    <row r="6643" spans="1:7" ht="12.75">
      <c r="A6643" s="134" t="s">
        <v>154</v>
      </c>
      <c r="B6643" s="134">
        <v>560</v>
      </c>
      <c r="C6643" s="491">
        <v>0</v>
      </c>
      <c r="D6643" s="491">
        <v>0</v>
      </c>
      <c r="E6643" s="491">
        <v>1</v>
      </c>
      <c r="F6643" s="491">
        <v>0</v>
      </c>
      <c r="G6643" s="491">
        <f t="shared" si="103"/>
        <v>1</v>
      </c>
    </row>
    <row r="6644" spans="1:7" ht="12.75">
      <c r="A6644" s="134" t="s">
        <v>154</v>
      </c>
      <c r="B6644" s="134">
        <v>651</v>
      </c>
      <c r="C6644" s="491">
        <v>1</v>
      </c>
      <c r="D6644" s="491">
        <v>0</v>
      </c>
      <c r="E6644" s="491">
        <v>0</v>
      </c>
      <c r="F6644" s="491">
        <v>0</v>
      </c>
      <c r="G6644" s="491">
        <f t="shared" si="103"/>
        <v>1</v>
      </c>
    </row>
    <row r="6645" spans="1:7" ht="12.75">
      <c r="A6645" s="134" t="s">
        <v>154</v>
      </c>
      <c r="B6645" s="134">
        <v>812</v>
      </c>
      <c r="C6645" s="491">
        <v>21</v>
      </c>
      <c r="D6645" s="491">
        <v>190</v>
      </c>
      <c r="E6645" s="491">
        <v>0</v>
      </c>
      <c r="F6645" s="491">
        <v>3</v>
      </c>
      <c r="G6645" s="491">
        <f t="shared" si="103"/>
        <v>214</v>
      </c>
    </row>
    <row r="6646" spans="1:7" ht="12.75">
      <c r="A6646" s="134" t="s">
        <v>155</v>
      </c>
      <c r="B6646" s="134">
        <v>102</v>
      </c>
      <c r="C6646" s="491">
        <v>42</v>
      </c>
      <c r="D6646" s="491">
        <v>190</v>
      </c>
      <c r="E6646" s="491">
        <v>0</v>
      </c>
      <c r="F6646" s="491">
        <v>1</v>
      </c>
      <c r="G6646" s="491">
        <f t="shared" si="103"/>
        <v>233</v>
      </c>
    </row>
    <row r="6647" spans="1:7" ht="12.75">
      <c r="A6647" s="134" t="s">
        <v>155</v>
      </c>
      <c r="B6647" s="134">
        <v>300</v>
      </c>
      <c r="C6647" s="491">
        <v>1</v>
      </c>
      <c r="D6647" s="491">
        <v>0</v>
      </c>
      <c r="E6647" s="491">
        <v>0</v>
      </c>
      <c r="F6647" s="491">
        <v>0</v>
      </c>
      <c r="G6647" s="491">
        <f t="shared" si="103"/>
        <v>1</v>
      </c>
    </row>
    <row r="6648" spans="1:7" ht="12.75">
      <c r="A6648" s="134" t="s">
        <v>155</v>
      </c>
      <c r="B6648" s="134">
        <v>361</v>
      </c>
      <c r="C6648" s="491">
        <v>215</v>
      </c>
      <c r="D6648" s="491">
        <v>134</v>
      </c>
      <c r="E6648" s="491">
        <v>2</v>
      </c>
      <c r="F6648" s="491">
        <v>7</v>
      </c>
      <c r="G6648" s="491">
        <f t="shared" si="103"/>
        <v>358</v>
      </c>
    </row>
    <row r="6649" spans="1:7" ht="12.75">
      <c r="A6649" s="134" t="s">
        <v>156</v>
      </c>
      <c r="B6649" s="134">
        <v>100</v>
      </c>
      <c r="C6649" s="491">
        <v>18</v>
      </c>
      <c r="D6649" s="491">
        <v>5</v>
      </c>
      <c r="E6649" s="491">
        <v>0</v>
      </c>
      <c r="F6649" s="491">
        <v>0</v>
      </c>
      <c r="G6649" s="491">
        <f t="shared" si="103"/>
        <v>23</v>
      </c>
    </row>
    <row r="6650" spans="1:7" ht="12.75">
      <c r="A6650" s="134" t="s">
        <v>156</v>
      </c>
      <c r="B6650" s="134">
        <v>101</v>
      </c>
      <c r="C6650" s="491">
        <v>1</v>
      </c>
      <c r="D6650" s="491">
        <v>0</v>
      </c>
      <c r="E6650" s="491">
        <v>0</v>
      </c>
      <c r="F6650" s="491">
        <v>0</v>
      </c>
      <c r="G6650" s="491">
        <f t="shared" si="103"/>
        <v>1</v>
      </c>
    </row>
    <row r="6651" spans="1:7" ht="12.75">
      <c r="A6651" s="134" t="s">
        <v>156</v>
      </c>
      <c r="B6651" s="134">
        <v>102</v>
      </c>
      <c r="C6651" s="491">
        <v>137</v>
      </c>
      <c r="D6651" s="491">
        <v>53</v>
      </c>
      <c r="E6651" s="491">
        <v>41</v>
      </c>
      <c r="F6651" s="491">
        <v>2</v>
      </c>
      <c r="G6651" s="491">
        <f t="shared" si="103"/>
        <v>233</v>
      </c>
    </row>
    <row r="6652" spans="1:7" ht="12.75">
      <c r="A6652" s="134" t="s">
        <v>156</v>
      </c>
      <c r="B6652" s="134">
        <v>303</v>
      </c>
      <c r="C6652" s="491">
        <v>1</v>
      </c>
      <c r="D6652" s="491">
        <v>0</v>
      </c>
      <c r="E6652" s="491">
        <v>0</v>
      </c>
      <c r="F6652" s="491">
        <v>0</v>
      </c>
      <c r="G6652" s="491">
        <f t="shared" si="103"/>
        <v>1</v>
      </c>
    </row>
    <row r="6653" spans="1:7" ht="12.75">
      <c r="A6653" s="134" t="s">
        <v>156</v>
      </c>
      <c r="B6653" s="134">
        <v>361</v>
      </c>
      <c r="C6653" s="491">
        <v>445</v>
      </c>
      <c r="D6653" s="491">
        <v>331</v>
      </c>
      <c r="E6653" s="491">
        <v>33</v>
      </c>
      <c r="F6653" s="491">
        <v>8</v>
      </c>
      <c r="G6653" s="491">
        <f t="shared" si="103"/>
        <v>817</v>
      </c>
    </row>
    <row r="6654" spans="1:7" ht="12.75">
      <c r="A6654" s="134" t="s">
        <v>157</v>
      </c>
      <c r="B6654" s="134">
        <v>100</v>
      </c>
      <c r="C6654" s="491">
        <v>186</v>
      </c>
      <c r="D6654" s="491">
        <v>16</v>
      </c>
      <c r="E6654" s="491">
        <v>0</v>
      </c>
      <c r="F6654" s="491">
        <v>0</v>
      </c>
      <c r="G6654" s="491">
        <f t="shared" si="103"/>
        <v>202</v>
      </c>
    </row>
    <row r="6655" spans="1:7" ht="12.75">
      <c r="A6655" s="134" t="s">
        <v>157</v>
      </c>
      <c r="B6655" s="134">
        <v>102</v>
      </c>
      <c r="C6655" s="491">
        <v>214</v>
      </c>
      <c r="D6655" s="491">
        <v>144</v>
      </c>
      <c r="E6655" s="491">
        <v>107</v>
      </c>
      <c r="F6655" s="491">
        <v>9</v>
      </c>
      <c r="G6655" s="491">
        <f t="shared" si="103"/>
        <v>474</v>
      </c>
    </row>
    <row r="6656" spans="1:7" ht="12.75">
      <c r="A6656" s="134" t="s">
        <v>157</v>
      </c>
      <c r="B6656" s="134">
        <v>300</v>
      </c>
      <c r="C6656" s="491">
        <v>3</v>
      </c>
      <c r="D6656" s="491">
        <v>0</v>
      </c>
      <c r="E6656" s="491">
        <v>2</v>
      </c>
      <c r="F6656" s="491">
        <v>0</v>
      </c>
      <c r="G6656" s="491">
        <f t="shared" si="103"/>
        <v>5</v>
      </c>
    </row>
    <row r="6657" spans="1:7" ht="12.75">
      <c r="A6657" s="134" t="s">
        <v>157</v>
      </c>
      <c r="B6657" s="134">
        <v>361</v>
      </c>
      <c r="C6657" s="491">
        <v>1291</v>
      </c>
      <c r="D6657" s="491">
        <v>291</v>
      </c>
      <c r="E6657" s="491">
        <v>138</v>
      </c>
      <c r="F6657" s="491">
        <v>3</v>
      </c>
      <c r="G6657" s="491">
        <f t="shared" si="103"/>
        <v>1723</v>
      </c>
    </row>
    <row r="6658" spans="1:7" ht="12.75">
      <c r="A6658" s="134" t="s">
        <v>1061</v>
      </c>
      <c r="B6658" s="134">
        <v>102</v>
      </c>
      <c r="C6658" s="491">
        <v>1</v>
      </c>
      <c r="D6658" s="491">
        <v>0</v>
      </c>
      <c r="E6658" s="491">
        <v>2</v>
      </c>
      <c r="F6658" s="491">
        <v>0</v>
      </c>
      <c r="G6658" s="491">
        <f t="shared" si="103"/>
        <v>3</v>
      </c>
    </row>
    <row r="6659" spans="1:7" ht="12.75">
      <c r="A6659" s="134" t="s">
        <v>1061</v>
      </c>
      <c r="B6659" s="134">
        <v>361</v>
      </c>
      <c r="C6659" s="491">
        <v>3</v>
      </c>
      <c r="D6659" s="491">
        <v>1</v>
      </c>
      <c r="E6659" s="491">
        <v>0</v>
      </c>
      <c r="F6659" s="491">
        <v>0</v>
      </c>
      <c r="G6659" s="491">
        <f t="shared" si="103"/>
        <v>4</v>
      </c>
    </row>
    <row r="6660" spans="1:7" ht="12.75">
      <c r="A6660" s="134" t="s">
        <v>158</v>
      </c>
      <c r="B6660" s="134">
        <v>100</v>
      </c>
      <c r="C6660" s="491">
        <v>401</v>
      </c>
      <c r="D6660" s="491">
        <v>0</v>
      </c>
      <c r="E6660" s="491">
        <v>0</v>
      </c>
      <c r="F6660" s="491">
        <v>0</v>
      </c>
      <c r="G6660" s="491">
        <f t="shared" ref="G6660:G6723" si="104">SUM(C6660:F6660)</f>
        <v>401</v>
      </c>
    </row>
    <row r="6661" spans="1:7" ht="12.75">
      <c r="A6661" s="134" t="s">
        <v>158</v>
      </c>
      <c r="B6661" s="134">
        <v>101</v>
      </c>
      <c r="C6661" s="491">
        <v>1</v>
      </c>
      <c r="D6661" s="491">
        <v>0</v>
      </c>
      <c r="E6661" s="491">
        <v>0</v>
      </c>
      <c r="F6661" s="491">
        <v>0</v>
      </c>
      <c r="G6661" s="491">
        <f t="shared" si="104"/>
        <v>1</v>
      </c>
    </row>
    <row r="6662" spans="1:7" ht="12.75">
      <c r="A6662" s="134" t="s">
        <v>158</v>
      </c>
      <c r="B6662" s="134">
        <v>102</v>
      </c>
      <c r="C6662" s="491">
        <v>6406</v>
      </c>
      <c r="D6662" s="491">
        <v>63</v>
      </c>
      <c r="E6662" s="491">
        <v>217</v>
      </c>
      <c r="F6662" s="491">
        <v>3</v>
      </c>
      <c r="G6662" s="491">
        <f t="shared" si="104"/>
        <v>6689</v>
      </c>
    </row>
    <row r="6663" spans="1:7" ht="12.75">
      <c r="A6663" s="134" t="s">
        <v>158</v>
      </c>
      <c r="B6663" s="134">
        <v>110</v>
      </c>
      <c r="C6663" s="491">
        <v>1</v>
      </c>
      <c r="D6663" s="491">
        <v>0</v>
      </c>
      <c r="E6663" s="491">
        <v>0</v>
      </c>
      <c r="F6663" s="491">
        <v>0</v>
      </c>
      <c r="G6663" s="491">
        <f t="shared" si="104"/>
        <v>1</v>
      </c>
    </row>
    <row r="6664" spans="1:7" ht="12.75">
      <c r="A6664" s="134" t="s">
        <v>158</v>
      </c>
      <c r="B6664" s="134">
        <v>300</v>
      </c>
      <c r="C6664" s="491">
        <v>2</v>
      </c>
      <c r="D6664" s="491">
        <v>0</v>
      </c>
      <c r="E6664" s="491">
        <v>0</v>
      </c>
      <c r="F6664" s="491">
        <v>0</v>
      </c>
      <c r="G6664" s="491">
        <f t="shared" si="104"/>
        <v>2</v>
      </c>
    </row>
    <row r="6665" spans="1:7" ht="12.75">
      <c r="A6665" s="134" t="s">
        <v>158</v>
      </c>
      <c r="B6665" s="134">
        <v>301</v>
      </c>
      <c r="C6665" s="491">
        <v>1</v>
      </c>
      <c r="D6665" s="491">
        <v>0</v>
      </c>
      <c r="E6665" s="491">
        <v>0</v>
      </c>
      <c r="F6665" s="491">
        <v>0</v>
      </c>
      <c r="G6665" s="491">
        <f t="shared" si="104"/>
        <v>1</v>
      </c>
    </row>
    <row r="6666" spans="1:7" ht="12.75">
      <c r="A6666" s="134" t="s">
        <v>158</v>
      </c>
      <c r="B6666" s="134">
        <v>307</v>
      </c>
      <c r="C6666" s="491">
        <v>1</v>
      </c>
      <c r="D6666" s="491">
        <v>0</v>
      </c>
      <c r="E6666" s="491">
        <v>0</v>
      </c>
      <c r="F6666" s="491">
        <v>0</v>
      </c>
      <c r="G6666" s="491">
        <f t="shared" si="104"/>
        <v>1</v>
      </c>
    </row>
    <row r="6667" spans="1:7" ht="12.75">
      <c r="A6667" s="134" t="s">
        <v>158</v>
      </c>
      <c r="B6667" s="134">
        <v>323</v>
      </c>
      <c r="C6667" s="491">
        <v>1</v>
      </c>
      <c r="D6667" s="491">
        <v>0</v>
      </c>
      <c r="E6667" s="491">
        <v>0</v>
      </c>
      <c r="F6667" s="491">
        <v>0</v>
      </c>
      <c r="G6667" s="491">
        <f t="shared" si="104"/>
        <v>1</v>
      </c>
    </row>
    <row r="6668" spans="1:7" ht="12.75">
      <c r="A6668" s="134" t="s">
        <v>158</v>
      </c>
      <c r="B6668" s="134">
        <v>324</v>
      </c>
      <c r="C6668" s="491">
        <v>1</v>
      </c>
      <c r="D6668" s="491">
        <v>0</v>
      </c>
      <c r="E6668" s="491">
        <v>0</v>
      </c>
      <c r="F6668" s="491">
        <v>0</v>
      </c>
      <c r="G6668" s="491">
        <f t="shared" si="104"/>
        <v>1</v>
      </c>
    </row>
    <row r="6669" spans="1:7" ht="12.75">
      <c r="A6669" s="134" t="s">
        <v>158</v>
      </c>
      <c r="B6669" s="134">
        <v>330</v>
      </c>
      <c r="C6669" s="491">
        <v>2</v>
      </c>
      <c r="D6669" s="491">
        <v>0</v>
      </c>
      <c r="E6669" s="491">
        <v>0</v>
      </c>
      <c r="F6669" s="491">
        <v>0</v>
      </c>
      <c r="G6669" s="491">
        <f t="shared" si="104"/>
        <v>2</v>
      </c>
    </row>
    <row r="6670" spans="1:7" ht="12.75">
      <c r="A6670" s="134" t="s">
        <v>158</v>
      </c>
      <c r="B6670" s="134">
        <v>361</v>
      </c>
      <c r="C6670" s="491">
        <v>12856</v>
      </c>
      <c r="D6670" s="491">
        <v>205</v>
      </c>
      <c r="E6670" s="491">
        <v>1047</v>
      </c>
      <c r="F6670" s="491">
        <v>2</v>
      </c>
      <c r="G6670" s="491">
        <f t="shared" si="104"/>
        <v>14110</v>
      </c>
    </row>
    <row r="6671" spans="1:7" ht="12.75">
      <c r="A6671" s="134" t="s">
        <v>158</v>
      </c>
      <c r="B6671" s="134">
        <v>370</v>
      </c>
      <c r="C6671" s="491">
        <v>1</v>
      </c>
      <c r="D6671" s="491">
        <v>0</v>
      </c>
      <c r="E6671" s="491">
        <v>0</v>
      </c>
      <c r="F6671" s="491">
        <v>0</v>
      </c>
      <c r="G6671" s="491">
        <f t="shared" si="104"/>
        <v>1</v>
      </c>
    </row>
    <row r="6672" spans="1:7" ht="12.75">
      <c r="A6672" s="134" t="s">
        <v>158</v>
      </c>
      <c r="B6672" s="134">
        <v>420</v>
      </c>
      <c r="C6672" s="491">
        <v>4</v>
      </c>
      <c r="D6672" s="491">
        <v>0</v>
      </c>
      <c r="E6672" s="491">
        <v>0</v>
      </c>
      <c r="F6672" s="491">
        <v>0</v>
      </c>
      <c r="G6672" s="491">
        <f t="shared" si="104"/>
        <v>4</v>
      </c>
    </row>
    <row r="6673" spans="1:7" ht="12.75">
      <c r="A6673" s="134" t="s">
        <v>158</v>
      </c>
      <c r="B6673" s="134">
        <v>653</v>
      </c>
      <c r="C6673" s="491">
        <v>0</v>
      </c>
      <c r="D6673" s="491">
        <v>0</v>
      </c>
      <c r="E6673" s="491">
        <v>1</v>
      </c>
      <c r="F6673" s="491">
        <v>0</v>
      </c>
      <c r="G6673" s="491">
        <f t="shared" si="104"/>
        <v>1</v>
      </c>
    </row>
    <row r="6674" spans="1:7" ht="12.75">
      <c r="A6674" s="134" t="s">
        <v>1071</v>
      </c>
      <c r="B6674" s="134">
        <v>102</v>
      </c>
      <c r="C6674" s="491">
        <v>13</v>
      </c>
      <c r="D6674" s="491">
        <v>1</v>
      </c>
      <c r="E6674" s="491">
        <v>3</v>
      </c>
      <c r="F6674" s="491">
        <v>0</v>
      </c>
      <c r="G6674" s="491">
        <f t="shared" si="104"/>
        <v>17</v>
      </c>
    </row>
    <row r="6675" spans="1:7" ht="12.75">
      <c r="A6675" s="134" t="s">
        <v>1071</v>
      </c>
      <c r="B6675" s="134">
        <v>259</v>
      </c>
      <c r="C6675" s="491">
        <v>26</v>
      </c>
      <c r="D6675" s="491">
        <v>1</v>
      </c>
      <c r="E6675" s="491">
        <v>0</v>
      </c>
      <c r="F6675" s="491">
        <v>0</v>
      </c>
      <c r="G6675" s="491">
        <f t="shared" si="104"/>
        <v>27</v>
      </c>
    </row>
    <row r="6676" spans="1:7" ht="12.75">
      <c r="A6676" s="134" t="s">
        <v>1071</v>
      </c>
      <c r="B6676" s="134">
        <v>361</v>
      </c>
      <c r="C6676" s="491">
        <v>68</v>
      </c>
      <c r="D6676" s="491">
        <v>2</v>
      </c>
      <c r="E6676" s="491">
        <v>5</v>
      </c>
      <c r="F6676" s="491">
        <v>0</v>
      </c>
      <c r="G6676" s="491">
        <f t="shared" si="104"/>
        <v>75</v>
      </c>
    </row>
    <row r="6677" spans="1:7" ht="12.75">
      <c r="A6677" s="134" t="s">
        <v>1071</v>
      </c>
      <c r="B6677" s="134">
        <v>420</v>
      </c>
      <c r="C6677" s="491">
        <v>9</v>
      </c>
      <c r="D6677" s="491">
        <v>0</v>
      </c>
      <c r="E6677" s="491">
        <v>0</v>
      </c>
      <c r="F6677" s="491">
        <v>0</v>
      </c>
      <c r="G6677" s="491">
        <f t="shared" si="104"/>
        <v>9</v>
      </c>
    </row>
    <row r="6678" spans="1:7" ht="12.75">
      <c r="A6678" s="134" t="s">
        <v>159</v>
      </c>
      <c r="B6678" s="134">
        <v>100</v>
      </c>
      <c r="C6678" s="491">
        <v>20</v>
      </c>
      <c r="D6678" s="491">
        <v>0</v>
      </c>
      <c r="E6678" s="491">
        <v>0</v>
      </c>
      <c r="F6678" s="491">
        <v>0</v>
      </c>
      <c r="G6678" s="491">
        <f t="shared" si="104"/>
        <v>20</v>
      </c>
    </row>
    <row r="6679" spans="1:7" ht="12.75">
      <c r="A6679" s="134" t="s">
        <v>159</v>
      </c>
      <c r="B6679" s="134">
        <v>102</v>
      </c>
      <c r="C6679" s="491">
        <v>211</v>
      </c>
      <c r="D6679" s="491">
        <v>2</v>
      </c>
      <c r="E6679" s="491">
        <v>16</v>
      </c>
      <c r="F6679" s="491">
        <v>0</v>
      </c>
      <c r="G6679" s="491">
        <f t="shared" si="104"/>
        <v>229</v>
      </c>
    </row>
    <row r="6680" spans="1:7" ht="12.75">
      <c r="A6680" s="134" t="s">
        <v>159</v>
      </c>
      <c r="B6680" s="134">
        <v>361</v>
      </c>
      <c r="C6680" s="491">
        <v>677</v>
      </c>
      <c r="D6680" s="491">
        <v>34</v>
      </c>
      <c r="E6680" s="491">
        <v>3</v>
      </c>
      <c r="F6680" s="491">
        <v>0</v>
      </c>
      <c r="G6680" s="491">
        <f t="shared" si="104"/>
        <v>714</v>
      </c>
    </row>
    <row r="6681" spans="1:7" ht="12.75">
      <c r="A6681" s="134" t="s">
        <v>160</v>
      </c>
      <c r="B6681" s="134">
        <v>101</v>
      </c>
      <c r="C6681" s="491">
        <v>1</v>
      </c>
      <c r="D6681" s="491">
        <v>0</v>
      </c>
      <c r="E6681" s="491">
        <v>0</v>
      </c>
      <c r="F6681" s="491">
        <v>0</v>
      </c>
      <c r="G6681" s="491">
        <f t="shared" si="104"/>
        <v>1</v>
      </c>
    </row>
    <row r="6682" spans="1:7" ht="12.75">
      <c r="A6682" s="134" t="s">
        <v>160</v>
      </c>
      <c r="B6682" s="134">
        <v>211</v>
      </c>
      <c r="C6682" s="491">
        <v>1</v>
      </c>
      <c r="D6682" s="491">
        <v>0</v>
      </c>
      <c r="E6682" s="491">
        <v>0</v>
      </c>
      <c r="F6682" s="491">
        <v>0</v>
      </c>
      <c r="G6682" s="491">
        <f t="shared" si="104"/>
        <v>1</v>
      </c>
    </row>
    <row r="6683" spans="1:7" ht="12.75">
      <c r="A6683" s="134" t="s">
        <v>160</v>
      </c>
      <c r="B6683" s="134">
        <v>252</v>
      </c>
      <c r="C6683" s="491">
        <v>0</v>
      </c>
      <c r="D6683" s="491">
        <v>1</v>
      </c>
      <c r="E6683" s="491">
        <v>0</v>
      </c>
      <c r="F6683" s="491">
        <v>0</v>
      </c>
      <c r="G6683" s="491">
        <f t="shared" si="104"/>
        <v>1</v>
      </c>
    </row>
    <row r="6684" spans="1:7" ht="12.75">
      <c r="A6684" s="134" t="s">
        <v>160</v>
      </c>
      <c r="B6684" s="134">
        <v>330</v>
      </c>
      <c r="C6684" s="491">
        <v>0</v>
      </c>
      <c r="D6684" s="491">
        <v>1</v>
      </c>
      <c r="E6684" s="491">
        <v>0</v>
      </c>
      <c r="F6684" s="491">
        <v>0</v>
      </c>
      <c r="G6684" s="491">
        <f t="shared" si="104"/>
        <v>1</v>
      </c>
    </row>
    <row r="6685" spans="1:7" ht="12.75">
      <c r="A6685" s="134" t="s">
        <v>160</v>
      </c>
      <c r="B6685" s="134">
        <v>410</v>
      </c>
      <c r="C6685" s="491">
        <v>1</v>
      </c>
      <c r="D6685" s="491">
        <v>2</v>
      </c>
      <c r="E6685" s="491">
        <v>0</v>
      </c>
      <c r="F6685" s="491">
        <v>0</v>
      </c>
      <c r="G6685" s="491">
        <f t="shared" si="104"/>
        <v>3</v>
      </c>
    </row>
    <row r="6686" spans="1:7" ht="12.75">
      <c r="A6686" s="134" t="s">
        <v>160</v>
      </c>
      <c r="B6686" s="134">
        <v>420</v>
      </c>
      <c r="C6686" s="491">
        <v>8</v>
      </c>
      <c r="D6686" s="491">
        <v>15</v>
      </c>
      <c r="E6686" s="491">
        <v>0</v>
      </c>
      <c r="F6686" s="491">
        <v>0</v>
      </c>
      <c r="G6686" s="491">
        <f t="shared" si="104"/>
        <v>23</v>
      </c>
    </row>
    <row r="6687" spans="1:7" ht="12.75">
      <c r="A6687" s="134" t="s">
        <v>160</v>
      </c>
      <c r="B6687" s="134">
        <v>812</v>
      </c>
      <c r="C6687" s="491">
        <v>2</v>
      </c>
      <c r="D6687" s="491">
        <v>2</v>
      </c>
      <c r="E6687" s="491">
        <v>0</v>
      </c>
      <c r="F6687" s="491">
        <v>0</v>
      </c>
      <c r="G6687" s="491">
        <f t="shared" si="104"/>
        <v>4</v>
      </c>
    </row>
    <row r="6688" spans="1:7" ht="12.75">
      <c r="A6688" s="134" t="s">
        <v>911</v>
      </c>
      <c r="B6688" s="134">
        <v>100</v>
      </c>
      <c r="C6688" s="491">
        <v>2</v>
      </c>
      <c r="D6688" s="491">
        <v>3</v>
      </c>
      <c r="E6688" s="491">
        <v>0</v>
      </c>
      <c r="F6688" s="491">
        <v>0</v>
      </c>
      <c r="G6688" s="491">
        <f t="shared" si="104"/>
        <v>5</v>
      </c>
    </row>
    <row r="6689" spans="1:7" ht="12.75">
      <c r="A6689" s="134" t="s">
        <v>911</v>
      </c>
      <c r="B6689" s="134">
        <v>101</v>
      </c>
      <c r="C6689" s="491">
        <v>209</v>
      </c>
      <c r="D6689" s="491">
        <v>29</v>
      </c>
      <c r="E6689" s="491">
        <v>7</v>
      </c>
      <c r="F6689" s="491">
        <v>2</v>
      </c>
      <c r="G6689" s="491">
        <f t="shared" si="104"/>
        <v>247</v>
      </c>
    </row>
    <row r="6690" spans="1:7" ht="12.75">
      <c r="A6690" s="134" t="s">
        <v>911</v>
      </c>
      <c r="B6690" s="134">
        <v>102</v>
      </c>
      <c r="C6690" s="491">
        <v>63</v>
      </c>
      <c r="D6690" s="491">
        <v>1</v>
      </c>
      <c r="E6690" s="491">
        <v>1</v>
      </c>
      <c r="F6690" s="491">
        <v>0</v>
      </c>
      <c r="G6690" s="491">
        <f t="shared" si="104"/>
        <v>65</v>
      </c>
    </row>
    <row r="6691" spans="1:7" ht="12.75">
      <c r="A6691" s="134" t="s">
        <v>911</v>
      </c>
      <c r="B6691" s="134">
        <v>104</v>
      </c>
      <c r="C6691" s="491">
        <v>2</v>
      </c>
      <c r="D6691" s="491">
        <v>0</v>
      </c>
      <c r="E6691" s="491">
        <v>0</v>
      </c>
      <c r="F6691" s="491">
        <v>0</v>
      </c>
      <c r="G6691" s="491">
        <f t="shared" si="104"/>
        <v>2</v>
      </c>
    </row>
    <row r="6692" spans="1:7" ht="12.75">
      <c r="A6692" s="134" t="s">
        <v>911</v>
      </c>
      <c r="B6692" s="134">
        <v>130</v>
      </c>
      <c r="C6692" s="491">
        <v>4</v>
      </c>
      <c r="D6692" s="491">
        <v>0</v>
      </c>
      <c r="E6692" s="491">
        <v>0</v>
      </c>
      <c r="F6692" s="491">
        <v>0</v>
      </c>
      <c r="G6692" s="491">
        <f t="shared" si="104"/>
        <v>4</v>
      </c>
    </row>
    <row r="6693" spans="1:7" ht="12.75">
      <c r="A6693" s="134" t="s">
        <v>911</v>
      </c>
      <c r="B6693" s="134">
        <v>140</v>
      </c>
      <c r="C6693" s="491">
        <v>0</v>
      </c>
      <c r="D6693" s="491">
        <v>1</v>
      </c>
      <c r="E6693" s="491">
        <v>0</v>
      </c>
      <c r="F6693" s="491">
        <v>0</v>
      </c>
      <c r="G6693" s="491">
        <f t="shared" si="104"/>
        <v>1</v>
      </c>
    </row>
    <row r="6694" spans="1:7" ht="12.75">
      <c r="A6694" s="134" t="s">
        <v>911</v>
      </c>
      <c r="B6694" s="134">
        <v>144</v>
      </c>
      <c r="C6694" s="491">
        <v>0</v>
      </c>
      <c r="D6694" s="491">
        <v>1</v>
      </c>
      <c r="E6694" s="491">
        <v>0</v>
      </c>
      <c r="F6694" s="491">
        <v>0</v>
      </c>
      <c r="G6694" s="491">
        <f t="shared" si="104"/>
        <v>1</v>
      </c>
    </row>
    <row r="6695" spans="1:7" ht="12.75">
      <c r="A6695" s="134" t="s">
        <v>911</v>
      </c>
      <c r="B6695" s="134">
        <v>160</v>
      </c>
      <c r="C6695" s="491">
        <v>0</v>
      </c>
      <c r="D6695" s="491">
        <v>1</v>
      </c>
      <c r="E6695" s="491">
        <v>0</v>
      </c>
      <c r="F6695" s="491">
        <v>0</v>
      </c>
      <c r="G6695" s="491">
        <f t="shared" si="104"/>
        <v>1</v>
      </c>
    </row>
    <row r="6696" spans="1:7" ht="12.75">
      <c r="A6696" s="134" t="s">
        <v>911</v>
      </c>
      <c r="B6696" s="134">
        <v>172</v>
      </c>
      <c r="C6696" s="491">
        <v>0</v>
      </c>
      <c r="D6696" s="491">
        <v>1</v>
      </c>
      <c r="E6696" s="491">
        <v>0</v>
      </c>
      <c r="F6696" s="491">
        <v>0</v>
      </c>
      <c r="G6696" s="491">
        <f t="shared" si="104"/>
        <v>1</v>
      </c>
    </row>
    <row r="6697" spans="1:7" ht="12.75">
      <c r="A6697" s="134" t="s">
        <v>911</v>
      </c>
      <c r="B6697" s="134">
        <v>300</v>
      </c>
      <c r="C6697" s="491">
        <v>4</v>
      </c>
      <c r="D6697" s="491">
        <v>0</v>
      </c>
      <c r="E6697" s="491">
        <v>3</v>
      </c>
      <c r="F6697" s="491">
        <v>0</v>
      </c>
      <c r="G6697" s="491">
        <f t="shared" si="104"/>
        <v>7</v>
      </c>
    </row>
    <row r="6698" spans="1:7" ht="12.75">
      <c r="A6698" s="134" t="s">
        <v>911</v>
      </c>
      <c r="B6698" s="134">
        <v>301</v>
      </c>
      <c r="C6698" s="491">
        <v>0</v>
      </c>
      <c r="D6698" s="491">
        <v>2</v>
      </c>
      <c r="E6698" s="491">
        <v>0</v>
      </c>
      <c r="F6698" s="491">
        <v>0</v>
      </c>
      <c r="G6698" s="491">
        <f t="shared" si="104"/>
        <v>2</v>
      </c>
    </row>
    <row r="6699" spans="1:7" ht="12.75">
      <c r="A6699" s="134" t="s">
        <v>911</v>
      </c>
      <c r="B6699" s="134">
        <v>303</v>
      </c>
      <c r="C6699" s="491">
        <v>2</v>
      </c>
      <c r="D6699" s="491">
        <v>0</v>
      </c>
      <c r="E6699" s="491">
        <v>0</v>
      </c>
      <c r="F6699" s="491">
        <v>0</v>
      </c>
      <c r="G6699" s="491">
        <f t="shared" si="104"/>
        <v>2</v>
      </c>
    </row>
    <row r="6700" spans="1:7" ht="12.75">
      <c r="A6700" s="134" t="s">
        <v>911</v>
      </c>
      <c r="B6700" s="134">
        <v>306</v>
      </c>
      <c r="C6700" s="491">
        <v>0</v>
      </c>
      <c r="D6700" s="491">
        <v>1</v>
      </c>
      <c r="E6700" s="491">
        <v>0</v>
      </c>
      <c r="F6700" s="491">
        <v>0</v>
      </c>
      <c r="G6700" s="491">
        <f t="shared" si="104"/>
        <v>1</v>
      </c>
    </row>
    <row r="6701" spans="1:7" ht="12.75">
      <c r="A6701" s="134" t="s">
        <v>911</v>
      </c>
      <c r="B6701" s="134">
        <v>307</v>
      </c>
      <c r="C6701" s="491">
        <v>0</v>
      </c>
      <c r="D6701" s="491">
        <v>1</v>
      </c>
      <c r="E6701" s="491">
        <v>0</v>
      </c>
      <c r="F6701" s="491">
        <v>0</v>
      </c>
      <c r="G6701" s="491">
        <f t="shared" si="104"/>
        <v>1</v>
      </c>
    </row>
    <row r="6702" spans="1:7" ht="12.75">
      <c r="A6702" s="134" t="s">
        <v>911</v>
      </c>
      <c r="B6702" s="134">
        <v>310</v>
      </c>
      <c r="C6702" s="491">
        <v>1</v>
      </c>
      <c r="D6702" s="491">
        <v>0</v>
      </c>
      <c r="E6702" s="491">
        <v>0</v>
      </c>
      <c r="F6702" s="491">
        <v>0</v>
      </c>
      <c r="G6702" s="491">
        <f t="shared" si="104"/>
        <v>1</v>
      </c>
    </row>
    <row r="6703" spans="1:7" ht="12.75">
      <c r="A6703" s="134" t="s">
        <v>911</v>
      </c>
      <c r="B6703" s="134">
        <v>320</v>
      </c>
      <c r="C6703" s="491">
        <v>1</v>
      </c>
      <c r="D6703" s="491">
        <v>2</v>
      </c>
      <c r="E6703" s="491">
        <v>0</v>
      </c>
      <c r="F6703" s="491">
        <v>0</v>
      </c>
      <c r="G6703" s="491">
        <f t="shared" si="104"/>
        <v>3</v>
      </c>
    </row>
    <row r="6704" spans="1:7" ht="12.75">
      <c r="A6704" s="134" t="s">
        <v>911</v>
      </c>
      <c r="B6704" s="134">
        <v>323</v>
      </c>
      <c r="C6704" s="491">
        <v>3</v>
      </c>
      <c r="D6704" s="491">
        <v>0</v>
      </c>
      <c r="E6704" s="491">
        <v>0</v>
      </c>
      <c r="F6704" s="491">
        <v>0</v>
      </c>
      <c r="G6704" s="491">
        <f t="shared" si="104"/>
        <v>3</v>
      </c>
    </row>
    <row r="6705" spans="1:7" ht="12.75">
      <c r="A6705" s="134" t="s">
        <v>911</v>
      </c>
      <c r="B6705" s="134">
        <v>324</v>
      </c>
      <c r="C6705" s="491">
        <v>0</v>
      </c>
      <c r="D6705" s="491">
        <v>3</v>
      </c>
      <c r="E6705" s="491">
        <v>0</v>
      </c>
      <c r="F6705" s="491">
        <v>0</v>
      </c>
      <c r="G6705" s="491">
        <f t="shared" si="104"/>
        <v>3</v>
      </c>
    </row>
    <row r="6706" spans="1:7" ht="12.75">
      <c r="A6706" s="134" t="s">
        <v>911</v>
      </c>
      <c r="B6706" s="134">
        <v>340</v>
      </c>
      <c r="C6706" s="491">
        <v>0</v>
      </c>
      <c r="D6706" s="491">
        <v>2</v>
      </c>
      <c r="E6706" s="491">
        <v>0</v>
      </c>
      <c r="F6706" s="491">
        <v>0</v>
      </c>
      <c r="G6706" s="491">
        <f t="shared" si="104"/>
        <v>2</v>
      </c>
    </row>
    <row r="6707" spans="1:7" ht="12.75">
      <c r="A6707" s="134" t="s">
        <v>911</v>
      </c>
      <c r="B6707" s="134">
        <v>361</v>
      </c>
      <c r="C6707" s="491">
        <v>2</v>
      </c>
      <c r="D6707" s="491">
        <v>1</v>
      </c>
      <c r="E6707" s="491">
        <v>0</v>
      </c>
      <c r="F6707" s="491">
        <v>0</v>
      </c>
      <c r="G6707" s="491">
        <f t="shared" si="104"/>
        <v>3</v>
      </c>
    </row>
    <row r="6708" spans="1:7" ht="12.75">
      <c r="A6708" s="134" t="s">
        <v>911</v>
      </c>
      <c r="B6708" s="134">
        <v>370</v>
      </c>
      <c r="C6708" s="491">
        <v>6</v>
      </c>
      <c r="D6708" s="491">
        <v>1</v>
      </c>
      <c r="E6708" s="491">
        <v>0</v>
      </c>
      <c r="F6708" s="491">
        <v>0</v>
      </c>
      <c r="G6708" s="491">
        <f t="shared" si="104"/>
        <v>7</v>
      </c>
    </row>
    <row r="6709" spans="1:7" ht="12.75">
      <c r="A6709" s="134" t="s">
        <v>911</v>
      </c>
      <c r="B6709" s="134">
        <v>410</v>
      </c>
      <c r="C6709" s="491">
        <v>105</v>
      </c>
      <c r="D6709" s="491">
        <v>18</v>
      </c>
      <c r="E6709" s="491">
        <v>1</v>
      </c>
      <c r="F6709" s="491">
        <v>0</v>
      </c>
      <c r="G6709" s="491">
        <f t="shared" si="104"/>
        <v>124</v>
      </c>
    </row>
    <row r="6710" spans="1:7" ht="12.75">
      <c r="A6710" s="134" t="s">
        <v>911</v>
      </c>
      <c r="B6710" s="134">
        <v>430</v>
      </c>
      <c r="C6710" s="491">
        <v>0</v>
      </c>
      <c r="D6710" s="491">
        <v>1</v>
      </c>
      <c r="E6710" s="491">
        <v>0</v>
      </c>
      <c r="F6710" s="491">
        <v>0</v>
      </c>
      <c r="G6710" s="491">
        <f t="shared" si="104"/>
        <v>1</v>
      </c>
    </row>
    <row r="6711" spans="1:7" ht="12.75">
      <c r="A6711" s="134" t="s">
        <v>911</v>
      </c>
      <c r="B6711" s="134">
        <v>460</v>
      </c>
      <c r="C6711" s="491">
        <v>1</v>
      </c>
      <c r="D6711" s="491">
        <v>0</v>
      </c>
      <c r="E6711" s="491">
        <v>0</v>
      </c>
      <c r="F6711" s="491">
        <v>0</v>
      </c>
      <c r="G6711" s="491">
        <f t="shared" si="104"/>
        <v>1</v>
      </c>
    </row>
    <row r="6712" spans="1:7" ht="12.75">
      <c r="A6712" s="134" t="s">
        <v>911</v>
      </c>
      <c r="B6712" s="134">
        <v>502</v>
      </c>
      <c r="C6712" s="491">
        <v>9</v>
      </c>
      <c r="D6712" s="491">
        <v>1</v>
      </c>
      <c r="E6712" s="491">
        <v>0</v>
      </c>
      <c r="F6712" s="491">
        <v>0</v>
      </c>
      <c r="G6712" s="491">
        <f t="shared" si="104"/>
        <v>10</v>
      </c>
    </row>
    <row r="6713" spans="1:7" ht="12.75">
      <c r="A6713" s="134" t="s">
        <v>911</v>
      </c>
      <c r="B6713" s="134">
        <v>650</v>
      </c>
      <c r="C6713" s="491">
        <v>0</v>
      </c>
      <c r="D6713" s="491">
        <v>4</v>
      </c>
      <c r="E6713" s="491">
        <v>0</v>
      </c>
      <c r="F6713" s="491">
        <v>0</v>
      </c>
      <c r="G6713" s="491">
        <f t="shared" si="104"/>
        <v>4</v>
      </c>
    </row>
    <row r="6714" spans="1:7" ht="12.75">
      <c r="A6714" s="134" t="s">
        <v>911</v>
      </c>
      <c r="B6714" s="134">
        <v>800</v>
      </c>
      <c r="C6714" s="491">
        <v>6</v>
      </c>
      <c r="D6714" s="491">
        <v>0</v>
      </c>
      <c r="E6714" s="491">
        <v>0</v>
      </c>
      <c r="F6714" s="491">
        <v>0</v>
      </c>
      <c r="G6714" s="491">
        <f t="shared" si="104"/>
        <v>6</v>
      </c>
    </row>
    <row r="6715" spans="1:7" ht="12.75">
      <c r="A6715" s="134" t="s">
        <v>911</v>
      </c>
      <c r="B6715" s="134">
        <v>811</v>
      </c>
      <c r="C6715" s="491">
        <v>6</v>
      </c>
      <c r="D6715" s="491">
        <v>10</v>
      </c>
      <c r="E6715" s="491">
        <v>0</v>
      </c>
      <c r="F6715" s="491">
        <v>11</v>
      </c>
      <c r="G6715" s="491">
        <f t="shared" si="104"/>
        <v>27</v>
      </c>
    </row>
    <row r="6716" spans="1:7" ht="12.75">
      <c r="A6716" s="134" t="s">
        <v>911</v>
      </c>
      <c r="B6716" s="134">
        <v>812</v>
      </c>
      <c r="C6716" s="491">
        <v>168</v>
      </c>
      <c r="D6716" s="491">
        <v>134</v>
      </c>
      <c r="E6716" s="491">
        <v>0</v>
      </c>
      <c r="F6716" s="491">
        <v>1</v>
      </c>
      <c r="G6716" s="491">
        <f t="shared" si="104"/>
        <v>303</v>
      </c>
    </row>
    <row r="6717" spans="1:7" ht="12.75">
      <c r="A6717" s="134" t="s">
        <v>352</v>
      </c>
      <c r="B6717" s="134">
        <v>101</v>
      </c>
      <c r="C6717" s="491">
        <v>17</v>
      </c>
      <c r="D6717" s="491">
        <v>0</v>
      </c>
      <c r="E6717" s="491">
        <v>0</v>
      </c>
      <c r="F6717" s="491">
        <v>0</v>
      </c>
      <c r="G6717" s="491">
        <f t="shared" si="104"/>
        <v>17</v>
      </c>
    </row>
    <row r="6718" spans="1:7" ht="12.75">
      <c r="A6718" s="134" t="s">
        <v>352</v>
      </c>
      <c r="B6718" s="134">
        <v>211</v>
      </c>
      <c r="C6718" s="491">
        <v>1</v>
      </c>
      <c r="D6718" s="491">
        <v>0</v>
      </c>
      <c r="E6718" s="491">
        <v>0</v>
      </c>
      <c r="F6718" s="491">
        <v>0</v>
      </c>
      <c r="G6718" s="491">
        <f t="shared" si="104"/>
        <v>1</v>
      </c>
    </row>
    <row r="6719" spans="1:7" ht="12.75">
      <c r="A6719" s="134" t="s">
        <v>352</v>
      </c>
      <c r="B6719" s="134">
        <v>812</v>
      </c>
      <c r="C6719" s="491">
        <v>2</v>
      </c>
      <c r="D6719" s="491">
        <v>0</v>
      </c>
      <c r="E6719" s="491">
        <v>0</v>
      </c>
      <c r="F6719" s="491">
        <v>0</v>
      </c>
      <c r="G6719" s="491">
        <f t="shared" si="104"/>
        <v>2</v>
      </c>
    </row>
    <row r="6720" spans="1:7" ht="12.75">
      <c r="A6720" s="134" t="s">
        <v>317</v>
      </c>
      <c r="B6720" s="134">
        <v>100</v>
      </c>
      <c r="C6720" s="491">
        <v>0</v>
      </c>
      <c r="D6720" s="491">
        <v>2</v>
      </c>
      <c r="E6720" s="491">
        <v>0</v>
      </c>
      <c r="F6720" s="491">
        <v>0</v>
      </c>
      <c r="G6720" s="491">
        <f t="shared" si="104"/>
        <v>2</v>
      </c>
    </row>
    <row r="6721" spans="1:7" ht="12.75">
      <c r="A6721" s="134" t="s">
        <v>317</v>
      </c>
      <c r="B6721" s="134">
        <v>101</v>
      </c>
      <c r="C6721" s="491">
        <v>2011</v>
      </c>
      <c r="D6721" s="491">
        <v>439</v>
      </c>
      <c r="E6721" s="491">
        <v>61</v>
      </c>
      <c r="F6721" s="491">
        <v>21</v>
      </c>
      <c r="G6721" s="491">
        <f t="shared" si="104"/>
        <v>2532</v>
      </c>
    </row>
    <row r="6722" spans="1:7" ht="12.75">
      <c r="A6722" s="134" t="s">
        <v>317</v>
      </c>
      <c r="B6722" s="134">
        <v>103</v>
      </c>
      <c r="C6722" s="491">
        <v>0</v>
      </c>
      <c r="D6722" s="491">
        <v>1</v>
      </c>
      <c r="E6722" s="491">
        <v>0</v>
      </c>
      <c r="F6722" s="491">
        <v>0</v>
      </c>
      <c r="G6722" s="491">
        <f t="shared" si="104"/>
        <v>1</v>
      </c>
    </row>
    <row r="6723" spans="1:7" ht="12.75">
      <c r="A6723" s="134" t="s">
        <v>317</v>
      </c>
      <c r="B6723" s="134">
        <v>190</v>
      </c>
      <c r="C6723" s="491">
        <v>1</v>
      </c>
      <c r="D6723" s="491">
        <v>0</v>
      </c>
      <c r="E6723" s="491">
        <v>0</v>
      </c>
      <c r="F6723" s="491">
        <v>0</v>
      </c>
      <c r="G6723" s="491">
        <f t="shared" si="104"/>
        <v>1</v>
      </c>
    </row>
    <row r="6724" spans="1:7" ht="12.75">
      <c r="A6724" s="134" t="s">
        <v>317</v>
      </c>
      <c r="B6724" s="134">
        <v>191</v>
      </c>
      <c r="C6724" s="491">
        <v>1</v>
      </c>
      <c r="D6724" s="491">
        <v>0</v>
      </c>
      <c r="E6724" s="491">
        <v>0</v>
      </c>
      <c r="F6724" s="491">
        <v>0</v>
      </c>
      <c r="G6724" s="491">
        <f t="shared" ref="G6724:G6787" si="105">SUM(C6724:F6724)</f>
        <v>1</v>
      </c>
    </row>
    <row r="6725" spans="1:7" ht="12.75">
      <c r="A6725" s="134" t="s">
        <v>317</v>
      </c>
      <c r="B6725" s="134">
        <v>300</v>
      </c>
      <c r="C6725" s="491">
        <v>0</v>
      </c>
      <c r="D6725" s="491">
        <v>1</v>
      </c>
      <c r="E6725" s="491">
        <v>0</v>
      </c>
      <c r="F6725" s="491">
        <v>0</v>
      </c>
      <c r="G6725" s="491">
        <f t="shared" si="105"/>
        <v>1</v>
      </c>
    </row>
    <row r="6726" spans="1:7" ht="12.75">
      <c r="A6726" s="134" t="s">
        <v>317</v>
      </c>
      <c r="B6726" s="134">
        <v>301</v>
      </c>
      <c r="C6726" s="491">
        <v>0</v>
      </c>
      <c r="D6726" s="491">
        <v>0</v>
      </c>
      <c r="E6726" s="491">
        <v>0</v>
      </c>
      <c r="F6726" s="491">
        <v>1</v>
      </c>
      <c r="G6726" s="491">
        <f t="shared" si="105"/>
        <v>1</v>
      </c>
    </row>
    <row r="6727" spans="1:7" ht="12.75">
      <c r="A6727" s="134" t="s">
        <v>317</v>
      </c>
      <c r="B6727" s="134">
        <v>304</v>
      </c>
      <c r="C6727" s="491">
        <v>1</v>
      </c>
      <c r="D6727" s="491">
        <v>0</v>
      </c>
      <c r="E6727" s="491">
        <v>0</v>
      </c>
      <c r="F6727" s="491">
        <v>0</v>
      </c>
      <c r="G6727" s="491">
        <f t="shared" si="105"/>
        <v>1</v>
      </c>
    </row>
    <row r="6728" spans="1:7" ht="12.75">
      <c r="A6728" s="134" t="s">
        <v>317</v>
      </c>
      <c r="B6728" s="134">
        <v>330</v>
      </c>
      <c r="C6728" s="491">
        <v>0</v>
      </c>
      <c r="D6728" s="491">
        <v>1</v>
      </c>
      <c r="E6728" s="491">
        <v>0</v>
      </c>
      <c r="F6728" s="491">
        <v>0</v>
      </c>
      <c r="G6728" s="491">
        <f t="shared" si="105"/>
        <v>1</v>
      </c>
    </row>
    <row r="6729" spans="1:7" ht="12.75">
      <c r="A6729" s="134" t="s">
        <v>317</v>
      </c>
      <c r="B6729" s="134">
        <v>350</v>
      </c>
      <c r="C6729" s="491">
        <v>1</v>
      </c>
      <c r="D6729" s="491">
        <v>0</v>
      </c>
      <c r="E6729" s="491">
        <v>0</v>
      </c>
      <c r="F6729" s="491">
        <v>0</v>
      </c>
      <c r="G6729" s="491">
        <f t="shared" si="105"/>
        <v>1</v>
      </c>
    </row>
    <row r="6730" spans="1:7" ht="12.75">
      <c r="A6730" s="134" t="s">
        <v>317</v>
      </c>
      <c r="B6730" s="134">
        <v>361</v>
      </c>
      <c r="C6730" s="491">
        <v>0</v>
      </c>
      <c r="D6730" s="491">
        <v>1</v>
      </c>
      <c r="E6730" s="491">
        <v>0</v>
      </c>
      <c r="F6730" s="491">
        <v>0</v>
      </c>
      <c r="G6730" s="491">
        <f t="shared" si="105"/>
        <v>1</v>
      </c>
    </row>
    <row r="6731" spans="1:7" ht="12.75">
      <c r="A6731" s="134" t="s">
        <v>317</v>
      </c>
      <c r="B6731" s="134">
        <v>502</v>
      </c>
      <c r="C6731" s="491">
        <v>35</v>
      </c>
      <c r="D6731" s="491">
        <v>5</v>
      </c>
      <c r="E6731" s="491">
        <v>0</v>
      </c>
      <c r="F6731" s="491">
        <v>2</v>
      </c>
      <c r="G6731" s="491">
        <f t="shared" si="105"/>
        <v>42</v>
      </c>
    </row>
    <row r="6732" spans="1:7" ht="12.75">
      <c r="A6732" s="134" t="s">
        <v>317</v>
      </c>
      <c r="B6732" s="134">
        <v>503</v>
      </c>
      <c r="C6732" s="491">
        <v>0</v>
      </c>
      <c r="D6732" s="491">
        <v>0</v>
      </c>
      <c r="E6732" s="491">
        <v>0</v>
      </c>
      <c r="F6732" s="491">
        <v>1</v>
      </c>
      <c r="G6732" s="491">
        <f t="shared" si="105"/>
        <v>1</v>
      </c>
    </row>
    <row r="6733" spans="1:7" ht="12.75">
      <c r="A6733" s="134" t="s">
        <v>317</v>
      </c>
      <c r="B6733" s="134">
        <v>800</v>
      </c>
      <c r="C6733" s="491">
        <v>1</v>
      </c>
      <c r="D6733" s="491">
        <v>0</v>
      </c>
      <c r="E6733" s="491">
        <v>0</v>
      </c>
      <c r="F6733" s="491">
        <v>0</v>
      </c>
      <c r="G6733" s="491">
        <f t="shared" si="105"/>
        <v>1</v>
      </c>
    </row>
    <row r="6734" spans="1:7" ht="12.75">
      <c r="A6734" s="134" t="s">
        <v>317</v>
      </c>
      <c r="B6734" s="134">
        <v>811</v>
      </c>
      <c r="C6734" s="491">
        <v>2</v>
      </c>
      <c r="D6734" s="491">
        <v>3</v>
      </c>
      <c r="E6734" s="491">
        <v>0</v>
      </c>
      <c r="F6734" s="491">
        <v>0</v>
      </c>
      <c r="G6734" s="491">
        <f t="shared" si="105"/>
        <v>5</v>
      </c>
    </row>
    <row r="6735" spans="1:7" ht="12.75">
      <c r="A6735" s="134" t="s">
        <v>317</v>
      </c>
      <c r="B6735" s="134">
        <v>812</v>
      </c>
      <c r="C6735" s="491">
        <v>70</v>
      </c>
      <c r="D6735" s="491">
        <v>55</v>
      </c>
      <c r="E6735" s="491">
        <v>0</v>
      </c>
      <c r="F6735" s="491">
        <v>2</v>
      </c>
      <c r="G6735" s="491">
        <f t="shared" si="105"/>
        <v>127</v>
      </c>
    </row>
    <row r="6736" spans="1:7" ht="12.75">
      <c r="A6736" s="134" t="s">
        <v>912</v>
      </c>
      <c r="B6736" s="134">
        <v>101</v>
      </c>
      <c r="C6736" s="491">
        <v>10</v>
      </c>
      <c r="D6736" s="491">
        <v>2</v>
      </c>
      <c r="E6736" s="491">
        <v>0</v>
      </c>
      <c r="F6736" s="491">
        <v>2</v>
      </c>
      <c r="G6736" s="491">
        <f t="shared" si="105"/>
        <v>14</v>
      </c>
    </row>
    <row r="6737" spans="1:7" ht="12.75">
      <c r="A6737" s="134" t="s">
        <v>912</v>
      </c>
      <c r="B6737" s="134">
        <v>103</v>
      </c>
      <c r="C6737" s="491">
        <v>0</v>
      </c>
      <c r="D6737" s="491">
        <v>0</v>
      </c>
      <c r="E6737" s="491">
        <v>0</v>
      </c>
      <c r="F6737" s="491">
        <v>1</v>
      </c>
      <c r="G6737" s="491">
        <f t="shared" si="105"/>
        <v>1</v>
      </c>
    </row>
    <row r="6738" spans="1:7" ht="12.75">
      <c r="A6738" s="134" t="s">
        <v>912</v>
      </c>
      <c r="B6738" s="134">
        <v>303</v>
      </c>
      <c r="C6738" s="491">
        <v>1</v>
      </c>
      <c r="D6738" s="491">
        <v>0</v>
      </c>
      <c r="E6738" s="491">
        <v>0</v>
      </c>
      <c r="F6738" s="491">
        <v>0</v>
      </c>
      <c r="G6738" s="491">
        <f t="shared" si="105"/>
        <v>1</v>
      </c>
    </row>
    <row r="6739" spans="1:7" ht="12.75">
      <c r="A6739" s="134" t="s">
        <v>912</v>
      </c>
      <c r="B6739" s="134">
        <v>320</v>
      </c>
      <c r="C6739" s="491">
        <v>1</v>
      </c>
      <c r="D6739" s="491">
        <v>0</v>
      </c>
      <c r="E6739" s="491">
        <v>0</v>
      </c>
      <c r="F6739" s="491">
        <v>0</v>
      </c>
      <c r="G6739" s="491">
        <f t="shared" si="105"/>
        <v>1</v>
      </c>
    </row>
    <row r="6740" spans="1:7" ht="12.75">
      <c r="A6740" s="134" t="s">
        <v>912</v>
      </c>
      <c r="B6740" s="134">
        <v>410</v>
      </c>
      <c r="C6740" s="491">
        <v>86</v>
      </c>
      <c r="D6740" s="491">
        <v>51</v>
      </c>
      <c r="E6740" s="491">
        <v>0</v>
      </c>
      <c r="F6740" s="491">
        <v>0</v>
      </c>
      <c r="G6740" s="491">
        <f t="shared" si="105"/>
        <v>137</v>
      </c>
    </row>
    <row r="6741" spans="1:7" ht="12.75">
      <c r="A6741" s="134" t="s">
        <v>912</v>
      </c>
      <c r="B6741" s="134">
        <v>502</v>
      </c>
      <c r="C6741" s="491">
        <v>0</v>
      </c>
      <c r="D6741" s="491">
        <v>1</v>
      </c>
      <c r="E6741" s="491">
        <v>0</v>
      </c>
      <c r="F6741" s="491">
        <v>0</v>
      </c>
      <c r="G6741" s="491">
        <f t="shared" si="105"/>
        <v>1</v>
      </c>
    </row>
    <row r="6742" spans="1:7" ht="12.75">
      <c r="A6742" s="134" t="s">
        <v>161</v>
      </c>
      <c r="B6742" s="134">
        <v>101</v>
      </c>
      <c r="C6742" s="491">
        <v>4</v>
      </c>
      <c r="D6742" s="491">
        <v>1</v>
      </c>
      <c r="E6742" s="491">
        <v>0</v>
      </c>
      <c r="F6742" s="491">
        <v>0</v>
      </c>
      <c r="G6742" s="491">
        <f t="shared" si="105"/>
        <v>5</v>
      </c>
    </row>
    <row r="6743" spans="1:7" ht="12.75">
      <c r="A6743" s="134" t="s">
        <v>161</v>
      </c>
      <c r="B6743" s="134">
        <v>502</v>
      </c>
      <c r="C6743" s="491">
        <v>1</v>
      </c>
      <c r="D6743" s="491">
        <v>0</v>
      </c>
      <c r="E6743" s="491">
        <v>0</v>
      </c>
      <c r="F6743" s="491">
        <v>0</v>
      </c>
      <c r="G6743" s="491">
        <f t="shared" si="105"/>
        <v>1</v>
      </c>
    </row>
    <row r="6744" spans="1:7" ht="12.75">
      <c r="A6744" s="134" t="s">
        <v>913</v>
      </c>
      <c r="B6744" s="134">
        <v>101</v>
      </c>
      <c r="C6744" s="491">
        <v>40</v>
      </c>
      <c r="D6744" s="491">
        <v>9</v>
      </c>
      <c r="E6744" s="491">
        <v>0</v>
      </c>
      <c r="F6744" s="491">
        <v>0</v>
      </c>
      <c r="G6744" s="491">
        <f t="shared" si="105"/>
        <v>49</v>
      </c>
    </row>
    <row r="6745" spans="1:7" ht="12.75">
      <c r="A6745" s="134" t="s">
        <v>913</v>
      </c>
      <c r="B6745" s="134">
        <v>307</v>
      </c>
      <c r="C6745" s="491">
        <v>1</v>
      </c>
      <c r="D6745" s="491">
        <v>0</v>
      </c>
      <c r="E6745" s="491">
        <v>0</v>
      </c>
      <c r="F6745" s="491">
        <v>0</v>
      </c>
      <c r="G6745" s="491">
        <f t="shared" si="105"/>
        <v>1</v>
      </c>
    </row>
    <row r="6746" spans="1:7" ht="12.75">
      <c r="A6746" s="134" t="s">
        <v>913</v>
      </c>
      <c r="B6746" s="134">
        <v>502</v>
      </c>
      <c r="C6746" s="491">
        <v>0</v>
      </c>
      <c r="D6746" s="491">
        <v>1</v>
      </c>
      <c r="E6746" s="491">
        <v>0</v>
      </c>
      <c r="F6746" s="491">
        <v>0</v>
      </c>
      <c r="G6746" s="491">
        <f t="shared" si="105"/>
        <v>1</v>
      </c>
    </row>
    <row r="6747" spans="1:7" ht="12.75">
      <c r="A6747" s="134" t="s">
        <v>308</v>
      </c>
      <c r="B6747" s="134">
        <v>100</v>
      </c>
      <c r="C6747" s="491">
        <v>1</v>
      </c>
      <c r="D6747" s="491">
        <v>1</v>
      </c>
      <c r="E6747" s="491">
        <v>0</v>
      </c>
      <c r="F6747" s="491">
        <v>0</v>
      </c>
      <c r="G6747" s="491">
        <f t="shared" si="105"/>
        <v>2</v>
      </c>
    </row>
    <row r="6748" spans="1:7" ht="12.75">
      <c r="A6748" s="134" t="s">
        <v>308</v>
      </c>
      <c r="B6748" s="134">
        <v>101</v>
      </c>
      <c r="C6748" s="491">
        <v>5221</v>
      </c>
      <c r="D6748" s="491">
        <v>963</v>
      </c>
      <c r="E6748" s="491">
        <v>100</v>
      </c>
      <c r="F6748" s="491">
        <v>1</v>
      </c>
      <c r="G6748" s="491">
        <f t="shared" si="105"/>
        <v>6285</v>
      </c>
    </row>
    <row r="6749" spans="1:7" ht="12.75">
      <c r="A6749" s="134" t="s">
        <v>308</v>
      </c>
      <c r="B6749" s="134">
        <v>104</v>
      </c>
      <c r="C6749" s="491">
        <v>2</v>
      </c>
      <c r="D6749" s="491">
        <v>3</v>
      </c>
      <c r="E6749" s="491">
        <v>0</v>
      </c>
      <c r="F6749" s="491">
        <v>0</v>
      </c>
      <c r="G6749" s="491">
        <f t="shared" si="105"/>
        <v>5</v>
      </c>
    </row>
    <row r="6750" spans="1:7" ht="12.75">
      <c r="A6750" s="134" t="s">
        <v>308</v>
      </c>
      <c r="B6750" s="134">
        <v>107</v>
      </c>
      <c r="C6750" s="491">
        <v>3</v>
      </c>
      <c r="D6750" s="491">
        <v>0</v>
      </c>
      <c r="E6750" s="491">
        <v>0</v>
      </c>
      <c r="F6750" s="491">
        <v>0</v>
      </c>
      <c r="G6750" s="491">
        <f t="shared" si="105"/>
        <v>3</v>
      </c>
    </row>
    <row r="6751" spans="1:7" ht="12.75">
      <c r="A6751" s="134" t="s">
        <v>308</v>
      </c>
      <c r="B6751" s="134">
        <v>120</v>
      </c>
      <c r="C6751" s="491">
        <v>1</v>
      </c>
      <c r="D6751" s="491">
        <v>0</v>
      </c>
      <c r="E6751" s="491">
        <v>0</v>
      </c>
      <c r="F6751" s="491">
        <v>0</v>
      </c>
      <c r="G6751" s="491">
        <f t="shared" si="105"/>
        <v>1</v>
      </c>
    </row>
    <row r="6752" spans="1:7" ht="12.75">
      <c r="A6752" s="134" t="s">
        <v>308</v>
      </c>
      <c r="B6752" s="134">
        <v>190</v>
      </c>
      <c r="C6752" s="491">
        <v>0</v>
      </c>
      <c r="D6752" s="491">
        <v>1</v>
      </c>
      <c r="E6752" s="491">
        <v>0</v>
      </c>
      <c r="F6752" s="491">
        <v>0</v>
      </c>
      <c r="G6752" s="491">
        <f t="shared" si="105"/>
        <v>1</v>
      </c>
    </row>
    <row r="6753" spans="1:7" ht="12.75">
      <c r="A6753" s="134" t="s">
        <v>308</v>
      </c>
      <c r="B6753" s="134">
        <v>214</v>
      </c>
      <c r="C6753" s="491">
        <v>0</v>
      </c>
      <c r="D6753" s="491">
        <v>1</v>
      </c>
      <c r="E6753" s="491">
        <v>0</v>
      </c>
      <c r="F6753" s="491">
        <v>0</v>
      </c>
      <c r="G6753" s="491">
        <f t="shared" si="105"/>
        <v>1</v>
      </c>
    </row>
    <row r="6754" spans="1:7" ht="12.75">
      <c r="A6754" s="134" t="s">
        <v>308</v>
      </c>
      <c r="B6754" s="134">
        <v>258</v>
      </c>
      <c r="C6754" s="491">
        <v>0</v>
      </c>
      <c r="D6754" s="491">
        <v>0</v>
      </c>
      <c r="E6754" s="491">
        <v>1</v>
      </c>
      <c r="F6754" s="491">
        <v>0</v>
      </c>
      <c r="G6754" s="491">
        <f t="shared" si="105"/>
        <v>1</v>
      </c>
    </row>
    <row r="6755" spans="1:7" ht="12.75">
      <c r="A6755" s="134" t="s">
        <v>308</v>
      </c>
      <c r="B6755" s="134">
        <v>259</v>
      </c>
      <c r="C6755" s="491">
        <v>1</v>
      </c>
      <c r="D6755" s="491">
        <v>0</v>
      </c>
      <c r="E6755" s="491">
        <v>0</v>
      </c>
      <c r="F6755" s="491">
        <v>0</v>
      </c>
      <c r="G6755" s="491">
        <f t="shared" si="105"/>
        <v>1</v>
      </c>
    </row>
    <row r="6756" spans="1:7" ht="12.75">
      <c r="A6756" s="134" t="s">
        <v>308</v>
      </c>
      <c r="B6756" s="134">
        <v>307</v>
      </c>
      <c r="C6756" s="491">
        <v>0</v>
      </c>
      <c r="D6756" s="491">
        <v>1</v>
      </c>
      <c r="E6756" s="491">
        <v>0</v>
      </c>
      <c r="F6756" s="491">
        <v>0</v>
      </c>
      <c r="G6756" s="491">
        <f t="shared" si="105"/>
        <v>1</v>
      </c>
    </row>
    <row r="6757" spans="1:7" ht="12.75">
      <c r="A6757" s="134" t="s">
        <v>308</v>
      </c>
      <c r="B6757" s="134">
        <v>320</v>
      </c>
      <c r="C6757" s="491">
        <v>1</v>
      </c>
      <c r="D6757" s="491">
        <v>1</v>
      </c>
      <c r="E6757" s="491">
        <v>0</v>
      </c>
      <c r="F6757" s="491">
        <v>0</v>
      </c>
      <c r="G6757" s="491">
        <f t="shared" si="105"/>
        <v>2</v>
      </c>
    </row>
    <row r="6758" spans="1:7" ht="12.75">
      <c r="A6758" s="134" t="s">
        <v>308</v>
      </c>
      <c r="B6758" s="134">
        <v>370</v>
      </c>
      <c r="C6758" s="491">
        <v>1</v>
      </c>
      <c r="D6758" s="491">
        <v>0</v>
      </c>
      <c r="E6758" s="491">
        <v>0</v>
      </c>
      <c r="F6758" s="491">
        <v>0</v>
      </c>
      <c r="G6758" s="491">
        <f t="shared" si="105"/>
        <v>1</v>
      </c>
    </row>
    <row r="6759" spans="1:7" ht="12.75">
      <c r="A6759" s="134" t="s">
        <v>308</v>
      </c>
      <c r="B6759" s="134">
        <v>501</v>
      </c>
      <c r="C6759" s="491">
        <v>12</v>
      </c>
      <c r="D6759" s="491">
        <v>4</v>
      </c>
      <c r="E6759" s="491">
        <v>0</v>
      </c>
      <c r="F6759" s="491">
        <v>0</v>
      </c>
      <c r="G6759" s="491">
        <f t="shared" si="105"/>
        <v>16</v>
      </c>
    </row>
    <row r="6760" spans="1:7" ht="12.75">
      <c r="A6760" s="134" t="s">
        <v>308</v>
      </c>
      <c r="B6760" s="134">
        <v>502</v>
      </c>
      <c r="C6760" s="491">
        <v>250</v>
      </c>
      <c r="D6760" s="491">
        <v>147</v>
      </c>
      <c r="E6760" s="491">
        <v>0</v>
      </c>
      <c r="F6760" s="491">
        <v>0</v>
      </c>
      <c r="G6760" s="491">
        <f t="shared" si="105"/>
        <v>397</v>
      </c>
    </row>
    <row r="6761" spans="1:7" ht="12.75">
      <c r="A6761" s="134" t="s">
        <v>162</v>
      </c>
      <c r="B6761" s="134">
        <v>101</v>
      </c>
      <c r="C6761" s="491">
        <v>31</v>
      </c>
      <c r="D6761" s="491">
        <v>19</v>
      </c>
      <c r="E6761" s="491">
        <v>1</v>
      </c>
      <c r="F6761" s="491">
        <v>2</v>
      </c>
      <c r="G6761" s="491">
        <f t="shared" si="105"/>
        <v>53</v>
      </c>
    </row>
    <row r="6762" spans="1:7" ht="12.75">
      <c r="A6762" s="134" t="s">
        <v>162</v>
      </c>
      <c r="B6762" s="134">
        <v>120</v>
      </c>
      <c r="C6762" s="491">
        <v>0</v>
      </c>
      <c r="D6762" s="491">
        <v>2</v>
      </c>
      <c r="E6762" s="491">
        <v>0</v>
      </c>
      <c r="F6762" s="491">
        <v>0</v>
      </c>
      <c r="G6762" s="491">
        <f t="shared" si="105"/>
        <v>2</v>
      </c>
    </row>
    <row r="6763" spans="1:7" ht="12.75">
      <c r="A6763" s="134" t="s">
        <v>162</v>
      </c>
      <c r="B6763" s="134">
        <v>140</v>
      </c>
      <c r="C6763" s="491">
        <v>0</v>
      </c>
      <c r="D6763" s="491">
        <v>1</v>
      </c>
      <c r="E6763" s="491">
        <v>0</v>
      </c>
      <c r="F6763" s="491">
        <v>0</v>
      </c>
      <c r="G6763" s="491">
        <f t="shared" si="105"/>
        <v>1</v>
      </c>
    </row>
    <row r="6764" spans="1:7" ht="12.75">
      <c r="A6764" s="134" t="s">
        <v>162</v>
      </c>
      <c r="B6764" s="134">
        <v>143</v>
      </c>
      <c r="C6764" s="491">
        <v>0</v>
      </c>
      <c r="D6764" s="491">
        <v>4</v>
      </c>
      <c r="E6764" s="491">
        <v>0</v>
      </c>
      <c r="F6764" s="491">
        <v>0</v>
      </c>
      <c r="G6764" s="491">
        <f t="shared" si="105"/>
        <v>4</v>
      </c>
    </row>
    <row r="6765" spans="1:7" ht="12.75">
      <c r="A6765" s="134" t="s">
        <v>162</v>
      </c>
      <c r="B6765" s="134">
        <v>150</v>
      </c>
      <c r="C6765" s="491">
        <v>0</v>
      </c>
      <c r="D6765" s="491">
        <v>1</v>
      </c>
      <c r="E6765" s="491">
        <v>0</v>
      </c>
      <c r="F6765" s="491">
        <v>0</v>
      </c>
      <c r="G6765" s="491">
        <f t="shared" si="105"/>
        <v>1</v>
      </c>
    </row>
    <row r="6766" spans="1:7" ht="12.75">
      <c r="A6766" s="134" t="s">
        <v>162</v>
      </c>
      <c r="B6766" s="134">
        <v>160</v>
      </c>
      <c r="C6766" s="491">
        <v>7</v>
      </c>
      <c r="D6766" s="491">
        <v>0</v>
      </c>
      <c r="E6766" s="491">
        <v>0</v>
      </c>
      <c r="F6766" s="491">
        <v>0</v>
      </c>
      <c r="G6766" s="491">
        <f t="shared" si="105"/>
        <v>7</v>
      </c>
    </row>
    <row r="6767" spans="1:7" ht="12.75">
      <c r="A6767" s="134" t="s">
        <v>162</v>
      </c>
      <c r="B6767" s="134">
        <v>171</v>
      </c>
      <c r="C6767" s="491">
        <v>7</v>
      </c>
      <c r="D6767" s="491">
        <v>2</v>
      </c>
      <c r="E6767" s="491">
        <v>1</v>
      </c>
      <c r="F6767" s="491">
        <v>0</v>
      </c>
      <c r="G6767" s="491">
        <f t="shared" si="105"/>
        <v>10</v>
      </c>
    </row>
    <row r="6768" spans="1:7" ht="12.75">
      <c r="A6768" s="134" t="s">
        <v>162</v>
      </c>
      <c r="B6768" s="134">
        <v>211</v>
      </c>
      <c r="C6768" s="491">
        <v>8</v>
      </c>
      <c r="D6768" s="491">
        <v>2</v>
      </c>
      <c r="E6768" s="491">
        <v>0</v>
      </c>
      <c r="F6768" s="491">
        <v>0</v>
      </c>
      <c r="G6768" s="491">
        <f t="shared" si="105"/>
        <v>10</v>
      </c>
    </row>
    <row r="6769" spans="1:7" ht="12.75">
      <c r="A6769" s="134" t="s">
        <v>162</v>
      </c>
      <c r="B6769" s="134">
        <v>252</v>
      </c>
      <c r="C6769" s="491">
        <v>0</v>
      </c>
      <c r="D6769" s="491">
        <v>1</v>
      </c>
      <c r="E6769" s="491">
        <v>0</v>
      </c>
      <c r="F6769" s="491">
        <v>0</v>
      </c>
      <c r="G6769" s="491">
        <f t="shared" si="105"/>
        <v>1</v>
      </c>
    </row>
    <row r="6770" spans="1:7" ht="12.75">
      <c r="A6770" s="134" t="s">
        <v>162</v>
      </c>
      <c r="B6770" s="134">
        <v>253</v>
      </c>
      <c r="C6770" s="491">
        <v>0</v>
      </c>
      <c r="D6770" s="491">
        <v>1</v>
      </c>
      <c r="E6770" s="491">
        <v>0</v>
      </c>
      <c r="F6770" s="491">
        <v>0</v>
      </c>
      <c r="G6770" s="491">
        <f t="shared" si="105"/>
        <v>1</v>
      </c>
    </row>
    <row r="6771" spans="1:7" ht="12.75">
      <c r="A6771" s="134" t="s">
        <v>162</v>
      </c>
      <c r="B6771" s="134">
        <v>258</v>
      </c>
      <c r="C6771" s="491">
        <v>0</v>
      </c>
      <c r="D6771" s="491">
        <v>1</v>
      </c>
      <c r="E6771" s="491">
        <v>0</v>
      </c>
      <c r="F6771" s="491">
        <v>0</v>
      </c>
      <c r="G6771" s="491">
        <f t="shared" si="105"/>
        <v>1</v>
      </c>
    </row>
    <row r="6772" spans="1:7" ht="12.75">
      <c r="A6772" s="134" t="s">
        <v>162</v>
      </c>
      <c r="B6772" s="134">
        <v>330</v>
      </c>
      <c r="C6772" s="491">
        <v>0</v>
      </c>
      <c r="D6772" s="491">
        <v>3</v>
      </c>
      <c r="E6772" s="491">
        <v>0</v>
      </c>
      <c r="F6772" s="491">
        <v>0</v>
      </c>
      <c r="G6772" s="491">
        <f t="shared" si="105"/>
        <v>3</v>
      </c>
    </row>
    <row r="6773" spans="1:7" ht="12.75">
      <c r="A6773" s="134" t="s">
        <v>162</v>
      </c>
      <c r="B6773" s="134">
        <v>410</v>
      </c>
      <c r="C6773" s="491">
        <v>1</v>
      </c>
      <c r="D6773" s="491">
        <v>0</v>
      </c>
      <c r="E6773" s="491">
        <v>0</v>
      </c>
      <c r="F6773" s="491">
        <v>0</v>
      </c>
      <c r="G6773" s="491">
        <f t="shared" si="105"/>
        <v>1</v>
      </c>
    </row>
    <row r="6774" spans="1:7" ht="12.75">
      <c r="A6774" s="134" t="s">
        <v>162</v>
      </c>
      <c r="B6774" s="134">
        <v>420</v>
      </c>
      <c r="C6774" s="491">
        <v>18</v>
      </c>
      <c r="D6774" s="491">
        <v>7</v>
      </c>
      <c r="E6774" s="491">
        <v>0</v>
      </c>
      <c r="F6774" s="491">
        <v>0</v>
      </c>
      <c r="G6774" s="491">
        <f t="shared" si="105"/>
        <v>25</v>
      </c>
    </row>
    <row r="6775" spans="1:7" ht="12.75">
      <c r="A6775" s="134" t="s">
        <v>162</v>
      </c>
      <c r="B6775" s="134">
        <v>421</v>
      </c>
      <c r="C6775" s="491">
        <v>0</v>
      </c>
      <c r="D6775" s="491">
        <v>2</v>
      </c>
      <c r="E6775" s="491">
        <v>0</v>
      </c>
      <c r="F6775" s="491">
        <v>0</v>
      </c>
      <c r="G6775" s="491">
        <f t="shared" si="105"/>
        <v>2</v>
      </c>
    </row>
    <row r="6776" spans="1:7" ht="12.75">
      <c r="A6776" s="134" t="s">
        <v>162</v>
      </c>
      <c r="B6776" s="134">
        <v>422</v>
      </c>
      <c r="C6776" s="491">
        <v>0</v>
      </c>
      <c r="D6776" s="491">
        <v>1</v>
      </c>
      <c r="E6776" s="491">
        <v>0</v>
      </c>
      <c r="F6776" s="491">
        <v>0</v>
      </c>
      <c r="G6776" s="491">
        <f t="shared" si="105"/>
        <v>1</v>
      </c>
    </row>
    <row r="6777" spans="1:7" ht="12.75">
      <c r="A6777" s="134" t="s">
        <v>162</v>
      </c>
      <c r="B6777" s="134">
        <v>501</v>
      </c>
      <c r="C6777" s="491">
        <v>2</v>
      </c>
      <c r="D6777" s="491">
        <v>2</v>
      </c>
      <c r="E6777" s="491">
        <v>0</v>
      </c>
      <c r="F6777" s="491">
        <v>0</v>
      </c>
      <c r="G6777" s="491">
        <f t="shared" si="105"/>
        <v>4</v>
      </c>
    </row>
    <row r="6778" spans="1:7" ht="12.75">
      <c r="A6778" s="134" t="s">
        <v>162</v>
      </c>
      <c r="B6778" s="134">
        <v>502</v>
      </c>
      <c r="C6778" s="491">
        <v>4</v>
      </c>
      <c r="D6778" s="491">
        <v>5</v>
      </c>
      <c r="E6778" s="491">
        <v>1</v>
      </c>
      <c r="F6778" s="491">
        <v>0</v>
      </c>
      <c r="G6778" s="491">
        <f t="shared" si="105"/>
        <v>10</v>
      </c>
    </row>
    <row r="6779" spans="1:7" ht="12.75">
      <c r="A6779" s="134" t="s">
        <v>162</v>
      </c>
      <c r="B6779" s="134">
        <v>560</v>
      </c>
      <c r="C6779" s="491">
        <v>0</v>
      </c>
      <c r="D6779" s="491">
        <v>0</v>
      </c>
      <c r="E6779" s="491">
        <v>0</v>
      </c>
      <c r="F6779" s="491">
        <v>1</v>
      </c>
      <c r="G6779" s="491">
        <f t="shared" si="105"/>
        <v>1</v>
      </c>
    </row>
    <row r="6780" spans="1:7" ht="12.75">
      <c r="A6780" s="134" t="s">
        <v>162</v>
      </c>
      <c r="B6780" s="134">
        <v>654</v>
      </c>
      <c r="C6780" s="491">
        <v>0</v>
      </c>
      <c r="D6780" s="491">
        <v>1</v>
      </c>
      <c r="E6780" s="491">
        <v>0</v>
      </c>
      <c r="F6780" s="491">
        <v>0</v>
      </c>
      <c r="G6780" s="491">
        <f t="shared" si="105"/>
        <v>1</v>
      </c>
    </row>
    <row r="6781" spans="1:7" ht="12.75">
      <c r="A6781" s="134" t="s">
        <v>162</v>
      </c>
      <c r="B6781" s="134">
        <v>811</v>
      </c>
      <c r="C6781" s="491">
        <v>0</v>
      </c>
      <c r="D6781" s="491">
        <v>0</v>
      </c>
      <c r="E6781" s="491">
        <v>0</v>
      </c>
      <c r="F6781" s="491">
        <v>1</v>
      </c>
      <c r="G6781" s="491">
        <f t="shared" si="105"/>
        <v>1</v>
      </c>
    </row>
    <row r="6782" spans="1:7" ht="12.75">
      <c r="A6782" s="134" t="s">
        <v>505</v>
      </c>
      <c r="B6782" s="134">
        <v>100</v>
      </c>
      <c r="C6782" s="491">
        <v>38</v>
      </c>
      <c r="D6782" s="491">
        <v>105</v>
      </c>
      <c r="E6782" s="491">
        <v>0</v>
      </c>
      <c r="F6782" s="491">
        <v>18</v>
      </c>
      <c r="G6782" s="491">
        <f t="shared" si="105"/>
        <v>161</v>
      </c>
    </row>
    <row r="6783" spans="1:7" ht="12.75">
      <c r="A6783" s="134" t="s">
        <v>505</v>
      </c>
      <c r="B6783" s="134">
        <v>101</v>
      </c>
      <c r="C6783" s="491">
        <v>23880</v>
      </c>
      <c r="D6783" s="491">
        <v>7575</v>
      </c>
      <c r="E6783" s="491">
        <v>283</v>
      </c>
      <c r="F6783" s="491">
        <v>130</v>
      </c>
      <c r="G6783" s="491">
        <f t="shared" si="105"/>
        <v>31868</v>
      </c>
    </row>
    <row r="6784" spans="1:7" ht="12.75">
      <c r="A6784" s="134" t="s">
        <v>505</v>
      </c>
      <c r="B6784" s="134">
        <v>103</v>
      </c>
      <c r="C6784" s="491">
        <v>0</v>
      </c>
      <c r="D6784" s="491">
        <v>7</v>
      </c>
      <c r="E6784" s="491">
        <v>0</v>
      </c>
      <c r="F6784" s="491">
        <v>0</v>
      </c>
      <c r="G6784" s="491">
        <f t="shared" si="105"/>
        <v>7</v>
      </c>
    </row>
    <row r="6785" spans="1:7" ht="12.75">
      <c r="A6785" s="134" t="s">
        <v>505</v>
      </c>
      <c r="B6785" s="134">
        <v>104</v>
      </c>
      <c r="C6785" s="491">
        <v>3</v>
      </c>
      <c r="D6785" s="491">
        <v>8</v>
      </c>
      <c r="E6785" s="491">
        <v>0</v>
      </c>
      <c r="F6785" s="491">
        <v>0</v>
      </c>
      <c r="G6785" s="491">
        <f t="shared" si="105"/>
        <v>11</v>
      </c>
    </row>
    <row r="6786" spans="1:7" ht="12.75">
      <c r="A6786" s="134" t="s">
        <v>505</v>
      </c>
      <c r="B6786" s="134">
        <v>105</v>
      </c>
      <c r="C6786" s="491">
        <v>1</v>
      </c>
      <c r="D6786" s="491">
        <v>0</v>
      </c>
      <c r="E6786" s="491">
        <v>0</v>
      </c>
      <c r="F6786" s="491">
        <v>0</v>
      </c>
      <c r="G6786" s="491">
        <f t="shared" si="105"/>
        <v>1</v>
      </c>
    </row>
    <row r="6787" spans="1:7" ht="12.75">
      <c r="A6787" s="134" t="s">
        <v>505</v>
      </c>
      <c r="B6787" s="134">
        <v>106</v>
      </c>
      <c r="C6787" s="491">
        <v>0</v>
      </c>
      <c r="D6787" s="491">
        <v>2</v>
      </c>
      <c r="E6787" s="491">
        <v>0</v>
      </c>
      <c r="F6787" s="491">
        <v>0</v>
      </c>
      <c r="G6787" s="491">
        <f t="shared" si="105"/>
        <v>2</v>
      </c>
    </row>
    <row r="6788" spans="1:7" ht="12.75">
      <c r="A6788" s="134" t="s">
        <v>505</v>
      </c>
      <c r="B6788" s="134">
        <v>107</v>
      </c>
      <c r="C6788" s="491">
        <v>0</v>
      </c>
      <c r="D6788" s="491">
        <v>3</v>
      </c>
      <c r="E6788" s="491">
        <v>0</v>
      </c>
      <c r="F6788" s="491">
        <v>0</v>
      </c>
      <c r="G6788" s="491">
        <f t="shared" ref="G6788:G6851" si="106">SUM(C6788:F6788)</f>
        <v>3</v>
      </c>
    </row>
    <row r="6789" spans="1:7" ht="12.75">
      <c r="A6789" s="134" t="s">
        <v>505</v>
      </c>
      <c r="B6789" s="134">
        <v>110</v>
      </c>
      <c r="C6789" s="491">
        <v>7</v>
      </c>
      <c r="D6789" s="491">
        <v>10</v>
      </c>
      <c r="E6789" s="491">
        <v>0</v>
      </c>
      <c r="F6789" s="491">
        <v>0</v>
      </c>
      <c r="G6789" s="491">
        <f t="shared" si="106"/>
        <v>17</v>
      </c>
    </row>
    <row r="6790" spans="1:7" ht="12.75">
      <c r="A6790" s="134" t="s">
        <v>505</v>
      </c>
      <c r="B6790" s="134">
        <v>120</v>
      </c>
      <c r="C6790" s="491">
        <v>1</v>
      </c>
      <c r="D6790" s="491">
        <v>9</v>
      </c>
      <c r="E6790" s="491">
        <v>0</v>
      </c>
      <c r="F6790" s="491">
        <v>0</v>
      </c>
      <c r="G6790" s="491">
        <f t="shared" si="106"/>
        <v>10</v>
      </c>
    </row>
    <row r="6791" spans="1:7" ht="12.75">
      <c r="A6791" s="134" t="s">
        <v>505</v>
      </c>
      <c r="B6791" s="134">
        <v>130</v>
      </c>
      <c r="C6791" s="491">
        <v>1</v>
      </c>
      <c r="D6791" s="491">
        <v>0</v>
      </c>
      <c r="E6791" s="491">
        <v>0</v>
      </c>
      <c r="F6791" s="491">
        <v>0</v>
      </c>
      <c r="G6791" s="491">
        <f t="shared" si="106"/>
        <v>1</v>
      </c>
    </row>
    <row r="6792" spans="1:7" ht="12.75">
      <c r="A6792" s="134" t="s">
        <v>505</v>
      </c>
      <c r="B6792" s="134">
        <v>140</v>
      </c>
      <c r="C6792" s="491">
        <v>1</v>
      </c>
      <c r="D6792" s="491">
        <v>3</v>
      </c>
      <c r="E6792" s="491">
        <v>0</v>
      </c>
      <c r="F6792" s="491">
        <v>0</v>
      </c>
      <c r="G6792" s="491">
        <f t="shared" si="106"/>
        <v>4</v>
      </c>
    </row>
    <row r="6793" spans="1:7" ht="12.75">
      <c r="A6793" s="134" t="s">
        <v>505</v>
      </c>
      <c r="B6793" s="134">
        <v>144</v>
      </c>
      <c r="C6793" s="491">
        <v>0</v>
      </c>
      <c r="D6793" s="491">
        <v>3</v>
      </c>
      <c r="E6793" s="491">
        <v>0</v>
      </c>
      <c r="F6793" s="491">
        <v>0</v>
      </c>
      <c r="G6793" s="491">
        <f t="shared" si="106"/>
        <v>3</v>
      </c>
    </row>
    <row r="6794" spans="1:7" ht="12.75">
      <c r="A6794" s="134" t="s">
        <v>505</v>
      </c>
      <c r="B6794" s="134">
        <v>150</v>
      </c>
      <c r="C6794" s="491">
        <v>0</v>
      </c>
      <c r="D6794" s="491">
        <v>2</v>
      </c>
      <c r="E6794" s="491">
        <v>0</v>
      </c>
      <c r="F6794" s="491">
        <v>0</v>
      </c>
      <c r="G6794" s="491">
        <f t="shared" si="106"/>
        <v>2</v>
      </c>
    </row>
    <row r="6795" spans="1:7" ht="12.75">
      <c r="A6795" s="134" t="s">
        <v>505</v>
      </c>
      <c r="B6795" s="134">
        <v>160</v>
      </c>
      <c r="C6795" s="491">
        <v>2</v>
      </c>
      <c r="D6795" s="491">
        <v>9</v>
      </c>
      <c r="E6795" s="491">
        <v>0</v>
      </c>
      <c r="F6795" s="491">
        <v>0</v>
      </c>
      <c r="G6795" s="491">
        <f t="shared" si="106"/>
        <v>11</v>
      </c>
    </row>
    <row r="6796" spans="1:7" ht="12.75">
      <c r="A6796" s="134" t="s">
        <v>505</v>
      </c>
      <c r="B6796" s="134">
        <v>171</v>
      </c>
      <c r="C6796" s="491">
        <v>2</v>
      </c>
      <c r="D6796" s="491">
        <v>0</v>
      </c>
      <c r="E6796" s="491">
        <v>0</v>
      </c>
      <c r="F6796" s="491">
        <v>0</v>
      </c>
      <c r="G6796" s="491">
        <f t="shared" si="106"/>
        <v>2</v>
      </c>
    </row>
    <row r="6797" spans="1:7" ht="12.75">
      <c r="A6797" s="134" t="s">
        <v>505</v>
      </c>
      <c r="B6797" s="134">
        <v>172</v>
      </c>
      <c r="C6797" s="491">
        <v>0</v>
      </c>
      <c r="D6797" s="491">
        <v>1</v>
      </c>
      <c r="E6797" s="491">
        <v>0</v>
      </c>
      <c r="F6797" s="491">
        <v>0</v>
      </c>
      <c r="G6797" s="491">
        <f t="shared" si="106"/>
        <v>1</v>
      </c>
    </row>
    <row r="6798" spans="1:7" ht="12.75">
      <c r="A6798" s="134" t="s">
        <v>505</v>
      </c>
      <c r="B6798" s="134">
        <v>180</v>
      </c>
      <c r="C6798" s="491">
        <v>0</v>
      </c>
      <c r="D6798" s="491">
        <v>3</v>
      </c>
      <c r="E6798" s="491">
        <v>0</v>
      </c>
      <c r="F6798" s="491">
        <v>0</v>
      </c>
      <c r="G6798" s="491">
        <f t="shared" si="106"/>
        <v>3</v>
      </c>
    </row>
    <row r="6799" spans="1:7" ht="12.75">
      <c r="A6799" s="134" t="s">
        <v>505</v>
      </c>
      <c r="B6799" s="134">
        <v>190</v>
      </c>
      <c r="C6799" s="491">
        <v>0</v>
      </c>
      <c r="D6799" s="491">
        <v>2</v>
      </c>
      <c r="E6799" s="491">
        <v>0</v>
      </c>
      <c r="F6799" s="491">
        <v>0</v>
      </c>
      <c r="G6799" s="491">
        <f t="shared" si="106"/>
        <v>2</v>
      </c>
    </row>
    <row r="6800" spans="1:7" ht="12.75">
      <c r="A6800" s="134" t="s">
        <v>505</v>
      </c>
      <c r="B6800" s="134">
        <v>191</v>
      </c>
      <c r="C6800" s="491">
        <v>1</v>
      </c>
      <c r="D6800" s="491">
        <v>2</v>
      </c>
      <c r="E6800" s="491">
        <v>0</v>
      </c>
      <c r="F6800" s="491">
        <v>0</v>
      </c>
      <c r="G6800" s="491">
        <f t="shared" si="106"/>
        <v>3</v>
      </c>
    </row>
    <row r="6801" spans="1:7" ht="12.75">
      <c r="A6801" s="134" t="s">
        <v>505</v>
      </c>
      <c r="B6801" s="134">
        <v>300</v>
      </c>
      <c r="C6801" s="491">
        <v>2</v>
      </c>
      <c r="D6801" s="491">
        <v>9</v>
      </c>
      <c r="E6801" s="491">
        <v>0</v>
      </c>
      <c r="F6801" s="491">
        <v>0</v>
      </c>
      <c r="G6801" s="491">
        <f t="shared" si="106"/>
        <v>11</v>
      </c>
    </row>
    <row r="6802" spans="1:7" ht="12.75">
      <c r="A6802" s="134" t="s">
        <v>505</v>
      </c>
      <c r="B6802" s="134">
        <v>301</v>
      </c>
      <c r="C6802" s="491">
        <v>3</v>
      </c>
      <c r="D6802" s="491">
        <v>6</v>
      </c>
      <c r="E6802" s="491">
        <v>0</v>
      </c>
      <c r="F6802" s="491">
        <v>0</v>
      </c>
      <c r="G6802" s="491">
        <f t="shared" si="106"/>
        <v>9</v>
      </c>
    </row>
    <row r="6803" spans="1:7" ht="12.75">
      <c r="A6803" s="134" t="s">
        <v>505</v>
      </c>
      <c r="B6803" s="134">
        <v>302</v>
      </c>
      <c r="C6803" s="491">
        <v>0</v>
      </c>
      <c r="D6803" s="491">
        <v>2</v>
      </c>
      <c r="E6803" s="491">
        <v>0</v>
      </c>
      <c r="F6803" s="491">
        <v>0</v>
      </c>
      <c r="G6803" s="491">
        <f t="shared" si="106"/>
        <v>2</v>
      </c>
    </row>
    <row r="6804" spans="1:7" ht="12.75">
      <c r="A6804" s="134" t="s">
        <v>505</v>
      </c>
      <c r="B6804" s="134">
        <v>303</v>
      </c>
      <c r="C6804" s="491">
        <v>4</v>
      </c>
      <c r="D6804" s="491">
        <v>2</v>
      </c>
      <c r="E6804" s="491">
        <v>0</v>
      </c>
      <c r="F6804" s="491">
        <v>0</v>
      </c>
      <c r="G6804" s="491">
        <f t="shared" si="106"/>
        <v>6</v>
      </c>
    </row>
    <row r="6805" spans="1:7" ht="12.75">
      <c r="A6805" s="134" t="s">
        <v>505</v>
      </c>
      <c r="B6805" s="134">
        <v>304</v>
      </c>
      <c r="C6805" s="491">
        <v>14</v>
      </c>
      <c r="D6805" s="491">
        <v>3</v>
      </c>
      <c r="E6805" s="491">
        <v>0</v>
      </c>
      <c r="F6805" s="491">
        <v>0</v>
      </c>
      <c r="G6805" s="491">
        <f t="shared" si="106"/>
        <v>17</v>
      </c>
    </row>
    <row r="6806" spans="1:7" ht="12.75">
      <c r="A6806" s="134" t="s">
        <v>505</v>
      </c>
      <c r="B6806" s="134">
        <v>306</v>
      </c>
      <c r="C6806" s="491">
        <v>0</v>
      </c>
      <c r="D6806" s="491">
        <v>2</v>
      </c>
      <c r="E6806" s="491">
        <v>0</v>
      </c>
      <c r="F6806" s="491">
        <v>0</v>
      </c>
      <c r="G6806" s="491">
        <f t="shared" si="106"/>
        <v>2</v>
      </c>
    </row>
    <row r="6807" spans="1:7" ht="12.75">
      <c r="A6807" s="134" t="s">
        <v>505</v>
      </c>
      <c r="B6807" s="134">
        <v>307</v>
      </c>
      <c r="C6807" s="491">
        <v>1</v>
      </c>
      <c r="D6807" s="491">
        <v>4</v>
      </c>
      <c r="E6807" s="491">
        <v>0</v>
      </c>
      <c r="F6807" s="491">
        <v>0</v>
      </c>
      <c r="G6807" s="491">
        <f t="shared" si="106"/>
        <v>5</v>
      </c>
    </row>
    <row r="6808" spans="1:7" ht="12.75">
      <c r="A6808" s="134" t="s">
        <v>505</v>
      </c>
      <c r="B6808" s="134">
        <v>310</v>
      </c>
      <c r="C6808" s="491">
        <v>0</v>
      </c>
      <c r="D6808" s="491">
        <v>4</v>
      </c>
      <c r="E6808" s="491">
        <v>0</v>
      </c>
      <c r="F6808" s="491">
        <v>0</v>
      </c>
      <c r="G6808" s="491">
        <f t="shared" si="106"/>
        <v>4</v>
      </c>
    </row>
    <row r="6809" spans="1:7" ht="12.75">
      <c r="A6809" s="134" t="s">
        <v>505</v>
      </c>
      <c r="B6809" s="134">
        <v>314</v>
      </c>
      <c r="C6809" s="491">
        <v>0</v>
      </c>
      <c r="D6809" s="491">
        <v>1</v>
      </c>
      <c r="E6809" s="491">
        <v>0</v>
      </c>
      <c r="F6809" s="491">
        <v>0</v>
      </c>
      <c r="G6809" s="491">
        <f t="shared" si="106"/>
        <v>1</v>
      </c>
    </row>
    <row r="6810" spans="1:7" ht="12.75">
      <c r="A6810" s="134" t="s">
        <v>505</v>
      </c>
      <c r="B6810" s="134">
        <v>315</v>
      </c>
      <c r="C6810" s="491">
        <v>3</v>
      </c>
      <c r="D6810" s="491">
        <v>0</v>
      </c>
      <c r="E6810" s="491">
        <v>0</v>
      </c>
      <c r="F6810" s="491">
        <v>0</v>
      </c>
      <c r="G6810" s="491">
        <f t="shared" si="106"/>
        <v>3</v>
      </c>
    </row>
    <row r="6811" spans="1:7" ht="12.75">
      <c r="A6811" s="134" t="s">
        <v>505</v>
      </c>
      <c r="B6811" s="134">
        <v>317</v>
      </c>
      <c r="C6811" s="491">
        <v>0</v>
      </c>
      <c r="D6811" s="491">
        <v>1</v>
      </c>
      <c r="E6811" s="491">
        <v>0</v>
      </c>
      <c r="F6811" s="491">
        <v>0</v>
      </c>
      <c r="G6811" s="491">
        <f t="shared" si="106"/>
        <v>1</v>
      </c>
    </row>
    <row r="6812" spans="1:7" ht="12.75">
      <c r="A6812" s="134" t="s">
        <v>505</v>
      </c>
      <c r="B6812" s="134">
        <v>320</v>
      </c>
      <c r="C6812" s="491">
        <v>2</v>
      </c>
      <c r="D6812" s="491">
        <v>18</v>
      </c>
      <c r="E6812" s="491">
        <v>0</v>
      </c>
      <c r="F6812" s="491">
        <v>0</v>
      </c>
      <c r="G6812" s="491">
        <f t="shared" si="106"/>
        <v>20</v>
      </c>
    </row>
    <row r="6813" spans="1:7" ht="12.75">
      <c r="A6813" s="134" t="s">
        <v>505</v>
      </c>
      <c r="B6813" s="134">
        <v>323</v>
      </c>
      <c r="C6813" s="491">
        <v>38</v>
      </c>
      <c r="D6813" s="491">
        <v>0</v>
      </c>
      <c r="E6813" s="491">
        <v>0</v>
      </c>
      <c r="F6813" s="491">
        <v>0</v>
      </c>
      <c r="G6813" s="491">
        <f t="shared" si="106"/>
        <v>38</v>
      </c>
    </row>
    <row r="6814" spans="1:7" ht="12.75">
      <c r="A6814" s="134" t="s">
        <v>505</v>
      </c>
      <c r="B6814" s="134">
        <v>324</v>
      </c>
      <c r="C6814" s="491">
        <v>0</v>
      </c>
      <c r="D6814" s="491">
        <v>4</v>
      </c>
      <c r="E6814" s="491">
        <v>0</v>
      </c>
      <c r="F6814" s="491">
        <v>0</v>
      </c>
      <c r="G6814" s="491">
        <f t="shared" si="106"/>
        <v>4</v>
      </c>
    </row>
    <row r="6815" spans="1:7" ht="12.75">
      <c r="A6815" s="134" t="s">
        <v>505</v>
      </c>
      <c r="B6815" s="134">
        <v>330</v>
      </c>
      <c r="C6815" s="491">
        <v>3</v>
      </c>
      <c r="D6815" s="491">
        <v>15</v>
      </c>
      <c r="E6815" s="491">
        <v>0</v>
      </c>
      <c r="F6815" s="491">
        <v>0</v>
      </c>
      <c r="G6815" s="491">
        <f t="shared" si="106"/>
        <v>18</v>
      </c>
    </row>
    <row r="6816" spans="1:7" ht="12.75">
      <c r="A6816" s="134" t="s">
        <v>505</v>
      </c>
      <c r="B6816" s="134">
        <v>340</v>
      </c>
      <c r="C6816" s="491">
        <v>0</v>
      </c>
      <c r="D6816" s="491">
        <v>5</v>
      </c>
      <c r="E6816" s="491">
        <v>0</v>
      </c>
      <c r="F6816" s="491">
        <v>0</v>
      </c>
      <c r="G6816" s="491">
        <f t="shared" si="106"/>
        <v>5</v>
      </c>
    </row>
    <row r="6817" spans="1:7" ht="12.75">
      <c r="A6817" s="134" t="s">
        <v>505</v>
      </c>
      <c r="B6817" s="134">
        <v>341</v>
      </c>
      <c r="C6817" s="491">
        <v>1</v>
      </c>
      <c r="D6817" s="491">
        <v>3</v>
      </c>
      <c r="E6817" s="491">
        <v>0</v>
      </c>
      <c r="F6817" s="491">
        <v>0</v>
      </c>
      <c r="G6817" s="491">
        <f t="shared" si="106"/>
        <v>4</v>
      </c>
    </row>
    <row r="6818" spans="1:7" ht="12.75">
      <c r="A6818" s="134" t="s">
        <v>505</v>
      </c>
      <c r="B6818" s="134">
        <v>350</v>
      </c>
      <c r="C6818" s="491">
        <v>0</v>
      </c>
      <c r="D6818" s="491">
        <v>3</v>
      </c>
      <c r="E6818" s="491">
        <v>0</v>
      </c>
      <c r="F6818" s="491">
        <v>0</v>
      </c>
      <c r="G6818" s="491">
        <f t="shared" si="106"/>
        <v>3</v>
      </c>
    </row>
    <row r="6819" spans="1:7" ht="12.75">
      <c r="A6819" s="134" t="s">
        <v>505</v>
      </c>
      <c r="B6819" s="134">
        <v>361</v>
      </c>
      <c r="C6819" s="491">
        <v>8</v>
      </c>
      <c r="D6819" s="491">
        <v>2</v>
      </c>
      <c r="E6819" s="491">
        <v>0</v>
      </c>
      <c r="F6819" s="491">
        <v>2</v>
      </c>
      <c r="G6819" s="491">
        <f t="shared" si="106"/>
        <v>12</v>
      </c>
    </row>
    <row r="6820" spans="1:7" ht="12.75">
      <c r="A6820" s="134" t="s">
        <v>505</v>
      </c>
      <c r="B6820" s="134">
        <v>370</v>
      </c>
      <c r="C6820" s="491">
        <v>231</v>
      </c>
      <c r="D6820" s="491">
        <v>16</v>
      </c>
      <c r="E6820" s="491">
        <v>0</v>
      </c>
      <c r="F6820" s="491">
        <v>0</v>
      </c>
      <c r="G6820" s="491">
        <f t="shared" si="106"/>
        <v>247</v>
      </c>
    </row>
    <row r="6821" spans="1:7" ht="12.75">
      <c r="A6821" s="134" t="s">
        <v>505</v>
      </c>
      <c r="B6821" s="134">
        <v>400</v>
      </c>
      <c r="C6821" s="491">
        <v>1</v>
      </c>
      <c r="D6821" s="491">
        <v>12</v>
      </c>
      <c r="E6821" s="491">
        <v>0</v>
      </c>
      <c r="F6821" s="491">
        <v>0</v>
      </c>
      <c r="G6821" s="491">
        <f t="shared" si="106"/>
        <v>13</v>
      </c>
    </row>
    <row r="6822" spans="1:7" ht="12.75">
      <c r="A6822" s="134" t="s">
        <v>505</v>
      </c>
      <c r="B6822" s="134">
        <v>410</v>
      </c>
      <c r="C6822" s="491">
        <v>2</v>
      </c>
      <c r="D6822" s="491">
        <v>3</v>
      </c>
      <c r="E6822" s="491">
        <v>1</v>
      </c>
      <c r="F6822" s="491">
        <v>0</v>
      </c>
      <c r="G6822" s="491">
        <f t="shared" si="106"/>
        <v>6</v>
      </c>
    </row>
    <row r="6823" spans="1:7" ht="12.75">
      <c r="A6823" s="134" t="s">
        <v>505</v>
      </c>
      <c r="B6823" s="134">
        <v>430</v>
      </c>
      <c r="C6823" s="491">
        <v>2</v>
      </c>
      <c r="D6823" s="491">
        <v>13</v>
      </c>
      <c r="E6823" s="491">
        <v>0</v>
      </c>
      <c r="F6823" s="491">
        <v>0</v>
      </c>
      <c r="G6823" s="491">
        <f t="shared" si="106"/>
        <v>15</v>
      </c>
    </row>
    <row r="6824" spans="1:7" ht="12.75">
      <c r="A6824" s="134" t="s">
        <v>505</v>
      </c>
      <c r="B6824" s="134">
        <v>501</v>
      </c>
      <c r="C6824" s="491">
        <v>134</v>
      </c>
      <c r="D6824" s="491">
        <v>127</v>
      </c>
      <c r="E6824" s="491">
        <v>0</v>
      </c>
      <c r="F6824" s="491">
        <v>2</v>
      </c>
      <c r="G6824" s="491">
        <f t="shared" si="106"/>
        <v>263</v>
      </c>
    </row>
    <row r="6825" spans="1:7" ht="12.75">
      <c r="A6825" s="134" t="s">
        <v>505</v>
      </c>
      <c r="B6825" s="134">
        <v>502</v>
      </c>
      <c r="C6825" s="491">
        <v>2380</v>
      </c>
      <c r="D6825" s="491">
        <v>1346</v>
      </c>
      <c r="E6825" s="491">
        <v>153</v>
      </c>
      <c r="F6825" s="491">
        <v>56</v>
      </c>
      <c r="G6825" s="491">
        <f t="shared" si="106"/>
        <v>3935</v>
      </c>
    </row>
    <row r="6826" spans="1:7" ht="12.75">
      <c r="A6826" s="134" t="s">
        <v>505</v>
      </c>
      <c r="B6826" s="134">
        <v>503</v>
      </c>
      <c r="C6826" s="491">
        <v>20</v>
      </c>
      <c r="D6826" s="491">
        <v>8</v>
      </c>
      <c r="E6826" s="491">
        <v>1</v>
      </c>
      <c r="F6826" s="491">
        <v>0</v>
      </c>
      <c r="G6826" s="491">
        <f t="shared" si="106"/>
        <v>29</v>
      </c>
    </row>
    <row r="6827" spans="1:7" ht="12.75">
      <c r="A6827" s="134" t="s">
        <v>505</v>
      </c>
      <c r="B6827" s="134">
        <v>560</v>
      </c>
      <c r="C6827" s="491">
        <v>8</v>
      </c>
      <c r="D6827" s="491">
        <v>11</v>
      </c>
      <c r="E6827" s="491">
        <v>6</v>
      </c>
      <c r="F6827" s="491">
        <v>0</v>
      </c>
      <c r="G6827" s="491">
        <f t="shared" si="106"/>
        <v>25</v>
      </c>
    </row>
    <row r="6828" spans="1:7" ht="12.75">
      <c r="A6828" s="134" t="s">
        <v>505</v>
      </c>
      <c r="B6828" s="134">
        <v>650</v>
      </c>
      <c r="C6828" s="491">
        <v>1</v>
      </c>
      <c r="D6828" s="491">
        <v>13</v>
      </c>
      <c r="E6828" s="491">
        <v>0</v>
      </c>
      <c r="F6828" s="491">
        <v>0</v>
      </c>
      <c r="G6828" s="491">
        <f t="shared" si="106"/>
        <v>14</v>
      </c>
    </row>
    <row r="6829" spans="1:7" ht="12.75">
      <c r="A6829" s="134" t="s">
        <v>505</v>
      </c>
      <c r="B6829" s="134">
        <v>651</v>
      </c>
      <c r="C6829" s="491">
        <v>0</v>
      </c>
      <c r="D6829" s="491">
        <v>3</v>
      </c>
      <c r="E6829" s="491">
        <v>0</v>
      </c>
      <c r="F6829" s="491">
        <v>0</v>
      </c>
      <c r="G6829" s="491">
        <f t="shared" si="106"/>
        <v>3</v>
      </c>
    </row>
    <row r="6830" spans="1:7" ht="12.75">
      <c r="A6830" s="134" t="s">
        <v>505</v>
      </c>
      <c r="B6830" s="134">
        <v>800</v>
      </c>
      <c r="C6830" s="491">
        <v>76</v>
      </c>
      <c r="D6830" s="491">
        <v>5</v>
      </c>
      <c r="E6830" s="491">
        <v>1</v>
      </c>
      <c r="F6830" s="491">
        <v>0</v>
      </c>
      <c r="G6830" s="491">
        <f t="shared" si="106"/>
        <v>82</v>
      </c>
    </row>
    <row r="6831" spans="1:7" ht="12.75">
      <c r="A6831" s="134" t="s">
        <v>505</v>
      </c>
      <c r="B6831" s="134">
        <v>811</v>
      </c>
      <c r="C6831" s="491">
        <v>0</v>
      </c>
      <c r="D6831" s="491">
        <v>0</v>
      </c>
      <c r="E6831" s="491">
        <v>1</v>
      </c>
      <c r="F6831" s="491">
        <v>0</v>
      </c>
      <c r="G6831" s="491">
        <f t="shared" si="106"/>
        <v>1</v>
      </c>
    </row>
    <row r="6832" spans="1:7" ht="12.75">
      <c r="A6832" s="134" t="s">
        <v>505</v>
      </c>
      <c r="B6832" s="134">
        <v>812</v>
      </c>
      <c r="C6832" s="491">
        <v>14</v>
      </c>
      <c r="D6832" s="491">
        <v>1</v>
      </c>
      <c r="E6832" s="491">
        <v>0</v>
      </c>
      <c r="F6832" s="491">
        <v>0</v>
      </c>
      <c r="G6832" s="491">
        <f t="shared" si="106"/>
        <v>15</v>
      </c>
    </row>
    <row r="6833" spans="1:7" ht="12.75">
      <c r="A6833" s="134" t="s">
        <v>479</v>
      </c>
      <c r="B6833" s="134">
        <v>100</v>
      </c>
      <c r="C6833" s="491">
        <v>334</v>
      </c>
      <c r="D6833" s="491">
        <v>31</v>
      </c>
      <c r="E6833" s="491">
        <v>0</v>
      </c>
      <c r="F6833" s="491">
        <v>0</v>
      </c>
      <c r="G6833" s="491">
        <f t="shared" si="106"/>
        <v>365</v>
      </c>
    </row>
    <row r="6834" spans="1:7" ht="12.75">
      <c r="A6834" s="134" t="s">
        <v>479</v>
      </c>
      <c r="B6834" s="134">
        <v>101</v>
      </c>
      <c r="C6834" s="491">
        <v>37812</v>
      </c>
      <c r="D6834" s="491">
        <v>875</v>
      </c>
      <c r="E6834" s="491">
        <v>113</v>
      </c>
      <c r="F6834" s="491">
        <v>6</v>
      </c>
      <c r="G6834" s="491">
        <f t="shared" si="106"/>
        <v>38806</v>
      </c>
    </row>
    <row r="6835" spans="1:7" ht="12.75">
      <c r="A6835" s="134" t="s">
        <v>479</v>
      </c>
      <c r="B6835" s="134">
        <v>102</v>
      </c>
      <c r="C6835" s="491">
        <v>0</v>
      </c>
      <c r="D6835" s="491">
        <v>1</v>
      </c>
      <c r="E6835" s="491">
        <v>0</v>
      </c>
      <c r="F6835" s="491">
        <v>0</v>
      </c>
      <c r="G6835" s="491">
        <f t="shared" si="106"/>
        <v>1</v>
      </c>
    </row>
    <row r="6836" spans="1:7" ht="12.75">
      <c r="A6836" s="134" t="s">
        <v>479</v>
      </c>
      <c r="B6836" s="134">
        <v>103</v>
      </c>
      <c r="C6836" s="491">
        <v>3</v>
      </c>
      <c r="D6836" s="491">
        <v>0</v>
      </c>
      <c r="E6836" s="491">
        <v>0</v>
      </c>
      <c r="F6836" s="491">
        <v>0</v>
      </c>
      <c r="G6836" s="491">
        <f t="shared" si="106"/>
        <v>3</v>
      </c>
    </row>
    <row r="6837" spans="1:7" ht="12.75">
      <c r="A6837" s="134" t="s">
        <v>479</v>
      </c>
      <c r="B6837" s="134">
        <v>104</v>
      </c>
      <c r="C6837" s="491">
        <v>0</v>
      </c>
      <c r="D6837" s="491">
        <v>1</v>
      </c>
      <c r="E6837" s="491">
        <v>0</v>
      </c>
      <c r="F6837" s="491">
        <v>0</v>
      </c>
      <c r="G6837" s="491">
        <f t="shared" si="106"/>
        <v>1</v>
      </c>
    </row>
    <row r="6838" spans="1:7" ht="12.75">
      <c r="A6838" s="134" t="s">
        <v>479</v>
      </c>
      <c r="B6838" s="134">
        <v>110</v>
      </c>
      <c r="C6838" s="491">
        <v>3</v>
      </c>
      <c r="D6838" s="491">
        <v>1</v>
      </c>
      <c r="E6838" s="491">
        <v>0</v>
      </c>
      <c r="F6838" s="491">
        <v>0</v>
      </c>
      <c r="G6838" s="491">
        <f t="shared" si="106"/>
        <v>4</v>
      </c>
    </row>
    <row r="6839" spans="1:7" ht="12.75">
      <c r="A6839" s="134" t="s">
        <v>479</v>
      </c>
      <c r="B6839" s="134">
        <v>120</v>
      </c>
      <c r="C6839" s="491">
        <v>5</v>
      </c>
      <c r="D6839" s="491">
        <v>1</v>
      </c>
      <c r="E6839" s="491">
        <v>0</v>
      </c>
      <c r="F6839" s="491">
        <v>0</v>
      </c>
      <c r="G6839" s="491">
        <f t="shared" si="106"/>
        <v>6</v>
      </c>
    </row>
    <row r="6840" spans="1:7" ht="12.75">
      <c r="A6840" s="134" t="s">
        <v>479</v>
      </c>
      <c r="B6840" s="134">
        <v>140</v>
      </c>
      <c r="C6840" s="491">
        <v>5</v>
      </c>
      <c r="D6840" s="491">
        <v>2</v>
      </c>
      <c r="E6840" s="491">
        <v>0</v>
      </c>
      <c r="F6840" s="491">
        <v>0</v>
      </c>
      <c r="G6840" s="491">
        <f t="shared" si="106"/>
        <v>7</v>
      </c>
    </row>
    <row r="6841" spans="1:7" ht="12.75">
      <c r="A6841" s="134" t="s">
        <v>479</v>
      </c>
      <c r="B6841" s="134">
        <v>143</v>
      </c>
      <c r="C6841" s="491">
        <v>0</v>
      </c>
      <c r="D6841" s="491">
        <v>1</v>
      </c>
      <c r="E6841" s="491">
        <v>0</v>
      </c>
      <c r="F6841" s="491">
        <v>0</v>
      </c>
      <c r="G6841" s="491">
        <f t="shared" si="106"/>
        <v>1</v>
      </c>
    </row>
    <row r="6842" spans="1:7" ht="12.75">
      <c r="A6842" s="134" t="s">
        <v>479</v>
      </c>
      <c r="B6842" s="134">
        <v>144</v>
      </c>
      <c r="C6842" s="491">
        <v>2</v>
      </c>
      <c r="D6842" s="491">
        <v>0</v>
      </c>
      <c r="E6842" s="491">
        <v>0</v>
      </c>
      <c r="F6842" s="491">
        <v>0</v>
      </c>
      <c r="G6842" s="491">
        <f t="shared" si="106"/>
        <v>2</v>
      </c>
    </row>
    <row r="6843" spans="1:7" ht="12.75">
      <c r="A6843" s="134" t="s">
        <v>479</v>
      </c>
      <c r="B6843" s="134">
        <v>160</v>
      </c>
      <c r="C6843" s="491">
        <v>0</v>
      </c>
      <c r="D6843" s="491">
        <v>1</v>
      </c>
      <c r="E6843" s="491">
        <v>0</v>
      </c>
      <c r="F6843" s="491">
        <v>0</v>
      </c>
      <c r="G6843" s="491">
        <f t="shared" si="106"/>
        <v>1</v>
      </c>
    </row>
    <row r="6844" spans="1:7" ht="12.75">
      <c r="A6844" s="134" t="s">
        <v>479</v>
      </c>
      <c r="B6844" s="134">
        <v>180</v>
      </c>
      <c r="C6844" s="491">
        <v>1</v>
      </c>
      <c r="D6844" s="491">
        <v>0</v>
      </c>
      <c r="E6844" s="491">
        <v>0</v>
      </c>
      <c r="F6844" s="491">
        <v>0</v>
      </c>
      <c r="G6844" s="491">
        <f t="shared" si="106"/>
        <v>1</v>
      </c>
    </row>
    <row r="6845" spans="1:7" ht="12.75">
      <c r="A6845" s="134" t="s">
        <v>479</v>
      </c>
      <c r="B6845" s="134">
        <v>190</v>
      </c>
      <c r="C6845" s="491">
        <v>8</v>
      </c>
      <c r="D6845" s="491">
        <v>0</v>
      </c>
      <c r="E6845" s="491">
        <v>0</v>
      </c>
      <c r="F6845" s="491">
        <v>0</v>
      </c>
      <c r="G6845" s="491">
        <f t="shared" si="106"/>
        <v>8</v>
      </c>
    </row>
    <row r="6846" spans="1:7" ht="12.75">
      <c r="A6846" s="134" t="s">
        <v>479</v>
      </c>
      <c r="B6846" s="134">
        <v>191</v>
      </c>
      <c r="C6846" s="491">
        <v>1</v>
      </c>
      <c r="D6846" s="491">
        <v>0</v>
      </c>
      <c r="E6846" s="491">
        <v>0</v>
      </c>
      <c r="F6846" s="491">
        <v>0</v>
      </c>
      <c r="G6846" s="491">
        <f t="shared" si="106"/>
        <v>1</v>
      </c>
    </row>
    <row r="6847" spans="1:7" ht="12.75">
      <c r="A6847" s="134" t="s">
        <v>479</v>
      </c>
      <c r="B6847" s="134">
        <v>211</v>
      </c>
      <c r="C6847" s="491">
        <v>1</v>
      </c>
      <c r="D6847" s="491">
        <v>0</v>
      </c>
      <c r="E6847" s="491">
        <v>0</v>
      </c>
      <c r="F6847" s="491">
        <v>0</v>
      </c>
      <c r="G6847" s="491">
        <f t="shared" si="106"/>
        <v>1</v>
      </c>
    </row>
    <row r="6848" spans="1:7" ht="12.75">
      <c r="A6848" s="134" t="s">
        <v>479</v>
      </c>
      <c r="B6848" s="134">
        <v>301</v>
      </c>
      <c r="C6848" s="491">
        <v>3</v>
      </c>
      <c r="D6848" s="491">
        <v>1</v>
      </c>
      <c r="E6848" s="491">
        <v>0</v>
      </c>
      <c r="F6848" s="491">
        <v>0</v>
      </c>
      <c r="G6848" s="491">
        <f t="shared" si="106"/>
        <v>4</v>
      </c>
    </row>
    <row r="6849" spans="1:7" ht="12.75">
      <c r="A6849" s="134" t="s">
        <v>479</v>
      </c>
      <c r="B6849" s="134">
        <v>303</v>
      </c>
      <c r="C6849" s="491">
        <v>3</v>
      </c>
      <c r="D6849" s="491">
        <v>0</v>
      </c>
      <c r="E6849" s="491">
        <v>0</v>
      </c>
      <c r="F6849" s="491">
        <v>0</v>
      </c>
      <c r="G6849" s="491">
        <f t="shared" si="106"/>
        <v>3</v>
      </c>
    </row>
    <row r="6850" spans="1:7" ht="12.75">
      <c r="A6850" s="134" t="s">
        <v>479</v>
      </c>
      <c r="B6850" s="134">
        <v>304</v>
      </c>
      <c r="C6850" s="491">
        <v>64</v>
      </c>
      <c r="D6850" s="491">
        <v>0</v>
      </c>
      <c r="E6850" s="491">
        <v>0</v>
      </c>
      <c r="F6850" s="491">
        <v>0</v>
      </c>
      <c r="G6850" s="491">
        <f t="shared" si="106"/>
        <v>64</v>
      </c>
    </row>
    <row r="6851" spans="1:7" ht="12.75">
      <c r="A6851" s="134" t="s">
        <v>479</v>
      </c>
      <c r="B6851" s="134">
        <v>307</v>
      </c>
      <c r="C6851" s="491">
        <v>1</v>
      </c>
      <c r="D6851" s="491">
        <v>0</v>
      </c>
      <c r="E6851" s="491">
        <v>0</v>
      </c>
      <c r="F6851" s="491">
        <v>0</v>
      </c>
      <c r="G6851" s="491">
        <f t="shared" si="106"/>
        <v>1</v>
      </c>
    </row>
    <row r="6852" spans="1:7" ht="12.75">
      <c r="A6852" s="134" t="s">
        <v>479</v>
      </c>
      <c r="B6852" s="134">
        <v>320</v>
      </c>
      <c r="C6852" s="491">
        <v>11</v>
      </c>
      <c r="D6852" s="491">
        <v>5</v>
      </c>
      <c r="E6852" s="491">
        <v>0</v>
      </c>
      <c r="F6852" s="491">
        <v>0</v>
      </c>
      <c r="G6852" s="491">
        <f t="shared" ref="G6852:G6915" si="107">SUM(C6852:F6852)</f>
        <v>16</v>
      </c>
    </row>
    <row r="6853" spans="1:7" ht="12.75">
      <c r="A6853" s="134" t="s">
        <v>479</v>
      </c>
      <c r="B6853" s="134">
        <v>330</v>
      </c>
      <c r="C6853" s="491">
        <v>1</v>
      </c>
      <c r="D6853" s="491">
        <v>0</v>
      </c>
      <c r="E6853" s="491">
        <v>0</v>
      </c>
      <c r="F6853" s="491">
        <v>0</v>
      </c>
      <c r="G6853" s="491">
        <f t="shared" si="107"/>
        <v>1</v>
      </c>
    </row>
    <row r="6854" spans="1:7" ht="12.75">
      <c r="A6854" s="134" t="s">
        <v>479</v>
      </c>
      <c r="B6854" s="134">
        <v>340</v>
      </c>
      <c r="C6854" s="491">
        <v>0</v>
      </c>
      <c r="D6854" s="491">
        <v>1</v>
      </c>
      <c r="E6854" s="491">
        <v>0</v>
      </c>
      <c r="F6854" s="491">
        <v>0</v>
      </c>
      <c r="G6854" s="491">
        <f t="shared" si="107"/>
        <v>1</v>
      </c>
    </row>
    <row r="6855" spans="1:7" ht="12.75">
      <c r="A6855" s="134" t="s">
        <v>479</v>
      </c>
      <c r="B6855" s="134">
        <v>370</v>
      </c>
      <c r="C6855" s="491">
        <v>435</v>
      </c>
      <c r="D6855" s="491">
        <v>12</v>
      </c>
      <c r="E6855" s="491">
        <v>0</v>
      </c>
      <c r="F6855" s="491">
        <v>0</v>
      </c>
      <c r="G6855" s="491">
        <f t="shared" si="107"/>
        <v>447</v>
      </c>
    </row>
    <row r="6856" spans="1:7" ht="12.75">
      <c r="A6856" s="134" t="s">
        <v>479</v>
      </c>
      <c r="B6856" s="134">
        <v>400</v>
      </c>
      <c r="C6856" s="491">
        <v>1</v>
      </c>
      <c r="D6856" s="491">
        <v>0</v>
      </c>
      <c r="E6856" s="491">
        <v>0</v>
      </c>
      <c r="F6856" s="491">
        <v>0</v>
      </c>
      <c r="G6856" s="491">
        <f t="shared" si="107"/>
        <v>1</v>
      </c>
    </row>
    <row r="6857" spans="1:7" ht="12.75">
      <c r="A6857" s="134" t="s">
        <v>479</v>
      </c>
      <c r="B6857" s="134">
        <v>410</v>
      </c>
      <c r="C6857" s="491">
        <v>2</v>
      </c>
      <c r="D6857" s="491">
        <v>0</v>
      </c>
      <c r="E6857" s="491">
        <v>0</v>
      </c>
      <c r="F6857" s="491">
        <v>0</v>
      </c>
      <c r="G6857" s="491">
        <f t="shared" si="107"/>
        <v>2</v>
      </c>
    </row>
    <row r="6858" spans="1:7" ht="12.75">
      <c r="A6858" s="134" t="s">
        <v>479</v>
      </c>
      <c r="B6858" s="134">
        <v>430</v>
      </c>
      <c r="C6858" s="491">
        <v>6</v>
      </c>
      <c r="D6858" s="491">
        <v>1</v>
      </c>
      <c r="E6858" s="491">
        <v>0</v>
      </c>
      <c r="F6858" s="491">
        <v>0</v>
      </c>
      <c r="G6858" s="491">
        <f t="shared" si="107"/>
        <v>7</v>
      </c>
    </row>
    <row r="6859" spans="1:7" ht="12.75">
      <c r="A6859" s="134" t="s">
        <v>479</v>
      </c>
      <c r="B6859" s="134">
        <v>460</v>
      </c>
      <c r="C6859" s="491">
        <v>1</v>
      </c>
      <c r="D6859" s="491">
        <v>1</v>
      </c>
      <c r="E6859" s="491">
        <v>0</v>
      </c>
      <c r="F6859" s="491">
        <v>0</v>
      </c>
      <c r="G6859" s="491">
        <f t="shared" si="107"/>
        <v>2</v>
      </c>
    </row>
    <row r="6860" spans="1:7" ht="12.75">
      <c r="A6860" s="134" t="s">
        <v>479</v>
      </c>
      <c r="B6860" s="134">
        <v>501</v>
      </c>
      <c r="C6860" s="491">
        <v>1</v>
      </c>
      <c r="D6860" s="491">
        <v>0</v>
      </c>
      <c r="E6860" s="491">
        <v>0</v>
      </c>
      <c r="F6860" s="491">
        <v>0</v>
      </c>
      <c r="G6860" s="491">
        <f t="shared" si="107"/>
        <v>1</v>
      </c>
    </row>
    <row r="6861" spans="1:7" ht="12.75">
      <c r="A6861" s="134" t="s">
        <v>479</v>
      </c>
      <c r="B6861" s="134">
        <v>502</v>
      </c>
      <c r="C6861" s="491">
        <v>4050</v>
      </c>
      <c r="D6861" s="491">
        <v>119</v>
      </c>
      <c r="E6861" s="491">
        <v>6</v>
      </c>
      <c r="F6861" s="491">
        <v>3</v>
      </c>
      <c r="G6861" s="491">
        <f t="shared" si="107"/>
        <v>4178</v>
      </c>
    </row>
    <row r="6862" spans="1:7" ht="12.75">
      <c r="A6862" s="134" t="s">
        <v>479</v>
      </c>
      <c r="B6862" s="134">
        <v>503</v>
      </c>
      <c r="C6862" s="491">
        <v>8</v>
      </c>
      <c r="D6862" s="491">
        <v>2</v>
      </c>
      <c r="E6862" s="491">
        <v>0</v>
      </c>
      <c r="F6862" s="491">
        <v>0</v>
      </c>
      <c r="G6862" s="491">
        <f t="shared" si="107"/>
        <v>10</v>
      </c>
    </row>
    <row r="6863" spans="1:7" ht="12.75">
      <c r="A6863" s="134" t="s">
        <v>479</v>
      </c>
      <c r="B6863" s="134">
        <v>650</v>
      </c>
      <c r="C6863" s="491">
        <v>3</v>
      </c>
      <c r="D6863" s="491">
        <v>2</v>
      </c>
      <c r="E6863" s="491">
        <v>0</v>
      </c>
      <c r="F6863" s="491">
        <v>0</v>
      </c>
      <c r="G6863" s="491">
        <f t="shared" si="107"/>
        <v>5</v>
      </c>
    </row>
    <row r="6864" spans="1:7" ht="12.75">
      <c r="A6864" s="134" t="s">
        <v>479</v>
      </c>
      <c r="B6864" s="134">
        <v>654</v>
      </c>
      <c r="C6864" s="491">
        <v>1</v>
      </c>
      <c r="D6864" s="491">
        <v>0</v>
      </c>
      <c r="E6864" s="491">
        <v>0</v>
      </c>
      <c r="F6864" s="491">
        <v>0</v>
      </c>
      <c r="G6864" s="491">
        <f t="shared" si="107"/>
        <v>1</v>
      </c>
    </row>
    <row r="6865" spans="1:7" ht="12.75">
      <c r="A6865" s="134" t="s">
        <v>479</v>
      </c>
      <c r="B6865" s="134">
        <v>800</v>
      </c>
      <c r="C6865" s="491">
        <v>59</v>
      </c>
      <c r="D6865" s="491">
        <v>11</v>
      </c>
      <c r="E6865" s="491">
        <v>0</v>
      </c>
      <c r="F6865" s="491">
        <v>0</v>
      </c>
      <c r="G6865" s="491">
        <f t="shared" si="107"/>
        <v>70</v>
      </c>
    </row>
    <row r="6866" spans="1:7" ht="12.75">
      <c r="A6866" s="134" t="s">
        <v>163</v>
      </c>
      <c r="B6866" s="134">
        <v>100</v>
      </c>
      <c r="C6866" s="491">
        <v>3</v>
      </c>
      <c r="D6866" s="491">
        <v>11</v>
      </c>
      <c r="E6866" s="491">
        <v>0</v>
      </c>
      <c r="F6866" s="491">
        <v>0</v>
      </c>
      <c r="G6866" s="491">
        <f t="shared" si="107"/>
        <v>14</v>
      </c>
    </row>
    <row r="6867" spans="1:7" ht="12.75">
      <c r="A6867" s="134" t="s">
        <v>163</v>
      </c>
      <c r="B6867" s="134">
        <v>101</v>
      </c>
      <c r="C6867" s="491">
        <v>3906</v>
      </c>
      <c r="D6867" s="491">
        <v>508</v>
      </c>
      <c r="E6867" s="491">
        <v>55</v>
      </c>
      <c r="F6867" s="491">
        <v>20</v>
      </c>
      <c r="G6867" s="491">
        <f t="shared" si="107"/>
        <v>4489</v>
      </c>
    </row>
    <row r="6868" spans="1:7" ht="12.75">
      <c r="A6868" s="134" t="s">
        <v>163</v>
      </c>
      <c r="B6868" s="134">
        <v>104</v>
      </c>
      <c r="C6868" s="491">
        <v>1</v>
      </c>
      <c r="D6868" s="491">
        <v>2</v>
      </c>
      <c r="E6868" s="491">
        <v>0</v>
      </c>
      <c r="F6868" s="491">
        <v>0</v>
      </c>
      <c r="G6868" s="491">
        <f t="shared" si="107"/>
        <v>3</v>
      </c>
    </row>
    <row r="6869" spans="1:7" ht="12.75">
      <c r="A6869" s="134" t="s">
        <v>163</v>
      </c>
      <c r="B6869" s="134">
        <v>107</v>
      </c>
      <c r="C6869" s="491">
        <v>0</v>
      </c>
      <c r="D6869" s="491">
        <v>2</v>
      </c>
      <c r="E6869" s="491">
        <v>0</v>
      </c>
      <c r="F6869" s="491">
        <v>0</v>
      </c>
      <c r="G6869" s="491">
        <f t="shared" si="107"/>
        <v>2</v>
      </c>
    </row>
    <row r="6870" spans="1:7" ht="12.75">
      <c r="A6870" s="134" t="s">
        <v>163</v>
      </c>
      <c r="B6870" s="134">
        <v>110</v>
      </c>
      <c r="C6870" s="491">
        <v>3</v>
      </c>
      <c r="D6870" s="491">
        <v>13</v>
      </c>
      <c r="E6870" s="491">
        <v>0</v>
      </c>
      <c r="F6870" s="491">
        <v>2</v>
      </c>
      <c r="G6870" s="491">
        <f t="shared" si="107"/>
        <v>18</v>
      </c>
    </row>
    <row r="6871" spans="1:7" ht="12.75">
      <c r="A6871" s="134" t="s">
        <v>163</v>
      </c>
      <c r="B6871" s="134">
        <v>120</v>
      </c>
      <c r="C6871" s="491">
        <v>1</v>
      </c>
      <c r="D6871" s="491">
        <v>1</v>
      </c>
      <c r="E6871" s="491">
        <v>0</v>
      </c>
      <c r="F6871" s="491">
        <v>0</v>
      </c>
      <c r="G6871" s="491">
        <f t="shared" si="107"/>
        <v>2</v>
      </c>
    </row>
    <row r="6872" spans="1:7" ht="12.75">
      <c r="A6872" s="134" t="s">
        <v>163</v>
      </c>
      <c r="B6872" s="134">
        <v>130</v>
      </c>
      <c r="C6872" s="491">
        <v>1</v>
      </c>
      <c r="D6872" s="491">
        <v>0</v>
      </c>
      <c r="E6872" s="491">
        <v>0</v>
      </c>
      <c r="F6872" s="491">
        <v>0</v>
      </c>
      <c r="G6872" s="491">
        <f t="shared" si="107"/>
        <v>1</v>
      </c>
    </row>
    <row r="6873" spans="1:7" ht="12.75">
      <c r="A6873" s="134" t="s">
        <v>163</v>
      </c>
      <c r="B6873" s="134">
        <v>140</v>
      </c>
      <c r="C6873" s="491">
        <v>0</v>
      </c>
      <c r="D6873" s="491">
        <v>1</v>
      </c>
      <c r="E6873" s="491">
        <v>0</v>
      </c>
      <c r="F6873" s="491">
        <v>0</v>
      </c>
      <c r="G6873" s="491">
        <f t="shared" si="107"/>
        <v>1</v>
      </c>
    </row>
    <row r="6874" spans="1:7" ht="12.75">
      <c r="A6874" s="134" t="s">
        <v>163</v>
      </c>
      <c r="B6874" s="134">
        <v>143</v>
      </c>
      <c r="C6874" s="491">
        <v>0</v>
      </c>
      <c r="D6874" s="491">
        <v>3</v>
      </c>
      <c r="E6874" s="491">
        <v>0</v>
      </c>
      <c r="F6874" s="491">
        <v>0</v>
      </c>
      <c r="G6874" s="491">
        <f t="shared" si="107"/>
        <v>3</v>
      </c>
    </row>
    <row r="6875" spans="1:7" ht="12.75">
      <c r="A6875" s="134" t="s">
        <v>163</v>
      </c>
      <c r="B6875" s="134">
        <v>144</v>
      </c>
      <c r="C6875" s="491">
        <v>0</v>
      </c>
      <c r="D6875" s="491">
        <v>1</v>
      </c>
      <c r="E6875" s="491">
        <v>0</v>
      </c>
      <c r="F6875" s="491">
        <v>0</v>
      </c>
      <c r="G6875" s="491">
        <f t="shared" si="107"/>
        <v>1</v>
      </c>
    </row>
    <row r="6876" spans="1:7" ht="12.75">
      <c r="A6876" s="134" t="s">
        <v>163</v>
      </c>
      <c r="B6876" s="134">
        <v>160</v>
      </c>
      <c r="C6876" s="491">
        <v>0</v>
      </c>
      <c r="D6876" s="491">
        <v>4</v>
      </c>
      <c r="E6876" s="491">
        <v>0</v>
      </c>
      <c r="F6876" s="491">
        <v>0</v>
      </c>
      <c r="G6876" s="491">
        <f t="shared" si="107"/>
        <v>4</v>
      </c>
    </row>
    <row r="6877" spans="1:7" ht="12.75">
      <c r="A6877" s="134" t="s">
        <v>163</v>
      </c>
      <c r="B6877" s="134">
        <v>171</v>
      </c>
      <c r="C6877" s="491">
        <v>2</v>
      </c>
      <c r="D6877" s="491">
        <v>1</v>
      </c>
      <c r="E6877" s="491">
        <v>0</v>
      </c>
      <c r="F6877" s="491">
        <v>0</v>
      </c>
      <c r="G6877" s="491">
        <f t="shared" si="107"/>
        <v>3</v>
      </c>
    </row>
    <row r="6878" spans="1:7" ht="12.75">
      <c r="A6878" s="134" t="s">
        <v>163</v>
      </c>
      <c r="B6878" s="134">
        <v>173</v>
      </c>
      <c r="C6878" s="491">
        <v>0</v>
      </c>
      <c r="D6878" s="491">
        <v>1</v>
      </c>
      <c r="E6878" s="491">
        <v>0</v>
      </c>
      <c r="F6878" s="491">
        <v>0</v>
      </c>
      <c r="G6878" s="491">
        <f t="shared" si="107"/>
        <v>1</v>
      </c>
    </row>
    <row r="6879" spans="1:7" ht="12.75">
      <c r="A6879" s="134" t="s">
        <v>163</v>
      </c>
      <c r="B6879" s="134">
        <v>211</v>
      </c>
      <c r="C6879" s="491">
        <v>2</v>
      </c>
      <c r="D6879" s="491">
        <v>2</v>
      </c>
      <c r="E6879" s="491">
        <v>0</v>
      </c>
      <c r="F6879" s="491">
        <v>0</v>
      </c>
      <c r="G6879" s="491">
        <f t="shared" si="107"/>
        <v>4</v>
      </c>
    </row>
    <row r="6880" spans="1:7" ht="12.75">
      <c r="A6880" s="134" t="s">
        <v>163</v>
      </c>
      <c r="B6880" s="134">
        <v>258</v>
      </c>
      <c r="C6880" s="491">
        <v>0</v>
      </c>
      <c r="D6880" s="491">
        <v>1</v>
      </c>
      <c r="E6880" s="491">
        <v>0</v>
      </c>
      <c r="F6880" s="491">
        <v>0</v>
      </c>
      <c r="G6880" s="491">
        <f t="shared" si="107"/>
        <v>1</v>
      </c>
    </row>
    <row r="6881" spans="1:7" ht="12.75">
      <c r="A6881" s="134" t="s">
        <v>163</v>
      </c>
      <c r="B6881" s="134">
        <v>259</v>
      </c>
      <c r="C6881" s="491">
        <v>1</v>
      </c>
      <c r="D6881" s="491">
        <v>0</v>
      </c>
      <c r="E6881" s="491">
        <v>0</v>
      </c>
      <c r="F6881" s="491">
        <v>0</v>
      </c>
      <c r="G6881" s="491">
        <f t="shared" si="107"/>
        <v>1</v>
      </c>
    </row>
    <row r="6882" spans="1:7" ht="12.75">
      <c r="A6882" s="134" t="s">
        <v>163</v>
      </c>
      <c r="B6882" s="134">
        <v>290</v>
      </c>
      <c r="C6882" s="491">
        <v>12</v>
      </c>
      <c r="D6882" s="491">
        <v>1</v>
      </c>
      <c r="E6882" s="491">
        <v>0</v>
      </c>
      <c r="F6882" s="491">
        <v>0</v>
      </c>
      <c r="G6882" s="491">
        <f t="shared" si="107"/>
        <v>13</v>
      </c>
    </row>
    <row r="6883" spans="1:7" ht="12.75">
      <c r="A6883" s="134" t="s">
        <v>163</v>
      </c>
      <c r="B6883" s="134">
        <v>300</v>
      </c>
      <c r="C6883" s="491">
        <v>0</v>
      </c>
      <c r="D6883" s="491">
        <v>2</v>
      </c>
      <c r="E6883" s="491">
        <v>0</v>
      </c>
      <c r="F6883" s="491">
        <v>0</v>
      </c>
      <c r="G6883" s="491">
        <f t="shared" si="107"/>
        <v>2</v>
      </c>
    </row>
    <row r="6884" spans="1:7" ht="12.75">
      <c r="A6884" s="134" t="s">
        <v>163</v>
      </c>
      <c r="B6884" s="134">
        <v>301</v>
      </c>
      <c r="C6884" s="491">
        <v>0</v>
      </c>
      <c r="D6884" s="491">
        <v>2</v>
      </c>
      <c r="E6884" s="491">
        <v>0</v>
      </c>
      <c r="F6884" s="491">
        <v>0</v>
      </c>
      <c r="G6884" s="491">
        <f t="shared" si="107"/>
        <v>2</v>
      </c>
    </row>
    <row r="6885" spans="1:7" ht="12.75">
      <c r="A6885" s="134" t="s">
        <v>163</v>
      </c>
      <c r="B6885" s="134">
        <v>302</v>
      </c>
      <c r="C6885" s="491">
        <v>0</v>
      </c>
      <c r="D6885" s="491">
        <v>1</v>
      </c>
      <c r="E6885" s="491">
        <v>0</v>
      </c>
      <c r="F6885" s="491">
        <v>0</v>
      </c>
      <c r="G6885" s="491">
        <f t="shared" si="107"/>
        <v>1</v>
      </c>
    </row>
    <row r="6886" spans="1:7" ht="12.75">
      <c r="A6886" s="134" t="s">
        <v>163</v>
      </c>
      <c r="B6886" s="134">
        <v>303</v>
      </c>
      <c r="C6886" s="491">
        <v>0</v>
      </c>
      <c r="D6886" s="491">
        <v>2</v>
      </c>
      <c r="E6886" s="491">
        <v>0</v>
      </c>
      <c r="F6886" s="491">
        <v>0</v>
      </c>
      <c r="G6886" s="491">
        <f t="shared" si="107"/>
        <v>2</v>
      </c>
    </row>
    <row r="6887" spans="1:7" ht="12.75">
      <c r="A6887" s="134" t="s">
        <v>163</v>
      </c>
      <c r="B6887" s="134">
        <v>304</v>
      </c>
      <c r="C6887" s="491">
        <v>7</v>
      </c>
      <c r="D6887" s="491">
        <v>0</v>
      </c>
      <c r="E6887" s="491">
        <v>0</v>
      </c>
      <c r="F6887" s="491">
        <v>0</v>
      </c>
      <c r="G6887" s="491">
        <f t="shared" si="107"/>
        <v>7</v>
      </c>
    </row>
    <row r="6888" spans="1:7" ht="12.75">
      <c r="A6888" s="134" t="s">
        <v>163</v>
      </c>
      <c r="B6888" s="134">
        <v>307</v>
      </c>
      <c r="C6888" s="491">
        <v>1</v>
      </c>
      <c r="D6888" s="491">
        <v>4</v>
      </c>
      <c r="E6888" s="491">
        <v>0</v>
      </c>
      <c r="F6888" s="491">
        <v>0</v>
      </c>
      <c r="G6888" s="491">
        <f t="shared" si="107"/>
        <v>5</v>
      </c>
    </row>
    <row r="6889" spans="1:7" ht="12.75">
      <c r="A6889" s="134" t="s">
        <v>163</v>
      </c>
      <c r="B6889" s="134">
        <v>310</v>
      </c>
      <c r="C6889" s="491">
        <v>0</v>
      </c>
      <c r="D6889" s="491">
        <v>4</v>
      </c>
      <c r="E6889" s="491">
        <v>0</v>
      </c>
      <c r="F6889" s="491">
        <v>0</v>
      </c>
      <c r="G6889" s="491">
        <f t="shared" si="107"/>
        <v>4</v>
      </c>
    </row>
    <row r="6890" spans="1:7" ht="12.75">
      <c r="A6890" s="134" t="s">
        <v>163</v>
      </c>
      <c r="B6890" s="134">
        <v>311</v>
      </c>
      <c r="C6890" s="491">
        <v>0</v>
      </c>
      <c r="D6890" s="491">
        <v>2</v>
      </c>
      <c r="E6890" s="491">
        <v>0</v>
      </c>
      <c r="F6890" s="491">
        <v>0</v>
      </c>
      <c r="G6890" s="491">
        <f t="shared" si="107"/>
        <v>2</v>
      </c>
    </row>
    <row r="6891" spans="1:7" ht="12.75">
      <c r="A6891" s="134" t="s">
        <v>163</v>
      </c>
      <c r="B6891" s="134">
        <v>314</v>
      </c>
      <c r="C6891" s="491">
        <v>3</v>
      </c>
      <c r="D6891" s="491">
        <v>0</v>
      </c>
      <c r="E6891" s="491">
        <v>0</v>
      </c>
      <c r="F6891" s="491">
        <v>1</v>
      </c>
      <c r="G6891" s="491">
        <f t="shared" si="107"/>
        <v>4</v>
      </c>
    </row>
    <row r="6892" spans="1:7" ht="12.75">
      <c r="A6892" s="134" t="s">
        <v>163</v>
      </c>
      <c r="B6892" s="134">
        <v>320</v>
      </c>
      <c r="C6892" s="491">
        <v>0</v>
      </c>
      <c r="D6892" s="491">
        <v>7</v>
      </c>
      <c r="E6892" s="491">
        <v>0</v>
      </c>
      <c r="F6892" s="491">
        <v>0</v>
      </c>
      <c r="G6892" s="491">
        <f t="shared" si="107"/>
        <v>7</v>
      </c>
    </row>
    <row r="6893" spans="1:7" ht="12.75">
      <c r="A6893" s="134" t="s">
        <v>163</v>
      </c>
      <c r="B6893" s="134">
        <v>323</v>
      </c>
      <c r="C6893" s="491">
        <v>456</v>
      </c>
      <c r="D6893" s="491">
        <v>5</v>
      </c>
      <c r="E6893" s="491">
        <v>0</v>
      </c>
      <c r="F6893" s="491">
        <v>0</v>
      </c>
      <c r="G6893" s="491">
        <f t="shared" si="107"/>
        <v>461</v>
      </c>
    </row>
    <row r="6894" spans="1:7" ht="12.75">
      <c r="A6894" s="134" t="s">
        <v>163</v>
      </c>
      <c r="B6894" s="134">
        <v>324</v>
      </c>
      <c r="C6894" s="491">
        <v>0</v>
      </c>
      <c r="D6894" s="491">
        <v>2</v>
      </c>
      <c r="E6894" s="491">
        <v>0</v>
      </c>
      <c r="F6894" s="491">
        <v>1</v>
      </c>
      <c r="G6894" s="491">
        <f t="shared" si="107"/>
        <v>3</v>
      </c>
    </row>
    <row r="6895" spans="1:7" ht="12.75">
      <c r="A6895" s="134" t="s">
        <v>163</v>
      </c>
      <c r="B6895" s="134">
        <v>330</v>
      </c>
      <c r="C6895" s="491">
        <v>0</v>
      </c>
      <c r="D6895" s="491">
        <v>7</v>
      </c>
      <c r="E6895" s="491">
        <v>0</v>
      </c>
      <c r="F6895" s="491">
        <v>0</v>
      </c>
      <c r="G6895" s="491">
        <f t="shared" si="107"/>
        <v>7</v>
      </c>
    </row>
    <row r="6896" spans="1:7" ht="12.75">
      <c r="A6896" s="134" t="s">
        <v>163</v>
      </c>
      <c r="B6896" s="134">
        <v>340</v>
      </c>
      <c r="C6896" s="491">
        <v>1</v>
      </c>
      <c r="D6896" s="491">
        <v>2</v>
      </c>
      <c r="E6896" s="491">
        <v>0</v>
      </c>
      <c r="F6896" s="491">
        <v>0</v>
      </c>
      <c r="G6896" s="491">
        <f t="shared" si="107"/>
        <v>3</v>
      </c>
    </row>
    <row r="6897" spans="1:7" ht="12.75">
      <c r="A6897" s="134" t="s">
        <v>163</v>
      </c>
      <c r="B6897" s="134">
        <v>361</v>
      </c>
      <c r="C6897" s="491">
        <v>2</v>
      </c>
      <c r="D6897" s="491">
        <v>3</v>
      </c>
      <c r="E6897" s="491">
        <v>0</v>
      </c>
      <c r="F6897" s="491">
        <v>0</v>
      </c>
      <c r="G6897" s="491">
        <f t="shared" si="107"/>
        <v>5</v>
      </c>
    </row>
    <row r="6898" spans="1:7" ht="12.75">
      <c r="A6898" s="134" t="s">
        <v>163</v>
      </c>
      <c r="B6898" s="134">
        <v>370</v>
      </c>
      <c r="C6898" s="491">
        <v>1</v>
      </c>
      <c r="D6898" s="491">
        <v>2</v>
      </c>
      <c r="E6898" s="491">
        <v>0</v>
      </c>
      <c r="F6898" s="491">
        <v>0</v>
      </c>
      <c r="G6898" s="491">
        <f t="shared" si="107"/>
        <v>3</v>
      </c>
    </row>
    <row r="6899" spans="1:7" ht="12.75">
      <c r="A6899" s="134" t="s">
        <v>163</v>
      </c>
      <c r="B6899" s="134">
        <v>400</v>
      </c>
      <c r="C6899" s="491">
        <v>4</v>
      </c>
      <c r="D6899" s="491">
        <v>6</v>
      </c>
      <c r="E6899" s="491">
        <v>0</v>
      </c>
      <c r="F6899" s="491">
        <v>0</v>
      </c>
      <c r="G6899" s="491">
        <f t="shared" si="107"/>
        <v>10</v>
      </c>
    </row>
    <row r="6900" spans="1:7" ht="12.75">
      <c r="A6900" s="134" t="s">
        <v>163</v>
      </c>
      <c r="B6900" s="134">
        <v>410</v>
      </c>
      <c r="C6900" s="491">
        <v>2</v>
      </c>
      <c r="D6900" s="491">
        <v>16</v>
      </c>
      <c r="E6900" s="491">
        <v>1</v>
      </c>
      <c r="F6900" s="491">
        <v>0</v>
      </c>
      <c r="G6900" s="491">
        <f t="shared" si="107"/>
        <v>19</v>
      </c>
    </row>
    <row r="6901" spans="1:7" ht="12.75">
      <c r="A6901" s="134" t="s">
        <v>163</v>
      </c>
      <c r="B6901" s="134">
        <v>420</v>
      </c>
      <c r="C6901" s="491">
        <v>3</v>
      </c>
      <c r="D6901" s="491">
        <v>2</v>
      </c>
      <c r="E6901" s="491">
        <v>0</v>
      </c>
      <c r="F6901" s="491">
        <v>0</v>
      </c>
      <c r="G6901" s="491">
        <f t="shared" si="107"/>
        <v>5</v>
      </c>
    </row>
    <row r="6902" spans="1:7" ht="12.75">
      <c r="A6902" s="134" t="s">
        <v>163</v>
      </c>
      <c r="B6902" s="134">
        <v>501</v>
      </c>
      <c r="C6902" s="491">
        <v>0</v>
      </c>
      <c r="D6902" s="491">
        <v>2</v>
      </c>
      <c r="E6902" s="491">
        <v>0</v>
      </c>
      <c r="F6902" s="491">
        <v>0</v>
      </c>
      <c r="G6902" s="491">
        <f t="shared" si="107"/>
        <v>2</v>
      </c>
    </row>
    <row r="6903" spans="1:7" ht="12.75">
      <c r="A6903" s="134" t="s">
        <v>163</v>
      </c>
      <c r="B6903" s="134">
        <v>502</v>
      </c>
      <c r="C6903" s="491">
        <v>321</v>
      </c>
      <c r="D6903" s="491">
        <v>18</v>
      </c>
      <c r="E6903" s="491">
        <v>6</v>
      </c>
      <c r="F6903" s="491">
        <v>0</v>
      </c>
      <c r="G6903" s="491">
        <f t="shared" si="107"/>
        <v>345</v>
      </c>
    </row>
    <row r="6904" spans="1:7" ht="12.75">
      <c r="A6904" s="134" t="s">
        <v>163</v>
      </c>
      <c r="B6904" s="134">
        <v>503</v>
      </c>
      <c r="C6904" s="491">
        <v>2</v>
      </c>
      <c r="D6904" s="491">
        <v>1</v>
      </c>
      <c r="E6904" s="491">
        <v>0</v>
      </c>
      <c r="F6904" s="491">
        <v>0</v>
      </c>
      <c r="G6904" s="491">
        <f t="shared" si="107"/>
        <v>3</v>
      </c>
    </row>
    <row r="6905" spans="1:7" ht="12.75">
      <c r="A6905" s="134" t="s">
        <v>163</v>
      </c>
      <c r="B6905" s="134">
        <v>560</v>
      </c>
      <c r="C6905" s="491">
        <v>0</v>
      </c>
      <c r="D6905" s="491">
        <v>5</v>
      </c>
      <c r="E6905" s="491">
        <v>0</v>
      </c>
      <c r="F6905" s="491">
        <v>0</v>
      </c>
      <c r="G6905" s="491">
        <f t="shared" si="107"/>
        <v>5</v>
      </c>
    </row>
    <row r="6906" spans="1:7" ht="12.75">
      <c r="A6906" s="134" t="s">
        <v>163</v>
      </c>
      <c r="B6906" s="134">
        <v>650</v>
      </c>
      <c r="C6906" s="491">
        <v>0</v>
      </c>
      <c r="D6906" s="491">
        <v>8</v>
      </c>
      <c r="E6906" s="491">
        <v>0</v>
      </c>
      <c r="F6906" s="491">
        <v>0</v>
      </c>
      <c r="G6906" s="491">
        <f t="shared" si="107"/>
        <v>8</v>
      </c>
    </row>
    <row r="6907" spans="1:7" ht="12.75">
      <c r="A6907" s="134" t="s">
        <v>163</v>
      </c>
      <c r="B6907" s="134">
        <v>653</v>
      </c>
      <c r="C6907" s="491">
        <v>0</v>
      </c>
      <c r="D6907" s="491">
        <v>1</v>
      </c>
      <c r="E6907" s="491">
        <v>0</v>
      </c>
      <c r="F6907" s="491">
        <v>0</v>
      </c>
      <c r="G6907" s="491">
        <f t="shared" si="107"/>
        <v>1</v>
      </c>
    </row>
    <row r="6908" spans="1:7" ht="12.75">
      <c r="A6908" s="134" t="s">
        <v>163</v>
      </c>
      <c r="B6908" s="134">
        <v>654</v>
      </c>
      <c r="C6908" s="491">
        <v>0</v>
      </c>
      <c r="D6908" s="491">
        <v>1</v>
      </c>
      <c r="E6908" s="491">
        <v>0</v>
      </c>
      <c r="F6908" s="491">
        <v>0</v>
      </c>
      <c r="G6908" s="491">
        <f t="shared" si="107"/>
        <v>1</v>
      </c>
    </row>
    <row r="6909" spans="1:7" ht="12.75">
      <c r="A6909" s="134" t="s">
        <v>163</v>
      </c>
      <c r="B6909" s="134">
        <v>800</v>
      </c>
      <c r="C6909" s="491">
        <v>1</v>
      </c>
      <c r="D6909" s="491">
        <v>0</v>
      </c>
      <c r="E6909" s="491">
        <v>0</v>
      </c>
      <c r="F6909" s="491">
        <v>1</v>
      </c>
      <c r="G6909" s="491">
        <f t="shared" si="107"/>
        <v>2</v>
      </c>
    </row>
    <row r="6910" spans="1:7" ht="12.75">
      <c r="A6910" s="134" t="s">
        <v>914</v>
      </c>
      <c r="B6910" s="134">
        <v>101</v>
      </c>
      <c r="C6910" s="491">
        <v>3</v>
      </c>
      <c r="D6910" s="491">
        <v>0</v>
      </c>
      <c r="E6910" s="491">
        <v>0</v>
      </c>
      <c r="F6910" s="491">
        <v>0</v>
      </c>
      <c r="G6910" s="491">
        <f t="shared" si="107"/>
        <v>3</v>
      </c>
    </row>
    <row r="6911" spans="1:7" ht="12.75">
      <c r="A6911" s="134" t="s">
        <v>914</v>
      </c>
      <c r="B6911" s="134">
        <v>303</v>
      </c>
      <c r="C6911" s="491">
        <v>1</v>
      </c>
      <c r="D6911" s="491">
        <v>0</v>
      </c>
      <c r="E6911" s="491">
        <v>0</v>
      </c>
      <c r="F6911" s="491">
        <v>0</v>
      </c>
      <c r="G6911" s="491">
        <f t="shared" si="107"/>
        <v>1</v>
      </c>
    </row>
    <row r="6912" spans="1:7" ht="12.75">
      <c r="A6912" s="134" t="s">
        <v>914</v>
      </c>
      <c r="B6912" s="134">
        <v>361</v>
      </c>
      <c r="C6912" s="491">
        <v>1</v>
      </c>
      <c r="D6912" s="491">
        <v>0</v>
      </c>
      <c r="E6912" s="491">
        <v>1</v>
      </c>
      <c r="F6912" s="491">
        <v>0</v>
      </c>
      <c r="G6912" s="491">
        <f t="shared" si="107"/>
        <v>2</v>
      </c>
    </row>
    <row r="6913" spans="1:7" ht="12.75">
      <c r="A6913" s="134" t="s">
        <v>915</v>
      </c>
      <c r="B6913" s="134">
        <v>101</v>
      </c>
      <c r="C6913" s="491">
        <v>3</v>
      </c>
      <c r="D6913" s="491">
        <v>0</v>
      </c>
      <c r="E6913" s="491">
        <v>0</v>
      </c>
      <c r="F6913" s="491">
        <v>0</v>
      </c>
      <c r="G6913" s="491">
        <f t="shared" si="107"/>
        <v>3</v>
      </c>
    </row>
    <row r="6914" spans="1:7" ht="12.75">
      <c r="A6914" s="134" t="s">
        <v>915</v>
      </c>
      <c r="B6914" s="134">
        <v>430</v>
      </c>
      <c r="C6914" s="491">
        <v>0</v>
      </c>
      <c r="D6914" s="491">
        <v>1</v>
      </c>
      <c r="E6914" s="491">
        <v>0</v>
      </c>
      <c r="F6914" s="491">
        <v>0</v>
      </c>
      <c r="G6914" s="491">
        <f t="shared" si="107"/>
        <v>1</v>
      </c>
    </row>
    <row r="6915" spans="1:7" ht="12.75">
      <c r="A6915" s="134" t="s">
        <v>916</v>
      </c>
      <c r="B6915" s="134">
        <v>101</v>
      </c>
      <c r="C6915" s="491">
        <v>20</v>
      </c>
      <c r="D6915" s="491">
        <v>14</v>
      </c>
      <c r="E6915" s="491">
        <v>0</v>
      </c>
      <c r="F6915" s="491">
        <v>0</v>
      </c>
      <c r="G6915" s="491">
        <f t="shared" si="107"/>
        <v>34</v>
      </c>
    </row>
    <row r="6916" spans="1:7" ht="12.75">
      <c r="A6916" s="134" t="s">
        <v>916</v>
      </c>
      <c r="B6916" s="134">
        <v>300</v>
      </c>
      <c r="C6916" s="491">
        <v>0</v>
      </c>
      <c r="D6916" s="491">
        <v>1</v>
      </c>
      <c r="E6916" s="491">
        <v>0</v>
      </c>
      <c r="F6916" s="491">
        <v>0</v>
      </c>
      <c r="G6916" s="491">
        <f t="shared" ref="G6916:G6979" si="108">SUM(C6916:F6916)</f>
        <v>1</v>
      </c>
    </row>
    <row r="6917" spans="1:7" ht="12.75">
      <c r="A6917" s="134" t="s">
        <v>916</v>
      </c>
      <c r="B6917" s="134">
        <v>502</v>
      </c>
      <c r="C6917" s="491">
        <v>34</v>
      </c>
      <c r="D6917" s="491">
        <v>7</v>
      </c>
      <c r="E6917" s="491">
        <v>1</v>
      </c>
      <c r="F6917" s="491">
        <v>0</v>
      </c>
      <c r="G6917" s="491">
        <f t="shared" si="108"/>
        <v>42</v>
      </c>
    </row>
    <row r="6918" spans="1:7" ht="12.75">
      <c r="A6918" s="134" t="s">
        <v>916</v>
      </c>
      <c r="B6918" s="134">
        <v>812</v>
      </c>
      <c r="C6918" s="491">
        <v>3</v>
      </c>
      <c r="D6918" s="491">
        <v>0</v>
      </c>
      <c r="E6918" s="491">
        <v>0</v>
      </c>
      <c r="F6918" s="491">
        <v>0</v>
      </c>
      <c r="G6918" s="491">
        <f t="shared" si="108"/>
        <v>3</v>
      </c>
    </row>
    <row r="6919" spans="1:7" ht="12.75">
      <c r="A6919" s="134" t="s">
        <v>481</v>
      </c>
      <c r="B6919" s="134">
        <v>100</v>
      </c>
      <c r="C6919" s="491">
        <v>5</v>
      </c>
      <c r="D6919" s="491">
        <v>1</v>
      </c>
      <c r="E6919" s="491">
        <v>0</v>
      </c>
      <c r="F6919" s="491">
        <v>0</v>
      </c>
      <c r="G6919" s="491">
        <f t="shared" si="108"/>
        <v>6</v>
      </c>
    </row>
    <row r="6920" spans="1:7" ht="12.75">
      <c r="A6920" s="134" t="s">
        <v>481</v>
      </c>
      <c r="B6920" s="134">
        <v>101</v>
      </c>
      <c r="C6920" s="491">
        <v>14218</v>
      </c>
      <c r="D6920" s="491">
        <v>5668</v>
      </c>
      <c r="E6920" s="491">
        <v>320</v>
      </c>
      <c r="F6920" s="491">
        <v>146</v>
      </c>
      <c r="G6920" s="491">
        <f t="shared" si="108"/>
        <v>20352</v>
      </c>
    </row>
    <row r="6921" spans="1:7" ht="12.75">
      <c r="A6921" s="134" t="s">
        <v>481</v>
      </c>
      <c r="B6921" s="134">
        <v>103</v>
      </c>
      <c r="C6921" s="491">
        <v>27</v>
      </c>
      <c r="D6921" s="491">
        <v>0</v>
      </c>
      <c r="E6921" s="491">
        <v>0</v>
      </c>
      <c r="F6921" s="491">
        <v>0</v>
      </c>
      <c r="G6921" s="491">
        <f t="shared" si="108"/>
        <v>27</v>
      </c>
    </row>
    <row r="6922" spans="1:7" ht="12.75">
      <c r="A6922" s="134" t="s">
        <v>481</v>
      </c>
      <c r="B6922" s="134">
        <v>104</v>
      </c>
      <c r="C6922" s="491">
        <v>0</v>
      </c>
      <c r="D6922" s="491">
        <v>1</v>
      </c>
      <c r="E6922" s="491">
        <v>0</v>
      </c>
      <c r="F6922" s="491">
        <v>0</v>
      </c>
      <c r="G6922" s="491">
        <f t="shared" si="108"/>
        <v>1</v>
      </c>
    </row>
    <row r="6923" spans="1:7" ht="12.75">
      <c r="A6923" s="134" t="s">
        <v>481</v>
      </c>
      <c r="B6923" s="134">
        <v>107</v>
      </c>
      <c r="C6923" s="491">
        <v>1</v>
      </c>
      <c r="D6923" s="491">
        <v>1</v>
      </c>
      <c r="E6923" s="491">
        <v>0</v>
      </c>
      <c r="F6923" s="491">
        <v>0</v>
      </c>
      <c r="G6923" s="491">
        <f t="shared" si="108"/>
        <v>2</v>
      </c>
    </row>
    <row r="6924" spans="1:7" ht="12.75">
      <c r="A6924" s="134" t="s">
        <v>481</v>
      </c>
      <c r="B6924" s="134">
        <v>110</v>
      </c>
      <c r="C6924" s="491">
        <v>2</v>
      </c>
      <c r="D6924" s="491">
        <v>5</v>
      </c>
      <c r="E6924" s="491">
        <v>0</v>
      </c>
      <c r="F6924" s="491">
        <v>0</v>
      </c>
      <c r="G6924" s="491">
        <f t="shared" si="108"/>
        <v>7</v>
      </c>
    </row>
    <row r="6925" spans="1:7" ht="12.75">
      <c r="A6925" s="134" t="s">
        <v>481</v>
      </c>
      <c r="B6925" s="134">
        <v>120</v>
      </c>
      <c r="C6925" s="491">
        <v>1</v>
      </c>
      <c r="D6925" s="491">
        <v>0</v>
      </c>
      <c r="E6925" s="491">
        <v>0</v>
      </c>
      <c r="F6925" s="491">
        <v>0</v>
      </c>
      <c r="G6925" s="491">
        <f t="shared" si="108"/>
        <v>1</v>
      </c>
    </row>
    <row r="6926" spans="1:7" ht="12.75">
      <c r="A6926" s="134" t="s">
        <v>481</v>
      </c>
      <c r="B6926" s="134">
        <v>130</v>
      </c>
      <c r="C6926" s="491">
        <v>5</v>
      </c>
      <c r="D6926" s="491">
        <v>1</v>
      </c>
      <c r="E6926" s="491">
        <v>0</v>
      </c>
      <c r="F6926" s="491">
        <v>0</v>
      </c>
      <c r="G6926" s="491">
        <f t="shared" si="108"/>
        <v>6</v>
      </c>
    </row>
    <row r="6927" spans="1:7" ht="12.75">
      <c r="A6927" s="134" t="s">
        <v>481</v>
      </c>
      <c r="B6927" s="134">
        <v>190</v>
      </c>
      <c r="C6927" s="491">
        <v>0</v>
      </c>
      <c r="D6927" s="491">
        <v>2</v>
      </c>
      <c r="E6927" s="491">
        <v>0</v>
      </c>
      <c r="F6927" s="491">
        <v>0</v>
      </c>
      <c r="G6927" s="491">
        <f t="shared" si="108"/>
        <v>2</v>
      </c>
    </row>
    <row r="6928" spans="1:7" ht="12.75">
      <c r="A6928" s="134" t="s">
        <v>481</v>
      </c>
      <c r="B6928" s="134">
        <v>191</v>
      </c>
      <c r="C6928" s="491">
        <v>1</v>
      </c>
      <c r="D6928" s="491">
        <v>0</v>
      </c>
      <c r="E6928" s="491">
        <v>0</v>
      </c>
      <c r="F6928" s="491">
        <v>0</v>
      </c>
      <c r="G6928" s="491">
        <f t="shared" si="108"/>
        <v>1</v>
      </c>
    </row>
    <row r="6929" spans="1:7" ht="12.75">
      <c r="A6929" s="134" t="s">
        <v>481</v>
      </c>
      <c r="B6929" s="134">
        <v>301</v>
      </c>
      <c r="C6929" s="491">
        <v>1</v>
      </c>
      <c r="D6929" s="491">
        <v>2</v>
      </c>
      <c r="E6929" s="491">
        <v>0</v>
      </c>
      <c r="F6929" s="491">
        <v>0</v>
      </c>
      <c r="G6929" s="491">
        <f t="shared" si="108"/>
        <v>3</v>
      </c>
    </row>
    <row r="6930" spans="1:7" ht="12.75">
      <c r="A6930" s="134" t="s">
        <v>481</v>
      </c>
      <c r="B6930" s="134">
        <v>303</v>
      </c>
      <c r="C6930" s="491">
        <v>1</v>
      </c>
      <c r="D6930" s="491">
        <v>0</v>
      </c>
      <c r="E6930" s="491">
        <v>0</v>
      </c>
      <c r="F6930" s="491">
        <v>0</v>
      </c>
      <c r="G6930" s="491">
        <f t="shared" si="108"/>
        <v>1</v>
      </c>
    </row>
    <row r="6931" spans="1:7" ht="12.75">
      <c r="A6931" s="134" t="s">
        <v>481</v>
      </c>
      <c r="B6931" s="134">
        <v>320</v>
      </c>
      <c r="C6931" s="491">
        <v>1</v>
      </c>
      <c r="D6931" s="491">
        <v>0</v>
      </c>
      <c r="E6931" s="491">
        <v>0</v>
      </c>
      <c r="F6931" s="491">
        <v>0</v>
      </c>
      <c r="G6931" s="491">
        <f t="shared" si="108"/>
        <v>1</v>
      </c>
    </row>
    <row r="6932" spans="1:7" ht="12.75">
      <c r="A6932" s="134" t="s">
        <v>481</v>
      </c>
      <c r="B6932" s="134">
        <v>330</v>
      </c>
      <c r="C6932" s="491">
        <v>2</v>
      </c>
      <c r="D6932" s="491">
        <v>1</v>
      </c>
      <c r="E6932" s="491">
        <v>0</v>
      </c>
      <c r="F6932" s="491">
        <v>0</v>
      </c>
      <c r="G6932" s="491">
        <f t="shared" si="108"/>
        <v>3</v>
      </c>
    </row>
    <row r="6933" spans="1:7" ht="12.75">
      <c r="A6933" s="134" t="s">
        <v>481</v>
      </c>
      <c r="B6933" s="134">
        <v>340</v>
      </c>
      <c r="C6933" s="491">
        <v>1</v>
      </c>
      <c r="D6933" s="491">
        <v>2</v>
      </c>
      <c r="E6933" s="491">
        <v>0</v>
      </c>
      <c r="F6933" s="491">
        <v>0</v>
      </c>
      <c r="G6933" s="491">
        <f t="shared" si="108"/>
        <v>3</v>
      </c>
    </row>
    <row r="6934" spans="1:7" ht="12.75">
      <c r="A6934" s="134" t="s">
        <v>481</v>
      </c>
      <c r="B6934" s="134">
        <v>343</v>
      </c>
      <c r="C6934" s="491">
        <v>1</v>
      </c>
      <c r="D6934" s="491">
        <v>0</v>
      </c>
      <c r="E6934" s="491">
        <v>0</v>
      </c>
      <c r="F6934" s="491">
        <v>0</v>
      </c>
      <c r="G6934" s="491">
        <f t="shared" si="108"/>
        <v>1</v>
      </c>
    </row>
    <row r="6935" spans="1:7" ht="12.75">
      <c r="A6935" s="134" t="s">
        <v>481</v>
      </c>
      <c r="B6935" s="134">
        <v>361</v>
      </c>
      <c r="C6935" s="491">
        <v>8</v>
      </c>
      <c r="D6935" s="491">
        <v>3</v>
      </c>
      <c r="E6935" s="491">
        <v>0</v>
      </c>
      <c r="F6935" s="491">
        <v>0</v>
      </c>
      <c r="G6935" s="491">
        <f t="shared" si="108"/>
        <v>11</v>
      </c>
    </row>
    <row r="6936" spans="1:7" ht="12.75">
      <c r="A6936" s="134" t="s">
        <v>481</v>
      </c>
      <c r="B6936" s="134">
        <v>370</v>
      </c>
      <c r="C6936" s="491">
        <v>9</v>
      </c>
      <c r="D6936" s="491">
        <v>0</v>
      </c>
      <c r="E6936" s="491">
        <v>0</v>
      </c>
      <c r="F6936" s="491">
        <v>0</v>
      </c>
      <c r="G6936" s="491">
        <f t="shared" si="108"/>
        <v>9</v>
      </c>
    </row>
    <row r="6937" spans="1:7" ht="12.75">
      <c r="A6937" s="134" t="s">
        <v>481</v>
      </c>
      <c r="B6937" s="134">
        <v>400</v>
      </c>
      <c r="C6937" s="491">
        <v>5</v>
      </c>
      <c r="D6937" s="491">
        <v>0</v>
      </c>
      <c r="E6937" s="491">
        <v>0</v>
      </c>
      <c r="F6937" s="491">
        <v>0</v>
      </c>
      <c r="G6937" s="491">
        <f t="shared" si="108"/>
        <v>5</v>
      </c>
    </row>
    <row r="6938" spans="1:7" ht="12.75">
      <c r="A6938" s="134" t="s">
        <v>481</v>
      </c>
      <c r="B6938" s="134">
        <v>410</v>
      </c>
      <c r="C6938" s="491">
        <v>2</v>
      </c>
      <c r="D6938" s="491">
        <v>0</v>
      </c>
      <c r="E6938" s="491">
        <v>0</v>
      </c>
      <c r="F6938" s="491">
        <v>0</v>
      </c>
      <c r="G6938" s="491">
        <f t="shared" si="108"/>
        <v>2</v>
      </c>
    </row>
    <row r="6939" spans="1:7" ht="12.75">
      <c r="A6939" s="134" t="s">
        <v>481</v>
      </c>
      <c r="B6939" s="134">
        <v>430</v>
      </c>
      <c r="C6939" s="491">
        <v>1</v>
      </c>
      <c r="D6939" s="491">
        <v>1</v>
      </c>
      <c r="E6939" s="491">
        <v>0</v>
      </c>
      <c r="F6939" s="491">
        <v>0</v>
      </c>
      <c r="G6939" s="491">
        <f t="shared" si="108"/>
        <v>2</v>
      </c>
    </row>
    <row r="6940" spans="1:7" ht="12.75">
      <c r="A6940" s="134" t="s">
        <v>481</v>
      </c>
      <c r="B6940" s="134">
        <v>800</v>
      </c>
      <c r="C6940" s="491">
        <v>18</v>
      </c>
      <c r="D6940" s="491">
        <v>0</v>
      </c>
      <c r="E6940" s="491">
        <v>0</v>
      </c>
      <c r="F6940" s="491">
        <v>0</v>
      </c>
      <c r="G6940" s="491">
        <f t="shared" si="108"/>
        <v>18</v>
      </c>
    </row>
    <row r="6941" spans="1:7" ht="12.75">
      <c r="A6941" s="134" t="s">
        <v>481</v>
      </c>
      <c r="B6941" s="134">
        <v>811</v>
      </c>
      <c r="C6941" s="491">
        <v>36</v>
      </c>
      <c r="D6941" s="491">
        <v>54</v>
      </c>
      <c r="E6941" s="491">
        <v>48</v>
      </c>
      <c r="F6941" s="491">
        <v>2</v>
      </c>
      <c r="G6941" s="491">
        <f t="shared" si="108"/>
        <v>140</v>
      </c>
    </row>
    <row r="6942" spans="1:7" ht="12.75">
      <c r="A6942" s="134" t="s">
        <v>481</v>
      </c>
      <c r="B6942" s="134">
        <v>812</v>
      </c>
      <c r="C6942" s="491">
        <v>133</v>
      </c>
      <c r="D6942" s="491">
        <v>996</v>
      </c>
      <c r="E6942" s="491">
        <v>0</v>
      </c>
      <c r="F6942" s="491">
        <v>0</v>
      </c>
      <c r="G6942" s="491">
        <f t="shared" si="108"/>
        <v>1129</v>
      </c>
    </row>
    <row r="6943" spans="1:7" ht="12.75">
      <c r="A6943" s="134" t="s">
        <v>164</v>
      </c>
      <c r="B6943" s="134">
        <v>101</v>
      </c>
      <c r="C6943" s="491">
        <v>2</v>
      </c>
      <c r="D6943" s="491">
        <v>2</v>
      </c>
      <c r="E6943" s="491">
        <v>0</v>
      </c>
      <c r="F6943" s="491">
        <v>0</v>
      </c>
      <c r="G6943" s="491">
        <f t="shared" si="108"/>
        <v>4</v>
      </c>
    </row>
    <row r="6944" spans="1:7" ht="12.75">
      <c r="A6944" s="134" t="s">
        <v>164</v>
      </c>
      <c r="B6944" s="134">
        <v>110</v>
      </c>
      <c r="C6944" s="491">
        <v>18</v>
      </c>
      <c r="D6944" s="491">
        <v>17</v>
      </c>
      <c r="E6944" s="491">
        <v>0</v>
      </c>
      <c r="F6944" s="491">
        <v>0</v>
      </c>
      <c r="G6944" s="491">
        <f t="shared" si="108"/>
        <v>35</v>
      </c>
    </row>
    <row r="6945" spans="1:7" ht="12.75">
      <c r="A6945" s="134" t="s">
        <v>164</v>
      </c>
      <c r="B6945" s="134">
        <v>300</v>
      </c>
      <c r="C6945" s="491">
        <v>1</v>
      </c>
      <c r="D6945" s="491">
        <v>1</v>
      </c>
      <c r="E6945" s="491">
        <v>0</v>
      </c>
      <c r="F6945" s="491">
        <v>0</v>
      </c>
      <c r="G6945" s="491">
        <f t="shared" si="108"/>
        <v>2</v>
      </c>
    </row>
    <row r="6946" spans="1:7" ht="12.75">
      <c r="A6946" s="134" t="s">
        <v>164</v>
      </c>
      <c r="B6946" s="134">
        <v>650</v>
      </c>
      <c r="C6946" s="491">
        <v>3</v>
      </c>
      <c r="D6946" s="491">
        <v>1</v>
      </c>
      <c r="E6946" s="491">
        <v>0</v>
      </c>
      <c r="F6946" s="491">
        <v>0</v>
      </c>
      <c r="G6946" s="491">
        <f t="shared" si="108"/>
        <v>4</v>
      </c>
    </row>
    <row r="6947" spans="1:7" ht="12.75">
      <c r="A6947" s="134" t="s">
        <v>165</v>
      </c>
      <c r="B6947" s="134">
        <v>100</v>
      </c>
      <c r="C6947" s="491">
        <v>0</v>
      </c>
      <c r="D6947" s="491">
        <v>3</v>
      </c>
      <c r="E6947" s="491">
        <v>0</v>
      </c>
      <c r="F6947" s="491">
        <v>0</v>
      </c>
      <c r="G6947" s="491">
        <f t="shared" si="108"/>
        <v>3</v>
      </c>
    </row>
    <row r="6948" spans="1:7" ht="12.75">
      <c r="A6948" s="134" t="s">
        <v>165</v>
      </c>
      <c r="B6948" s="134">
        <v>101</v>
      </c>
      <c r="C6948" s="491">
        <v>622</v>
      </c>
      <c r="D6948" s="491">
        <v>135</v>
      </c>
      <c r="E6948" s="491">
        <v>23</v>
      </c>
      <c r="F6948" s="491">
        <v>2</v>
      </c>
      <c r="G6948" s="491">
        <f t="shared" si="108"/>
        <v>782</v>
      </c>
    </row>
    <row r="6949" spans="1:7" ht="12.75">
      <c r="A6949" s="134" t="s">
        <v>165</v>
      </c>
      <c r="B6949" s="134">
        <v>303</v>
      </c>
      <c r="C6949" s="491">
        <v>1</v>
      </c>
      <c r="D6949" s="491">
        <v>1</v>
      </c>
      <c r="E6949" s="491">
        <v>0</v>
      </c>
      <c r="F6949" s="491">
        <v>0</v>
      </c>
      <c r="G6949" s="491">
        <f t="shared" si="108"/>
        <v>2</v>
      </c>
    </row>
    <row r="6950" spans="1:7" ht="12.75">
      <c r="A6950" s="134" t="s">
        <v>166</v>
      </c>
      <c r="B6950" s="134">
        <v>101</v>
      </c>
      <c r="C6950" s="491">
        <v>366</v>
      </c>
      <c r="D6950" s="491">
        <v>27</v>
      </c>
      <c r="E6950" s="491">
        <v>21</v>
      </c>
      <c r="F6950" s="491">
        <v>0</v>
      </c>
      <c r="G6950" s="491">
        <f t="shared" si="108"/>
        <v>414</v>
      </c>
    </row>
    <row r="6951" spans="1:7" ht="12.75">
      <c r="A6951" s="134" t="s">
        <v>166</v>
      </c>
      <c r="B6951" s="134">
        <v>120</v>
      </c>
      <c r="C6951" s="491">
        <v>1</v>
      </c>
      <c r="D6951" s="491">
        <v>0</v>
      </c>
      <c r="E6951" s="491">
        <v>0</v>
      </c>
      <c r="F6951" s="491">
        <v>0</v>
      </c>
      <c r="G6951" s="491">
        <f t="shared" si="108"/>
        <v>1</v>
      </c>
    </row>
    <row r="6952" spans="1:7" ht="12.75">
      <c r="A6952" s="134" t="s">
        <v>166</v>
      </c>
      <c r="B6952" s="134">
        <v>300</v>
      </c>
      <c r="C6952" s="491">
        <v>0</v>
      </c>
      <c r="D6952" s="491">
        <v>1</v>
      </c>
      <c r="E6952" s="491">
        <v>0</v>
      </c>
      <c r="F6952" s="491">
        <v>0</v>
      </c>
      <c r="G6952" s="491">
        <f t="shared" si="108"/>
        <v>1</v>
      </c>
    </row>
    <row r="6953" spans="1:7" ht="12.75">
      <c r="A6953" s="134" t="s">
        <v>166</v>
      </c>
      <c r="B6953" s="134">
        <v>330</v>
      </c>
      <c r="C6953" s="491">
        <v>1</v>
      </c>
      <c r="D6953" s="491">
        <v>0</v>
      </c>
      <c r="E6953" s="491">
        <v>0</v>
      </c>
      <c r="F6953" s="491">
        <v>0</v>
      </c>
      <c r="G6953" s="491">
        <f t="shared" si="108"/>
        <v>1</v>
      </c>
    </row>
    <row r="6954" spans="1:7" ht="12.75">
      <c r="A6954" s="134" t="s">
        <v>166</v>
      </c>
      <c r="B6954" s="134">
        <v>501</v>
      </c>
      <c r="C6954" s="491">
        <v>1</v>
      </c>
      <c r="D6954" s="491">
        <v>0</v>
      </c>
      <c r="E6954" s="491">
        <v>0</v>
      </c>
      <c r="F6954" s="491">
        <v>0</v>
      </c>
      <c r="G6954" s="491">
        <f t="shared" si="108"/>
        <v>1</v>
      </c>
    </row>
    <row r="6955" spans="1:7" ht="12.75">
      <c r="A6955" s="134" t="s">
        <v>166</v>
      </c>
      <c r="B6955" s="134">
        <v>812</v>
      </c>
      <c r="C6955" s="491">
        <v>175</v>
      </c>
      <c r="D6955" s="491">
        <v>85</v>
      </c>
      <c r="E6955" s="491">
        <v>0</v>
      </c>
      <c r="F6955" s="491">
        <v>0</v>
      </c>
      <c r="G6955" s="491">
        <f t="shared" si="108"/>
        <v>260</v>
      </c>
    </row>
    <row r="6956" spans="1:7" ht="12.75">
      <c r="A6956" s="134" t="s">
        <v>166</v>
      </c>
      <c r="B6956" s="134">
        <v>822</v>
      </c>
      <c r="C6956" s="491">
        <v>1</v>
      </c>
      <c r="D6956" s="491">
        <v>0</v>
      </c>
      <c r="E6956" s="491">
        <v>0</v>
      </c>
      <c r="F6956" s="491">
        <v>0</v>
      </c>
      <c r="G6956" s="491">
        <f t="shared" si="108"/>
        <v>1</v>
      </c>
    </row>
    <row r="6957" spans="1:7" ht="12.75">
      <c r="A6957" s="134" t="s">
        <v>917</v>
      </c>
      <c r="B6957" s="134">
        <v>101</v>
      </c>
      <c r="C6957" s="491">
        <v>49</v>
      </c>
      <c r="D6957" s="491">
        <v>2</v>
      </c>
      <c r="E6957" s="491">
        <v>0</v>
      </c>
      <c r="F6957" s="491">
        <v>0</v>
      </c>
      <c r="G6957" s="491">
        <f t="shared" si="108"/>
        <v>51</v>
      </c>
    </row>
    <row r="6958" spans="1:7" ht="12.75">
      <c r="A6958" s="134" t="s">
        <v>917</v>
      </c>
      <c r="B6958" s="134">
        <v>410</v>
      </c>
      <c r="C6958" s="491">
        <v>7</v>
      </c>
      <c r="D6958" s="491">
        <v>0</v>
      </c>
      <c r="E6958" s="491">
        <v>0</v>
      </c>
      <c r="F6958" s="491">
        <v>0</v>
      </c>
      <c r="G6958" s="491">
        <f t="shared" si="108"/>
        <v>7</v>
      </c>
    </row>
    <row r="6959" spans="1:7" ht="12.75">
      <c r="A6959" s="134" t="s">
        <v>917</v>
      </c>
      <c r="B6959" s="134">
        <v>501</v>
      </c>
      <c r="C6959" s="491">
        <v>6</v>
      </c>
      <c r="D6959" s="491">
        <v>1</v>
      </c>
      <c r="E6959" s="491">
        <v>0</v>
      </c>
      <c r="F6959" s="491">
        <v>0</v>
      </c>
      <c r="G6959" s="491">
        <f t="shared" si="108"/>
        <v>7</v>
      </c>
    </row>
    <row r="6960" spans="1:7" ht="12.75">
      <c r="A6960" s="134" t="s">
        <v>501</v>
      </c>
      <c r="B6960" s="134">
        <v>100</v>
      </c>
      <c r="C6960" s="491">
        <v>276</v>
      </c>
      <c r="D6960" s="491">
        <v>4</v>
      </c>
      <c r="E6960" s="491">
        <v>0</v>
      </c>
      <c r="F6960" s="491">
        <v>4</v>
      </c>
      <c r="G6960" s="491">
        <f t="shared" si="108"/>
        <v>284</v>
      </c>
    </row>
    <row r="6961" spans="1:7" ht="12.75">
      <c r="A6961" s="134" t="s">
        <v>501</v>
      </c>
      <c r="B6961" s="134">
        <v>101</v>
      </c>
      <c r="C6961" s="491">
        <v>58610</v>
      </c>
      <c r="D6961" s="491">
        <v>34205</v>
      </c>
      <c r="E6961" s="491">
        <v>657</v>
      </c>
      <c r="F6961" s="491">
        <v>574</v>
      </c>
      <c r="G6961" s="491">
        <f t="shared" si="108"/>
        <v>94046</v>
      </c>
    </row>
    <row r="6962" spans="1:7" ht="12.75">
      <c r="A6962" s="134" t="s">
        <v>501</v>
      </c>
      <c r="B6962" s="134">
        <v>103</v>
      </c>
      <c r="C6962" s="491">
        <v>5</v>
      </c>
      <c r="D6962" s="491">
        <v>2</v>
      </c>
      <c r="E6962" s="491">
        <v>1</v>
      </c>
      <c r="F6962" s="491">
        <v>0</v>
      </c>
      <c r="G6962" s="491">
        <f t="shared" si="108"/>
        <v>8</v>
      </c>
    </row>
    <row r="6963" spans="1:7" ht="12.75">
      <c r="A6963" s="134" t="s">
        <v>501</v>
      </c>
      <c r="B6963" s="134">
        <v>104</v>
      </c>
      <c r="C6963" s="491">
        <v>4</v>
      </c>
      <c r="D6963" s="491">
        <v>15</v>
      </c>
      <c r="E6963" s="491">
        <v>0</v>
      </c>
      <c r="F6963" s="491">
        <v>0</v>
      </c>
      <c r="G6963" s="491">
        <f t="shared" si="108"/>
        <v>19</v>
      </c>
    </row>
    <row r="6964" spans="1:7" ht="12.75">
      <c r="A6964" s="134" t="s">
        <v>501</v>
      </c>
      <c r="B6964" s="134">
        <v>106</v>
      </c>
      <c r="C6964" s="491">
        <v>1</v>
      </c>
      <c r="D6964" s="491">
        <v>5</v>
      </c>
      <c r="E6964" s="491">
        <v>0</v>
      </c>
      <c r="F6964" s="491">
        <v>0</v>
      </c>
      <c r="G6964" s="491">
        <f t="shared" si="108"/>
        <v>6</v>
      </c>
    </row>
    <row r="6965" spans="1:7" ht="12.75">
      <c r="A6965" s="134" t="s">
        <v>501</v>
      </c>
      <c r="B6965" s="134">
        <v>107</v>
      </c>
      <c r="C6965" s="491">
        <v>0</v>
      </c>
      <c r="D6965" s="491">
        <v>5</v>
      </c>
      <c r="E6965" s="491">
        <v>0</v>
      </c>
      <c r="F6965" s="491">
        <v>0</v>
      </c>
      <c r="G6965" s="491">
        <f t="shared" si="108"/>
        <v>5</v>
      </c>
    </row>
    <row r="6966" spans="1:7" ht="12.75">
      <c r="A6966" s="134" t="s">
        <v>501</v>
      </c>
      <c r="B6966" s="134">
        <v>110</v>
      </c>
      <c r="C6966" s="491">
        <v>26</v>
      </c>
      <c r="D6966" s="491">
        <v>26</v>
      </c>
      <c r="E6966" s="491">
        <v>0</v>
      </c>
      <c r="F6966" s="491">
        <v>0</v>
      </c>
      <c r="G6966" s="491">
        <f t="shared" si="108"/>
        <v>52</v>
      </c>
    </row>
    <row r="6967" spans="1:7" ht="12.75">
      <c r="A6967" s="134" t="s">
        <v>501</v>
      </c>
      <c r="B6967" s="134">
        <v>120</v>
      </c>
      <c r="C6967" s="491">
        <v>6</v>
      </c>
      <c r="D6967" s="491">
        <v>24</v>
      </c>
      <c r="E6967" s="491">
        <v>1</v>
      </c>
      <c r="F6967" s="491">
        <v>0</v>
      </c>
      <c r="G6967" s="491">
        <f t="shared" si="108"/>
        <v>31</v>
      </c>
    </row>
    <row r="6968" spans="1:7" ht="12.75">
      <c r="A6968" s="134" t="s">
        <v>501</v>
      </c>
      <c r="B6968" s="134">
        <v>130</v>
      </c>
      <c r="C6968" s="491">
        <v>18</v>
      </c>
      <c r="D6968" s="491">
        <v>17</v>
      </c>
      <c r="E6968" s="491">
        <v>0</v>
      </c>
      <c r="F6968" s="491">
        <v>0</v>
      </c>
      <c r="G6968" s="491">
        <f t="shared" si="108"/>
        <v>35</v>
      </c>
    </row>
    <row r="6969" spans="1:7" ht="12.75">
      <c r="A6969" s="134" t="s">
        <v>501</v>
      </c>
      <c r="B6969" s="134">
        <v>140</v>
      </c>
      <c r="C6969" s="491">
        <v>4</v>
      </c>
      <c r="D6969" s="491">
        <v>14</v>
      </c>
      <c r="E6969" s="491">
        <v>0</v>
      </c>
      <c r="F6969" s="491">
        <v>0</v>
      </c>
      <c r="G6969" s="491">
        <f t="shared" si="108"/>
        <v>18</v>
      </c>
    </row>
    <row r="6970" spans="1:7" ht="12.75">
      <c r="A6970" s="134" t="s">
        <v>501</v>
      </c>
      <c r="B6970" s="134">
        <v>143</v>
      </c>
      <c r="C6970" s="491">
        <v>3</v>
      </c>
      <c r="D6970" s="491">
        <v>2</v>
      </c>
      <c r="E6970" s="491">
        <v>0</v>
      </c>
      <c r="F6970" s="491">
        <v>0</v>
      </c>
      <c r="G6970" s="491">
        <f t="shared" si="108"/>
        <v>5</v>
      </c>
    </row>
    <row r="6971" spans="1:7" ht="12.75">
      <c r="A6971" s="134" t="s">
        <v>501</v>
      </c>
      <c r="B6971" s="134">
        <v>144</v>
      </c>
      <c r="C6971" s="491">
        <v>0</v>
      </c>
      <c r="D6971" s="491">
        <v>7</v>
      </c>
      <c r="E6971" s="491">
        <v>0</v>
      </c>
      <c r="F6971" s="491">
        <v>0</v>
      </c>
      <c r="G6971" s="491">
        <f t="shared" si="108"/>
        <v>7</v>
      </c>
    </row>
    <row r="6972" spans="1:7" ht="12.75">
      <c r="A6972" s="134" t="s">
        <v>501</v>
      </c>
      <c r="B6972" s="134">
        <v>150</v>
      </c>
      <c r="C6972" s="491">
        <v>1</v>
      </c>
      <c r="D6972" s="491">
        <v>4</v>
      </c>
      <c r="E6972" s="491">
        <v>0</v>
      </c>
      <c r="F6972" s="491">
        <v>0</v>
      </c>
      <c r="G6972" s="491">
        <f t="shared" si="108"/>
        <v>5</v>
      </c>
    </row>
    <row r="6973" spans="1:7" ht="12.75">
      <c r="A6973" s="134" t="s">
        <v>501</v>
      </c>
      <c r="B6973" s="134">
        <v>160</v>
      </c>
      <c r="C6973" s="491">
        <v>3</v>
      </c>
      <c r="D6973" s="491">
        <v>8</v>
      </c>
      <c r="E6973" s="491">
        <v>0</v>
      </c>
      <c r="F6973" s="491">
        <v>0</v>
      </c>
      <c r="G6973" s="491">
        <f t="shared" si="108"/>
        <v>11</v>
      </c>
    </row>
    <row r="6974" spans="1:7" ht="12.75">
      <c r="A6974" s="134" t="s">
        <v>501</v>
      </c>
      <c r="B6974" s="134">
        <v>171</v>
      </c>
      <c r="C6974" s="491">
        <v>2</v>
      </c>
      <c r="D6974" s="491">
        <v>0</v>
      </c>
      <c r="E6974" s="491">
        <v>1</v>
      </c>
      <c r="F6974" s="491">
        <v>0</v>
      </c>
      <c r="G6974" s="491">
        <f t="shared" si="108"/>
        <v>3</v>
      </c>
    </row>
    <row r="6975" spans="1:7" ht="12.75">
      <c r="A6975" s="134" t="s">
        <v>501</v>
      </c>
      <c r="B6975" s="134">
        <v>172</v>
      </c>
      <c r="C6975" s="491">
        <v>0</v>
      </c>
      <c r="D6975" s="491">
        <v>1</v>
      </c>
      <c r="E6975" s="491">
        <v>0</v>
      </c>
      <c r="F6975" s="491">
        <v>0</v>
      </c>
      <c r="G6975" s="491">
        <f t="shared" si="108"/>
        <v>1</v>
      </c>
    </row>
    <row r="6976" spans="1:7" ht="12.75">
      <c r="A6976" s="134" t="s">
        <v>501</v>
      </c>
      <c r="B6976" s="134">
        <v>173</v>
      </c>
      <c r="C6976" s="491">
        <v>1</v>
      </c>
      <c r="D6976" s="491">
        <v>1</v>
      </c>
      <c r="E6976" s="491">
        <v>0</v>
      </c>
      <c r="F6976" s="491">
        <v>0</v>
      </c>
      <c r="G6976" s="491">
        <f t="shared" si="108"/>
        <v>2</v>
      </c>
    </row>
    <row r="6977" spans="1:7" ht="12.75">
      <c r="A6977" s="134" t="s">
        <v>501</v>
      </c>
      <c r="B6977" s="134">
        <v>190</v>
      </c>
      <c r="C6977" s="491">
        <v>6</v>
      </c>
      <c r="D6977" s="491">
        <v>4</v>
      </c>
      <c r="E6977" s="491">
        <v>0</v>
      </c>
      <c r="F6977" s="491">
        <v>0</v>
      </c>
      <c r="G6977" s="491">
        <f t="shared" si="108"/>
        <v>10</v>
      </c>
    </row>
    <row r="6978" spans="1:7" ht="12.75">
      <c r="A6978" s="134" t="s">
        <v>501</v>
      </c>
      <c r="B6978" s="134">
        <v>191</v>
      </c>
      <c r="C6978" s="491">
        <v>6</v>
      </c>
      <c r="D6978" s="491">
        <v>6</v>
      </c>
      <c r="E6978" s="491">
        <v>0</v>
      </c>
      <c r="F6978" s="491">
        <v>0</v>
      </c>
      <c r="G6978" s="491">
        <f t="shared" si="108"/>
        <v>12</v>
      </c>
    </row>
    <row r="6979" spans="1:7" ht="12.75">
      <c r="A6979" s="134" t="s">
        <v>501</v>
      </c>
      <c r="B6979" s="134">
        <v>211</v>
      </c>
      <c r="C6979" s="491">
        <v>1</v>
      </c>
      <c r="D6979" s="491">
        <v>1</v>
      </c>
      <c r="E6979" s="491">
        <v>0</v>
      </c>
      <c r="F6979" s="491">
        <v>0</v>
      </c>
      <c r="G6979" s="491">
        <f t="shared" si="108"/>
        <v>2</v>
      </c>
    </row>
    <row r="6980" spans="1:7" ht="12.75">
      <c r="A6980" s="134" t="s">
        <v>501</v>
      </c>
      <c r="B6980" s="134">
        <v>300</v>
      </c>
      <c r="C6980" s="491">
        <v>9</v>
      </c>
      <c r="D6980" s="491">
        <v>6</v>
      </c>
      <c r="E6980" s="491">
        <v>0</v>
      </c>
      <c r="F6980" s="491">
        <v>0</v>
      </c>
      <c r="G6980" s="491">
        <f t="shared" ref="G6980:G7043" si="109">SUM(C6980:F6980)</f>
        <v>15</v>
      </c>
    </row>
    <row r="6981" spans="1:7" ht="12.75">
      <c r="A6981" s="134" t="s">
        <v>501</v>
      </c>
      <c r="B6981" s="134">
        <v>301</v>
      </c>
      <c r="C6981" s="491">
        <v>4</v>
      </c>
      <c r="D6981" s="491">
        <v>9</v>
      </c>
      <c r="E6981" s="491">
        <v>0</v>
      </c>
      <c r="F6981" s="491">
        <v>0</v>
      </c>
      <c r="G6981" s="491">
        <f t="shared" si="109"/>
        <v>13</v>
      </c>
    </row>
    <row r="6982" spans="1:7" ht="12.75">
      <c r="A6982" s="134" t="s">
        <v>501</v>
      </c>
      <c r="B6982" s="134">
        <v>302</v>
      </c>
      <c r="C6982" s="491">
        <v>3</v>
      </c>
      <c r="D6982" s="491">
        <v>5</v>
      </c>
      <c r="E6982" s="491">
        <v>0</v>
      </c>
      <c r="F6982" s="491">
        <v>0</v>
      </c>
      <c r="G6982" s="491">
        <f t="shared" si="109"/>
        <v>8</v>
      </c>
    </row>
    <row r="6983" spans="1:7" ht="12.75">
      <c r="A6983" s="134" t="s">
        <v>501</v>
      </c>
      <c r="B6983" s="134">
        <v>303</v>
      </c>
      <c r="C6983" s="491">
        <v>4</v>
      </c>
      <c r="D6983" s="491">
        <v>9</v>
      </c>
      <c r="E6983" s="491">
        <v>0</v>
      </c>
      <c r="F6983" s="491">
        <v>0</v>
      </c>
      <c r="G6983" s="491">
        <f t="shared" si="109"/>
        <v>13</v>
      </c>
    </row>
    <row r="6984" spans="1:7" ht="12.75">
      <c r="A6984" s="134" t="s">
        <v>501</v>
      </c>
      <c r="B6984" s="134">
        <v>304</v>
      </c>
      <c r="C6984" s="491">
        <v>123</v>
      </c>
      <c r="D6984" s="491">
        <v>1174</v>
      </c>
      <c r="E6984" s="491">
        <v>37</v>
      </c>
      <c r="F6984" s="491">
        <v>0</v>
      </c>
      <c r="G6984" s="491">
        <f t="shared" si="109"/>
        <v>1334</v>
      </c>
    </row>
    <row r="6985" spans="1:7" ht="12.75">
      <c r="A6985" s="134" t="s">
        <v>501</v>
      </c>
      <c r="B6985" s="134">
        <v>306</v>
      </c>
      <c r="C6985" s="491">
        <v>0</v>
      </c>
      <c r="D6985" s="491">
        <v>4</v>
      </c>
      <c r="E6985" s="491">
        <v>0</v>
      </c>
      <c r="F6985" s="491">
        <v>0</v>
      </c>
      <c r="G6985" s="491">
        <f t="shared" si="109"/>
        <v>4</v>
      </c>
    </row>
    <row r="6986" spans="1:7" ht="12.75">
      <c r="A6986" s="134" t="s">
        <v>501</v>
      </c>
      <c r="B6986" s="134">
        <v>307</v>
      </c>
      <c r="C6986" s="491">
        <v>6</v>
      </c>
      <c r="D6986" s="491">
        <v>5</v>
      </c>
      <c r="E6986" s="491">
        <v>0</v>
      </c>
      <c r="F6986" s="491">
        <v>0</v>
      </c>
      <c r="G6986" s="491">
        <f t="shared" si="109"/>
        <v>11</v>
      </c>
    </row>
    <row r="6987" spans="1:7" ht="12.75">
      <c r="A6987" s="134" t="s">
        <v>501</v>
      </c>
      <c r="B6987" s="134">
        <v>310</v>
      </c>
      <c r="C6987" s="491">
        <v>2</v>
      </c>
      <c r="D6987" s="491">
        <v>13</v>
      </c>
      <c r="E6987" s="491">
        <v>0</v>
      </c>
      <c r="F6987" s="491">
        <v>0</v>
      </c>
      <c r="G6987" s="491">
        <f t="shared" si="109"/>
        <v>15</v>
      </c>
    </row>
    <row r="6988" spans="1:7" ht="12.75">
      <c r="A6988" s="134" t="s">
        <v>501</v>
      </c>
      <c r="B6988" s="134">
        <v>314</v>
      </c>
      <c r="C6988" s="491">
        <v>2</v>
      </c>
      <c r="D6988" s="491">
        <v>2</v>
      </c>
      <c r="E6988" s="491">
        <v>0</v>
      </c>
      <c r="F6988" s="491">
        <v>0</v>
      </c>
      <c r="G6988" s="491">
        <f t="shared" si="109"/>
        <v>4</v>
      </c>
    </row>
    <row r="6989" spans="1:7" ht="12.75">
      <c r="A6989" s="134" t="s">
        <v>501</v>
      </c>
      <c r="B6989" s="134">
        <v>320</v>
      </c>
      <c r="C6989" s="491">
        <v>15</v>
      </c>
      <c r="D6989" s="491">
        <v>24</v>
      </c>
      <c r="E6989" s="491">
        <v>0</v>
      </c>
      <c r="F6989" s="491">
        <v>0</v>
      </c>
      <c r="G6989" s="491">
        <f t="shared" si="109"/>
        <v>39</v>
      </c>
    </row>
    <row r="6990" spans="1:7" ht="12.75">
      <c r="A6990" s="134" t="s">
        <v>501</v>
      </c>
      <c r="B6990" s="134">
        <v>323</v>
      </c>
      <c r="C6990" s="491">
        <v>115</v>
      </c>
      <c r="D6990" s="491">
        <v>7</v>
      </c>
      <c r="E6990" s="491">
        <v>1</v>
      </c>
      <c r="F6990" s="491">
        <v>0</v>
      </c>
      <c r="G6990" s="491">
        <f t="shared" si="109"/>
        <v>123</v>
      </c>
    </row>
    <row r="6991" spans="1:7" ht="12.75">
      <c r="A6991" s="134" t="s">
        <v>501</v>
      </c>
      <c r="B6991" s="134">
        <v>324</v>
      </c>
      <c r="C6991" s="491">
        <v>1</v>
      </c>
      <c r="D6991" s="491">
        <v>3</v>
      </c>
      <c r="E6991" s="491">
        <v>0</v>
      </c>
      <c r="F6991" s="491">
        <v>0</v>
      </c>
      <c r="G6991" s="491">
        <f t="shared" si="109"/>
        <v>4</v>
      </c>
    </row>
    <row r="6992" spans="1:7" ht="12.75">
      <c r="A6992" s="134" t="s">
        <v>501</v>
      </c>
      <c r="B6992" s="134">
        <v>330</v>
      </c>
      <c r="C6992" s="491">
        <v>27</v>
      </c>
      <c r="D6992" s="491">
        <v>12</v>
      </c>
      <c r="E6992" s="491">
        <v>0</v>
      </c>
      <c r="F6992" s="491">
        <v>0</v>
      </c>
      <c r="G6992" s="491">
        <f t="shared" si="109"/>
        <v>39</v>
      </c>
    </row>
    <row r="6993" spans="1:7" ht="12.75">
      <c r="A6993" s="134" t="s">
        <v>501</v>
      </c>
      <c r="B6993" s="134">
        <v>340</v>
      </c>
      <c r="C6993" s="491">
        <v>8</v>
      </c>
      <c r="D6993" s="491">
        <v>19</v>
      </c>
      <c r="E6993" s="491">
        <v>0</v>
      </c>
      <c r="F6993" s="491">
        <v>0</v>
      </c>
      <c r="G6993" s="491">
        <f t="shared" si="109"/>
        <v>27</v>
      </c>
    </row>
    <row r="6994" spans="1:7" ht="12.75">
      <c r="A6994" s="134" t="s">
        <v>501</v>
      </c>
      <c r="B6994" s="134">
        <v>341</v>
      </c>
      <c r="C6994" s="491">
        <v>0</v>
      </c>
      <c r="D6994" s="491">
        <v>7</v>
      </c>
      <c r="E6994" s="491">
        <v>0</v>
      </c>
      <c r="F6994" s="491">
        <v>0</v>
      </c>
      <c r="G6994" s="491">
        <f t="shared" si="109"/>
        <v>7</v>
      </c>
    </row>
    <row r="6995" spans="1:7" ht="12.75">
      <c r="A6995" s="134" t="s">
        <v>501</v>
      </c>
      <c r="B6995" s="134">
        <v>343</v>
      </c>
      <c r="C6995" s="491">
        <v>1</v>
      </c>
      <c r="D6995" s="491">
        <v>0</v>
      </c>
      <c r="E6995" s="491">
        <v>0</v>
      </c>
      <c r="F6995" s="491">
        <v>0</v>
      </c>
      <c r="G6995" s="491">
        <f t="shared" si="109"/>
        <v>1</v>
      </c>
    </row>
    <row r="6996" spans="1:7" ht="12.75">
      <c r="A6996" s="134" t="s">
        <v>501</v>
      </c>
      <c r="B6996" s="134">
        <v>350</v>
      </c>
      <c r="C6996" s="491">
        <v>0</v>
      </c>
      <c r="D6996" s="491">
        <v>1</v>
      </c>
      <c r="E6996" s="491">
        <v>0</v>
      </c>
      <c r="F6996" s="491">
        <v>0</v>
      </c>
      <c r="G6996" s="491">
        <f t="shared" si="109"/>
        <v>1</v>
      </c>
    </row>
    <row r="6997" spans="1:7" ht="12.75">
      <c r="A6997" s="134" t="s">
        <v>501</v>
      </c>
      <c r="B6997" s="134">
        <v>360</v>
      </c>
      <c r="C6997" s="491">
        <v>1</v>
      </c>
      <c r="D6997" s="491">
        <v>1</v>
      </c>
      <c r="E6997" s="491">
        <v>0</v>
      </c>
      <c r="F6997" s="491">
        <v>0</v>
      </c>
      <c r="G6997" s="491">
        <f t="shared" si="109"/>
        <v>2</v>
      </c>
    </row>
    <row r="6998" spans="1:7" ht="12.75">
      <c r="A6998" s="134" t="s">
        <v>501</v>
      </c>
      <c r="B6998" s="134">
        <v>361</v>
      </c>
      <c r="C6998" s="491">
        <v>15</v>
      </c>
      <c r="D6998" s="491">
        <v>8</v>
      </c>
      <c r="E6998" s="491">
        <v>0</v>
      </c>
      <c r="F6998" s="491">
        <v>0</v>
      </c>
      <c r="G6998" s="491">
        <f t="shared" si="109"/>
        <v>23</v>
      </c>
    </row>
    <row r="6999" spans="1:7" ht="12.75">
      <c r="A6999" s="134" t="s">
        <v>501</v>
      </c>
      <c r="B6999" s="134">
        <v>370</v>
      </c>
      <c r="C6999" s="491">
        <v>8</v>
      </c>
      <c r="D6999" s="491">
        <v>11</v>
      </c>
      <c r="E6999" s="491">
        <v>1</v>
      </c>
      <c r="F6999" s="491">
        <v>0</v>
      </c>
      <c r="G6999" s="491">
        <f t="shared" si="109"/>
        <v>20</v>
      </c>
    </row>
    <row r="7000" spans="1:7" ht="12.75">
      <c r="A7000" s="134" t="s">
        <v>501</v>
      </c>
      <c r="B7000" s="134">
        <v>400</v>
      </c>
      <c r="C7000" s="491">
        <v>0</v>
      </c>
      <c r="D7000" s="491">
        <v>10</v>
      </c>
      <c r="E7000" s="491">
        <v>1</v>
      </c>
      <c r="F7000" s="491">
        <v>0</v>
      </c>
      <c r="G7000" s="491">
        <f t="shared" si="109"/>
        <v>11</v>
      </c>
    </row>
    <row r="7001" spans="1:7" ht="12.75">
      <c r="A7001" s="134" t="s">
        <v>501</v>
      </c>
      <c r="B7001" s="134">
        <v>410</v>
      </c>
      <c r="C7001" s="491">
        <v>4</v>
      </c>
      <c r="D7001" s="491">
        <v>10</v>
      </c>
      <c r="E7001" s="491">
        <v>0</v>
      </c>
      <c r="F7001" s="491">
        <v>0</v>
      </c>
      <c r="G7001" s="491">
        <f t="shared" si="109"/>
        <v>14</v>
      </c>
    </row>
    <row r="7002" spans="1:7" ht="12.75">
      <c r="A7002" s="134" t="s">
        <v>501</v>
      </c>
      <c r="B7002" s="134">
        <v>430</v>
      </c>
      <c r="C7002" s="491">
        <v>3</v>
      </c>
      <c r="D7002" s="491">
        <v>2</v>
      </c>
      <c r="E7002" s="491">
        <v>0</v>
      </c>
      <c r="F7002" s="491">
        <v>0</v>
      </c>
      <c r="G7002" s="491">
        <f t="shared" si="109"/>
        <v>5</v>
      </c>
    </row>
    <row r="7003" spans="1:7" ht="12.75">
      <c r="A7003" s="134" t="s">
        <v>501</v>
      </c>
      <c r="B7003" s="134">
        <v>501</v>
      </c>
      <c r="C7003" s="491">
        <v>26</v>
      </c>
      <c r="D7003" s="491">
        <v>21</v>
      </c>
      <c r="E7003" s="491">
        <v>1</v>
      </c>
      <c r="F7003" s="491">
        <v>2</v>
      </c>
      <c r="G7003" s="491">
        <f t="shared" si="109"/>
        <v>50</v>
      </c>
    </row>
    <row r="7004" spans="1:7" ht="12.75">
      <c r="A7004" s="134" t="s">
        <v>501</v>
      </c>
      <c r="B7004" s="134">
        <v>502</v>
      </c>
      <c r="C7004" s="491">
        <v>15882</v>
      </c>
      <c r="D7004" s="491">
        <v>7889</v>
      </c>
      <c r="E7004" s="491">
        <v>464</v>
      </c>
      <c r="F7004" s="491">
        <v>255</v>
      </c>
      <c r="G7004" s="491">
        <f t="shared" si="109"/>
        <v>24490</v>
      </c>
    </row>
    <row r="7005" spans="1:7" ht="12.75">
      <c r="A7005" s="134" t="s">
        <v>501</v>
      </c>
      <c r="B7005" s="134">
        <v>503</v>
      </c>
      <c r="C7005" s="491">
        <v>3</v>
      </c>
      <c r="D7005" s="491">
        <v>5</v>
      </c>
      <c r="E7005" s="491">
        <v>0</v>
      </c>
      <c r="F7005" s="491">
        <v>0</v>
      </c>
      <c r="G7005" s="491">
        <f t="shared" si="109"/>
        <v>8</v>
      </c>
    </row>
    <row r="7006" spans="1:7" ht="12.75">
      <c r="A7006" s="134" t="s">
        <v>501</v>
      </c>
      <c r="B7006" s="134">
        <v>560</v>
      </c>
      <c r="C7006" s="491">
        <v>6</v>
      </c>
      <c r="D7006" s="491">
        <v>13</v>
      </c>
      <c r="E7006" s="491">
        <v>0</v>
      </c>
      <c r="F7006" s="491">
        <v>0</v>
      </c>
      <c r="G7006" s="491">
        <f t="shared" si="109"/>
        <v>19</v>
      </c>
    </row>
    <row r="7007" spans="1:7" ht="12.75">
      <c r="A7007" s="134" t="s">
        <v>501</v>
      </c>
      <c r="B7007" s="134">
        <v>650</v>
      </c>
      <c r="C7007" s="491">
        <v>9</v>
      </c>
      <c r="D7007" s="491">
        <v>42</v>
      </c>
      <c r="E7007" s="491">
        <v>0</v>
      </c>
      <c r="F7007" s="491">
        <v>0</v>
      </c>
      <c r="G7007" s="491">
        <f t="shared" si="109"/>
        <v>51</v>
      </c>
    </row>
    <row r="7008" spans="1:7" ht="12.75">
      <c r="A7008" s="134" t="s">
        <v>501</v>
      </c>
      <c r="B7008" s="134">
        <v>653</v>
      </c>
      <c r="C7008" s="491">
        <v>0</v>
      </c>
      <c r="D7008" s="491">
        <v>2</v>
      </c>
      <c r="E7008" s="491">
        <v>0</v>
      </c>
      <c r="F7008" s="491">
        <v>0</v>
      </c>
      <c r="G7008" s="491">
        <f t="shared" si="109"/>
        <v>2</v>
      </c>
    </row>
    <row r="7009" spans="1:7" ht="12.75">
      <c r="A7009" s="134" t="s">
        <v>501</v>
      </c>
      <c r="B7009" s="134">
        <v>654</v>
      </c>
      <c r="C7009" s="491">
        <v>2</v>
      </c>
      <c r="D7009" s="491">
        <v>1</v>
      </c>
      <c r="E7009" s="491">
        <v>0</v>
      </c>
      <c r="F7009" s="491">
        <v>0</v>
      </c>
      <c r="G7009" s="491">
        <f t="shared" si="109"/>
        <v>3</v>
      </c>
    </row>
    <row r="7010" spans="1:7" ht="12.75">
      <c r="A7010" s="134" t="s">
        <v>501</v>
      </c>
      <c r="B7010" s="134">
        <v>655</v>
      </c>
      <c r="C7010" s="491">
        <v>2</v>
      </c>
      <c r="D7010" s="491">
        <v>1</v>
      </c>
      <c r="E7010" s="491">
        <v>0</v>
      </c>
      <c r="F7010" s="491">
        <v>0</v>
      </c>
      <c r="G7010" s="491">
        <f t="shared" si="109"/>
        <v>3</v>
      </c>
    </row>
    <row r="7011" spans="1:7" ht="12.75">
      <c r="A7011" s="134" t="s">
        <v>501</v>
      </c>
      <c r="B7011" s="134">
        <v>800</v>
      </c>
      <c r="C7011" s="491">
        <v>49</v>
      </c>
      <c r="D7011" s="491">
        <v>24</v>
      </c>
      <c r="E7011" s="491">
        <v>0</v>
      </c>
      <c r="F7011" s="491">
        <v>0</v>
      </c>
      <c r="G7011" s="491">
        <f t="shared" si="109"/>
        <v>73</v>
      </c>
    </row>
    <row r="7012" spans="1:7" ht="12.75">
      <c r="A7012" s="134" t="s">
        <v>501</v>
      </c>
      <c r="B7012" s="134">
        <v>811</v>
      </c>
      <c r="C7012" s="491">
        <v>5</v>
      </c>
      <c r="D7012" s="491">
        <v>1</v>
      </c>
      <c r="E7012" s="491">
        <v>0</v>
      </c>
      <c r="F7012" s="491">
        <v>23</v>
      </c>
      <c r="G7012" s="491">
        <f t="shared" si="109"/>
        <v>29</v>
      </c>
    </row>
    <row r="7013" spans="1:7" ht="12.75">
      <c r="A7013" s="134" t="s">
        <v>501</v>
      </c>
      <c r="B7013" s="134">
        <v>812</v>
      </c>
      <c r="C7013" s="491">
        <v>1102</v>
      </c>
      <c r="D7013" s="491">
        <v>13</v>
      </c>
      <c r="E7013" s="491">
        <v>0</v>
      </c>
      <c r="F7013" s="491">
        <v>0</v>
      </c>
      <c r="G7013" s="491">
        <f t="shared" si="109"/>
        <v>1115</v>
      </c>
    </row>
    <row r="7014" spans="1:7" ht="12.75">
      <c r="A7014" s="134" t="s">
        <v>501</v>
      </c>
      <c r="B7014" s="134">
        <v>840</v>
      </c>
      <c r="C7014" s="491">
        <v>0</v>
      </c>
      <c r="D7014" s="491">
        <v>1</v>
      </c>
      <c r="E7014" s="491">
        <v>0</v>
      </c>
      <c r="F7014" s="491">
        <v>0</v>
      </c>
      <c r="G7014" s="491">
        <f t="shared" si="109"/>
        <v>1</v>
      </c>
    </row>
    <row r="7015" spans="1:7" ht="12.75">
      <c r="A7015" s="134" t="s">
        <v>347</v>
      </c>
      <c r="B7015" s="134">
        <v>100</v>
      </c>
      <c r="C7015" s="491">
        <v>2</v>
      </c>
      <c r="D7015" s="491">
        <v>0</v>
      </c>
      <c r="E7015" s="491">
        <v>0</v>
      </c>
      <c r="F7015" s="491">
        <v>1</v>
      </c>
      <c r="G7015" s="491">
        <f t="shared" si="109"/>
        <v>3</v>
      </c>
    </row>
    <row r="7016" spans="1:7" ht="12.75">
      <c r="A7016" s="134" t="s">
        <v>347</v>
      </c>
      <c r="B7016" s="134">
        <v>101</v>
      </c>
      <c r="C7016" s="491">
        <v>298</v>
      </c>
      <c r="D7016" s="491">
        <v>245</v>
      </c>
      <c r="E7016" s="491">
        <v>4</v>
      </c>
      <c r="F7016" s="491">
        <v>3</v>
      </c>
      <c r="G7016" s="491">
        <f t="shared" si="109"/>
        <v>550</v>
      </c>
    </row>
    <row r="7017" spans="1:7" ht="12.75">
      <c r="A7017" s="134" t="s">
        <v>347</v>
      </c>
      <c r="B7017" s="134">
        <v>110</v>
      </c>
      <c r="C7017" s="491">
        <v>0</v>
      </c>
      <c r="D7017" s="491">
        <v>3</v>
      </c>
      <c r="E7017" s="491">
        <v>0</v>
      </c>
      <c r="F7017" s="491">
        <v>0</v>
      </c>
      <c r="G7017" s="491">
        <f t="shared" si="109"/>
        <v>3</v>
      </c>
    </row>
    <row r="7018" spans="1:7" ht="12.75">
      <c r="A7018" s="134" t="s">
        <v>347</v>
      </c>
      <c r="B7018" s="134">
        <v>120</v>
      </c>
      <c r="C7018" s="491">
        <v>0</v>
      </c>
      <c r="D7018" s="491">
        <v>4</v>
      </c>
      <c r="E7018" s="491">
        <v>0</v>
      </c>
      <c r="F7018" s="491">
        <v>0</v>
      </c>
      <c r="G7018" s="491">
        <f t="shared" si="109"/>
        <v>4</v>
      </c>
    </row>
    <row r="7019" spans="1:7" ht="12.75">
      <c r="A7019" s="134" t="s">
        <v>347</v>
      </c>
      <c r="B7019" s="134">
        <v>130</v>
      </c>
      <c r="C7019" s="491">
        <v>2</v>
      </c>
      <c r="D7019" s="491">
        <v>1</v>
      </c>
      <c r="E7019" s="491">
        <v>0</v>
      </c>
      <c r="F7019" s="491">
        <v>0</v>
      </c>
      <c r="G7019" s="491">
        <f t="shared" si="109"/>
        <v>3</v>
      </c>
    </row>
    <row r="7020" spans="1:7" ht="12.75">
      <c r="A7020" s="134" t="s">
        <v>347</v>
      </c>
      <c r="B7020" s="134">
        <v>143</v>
      </c>
      <c r="C7020" s="491">
        <v>4</v>
      </c>
      <c r="D7020" s="491">
        <v>4</v>
      </c>
      <c r="E7020" s="491">
        <v>0</v>
      </c>
      <c r="F7020" s="491">
        <v>0</v>
      </c>
      <c r="G7020" s="491">
        <f t="shared" si="109"/>
        <v>8</v>
      </c>
    </row>
    <row r="7021" spans="1:7" ht="12.75">
      <c r="A7021" s="134" t="s">
        <v>347</v>
      </c>
      <c r="B7021" s="134">
        <v>160</v>
      </c>
      <c r="C7021" s="491">
        <v>0</v>
      </c>
      <c r="D7021" s="491">
        <v>1</v>
      </c>
      <c r="E7021" s="491">
        <v>0</v>
      </c>
      <c r="F7021" s="491">
        <v>0</v>
      </c>
      <c r="G7021" s="491">
        <f t="shared" si="109"/>
        <v>1</v>
      </c>
    </row>
    <row r="7022" spans="1:7" ht="12.75">
      <c r="A7022" s="134" t="s">
        <v>347</v>
      </c>
      <c r="B7022" s="134">
        <v>171</v>
      </c>
      <c r="C7022" s="491">
        <v>470</v>
      </c>
      <c r="D7022" s="491">
        <v>67</v>
      </c>
      <c r="E7022" s="491">
        <v>130</v>
      </c>
      <c r="F7022" s="491">
        <v>28</v>
      </c>
      <c r="G7022" s="491">
        <f t="shared" si="109"/>
        <v>695</v>
      </c>
    </row>
    <row r="7023" spans="1:7" ht="12.75">
      <c r="A7023" s="134" t="s">
        <v>347</v>
      </c>
      <c r="B7023" s="134">
        <v>190</v>
      </c>
      <c r="C7023" s="491">
        <v>1</v>
      </c>
      <c r="D7023" s="491">
        <v>0</v>
      </c>
      <c r="E7023" s="491">
        <v>0</v>
      </c>
      <c r="F7023" s="491">
        <v>0</v>
      </c>
      <c r="G7023" s="491">
        <f t="shared" si="109"/>
        <v>1</v>
      </c>
    </row>
    <row r="7024" spans="1:7" ht="12.75">
      <c r="A7024" s="134" t="s">
        <v>347</v>
      </c>
      <c r="B7024" s="134">
        <v>211</v>
      </c>
      <c r="C7024" s="491">
        <v>1136</v>
      </c>
      <c r="D7024" s="491">
        <v>367</v>
      </c>
      <c r="E7024" s="491">
        <v>10</v>
      </c>
      <c r="F7024" s="491">
        <v>2</v>
      </c>
      <c r="G7024" s="491">
        <f t="shared" si="109"/>
        <v>1515</v>
      </c>
    </row>
    <row r="7025" spans="1:7" ht="12.75">
      <c r="A7025" s="134" t="s">
        <v>347</v>
      </c>
      <c r="B7025" s="134">
        <v>214</v>
      </c>
      <c r="C7025" s="491">
        <v>2</v>
      </c>
      <c r="D7025" s="491">
        <v>2</v>
      </c>
      <c r="E7025" s="491">
        <v>0</v>
      </c>
      <c r="F7025" s="491">
        <v>0</v>
      </c>
      <c r="G7025" s="491">
        <f t="shared" si="109"/>
        <v>4</v>
      </c>
    </row>
    <row r="7026" spans="1:7" ht="12.75">
      <c r="A7026" s="134" t="s">
        <v>347</v>
      </c>
      <c r="B7026" s="134">
        <v>215</v>
      </c>
      <c r="C7026" s="491">
        <v>0</v>
      </c>
      <c r="D7026" s="491">
        <v>1</v>
      </c>
      <c r="E7026" s="491">
        <v>0</v>
      </c>
      <c r="F7026" s="491">
        <v>0</v>
      </c>
      <c r="G7026" s="491">
        <f t="shared" si="109"/>
        <v>1</v>
      </c>
    </row>
    <row r="7027" spans="1:7" ht="12.75">
      <c r="A7027" s="134" t="s">
        <v>347</v>
      </c>
      <c r="B7027" s="134">
        <v>216</v>
      </c>
      <c r="C7027" s="491">
        <v>4</v>
      </c>
      <c r="D7027" s="491">
        <v>2</v>
      </c>
      <c r="E7027" s="491">
        <v>0</v>
      </c>
      <c r="F7027" s="491">
        <v>0</v>
      </c>
      <c r="G7027" s="491">
        <f t="shared" si="109"/>
        <v>6</v>
      </c>
    </row>
    <row r="7028" spans="1:7" ht="12.75">
      <c r="A7028" s="134" t="s">
        <v>347</v>
      </c>
      <c r="B7028" s="134">
        <v>217</v>
      </c>
      <c r="C7028" s="491">
        <v>0</v>
      </c>
      <c r="D7028" s="491">
        <v>1</v>
      </c>
      <c r="E7028" s="491">
        <v>0</v>
      </c>
      <c r="F7028" s="491">
        <v>0</v>
      </c>
      <c r="G7028" s="491">
        <f t="shared" si="109"/>
        <v>1</v>
      </c>
    </row>
    <row r="7029" spans="1:7" ht="12.75">
      <c r="A7029" s="134" t="s">
        <v>347</v>
      </c>
      <c r="B7029" s="134">
        <v>251</v>
      </c>
      <c r="C7029" s="491">
        <v>1</v>
      </c>
      <c r="D7029" s="491">
        <v>1</v>
      </c>
      <c r="E7029" s="491">
        <v>0</v>
      </c>
      <c r="F7029" s="491">
        <v>0</v>
      </c>
      <c r="G7029" s="491">
        <f t="shared" si="109"/>
        <v>2</v>
      </c>
    </row>
    <row r="7030" spans="1:7" ht="12.75">
      <c r="A7030" s="134" t="s">
        <v>347</v>
      </c>
      <c r="B7030" s="134">
        <v>252</v>
      </c>
      <c r="C7030" s="491">
        <v>1</v>
      </c>
      <c r="D7030" s="491">
        <v>1</v>
      </c>
      <c r="E7030" s="491">
        <v>0</v>
      </c>
      <c r="F7030" s="491">
        <v>0</v>
      </c>
      <c r="G7030" s="491">
        <f t="shared" si="109"/>
        <v>2</v>
      </c>
    </row>
    <row r="7031" spans="1:7" ht="12.75">
      <c r="A7031" s="134" t="s">
        <v>347</v>
      </c>
      <c r="B7031" s="134">
        <v>253</v>
      </c>
      <c r="C7031" s="491">
        <v>0</v>
      </c>
      <c r="D7031" s="491">
        <v>2</v>
      </c>
      <c r="E7031" s="491">
        <v>1</v>
      </c>
      <c r="F7031" s="491">
        <v>0</v>
      </c>
      <c r="G7031" s="491">
        <f t="shared" si="109"/>
        <v>3</v>
      </c>
    </row>
    <row r="7032" spans="1:7" ht="12.75">
      <c r="A7032" s="134" t="s">
        <v>347</v>
      </c>
      <c r="B7032" s="134">
        <v>255</v>
      </c>
      <c r="C7032" s="491">
        <v>1</v>
      </c>
      <c r="D7032" s="491">
        <v>0</v>
      </c>
      <c r="E7032" s="491">
        <v>0</v>
      </c>
      <c r="F7032" s="491">
        <v>0</v>
      </c>
      <c r="G7032" s="491">
        <f t="shared" si="109"/>
        <v>1</v>
      </c>
    </row>
    <row r="7033" spans="1:7" ht="12.75">
      <c r="A7033" s="134" t="s">
        <v>347</v>
      </c>
      <c r="B7033" s="134">
        <v>258</v>
      </c>
      <c r="C7033" s="491">
        <v>0</v>
      </c>
      <c r="D7033" s="491">
        <v>1</v>
      </c>
      <c r="E7033" s="491">
        <v>0</v>
      </c>
      <c r="F7033" s="491">
        <v>0</v>
      </c>
      <c r="G7033" s="491">
        <f t="shared" si="109"/>
        <v>1</v>
      </c>
    </row>
    <row r="7034" spans="1:7" ht="12.75">
      <c r="A7034" s="134" t="s">
        <v>347</v>
      </c>
      <c r="B7034" s="134">
        <v>259</v>
      </c>
      <c r="C7034" s="491">
        <v>11</v>
      </c>
      <c r="D7034" s="491">
        <v>0</v>
      </c>
      <c r="E7034" s="491">
        <v>3</v>
      </c>
      <c r="F7034" s="491">
        <v>0</v>
      </c>
      <c r="G7034" s="491">
        <f t="shared" si="109"/>
        <v>14</v>
      </c>
    </row>
    <row r="7035" spans="1:7" ht="12.75">
      <c r="A7035" s="134" t="s">
        <v>347</v>
      </c>
      <c r="B7035" s="134">
        <v>263</v>
      </c>
      <c r="C7035" s="491">
        <v>2</v>
      </c>
      <c r="D7035" s="491">
        <v>0</v>
      </c>
      <c r="E7035" s="491">
        <v>0</v>
      </c>
      <c r="F7035" s="491">
        <v>0</v>
      </c>
      <c r="G7035" s="491">
        <f t="shared" si="109"/>
        <v>2</v>
      </c>
    </row>
    <row r="7036" spans="1:7" ht="12.75">
      <c r="A7036" s="134" t="s">
        <v>347</v>
      </c>
      <c r="B7036" s="134">
        <v>290</v>
      </c>
      <c r="C7036" s="491">
        <v>1</v>
      </c>
      <c r="D7036" s="491">
        <v>0</v>
      </c>
      <c r="E7036" s="491">
        <v>0</v>
      </c>
      <c r="F7036" s="491">
        <v>0</v>
      </c>
      <c r="G7036" s="491">
        <f t="shared" si="109"/>
        <v>1</v>
      </c>
    </row>
    <row r="7037" spans="1:7" ht="12.75">
      <c r="A7037" s="134" t="s">
        <v>347</v>
      </c>
      <c r="B7037" s="134">
        <v>304</v>
      </c>
      <c r="C7037" s="491">
        <v>1</v>
      </c>
      <c r="D7037" s="491">
        <v>153</v>
      </c>
      <c r="E7037" s="491">
        <v>0</v>
      </c>
      <c r="F7037" s="491">
        <v>0</v>
      </c>
      <c r="G7037" s="491">
        <f t="shared" si="109"/>
        <v>154</v>
      </c>
    </row>
    <row r="7038" spans="1:7" ht="12.75">
      <c r="A7038" s="134" t="s">
        <v>347</v>
      </c>
      <c r="B7038" s="134">
        <v>310</v>
      </c>
      <c r="C7038" s="491">
        <v>0</v>
      </c>
      <c r="D7038" s="491">
        <v>4</v>
      </c>
      <c r="E7038" s="491">
        <v>0</v>
      </c>
      <c r="F7038" s="491">
        <v>0</v>
      </c>
      <c r="G7038" s="491">
        <f t="shared" si="109"/>
        <v>4</v>
      </c>
    </row>
    <row r="7039" spans="1:7" ht="12.75">
      <c r="A7039" s="134" t="s">
        <v>347</v>
      </c>
      <c r="B7039" s="134">
        <v>320</v>
      </c>
      <c r="C7039" s="491">
        <v>1</v>
      </c>
      <c r="D7039" s="491">
        <v>2</v>
      </c>
      <c r="E7039" s="491">
        <v>0</v>
      </c>
      <c r="F7039" s="491">
        <v>0</v>
      </c>
      <c r="G7039" s="491">
        <f t="shared" si="109"/>
        <v>3</v>
      </c>
    </row>
    <row r="7040" spans="1:7" ht="12.75">
      <c r="A7040" s="134" t="s">
        <v>347</v>
      </c>
      <c r="B7040" s="134">
        <v>321</v>
      </c>
      <c r="C7040" s="491">
        <v>0</v>
      </c>
      <c r="D7040" s="491">
        <v>1</v>
      </c>
      <c r="E7040" s="491">
        <v>0</v>
      </c>
      <c r="F7040" s="491">
        <v>0</v>
      </c>
      <c r="G7040" s="491">
        <f t="shared" si="109"/>
        <v>1</v>
      </c>
    </row>
    <row r="7041" spans="1:7" ht="12.75">
      <c r="A7041" s="134" t="s">
        <v>347</v>
      </c>
      <c r="B7041" s="134">
        <v>330</v>
      </c>
      <c r="C7041" s="491">
        <v>1</v>
      </c>
      <c r="D7041" s="491">
        <v>0</v>
      </c>
      <c r="E7041" s="491">
        <v>0</v>
      </c>
      <c r="F7041" s="491">
        <v>0</v>
      </c>
      <c r="G7041" s="491">
        <f t="shared" si="109"/>
        <v>1</v>
      </c>
    </row>
    <row r="7042" spans="1:7" ht="12.75">
      <c r="A7042" s="134" t="s">
        <v>347</v>
      </c>
      <c r="B7042" s="134">
        <v>400</v>
      </c>
      <c r="C7042" s="491">
        <v>0</v>
      </c>
      <c r="D7042" s="491">
        <v>2</v>
      </c>
      <c r="E7042" s="491">
        <v>0</v>
      </c>
      <c r="F7042" s="491">
        <v>0</v>
      </c>
      <c r="G7042" s="491">
        <f t="shared" si="109"/>
        <v>2</v>
      </c>
    </row>
    <row r="7043" spans="1:7" ht="12.75">
      <c r="A7043" s="134" t="s">
        <v>347</v>
      </c>
      <c r="B7043" s="134">
        <v>420</v>
      </c>
      <c r="C7043" s="491">
        <v>23</v>
      </c>
      <c r="D7043" s="491">
        <v>9</v>
      </c>
      <c r="E7043" s="491">
        <v>8</v>
      </c>
      <c r="F7043" s="491">
        <v>0</v>
      </c>
      <c r="G7043" s="491">
        <f t="shared" si="109"/>
        <v>40</v>
      </c>
    </row>
    <row r="7044" spans="1:7" ht="12.75">
      <c r="A7044" s="134" t="s">
        <v>347</v>
      </c>
      <c r="B7044" s="134">
        <v>421</v>
      </c>
      <c r="C7044" s="491">
        <v>0</v>
      </c>
      <c r="D7044" s="491">
        <v>1</v>
      </c>
      <c r="E7044" s="491">
        <v>0</v>
      </c>
      <c r="F7044" s="491">
        <v>0</v>
      </c>
      <c r="G7044" s="491">
        <f t="shared" ref="G7044:G7107" si="110">SUM(C7044:F7044)</f>
        <v>1</v>
      </c>
    </row>
    <row r="7045" spans="1:7" ht="12.75">
      <c r="A7045" s="134" t="s">
        <v>347</v>
      </c>
      <c r="B7045" s="134">
        <v>502</v>
      </c>
      <c r="C7045" s="491">
        <v>54</v>
      </c>
      <c r="D7045" s="491">
        <v>32</v>
      </c>
      <c r="E7045" s="491">
        <v>2</v>
      </c>
      <c r="F7045" s="491">
        <v>0</v>
      </c>
      <c r="G7045" s="491">
        <f t="shared" si="110"/>
        <v>88</v>
      </c>
    </row>
    <row r="7046" spans="1:7" ht="12.75">
      <c r="A7046" s="134" t="s">
        <v>347</v>
      </c>
      <c r="B7046" s="134">
        <v>503</v>
      </c>
      <c r="C7046" s="491">
        <v>0</v>
      </c>
      <c r="D7046" s="491">
        <v>1</v>
      </c>
      <c r="E7046" s="491">
        <v>0</v>
      </c>
      <c r="F7046" s="491">
        <v>0</v>
      </c>
      <c r="G7046" s="491">
        <f t="shared" si="110"/>
        <v>1</v>
      </c>
    </row>
    <row r="7047" spans="1:7" ht="12.75">
      <c r="A7047" s="134" t="s">
        <v>347</v>
      </c>
      <c r="B7047" s="134">
        <v>650</v>
      </c>
      <c r="C7047" s="491">
        <v>0</v>
      </c>
      <c r="D7047" s="491">
        <v>2</v>
      </c>
      <c r="E7047" s="491">
        <v>0</v>
      </c>
      <c r="F7047" s="491">
        <v>0</v>
      </c>
      <c r="G7047" s="491">
        <f t="shared" si="110"/>
        <v>2</v>
      </c>
    </row>
    <row r="7048" spans="1:7" ht="12.75">
      <c r="A7048" s="134" t="s">
        <v>347</v>
      </c>
      <c r="B7048" s="134">
        <v>654</v>
      </c>
      <c r="C7048" s="491">
        <v>0</v>
      </c>
      <c r="D7048" s="491">
        <v>1</v>
      </c>
      <c r="E7048" s="491">
        <v>0</v>
      </c>
      <c r="F7048" s="491">
        <v>0</v>
      </c>
      <c r="G7048" s="491">
        <f t="shared" si="110"/>
        <v>1</v>
      </c>
    </row>
    <row r="7049" spans="1:7" ht="12.75">
      <c r="A7049" s="134" t="s">
        <v>347</v>
      </c>
      <c r="B7049" s="134">
        <v>656</v>
      </c>
      <c r="C7049" s="491">
        <v>1</v>
      </c>
      <c r="D7049" s="491">
        <v>0</v>
      </c>
      <c r="E7049" s="491">
        <v>0</v>
      </c>
      <c r="F7049" s="491">
        <v>0</v>
      </c>
      <c r="G7049" s="491">
        <f t="shared" si="110"/>
        <v>1</v>
      </c>
    </row>
    <row r="7050" spans="1:7" ht="12.75">
      <c r="A7050" s="134" t="s">
        <v>347</v>
      </c>
      <c r="B7050" s="134">
        <v>812</v>
      </c>
      <c r="C7050" s="491">
        <v>21</v>
      </c>
      <c r="D7050" s="491">
        <v>3</v>
      </c>
      <c r="E7050" s="491">
        <v>0</v>
      </c>
      <c r="F7050" s="491">
        <v>0</v>
      </c>
      <c r="G7050" s="491">
        <f t="shared" si="110"/>
        <v>24</v>
      </c>
    </row>
    <row r="7051" spans="1:7" ht="12.75">
      <c r="A7051" s="134" t="s">
        <v>347</v>
      </c>
      <c r="B7051" s="134">
        <v>840</v>
      </c>
      <c r="C7051" s="491">
        <v>1</v>
      </c>
      <c r="D7051" s="491">
        <v>0</v>
      </c>
      <c r="E7051" s="491">
        <v>0</v>
      </c>
      <c r="F7051" s="491">
        <v>0</v>
      </c>
      <c r="G7051" s="491">
        <f t="shared" si="110"/>
        <v>1</v>
      </c>
    </row>
    <row r="7052" spans="1:7" ht="12.75">
      <c r="A7052" s="134" t="s">
        <v>316</v>
      </c>
      <c r="B7052" s="134">
        <v>101</v>
      </c>
      <c r="C7052" s="491">
        <v>1</v>
      </c>
      <c r="D7052" s="491">
        <v>0</v>
      </c>
      <c r="E7052" s="491">
        <v>0</v>
      </c>
      <c r="F7052" s="491">
        <v>0</v>
      </c>
      <c r="G7052" s="491">
        <f t="shared" si="110"/>
        <v>1</v>
      </c>
    </row>
    <row r="7053" spans="1:7" ht="12.75">
      <c r="A7053" s="134" t="s">
        <v>316</v>
      </c>
      <c r="B7053" s="134">
        <v>171</v>
      </c>
      <c r="C7053" s="491">
        <v>0</v>
      </c>
      <c r="D7053" s="491">
        <v>0</v>
      </c>
      <c r="E7053" s="491">
        <v>3</v>
      </c>
      <c r="F7053" s="491">
        <v>1</v>
      </c>
      <c r="G7053" s="491">
        <f t="shared" si="110"/>
        <v>4</v>
      </c>
    </row>
    <row r="7054" spans="1:7" ht="12.75">
      <c r="A7054" s="134" t="s">
        <v>316</v>
      </c>
      <c r="B7054" s="134">
        <v>211</v>
      </c>
      <c r="C7054" s="491">
        <v>48</v>
      </c>
      <c r="D7054" s="491">
        <v>5</v>
      </c>
      <c r="E7054" s="491">
        <v>0</v>
      </c>
      <c r="F7054" s="491">
        <v>0</v>
      </c>
      <c r="G7054" s="491">
        <f t="shared" si="110"/>
        <v>53</v>
      </c>
    </row>
    <row r="7055" spans="1:7" ht="12.75">
      <c r="A7055" s="134" t="s">
        <v>316</v>
      </c>
      <c r="B7055" s="134">
        <v>255</v>
      </c>
      <c r="C7055" s="491">
        <v>1</v>
      </c>
      <c r="D7055" s="491">
        <v>0</v>
      </c>
      <c r="E7055" s="491">
        <v>0</v>
      </c>
      <c r="F7055" s="491">
        <v>0</v>
      </c>
      <c r="G7055" s="491">
        <f t="shared" si="110"/>
        <v>1</v>
      </c>
    </row>
    <row r="7056" spans="1:7" ht="12.75">
      <c r="A7056" s="134" t="s">
        <v>316</v>
      </c>
      <c r="B7056" s="134">
        <v>259</v>
      </c>
      <c r="C7056" s="491">
        <v>0</v>
      </c>
      <c r="D7056" s="491">
        <v>1</v>
      </c>
      <c r="E7056" s="491">
        <v>0</v>
      </c>
      <c r="F7056" s="491">
        <v>0</v>
      </c>
      <c r="G7056" s="491">
        <f t="shared" si="110"/>
        <v>1</v>
      </c>
    </row>
    <row r="7057" spans="1:7" ht="12.75">
      <c r="A7057" s="134" t="s">
        <v>316</v>
      </c>
      <c r="B7057" s="134">
        <v>321</v>
      </c>
      <c r="C7057" s="491">
        <v>0</v>
      </c>
      <c r="D7057" s="491">
        <v>1</v>
      </c>
      <c r="E7057" s="491">
        <v>0</v>
      </c>
      <c r="F7057" s="491">
        <v>0</v>
      </c>
      <c r="G7057" s="491">
        <f t="shared" si="110"/>
        <v>1</v>
      </c>
    </row>
    <row r="7058" spans="1:7" ht="12.75">
      <c r="A7058" s="134" t="s">
        <v>316</v>
      </c>
      <c r="B7058" s="134">
        <v>330</v>
      </c>
      <c r="C7058" s="491">
        <v>0</v>
      </c>
      <c r="D7058" s="491">
        <v>1</v>
      </c>
      <c r="E7058" s="491">
        <v>0</v>
      </c>
      <c r="F7058" s="491">
        <v>0</v>
      </c>
      <c r="G7058" s="491">
        <f t="shared" si="110"/>
        <v>1</v>
      </c>
    </row>
    <row r="7059" spans="1:7" ht="12.75">
      <c r="A7059" s="134" t="s">
        <v>316</v>
      </c>
      <c r="B7059" s="134">
        <v>420</v>
      </c>
      <c r="C7059" s="491">
        <v>86</v>
      </c>
      <c r="D7059" s="491">
        <v>40</v>
      </c>
      <c r="E7059" s="491">
        <v>0</v>
      </c>
      <c r="F7059" s="491">
        <v>1</v>
      </c>
      <c r="G7059" s="491">
        <f t="shared" si="110"/>
        <v>127</v>
      </c>
    </row>
    <row r="7060" spans="1:7" ht="12.75">
      <c r="A7060" s="134" t="s">
        <v>316</v>
      </c>
      <c r="B7060" s="134">
        <v>422</v>
      </c>
      <c r="C7060" s="491">
        <v>0</v>
      </c>
      <c r="D7060" s="491">
        <v>3</v>
      </c>
      <c r="E7060" s="491">
        <v>0</v>
      </c>
      <c r="F7060" s="491">
        <v>0</v>
      </c>
      <c r="G7060" s="491">
        <f t="shared" si="110"/>
        <v>3</v>
      </c>
    </row>
    <row r="7061" spans="1:7" ht="12.75">
      <c r="A7061" s="134" t="s">
        <v>316</v>
      </c>
      <c r="B7061" s="134">
        <v>650</v>
      </c>
      <c r="C7061" s="491">
        <v>0</v>
      </c>
      <c r="D7061" s="491">
        <v>1</v>
      </c>
      <c r="E7061" s="491">
        <v>0</v>
      </c>
      <c r="F7061" s="491">
        <v>0</v>
      </c>
      <c r="G7061" s="491">
        <f t="shared" si="110"/>
        <v>1</v>
      </c>
    </row>
    <row r="7062" spans="1:7" ht="12.75">
      <c r="A7062" s="134" t="s">
        <v>316</v>
      </c>
      <c r="B7062" s="134">
        <v>654</v>
      </c>
      <c r="C7062" s="491">
        <v>0</v>
      </c>
      <c r="D7062" s="491">
        <v>1</v>
      </c>
      <c r="E7062" s="491">
        <v>0</v>
      </c>
      <c r="F7062" s="491">
        <v>0</v>
      </c>
      <c r="G7062" s="491">
        <f t="shared" si="110"/>
        <v>1</v>
      </c>
    </row>
    <row r="7063" spans="1:7" ht="12.75">
      <c r="A7063" s="134" t="s">
        <v>316</v>
      </c>
      <c r="B7063" s="134">
        <v>812</v>
      </c>
      <c r="C7063" s="491">
        <v>2</v>
      </c>
      <c r="D7063" s="491">
        <v>77</v>
      </c>
      <c r="E7063" s="491">
        <v>0</v>
      </c>
      <c r="F7063" s="491">
        <v>0</v>
      </c>
      <c r="G7063" s="491">
        <f t="shared" si="110"/>
        <v>79</v>
      </c>
    </row>
    <row r="7064" spans="1:7" ht="12.75">
      <c r="A7064" s="134" t="s">
        <v>167</v>
      </c>
      <c r="B7064" s="134">
        <v>100</v>
      </c>
      <c r="C7064" s="491">
        <v>1</v>
      </c>
      <c r="D7064" s="491">
        <v>0</v>
      </c>
      <c r="E7064" s="491">
        <v>0</v>
      </c>
      <c r="F7064" s="491">
        <v>0</v>
      </c>
      <c r="G7064" s="491">
        <f t="shared" si="110"/>
        <v>1</v>
      </c>
    </row>
    <row r="7065" spans="1:7" ht="12.75">
      <c r="A7065" s="134" t="s">
        <v>167</v>
      </c>
      <c r="B7065" s="134">
        <v>101</v>
      </c>
      <c r="C7065" s="491">
        <v>1270</v>
      </c>
      <c r="D7065" s="491">
        <v>541</v>
      </c>
      <c r="E7065" s="491">
        <v>14</v>
      </c>
      <c r="F7065" s="491">
        <v>6</v>
      </c>
      <c r="G7065" s="491">
        <f t="shared" si="110"/>
        <v>1831</v>
      </c>
    </row>
    <row r="7066" spans="1:7" ht="12.75">
      <c r="A7066" s="134" t="s">
        <v>167</v>
      </c>
      <c r="B7066" s="134">
        <v>110</v>
      </c>
      <c r="C7066" s="491">
        <v>0</v>
      </c>
      <c r="D7066" s="491">
        <v>1</v>
      </c>
      <c r="E7066" s="491">
        <v>0</v>
      </c>
      <c r="F7066" s="491">
        <v>0</v>
      </c>
      <c r="G7066" s="491">
        <f t="shared" si="110"/>
        <v>1</v>
      </c>
    </row>
    <row r="7067" spans="1:7" ht="12.75">
      <c r="A7067" s="134" t="s">
        <v>167</v>
      </c>
      <c r="B7067" s="134">
        <v>303</v>
      </c>
      <c r="C7067" s="491">
        <v>3</v>
      </c>
      <c r="D7067" s="491">
        <v>0</v>
      </c>
      <c r="E7067" s="491">
        <v>2</v>
      </c>
      <c r="F7067" s="491">
        <v>0</v>
      </c>
      <c r="G7067" s="491">
        <f t="shared" si="110"/>
        <v>5</v>
      </c>
    </row>
    <row r="7068" spans="1:7" ht="12.75">
      <c r="A7068" s="134" t="s">
        <v>167</v>
      </c>
      <c r="B7068" s="134">
        <v>304</v>
      </c>
      <c r="C7068" s="491">
        <v>119</v>
      </c>
      <c r="D7068" s="491">
        <v>53</v>
      </c>
      <c r="E7068" s="491">
        <v>0</v>
      </c>
      <c r="F7068" s="491">
        <v>0</v>
      </c>
      <c r="G7068" s="491">
        <f t="shared" si="110"/>
        <v>172</v>
      </c>
    </row>
    <row r="7069" spans="1:7" ht="12.75">
      <c r="A7069" s="134" t="s">
        <v>167</v>
      </c>
      <c r="B7069" s="134">
        <v>307</v>
      </c>
      <c r="C7069" s="491">
        <v>1</v>
      </c>
      <c r="D7069" s="491">
        <v>0</v>
      </c>
      <c r="E7069" s="491">
        <v>0</v>
      </c>
      <c r="F7069" s="491">
        <v>0</v>
      </c>
      <c r="G7069" s="491">
        <f t="shared" si="110"/>
        <v>1</v>
      </c>
    </row>
    <row r="7070" spans="1:7" ht="12.75">
      <c r="A7070" s="134" t="s">
        <v>167</v>
      </c>
      <c r="B7070" s="134">
        <v>323</v>
      </c>
      <c r="C7070" s="491">
        <v>1</v>
      </c>
      <c r="D7070" s="491">
        <v>0</v>
      </c>
      <c r="E7070" s="491">
        <v>0</v>
      </c>
      <c r="F7070" s="491">
        <v>0</v>
      </c>
      <c r="G7070" s="491">
        <f t="shared" si="110"/>
        <v>1</v>
      </c>
    </row>
    <row r="7071" spans="1:7" ht="12.75">
      <c r="A7071" s="134" t="s">
        <v>167</v>
      </c>
      <c r="B7071" s="134">
        <v>330</v>
      </c>
      <c r="C7071" s="491">
        <v>0</v>
      </c>
      <c r="D7071" s="491">
        <v>1</v>
      </c>
      <c r="E7071" s="491">
        <v>0</v>
      </c>
      <c r="F7071" s="491">
        <v>0</v>
      </c>
      <c r="G7071" s="491">
        <f t="shared" si="110"/>
        <v>1</v>
      </c>
    </row>
    <row r="7072" spans="1:7" ht="12.75">
      <c r="A7072" s="134" t="s">
        <v>167</v>
      </c>
      <c r="B7072" s="134">
        <v>360</v>
      </c>
      <c r="C7072" s="491">
        <v>66</v>
      </c>
      <c r="D7072" s="491">
        <v>11</v>
      </c>
      <c r="E7072" s="491">
        <v>0</v>
      </c>
      <c r="F7072" s="491">
        <v>0</v>
      </c>
      <c r="G7072" s="491">
        <f t="shared" si="110"/>
        <v>77</v>
      </c>
    </row>
    <row r="7073" spans="1:7" ht="12.75">
      <c r="A7073" s="134" t="s">
        <v>167</v>
      </c>
      <c r="B7073" s="134">
        <v>370</v>
      </c>
      <c r="C7073" s="491">
        <v>2</v>
      </c>
      <c r="D7073" s="491">
        <v>0</v>
      </c>
      <c r="E7073" s="491">
        <v>0</v>
      </c>
      <c r="F7073" s="491">
        <v>0</v>
      </c>
      <c r="G7073" s="491">
        <f t="shared" si="110"/>
        <v>2</v>
      </c>
    </row>
    <row r="7074" spans="1:7" ht="12.75">
      <c r="A7074" s="134" t="s">
        <v>167</v>
      </c>
      <c r="B7074" s="134">
        <v>410</v>
      </c>
      <c r="C7074" s="491">
        <v>1</v>
      </c>
      <c r="D7074" s="491">
        <v>0</v>
      </c>
      <c r="E7074" s="491">
        <v>0</v>
      </c>
      <c r="F7074" s="491">
        <v>0</v>
      </c>
      <c r="G7074" s="491">
        <f t="shared" si="110"/>
        <v>1</v>
      </c>
    </row>
    <row r="7075" spans="1:7" ht="12.75">
      <c r="A7075" s="134" t="s">
        <v>167</v>
      </c>
      <c r="B7075" s="134">
        <v>420</v>
      </c>
      <c r="C7075" s="491">
        <v>0</v>
      </c>
      <c r="D7075" s="491">
        <v>1</v>
      </c>
      <c r="E7075" s="491">
        <v>0</v>
      </c>
      <c r="F7075" s="491">
        <v>0</v>
      </c>
      <c r="G7075" s="491">
        <f t="shared" si="110"/>
        <v>1</v>
      </c>
    </row>
    <row r="7076" spans="1:7" ht="12.75">
      <c r="A7076" s="134" t="s">
        <v>167</v>
      </c>
      <c r="B7076" s="134">
        <v>501</v>
      </c>
      <c r="C7076" s="491">
        <v>1</v>
      </c>
      <c r="D7076" s="491">
        <v>0</v>
      </c>
      <c r="E7076" s="491">
        <v>0</v>
      </c>
      <c r="F7076" s="491">
        <v>0</v>
      </c>
      <c r="G7076" s="491">
        <f t="shared" si="110"/>
        <v>1</v>
      </c>
    </row>
    <row r="7077" spans="1:7" ht="12.75">
      <c r="A7077" s="134" t="s">
        <v>167</v>
      </c>
      <c r="B7077" s="134">
        <v>650</v>
      </c>
      <c r="C7077" s="491">
        <v>0</v>
      </c>
      <c r="D7077" s="491">
        <v>1</v>
      </c>
      <c r="E7077" s="491">
        <v>0</v>
      </c>
      <c r="F7077" s="491">
        <v>0</v>
      </c>
      <c r="G7077" s="491">
        <f t="shared" si="110"/>
        <v>1</v>
      </c>
    </row>
    <row r="7078" spans="1:7" ht="12.75">
      <c r="A7078" s="134" t="s">
        <v>167</v>
      </c>
      <c r="B7078" s="134">
        <v>800</v>
      </c>
      <c r="C7078" s="491">
        <v>0</v>
      </c>
      <c r="D7078" s="491">
        <v>1</v>
      </c>
      <c r="E7078" s="491">
        <v>0</v>
      </c>
      <c r="F7078" s="491">
        <v>0</v>
      </c>
      <c r="G7078" s="491">
        <f t="shared" si="110"/>
        <v>1</v>
      </c>
    </row>
    <row r="7079" spans="1:7" ht="12.75">
      <c r="A7079" s="134" t="s">
        <v>168</v>
      </c>
      <c r="B7079" s="134">
        <v>103</v>
      </c>
      <c r="C7079" s="491">
        <v>4</v>
      </c>
      <c r="D7079" s="491">
        <v>10</v>
      </c>
      <c r="E7079" s="491">
        <v>0</v>
      </c>
      <c r="F7079" s="491">
        <v>3</v>
      </c>
      <c r="G7079" s="491">
        <f t="shared" si="110"/>
        <v>17</v>
      </c>
    </row>
    <row r="7080" spans="1:7" ht="12.75">
      <c r="A7080" s="134" t="s">
        <v>168</v>
      </c>
      <c r="B7080" s="134">
        <v>120</v>
      </c>
      <c r="C7080" s="491">
        <v>0</v>
      </c>
      <c r="D7080" s="491">
        <v>2</v>
      </c>
      <c r="E7080" s="491">
        <v>0</v>
      </c>
      <c r="F7080" s="491">
        <v>0</v>
      </c>
      <c r="G7080" s="491">
        <f t="shared" si="110"/>
        <v>2</v>
      </c>
    </row>
    <row r="7081" spans="1:7" ht="12.75">
      <c r="A7081" s="134" t="s">
        <v>168</v>
      </c>
      <c r="B7081" s="134">
        <v>140</v>
      </c>
      <c r="C7081" s="491">
        <v>1</v>
      </c>
      <c r="D7081" s="491">
        <v>0</v>
      </c>
      <c r="E7081" s="491">
        <v>0</v>
      </c>
      <c r="F7081" s="491">
        <v>0</v>
      </c>
      <c r="G7081" s="491">
        <f t="shared" si="110"/>
        <v>1</v>
      </c>
    </row>
    <row r="7082" spans="1:7" ht="12.75">
      <c r="A7082" s="134" t="s">
        <v>168</v>
      </c>
      <c r="B7082" s="134">
        <v>143</v>
      </c>
      <c r="C7082" s="491">
        <v>2</v>
      </c>
      <c r="D7082" s="491">
        <v>0</v>
      </c>
      <c r="E7082" s="491">
        <v>1</v>
      </c>
      <c r="F7082" s="491">
        <v>0</v>
      </c>
      <c r="G7082" s="491">
        <f t="shared" si="110"/>
        <v>3</v>
      </c>
    </row>
    <row r="7083" spans="1:7" ht="12.75">
      <c r="A7083" s="134" t="s">
        <v>168</v>
      </c>
      <c r="B7083" s="134">
        <v>303</v>
      </c>
      <c r="C7083" s="491">
        <v>1</v>
      </c>
      <c r="D7083" s="491">
        <v>0</v>
      </c>
      <c r="E7083" s="491">
        <v>0</v>
      </c>
      <c r="F7083" s="491">
        <v>0</v>
      </c>
      <c r="G7083" s="491">
        <f t="shared" si="110"/>
        <v>1</v>
      </c>
    </row>
    <row r="7084" spans="1:7" ht="12.75">
      <c r="A7084" s="134" t="s">
        <v>168</v>
      </c>
      <c r="B7084" s="134">
        <v>330</v>
      </c>
      <c r="C7084" s="491">
        <v>1</v>
      </c>
      <c r="D7084" s="491">
        <v>0</v>
      </c>
      <c r="E7084" s="491">
        <v>0</v>
      </c>
      <c r="F7084" s="491">
        <v>0</v>
      </c>
      <c r="G7084" s="491">
        <f t="shared" si="110"/>
        <v>1</v>
      </c>
    </row>
    <row r="7085" spans="1:7" ht="12.75">
      <c r="A7085" s="134" t="s">
        <v>168</v>
      </c>
      <c r="B7085" s="134">
        <v>420</v>
      </c>
      <c r="C7085" s="491">
        <v>2</v>
      </c>
      <c r="D7085" s="491">
        <v>1</v>
      </c>
      <c r="E7085" s="491">
        <v>0</v>
      </c>
      <c r="F7085" s="491">
        <v>0</v>
      </c>
      <c r="G7085" s="491">
        <f t="shared" si="110"/>
        <v>3</v>
      </c>
    </row>
    <row r="7086" spans="1:7" ht="12.75">
      <c r="A7086" s="134" t="s">
        <v>168</v>
      </c>
      <c r="B7086" s="134">
        <v>800</v>
      </c>
      <c r="C7086" s="491">
        <v>1</v>
      </c>
      <c r="D7086" s="491">
        <v>0</v>
      </c>
      <c r="E7086" s="491">
        <v>0</v>
      </c>
      <c r="F7086" s="491">
        <v>0</v>
      </c>
      <c r="G7086" s="491">
        <f t="shared" si="110"/>
        <v>1</v>
      </c>
    </row>
    <row r="7087" spans="1:7" ht="12.75">
      <c r="A7087" s="134" t="s">
        <v>169</v>
      </c>
      <c r="B7087" s="134">
        <v>100</v>
      </c>
      <c r="C7087" s="491">
        <v>0</v>
      </c>
      <c r="D7087" s="491">
        <v>1</v>
      </c>
      <c r="E7087" s="491">
        <v>0</v>
      </c>
      <c r="F7087" s="491">
        <v>0</v>
      </c>
      <c r="G7087" s="491">
        <f t="shared" si="110"/>
        <v>1</v>
      </c>
    </row>
    <row r="7088" spans="1:7" ht="12.75">
      <c r="A7088" s="134" t="s">
        <v>169</v>
      </c>
      <c r="B7088" s="134">
        <v>101</v>
      </c>
      <c r="C7088" s="491">
        <v>4</v>
      </c>
      <c r="D7088" s="491">
        <v>0</v>
      </c>
      <c r="E7088" s="491">
        <v>0</v>
      </c>
      <c r="F7088" s="491">
        <v>0</v>
      </c>
      <c r="G7088" s="491">
        <f t="shared" si="110"/>
        <v>4</v>
      </c>
    </row>
    <row r="7089" spans="1:7" ht="12.75">
      <c r="A7089" s="134" t="s">
        <v>169</v>
      </c>
      <c r="B7089" s="134">
        <v>110</v>
      </c>
      <c r="C7089" s="491">
        <v>1</v>
      </c>
      <c r="D7089" s="491">
        <v>0</v>
      </c>
      <c r="E7089" s="491">
        <v>0</v>
      </c>
      <c r="F7089" s="491">
        <v>0</v>
      </c>
      <c r="G7089" s="491">
        <f t="shared" si="110"/>
        <v>1</v>
      </c>
    </row>
    <row r="7090" spans="1:7" ht="12.75">
      <c r="A7090" s="134" t="s">
        <v>169</v>
      </c>
      <c r="B7090" s="134">
        <v>361</v>
      </c>
      <c r="C7090" s="491">
        <v>1</v>
      </c>
      <c r="D7090" s="491">
        <v>0</v>
      </c>
      <c r="E7090" s="491">
        <v>0</v>
      </c>
      <c r="F7090" s="491">
        <v>0</v>
      </c>
      <c r="G7090" s="491">
        <f t="shared" si="110"/>
        <v>1</v>
      </c>
    </row>
    <row r="7091" spans="1:7" ht="12.75">
      <c r="A7091" s="134" t="s">
        <v>170</v>
      </c>
      <c r="B7091" s="134">
        <v>101</v>
      </c>
      <c r="C7091" s="491">
        <v>1776</v>
      </c>
      <c r="D7091" s="491">
        <v>580</v>
      </c>
      <c r="E7091" s="491">
        <v>14</v>
      </c>
      <c r="F7091" s="491">
        <v>8</v>
      </c>
      <c r="G7091" s="491">
        <f t="shared" si="110"/>
        <v>2378</v>
      </c>
    </row>
    <row r="7092" spans="1:7" ht="12.75">
      <c r="A7092" s="134" t="s">
        <v>170</v>
      </c>
      <c r="B7092" s="134">
        <v>107</v>
      </c>
      <c r="C7092" s="491">
        <v>1</v>
      </c>
      <c r="D7092" s="491">
        <v>0</v>
      </c>
      <c r="E7092" s="491">
        <v>0</v>
      </c>
      <c r="F7092" s="491">
        <v>0</v>
      </c>
      <c r="G7092" s="491">
        <f t="shared" si="110"/>
        <v>1</v>
      </c>
    </row>
    <row r="7093" spans="1:7" ht="12.75">
      <c r="A7093" s="134" t="s">
        <v>170</v>
      </c>
      <c r="B7093" s="134">
        <v>211</v>
      </c>
      <c r="C7093" s="491">
        <v>4</v>
      </c>
      <c r="D7093" s="491">
        <v>1</v>
      </c>
      <c r="E7093" s="491">
        <v>0</v>
      </c>
      <c r="F7093" s="491">
        <v>0</v>
      </c>
      <c r="G7093" s="491">
        <f t="shared" si="110"/>
        <v>5</v>
      </c>
    </row>
    <row r="7094" spans="1:7" ht="12.75">
      <c r="A7094" s="134" t="s">
        <v>170</v>
      </c>
      <c r="B7094" s="134">
        <v>330</v>
      </c>
      <c r="C7094" s="491">
        <v>1</v>
      </c>
      <c r="D7094" s="491">
        <v>0</v>
      </c>
      <c r="E7094" s="491">
        <v>0</v>
      </c>
      <c r="F7094" s="491">
        <v>0</v>
      </c>
      <c r="G7094" s="491">
        <f t="shared" si="110"/>
        <v>1</v>
      </c>
    </row>
    <row r="7095" spans="1:7" ht="12.75">
      <c r="A7095" s="134" t="s">
        <v>170</v>
      </c>
      <c r="B7095" s="134">
        <v>370</v>
      </c>
      <c r="C7095" s="491">
        <v>7</v>
      </c>
      <c r="D7095" s="491">
        <v>4</v>
      </c>
      <c r="E7095" s="491">
        <v>0</v>
      </c>
      <c r="F7095" s="491">
        <v>1</v>
      </c>
      <c r="G7095" s="491">
        <f t="shared" si="110"/>
        <v>12</v>
      </c>
    </row>
    <row r="7096" spans="1:7" ht="12.75">
      <c r="A7096" s="134" t="s">
        <v>170</v>
      </c>
      <c r="B7096" s="134">
        <v>400</v>
      </c>
      <c r="C7096" s="491">
        <v>27</v>
      </c>
      <c r="D7096" s="491">
        <v>0</v>
      </c>
      <c r="E7096" s="491">
        <v>0</v>
      </c>
      <c r="F7096" s="491">
        <v>0</v>
      </c>
      <c r="G7096" s="491">
        <f t="shared" si="110"/>
        <v>27</v>
      </c>
    </row>
    <row r="7097" spans="1:7" ht="12.75">
      <c r="A7097" s="134" t="s">
        <v>170</v>
      </c>
      <c r="B7097" s="134">
        <v>502</v>
      </c>
      <c r="C7097" s="491">
        <v>7</v>
      </c>
      <c r="D7097" s="491">
        <v>75</v>
      </c>
      <c r="E7097" s="491">
        <v>33</v>
      </c>
      <c r="F7097" s="491">
        <v>2</v>
      </c>
      <c r="G7097" s="491">
        <f t="shared" si="110"/>
        <v>117</v>
      </c>
    </row>
    <row r="7098" spans="1:7" ht="12.75">
      <c r="A7098" s="134" t="s">
        <v>170</v>
      </c>
      <c r="B7098" s="134">
        <v>503</v>
      </c>
      <c r="C7098" s="491">
        <v>0</v>
      </c>
      <c r="D7098" s="491">
        <v>1</v>
      </c>
      <c r="E7098" s="491">
        <v>0</v>
      </c>
      <c r="F7098" s="491">
        <v>0</v>
      </c>
      <c r="G7098" s="491">
        <f t="shared" si="110"/>
        <v>1</v>
      </c>
    </row>
    <row r="7099" spans="1:7" ht="12.75">
      <c r="A7099" s="134" t="s">
        <v>170</v>
      </c>
      <c r="B7099" s="134">
        <v>812</v>
      </c>
      <c r="C7099" s="491">
        <v>3</v>
      </c>
      <c r="D7099" s="491">
        <v>53</v>
      </c>
      <c r="E7099" s="491">
        <v>0</v>
      </c>
      <c r="F7099" s="491">
        <v>0</v>
      </c>
      <c r="G7099" s="491">
        <f t="shared" si="110"/>
        <v>56</v>
      </c>
    </row>
    <row r="7100" spans="1:7" ht="12.75">
      <c r="A7100" s="134" t="s">
        <v>918</v>
      </c>
      <c r="B7100" s="134">
        <v>110</v>
      </c>
      <c r="C7100" s="491">
        <v>0</v>
      </c>
      <c r="D7100" s="491">
        <v>1</v>
      </c>
      <c r="E7100" s="491">
        <v>0</v>
      </c>
      <c r="F7100" s="491">
        <v>0</v>
      </c>
      <c r="G7100" s="491">
        <f t="shared" si="110"/>
        <v>1</v>
      </c>
    </row>
    <row r="7101" spans="1:7" ht="12.75">
      <c r="A7101" s="134" t="s">
        <v>918</v>
      </c>
      <c r="B7101" s="134">
        <v>502</v>
      </c>
      <c r="C7101" s="491">
        <v>2</v>
      </c>
      <c r="D7101" s="491">
        <v>0</v>
      </c>
      <c r="E7101" s="491">
        <v>6</v>
      </c>
      <c r="F7101" s="491">
        <v>0</v>
      </c>
      <c r="G7101" s="491">
        <f t="shared" si="110"/>
        <v>8</v>
      </c>
    </row>
    <row r="7102" spans="1:7" ht="12.75">
      <c r="A7102" s="134" t="s">
        <v>919</v>
      </c>
      <c r="B7102" s="134">
        <v>502</v>
      </c>
      <c r="C7102" s="491">
        <v>0</v>
      </c>
      <c r="D7102" s="491">
        <v>2</v>
      </c>
      <c r="E7102" s="491">
        <v>0</v>
      </c>
      <c r="F7102" s="491">
        <v>0</v>
      </c>
      <c r="G7102" s="491">
        <f t="shared" si="110"/>
        <v>2</v>
      </c>
    </row>
    <row r="7103" spans="1:7" ht="12.75">
      <c r="A7103" s="134" t="s">
        <v>920</v>
      </c>
      <c r="B7103" s="134">
        <v>101</v>
      </c>
      <c r="C7103" s="491">
        <v>4</v>
      </c>
      <c r="D7103" s="491">
        <v>1</v>
      </c>
      <c r="E7103" s="491">
        <v>0</v>
      </c>
      <c r="F7103" s="491">
        <v>0</v>
      </c>
      <c r="G7103" s="491">
        <f t="shared" si="110"/>
        <v>5</v>
      </c>
    </row>
    <row r="7104" spans="1:7" ht="12.75">
      <c r="A7104" s="134" t="s">
        <v>920</v>
      </c>
      <c r="B7104" s="134">
        <v>110</v>
      </c>
      <c r="C7104" s="491">
        <v>0</v>
      </c>
      <c r="D7104" s="491">
        <v>1</v>
      </c>
      <c r="E7104" s="491">
        <v>0</v>
      </c>
      <c r="F7104" s="491">
        <v>0</v>
      </c>
      <c r="G7104" s="491">
        <f t="shared" si="110"/>
        <v>1</v>
      </c>
    </row>
    <row r="7105" spans="1:7" ht="12.75">
      <c r="A7105" s="134" t="s">
        <v>920</v>
      </c>
      <c r="B7105" s="134">
        <v>160</v>
      </c>
      <c r="C7105" s="491">
        <v>9</v>
      </c>
      <c r="D7105" s="491">
        <v>0</v>
      </c>
      <c r="E7105" s="491">
        <v>1</v>
      </c>
      <c r="F7105" s="491">
        <v>0</v>
      </c>
      <c r="G7105" s="491">
        <f t="shared" si="110"/>
        <v>10</v>
      </c>
    </row>
    <row r="7106" spans="1:7" ht="12.75">
      <c r="A7106" s="134" t="s">
        <v>920</v>
      </c>
      <c r="B7106" s="134">
        <v>257</v>
      </c>
      <c r="C7106" s="491">
        <v>9</v>
      </c>
      <c r="D7106" s="491">
        <v>0</v>
      </c>
      <c r="E7106" s="491">
        <v>0</v>
      </c>
      <c r="F7106" s="491">
        <v>0</v>
      </c>
      <c r="G7106" s="491">
        <f t="shared" si="110"/>
        <v>9</v>
      </c>
    </row>
    <row r="7107" spans="1:7" ht="12.75">
      <c r="A7107" s="134" t="s">
        <v>920</v>
      </c>
      <c r="B7107" s="134">
        <v>330</v>
      </c>
      <c r="C7107" s="491">
        <v>31</v>
      </c>
      <c r="D7107" s="491">
        <v>0</v>
      </c>
      <c r="E7107" s="491">
        <v>0</v>
      </c>
      <c r="F7107" s="491">
        <v>0</v>
      </c>
      <c r="G7107" s="491">
        <f t="shared" si="110"/>
        <v>31</v>
      </c>
    </row>
    <row r="7108" spans="1:7" ht="12.75">
      <c r="A7108" s="134" t="s">
        <v>350</v>
      </c>
      <c r="B7108" s="134">
        <v>259</v>
      </c>
      <c r="C7108" s="491">
        <v>2</v>
      </c>
      <c r="D7108" s="491">
        <v>1</v>
      </c>
      <c r="E7108" s="491">
        <v>0</v>
      </c>
      <c r="F7108" s="491">
        <v>0</v>
      </c>
      <c r="G7108" s="491">
        <f t="shared" ref="G7108:G7171" si="111">SUM(C7108:F7108)</f>
        <v>3</v>
      </c>
    </row>
    <row r="7109" spans="1:7" ht="12.75">
      <c r="A7109" s="134" t="s">
        <v>350</v>
      </c>
      <c r="B7109" s="134">
        <v>420</v>
      </c>
      <c r="C7109" s="491">
        <v>1</v>
      </c>
      <c r="D7109" s="491">
        <v>0</v>
      </c>
      <c r="E7109" s="491">
        <v>0</v>
      </c>
      <c r="F7109" s="491">
        <v>0</v>
      </c>
      <c r="G7109" s="491">
        <f t="shared" si="111"/>
        <v>1</v>
      </c>
    </row>
    <row r="7110" spans="1:7" ht="12.75">
      <c r="A7110" s="134" t="s">
        <v>921</v>
      </c>
      <c r="B7110" s="134">
        <v>101</v>
      </c>
      <c r="C7110" s="491">
        <v>0</v>
      </c>
      <c r="D7110" s="491">
        <v>1</v>
      </c>
      <c r="E7110" s="491">
        <v>0</v>
      </c>
      <c r="F7110" s="491">
        <v>0</v>
      </c>
      <c r="G7110" s="491">
        <f t="shared" si="111"/>
        <v>1</v>
      </c>
    </row>
    <row r="7111" spans="1:7" ht="12.75">
      <c r="A7111" s="134" t="s">
        <v>921</v>
      </c>
      <c r="B7111" s="134">
        <v>190</v>
      </c>
      <c r="C7111" s="491">
        <v>0</v>
      </c>
      <c r="D7111" s="491">
        <v>1</v>
      </c>
      <c r="E7111" s="491">
        <v>0</v>
      </c>
      <c r="F7111" s="491">
        <v>0</v>
      </c>
      <c r="G7111" s="491">
        <f t="shared" si="111"/>
        <v>1</v>
      </c>
    </row>
    <row r="7112" spans="1:7" ht="12.75">
      <c r="A7112" s="134" t="s">
        <v>921</v>
      </c>
      <c r="B7112" s="134">
        <v>306</v>
      </c>
      <c r="C7112" s="491">
        <v>0</v>
      </c>
      <c r="D7112" s="491">
        <v>1</v>
      </c>
      <c r="E7112" s="491">
        <v>0</v>
      </c>
      <c r="F7112" s="491">
        <v>0</v>
      </c>
      <c r="G7112" s="491">
        <f t="shared" si="111"/>
        <v>1</v>
      </c>
    </row>
    <row r="7113" spans="1:7" ht="12.75">
      <c r="A7113" s="134" t="s">
        <v>921</v>
      </c>
      <c r="B7113" s="134">
        <v>361</v>
      </c>
      <c r="C7113" s="491">
        <v>1</v>
      </c>
      <c r="D7113" s="491">
        <v>0</v>
      </c>
      <c r="E7113" s="491">
        <v>0</v>
      </c>
      <c r="F7113" s="491">
        <v>0</v>
      </c>
      <c r="G7113" s="491">
        <f t="shared" si="111"/>
        <v>1</v>
      </c>
    </row>
    <row r="7114" spans="1:7" ht="12.75">
      <c r="A7114" s="134" t="s">
        <v>921</v>
      </c>
      <c r="B7114" s="134">
        <v>650</v>
      </c>
      <c r="C7114" s="491">
        <v>0</v>
      </c>
      <c r="D7114" s="491">
        <v>1</v>
      </c>
      <c r="E7114" s="491">
        <v>0</v>
      </c>
      <c r="F7114" s="491">
        <v>0</v>
      </c>
      <c r="G7114" s="491">
        <f t="shared" si="111"/>
        <v>1</v>
      </c>
    </row>
    <row r="7115" spans="1:7" ht="12.75">
      <c r="A7115" s="134" t="s">
        <v>171</v>
      </c>
      <c r="B7115" s="134">
        <v>100</v>
      </c>
      <c r="C7115" s="491">
        <v>7</v>
      </c>
      <c r="D7115" s="491">
        <v>9</v>
      </c>
      <c r="E7115" s="491">
        <v>0</v>
      </c>
      <c r="F7115" s="491">
        <v>0</v>
      </c>
      <c r="G7115" s="491">
        <f t="shared" si="111"/>
        <v>16</v>
      </c>
    </row>
    <row r="7116" spans="1:7" ht="12.75">
      <c r="A7116" s="134" t="s">
        <v>171</v>
      </c>
      <c r="B7116" s="134">
        <v>101</v>
      </c>
      <c r="C7116" s="491">
        <v>199</v>
      </c>
      <c r="D7116" s="491">
        <v>326</v>
      </c>
      <c r="E7116" s="491">
        <v>0</v>
      </c>
      <c r="F7116" s="491">
        <v>0</v>
      </c>
      <c r="G7116" s="491">
        <f t="shared" si="111"/>
        <v>525</v>
      </c>
    </row>
    <row r="7117" spans="1:7" ht="12.75">
      <c r="A7117" s="134" t="s">
        <v>171</v>
      </c>
      <c r="B7117" s="134">
        <v>104</v>
      </c>
      <c r="C7117" s="491">
        <v>1</v>
      </c>
      <c r="D7117" s="491">
        <v>2</v>
      </c>
      <c r="E7117" s="491">
        <v>0</v>
      </c>
      <c r="F7117" s="491">
        <v>0</v>
      </c>
      <c r="G7117" s="491">
        <f t="shared" si="111"/>
        <v>3</v>
      </c>
    </row>
    <row r="7118" spans="1:7" ht="12.75">
      <c r="A7118" s="134" t="s">
        <v>171</v>
      </c>
      <c r="B7118" s="134">
        <v>120</v>
      </c>
      <c r="C7118" s="491">
        <v>1</v>
      </c>
      <c r="D7118" s="491">
        <v>0</v>
      </c>
      <c r="E7118" s="491">
        <v>0</v>
      </c>
      <c r="F7118" s="491">
        <v>0</v>
      </c>
      <c r="G7118" s="491">
        <f t="shared" si="111"/>
        <v>1</v>
      </c>
    </row>
    <row r="7119" spans="1:7" ht="12.75">
      <c r="A7119" s="134" t="s">
        <v>171</v>
      </c>
      <c r="B7119" s="134">
        <v>141</v>
      </c>
      <c r="C7119" s="491">
        <v>2</v>
      </c>
      <c r="D7119" s="491">
        <v>1</v>
      </c>
      <c r="E7119" s="491">
        <v>0</v>
      </c>
      <c r="F7119" s="491">
        <v>0</v>
      </c>
      <c r="G7119" s="491">
        <f t="shared" si="111"/>
        <v>3</v>
      </c>
    </row>
    <row r="7120" spans="1:7" ht="12.75">
      <c r="A7120" s="134" t="s">
        <v>171</v>
      </c>
      <c r="B7120" s="134">
        <v>160</v>
      </c>
      <c r="C7120" s="491">
        <v>2</v>
      </c>
      <c r="D7120" s="491">
        <v>0</v>
      </c>
      <c r="E7120" s="491">
        <v>0</v>
      </c>
      <c r="F7120" s="491">
        <v>0</v>
      </c>
      <c r="G7120" s="491">
        <f t="shared" si="111"/>
        <v>2</v>
      </c>
    </row>
    <row r="7121" spans="1:7" ht="12.75">
      <c r="A7121" s="134" t="s">
        <v>171</v>
      </c>
      <c r="B7121" s="134">
        <v>330</v>
      </c>
      <c r="C7121" s="491">
        <v>8</v>
      </c>
      <c r="D7121" s="491">
        <v>2</v>
      </c>
      <c r="E7121" s="491">
        <v>0</v>
      </c>
      <c r="F7121" s="491">
        <v>0</v>
      </c>
      <c r="G7121" s="491">
        <f t="shared" si="111"/>
        <v>10</v>
      </c>
    </row>
    <row r="7122" spans="1:7" ht="12.75">
      <c r="A7122" s="134" t="s">
        <v>171</v>
      </c>
      <c r="B7122" s="134">
        <v>361</v>
      </c>
      <c r="C7122" s="491">
        <v>1</v>
      </c>
      <c r="D7122" s="491">
        <v>0</v>
      </c>
      <c r="E7122" s="491">
        <v>0</v>
      </c>
      <c r="F7122" s="491">
        <v>0</v>
      </c>
      <c r="G7122" s="491">
        <f t="shared" si="111"/>
        <v>1</v>
      </c>
    </row>
    <row r="7123" spans="1:7" ht="12.75">
      <c r="A7123" s="134" t="s">
        <v>171</v>
      </c>
      <c r="B7123" s="134">
        <v>501</v>
      </c>
      <c r="C7123" s="491">
        <v>1</v>
      </c>
      <c r="D7123" s="491">
        <v>0</v>
      </c>
      <c r="E7123" s="491">
        <v>0</v>
      </c>
      <c r="F7123" s="491">
        <v>0</v>
      </c>
      <c r="G7123" s="491">
        <f t="shared" si="111"/>
        <v>1</v>
      </c>
    </row>
    <row r="7124" spans="1:7" ht="12.75">
      <c r="A7124" s="134" t="s">
        <v>171</v>
      </c>
      <c r="B7124" s="134">
        <v>502</v>
      </c>
      <c r="C7124" s="491">
        <v>87</v>
      </c>
      <c r="D7124" s="491">
        <v>352</v>
      </c>
      <c r="E7124" s="491">
        <v>132</v>
      </c>
      <c r="F7124" s="491">
        <v>0</v>
      </c>
      <c r="G7124" s="491">
        <f t="shared" si="111"/>
        <v>571</v>
      </c>
    </row>
    <row r="7125" spans="1:7" ht="12.75">
      <c r="A7125" s="134" t="s">
        <v>171</v>
      </c>
      <c r="B7125" s="134">
        <v>811</v>
      </c>
      <c r="C7125" s="491">
        <v>0</v>
      </c>
      <c r="D7125" s="491">
        <v>1</v>
      </c>
      <c r="E7125" s="491">
        <v>0</v>
      </c>
      <c r="F7125" s="491">
        <v>0</v>
      </c>
      <c r="G7125" s="491">
        <f t="shared" si="111"/>
        <v>1</v>
      </c>
    </row>
    <row r="7126" spans="1:7" ht="12.75">
      <c r="A7126" s="134" t="s">
        <v>171</v>
      </c>
      <c r="B7126" s="134">
        <v>812</v>
      </c>
      <c r="C7126" s="491">
        <v>4</v>
      </c>
      <c r="D7126" s="491">
        <v>1</v>
      </c>
      <c r="E7126" s="491">
        <v>0</v>
      </c>
      <c r="F7126" s="491">
        <v>0</v>
      </c>
      <c r="G7126" s="491">
        <f t="shared" si="111"/>
        <v>5</v>
      </c>
    </row>
    <row r="7127" spans="1:7" ht="12.75">
      <c r="A7127" s="134" t="s">
        <v>355</v>
      </c>
      <c r="B7127" s="134">
        <v>100</v>
      </c>
      <c r="C7127" s="491">
        <v>0</v>
      </c>
      <c r="D7127" s="491">
        <v>2</v>
      </c>
      <c r="E7127" s="491">
        <v>0</v>
      </c>
      <c r="F7127" s="491">
        <v>0</v>
      </c>
      <c r="G7127" s="491">
        <f t="shared" si="111"/>
        <v>2</v>
      </c>
    </row>
    <row r="7128" spans="1:7" ht="12.75">
      <c r="A7128" s="134" t="s">
        <v>355</v>
      </c>
      <c r="B7128" s="134">
        <v>101</v>
      </c>
      <c r="C7128" s="491">
        <v>0</v>
      </c>
      <c r="D7128" s="491">
        <v>1</v>
      </c>
      <c r="E7128" s="491">
        <v>0</v>
      </c>
      <c r="F7128" s="491">
        <v>0</v>
      </c>
      <c r="G7128" s="491">
        <f t="shared" si="111"/>
        <v>1</v>
      </c>
    </row>
    <row r="7129" spans="1:7" ht="12.75">
      <c r="A7129" s="134" t="s">
        <v>355</v>
      </c>
      <c r="B7129" s="134">
        <v>171</v>
      </c>
      <c r="C7129" s="491">
        <v>1</v>
      </c>
      <c r="D7129" s="491">
        <v>1</v>
      </c>
      <c r="E7129" s="491">
        <v>0</v>
      </c>
      <c r="F7129" s="491">
        <v>0</v>
      </c>
      <c r="G7129" s="491">
        <f t="shared" si="111"/>
        <v>2</v>
      </c>
    </row>
    <row r="7130" spans="1:7" ht="12.75">
      <c r="A7130" s="134" t="s">
        <v>355</v>
      </c>
      <c r="B7130" s="134">
        <v>259</v>
      </c>
      <c r="C7130" s="491">
        <v>1</v>
      </c>
      <c r="D7130" s="491">
        <v>0</v>
      </c>
      <c r="E7130" s="491">
        <v>0</v>
      </c>
      <c r="F7130" s="491">
        <v>0</v>
      </c>
      <c r="G7130" s="491">
        <f t="shared" si="111"/>
        <v>1</v>
      </c>
    </row>
    <row r="7131" spans="1:7" ht="12.75">
      <c r="A7131" s="134" t="s">
        <v>355</v>
      </c>
      <c r="B7131" s="134">
        <v>330</v>
      </c>
      <c r="C7131" s="491">
        <v>3</v>
      </c>
      <c r="D7131" s="491">
        <v>0</v>
      </c>
      <c r="E7131" s="491">
        <v>0</v>
      </c>
      <c r="F7131" s="491">
        <v>0</v>
      </c>
      <c r="G7131" s="491">
        <f t="shared" si="111"/>
        <v>3</v>
      </c>
    </row>
    <row r="7132" spans="1:7" ht="12.75">
      <c r="A7132" s="134" t="s">
        <v>330</v>
      </c>
      <c r="B7132" s="134">
        <v>171</v>
      </c>
      <c r="C7132" s="491">
        <v>0</v>
      </c>
      <c r="D7132" s="491">
        <v>1</v>
      </c>
      <c r="E7132" s="491">
        <v>0</v>
      </c>
      <c r="F7132" s="491">
        <v>0</v>
      </c>
      <c r="G7132" s="491">
        <f t="shared" si="111"/>
        <v>1</v>
      </c>
    </row>
    <row r="7133" spans="1:7" ht="12.75">
      <c r="A7133" s="134" t="s">
        <v>172</v>
      </c>
      <c r="B7133" s="134">
        <v>101</v>
      </c>
      <c r="C7133" s="491">
        <v>1882</v>
      </c>
      <c r="D7133" s="491">
        <v>566</v>
      </c>
      <c r="E7133" s="491">
        <v>22</v>
      </c>
      <c r="F7133" s="491">
        <v>57</v>
      </c>
      <c r="G7133" s="491">
        <f t="shared" si="111"/>
        <v>2527</v>
      </c>
    </row>
    <row r="7134" spans="1:7" ht="12.75">
      <c r="A7134" s="134" t="s">
        <v>172</v>
      </c>
      <c r="B7134" s="134">
        <v>300</v>
      </c>
      <c r="C7134" s="491">
        <v>1</v>
      </c>
      <c r="D7134" s="491">
        <v>3</v>
      </c>
      <c r="E7134" s="491">
        <v>0</v>
      </c>
      <c r="F7134" s="491">
        <v>0</v>
      </c>
      <c r="G7134" s="491">
        <f t="shared" si="111"/>
        <v>4</v>
      </c>
    </row>
    <row r="7135" spans="1:7" ht="12.75">
      <c r="A7135" s="134" t="s">
        <v>172</v>
      </c>
      <c r="B7135" s="134">
        <v>320</v>
      </c>
      <c r="C7135" s="491">
        <v>0</v>
      </c>
      <c r="D7135" s="491">
        <v>2</v>
      </c>
      <c r="E7135" s="491">
        <v>0</v>
      </c>
      <c r="F7135" s="491">
        <v>0</v>
      </c>
      <c r="G7135" s="491">
        <f t="shared" si="111"/>
        <v>2</v>
      </c>
    </row>
    <row r="7136" spans="1:7" ht="12.75">
      <c r="A7136" s="134" t="s">
        <v>172</v>
      </c>
      <c r="B7136" s="134">
        <v>501</v>
      </c>
      <c r="C7136" s="491">
        <v>1</v>
      </c>
      <c r="D7136" s="491">
        <v>0</v>
      </c>
      <c r="E7136" s="491">
        <v>0</v>
      </c>
      <c r="F7136" s="491">
        <v>0</v>
      </c>
      <c r="G7136" s="491">
        <f t="shared" si="111"/>
        <v>1</v>
      </c>
    </row>
    <row r="7137" spans="1:7" ht="12.75">
      <c r="A7137" s="134" t="s">
        <v>172</v>
      </c>
      <c r="B7137" s="134">
        <v>502</v>
      </c>
      <c r="C7137" s="491">
        <v>22</v>
      </c>
      <c r="D7137" s="491">
        <v>32</v>
      </c>
      <c r="E7137" s="491">
        <v>3</v>
      </c>
      <c r="F7137" s="491">
        <v>8</v>
      </c>
      <c r="G7137" s="491">
        <f t="shared" si="111"/>
        <v>65</v>
      </c>
    </row>
    <row r="7138" spans="1:7" ht="12.75">
      <c r="A7138" s="134" t="s">
        <v>172</v>
      </c>
      <c r="B7138" s="134">
        <v>503</v>
      </c>
      <c r="C7138" s="491">
        <v>1</v>
      </c>
      <c r="D7138" s="491">
        <v>3</v>
      </c>
      <c r="E7138" s="491">
        <v>0</v>
      </c>
      <c r="F7138" s="491">
        <v>0</v>
      </c>
      <c r="G7138" s="491">
        <f t="shared" si="111"/>
        <v>4</v>
      </c>
    </row>
    <row r="7139" spans="1:7" ht="12.75">
      <c r="A7139" s="134" t="s">
        <v>172</v>
      </c>
      <c r="B7139" s="134">
        <v>811</v>
      </c>
      <c r="C7139" s="491">
        <v>3</v>
      </c>
      <c r="D7139" s="491">
        <v>7</v>
      </c>
      <c r="E7139" s="491">
        <v>0</v>
      </c>
      <c r="F7139" s="491">
        <v>4</v>
      </c>
      <c r="G7139" s="491">
        <f t="shared" si="111"/>
        <v>14</v>
      </c>
    </row>
    <row r="7140" spans="1:7" ht="12.75">
      <c r="A7140" s="134" t="s">
        <v>172</v>
      </c>
      <c r="B7140" s="134">
        <v>812</v>
      </c>
      <c r="C7140" s="491">
        <v>743</v>
      </c>
      <c r="D7140" s="491">
        <v>0</v>
      </c>
      <c r="E7140" s="491">
        <v>0</v>
      </c>
      <c r="F7140" s="491">
        <v>0</v>
      </c>
      <c r="G7140" s="491">
        <f t="shared" si="111"/>
        <v>743</v>
      </c>
    </row>
    <row r="7141" spans="1:7" ht="12.75">
      <c r="A7141" s="134" t="s">
        <v>173</v>
      </c>
      <c r="B7141" s="134">
        <v>101</v>
      </c>
      <c r="C7141" s="491">
        <v>8</v>
      </c>
      <c r="D7141" s="491">
        <v>7</v>
      </c>
      <c r="E7141" s="491">
        <v>0</v>
      </c>
      <c r="F7141" s="491">
        <v>0</v>
      </c>
      <c r="G7141" s="491">
        <f t="shared" si="111"/>
        <v>15</v>
      </c>
    </row>
    <row r="7142" spans="1:7" ht="12.75">
      <c r="A7142" s="134" t="s">
        <v>173</v>
      </c>
      <c r="B7142" s="134">
        <v>171</v>
      </c>
      <c r="C7142" s="491">
        <v>2</v>
      </c>
      <c r="D7142" s="491">
        <v>0</v>
      </c>
      <c r="E7142" s="491">
        <v>0</v>
      </c>
      <c r="F7142" s="491">
        <v>0</v>
      </c>
      <c r="G7142" s="491">
        <f t="shared" si="111"/>
        <v>2</v>
      </c>
    </row>
    <row r="7143" spans="1:7" ht="12.75">
      <c r="A7143" s="134" t="s">
        <v>173</v>
      </c>
      <c r="B7143" s="134">
        <v>211</v>
      </c>
      <c r="C7143" s="491">
        <v>0</v>
      </c>
      <c r="D7143" s="491">
        <v>1</v>
      </c>
      <c r="E7143" s="491">
        <v>0</v>
      </c>
      <c r="F7143" s="491">
        <v>0</v>
      </c>
      <c r="G7143" s="491">
        <f t="shared" si="111"/>
        <v>1</v>
      </c>
    </row>
    <row r="7144" spans="1:7" ht="12.75">
      <c r="A7144" s="134" t="s">
        <v>173</v>
      </c>
      <c r="B7144" s="134">
        <v>410</v>
      </c>
      <c r="C7144" s="491">
        <v>0</v>
      </c>
      <c r="D7144" s="491">
        <v>1</v>
      </c>
      <c r="E7144" s="491">
        <v>0</v>
      </c>
      <c r="F7144" s="491">
        <v>0</v>
      </c>
      <c r="G7144" s="491">
        <f t="shared" si="111"/>
        <v>1</v>
      </c>
    </row>
    <row r="7145" spans="1:7" ht="12.75">
      <c r="A7145" s="134" t="s">
        <v>173</v>
      </c>
      <c r="B7145" s="134">
        <v>812</v>
      </c>
      <c r="C7145" s="491">
        <v>18</v>
      </c>
      <c r="D7145" s="491">
        <v>0</v>
      </c>
      <c r="E7145" s="491">
        <v>0</v>
      </c>
      <c r="F7145" s="491">
        <v>0</v>
      </c>
      <c r="G7145" s="491">
        <f t="shared" si="111"/>
        <v>18</v>
      </c>
    </row>
    <row r="7146" spans="1:7" ht="12.75">
      <c r="A7146" s="134" t="s">
        <v>174</v>
      </c>
      <c r="B7146" s="134">
        <v>100</v>
      </c>
      <c r="C7146" s="491">
        <v>1</v>
      </c>
      <c r="D7146" s="491">
        <v>0</v>
      </c>
      <c r="E7146" s="491">
        <v>0</v>
      </c>
      <c r="F7146" s="491">
        <v>0</v>
      </c>
      <c r="G7146" s="491">
        <f t="shared" si="111"/>
        <v>1</v>
      </c>
    </row>
    <row r="7147" spans="1:7" ht="12.75">
      <c r="A7147" s="134" t="s">
        <v>174</v>
      </c>
      <c r="B7147" s="134">
        <v>101</v>
      </c>
      <c r="C7147" s="491">
        <v>171</v>
      </c>
      <c r="D7147" s="491">
        <v>49</v>
      </c>
      <c r="E7147" s="491">
        <v>2</v>
      </c>
      <c r="F7147" s="491">
        <v>7</v>
      </c>
      <c r="G7147" s="491">
        <f t="shared" si="111"/>
        <v>229</v>
      </c>
    </row>
    <row r="7148" spans="1:7" ht="12.75">
      <c r="A7148" s="134" t="s">
        <v>174</v>
      </c>
      <c r="B7148" s="134">
        <v>103</v>
      </c>
      <c r="C7148" s="491">
        <v>0</v>
      </c>
      <c r="D7148" s="491">
        <v>0</v>
      </c>
      <c r="E7148" s="491">
        <v>0</v>
      </c>
      <c r="F7148" s="491">
        <v>1</v>
      </c>
      <c r="G7148" s="491">
        <f t="shared" si="111"/>
        <v>1</v>
      </c>
    </row>
    <row r="7149" spans="1:7" ht="12.75">
      <c r="A7149" s="134" t="s">
        <v>174</v>
      </c>
      <c r="B7149" s="134">
        <v>140</v>
      </c>
      <c r="C7149" s="491">
        <v>3</v>
      </c>
      <c r="D7149" s="491">
        <v>0</v>
      </c>
      <c r="E7149" s="491">
        <v>0</v>
      </c>
      <c r="F7149" s="491">
        <v>0</v>
      </c>
      <c r="G7149" s="491">
        <f t="shared" si="111"/>
        <v>3</v>
      </c>
    </row>
    <row r="7150" spans="1:7" ht="12.75">
      <c r="A7150" s="134" t="s">
        <v>174</v>
      </c>
      <c r="B7150" s="134">
        <v>160</v>
      </c>
      <c r="C7150" s="491">
        <v>0</v>
      </c>
      <c r="D7150" s="491">
        <v>0</v>
      </c>
      <c r="E7150" s="491">
        <v>1</v>
      </c>
      <c r="F7150" s="491">
        <v>0</v>
      </c>
      <c r="G7150" s="491">
        <f t="shared" si="111"/>
        <v>1</v>
      </c>
    </row>
    <row r="7151" spans="1:7" ht="12.75">
      <c r="A7151" s="134" t="s">
        <v>174</v>
      </c>
      <c r="B7151" s="134">
        <v>330</v>
      </c>
      <c r="C7151" s="491">
        <v>29</v>
      </c>
      <c r="D7151" s="491">
        <v>11</v>
      </c>
      <c r="E7151" s="491">
        <v>0</v>
      </c>
      <c r="F7151" s="491">
        <v>0</v>
      </c>
      <c r="G7151" s="491">
        <f t="shared" si="111"/>
        <v>40</v>
      </c>
    </row>
    <row r="7152" spans="1:7" ht="12.75">
      <c r="A7152" s="134" t="s">
        <v>174</v>
      </c>
      <c r="B7152" s="134">
        <v>340</v>
      </c>
      <c r="C7152" s="491">
        <v>0</v>
      </c>
      <c r="D7152" s="491">
        <v>1</v>
      </c>
      <c r="E7152" s="491">
        <v>0</v>
      </c>
      <c r="F7152" s="491">
        <v>0</v>
      </c>
      <c r="G7152" s="491">
        <f t="shared" si="111"/>
        <v>1</v>
      </c>
    </row>
    <row r="7153" spans="1:7" ht="12.75">
      <c r="A7153" s="134" t="s">
        <v>174</v>
      </c>
      <c r="B7153" s="134">
        <v>410</v>
      </c>
      <c r="C7153" s="491">
        <v>1</v>
      </c>
      <c r="D7153" s="491">
        <v>0</v>
      </c>
      <c r="E7153" s="491">
        <v>0</v>
      </c>
      <c r="F7153" s="491">
        <v>0</v>
      </c>
      <c r="G7153" s="491">
        <f t="shared" si="111"/>
        <v>1</v>
      </c>
    </row>
    <row r="7154" spans="1:7" ht="12.75">
      <c r="A7154" s="134" t="s">
        <v>174</v>
      </c>
      <c r="B7154" s="134">
        <v>502</v>
      </c>
      <c r="C7154" s="491">
        <v>0</v>
      </c>
      <c r="D7154" s="491">
        <v>3</v>
      </c>
      <c r="E7154" s="491">
        <v>0</v>
      </c>
      <c r="F7154" s="491">
        <v>0</v>
      </c>
      <c r="G7154" s="491">
        <f t="shared" si="111"/>
        <v>3</v>
      </c>
    </row>
    <row r="7155" spans="1:7" ht="12.75">
      <c r="A7155" s="134" t="s">
        <v>367</v>
      </c>
      <c r="B7155" s="134">
        <v>100</v>
      </c>
      <c r="C7155" s="491">
        <v>0</v>
      </c>
      <c r="D7155" s="491">
        <v>1</v>
      </c>
      <c r="E7155" s="491">
        <v>0</v>
      </c>
      <c r="F7155" s="491">
        <v>0</v>
      </c>
      <c r="G7155" s="491">
        <f t="shared" si="111"/>
        <v>1</v>
      </c>
    </row>
    <row r="7156" spans="1:7" ht="12.75">
      <c r="A7156" s="134" t="s">
        <v>367</v>
      </c>
      <c r="B7156" s="134">
        <v>101</v>
      </c>
      <c r="C7156" s="491">
        <v>6</v>
      </c>
      <c r="D7156" s="491">
        <v>0</v>
      </c>
      <c r="E7156" s="491">
        <v>0</v>
      </c>
      <c r="F7156" s="491">
        <v>0</v>
      </c>
      <c r="G7156" s="491">
        <f t="shared" si="111"/>
        <v>6</v>
      </c>
    </row>
    <row r="7157" spans="1:7" ht="12.75">
      <c r="A7157" s="134" t="s">
        <v>367</v>
      </c>
      <c r="B7157" s="134">
        <v>171</v>
      </c>
      <c r="C7157" s="491">
        <v>0</v>
      </c>
      <c r="D7157" s="491">
        <v>6</v>
      </c>
      <c r="E7157" s="491">
        <v>0</v>
      </c>
      <c r="F7157" s="491">
        <v>0</v>
      </c>
      <c r="G7157" s="491">
        <f t="shared" si="111"/>
        <v>6</v>
      </c>
    </row>
    <row r="7158" spans="1:7" ht="12.75">
      <c r="A7158" s="134" t="s">
        <v>367</v>
      </c>
      <c r="B7158" s="134">
        <v>211</v>
      </c>
      <c r="C7158" s="491">
        <v>0</v>
      </c>
      <c r="D7158" s="491">
        <v>2</v>
      </c>
      <c r="E7158" s="491">
        <v>0</v>
      </c>
      <c r="F7158" s="491">
        <v>0</v>
      </c>
      <c r="G7158" s="491">
        <f t="shared" si="111"/>
        <v>2</v>
      </c>
    </row>
    <row r="7159" spans="1:7" ht="12.75">
      <c r="A7159" s="134" t="s">
        <v>367</v>
      </c>
      <c r="B7159" s="134">
        <v>330</v>
      </c>
      <c r="C7159" s="491">
        <v>0</v>
      </c>
      <c r="D7159" s="491">
        <v>1</v>
      </c>
      <c r="E7159" s="491">
        <v>0</v>
      </c>
      <c r="F7159" s="491">
        <v>0</v>
      </c>
      <c r="G7159" s="491">
        <f t="shared" si="111"/>
        <v>1</v>
      </c>
    </row>
    <row r="7160" spans="1:7" ht="12.75">
      <c r="A7160" s="134" t="s">
        <v>351</v>
      </c>
      <c r="B7160" s="134">
        <v>171</v>
      </c>
      <c r="C7160" s="491">
        <v>0</v>
      </c>
      <c r="D7160" s="491">
        <v>1</v>
      </c>
      <c r="E7160" s="491">
        <v>0</v>
      </c>
      <c r="F7160" s="491">
        <v>0</v>
      </c>
      <c r="G7160" s="491">
        <f t="shared" si="111"/>
        <v>1</v>
      </c>
    </row>
    <row r="7161" spans="1:7" ht="12.75">
      <c r="A7161" s="134" t="s">
        <v>175</v>
      </c>
      <c r="B7161" s="134">
        <v>104</v>
      </c>
      <c r="C7161" s="491">
        <v>1</v>
      </c>
      <c r="D7161" s="491">
        <v>0</v>
      </c>
      <c r="E7161" s="491">
        <v>0</v>
      </c>
      <c r="F7161" s="491">
        <v>0</v>
      </c>
      <c r="G7161" s="491">
        <f t="shared" si="111"/>
        <v>1</v>
      </c>
    </row>
    <row r="7162" spans="1:7" ht="12.75">
      <c r="A7162" s="134" t="s">
        <v>175</v>
      </c>
      <c r="B7162" s="134">
        <v>110</v>
      </c>
      <c r="C7162" s="491">
        <v>2</v>
      </c>
      <c r="D7162" s="491">
        <v>0</v>
      </c>
      <c r="E7162" s="491">
        <v>0</v>
      </c>
      <c r="F7162" s="491">
        <v>0</v>
      </c>
      <c r="G7162" s="491">
        <f t="shared" si="111"/>
        <v>2</v>
      </c>
    </row>
    <row r="7163" spans="1:7" ht="12.75">
      <c r="A7163" s="134" t="s">
        <v>175</v>
      </c>
      <c r="B7163" s="134">
        <v>300</v>
      </c>
      <c r="C7163" s="491">
        <v>4</v>
      </c>
      <c r="D7163" s="491">
        <v>0</v>
      </c>
      <c r="E7163" s="491">
        <v>0</v>
      </c>
      <c r="F7163" s="491">
        <v>0</v>
      </c>
      <c r="G7163" s="491">
        <f t="shared" si="111"/>
        <v>4</v>
      </c>
    </row>
    <row r="7164" spans="1:7" ht="12.75">
      <c r="A7164" s="134" t="s">
        <v>175</v>
      </c>
      <c r="B7164" s="134">
        <v>410</v>
      </c>
      <c r="C7164" s="491">
        <v>1</v>
      </c>
      <c r="D7164" s="491">
        <v>1</v>
      </c>
      <c r="E7164" s="491">
        <v>0</v>
      </c>
      <c r="F7164" s="491">
        <v>0</v>
      </c>
      <c r="G7164" s="491">
        <f t="shared" si="111"/>
        <v>2</v>
      </c>
    </row>
    <row r="7165" spans="1:7" ht="12.75">
      <c r="A7165" s="134" t="s">
        <v>175</v>
      </c>
      <c r="B7165" s="134">
        <v>502</v>
      </c>
      <c r="C7165" s="491">
        <v>0</v>
      </c>
      <c r="D7165" s="491">
        <v>0</v>
      </c>
      <c r="E7165" s="491">
        <v>1</v>
      </c>
      <c r="F7165" s="491">
        <v>0</v>
      </c>
      <c r="G7165" s="491">
        <f t="shared" si="111"/>
        <v>1</v>
      </c>
    </row>
    <row r="7166" spans="1:7" ht="12.75">
      <c r="A7166" s="134" t="s">
        <v>175</v>
      </c>
      <c r="B7166" s="134">
        <v>503</v>
      </c>
      <c r="C7166" s="491">
        <v>0</v>
      </c>
      <c r="D7166" s="491">
        <v>1</v>
      </c>
      <c r="E7166" s="491">
        <v>0</v>
      </c>
      <c r="F7166" s="491">
        <v>0</v>
      </c>
      <c r="G7166" s="491">
        <f t="shared" si="111"/>
        <v>1</v>
      </c>
    </row>
    <row r="7167" spans="1:7" ht="12.75">
      <c r="A7167" s="134" t="s">
        <v>922</v>
      </c>
      <c r="B7167" s="134">
        <v>101</v>
      </c>
      <c r="C7167" s="491">
        <v>4</v>
      </c>
      <c r="D7167" s="491">
        <v>1</v>
      </c>
      <c r="E7167" s="491">
        <v>0</v>
      </c>
      <c r="F7167" s="491">
        <v>0</v>
      </c>
      <c r="G7167" s="491">
        <f t="shared" si="111"/>
        <v>5</v>
      </c>
    </row>
    <row r="7168" spans="1:7" ht="12.75">
      <c r="A7168" s="134" t="s">
        <v>922</v>
      </c>
      <c r="B7168" s="134">
        <v>110</v>
      </c>
      <c r="C7168" s="491">
        <v>1</v>
      </c>
      <c r="D7168" s="491">
        <v>0</v>
      </c>
      <c r="E7168" s="491">
        <v>0</v>
      </c>
      <c r="F7168" s="491">
        <v>0</v>
      </c>
      <c r="G7168" s="491">
        <f t="shared" si="111"/>
        <v>1</v>
      </c>
    </row>
    <row r="7169" spans="1:7" ht="12.75">
      <c r="A7169" s="134" t="s">
        <v>922</v>
      </c>
      <c r="B7169" s="134">
        <v>301</v>
      </c>
      <c r="C7169" s="491">
        <v>1</v>
      </c>
      <c r="D7169" s="491">
        <v>0</v>
      </c>
      <c r="E7169" s="491">
        <v>0</v>
      </c>
      <c r="F7169" s="491">
        <v>0</v>
      </c>
      <c r="G7169" s="491">
        <f t="shared" si="111"/>
        <v>1</v>
      </c>
    </row>
    <row r="7170" spans="1:7" ht="12.75">
      <c r="A7170" s="134" t="s">
        <v>922</v>
      </c>
      <c r="B7170" s="134">
        <v>812</v>
      </c>
      <c r="C7170" s="491">
        <v>11</v>
      </c>
      <c r="D7170" s="491">
        <v>5</v>
      </c>
      <c r="E7170" s="491">
        <v>0</v>
      </c>
      <c r="F7170" s="491">
        <v>0</v>
      </c>
      <c r="G7170" s="491">
        <f t="shared" si="111"/>
        <v>16</v>
      </c>
    </row>
    <row r="7171" spans="1:7" ht="12.75">
      <c r="A7171" s="134" t="s">
        <v>923</v>
      </c>
      <c r="B7171" s="134">
        <v>100</v>
      </c>
      <c r="C7171" s="491">
        <v>1</v>
      </c>
      <c r="D7171" s="491">
        <v>0</v>
      </c>
      <c r="E7171" s="491">
        <v>0</v>
      </c>
      <c r="F7171" s="491">
        <v>0</v>
      </c>
      <c r="G7171" s="491">
        <f t="shared" si="111"/>
        <v>1</v>
      </c>
    </row>
    <row r="7172" spans="1:7" ht="12.75">
      <c r="A7172" s="134" t="s">
        <v>923</v>
      </c>
      <c r="B7172" s="134">
        <v>101</v>
      </c>
      <c r="C7172" s="491">
        <v>48</v>
      </c>
      <c r="D7172" s="491">
        <v>12</v>
      </c>
      <c r="E7172" s="491">
        <v>6</v>
      </c>
      <c r="F7172" s="491">
        <v>0</v>
      </c>
      <c r="G7172" s="491">
        <f t="shared" ref="G7172:G7235" si="112">SUM(C7172:F7172)</f>
        <v>66</v>
      </c>
    </row>
    <row r="7173" spans="1:7" ht="12.75">
      <c r="A7173" s="134" t="s">
        <v>923</v>
      </c>
      <c r="B7173" s="134">
        <v>104</v>
      </c>
      <c r="C7173" s="491">
        <v>1</v>
      </c>
      <c r="D7173" s="491">
        <v>0</v>
      </c>
      <c r="E7173" s="491">
        <v>0</v>
      </c>
      <c r="F7173" s="491">
        <v>0</v>
      </c>
      <c r="G7173" s="491">
        <f t="shared" si="112"/>
        <v>1</v>
      </c>
    </row>
    <row r="7174" spans="1:7" ht="12.75">
      <c r="A7174" s="134" t="s">
        <v>923</v>
      </c>
      <c r="B7174" s="134">
        <v>110</v>
      </c>
      <c r="C7174" s="491">
        <v>9</v>
      </c>
      <c r="D7174" s="491">
        <v>6</v>
      </c>
      <c r="E7174" s="491">
        <v>0</v>
      </c>
      <c r="F7174" s="491">
        <v>0</v>
      </c>
      <c r="G7174" s="491">
        <f t="shared" si="112"/>
        <v>15</v>
      </c>
    </row>
    <row r="7175" spans="1:7" ht="12.75">
      <c r="A7175" s="134" t="s">
        <v>923</v>
      </c>
      <c r="B7175" s="134">
        <v>120</v>
      </c>
      <c r="C7175" s="491">
        <v>0</v>
      </c>
      <c r="D7175" s="491">
        <v>1</v>
      </c>
      <c r="E7175" s="491">
        <v>0</v>
      </c>
      <c r="F7175" s="491">
        <v>0</v>
      </c>
      <c r="G7175" s="491">
        <f t="shared" si="112"/>
        <v>1</v>
      </c>
    </row>
    <row r="7176" spans="1:7" ht="12.75">
      <c r="A7176" s="134" t="s">
        <v>923</v>
      </c>
      <c r="B7176" s="134">
        <v>130</v>
      </c>
      <c r="C7176" s="491">
        <v>2</v>
      </c>
      <c r="D7176" s="491">
        <v>0</v>
      </c>
      <c r="E7176" s="491">
        <v>0</v>
      </c>
      <c r="F7176" s="491">
        <v>0</v>
      </c>
      <c r="G7176" s="491">
        <f t="shared" si="112"/>
        <v>2</v>
      </c>
    </row>
    <row r="7177" spans="1:7" ht="12.75">
      <c r="A7177" s="134" t="s">
        <v>923</v>
      </c>
      <c r="B7177" s="134">
        <v>140</v>
      </c>
      <c r="C7177" s="491">
        <v>2</v>
      </c>
      <c r="D7177" s="491">
        <v>5</v>
      </c>
      <c r="E7177" s="491">
        <v>0</v>
      </c>
      <c r="F7177" s="491">
        <v>0</v>
      </c>
      <c r="G7177" s="491">
        <f t="shared" si="112"/>
        <v>7</v>
      </c>
    </row>
    <row r="7178" spans="1:7" ht="12.75">
      <c r="A7178" s="134" t="s">
        <v>923</v>
      </c>
      <c r="B7178" s="134">
        <v>141</v>
      </c>
      <c r="C7178" s="491">
        <v>0</v>
      </c>
      <c r="D7178" s="491">
        <v>9</v>
      </c>
      <c r="E7178" s="491">
        <v>0</v>
      </c>
      <c r="F7178" s="491">
        <v>0</v>
      </c>
      <c r="G7178" s="491">
        <f t="shared" si="112"/>
        <v>9</v>
      </c>
    </row>
    <row r="7179" spans="1:7" ht="12.75">
      <c r="A7179" s="134" t="s">
        <v>923</v>
      </c>
      <c r="B7179" s="134">
        <v>191</v>
      </c>
      <c r="C7179" s="491">
        <v>1</v>
      </c>
      <c r="D7179" s="491">
        <v>0</v>
      </c>
      <c r="E7179" s="491">
        <v>0</v>
      </c>
      <c r="F7179" s="491">
        <v>0</v>
      </c>
      <c r="G7179" s="491">
        <f t="shared" si="112"/>
        <v>1</v>
      </c>
    </row>
    <row r="7180" spans="1:7" ht="12.75">
      <c r="A7180" s="134" t="s">
        <v>923</v>
      </c>
      <c r="B7180" s="134">
        <v>214</v>
      </c>
      <c r="C7180" s="491">
        <v>1</v>
      </c>
      <c r="D7180" s="491">
        <v>0</v>
      </c>
      <c r="E7180" s="491">
        <v>0</v>
      </c>
      <c r="F7180" s="491">
        <v>0</v>
      </c>
      <c r="G7180" s="491">
        <f t="shared" si="112"/>
        <v>1</v>
      </c>
    </row>
    <row r="7181" spans="1:7" ht="12.75">
      <c r="A7181" s="134" t="s">
        <v>923</v>
      </c>
      <c r="B7181" s="134">
        <v>300</v>
      </c>
      <c r="C7181" s="491">
        <v>2</v>
      </c>
      <c r="D7181" s="491">
        <v>0</v>
      </c>
      <c r="E7181" s="491">
        <v>0</v>
      </c>
      <c r="F7181" s="491">
        <v>0</v>
      </c>
      <c r="G7181" s="491">
        <f t="shared" si="112"/>
        <v>2</v>
      </c>
    </row>
    <row r="7182" spans="1:7" ht="12.75">
      <c r="A7182" s="134" t="s">
        <v>923</v>
      </c>
      <c r="B7182" s="134">
        <v>303</v>
      </c>
      <c r="C7182" s="491">
        <v>3</v>
      </c>
      <c r="D7182" s="491">
        <v>0</v>
      </c>
      <c r="E7182" s="491">
        <v>0</v>
      </c>
      <c r="F7182" s="491">
        <v>0</v>
      </c>
      <c r="G7182" s="491">
        <f t="shared" si="112"/>
        <v>3</v>
      </c>
    </row>
    <row r="7183" spans="1:7" ht="12.75">
      <c r="A7183" s="134" t="s">
        <v>923</v>
      </c>
      <c r="B7183" s="134">
        <v>320</v>
      </c>
      <c r="C7183" s="491">
        <v>0</v>
      </c>
      <c r="D7183" s="491">
        <v>1</v>
      </c>
      <c r="E7183" s="491">
        <v>0</v>
      </c>
      <c r="F7183" s="491">
        <v>0</v>
      </c>
      <c r="G7183" s="491">
        <f t="shared" si="112"/>
        <v>1</v>
      </c>
    </row>
    <row r="7184" spans="1:7" ht="12.75">
      <c r="A7184" s="134" t="s">
        <v>923</v>
      </c>
      <c r="B7184" s="134">
        <v>323</v>
      </c>
      <c r="C7184" s="491">
        <v>1</v>
      </c>
      <c r="D7184" s="491">
        <v>0</v>
      </c>
      <c r="E7184" s="491">
        <v>0</v>
      </c>
      <c r="F7184" s="491">
        <v>0</v>
      </c>
      <c r="G7184" s="491">
        <f t="shared" si="112"/>
        <v>1</v>
      </c>
    </row>
    <row r="7185" spans="1:7" ht="12.75">
      <c r="A7185" s="134" t="s">
        <v>923</v>
      </c>
      <c r="B7185" s="134">
        <v>330</v>
      </c>
      <c r="C7185" s="491">
        <v>0</v>
      </c>
      <c r="D7185" s="491">
        <v>1</v>
      </c>
      <c r="E7185" s="491">
        <v>0</v>
      </c>
      <c r="F7185" s="491">
        <v>0</v>
      </c>
      <c r="G7185" s="491">
        <f t="shared" si="112"/>
        <v>1</v>
      </c>
    </row>
    <row r="7186" spans="1:7" ht="12.75">
      <c r="A7186" s="134" t="s">
        <v>923</v>
      </c>
      <c r="B7186" s="134">
        <v>361</v>
      </c>
      <c r="C7186" s="491">
        <v>4</v>
      </c>
      <c r="D7186" s="491">
        <v>2</v>
      </c>
      <c r="E7186" s="491">
        <v>0</v>
      </c>
      <c r="F7186" s="491">
        <v>0</v>
      </c>
      <c r="G7186" s="491">
        <f t="shared" si="112"/>
        <v>6</v>
      </c>
    </row>
    <row r="7187" spans="1:7" ht="12.75">
      <c r="A7187" s="134" t="s">
        <v>923</v>
      </c>
      <c r="B7187" s="134">
        <v>370</v>
      </c>
      <c r="C7187" s="491">
        <v>19</v>
      </c>
      <c r="D7187" s="491">
        <v>1</v>
      </c>
      <c r="E7187" s="491">
        <v>0</v>
      </c>
      <c r="F7187" s="491">
        <v>0</v>
      </c>
      <c r="G7187" s="491">
        <f t="shared" si="112"/>
        <v>20</v>
      </c>
    </row>
    <row r="7188" spans="1:7" ht="12.75">
      <c r="A7188" s="134" t="s">
        <v>923</v>
      </c>
      <c r="B7188" s="134">
        <v>410</v>
      </c>
      <c r="C7188" s="491">
        <v>177</v>
      </c>
      <c r="D7188" s="491">
        <v>28</v>
      </c>
      <c r="E7188" s="491">
        <v>0</v>
      </c>
      <c r="F7188" s="491">
        <v>0</v>
      </c>
      <c r="G7188" s="491">
        <f t="shared" si="112"/>
        <v>205</v>
      </c>
    </row>
    <row r="7189" spans="1:7" ht="12.75">
      <c r="A7189" s="134" t="s">
        <v>923</v>
      </c>
      <c r="B7189" s="134">
        <v>501</v>
      </c>
      <c r="C7189" s="491">
        <v>1</v>
      </c>
      <c r="D7189" s="491">
        <v>0</v>
      </c>
      <c r="E7189" s="491">
        <v>0</v>
      </c>
      <c r="F7189" s="491">
        <v>0</v>
      </c>
      <c r="G7189" s="491">
        <f t="shared" si="112"/>
        <v>1</v>
      </c>
    </row>
    <row r="7190" spans="1:7" ht="12.75">
      <c r="A7190" s="134" t="s">
        <v>923</v>
      </c>
      <c r="B7190" s="134">
        <v>502</v>
      </c>
      <c r="C7190" s="491">
        <v>3</v>
      </c>
      <c r="D7190" s="491">
        <v>1</v>
      </c>
      <c r="E7190" s="491">
        <v>0</v>
      </c>
      <c r="F7190" s="491">
        <v>0</v>
      </c>
      <c r="G7190" s="491">
        <f t="shared" si="112"/>
        <v>4</v>
      </c>
    </row>
    <row r="7191" spans="1:7" ht="12.75">
      <c r="A7191" s="134" t="s">
        <v>923</v>
      </c>
      <c r="B7191" s="134">
        <v>503</v>
      </c>
      <c r="C7191" s="491">
        <v>1</v>
      </c>
      <c r="D7191" s="491">
        <v>0</v>
      </c>
      <c r="E7191" s="491">
        <v>0</v>
      </c>
      <c r="F7191" s="491">
        <v>0</v>
      </c>
      <c r="G7191" s="491">
        <f t="shared" si="112"/>
        <v>1</v>
      </c>
    </row>
    <row r="7192" spans="1:7" ht="12.75">
      <c r="A7192" s="134" t="s">
        <v>923</v>
      </c>
      <c r="B7192" s="134">
        <v>800</v>
      </c>
      <c r="C7192" s="491">
        <v>7</v>
      </c>
      <c r="D7192" s="491">
        <v>0</v>
      </c>
      <c r="E7192" s="491">
        <v>0</v>
      </c>
      <c r="F7192" s="491">
        <v>0</v>
      </c>
      <c r="G7192" s="491">
        <f t="shared" si="112"/>
        <v>7</v>
      </c>
    </row>
    <row r="7193" spans="1:7" ht="12.75">
      <c r="A7193" s="134" t="s">
        <v>923</v>
      </c>
      <c r="B7193" s="134">
        <v>811</v>
      </c>
      <c r="C7193" s="491">
        <v>1</v>
      </c>
      <c r="D7193" s="491">
        <v>6</v>
      </c>
      <c r="E7193" s="491">
        <v>0</v>
      </c>
      <c r="F7193" s="491">
        <v>3</v>
      </c>
      <c r="G7193" s="491">
        <f t="shared" si="112"/>
        <v>10</v>
      </c>
    </row>
    <row r="7194" spans="1:7" ht="12.75">
      <c r="A7194" s="134" t="s">
        <v>923</v>
      </c>
      <c r="B7194" s="134">
        <v>812</v>
      </c>
      <c r="C7194" s="491">
        <v>75</v>
      </c>
      <c r="D7194" s="491">
        <v>58</v>
      </c>
      <c r="E7194" s="491">
        <v>0</v>
      </c>
      <c r="F7194" s="491">
        <v>0</v>
      </c>
      <c r="G7194" s="491">
        <f t="shared" si="112"/>
        <v>133</v>
      </c>
    </row>
    <row r="7195" spans="1:7" ht="12.75">
      <c r="A7195" s="134" t="s">
        <v>924</v>
      </c>
      <c r="B7195" s="134">
        <v>361</v>
      </c>
      <c r="C7195" s="491">
        <v>1</v>
      </c>
      <c r="D7195" s="491">
        <v>0</v>
      </c>
      <c r="E7195" s="491">
        <v>0</v>
      </c>
      <c r="F7195" s="491">
        <v>0</v>
      </c>
      <c r="G7195" s="491">
        <f t="shared" si="112"/>
        <v>1</v>
      </c>
    </row>
    <row r="7196" spans="1:7" ht="12.75">
      <c r="A7196" s="134" t="s">
        <v>925</v>
      </c>
      <c r="B7196" s="134">
        <v>110</v>
      </c>
      <c r="C7196" s="491">
        <v>1</v>
      </c>
      <c r="D7196" s="491">
        <v>0</v>
      </c>
      <c r="E7196" s="491">
        <v>0</v>
      </c>
      <c r="F7196" s="491">
        <v>0</v>
      </c>
      <c r="G7196" s="491">
        <f t="shared" si="112"/>
        <v>1</v>
      </c>
    </row>
    <row r="7197" spans="1:7" ht="12.75">
      <c r="A7197" s="134" t="s">
        <v>925</v>
      </c>
      <c r="B7197" s="134">
        <v>211</v>
      </c>
      <c r="C7197" s="491">
        <v>1</v>
      </c>
      <c r="D7197" s="491">
        <v>0</v>
      </c>
      <c r="E7197" s="491">
        <v>0</v>
      </c>
      <c r="F7197" s="491">
        <v>0</v>
      </c>
      <c r="G7197" s="491">
        <f t="shared" si="112"/>
        <v>1</v>
      </c>
    </row>
    <row r="7198" spans="1:7" ht="12.75">
      <c r="A7198" s="134" t="s">
        <v>925</v>
      </c>
      <c r="B7198" s="134">
        <v>219</v>
      </c>
      <c r="C7198" s="491">
        <v>8</v>
      </c>
      <c r="D7198" s="491">
        <v>7</v>
      </c>
      <c r="E7198" s="491">
        <v>0</v>
      </c>
      <c r="F7198" s="491">
        <v>0</v>
      </c>
      <c r="G7198" s="491">
        <f t="shared" si="112"/>
        <v>15</v>
      </c>
    </row>
    <row r="7199" spans="1:7" ht="12.75">
      <c r="A7199" s="134" t="s">
        <v>925</v>
      </c>
      <c r="B7199" s="134">
        <v>262</v>
      </c>
      <c r="C7199" s="491">
        <v>8</v>
      </c>
      <c r="D7199" s="491">
        <v>0</v>
      </c>
      <c r="E7199" s="491">
        <v>4</v>
      </c>
      <c r="F7199" s="491">
        <v>0</v>
      </c>
      <c r="G7199" s="491">
        <f t="shared" si="112"/>
        <v>12</v>
      </c>
    </row>
    <row r="7200" spans="1:7" ht="12.75">
      <c r="A7200" s="134" t="s">
        <v>925</v>
      </c>
      <c r="B7200" s="134">
        <v>410</v>
      </c>
      <c r="C7200" s="491">
        <v>1</v>
      </c>
      <c r="D7200" s="491">
        <v>1</v>
      </c>
      <c r="E7200" s="491">
        <v>0</v>
      </c>
      <c r="F7200" s="491">
        <v>0</v>
      </c>
      <c r="G7200" s="491">
        <f t="shared" si="112"/>
        <v>2</v>
      </c>
    </row>
    <row r="7201" spans="1:7" ht="12.75">
      <c r="A7201" s="134" t="s">
        <v>925</v>
      </c>
      <c r="B7201" s="134">
        <v>420</v>
      </c>
      <c r="C7201" s="491">
        <v>1</v>
      </c>
      <c r="D7201" s="491">
        <v>0</v>
      </c>
      <c r="E7201" s="491">
        <v>0</v>
      </c>
      <c r="F7201" s="491">
        <v>0</v>
      </c>
      <c r="G7201" s="491">
        <f t="shared" si="112"/>
        <v>1</v>
      </c>
    </row>
    <row r="7202" spans="1:7" ht="12.75">
      <c r="A7202" s="134" t="s">
        <v>926</v>
      </c>
      <c r="B7202" s="134">
        <v>101</v>
      </c>
      <c r="C7202" s="491">
        <v>2</v>
      </c>
      <c r="D7202" s="491">
        <v>1</v>
      </c>
      <c r="E7202" s="491">
        <v>1</v>
      </c>
      <c r="F7202" s="491">
        <v>0</v>
      </c>
      <c r="G7202" s="491">
        <f t="shared" si="112"/>
        <v>4</v>
      </c>
    </row>
    <row r="7203" spans="1:7" ht="12.75">
      <c r="A7203" s="134" t="s">
        <v>926</v>
      </c>
      <c r="B7203" s="134">
        <v>812</v>
      </c>
      <c r="C7203" s="491">
        <v>1</v>
      </c>
      <c r="D7203" s="491">
        <v>3</v>
      </c>
      <c r="E7203" s="491">
        <v>0</v>
      </c>
      <c r="F7203" s="491">
        <v>0</v>
      </c>
      <c r="G7203" s="491">
        <f t="shared" si="112"/>
        <v>4</v>
      </c>
    </row>
    <row r="7204" spans="1:7" ht="12.75">
      <c r="A7204" s="134" t="s">
        <v>927</v>
      </c>
      <c r="B7204" s="134">
        <v>100</v>
      </c>
      <c r="C7204" s="491">
        <v>5</v>
      </c>
      <c r="D7204" s="491">
        <v>7</v>
      </c>
      <c r="E7204" s="491">
        <v>0</v>
      </c>
      <c r="F7204" s="491">
        <v>0</v>
      </c>
      <c r="G7204" s="491">
        <f t="shared" si="112"/>
        <v>12</v>
      </c>
    </row>
    <row r="7205" spans="1:7" ht="12.75">
      <c r="A7205" s="134" t="s">
        <v>927</v>
      </c>
      <c r="B7205" s="134">
        <v>101</v>
      </c>
      <c r="C7205" s="491">
        <v>73</v>
      </c>
      <c r="D7205" s="491">
        <v>17</v>
      </c>
      <c r="E7205" s="491">
        <v>0</v>
      </c>
      <c r="F7205" s="491">
        <v>0</v>
      </c>
      <c r="G7205" s="491">
        <f t="shared" si="112"/>
        <v>90</v>
      </c>
    </row>
    <row r="7206" spans="1:7" ht="12.75">
      <c r="A7206" s="134" t="s">
        <v>927</v>
      </c>
      <c r="B7206" s="134">
        <v>130</v>
      </c>
      <c r="C7206" s="491">
        <v>0</v>
      </c>
      <c r="D7206" s="491">
        <v>1</v>
      </c>
      <c r="E7206" s="491">
        <v>0</v>
      </c>
      <c r="F7206" s="491">
        <v>0</v>
      </c>
      <c r="G7206" s="491">
        <f t="shared" si="112"/>
        <v>1</v>
      </c>
    </row>
    <row r="7207" spans="1:7" ht="12.75">
      <c r="A7207" s="134" t="s">
        <v>927</v>
      </c>
      <c r="B7207" s="134">
        <v>140</v>
      </c>
      <c r="C7207" s="491">
        <v>1</v>
      </c>
      <c r="D7207" s="491">
        <v>0</v>
      </c>
      <c r="E7207" s="491">
        <v>0</v>
      </c>
      <c r="F7207" s="491">
        <v>0</v>
      </c>
      <c r="G7207" s="491">
        <f t="shared" si="112"/>
        <v>1</v>
      </c>
    </row>
    <row r="7208" spans="1:7" ht="12.75">
      <c r="A7208" s="134" t="s">
        <v>927</v>
      </c>
      <c r="B7208" s="134">
        <v>370</v>
      </c>
      <c r="C7208" s="491">
        <v>4</v>
      </c>
      <c r="D7208" s="491">
        <v>0</v>
      </c>
      <c r="E7208" s="491">
        <v>0</v>
      </c>
      <c r="F7208" s="491">
        <v>0</v>
      </c>
      <c r="G7208" s="491">
        <f t="shared" si="112"/>
        <v>4</v>
      </c>
    </row>
    <row r="7209" spans="1:7" ht="12.75">
      <c r="A7209" s="134" t="s">
        <v>927</v>
      </c>
      <c r="B7209" s="134">
        <v>410</v>
      </c>
      <c r="C7209" s="491">
        <v>14</v>
      </c>
      <c r="D7209" s="491">
        <v>9</v>
      </c>
      <c r="E7209" s="491">
        <v>0</v>
      </c>
      <c r="F7209" s="491">
        <v>0</v>
      </c>
      <c r="G7209" s="491">
        <f t="shared" si="112"/>
        <v>23</v>
      </c>
    </row>
    <row r="7210" spans="1:7" ht="12.75">
      <c r="A7210" s="134" t="s">
        <v>927</v>
      </c>
      <c r="B7210" s="134">
        <v>502</v>
      </c>
      <c r="C7210" s="491">
        <v>10</v>
      </c>
      <c r="D7210" s="491">
        <v>0</v>
      </c>
      <c r="E7210" s="491">
        <v>0</v>
      </c>
      <c r="F7210" s="491">
        <v>0</v>
      </c>
      <c r="G7210" s="491">
        <f t="shared" si="112"/>
        <v>10</v>
      </c>
    </row>
    <row r="7211" spans="1:7" ht="12.75">
      <c r="A7211" s="134" t="s">
        <v>927</v>
      </c>
      <c r="B7211" s="134">
        <v>800</v>
      </c>
      <c r="C7211" s="491">
        <v>2</v>
      </c>
      <c r="D7211" s="491">
        <v>0</v>
      </c>
      <c r="E7211" s="491">
        <v>0</v>
      </c>
      <c r="F7211" s="491">
        <v>0</v>
      </c>
      <c r="G7211" s="491">
        <f t="shared" si="112"/>
        <v>2</v>
      </c>
    </row>
    <row r="7212" spans="1:7" ht="12.75">
      <c r="A7212" s="134" t="s">
        <v>927</v>
      </c>
      <c r="B7212" s="134">
        <v>811</v>
      </c>
      <c r="C7212" s="491">
        <v>2</v>
      </c>
      <c r="D7212" s="491">
        <v>2</v>
      </c>
      <c r="E7212" s="491">
        <v>0</v>
      </c>
      <c r="F7212" s="491">
        <v>0</v>
      </c>
      <c r="G7212" s="491">
        <f t="shared" si="112"/>
        <v>4</v>
      </c>
    </row>
    <row r="7213" spans="1:7" ht="12.75">
      <c r="A7213" s="134" t="s">
        <v>927</v>
      </c>
      <c r="B7213" s="134">
        <v>812</v>
      </c>
      <c r="C7213" s="491">
        <v>52</v>
      </c>
      <c r="D7213" s="491">
        <v>21</v>
      </c>
      <c r="E7213" s="491">
        <v>0</v>
      </c>
      <c r="F7213" s="491">
        <v>1</v>
      </c>
      <c r="G7213" s="491">
        <f t="shared" si="112"/>
        <v>74</v>
      </c>
    </row>
    <row r="7214" spans="1:7" ht="12.75">
      <c r="A7214" s="134" t="s">
        <v>928</v>
      </c>
      <c r="B7214" s="134">
        <v>259</v>
      </c>
      <c r="C7214" s="491">
        <v>1</v>
      </c>
      <c r="D7214" s="491">
        <v>0</v>
      </c>
      <c r="E7214" s="491">
        <v>0</v>
      </c>
      <c r="F7214" s="491">
        <v>0</v>
      </c>
      <c r="G7214" s="491">
        <f t="shared" si="112"/>
        <v>1</v>
      </c>
    </row>
    <row r="7215" spans="1:7" ht="12.75">
      <c r="A7215" s="134" t="s">
        <v>929</v>
      </c>
      <c r="B7215" s="134">
        <v>110</v>
      </c>
      <c r="C7215" s="491">
        <v>1</v>
      </c>
      <c r="D7215" s="491">
        <v>0</v>
      </c>
      <c r="E7215" s="491">
        <v>0</v>
      </c>
      <c r="F7215" s="491">
        <v>0</v>
      </c>
      <c r="G7215" s="491">
        <f t="shared" si="112"/>
        <v>1</v>
      </c>
    </row>
    <row r="7216" spans="1:7" ht="12.75">
      <c r="A7216" s="134" t="s">
        <v>929</v>
      </c>
      <c r="B7216" s="134">
        <v>143</v>
      </c>
      <c r="C7216" s="491">
        <v>2</v>
      </c>
      <c r="D7216" s="491">
        <v>0</v>
      </c>
      <c r="E7216" s="491">
        <v>0</v>
      </c>
      <c r="F7216" s="491">
        <v>0</v>
      </c>
      <c r="G7216" s="491">
        <f t="shared" si="112"/>
        <v>2</v>
      </c>
    </row>
    <row r="7217" spans="1:7" ht="12.75">
      <c r="A7217" s="134" t="s">
        <v>929</v>
      </c>
      <c r="B7217" s="134">
        <v>361</v>
      </c>
      <c r="C7217" s="491">
        <v>1</v>
      </c>
      <c r="D7217" s="491">
        <v>0</v>
      </c>
      <c r="E7217" s="491">
        <v>0</v>
      </c>
      <c r="F7217" s="491">
        <v>0</v>
      </c>
      <c r="G7217" s="491">
        <f t="shared" si="112"/>
        <v>1</v>
      </c>
    </row>
    <row r="7218" spans="1:7" ht="12.75">
      <c r="A7218" s="134" t="s">
        <v>929</v>
      </c>
      <c r="B7218" s="134">
        <v>410</v>
      </c>
      <c r="C7218" s="491">
        <v>9</v>
      </c>
      <c r="D7218" s="491">
        <v>1</v>
      </c>
      <c r="E7218" s="491">
        <v>0</v>
      </c>
      <c r="F7218" s="491">
        <v>0</v>
      </c>
      <c r="G7218" s="491">
        <f t="shared" si="112"/>
        <v>10</v>
      </c>
    </row>
    <row r="7219" spans="1:7" ht="12.75">
      <c r="A7219" s="134" t="s">
        <v>1103</v>
      </c>
      <c r="B7219" s="134">
        <v>101</v>
      </c>
      <c r="C7219" s="491">
        <v>22</v>
      </c>
      <c r="D7219" s="491">
        <v>0</v>
      </c>
      <c r="E7219" s="491">
        <v>0</v>
      </c>
      <c r="F7219" s="491">
        <v>0</v>
      </c>
      <c r="G7219" s="491">
        <f t="shared" si="112"/>
        <v>22</v>
      </c>
    </row>
    <row r="7220" spans="1:7" ht="12.75">
      <c r="A7220" s="134" t="s">
        <v>1103</v>
      </c>
      <c r="B7220" s="134">
        <v>120</v>
      </c>
      <c r="C7220" s="491">
        <v>1</v>
      </c>
      <c r="D7220" s="491">
        <v>0</v>
      </c>
      <c r="E7220" s="491">
        <v>0</v>
      </c>
      <c r="F7220" s="491">
        <v>0</v>
      </c>
      <c r="G7220" s="491">
        <f t="shared" si="112"/>
        <v>1</v>
      </c>
    </row>
    <row r="7221" spans="1:7" ht="12.75">
      <c r="A7221" s="134" t="s">
        <v>1103</v>
      </c>
      <c r="B7221" s="134">
        <v>501</v>
      </c>
      <c r="C7221" s="491">
        <v>2</v>
      </c>
      <c r="D7221" s="491">
        <v>0</v>
      </c>
      <c r="E7221" s="491">
        <v>0</v>
      </c>
      <c r="F7221" s="491">
        <v>0</v>
      </c>
      <c r="G7221" s="491">
        <f t="shared" si="112"/>
        <v>2</v>
      </c>
    </row>
    <row r="7222" spans="1:7" ht="12.75">
      <c r="A7222" s="134" t="s">
        <v>1103</v>
      </c>
      <c r="B7222" s="134">
        <v>840</v>
      </c>
      <c r="C7222" s="491">
        <v>1</v>
      </c>
      <c r="D7222" s="491">
        <v>0</v>
      </c>
      <c r="E7222" s="491">
        <v>0</v>
      </c>
      <c r="F7222" s="491">
        <v>0</v>
      </c>
      <c r="G7222" s="491">
        <f t="shared" si="112"/>
        <v>1</v>
      </c>
    </row>
    <row r="7223" spans="1:7" ht="12.75">
      <c r="A7223" s="134" t="s">
        <v>310</v>
      </c>
      <c r="B7223" s="134">
        <v>100</v>
      </c>
      <c r="C7223" s="491">
        <v>95</v>
      </c>
      <c r="D7223" s="491">
        <v>98</v>
      </c>
      <c r="E7223" s="491">
        <v>0</v>
      </c>
      <c r="F7223" s="491">
        <v>0</v>
      </c>
      <c r="G7223" s="491">
        <f t="shared" si="112"/>
        <v>193</v>
      </c>
    </row>
    <row r="7224" spans="1:7" ht="12.75">
      <c r="A7224" s="134" t="s">
        <v>310</v>
      </c>
      <c r="B7224" s="134">
        <v>101</v>
      </c>
      <c r="C7224" s="491">
        <v>108847</v>
      </c>
      <c r="D7224" s="491">
        <v>69157</v>
      </c>
      <c r="E7224" s="491">
        <v>1867</v>
      </c>
      <c r="F7224" s="491">
        <v>3192</v>
      </c>
      <c r="G7224" s="491">
        <f t="shared" si="112"/>
        <v>183063</v>
      </c>
    </row>
    <row r="7225" spans="1:7" ht="12.75">
      <c r="A7225" s="134" t="s">
        <v>310</v>
      </c>
      <c r="B7225" s="134">
        <v>102</v>
      </c>
      <c r="C7225" s="491">
        <v>0</v>
      </c>
      <c r="D7225" s="491">
        <v>2</v>
      </c>
      <c r="E7225" s="491">
        <v>0</v>
      </c>
      <c r="F7225" s="491">
        <v>0</v>
      </c>
      <c r="G7225" s="491">
        <f t="shared" si="112"/>
        <v>2</v>
      </c>
    </row>
    <row r="7226" spans="1:7" ht="12.75">
      <c r="A7226" s="134" t="s">
        <v>310</v>
      </c>
      <c r="B7226" s="134">
        <v>103</v>
      </c>
      <c r="C7226" s="491">
        <v>4</v>
      </c>
      <c r="D7226" s="491">
        <v>2</v>
      </c>
      <c r="E7226" s="491">
        <v>0</v>
      </c>
      <c r="F7226" s="491">
        <v>0</v>
      </c>
      <c r="G7226" s="491">
        <f t="shared" si="112"/>
        <v>6</v>
      </c>
    </row>
    <row r="7227" spans="1:7" ht="12.75">
      <c r="A7227" s="134" t="s">
        <v>310</v>
      </c>
      <c r="B7227" s="134">
        <v>104</v>
      </c>
      <c r="C7227" s="491">
        <v>1</v>
      </c>
      <c r="D7227" s="491">
        <v>18</v>
      </c>
      <c r="E7227" s="491">
        <v>0</v>
      </c>
      <c r="F7227" s="491">
        <v>0</v>
      </c>
      <c r="G7227" s="491">
        <f t="shared" si="112"/>
        <v>19</v>
      </c>
    </row>
    <row r="7228" spans="1:7" ht="12.75">
      <c r="A7228" s="134" t="s">
        <v>310</v>
      </c>
      <c r="B7228" s="134">
        <v>106</v>
      </c>
      <c r="C7228" s="491">
        <v>0</v>
      </c>
      <c r="D7228" s="491">
        <v>4</v>
      </c>
      <c r="E7228" s="491">
        <v>0</v>
      </c>
      <c r="F7228" s="491">
        <v>0</v>
      </c>
      <c r="G7228" s="491">
        <f t="shared" si="112"/>
        <v>4</v>
      </c>
    </row>
    <row r="7229" spans="1:7" ht="12.75">
      <c r="A7229" s="134" t="s">
        <v>310</v>
      </c>
      <c r="B7229" s="134">
        <v>107</v>
      </c>
      <c r="C7229" s="491">
        <v>0</v>
      </c>
      <c r="D7229" s="491">
        <v>4</v>
      </c>
      <c r="E7229" s="491">
        <v>0</v>
      </c>
      <c r="F7229" s="491">
        <v>0</v>
      </c>
      <c r="G7229" s="491">
        <f t="shared" si="112"/>
        <v>4</v>
      </c>
    </row>
    <row r="7230" spans="1:7" ht="12.75">
      <c r="A7230" s="134" t="s">
        <v>310</v>
      </c>
      <c r="B7230" s="134">
        <v>110</v>
      </c>
      <c r="C7230" s="491">
        <v>17</v>
      </c>
      <c r="D7230" s="491">
        <v>21</v>
      </c>
      <c r="E7230" s="491">
        <v>0</v>
      </c>
      <c r="F7230" s="491">
        <v>0</v>
      </c>
      <c r="G7230" s="491">
        <f t="shared" si="112"/>
        <v>38</v>
      </c>
    </row>
    <row r="7231" spans="1:7" ht="12.75">
      <c r="A7231" s="134" t="s">
        <v>310</v>
      </c>
      <c r="B7231" s="134">
        <v>120</v>
      </c>
      <c r="C7231" s="491">
        <v>9</v>
      </c>
      <c r="D7231" s="491">
        <v>17</v>
      </c>
      <c r="E7231" s="491">
        <v>0</v>
      </c>
      <c r="F7231" s="491">
        <v>0</v>
      </c>
      <c r="G7231" s="491">
        <f t="shared" si="112"/>
        <v>26</v>
      </c>
    </row>
    <row r="7232" spans="1:7" ht="12.75">
      <c r="A7232" s="134" t="s">
        <v>310</v>
      </c>
      <c r="B7232" s="134">
        <v>130</v>
      </c>
      <c r="C7232" s="491">
        <v>5</v>
      </c>
      <c r="D7232" s="491">
        <v>2</v>
      </c>
      <c r="E7232" s="491">
        <v>0</v>
      </c>
      <c r="F7232" s="491">
        <v>0</v>
      </c>
      <c r="G7232" s="491">
        <f t="shared" si="112"/>
        <v>7</v>
      </c>
    </row>
    <row r="7233" spans="1:7" ht="12.75">
      <c r="A7233" s="134" t="s">
        <v>310</v>
      </c>
      <c r="B7233" s="134">
        <v>140</v>
      </c>
      <c r="C7233" s="491">
        <v>4</v>
      </c>
      <c r="D7233" s="491">
        <v>5</v>
      </c>
      <c r="E7233" s="491">
        <v>0</v>
      </c>
      <c r="F7233" s="491">
        <v>0</v>
      </c>
      <c r="G7233" s="491">
        <f t="shared" si="112"/>
        <v>9</v>
      </c>
    </row>
    <row r="7234" spans="1:7" ht="12.75">
      <c r="A7234" s="134" t="s">
        <v>310</v>
      </c>
      <c r="B7234" s="134">
        <v>144</v>
      </c>
      <c r="C7234" s="491">
        <v>2</v>
      </c>
      <c r="D7234" s="491">
        <v>9</v>
      </c>
      <c r="E7234" s="491">
        <v>0</v>
      </c>
      <c r="F7234" s="491">
        <v>0</v>
      </c>
      <c r="G7234" s="491">
        <f t="shared" si="112"/>
        <v>11</v>
      </c>
    </row>
    <row r="7235" spans="1:7" ht="12.75">
      <c r="A7235" s="134" t="s">
        <v>310</v>
      </c>
      <c r="B7235" s="134">
        <v>150</v>
      </c>
      <c r="C7235" s="491">
        <v>0</v>
      </c>
      <c r="D7235" s="491">
        <v>6</v>
      </c>
      <c r="E7235" s="491">
        <v>0</v>
      </c>
      <c r="F7235" s="491">
        <v>0</v>
      </c>
      <c r="G7235" s="491">
        <f t="shared" si="112"/>
        <v>6</v>
      </c>
    </row>
    <row r="7236" spans="1:7" ht="12.75">
      <c r="A7236" s="134" t="s">
        <v>310</v>
      </c>
      <c r="B7236" s="134">
        <v>160</v>
      </c>
      <c r="C7236" s="491">
        <v>1</v>
      </c>
      <c r="D7236" s="491">
        <v>7</v>
      </c>
      <c r="E7236" s="491">
        <v>0</v>
      </c>
      <c r="F7236" s="491">
        <v>0</v>
      </c>
      <c r="G7236" s="491">
        <f t="shared" ref="G7236:G7299" si="113">SUM(C7236:F7236)</f>
        <v>8</v>
      </c>
    </row>
    <row r="7237" spans="1:7" ht="12.75">
      <c r="A7237" s="134" t="s">
        <v>310</v>
      </c>
      <c r="B7237" s="134">
        <v>170</v>
      </c>
      <c r="C7237" s="491">
        <v>1</v>
      </c>
      <c r="D7237" s="491">
        <v>0</v>
      </c>
      <c r="E7237" s="491">
        <v>0</v>
      </c>
      <c r="F7237" s="491">
        <v>0</v>
      </c>
      <c r="G7237" s="491">
        <f t="shared" si="113"/>
        <v>1</v>
      </c>
    </row>
    <row r="7238" spans="1:7" ht="12.75">
      <c r="A7238" s="134" t="s">
        <v>310</v>
      </c>
      <c r="B7238" s="134">
        <v>172</v>
      </c>
      <c r="C7238" s="491">
        <v>0</v>
      </c>
      <c r="D7238" s="491">
        <v>2</v>
      </c>
      <c r="E7238" s="491">
        <v>0</v>
      </c>
      <c r="F7238" s="491">
        <v>0</v>
      </c>
      <c r="G7238" s="491">
        <f t="shared" si="113"/>
        <v>2</v>
      </c>
    </row>
    <row r="7239" spans="1:7" ht="12.75">
      <c r="A7239" s="134" t="s">
        <v>310</v>
      </c>
      <c r="B7239" s="134">
        <v>173</v>
      </c>
      <c r="C7239" s="491">
        <v>0</v>
      </c>
      <c r="D7239" s="491">
        <v>1</v>
      </c>
      <c r="E7239" s="491">
        <v>0</v>
      </c>
      <c r="F7239" s="491">
        <v>0</v>
      </c>
      <c r="G7239" s="491">
        <f t="shared" si="113"/>
        <v>1</v>
      </c>
    </row>
    <row r="7240" spans="1:7" ht="12.75">
      <c r="A7240" s="134" t="s">
        <v>310</v>
      </c>
      <c r="B7240" s="134">
        <v>180</v>
      </c>
      <c r="C7240" s="491">
        <v>3</v>
      </c>
      <c r="D7240" s="491">
        <v>0</v>
      </c>
      <c r="E7240" s="491">
        <v>0</v>
      </c>
      <c r="F7240" s="491">
        <v>0</v>
      </c>
      <c r="G7240" s="491">
        <f t="shared" si="113"/>
        <v>3</v>
      </c>
    </row>
    <row r="7241" spans="1:7" ht="12.75">
      <c r="A7241" s="134" t="s">
        <v>310</v>
      </c>
      <c r="B7241" s="134">
        <v>190</v>
      </c>
      <c r="C7241" s="491">
        <v>2</v>
      </c>
      <c r="D7241" s="491">
        <v>5</v>
      </c>
      <c r="E7241" s="491">
        <v>0</v>
      </c>
      <c r="F7241" s="491">
        <v>0</v>
      </c>
      <c r="G7241" s="491">
        <f t="shared" si="113"/>
        <v>7</v>
      </c>
    </row>
    <row r="7242" spans="1:7" ht="12.75">
      <c r="A7242" s="134" t="s">
        <v>310</v>
      </c>
      <c r="B7242" s="134">
        <v>191</v>
      </c>
      <c r="C7242" s="491">
        <v>1</v>
      </c>
      <c r="D7242" s="491">
        <v>1</v>
      </c>
      <c r="E7242" s="491">
        <v>0</v>
      </c>
      <c r="F7242" s="491">
        <v>0</v>
      </c>
      <c r="G7242" s="491">
        <f t="shared" si="113"/>
        <v>2</v>
      </c>
    </row>
    <row r="7243" spans="1:7" ht="12.75">
      <c r="A7243" s="134" t="s">
        <v>310</v>
      </c>
      <c r="B7243" s="134">
        <v>300</v>
      </c>
      <c r="C7243" s="491">
        <v>0</v>
      </c>
      <c r="D7243" s="491">
        <v>6</v>
      </c>
      <c r="E7243" s="491">
        <v>0</v>
      </c>
      <c r="F7243" s="491">
        <v>0</v>
      </c>
      <c r="G7243" s="491">
        <f t="shared" si="113"/>
        <v>6</v>
      </c>
    </row>
    <row r="7244" spans="1:7" ht="12.75">
      <c r="A7244" s="134" t="s">
        <v>310</v>
      </c>
      <c r="B7244" s="134">
        <v>301</v>
      </c>
      <c r="C7244" s="491">
        <v>32</v>
      </c>
      <c r="D7244" s="491">
        <v>54</v>
      </c>
      <c r="E7244" s="491">
        <v>0</v>
      </c>
      <c r="F7244" s="491">
        <v>0</v>
      </c>
      <c r="G7244" s="491">
        <f t="shared" si="113"/>
        <v>86</v>
      </c>
    </row>
    <row r="7245" spans="1:7" ht="12.75">
      <c r="A7245" s="134" t="s">
        <v>310</v>
      </c>
      <c r="B7245" s="134">
        <v>302</v>
      </c>
      <c r="C7245" s="491">
        <v>0</v>
      </c>
      <c r="D7245" s="491">
        <v>4</v>
      </c>
      <c r="E7245" s="491">
        <v>0</v>
      </c>
      <c r="F7245" s="491">
        <v>0</v>
      </c>
      <c r="G7245" s="491">
        <f t="shared" si="113"/>
        <v>4</v>
      </c>
    </row>
    <row r="7246" spans="1:7" ht="12.75">
      <c r="A7246" s="134" t="s">
        <v>310</v>
      </c>
      <c r="B7246" s="134">
        <v>303</v>
      </c>
      <c r="C7246" s="491">
        <v>9</v>
      </c>
      <c r="D7246" s="491">
        <v>5</v>
      </c>
      <c r="E7246" s="491">
        <v>0</v>
      </c>
      <c r="F7246" s="491">
        <v>0</v>
      </c>
      <c r="G7246" s="491">
        <f t="shared" si="113"/>
        <v>14</v>
      </c>
    </row>
    <row r="7247" spans="1:7" ht="12.75">
      <c r="A7247" s="134" t="s">
        <v>310</v>
      </c>
      <c r="B7247" s="134">
        <v>304</v>
      </c>
      <c r="C7247" s="491">
        <v>0</v>
      </c>
      <c r="D7247" s="491">
        <v>1</v>
      </c>
      <c r="E7247" s="491">
        <v>0</v>
      </c>
      <c r="F7247" s="491">
        <v>0</v>
      </c>
      <c r="G7247" s="491">
        <f t="shared" si="113"/>
        <v>1</v>
      </c>
    </row>
    <row r="7248" spans="1:7" ht="12.75">
      <c r="A7248" s="134" t="s">
        <v>310</v>
      </c>
      <c r="B7248" s="134">
        <v>306</v>
      </c>
      <c r="C7248" s="491">
        <v>0</v>
      </c>
      <c r="D7248" s="491">
        <v>5</v>
      </c>
      <c r="E7248" s="491">
        <v>0</v>
      </c>
      <c r="F7248" s="491">
        <v>0</v>
      </c>
      <c r="G7248" s="491">
        <f t="shared" si="113"/>
        <v>5</v>
      </c>
    </row>
    <row r="7249" spans="1:7" ht="12.75">
      <c r="A7249" s="134" t="s">
        <v>310</v>
      </c>
      <c r="B7249" s="134">
        <v>307</v>
      </c>
      <c r="C7249" s="491">
        <v>3</v>
      </c>
      <c r="D7249" s="491">
        <v>5</v>
      </c>
      <c r="E7249" s="491">
        <v>0</v>
      </c>
      <c r="F7249" s="491">
        <v>0</v>
      </c>
      <c r="G7249" s="491">
        <f t="shared" si="113"/>
        <v>8</v>
      </c>
    </row>
    <row r="7250" spans="1:7" ht="12.75">
      <c r="A7250" s="134" t="s">
        <v>310</v>
      </c>
      <c r="B7250" s="134">
        <v>310</v>
      </c>
      <c r="C7250" s="491">
        <v>3</v>
      </c>
      <c r="D7250" s="491">
        <v>8</v>
      </c>
      <c r="E7250" s="491">
        <v>0</v>
      </c>
      <c r="F7250" s="491">
        <v>0</v>
      </c>
      <c r="G7250" s="491">
        <f t="shared" si="113"/>
        <v>11</v>
      </c>
    </row>
    <row r="7251" spans="1:7" ht="12.75">
      <c r="A7251" s="134" t="s">
        <v>310</v>
      </c>
      <c r="B7251" s="134">
        <v>314</v>
      </c>
      <c r="C7251" s="491">
        <v>0</v>
      </c>
      <c r="D7251" s="491">
        <v>1</v>
      </c>
      <c r="E7251" s="491">
        <v>0</v>
      </c>
      <c r="F7251" s="491">
        <v>0</v>
      </c>
      <c r="G7251" s="491">
        <f t="shared" si="113"/>
        <v>1</v>
      </c>
    </row>
    <row r="7252" spans="1:7" ht="12.75">
      <c r="A7252" s="134" t="s">
        <v>310</v>
      </c>
      <c r="B7252" s="134">
        <v>320</v>
      </c>
      <c r="C7252" s="491">
        <v>9</v>
      </c>
      <c r="D7252" s="491">
        <v>23</v>
      </c>
      <c r="E7252" s="491">
        <v>0</v>
      </c>
      <c r="F7252" s="491">
        <v>0</v>
      </c>
      <c r="G7252" s="491">
        <f t="shared" si="113"/>
        <v>32</v>
      </c>
    </row>
    <row r="7253" spans="1:7" ht="12.75">
      <c r="A7253" s="134" t="s">
        <v>310</v>
      </c>
      <c r="B7253" s="134">
        <v>323</v>
      </c>
      <c r="C7253" s="491">
        <v>4</v>
      </c>
      <c r="D7253" s="491">
        <v>0</v>
      </c>
      <c r="E7253" s="491">
        <v>0</v>
      </c>
      <c r="F7253" s="491">
        <v>0</v>
      </c>
      <c r="G7253" s="491">
        <f t="shared" si="113"/>
        <v>4</v>
      </c>
    </row>
    <row r="7254" spans="1:7" ht="12.75">
      <c r="A7254" s="134" t="s">
        <v>310</v>
      </c>
      <c r="B7254" s="134">
        <v>324</v>
      </c>
      <c r="C7254" s="491">
        <v>2</v>
      </c>
      <c r="D7254" s="491">
        <v>10</v>
      </c>
      <c r="E7254" s="491">
        <v>0</v>
      </c>
      <c r="F7254" s="491">
        <v>0</v>
      </c>
      <c r="G7254" s="491">
        <f t="shared" si="113"/>
        <v>12</v>
      </c>
    </row>
    <row r="7255" spans="1:7" ht="12.75">
      <c r="A7255" s="134" t="s">
        <v>310</v>
      </c>
      <c r="B7255" s="134">
        <v>330</v>
      </c>
      <c r="C7255" s="491">
        <v>10</v>
      </c>
      <c r="D7255" s="491">
        <v>23</v>
      </c>
      <c r="E7255" s="491">
        <v>0</v>
      </c>
      <c r="F7255" s="491">
        <v>0</v>
      </c>
      <c r="G7255" s="491">
        <f t="shared" si="113"/>
        <v>33</v>
      </c>
    </row>
    <row r="7256" spans="1:7" ht="12.75">
      <c r="A7256" s="134" t="s">
        <v>310</v>
      </c>
      <c r="B7256" s="134">
        <v>340</v>
      </c>
      <c r="C7256" s="491">
        <v>7</v>
      </c>
      <c r="D7256" s="491">
        <v>10</v>
      </c>
      <c r="E7256" s="491">
        <v>0</v>
      </c>
      <c r="F7256" s="491">
        <v>0</v>
      </c>
      <c r="G7256" s="491">
        <f t="shared" si="113"/>
        <v>17</v>
      </c>
    </row>
    <row r="7257" spans="1:7" ht="12.75">
      <c r="A7257" s="134" t="s">
        <v>310</v>
      </c>
      <c r="B7257" s="134">
        <v>341</v>
      </c>
      <c r="C7257" s="491">
        <v>0</v>
      </c>
      <c r="D7257" s="491">
        <v>3</v>
      </c>
      <c r="E7257" s="491">
        <v>0</v>
      </c>
      <c r="F7257" s="491">
        <v>0</v>
      </c>
      <c r="G7257" s="491">
        <f t="shared" si="113"/>
        <v>3</v>
      </c>
    </row>
    <row r="7258" spans="1:7" ht="12.75">
      <c r="A7258" s="134" t="s">
        <v>310</v>
      </c>
      <c r="B7258" s="134">
        <v>350</v>
      </c>
      <c r="C7258" s="491">
        <v>1</v>
      </c>
      <c r="D7258" s="491">
        <v>2</v>
      </c>
      <c r="E7258" s="491">
        <v>0</v>
      </c>
      <c r="F7258" s="491">
        <v>0</v>
      </c>
      <c r="G7258" s="491">
        <f t="shared" si="113"/>
        <v>3</v>
      </c>
    </row>
    <row r="7259" spans="1:7" ht="12.75">
      <c r="A7259" s="134" t="s">
        <v>310</v>
      </c>
      <c r="B7259" s="134">
        <v>361</v>
      </c>
      <c r="C7259" s="491">
        <v>2</v>
      </c>
      <c r="D7259" s="491">
        <v>5</v>
      </c>
      <c r="E7259" s="491">
        <v>0</v>
      </c>
      <c r="F7259" s="491">
        <v>0</v>
      </c>
      <c r="G7259" s="491">
        <f t="shared" si="113"/>
        <v>7</v>
      </c>
    </row>
    <row r="7260" spans="1:7" ht="12.75">
      <c r="A7260" s="134" t="s">
        <v>310</v>
      </c>
      <c r="B7260" s="134">
        <v>370</v>
      </c>
      <c r="C7260" s="491">
        <v>31</v>
      </c>
      <c r="D7260" s="491">
        <v>9</v>
      </c>
      <c r="E7260" s="491">
        <v>0</v>
      </c>
      <c r="F7260" s="491">
        <v>0</v>
      </c>
      <c r="G7260" s="491">
        <f t="shared" si="113"/>
        <v>40</v>
      </c>
    </row>
    <row r="7261" spans="1:7" ht="12.75">
      <c r="A7261" s="134" t="s">
        <v>310</v>
      </c>
      <c r="B7261" s="134">
        <v>400</v>
      </c>
      <c r="C7261" s="491">
        <v>0</v>
      </c>
      <c r="D7261" s="491">
        <v>8</v>
      </c>
      <c r="E7261" s="491">
        <v>0</v>
      </c>
      <c r="F7261" s="491">
        <v>0</v>
      </c>
      <c r="G7261" s="491">
        <f t="shared" si="113"/>
        <v>8</v>
      </c>
    </row>
    <row r="7262" spans="1:7" ht="12.75">
      <c r="A7262" s="134" t="s">
        <v>310</v>
      </c>
      <c r="B7262" s="134">
        <v>410</v>
      </c>
      <c r="C7262" s="491">
        <v>4</v>
      </c>
      <c r="D7262" s="491">
        <v>17</v>
      </c>
      <c r="E7262" s="491">
        <v>0</v>
      </c>
      <c r="F7262" s="491">
        <v>0</v>
      </c>
      <c r="G7262" s="491">
        <f t="shared" si="113"/>
        <v>21</v>
      </c>
    </row>
    <row r="7263" spans="1:7" ht="12.75">
      <c r="A7263" s="134" t="s">
        <v>310</v>
      </c>
      <c r="B7263" s="134">
        <v>430</v>
      </c>
      <c r="C7263" s="491">
        <v>2</v>
      </c>
      <c r="D7263" s="491">
        <v>0</v>
      </c>
      <c r="E7263" s="491">
        <v>0</v>
      </c>
      <c r="F7263" s="491">
        <v>0</v>
      </c>
      <c r="G7263" s="491">
        <f t="shared" si="113"/>
        <v>2</v>
      </c>
    </row>
    <row r="7264" spans="1:7" ht="12.75">
      <c r="A7264" s="134" t="s">
        <v>310</v>
      </c>
      <c r="B7264" s="134">
        <v>501</v>
      </c>
      <c r="C7264" s="491">
        <v>9</v>
      </c>
      <c r="D7264" s="491">
        <v>8</v>
      </c>
      <c r="E7264" s="491">
        <v>0</v>
      </c>
      <c r="F7264" s="491">
        <v>0</v>
      </c>
      <c r="G7264" s="491">
        <f t="shared" si="113"/>
        <v>17</v>
      </c>
    </row>
    <row r="7265" spans="1:7" ht="12.75">
      <c r="A7265" s="134" t="s">
        <v>310</v>
      </c>
      <c r="B7265" s="134">
        <v>502</v>
      </c>
      <c r="C7265" s="491">
        <v>419</v>
      </c>
      <c r="D7265" s="491">
        <v>135</v>
      </c>
      <c r="E7265" s="491">
        <v>33</v>
      </c>
      <c r="F7265" s="491">
        <v>18</v>
      </c>
      <c r="G7265" s="491">
        <f t="shared" si="113"/>
        <v>605</v>
      </c>
    </row>
    <row r="7266" spans="1:7" ht="12.75">
      <c r="A7266" s="134" t="s">
        <v>310</v>
      </c>
      <c r="B7266" s="134">
        <v>503</v>
      </c>
      <c r="C7266" s="491">
        <v>4</v>
      </c>
      <c r="D7266" s="491">
        <v>1</v>
      </c>
      <c r="E7266" s="491">
        <v>0</v>
      </c>
      <c r="F7266" s="491">
        <v>0</v>
      </c>
      <c r="G7266" s="491">
        <f t="shared" si="113"/>
        <v>5</v>
      </c>
    </row>
    <row r="7267" spans="1:7" ht="12.75">
      <c r="A7267" s="134" t="s">
        <v>310</v>
      </c>
      <c r="B7267" s="134">
        <v>560</v>
      </c>
      <c r="C7267" s="491">
        <v>0</v>
      </c>
      <c r="D7267" s="491">
        <v>8</v>
      </c>
      <c r="E7267" s="491">
        <v>0</v>
      </c>
      <c r="F7267" s="491">
        <v>0</v>
      </c>
      <c r="G7267" s="491">
        <f t="shared" si="113"/>
        <v>8</v>
      </c>
    </row>
    <row r="7268" spans="1:7" ht="12.75">
      <c r="A7268" s="134" t="s">
        <v>310</v>
      </c>
      <c r="B7268" s="134">
        <v>650</v>
      </c>
      <c r="C7268" s="491">
        <v>2</v>
      </c>
      <c r="D7268" s="491">
        <v>34</v>
      </c>
      <c r="E7268" s="491">
        <v>0</v>
      </c>
      <c r="F7268" s="491">
        <v>0</v>
      </c>
      <c r="G7268" s="491">
        <f t="shared" si="113"/>
        <v>36</v>
      </c>
    </row>
    <row r="7269" spans="1:7" ht="12.75">
      <c r="A7269" s="134" t="s">
        <v>310</v>
      </c>
      <c r="B7269" s="134">
        <v>653</v>
      </c>
      <c r="C7269" s="491">
        <v>1</v>
      </c>
      <c r="D7269" s="491">
        <v>1</v>
      </c>
      <c r="E7269" s="491">
        <v>0</v>
      </c>
      <c r="F7269" s="491">
        <v>0</v>
      </c>
      <c r="G7269" s="491">
        <f t="shared" si="113"/>
        <v>2</v>
      </c>
    </row>
    <row r="7270" spans="1:7" ht="12.75">
      <c r="A7270" s="134" t="s">
        <v>310</v>
      </c>
      <c r="B7270" s="134">
        <v>654</v>
      </c>
      <c r="C7270" s="491">
        <v>1</v>
      </c>
      <c r="D7270" s="491">
        <v>1</v>
      </c>
      <c r="E7270" s="491">
        <v>0</v>
      </c>
      <c r="F7270" s="491">
        <v>0</v>
      </c>
      <c r="G7270" s="491">
        <f t="shared" si="113"/>
        <v>2</v>
      </c>
    </row>
    <row r="7271" spans="1:7" ht="12.75">
      <c r="A7271" s="134" t="s">
        <v>310</v>
      </c>
      <c r="B7271" s="134">
        <v>800</v>
      </c>
      <c r="C7271" s="491">
        <v>5</v>
      </c>
      <c r="D7271" s="491">
        <v>3</v>
      </c>
      <c r="E7271" s="491">
        <v>1</v>
      </c>
      <c r="F7271" s="491">
        <v>0</v>
      </c>
      <c r="G7271" s="491">
        <f t="shared" si="113"/>
        <v>9</v>
      </c>
    </row>
    <row r="7272" spans="1:7" ht="12.75">
      <c r="A7272" s="134" t="s">
        <v>310</v>
      </c>
      <c r="B7272" s="134">
        <v>812</v>
      </c>
      <c r="C7272" s="491">
        <v>1</v>
      </c>
      <c r="D7272" s="491">
        <v>0</v>
      </c>
      <c r="E7272" s="491">
        <v>0</v>
      </c>
      <c r="F7272" s="491">
        <v>0</v>
      </c>
      <c r="G7272" s="491">
        <f t="shared" si="113"/>
        <v>1</v>
      </c>
    </row>
    <row r="7273" spans="1:7" ht="12.75">
      <c r="A7273" s="134" t="s">
        <v>310</v>
      </c>
      <c r="B7273" s="134">
        <v>822</v>
      </c>
      <c r="C7273" s="491">
        <v>1</v>
      </c>
      <c r="D7273" s="491">
        <v>0</v>
      </c>
      <c r="E7273" s="491">
        <v>0</v>
      </c>
      <c r="F7273" s="491">
        <v>0</v>
      </c>
      <c r="G7273" s="491">
        <f t="shared" si="113"/>
        <v>1</v>
      </c>
    </row>
    <row r="7274" spans="1:7" ht="12.75">
      <c r="A7274" s="134" t="s">
        <v>310</v>
      </c>
      <c r="B7274" s="134">
        <v>840</v>
      </c>
      <c r="C7274" s="491">
        <v>0</v>
      </c>
      <c r="D7274" s="491">
        <v>1</v>
      </c>
      <c r="E7274" s="491">
        <v>0</v>
      </c>
      <c r="F7274" s="491">
        <v>0</v>
      </c>
      <c r="G7274" s="491">
        <f t="shared" si="113"/>
        <v>1</v>
      </c>
    </row>
    <row r="7275" spans="1:7" ht="12.75">
      <c r="A7275" s="134" t="s">
        <v>363</v>
      </c>
      <c r="B7275" s="134">
        <v>101</v>
      </c>
      <c r="C7275" s="491">
        <v>202</v>
      </c>
      <c r="D7275" s="491">
        <v>186</v>
      </c>
      <c r="E7275" s="491">
        <v>8</v>
      </c>
      <c r="F7275" s="491">
        <v>1</v>
      </c>
      <c r="G7275" s="491">
        <f t="shared" si="113"/>
        <v>397</v>
      </c>
    </row>
    <row r="7276" spans="1:7" ht="12.75">
      <c r="A7276" s="134" t="s">
        <v>363</v>
      </c>
      <c r="B7276" s="134">
        <v>110</v>
      </c>
      <c r="C7276" s="491">
        <v>1</v>
      </c>
      <c r="D7276" s="491">
        <v>1</v>
      </c>
      <c r="E7276" s="491">
        <v>0</v>
      </c>
      <c r="F7276" s="491">
        <v>0</v>
      </c>
      <c r="G7276" s="491">
        <f t="shared" si="113"/>
        <v>2</v>
      </c>
    </row>
    <row r="7277" spans="1:7" ht="12.75">
      <c r="A7277" s="134" t="s">
        <v>363</v>
      </c>
      <c r="B7277" s="134">
        <v>120</v>
      </c>
      <c r="C7277" s="491">
        <v>0</v>
      </c>
      <c r="D7277" s="491">
        <v>2</v>
      </c>
      <c r="E7277" s="491">
        <v>0</v>
      </c>
      <c r="F7277" s="491">
        <v>0</v>
      </c>
      <c r="G7277" s="491">
        <f t="shared" si="113"/>
        <v>2</v>
      </c>
    </row>
    <row r="7278" spans="1:7" ht="12.75">
      <c r="A7278" s="134" t="s">
        <v>363</v>
      </c>
      <c r="B7278" s="134">
        <v>130</v>
      </c>
      <c r="C7278" s="491">
        <v>0</v>
      </c>
      <c r="D7278" s="491">
        <v>1</v>
      </c>
      <c r="E7278" s="491">
        <v>0</v>
      </c>
      <c r="F7278" s="491">
        <v>0</v>
      </c>
      <c r="G7278" s="491">
        <f t="shared" si="113"/>
        <v>1</v>
      </c>
    </row>
    <row r="7279" spans="1:7" ht="12.75">
      <c r="A7279" s="134" t="s">
        <v>363</v>
      </c>
      <c r="B7279" s="134">
        <v>140</v>
      </c>
      <c r="C7279" s="491">
        <v>0</v>
      </c>
      <c r="D7279" s="491">
        <v>6</v>
      </c>
      <c r="E7279" s="491">
        <v>0</v>
      </c>
      <c r="F7279" s="491">
        <v>0</v>
      </c>
      <c r="G7279" s="491">
        <f t="shared" si="113"/>
        <v>6</v>
      </c>
    </row>
    <row r="7280" spans="1:7" ht="12.75">
      <c r="A7280" s="134" t="s">
        <v>363</v>
      </c>
      <c r="B7280" s="134">
        <v>143</v>
      </c>
      <c r="C7280" s="491">
        <v>1</v>
      </c>
      <c r="D7280" s="491">
        <v>2</v>
      </c>
      <c r="E7280" s="491">
        <v>0</v>
      </c>
      <c r="F7280" s="491">
        <v>0</v>
      </c>
      <c r="G7280" s="491">
        <f t="shared" si="113"/>
        <v>3</v>
      </c>
    </row>
    <row r="7281" spans="1:7" ht="12.75">
      <c r="A7281" s="134" t="s">
        <v>363</v>
      </c>
      <c r="B7281" s="134">
        <v>144</v>
      </c>
      <c r="C7281" s="491">
        <v>0</v>
      </c>
      <c r="D7281" s="491">
        <v>1</v>
      </c>
      <c r="E7281" s="491">
        <v>0</v>
      </c>
      <c r="F7281" s="491">
        <v>0</v>
      </c>
      <c r="G7281" s="491">
        <f t="shared" si="113"/>
        <v>1</v>
      </c>
    </row>
    <row r="7282" spans="1:7" ht="12.75">
      <c r="A7282" s="134" t="s">
        <v>363</v>
      </c>
      <c r="B7282" s="134">
        <v>160</v>
      </c>
      <c r="C7282" s="491">
        <v>0</v>
      </c>
      <c r="D7282" s="491">
        <v>5</v>
      </c>
      <c r="E7282" s="491">
        <v>0</v>
      </c>
      <c r="F7282" s="491">
        <v>0</v>
      </c>
      <c r="G7282" s="491">
        <f t="shared" si="113"/>
        <v>5</v>
      </c>
    </row>
    <row r="7283" spans="1:7" ht="12.75">
      <c r="A7283" s="134" t="s">
        <v>363</v>
      </c>
      <c r="B7283" s="134">
        <v>171</v>
      </c>
      <c r="C7283" s="491">
        <v>1</v>
      </c>
      <c r="D7283" s="491">
        <v>0</v>
      </c>
      <c r="E7283" s="491">
        <v>0</v>
      </c>
      <c r="F7283" s="491">
        <v>0</v>
      </c>
      <c r="G7283" s="491">
        <f t="shared" si="113"/>
        <v>1</v>
      </c>
    </row>
    <row r="7284" spans="1:7" ht="12.75">
      <c r="A7284" s="134" t="s">
        <v>363</v>
      </c>
      <c r="B7284" s="134">
        <v>180</v>
      </c>
      <c r="C7284" s="491">
        <v>0</v>
      </c>
      <c r="D7284" s="491">
        <v>1</v>
      </c>
      <c r="E7284" s="491">
        <v>0</v>
      </c>
      <c r="F7284" s="491">
        <v>0</v>
      </c>
      <c r="G7284" s="491">
        <f t="shared" si="113"/>
        <v>1</v>
      </c>
    </row>
    <row r="7285" spans="1:7" ht="12.75">
      <c r="A7285" s="134" t="s">
        <v>363</v>
      </c>
      <c r="B7285" s="134">
        <v>211</v>
      </c>
      <c r="C7285" s="491">
        <v>1</v>
      </c>
      <c r="D7285" s="491">
        <v>9</v>
      </c>
      <c r="E7285" s="491">
        <v>0</v>
      </c>
      <c r="F7285" s="491">
        <v>4</v>
      </c>
      <c r="G7285" s="491">
        <f t="shared" si="113"/>
        <v>14</v>
      </c>
    </row>
    <row r="7286" spans="1:7" ht="12.75">
      <c r="A7286" s="134" t="s">
        <v>363</v>
      </c>
      <c r="B7286" s="134">
        <v>252</v>
      </c>
      <c r="C7286" s="491">
        <v>0</v>
      </c>
      <c r="D7286" s="491">
        <v>2</v>
      </c>
      <c r="E7286" s="491">
        <v>0</v>
      </c>
      <c r="F7286" s="491">
        <v>0</v>
      </c>
      <c r="G7286" s="491">
        <f t="shared" si="113"/>
        <v>2</v>
      </c>
    </row>
    <row r="7287" spans="1:7" ht="12.75">
      <c r="A7287" s="134" t="s">
        <v>363</v>
      </c>
      <c r="B7287" s="134">
        <v>253</v>
      </c>
      <c r="C7287" s="491">
        <v>0</v>
      </c>
      <c r="D7287" s="491">
        <v>1</v>
      </c>
      <c r="E7287" s="491">
        <v>0</v>
      </c>
      <c r="F7287" s="491">
        <v>0</v>
      </c>
      <c r="G7287" s="491">
        <f t="shared" si="113"/>
        <v>1</v>
      </c>
    </row>
    <row r="7288" spans="1:7" ht="12.75">
      <c r="A7288" s="134" t="s">
        <v>363</v>
      </c>
      <c r="B7288" s="134">
        <v>290</v>
      </c>
      <c r="C7288" s="491">
        <v>2</v>
      </c>
      <c r="D7288" s="491">
        <v>0</v>
      </c>
      <c r="E7288" s="491">
        <v>0</v>
      </c>
      <c r="F7288" s="491">
        <v>0</v>
      </c>
      <c r="G7288" s="491">
        <f t="shared" si="113"/>
        <v>2</v>
      </c>
    </row>
    <row r="7289" spans="1:7" ht="12.75">
      <c r="A7289" s="134" t="s">
        <v>363</v>
      </c>
      <c r="B7289" s="134">
        <v>301</v>
      </c>
      <c r="C7289" s="491">
        <v>0</v>
      </c>
      <c r="D7289" s="491">
        <v>2</v>
      </c>
      <c r="E7289" s="491">
        <v>0</v>
      </c>
      <c r="F7289" s="491">
        <v>0</v>
      </c>
      <c r="G7289" s="491">
        <f t="shared" si="113"/>
        <v>2</v>
      </c>
    </row>
    <row r="7290" spans="1:7" ht="12.75">
      <c r="A7290" s="134" t="s">
        <v>363</v>
      </c>
      <c r="B7290" s="134">
        <v>310</v>
      </c>
      <c r="C7290" s="491">
        <v>0</v>
      </c>
      <c r="D7290" s="491">
        <v>2</v>
      </c>
      <c r="E7290" s="491">
        <v>0</v>
      </c>
      <c r="F7290" s="491">
        <v>0</v>
      </c>
      <c r="G7290" s="491">
        <f t="shared" si="113"/>
        <v>2</v>
      </c>
    </row>
    <row r="7291" spans="1:7" ht="12.75">
      <c r="A7291" s="134" t="s">
        <v>363</v>
      </c>
      <c r="B7291" s="134">
        <v>321</v>
      </c>
      <c r="C7291" s="491">
        <v>0</v>
      </c>
      <c r="D7291" s="491">
        <v>1</v>
      </c>
      <c r="E7291" s="491">
        <v>0</v>
      </c>
      <c r="F7291" s="491">
        <v>0</v>
      </c>
      <c r="G7291" s="491">
        <f t="shared" si="113"/>
        <v>1</v>
      </c>
    </row>
    <row r="7292" spans="1:7" ht="12.75">
      <c r="A7292" s="134" t="s">
        <v>363</v>
      </c>
      <c r="B7292" s="134">
        <v>330</v>
      </c>
      <c r="C7292" s="491">
        <v>0</v>
      </c>
      <c r="D7292" s="491">
        <v>1</v>
      </c>
      <c r="E7292" s="491">
        <v>0</v>
      </c>
      <c r="F7292" s="491">
        <v>0</v>
      </c>
      <c r="G7292" s="491">
        <f t="shared" si="113"/>
        <v>1</v>
      </c>
    </row>
    <row r="7293" spans="1:7" ht="12.75">
      <c r="A7293" s="134" t="s">
        <v>363</v>
      </c>
      <c r="B7293" s="134">
        <v>420</v>
      </c>
      <c r="C7293" s="491">
        <v>0</v>
      </c>
      <c r="D7293" s="491">
        <v>5</v>
      </c>
      <c r="E7293" s="491">
        <v>0</v>
      </c>
      <c r="F7293" s="491">
        <v>0</v>
      </c>
      <c r="G7293" s="491">
        <f t="shared" si="113"/>
        <v>5</v>
      </c>
    </row>
    <row r="7294" spans="1:7" ht="12.75">
      <c r="A7294" s="134" t="s">
        <v>363</v>
      </c>
      <c r="B7294" s="134">
        <v>502</v>
      </c>
      <c r="C7294" s="491">
        <v>1</v>
      </c>
      <c r="D7294" s="491">
        <v>0</v>
      </c>
      <c r="E7294" s="491">
        <v>0</v>
      </c>
      <c r="F7294" s="491">
        <v>0</v>
      </c>
      <c r="G7294" s="491">
        <f t="shared" si="113"/>
        <v>1</v>
      </c>
    </row>
    <row r="7295" spans="1:7" ht="12.75">
      <c r="A7295" s="134" t="s">
        <v>176</v>
      </c>
      <c r="B7295" s="134">
        <v>502</v>
      </c>
      <c r="C7295" s="491">
        <v>3</v>
      </c>
      <c r="D7295" s="491">
        <v>1</v>
      </c>
      <c r="E7295" s="491">
        <v>0</v>
      </c>
      <c r="F7295" s="491">
        <v>1</v>
      </c>
      <c r="G7295" s="491">
        <f t="shared" si="113"/>
        <v>5</v>
      </c>
    </row>
    <row r="7296" spans="1:7" ht="12.75">
      <c r="A7296" s="134" t="s">
        <v>176</v>
      </c>
      <c r="B7296" s="134">
        <v>503</v>
      </c>
      <c r="C7296" s="491">
        <v>1</v>
      </c>
      <c r="D7296" s="491">
        <v>0</v>
      </c>
      <c r="E7296" s="491">
        <v>0</v>
      </c>
      <c r="F7296" s="491">
        <v>0</v>
      </c>
      <c r="G7296" s="491">
        <f t="shared" si="113"/>
        <v>1</v>
      </c>
    </row>
    <row r="7297" spans="1:7" ht="12.75">
      <c r="A7297" s="134" t="s">
        <v>930</v>
      </c>
      <c r="B7297" s="134">
        <v>120</v>
      </c>
      <c r="C7297" s="491">
        <v>1</v>
      </c>
      <c r="D7297" s="491">
        <v>1</v>
      </c>
      <c r="E7297" s="491">
        <v>0</v>
      </c>
      <c r="F7297" s="491">
        <v>0</v>
      </c>
      <c r="G7297" s="491">
        <f t="shared" si="113"/>
        <v>2</v>
      </c>
    </row>
    <row r="7298" spans="1:7" ht="12.75">
      <c r="A7298" s="134" t="s">
        <v>930</v>
      </c>
      <c r="B7298" s="134">
        <v>501</v>
      </c>
      <c r="C7298" s="491">
        <v>1</v>
      </c>
      <c r="D7298" s="491">
        <v>0</v>
      </c>
      <c r="E7298" s="491">
        <v>0</v>
      </c>
      <c r="F7298" s="491">
        <v>0</v>
      </c>
      <c r="G7298" s="491">
        <f t="shared" si="113"/>
        <v>1</v>
      </c>
    </row>
    <row r="7299" spans="1:7" ht="12.75">
      <c r="A7299" s="134" t="s">
        <v>930</v>
      </c>
      <c r="B7299" s="134">
        <v>502</v>
      </c>
      <c r="C7299" s="491">
        <v>20</v>
      </c>
      <c r="D7299" s="491">
        <v>22</v>
      </c>
      <c r="E7299" s="491">
        <v>0</v>
      </c>
      <c r="F7299" s="491">
        <v>0</v>
      </c>
      <c r="G7299" s="491">
        <f t="shared" si="113"/>
        <v>42</v>
      </c>
    </row>
    <row r="7300" spans="1:7" ht="12.75">
      <c r="A7300" s="134" t="s">
        <v>930</v>
      </c>
      <c r="B7300" s="134">
        <v>503</v>
      </c>
      <c r="C7300" s="491">
        <v>1</v>
      </c>
      <c r="D7300" s="491">
        <v>3</v>
      </c>
      <c r="E7300" s="491">
        <v>0</v>
      </c>
      <c r="F7300" s="491">
        <v>2</v>
      </c>
      <c r="G7300" s="491">
        <f t="shared" ref="G7300:G7363" si="114">SUM(C7300:F7300)</f>
        <v>6</v>
      </c>
    </row>
    <row r="7301" spans="1:7" ht="12.75">
      <c r="A7301" s="134" t="s">
        <v>931</v>
      </c>
      <c r="B7301" s="134">
        <v>502</v>
      </c>
      <c r="C7301" s="491">
        <v>16</v>
      </c>
      <c r="D7301" s="491">
        <v>6</v>
      </c>
      <c r="E7301" s="491">
        <v>0</v>
      </c>
      <c r="F7301" s="491">
        <v>1</v>
      </c>
      <c r="G7301" s="491">
        <f t="shared" si="114"/>
        <v>23</v>
      </c>
    </row>
    <row r="7302" spans="1:7" ht="12.75">
      <c r="A7302" s="134" t="s">
        <v>931</v>
      </c>
      <c r="B7302" s="134">
        <v>503</v>
      </c>
      <c r="C7302" s="491">
        <v>0</v>
      </c>
      <c r="D7302" s="491">
        <v>1</v>
      </c>
      <c r="E7302" s="491">
        <v>0</v>
      </c>
      <c r="F7302" s="491">
        <v>0</v>
      </c>
      <c r="G7302" s="491">
        <f t="shared" si="114"/>
        <v>1</v>
      </c>
    </row>
    <row r="7303" spans="1:7" ht="12.75">
      <c r="A7303" s="134" t="s">
        <v>932</v>
      </c>
      <c r="B7303" s="134">
        <v>160</v>
      </c>
      <c r="C7303" s="491">
        <v>1</v>
      </c>
      <c r="D7303" s="491">
        <v>0</v>
      </c>
      <c r="E7303" s="491">
        <v>0</v>
      </c>
      <c r="F7303" s="491">
        <v>0</v>
      </c>
      <c r="G7303" s="491">
        <f t="shared" si="114"/>
        <v>1</v>
      </c>
    </row>
    <row r="7304" spans="1:7" ht="12.75">
      <c r="A7304" s="134" t="s">
        <v>932</v>
      </c>
      <c r="B7304" s="134">
        <v>330</v>
      </c>
      <c r="C7304" s="491">
        <v>12</v>
      </c>
      <c r="D7304" s="491">
        <v>0</v>
      </c>
      <c r="E7304" s="491">
        <v>0</v>
      </c>
      <c r="F7304" s="491">
        <v>0</v>
      </c>
      <c r="G7304" s="491">
        <f t="shared" si="114"/>
        <v>12</v>
      </c>
    </row>
    <row r="7305" spans="1:7" ht="12.75">
      <c r="A7305" s="134" t="s">
        <v>932</v>
      </c>
      <c r="B7305" s="134">
        <v>502</v>
      </c>
      <c r="C7305" s="491">
        <v>30</v>
      </c>
      <c r="D7305" s="491">
        <v>25</v>
      </c>
      <c r="E7305" s="491">
        <v>1</v>
      </c>
      <c r="F7305" s="491">
        <v>1</v>
      </c>
      <c r="G7305" s="491">
        <f t="shared" si="114"/>
        <v>57</v>
      </c>
    </row>
    <row r="7306" spans="1:7" ht="12.75">
      <c r="A7306" s="134" t="s">
        <v>932</v>
      </c>
      <c r="B7306" s="134">
        <v>503</v>
      </c>
      <c r="C7306" s="491">
        <v>3</v>
      </c>
      <c r="D7306" s="491">
        <v>0</v>
      </c>
      <c r="E7306" s="491">
        <v>1</v>
      </c>
      <c r="F7306" s="491">
        <v>0</v>
      </c>
      <c r="G7306" s="491">
        <f t="shared" si="114"/>
        <v>4</v>
      </c>
    </row>
    <row r="7307" spans="1:7" ht="12.75">
      <c r="A7307" s="134" t="s">
        <v>933</v>
      </c>
      <c r="B7307" s="134">
        <v>120</v>
      </c>
      <c r="C7307" s="491">
        <v>0</v>
      </c>
      <c r="D7307" s="491">
        <v>2</v>
      </c>
      <c r="E7307" s="491">
        <v>0</v>
      </c>
      <c r="F7307" s="491">
        <v>0</v>
      </c>
      <c r="G7307" s="491">
        <f t="shared" si="114"/>
        <v>2</v>
      </c>
    </row>
    <row r="7308" spans="1:7" ht="12.75">
      <c r="A7308" s="134" t="s">
        <v>933</v>
      </c>
      <c r="B7308" s="134">
        <v>301</v>
      </c>
      <c r="C7308" s="491">
        <v>0</v>
      </c>
      <c r="D7308" s="491">
        <v>1</v>
      </c>
      <c r="E7308" s="491">
        <v>0</v>
      </c>
      <c r="F7308" s="491">
        <v>0</v>
      </c>
      <c r="G7308" s="491">
        <f t="shared" si="114"/>
        <v>1</v>
      </c>
    </row>
    <row r="7309" spans="1:7" ht="12.75">
      <c r="A7309" s="134" t="s">
        <v>933</v>
      </c>
      <c r="B7309" s="134">
        <v>310</v>
      </c>
      <c r="C7309" s="491">
        <v>0</v>
      </c>
      <c r="D7309" s="491">
        <v>1</v>
      </c>
      <c r="E7309" s="491">
        <v>0</v>
      </c>
      <c r="F7309" s="491">
        <v>0</v>
      </c>
      <c r="G7309" s="491">
        <f t="shared" si="114"/>
        <v>1</v>
      </c>
    </row>
    <row r="7310" spans="1:7" ht="12.75">
      <c r="A7310" s="134" t="s">
        <v>933</v>
      </c>
      <c r="B7310" s="134">
        <v>420</v>
      </c>
      <c r="C7310" s="491">
        <v>0</v>
      </c>
      <c r="D7310" s="491">
        <v>1</v>
      </c>
      <c r="E7310" s="491">
        <v>0</v>
      </c>
      <c r="F7310" s="491">
        <v>0</v>
      </c>
      <c r="G7310" s="491">
        <f t="shared" si="114"/>
        <v>1</v>
      </c>
    </row>
    <row r="7311" spans="1:7" ht="12.75">
      <c r="A7311" s="134" t="s">
        <v>933</v>
      </c>
      <c r="B7311" s="134">
        <v>501</v>
      </c>
      <c r="C7311" s="491">
        <v>7</v>
      </c>
      <c r="D7311" s="491">
        <v>1</v>
      </c>
      <c r="E7311" s="491">
        <v>0</v>
      </c>
      <c r="F7311" s="491">
        <v>0</v>
      </c>
      <c r="G7311" s="491">
        <f t="shared" si="114"/>
        <v>8</v>
      </c>
    </row>
    <row r="7312" spans="1:7" ht="12.75">
      <c r="A7312" s="134" t="s">
        <v>933</v>
      </c>
      <c r="B7312" s="134">
        <v>502</v>
      </c>
      <c r="C7312" s="491">
        <v>110</v>
      </c>
      <c r="D7312" s="491">
        <v>178</v>
      </c>
      <c r="E7312" s="491">
        <v>0</v>
      </c>
      <c r="F7312" s="491">
        <v>2</v>
      </c>
      <c r="G7312" s="491">
        <f t="shared" si="114"/>
        <v>290</v>
      </c>
    </row>
    <row r="7313" spans="1:7" ht="12.75">
      <c r="A7313" s="134" t="s">
        <v>933</v>
      </c>
      <c r="B7313" s="134">
        <v>503</v>
      </c>
      <c r="C7313" s="491">
        <v>5</v>
      </c>
      <c r="D7313" s="491">
        <v>4</v>
      </c>
      <c r="E7313" s="491">
        <v>0</v>
      </c>
      <c r="F7313" s="491">
        <v>0</v>
      </c>
      <c r="G7313" s="491">
        <f t="shared" si="114"/>
        <v>9</v>
      </c>
    </row>
    <row r="7314" spans="1:7" ht="12.75">
      <c r="A7314" s="134" t="s">
        <v>933</v>
      </c>
      <c r="B7314" s="134">
        <v>560</v>
      </c>
      <c r="C7314" s="491">
        <v>8</v>
      </c>
      <c r="D7314" s="491">
        <v>0</v>
      </c>
      <c r="E7314" s="491">
        <v>0</v>
      </c>
      <c r="F7314" s="491">
        <v>0</v>
      </c>
      <c r="G7314" s="491">
        <f t="shared" si="114"/>
        <v>8</v>
      </c>
    </row>
    <row r="7315" spans="1:7" ht="12.75">
      <c r="A7315" s="134" t="s">
        <v>934</v>
      </c>
      <c r="B7315" s="134">
        <v>502</v>
      </c>
      <c r="C7315" s="491">
        <v>1</v>
      </c>
      <c r="D7315" s="491">
        <v>0</v>
      </c>
      <c r="E7315" s="491">
        <v>0</v>
      </c>
      <c r="F7315" s="491">
        <v>0</v>
      </c>
      <c r="G7315" s="491">
        <f t="shared" si="114"/>
        <v>1</v>
      </c>
    </row>
    <row r="7316" spans="1:7" ht="12.75">
      <c r="A7316" s="134" t="s">
        <v>177</v>
      </c>
      <c r="B7316" s="134">
        <v>219</v>
      </c>
      <c r="C7316" s="491">
        <v>2</v>
      </c>
      <c r="D7316" s="491">
        <v>1</v>
      </c>
      <c r="E7316" s="491">
        <v>2</v>
      </c>
      <c r="F7316" s="491">
        <v>0</v>
      </c>
      <c r="G7316" s="491">
        <f t="shared" si="114"/>
        <v>5</v>
      </c>
    </row>
    <row r="7317" spans="1:7" ht="12.75">
      <c r="A7317" s="134" t="s">
        <v>177</v>
      </c>
      <c r="B7317" s="134">
        <v>400</v>
      </c>
      <c r="C7317" s="491">
        <v>1</v>
      </c>
      <c r="D7317" s="491">
        <v>0</v>
      </c>
      <c r="E7317" s="491">
        <v>0</v>
      </c>
      <c r="F7317" s="491">
        <v>0</v>
      </c>
      <c r="G7317" s="491">
        <f t="shared" si="114"/>
        <v>1</v>
      </c>
    </row>
    <row r="7318" spans="1:7" ht="12.75">
      <c r="A7318" s="134" t="s">
        <v>177</v>
      </c>
      <c r="B7318" s="134">
        <v>501</v>
      </c>
      <c r="C7318" s="491">
        <v>0</v>
      </c>
      <c r="D7318" s="491">
        <v>1</v>
      </c>
      <c r="E7318" s="491">
        <v>0</v>
      </c>
      <c r="F7318" s="491">
        <v>0</v>
      </c>
      <c r="G7318" s="491">
        <f t="shared" si="114"/>
        <v>1</v>
      </c>
    </row>
    <row r="7319" spans="1:7" ht="12.75">
      <c r="A7319" s="134" t="s">
        <v>177</v>
      </c>
      <c r="B7319" s="134">
        <v>502</v>
      </c>
      <c r="C7319" s="491">
        <v>9</v>
      </c>
      <c r="D7319" s="491">
        <v>2</v>
      </c>
      <c r="E7319" s="491">
        <v>0</v>
      </c>
      <c r="F7319" s="491">
        <v>0</v>
      </c>
      <c r="G7319" s="491">
        <f t="shared" si="114"/>
        <v>11</v>
      </c>
    </row>
    <row r="7320" spans="1:7" ht="12.75">
      <c r="A7320" s="134" t="s">
        <v>177</v>
      </c>
      <c r="B7320" s="134">
        <v>503</v>
      </c>
      <c r="C7320" s="491">
        <v>2</v>
      </c>
      <c r="D7320" s="491">
        <v>0</v>
      </c>
      <c r="E7320" s="491">
        <v>0</v>
      </c>
      <c r="F7320" s="491">
        <v>0</v>
      </c>
      <c r="G7320" s="491">
        <f t="shared" si="114"/>
        <v>2</v>
      </c>
    </row>
    <row r="7321" spans="1:7" ht="12.75">
      <c r="A7321" s="134" t="s">
        <v>177</v>
      </c>
      <c r="B7321" s="134">
        <v>560</v>
      </c>
      <c r="C7321" s="491">
        <v>0</v>
      </c>
      <c r="D7321" s="491">
        <v>1</v>
      </c>
      <c r="E7321" s="491">
        <v>0</v>
      </c>
      <c r="F7321" s="491">
        <v>0</v>
      </c>
      <c r="G7321" s="491">
        <f t="shared" si="114"/>
        <v>1</v>
      </c>
    </row>
    <row r="7322" spans="1:7" ht="12.75">
      <c r="A7322" s="134" t="s">
        <v>497</v>
      </c>
      <c r="B7322" s="134">
        <v>110</v>
      </c>
      <c r="C7322" s="491">
        <v>9</v>
      </c>
      <c r="D7322" s="491">
        <v>13</v>
      </c>
      <c r="E7322" s="491">
        <v>0</v>
      </c>
      <c r="F7322" s="491">
        <v>0</v>
      </c>
      <c r="G7322" s="491">
        <f t="shared" si="114"/>
        <v>22</v>
      </c>
    </row>
    <row r="7323" spans="1:7" ht="12.75">
      <c r="A7323" s="134" t="s">
        <v>497</v>
      </c>
      <c r="B7323" s="134">
        <v>120</v>
      </c>
      <c r="C7323" s="491">
        <v>1</v>
      </c>
      <c r="D7323" s="491">
        <v>0</v>
      </c>
      <c r="E7323" s="491">
        <v>0</v>
      </c>
      <c r="F7323" s="491">
        <v>0</v>
      </c>
      <c r="G7323" s="491">
        <f t="shared" si="114"/>
        <v>1</v>
      </c>
    </row>
    <row r="7324" spans="1:7" ht="12.75">
      <c r="A7324" s="134" t="s">
        <v>497</v>
      </c>
      <c r="B7324" s="134">
        <v>140</v>
      </c>
      <c r="C7324" s="491">
        <v>0</v>
      </c>
      <c r="D7324" s="491">
        <v>1</v>
      </c>
      <c r="E7324" s="491">
        <v>0</v>
      </c>
      <c r="F7324" s="491">
        <v>0</v>
      </c>
      <c r="G7324" s="491">
        <f t="shared" si="114"/>
        <v>1</v>
      </c>
    </row>
    <row r="7325" spans="1:7" ht="12.75">
      <c r="A7325" s="134" t="s">
        <v>497</v>
      </c>
      <c r="B7325" s="134">
        <v>144</v>
      </c>
      <c r="C7325" s="491">
        <v>0</v>
      </c>
      <c r="D7325" s="491">
        <v>1</v>
      </c>
      <c r="E7325" s="491">
        <v>0</v>
      </c>
      <c r="F7325" s="491">
        <v>0</v>
      </c>
      <c r="G7325" s="491">
        <f t="shared" si="114"/>
        <v>1</v>
      </c>
    </row>
    <row r="7326" spans="1:7" ht="12.75">
      <c r="A7326" s="134" t="s">
        <v>497</v>
      </c>
      <c r="B7326" s="134">
        <v>173</v>
      </c>
      <c r="C7326" s="491">
        <v>0</v>
      </c>
      <c r="D7326" s="491">
        <v>1</v>
      </c>
      <c r="E7326" s="491">
        <v>0</v>
      </c>
      <c r="F7326" s="491">
        <v>0</v>
      </c>
      <c r="G7326" s="491">
        <f t="shared" si="114"/>
        <v>1</v>
      </c>
    </row>
    <row r="7327" spans="1:7" ht="12.75">
      <c r="A7327" s="134" t="s">
        <v>497</v>
      </c>
      <c r="B7327" s="134">
        <v>219</v>
      </c>
      <c r="C7327" s="491">
        <v>1</v>
      </c>
      <c r="D7327" s="491">
        <v>0</v>
      </c>
      <c r="E7327" s="491">
        <v>3</v>
      </c>
      <c r="F7327" s="491">
        <v>1</v>
      </c>
      <c r="G7327" s="491">
        <f t="shared" si="114"/>
        <v>5</v>
      </c>
    </row>
    <row r="7328" spans="1:7" ht="12.75">
      <c r="A7328" s="134" t="s">
        <v>497</v>
      </c>
      <c r="B7328" s="134">
        <v>320</v>
      </c>
      <c r="C7328" s="491">
        <v>0</v>
      </c>
      <c r="D7328" s="491">
        <v>2</v>
      </c>
      <c r="E7328" s="491">
        <v>0</v>
      </c>
      <c r="F7328" s="491">
        <v>0</v>
      </c>
      <c r="G7328" s="491">
        <f t="shared" si="114"/>
        <v>2</v>
      </c>
    </row>
    <row r="7329" spans="1:7" ht="12.75">
      <c r="A7329" s="134" t="s">
        <v>497</v>
      </c>
      <c r="B7329" s="134">
        <v>330</v>
      </c>
      <c r="C7329" s="491">
        <v>0</v>
      </c>
      <c r="D7329" s="491">
        <v>1</v>
      </c>
      <c r="E7329" s="491">
        <v>0</v>
      </c>
      <c r="F7329" s="491">
        <v>0</v>
      </c>
      <c r="G7329" s="491">
        <f t="shared" si="114"/>
        <v>1</v>
      </c>
    </row>
    <row r="7330" spans="1:7" ht="12.75">
      <c r="A7330" s="134" t="s">
        <v>497</v>
      </c>
      <c r="B7330" s="134">
        <v>501</v>
      </c>
      <c r="C7330" s="491">
        <v>4</v>
      </c>
      <c r="D7330" s="491">
        <v>9</v>
      </c>
      <c r="E7330" s="491">
        <v>0</v>
      </c>
      <c r="F7330" s="491">
        <v>0</v>
      </c>
      <c r="G7330" s="491">
        <f t="shared" si="114"/>
        <v>13</v>
      </c>
    </row>
    <row r="7331" spans="1:7" ht="12.75">
      <c r="A7331" s="134" t="s">
        <v>497</v>
      </c>
      <c r="B7331" s="134">
        <v>502</v>
      </c>
      <c r="C7331" s="491">
        <v>549</v>
      </c>
      <c r="D7331" s="491">
        <v>120</v>
      </c>
      <c r="E7331" s="491">
        <v>5</v>
      </c>
      <c r="F7331" s="491">
        <v>4</v>
      </c>
      <c r="G7331" s="491">
        <f t="shared" si="114"/>
        <v>678</v>
      </c>
    </row>
    <row r="7332" spans="1:7" ht="12.75">
      <c r="A7332" s="134" t="s">
        <v>497</v>
      </c>
      <c r="B7332" s="134">
        <v>503</v>
      </c>
      <c r="C7332" s="491">
        <v>17</v>
      </c>
      <c r="D7332" s="491">
        <v>1</v>
      </c>
      <c r="E7332" s="491">
        <v>0</v>
      </c>
      <c r="F7332" s="491">
        <v>0</v>
      </c>
      <c r="G7332" s="491">
        <f t="shared" si="114"/>
        <v>18</v>
      </c>
    </row>
    <row r="7333" spans="1:7" ht="12.75">
      <c r="A7333" s="134" t="s">
        <v>497</v>
      </c>
      <c r="B7333" s="134">
        <v>560</v>
      </c>
      <c r="C7333" s="491">
        <v>2</v>
      </c>
      <c r="D7333" s="491">
        <v>2</v>
      </c>
      <c r="E7333" s="491">
        <v>0</v>
      </c>
      <c r="F7333" s="491">
        <v>0</v>
      </c>
      <c r="G7333" s="491">
        <f t="shared" si="114"/>
        <v>4</v>
      </c>
    </row>
    <row r="7334" spans="1:7" ht="12.75">
      <c r="A7334" s="134" t="s">
        <v>178</v>
      </c>
      <c r="B7334" s="134">
        <v>101</v>
      </c>
      <c r="C7334" s="491">
        <v>1</v>
      </c>
      <c r="D7334" s="491">
        <v>0</v>
      </c>
      <c r="E7334" s="491">
        <v>0</v>
      </c>
      <c r="F7334" s="491">
        <v>0</v>
      </c>
      <c r="G7334" s="491">
        <f t="shared" si="114"/>
        <v>1</v>
      </c>
    </row>
    <row r="7335" spans="1:7" ht="12.75">
      <c r="A7335" s="134" t="s">
        <v>178</v>
      </c>
      <c r="B7335" s="134">
        <v>103</v>
      </c>
      <c r="C7335" s="491">
        <v>1</v>
      </c>
      <c r="D7335" s="491">
        <v>0</v>
      </c>
      <c r="E7335" s="491">
        <v>0</v>
      </c>
      <c r="F7335" s="491">
        <v>0</v>
      </c>
      <c r="G7335" s="491">
        <f t="shared" si="114"/>
        <v>1</v>
      </c>
    </row>
    <row r="7336" spans="1:7" ht="12.75">
      <c r="A7336" s="134" t="s">
        <v>178</v>
      </c>
      <c r="B7336" s="134">
        <v>106</v>
      </c>
      <c r="C7336" s="491">
        <v>1</v>
      </c>
      <c r="D7336" s="491">
        <v>0</v>
      </c>
      <c r="E7336" s="491">
        <v>0</v>
      </c>
      <c r="F7336" s="491">
        <v>0</v>
      </c>
      <c r="G7336" s="491">
        <f t="shared" si="114"/>
        <v>1</v>
      </c>
    </row>
    <row r="7337" spans="1:7" ht="12.75">
      <c r="A7337" s="134" t="s">
        <v>178</v>
      </c>
      <c r="B7337" s="134">
        <v>130</v>
      </c>
      <c r="C7337" s="491">
        <v>0</v>
      </c>
      <c r="D7337" s="491">
        <v>1</v>
      </c>
      <c r="E7337" s="491">
        <v>0</v>
      </c>
      <c r="F7337" s="491">
        <v>0</v>
      </c>
      <c r="G7337" s="491">
        <f t="shared" si="114"/>
        <v>1</v>
      </c>
    </row>
    <row r="7338" spans="1:7" ht="12.75">
      <c r="A7338" s="134" t="s">
        <v>178</v>
      </c>
      <c r="B7338" s="134">
        <v>219</v>
      </c>
      <c r="C7338" s="491">
        <v>3</v>
      </c>
      <c r="D7338" s="491">
        <v>2</v>
      </c>
      <c r="E7338" s="491">
        <v>1</v>
      </c>
      <c r="F7338" s="491">
        <v>0</v>
      </c>
      <c r="G7338" s="491">
        <f t="shared" si="114"/>
        <v>6</v>
      </c>
    </row>
    <row r="7339" spans="1:7" ht="12.75">
      <c r="A7339" s="134" t="s">
        <v>178</v>
      </c>
      <c r="B7339" s="134">
        <v>330</v>
      </c>
      <c r="C7339" s="491">
        <v>16</v>
      </c>
      <c r="D7339" s="491">
        <v>1</v>
      </c>
      <c r="E7339" s="491">
        <v>0</v>
      </c>
      <c r="F7339" s="491">
        <v>0</v>
      </c>
      <c r="G7339" s="491">
        <f t="shared" si="114"/>
        <v>17</v>
      </c>
    </row>
    <row r="7340" spans="1:7" ht="12.75">
      <c r="A7340" s="134" t="s">
        <v>178</v>
      </c>
      <c r="B7340" s="134">
        <v>501</v>
      </c>
      <c r="C7340" s="491">
        <v>15</v>
      </c>
      <c r="D7340" s="491">
        <v>1</v>
      </c>
      <c r="E7340" s="491">
        <v>0</v>
      </c>
      <c r="F7340" s="491">
        <v>0</v>
      </c>
      <c r="G7340" s="491">
        <f t="shared" si="114"/>
        <v>16</v>
      </c>
    </row>
    <row r="7341" spans="1:7" ht="12.75">
      <c r="A7341" s="134" t="s">
        <v>178</v>
      </c>
      <c r="B7341" s="134">
        <v>502</v>
      </c>
      <c r="C7341" s="491">
        <v>16</v>
      </c>
      <c r="D7341" s="491">
        <v>16</v>
      </c>
      <c r="E7341" s="491">
        <v>2</v>
      </c>
      <c r="F7341" s="491">
        <v>1</v>
      </c>
      <c r="G7341" s="491">
        <f t="shared" si="114"/>
        <v>35</v>
      </c>
    </row>
    <row r="7342" spans="1:7" ht="12.75">
      <c r="A7342" s="134" t="s">
        <v>178</v>
      </c>
      <c r="B7342" s="134">
        <v>503</v>
      </c>
      <c r="C7342" s="491">
        <v>0</v>
      </c>
      <c r="D7342" s="491">
        <v>1</v>
      </c>
      <c r="E7342" s="491">
        <v>0</v>
      </c>
      <c r="F7342" s="491">
        <v>0</v>
      </c>
      <c r="G7342" s="491">
        <f t="shared" si="114"/>
        <v>1</v>
      </c>
    </row>
    <row r="7343" spans="1:7" ht="12.75">
      <c r="A7343" s="134" t="s">
        <v>178</v>
      </c>
      <c r="B7343" s="134">
        <v>812</v>
      </c>
      <c r="C7343" s="491">
        <v>0</v>
      </c>
      <c r="D7343" s="491">
        <v>4</v>
      </c>
      <c r="E7343" s="491">
        <v>0</v>
      </c>
      <c r="F7343" s="491">
        <v>0</v>
      </c>
      <c r="G7343" s="491">
        <f t="shared" si="114"/>
        <v>4</v>
      </c>
    </row>
    <row r="7344" spans="1:7" ht="12.75">
      <c r="A7344" s="134" t="s">
        <v>179</v>
      </c>
      <c r="B7344" s="134">
        <v>100</v>
      </c>
      <c r="C7344" s="491">
        <v>0</v>
      </c>
      <c r="D7344" s="491">
        <v>1</v>
      </c>
      <c r="E7344" s="491">
        <v>0</v>
      </c>
      <c r="F7344" s="491">
        <v>0</v>
      </c>
      <c r="G7344" s="491">
        <f t="shared" si="114"/>
        <v>1</v>
      </c>
    </row>
    <row r="7345" spans="1:7" ht="12.75">
      <c r="A7345" s="134" t="s">
        <v>179</v>
      </c>
      <c r="B7345" s="134">
        <v>101</v>
      </c>
      <c r="C7345" s="491">
        <v>0</v>
      </c>
      <c r="D7345" s="491">
        <v>1</v>
      </c>
      <c r="E7345" s="491">
        <v>0</v>
      </c>
      <c r="F7345" s="491">
        <v>0</v>
      </c>
      <c r="G7345" s="491">
        <f t="shared" si="114"/>
        <v>1</v>
      </c>
    </row>
    <row r="7346" spans="1:7" ht="12.75">
      <c r="A7346" s="134" t="s">
        <v>179</v>
      </c>
      <c r="B7346" s="134">
        <v>110</v>
      </c>
      <c r="C7346" s="491">
        <v>2</v>
      </c>
      <c r="D7346" s="491">
        <v>1</v>
      </c>
      <c r="E7346" s="491">
        <v>0</v>
      </c>
      <c r="F7346" s="491">
        <v>0</v>
      </c>
      <c r="G7346" s="491">
        <f t="shared" si="114"/>
        <v>3</v>
      </c>
    </row>
    <row r="7347" spans="1:7" ht="12.75">
      <c r="A7347" s="134" t="s">
        <v>179</v>
      </c>
      <c r="B7347" s="134">
        <v>120</v>
      </c>
      <c r="C7347" s="491">
        <v>0</v>
      </c>
      <c r="D7347" s="491">
        <v>3</v>
      </c>
      <c r="E7347" s="491">
        <v>0</v>
      </c>
      <c r="F7347" s="491">
        <v>0</v>
      </c>
      <c r="G7347" s="491">
        <f t="shared" si="114"/>
        <v>3</v>
      </c>
    </row>
    <row r="7348" spans="1:7" ht="12.75">
      <c r="A7348" s="134" t="s">
        <v>179</v>
      </c>
      <c r="B7348" s="134">
        <v>140</v>
      </c>
      <c r="C7348" s="491">
        <v>1</v>
      </c>
      <c r="D7348" s="491">
        <v>1</v>
      </c>
      <c r="E7348" s="491">
        <v>0</v>
      </c>
      <c r="F7348" s="491">
        <v>0</v>
      </c>
      <c r="G7348" s="491">
        <f t="shared" si="114"/>
        <v>2</v>
      </c>
    </row>
    <row r="7349" spans="1:7" ht="12.75">
      <c r="A7349" s="134" t="s">
        <v>179</v>
      </c>
      <c r="B7349" s="134">
        <v>160</v>
      </c>
      <c r="C7349" s="491">
        <v>0</v>
      </c>
      <c r="D7349" s="491">
        <v>1</v>
      </c>
      <c r="E7349" s="491">
        <v>0</v>
      </c>
      <c r="F7349" s="491">
        <v>0</v>
      </c>
      <c r="G7349" s="491">
        <f t="shared" si="114"/>
        <v>1</v>
      </c>
    </row>
    <row r="7350" spans="1:7" ht="12.75">
      <c r="A7350" s="134" t="s">
        <v>179</v>
      </c>
      <c r="B7350" s="134">
        <v>190</v>
      </c>
      <c r="C7350" s="491">
        <v>1</v>
      </c>
      <c r="D7350" s="491">
        <v>0</v>
      </c>
      <c r="E7350" s="491">
        <v>0</v>
      </c>
      <c r="F7350" s="491">
        <v>0</v>
      </c>
      <c r="G7350" s="491">
        <f t="shared" si="114"/>
        <v>1</v>
      </c>
    </row>
    <row r="7351" spans="1:7" ht="12.75">
      <c r="A7351" s="134" t="s">
        <v>179</v>
      </c>
      <c r="B7351" s="134">
        <v>253</v>
      </c>
      <c r="C7351" s="491">
        <v>0</v>
      </c>
      <c r="D7351" s="491">
        <v>1</v>
      </c>
      <c r="E7351" s="491">
        <v>0</v>
      </c>
      <c r="F7351" s="491">
        <v>0</v>
      </c>
      <c r="G7351" s="491">
        <f t="shared" si="114"/>
        <v>1</v>
      </c>
    </row>
    <row r="7352" spans="1:7" ht="12.75">
      <c r="A7352" s="134" t="s">
        <v>179</v>
      </c>
      <c r="B7352" s="134">
        <v>258</v>
      </c>
      <c r="C7352" s="491">
        <v>0</v>
      </c>
      <c r="D7352" s="491">
        <v>1</v>
      </c>
      <c r="E7352" s="491">
        <v>0</v>
      </c>
      <c r="F7352" s="491">
        <v>0</v>
      </c>
      <c r="G7352" s="491">
        <f t="shared" si="114"/>
        <v>1</v>
      </c>
    </row>
    <row r="7353" spans="1:7" ht="12.75">
      <c r="A7353" s="134" t="s">
        <v>179</v>
      </c>
      <c r="B7353" s="134">
        <v>301</v>
      </c>
      <c r="C7353" s="491">
        <v>0</v>
      </c>
      <c r="D7353" s="491">
        <v>3</v>
      </c>
      <c r="E7353" s="491">
        <v>0</v>
      </c>
      <c r="F7353" s="491">
        <v>0</v>
      </c>
      <c r="G7353" s="491">
        <f t="shared" si="114"/>
        <v>3</v>
      </c>
    </row>
    <row r="7354" spans="1:7" ht="12.75">
      <c r="A7354" s="134" t="s">
        <v>179</v>
      </c>
      <c r="B7354" s="134">
        <v>303</v>
      </c>
      <c r="C7354" s="491">
        <v>0</v>
      </c>
      <c r="D7354" s="491">
        <v>1</v>
      </c>
      <c r="E7354" s="491">
        <v>0</v>
      </c>
      <c r="F7354" s="491">
        <v>0</v>
      </c>
      <c r="G7354" s="491">
        <f t="shared" si="114"/>
        <v>1</v>
      </c>
    </row>
    <row r="7355" spans="1:7" ht="12.75">
      <c r="A7355" s="134" t="s">
        <v>179</v>
      </c>
      <c r="B7355" s="134">
        <v>314</v>
      </c>
      <c r="C7355" s="491">
        <v>0</v>
      </c>
      <c r="D7355" s="491">
        <v>1</v>
      </c>
      <c r="E7355" s="491">
        <v>0</v>
      </c>
      <c r="F7355" s="491">
        <v>0</v>
      </c>
      <c r="G7355" s="491">
        <f t="shared" si="114"/>
        <v>1</v>
      </c>
    </row>
    <row r="7356" spans="1:7" ht="12.75">
      <c r="A7356" s="134" t="s">
        <v>179</v>
      </c>
      <c r="B7356" s="134">
        <v>320</v>
      </c>
      <c r="C7356" s="491">
        <v>1</v>
      </c>
      <c r="D7356" s="491">
        <v>1</v>
      </c>
      <c r="E7356" s="491">
        <v>0</v>
      </c>
      <c r="F7356" s="491">
        <v>0</v>
      </c>
      <c r="G7356" s="491">
        <f t="shared" si="114"/>
        <v>2</v>
      </c>
    </row>
    <row r="7357" spans="1:7" ht="12.75">
      <c r="A7357" s="134" t="s">
        <v>179</v>
      </c>
      <c r="B7357" s="134">
        <v>330</v>
      </c>
      <c r="C7357" s="491">
        <v>2</v>
      </c>
      <c r="D7357" s="491">
        <v>1</v>
      </c>
      <c r="E7357" s="491">
        <v>0</v>
      </c>
      <c r="F7357" s="491">
        <v>0</v>
      </c>
      <c r="G7357" s="491">
        <f t="shared" si="114"/>
        <v>3</v>
      </c>
    </row>
    <row r="7358" spans="1:7" ht="12.75">
      <c r="A7358" s="134" t="s">
        <v>179</v>
      </c>
      <c r="B7358" s="134">
        <v>340</v>
      </c>
      <c r="C7358" s="491">
        <v>0</v>
      </c>
      <c r="D7358" s="491">
        <v>1</v>
      </c>
      <c r="E7358" s="491">
        <v>0</v>
      </c>
      <c r="F7358" s="491">
        <v>0</v>
      </c>
      <c r="G7358" s="491">
        <f t="shared" si="114"/>
        <v>1</v>
      </c>
    </row>
    <row r="7359" spans="1:7" ht="12.75">
      <c r="A7359" s="134" t="s">
        <v>179</v>
      </c>
      <c r="B7359" s="134">
        <v>360</v>
      </c>
      <c r="C7359" s="491">
        <v>0</v>
      </c>
      <c r="D7359" s="491">
        <v>2</v>
      </c>
      <c r="E7359" s="491">
        <v>0</v>
      </c>
      <c r="F7359" s="491">
        <v>0</v>
      </c>
      <c r="G7359" s="491">
        <f t="shared" si="114"/>
        <v>2</v>
      </c>
    </row>
    <row r="7360" spans="1:7" ht="12.75">
      <c r="A7360" s="134" t="s">
        <v>179</v>
      </c>
      <c r="B7360" s="134">
        <v>361</v>
      </c>
      <c r="C7360" s="491">
        <v>1</v>
      </c>
      <c r="D7360" s="491">
        <v>1</v>
      </c>
      <c r="E7360" s="491">
        <v>0</v>
      </c>
      <c r="F7360" s="491">
        <v>0</v>
      </c>
      <c r="G7360" s="491">
        <f t="shared" si="114"/>
        <v>2</v>
      </c>
    </row>
    <row r="7361" spans="1:7" ht="12.75">
      <c r="A7361" s="134" t="s">
        <v>179</v>
      </c>
      <c r="B7361" s="134">
        <v>370</v>
      </c>
      <c r="C7361" s="491">
        <v>0</v>
      </c>
      <c r="D7361" s="491">
        <v>2</v>
      </c>
      <c r="E7361" s="491">
        <v>0</v>
      </c>
      <c r="F7361" s="491">
        <v>0</v>
      </c>
      <c r="G7361" s="491">
        <f t="shared" si="114"/>
        <v>2</v>
      </c>
    </row>
    <row r="7362" spans="1:7" ht="12.75">
      <c r="A7362" s="134" t="s">
        <v>179</v>
      </c>
      <c r="B7362" s="134">
        <v>400</v>
      </c>
      <c r="C7362" s="491">
        <v>0</v>
      </c>
      <c r="D7362" s="491">
        <v>1</v>
      </c>
      <c r="E7362" s="491">
        <v>0</v>
      </c>
      <c r="F7362" s="491">
        <v>0</v>
      </c>
      <c r="G7362" s="491">
        <f t="shared" si="114"/>
        <v>1</v>
      </c>
    </row>
    <row r="7363" spans="1:7" ht="12.75">
      <c r="A7363" s="134" t="s">
        <v>179</v>
      </c>
      <c r="B7363" s="134">
        <v>501</v>
      </c>
      <c r="C7363" s="491">
        <v>4</v>
      </c>
      <c r="D7363" s="491">
        <v>5</v>
      </c>
      <c r="E7363" s="491">
        <v>1</v>
      </c>
      <c r="F7363" s="491">
        <v>0</v>
      </c>
      <c r="G7363" s="491">
        <f t="shared" si="114"/>
        <v>10</v>
      </c>
    </row>
    <row r="7364" spans="1:7" ht="12.75">
      <c r="A7364" s="134" t="s">
        <v>179</v>
      </c>
      <c r="B7364" s="134">
        <v>502</v>
      </c>
      <c r="C7364" s="491">
        <v>2187</v>
      </c>
      <c r="D7364" s="491">
        <v>2429</v>
      </c>
      <c r="E7364" s="491">
        <v>46</v>
      </c>
      <c r="F7364" s="491">
        <v>24</v>
      </c>
      <c r="G7364" s="491">
        <f t="shared" ref="G7364:G7427" si="115">SUM(C7364:F7364)</f>
        <v>4686</v>
      </c>
    </row>
    <row r="7365" spans="1:7" ht="12.75">
      <c r="A7365" s="134" t="s">
        <v>179</v>
      </c>
      <c r="B7365" s="134">
        <v>503</v>
      </c>
      <c r="C7365" s="491">
        <v>116</v>
      </c>
      <c r="D7365" s="491">
        <v>155</v>
      </c>
      <c r="E7365" s="491">
        <v>4</v>
      </c>
      <c r="F7365" s="491">
        <v>5</v>
      </c>
      <c r="G7365" s="491">
        <f t="shared" si="115"/>
        <v>280</v>
      </c>
    </row>
    <row r="7366" spans="1:7" ht="12.75">
      <c r="A7366" s="134" t="s">
        <v>179</v>
      </c>
      <c r="B7366" s="134">
        <v>560</v>
      </c>
      <c r="C7366" s="491">
        <v>2</v>
      </c>
      <c r="D7366" s="491">
        <v>1</v>
      </c>
      <c r="E7366" s="491">
        <v>0</v>
      </c>
      <c r="F7366" s="491">
        <v>0</v>
      </c>
      <c r="G7366" s="491">
        <f t="shared" si="115"/>
        <v>3</v>
      </c>
    </row>
    <row r="7367" spans="1:7" ht="12.75">
      <c r="A7367" s="134" t="s">
        <v>179</v>
      </c>
      <c r="B7367" s="134">
        <v>650</v>
      </c>
      <c r="C7367" s="491">
        <v>0</v>
      </c>
      <c r="D7367" s="491">
        <v>2</v>
      </c>
      <c r="E7367" s="491">
        <v>0</v>
      </c>
      <c r="F7367" s="491">
        <v>0</v>
      </c>
      <c r="G7367" s="491">
        <f t="shared" si="115"/>
        <v>2</v>
      </c>
    </row>
    <row r="7368" spans="1:7" ht="12.75">
      <c r="A7368" s="134" t="s">
        <v>179</v>
      </c>
      <c r="B7368" s="134">
        <v>800</v>
      </c>
      <c r="C7368" s="491">
        <v>0</v>
      </c>
      <c r="D7368" s="491">
        <v>1</v>
      </c>
      <c r="E7368" s="491">
        <v>0</v>
      </c>
      <c r="F7368" s="491">
        <v>0</v>
      </c>
      <c r="G7368" s="491">
        <f t="shared" si="115"/>
        <v>1</v>
      </c>
    </row>
    <row r="7369" spans="1:7" ht="12.75">
      <c r="A7369" s="134" t="s">
        <v>179</v>
      </c>
      <c r="B7369" s="134">
        <v>812</v>
      </c>
      <c r="C7369" s="491">
        <v>0</v>
      </c>
      <c r="D7369" s="491">
        <v>2</v>
      </c>
      <c r="E7369" s="491">
        <v>0</v>
      </c>
      <c r="F7369" s="491">
        <v>0</v>
      </c>
      <c r="G7369" s="491">
        <f t="shared" si="115"/>
        <v>2</v>
      </c>
    </row>
    <row r="7370" spans="1:7" ht="12.75">
      <c r="A7370" s="134" t="s">
        <v>180</v>
      </c>
      <c r="B7370" s="134">
        <v>104</v>
      </c>
      <c r="C7370" s="491">
        <v>0</v>
      </c>
      <c r="D7370" s="491">
        <v>1</v>
      </c>
      <c r="E7370" s="491">
        <v>0</v>
      </c>
      <c r="F7370" s="491">
        <v>0</v>
      </c>
      <c r="G7370" s="491">
        <f t="shared" si="115"/>
        <v>1</v>
      </c>
    </row>
    <row r="7371" spans="1:7" ht="12.75">
      <c r="A7371" s="134" t="s">
        <v>180</v>
      </c>
      <c r="B7371" s="134">
        <v>501</v>
      </c>
      <c r="C7371" s="491">
        <v>17</v>
      </c>
      <c r="D7371" s="491">
        <v>8</v>
      </c>
      <c r="E7371" s="491">
        <v>0</v>
      </c>
      <c r="F7371" s="491">
        <v>0</v>
      </c>
      <c r="G7371" s="491">
        <f t="shared" si="115"/>
        <v>25</v>
      </c>
    </row>
    <row r="7372" spans="1:7" ht="12.75">
      <c r="A7372" s="134" t="s">
        <v>180</v>
      </c>
      <c r="B7372" s="134">
        <v>502</v>
      </c>
      <c r="C7372" s="491">
        <v>148</v>
      </c>
      <c r="D7372" s="491">
        <v>133</v>
      </c>
      <c r="E7372" s="491">
        <v>6</v>
      </c>
      <c r="F7372" s="491">
        <v>0</v>
      </c>
      <c r="G7372" s="491">
        <f t="shared" si="115"/>
        <v>287</v>
      </c>
    </row>
    <row r="7373" spans="1:7" ht="12.75">
      <c r="A7373" s="134" t="s">
        <v>180</v>
      </c>
      <c r="B7373" s="134">
        <v>503</v>
      </c>
      <c r="C7373" s="491">
        <v>0</v>
      </c>
      <c r="D7373" s="491">
        <v>2</v>
      </c>
      <c r="E7373" s="491">
        <v>0</v>
      </c>
      <c r="F7373" s="491">
        <v>0</v>
      </c>
      <c r="G7373" s="491">
        <f t="shared" si="115"/>
        <v>2</v>
      </c>
    </row>
    <row r="7374" spans="1:7" ht="12.75">
      <c r="A7374" s="134" t="s">
        <v>181</v>
      </c>
      <c r="B7374" s="134">
        <v>100</v>
      </c>
      <c r="C7374" s="491">
        <v>0</v>
      </c>
      <c r="D7374" s="491">
        <v>1</v>
      </c>
      <c r="E7374" s="491">
        <v>0</v>
      </c>
      <c r="F7374" s="491">
        <v>0</v>
      </c>
      <c r="G7374" s="491">
        <f t="shared" si="115"/>
        <v>1</v>
      </c>
    </row>
    <row r="7375" spans="1:7" ht="12.75">
      <c r="A7375" s="134" t="s">
        <v>181</v>
      </c>
      <c r="B7375" s="134">
        <v>501</v>
      </c>
      <c r="C7375" s="491">
        <v>205</v>
      </c>
      <c r="D7375" s="491">
        <v>91</v>
      </c>
      <c r="E7375" s="491">
        <v>89</v>
      </c>
      <c r="F7375" s="491">
        <v>24</v>
      </c>
      <c r="G7375" s="491">
        <f t="shared" si="115"/>
        <v>409</v>
      </c>
    </row>
    <row r="7376" spans="1:7" ht="12.75">
      <c r="A7376" s="134" t="s">
        <v>181</v>
      </c>
      <c r="B7376" s="134">
        <v>502</v>
      </c>
      <c r="C7376" s="491">
        <v>1674</v>
      </c>
      <c r="D7376" s="491">
        <v>590</v>
      </c>
      <c r="E7376" s="491">
        <v>409</v>
      </c>
      <c r="F7376" s="491">
        <v>375</v>
      </c>
      <c r="G7376" s="491">
        <f t="shared" si="115"/>
        <v>3048</v>
      </c>
    </row>
    <row r="7377" spans="1:7" ht="12.75">
      <c r="A7377" s="134" t="s">
        <v>181</v>
      </c>
      <c r="B7377" s="134">
        <v>503</v>
      </c>
      <c r="C7377" s="491">
        <v>0</v>
      </c>
      <c r="D7377" s="491">
        <v>6</v>
      </c>
      <c r="E7377" s="491">
        <v>0</v>
      </c>
      <c r="F7377" s="491">
        <v>0</v>
      </c>
      <c r="G7377" s="491">
        <f t="shared" si="115"/>
        <v>6</v>
      </c>
    </row>
    <row r="7378" spans="1:7" ht="12.75">
      <c r="A7378" s="134" t="s">
        <v>181</v>
      </c>
      <c r="B7378" s="134">
        <v>560</v>
      </c>
      <c r="C7378" s="491">
        <v>1</v>
      </c>
      <c r="D7378" s="491">
        <v>1</v>
      </c>
      <c r="E7378" s="491">
        <v>0</v>
      </c>
      <c r="F7378" s="491">
        <v>0</v>
      </c>
      <c r="G7378" s="491">
        <f t="shared" si="115"/>
        <v>2</v>
      </c>
    </row>
    <row r="7379" spans="1:7" ht="12.75">
      <c r="A7379" s="134" t="s">
        <v>182</v>
      </c>
      <c r="B7379" s="134">
        <v>501</v>
      </c>
      <c r="C7379" s="491">
        <v>6</v>
      </c>
      <c r="D7379" s="491">
        <v>0</v>
      </c>
      <c r="E7379" s="491">
        <v>1</v>
      </c>
      <c r="F7379" s="491">
        <v>0</v>
      </c>
      <c r="G7379" s="491">
        <f t="shared" si="115"/>
        <v>7</v>
      </c>
    </row>
    <row r="7380" spans="1:7" ht="12.75">
      <c r="A7380" s="134" t="s">
        <v>182</v>
      </c>
      <c r="B7380" s="134">
        <v>502</v>
      </c>
      <c r="C7380" s="491">
        <v>0</v>
      </c>
      <c r="D7380" s="491">
        <v>0</v>
      </c>
      <c r="E7380" s="491">
        <v>1</v>
      </c>
      <c r="F7380" s="491">
        <v>0</v>
      </c>
      <c r="G7380" s="491">
        <f t="shared" si="115"/>
        <v>1</v>
      </c>
    </row>
    <row r="7381" spans="1:7" ht="12.75">
      <c r="A7381" s="134" t="s">
        <v>183</v>
      </c>
      <c r="B7381" s="134">
        <v>501</v>
      </c>
      <c r="C7381" s="491">
        <v>2</v>
      </c>
      <c r="D7381" s="491">
        <v>0</v>
      </c>
      <c r="E7381" s="491">
        <v>0</v>
      </c>
      <c r="F7381" s="491">
        <v>0</v>
      </c>
      <c r="G7381" s="491">
        <f t="shared" si="115"/>
        <v>2</v>
      </c>
    </row>
    <row r="7382" spans="1:7" ht="12.75">
      <c r="A7382" s="134" t="s">
        <v>183</v>
      </c>
      <c r="B7382" s="134">
        <v>502</v>
      </c>
      <c r="C7382" s="491">
        <v>396</v>
      </c>
      <c r="D7382" s="491">
        <v>104</v>
      </c>
      <c r="E7382" s="491">
        <v>1</v>
      </c>
      <c r="F7382" s="491">
        <v>0</v>
      </c>
      <c r="G7382" s="491">
        <f t="shared" si="115"/>
        <v>501</v>
      </c>
    </row>
    <row r="7383" spans="1:7" ht="12.75">
      <c r="A7383" s="134" t="s">
        <v>336</v>
      </c>
      <c r="B7383" s="134">
        <v>501</v>
      </c>
      <c r="C7383" s="491">
        <v>1</v>
      </c>
      <c r="D7383" s="491">
        <v>0</v>
      </c>
      <c r="E7383" s="491">
        <v>1</v>
      </c>
      <c r="F7383" s="491">
        <v>0</v>
      </c>
      <c r="G7383" s="491">
        <f t="shared" si="115"/>
        <v>2</v>
      </c>
    </row>
    <row r="7384" spans="1:7" ht="12.75">
      <c r="A7384" s="134" t="s">
        <v>336</v>
      </c>
      <c r="B7384" s="134">
        <v>560</v>
      </c>
      <c r="C7384" s="491">
        <v>2</v>
      </c>
      <c r="D7384" s="491">
        <v>0</v>
      </c>
      <c r="E7384" s="491">
        <v>0</v>
      </c>
      <c r="F7384" s="491">
        <v>0</v>
      </c>
      <c r="G7384" s="491">
        <f t="shared" si="115"/>
        <v>2</v>
      </c>
    </row>
    <row r="7385" spans="1:7" ht="12.75">
      <c r="A7385" s="134" t="s">
        <v>184</v>
      </c>
      <c r="B7385" s="134">
        <v>101</v>
      </c>
      <c r="C7385" s="491">
        <v>9</v>
      </c>
      <c r="D7385" s="491">
        <v>10</v>
      </c>
      <c r="E7385" s="491">
        <v>0</v>
      </c>
      <c r="F7385" s="491">
        <v>0</v>
      </c>
      <c r="G7385" s="491">
        <f t="shared" si="115"/>
        <v>19</v>
      </c>
    </row>
    <row r="7386" spans="1:7" ht="12.75">
      <c r="A7386" s="134" t="s">
        <v>184</v>
      </c>
      <c r="B7386" s="134">
        <v>104</v>
      </c>
      <c r="C7386" s="491">
        <v>1</v>
      </c>
      <c r="D7386" s="491">
        <v>0</v>
      </c>
      <c r="E7386" s="491">
        <v>0</v>
      </c>
      <c r="F7386" s="491">
        <v>0</v>
      </c>
      <c r="G7386" s="491">
        <f t="shared" si="115"/>
        <v>1</v>
      </c>
    </row>
    <row r="7387" spans="1:7" ht="12.75">
      <c r="A7387" s="134" t="s">
        <v>184</v>
      </c>
      <c r="B7387" s="134">
        <v>120</v>
      </c>
      <c r="C7387" s="491">
        <v>1</v>
      </c>
      <c r="D7387" s="491">
        <v>2</v>
      </c>
      <c r="E7387" s="491">
        <v>0</v>
      </c>
      <c r="F7387" s="491">
        <v>0</v>
      </c>
      <c r="G7387" s="491">
        <f t="shared" si="115"/>
        <v>3</v>
      </c>
    </row>
    <row r="7388" spans="1:7" ht="12.75">
      <c r="A7388" s="134" t="s">
        <v>184</v>
      </c>
      <c r="B7388" s="134">
        <v>144</v>
      </c>
      <c r="C7388" s="491">
        <v>1</v>
      </c>
      <c r="D7388" s="491">
        <v>0</v>
      </c>
      <c r="E7388" s="491">
        <v>0</v>
      </c>
      <c r="F7388" s="491">
        <v>0</v>
      </c>
      <c r="G7388" s="491">
        <f t="shared" si="115"/>
        <v>1</v>
      </c>
    </row>
    <row r="7389" spans="1:7" ht="12.75">
      <c r="A7389" s="134" t="s">
        <v>184</v>
      </c>
      <c r="B7389" s="134">
        <v>160</v>
      </c>
      <c r="C7389" s="491">
        <v>2</v>
      </c>
      <c r="D7389" s="491">
        <v>0</v>
      </c>
      <c r="E7389" s="491">
        <v>2</v>
      </c>
      <c r="F7389" s="491">
        <v>0</v>
      </c>
      <c r="G7389" s="491">
        <f t="shared" si="115"/>
        <v>4</v>
      </c>
    </row>
    <row r="7390" spans="1:7" ht="12.75">
      <c r="A7390" s="134" t="s">
        <v>184</v>
      </c>
      <c r="B7390" s="134">
        <v>190</v>
      </c>
      <c r="C7390" s="491">
        <v>1</v>
      </c>
      <c r="D7390" s="491">
        <v>0</v>
      </c>
      <c r="E7390" s="491">
        <v>0</v>
      </c>
      <c r="F7390" s="491">
        <v>0</v>
      </c>
      <c r="G7390" s="491">
        <f t="shared" si="115"/>
        <v>1</v>
      </c>
    </row>
    <row r="7391" spans="1:7" ht="12.75">
      <c r="A7391" s="134" t="s">
        <v>184</v>
      </c>
      <c r="B7391" s="134">
        <v>330</v>
      </c>
      <c r="C7391" s="491">
        <v>80</v>
      </c>
      <c r="D7391" s="491">
        <v>5</v>
      </c>
      <c r="E7391" s="491">
        <v>0</v>
      </c>
      <c r="F7391" s="491">
        <v>0</v>
      </c>
      <c r="G7391" s="491">
        <f t="shared" si="115"/>
        <v>85</v>
      </c>
    </row>
    <row r="7392" spans="1:7" ht="12.75">
      <c r="A7392" s="134" t="s">
        <v>184</v>
      </c>
      <c r="B7392" s="134">
        <v>501</v>
      </c>
      <c r="C7392" s="491">
        <v>88</v>
      </c>
      <c r="D7392" s="491">
        <v>15</v>
      </c>
      <c r="E7392" s="491">
        <v>2</v>
      </c>
      <c r="F7392" s="491">
        <v>0</v>
      </c>
      <c r="G7392" s="491">
        <f t="shared" si="115"/>
        <v>105</v>
      </c>
    </row>
    <row r="7393" spans="1:7" ht="12.75">
      <c r="A7393" s="134" t="s">
        <v>184</v>
      </c>
      <c r="B7393" s="134">
        <v>502</v>
      </c>
      <c r="C7393" s="491">
        <v>817</v>
      </c>
      <c r="D7393" s="491">
        <v>1103</v>
      </c>
      <c r="E7393" s="491">
        <v>13</v>
      </c>
      <c r="F7393" s="491">
        <v>21</v>
      </c>
      <c r="G7393" s="491">
        <f t="shared" si="115"/>
        <v>1954</v>
      </c>
    </row>
    <row r="7394" spans="1:7" ht="12.75">
      <c r="A7394" s="134" t="s">
        <v>184</v>
      </c>
      <c r="B7394" s="134">
        <v>503</v>
      </c>
      <c r="C7394" s="491">
        <v>23</v>
      </c>
      <c r="D7394" s="491">
        <v>24</v>
      </c>
      <c r="E7394" s="491">
        <v>4</v>
      </c>
      <c r="F7394" s="491">
        <v>6</v>
      </c>
      <c r="G7394" s="491">
        <f t="shared" si="115"/>
        <v>57</v>
      </c>
    </row>
    <row r="7395" spans="1:7" ht="12.75">
      <c r="A7395" s="134" t="s">
        <v>184</v>
      </c>
      <c r="B7395" s="134">
        <v>560</v>
      </c>
      <c r="C7395" s="491">
        <v>21</v>
      </c>
      <c r="D7395" s="491">
        <v>1</v>
      </c>
      <c r="E7395" s="491">
        <v>1</v>
      </c>
      <c r="F7395" s="491">
        <v>0</v>
      </c>
      <c r="G7395" s="491">
        <f t="shared" si="115"/>
        <v>23</v>
      </c>
    </row>
    <row r="7396" spans="1:7" ht="12.75">
      <c r="A7396" s="134" t="s">
        <v>184</v>
      </c>
      <c r="B7396" s="134">
        <v>800</v>
      </c>
      <c r="C7396" s="491">
        <v>1</v>
      </c>
      <c r="D7396" s="491">
        <v>0</v>
      </c>
      <c r="E7396" s="491">
        <v>0</v>
      </c>
      <c r="F7396" s="491">
        <v>0</v>
      </c>
      <c r="G7396" s="491">
        <f t="shared" si="115"/>
        <v>1</v>
      </c>
    </row>
    <row r="7397" spans="1:7" ht="12.75">
      <c r="A7397" s="134" t="s">
        <v>483</v>
      </c>
      <c r="B7397" s="134">
        <v>100</v>
      </c>
      <c r="C7397" s="491">
        <v>20</v>
      </c>
      <c r="D7397" s="491">
        <v>24</v>
      </c>
      <c r="E7397" s="491">
        <v>0</v>
      </c>
      <c r="F7397" s="491">
        <v>0</v>
      </c>
      <c r="G7397" s="491">
        <f t="shared" si="115"/>
        <v>44</v>
      </c>
    </row>
    <row r="7398" spans="1:7" ht="12.75">
      <c r="A7398" s="134" t="s">
        <v>483</v>
      </c>
      <c r="B7398" s="134">
        <v>101</v>
      </c>
      <c r="C7398" s="491">
        <v>139</v>
      </c>
      <c r="D7398" s="491">
        <v>47</v>
      </c>
      <c r="E7398" s="491">
        <v>1</v>
      </c>
      <c r="F7398" s="491">
        <v>1</v>
      </c>
      <c r="G7398" s="491">
        <f t="shared" si="115"/>
        <v>188</v>
      </c>
    </row>
    <row r="7399" spans="1:7" ht="12.75">
      <c r="A7399" s="134" t="s">
        <v>483</v>
      </c>
      <c r="B7399" s="134">
        <v>103</v>
      </c>
      <c r="C7399" s="491">
        <v>2</v>
      </c>
      <c r="D7399" s="491">
        <v>3</v>
      </c>
      <c r="E7399" s="491">
        <v>0</v>
      </c>
      <c r="F7399" s="491">
        <v>0</v>
      </c>
      <c r="G7399" s="491">
        <f t="shared" si="115"/>
        <v>5</v>
      </c>
    </row>
    <row r="7400" spans="1:7" ht="12.75">
      <c r="A7400" s="134" t="s">
        <v>483</v>
      </c>
      <c r="B7400" s="134">
        <v>104</v>
      </c>
      <c r="C7400" s="491">
        <v>1</v>
      </c>
      <c r="D7400" s="491">
        <v>10</v>
      </c>
      <c r="E7400" s="491">
        <v>0</v>
      </c>
      <c r="F7400" s="491">
        <v>0</v>
      </c>
      <c r="G7400" s="491">
        <f t="shared" si="115"/>
        <v>11</v>
      </c>
    </row>
    <row r="7401" spans="1:7" ht="12.75">
      <c r="A7401" s="134" t="s">
        <v>483</v>
      </c>
      <c r="B7401" s="134">
        <v>106</v>
      </c>
      <c r="C7401" s="491">
        <v>0</v>
      </c>
      <c r="D7401" s="491">
        <v>1</v>
      </c>
      <c r="E7401" s="491">
        <v>0</v>
      </c>
      <c r="F7401" s="491">
        <v>0</v>
      </c>
      <c r="G7401" s="491">
        <f t="shared" si="115"/>
        <v>1</v>
      </c>
    </row>
    <row r="7402" spans="1:7" ht="12.75">
      <c r="A7402" s="134" t="s">
        <v>483</v>
      </c>
      <c r="B7402" s="134">
        <v>107</v>
      </c>
      <c r="C7402" s="491">
        <v>0</v>
      </c>
      <c r="D7402" s="491">
        <v>3</v>
      </c>
      <c r="E7402" s="491">
        <v>0</v>
      </c>
      <c r="F7402" s="491">
        <v>0</v>
      </c>
      <c r="G7402" s="491">
        <f t="shared" si="115"/>
        <v>3</v>
      </c>
    </row>
    <row r="7403" spans="1:7" ht="12.75">
      <c r="A7403" s="134" t="s">
        <v>483</v>
      </c>
      <c r="B7403" s="134">
        <v>110</v>
      </c>
      <c r="C7403" s="491">
        <v>6</v>
      </c>
      <c r="D7403" s="491">
        <v>17</v>
      </c>
      <c r="E7403" s="491">
        <v>0</v>
      </c>
      <c r="F7403" s="491">
        <v>0</v>
      </c>
      <c r="G7403" s="491">
        <f t="shared" si="115"/>
        <v>23</v>
      </c>
    </row>
    <row r="7404" spans="1:7" ht="12.75">
      <c r="A7404" s="134" t="s">
        <v>483</v>
      </c>
      <c r="B7404" s="134">
        <v>120</v>
      </c>
      <c r="C7404" s="491">
        <v>3</v>
      </c>
      <c r="D7404" s="491">
        <v>15</v>
      </c>
      <c r="E7404" s="491">
        <v>0</v>
      </c>
      <c r="F7404" s="491">
        <v>0</v>
      </c>
      <c r="G7404" s="491">
        <f t="shared" si="115"/>
        <v>18</v>
      </c>
    </row>
    <row r="7405" spans="1:7" ht="12.75">
      <c r="A7405" s="134" t="s">
        <v>483</v>
      </c>
      <c r="B7405" s="134">
        <v>130</v>
      </c>
      <c r="C7405" s="491">
        <v>13</v>
      </c>
      <c r="D7405" s="491">
        <v>4</v>
      </c>
      <c r="E7405" s="491">
        <v>0</v>
      </c>
      <c r="F7405" s="491">
        <v>0</v>
      </c>
      <c r="G7405" s="491">
        <f t="shared" si="115"/>
        <v>17</v>
      </c>
    </row>
    <row r="7406" spans="1:7" ht="12.75">
      <c r="A7406" s="134" t="s">
        <v>483</v>
      </c>
      <c r="B7406" s="134">
        <v>140</v>
      </c>
      <c r="C7406" s="491">
        <v>2</v>
      </c>
      <c r="D7406" s="491">
        <v>7</v>
      </c>
      <c r="E7406" s="491">
        <v>0</v>
      </c>
      <c r="F7406" s="491">
        <v>1</v>
      </c>
      <c r="G7406" s="491">
        <f t="shared" si="115"/>
        <v>10</v>
      </c>
    </row>
    <row r="7407" spans="1:7" ht="12.75">
      <c r="A7407" s="134" t="s">
        <v>483</v>
      </c>
      <c r="B7407" s="134">
        <v>143</v>
      </c>
      <c r="C7407" s="491">
        <v>6</v>
      </c>
      <c r="D7407" s="491">
        <v>0</v>
      </c>
      <c r="E7407" s="491">
        <v>0</v>
      </c>
      <c r="F7407" s="491">
        <v>0</v>
      </c>
      <c r="G7407" s="491">
        <f t="shared" si="115"/>
        <v>6</v>
      </c>
    </row>
    <row r="7408" spans="1:7" ht="12.75">
      <c r="A7408" s="134" t="s">
        <v>483</v>
      </c>
      <c r="B7408" s="134">
        <v>144</v>
      </c>
      <c r="C7408" s="491">
        <v>1</v>
      </c>
      <c r="D7408" s="491">
        <v>1</v>
      </c>
      <c r="E7408" s="491">
        <v>0</v>
      </c>
      <c r="F7408" s="491">
        <v>0</v>
      </c>
      <c r="G7408" s="491">
        <f t="shared" si="115"/>
        <v>2</v>
      </c>
    </row>
    <row r="7409" spans="1:7" ht="12.75">
      <c r="A7409" s="134" t="s">
        <v>483</v>
      </c>
      <c r="B7409" s="134">
        <v>150</v>
      </c>
      <c r="C7409" s="491">
        <v>0</v>
      </c>
      <c r="D7409" s="491">
        <v>1</v>
      </c>
      <c r="E7409" s="491">
        <v>0</v>
      </c>
      <c r="F7409" s="491">
        <v>0</v>
      </c>
      <c r="G7409" s="491">
        <f t="shared" si="115"/>
        <v>1</v>
      </c>
    </row>
    <row r="7410" spans="1:7" ht="12.75">
      <c r="A7410" s="134" t="s">
        <v>483</v>
      </c>
      <c r="B7410" s="134">
        <v>160</v>
      </c>
      <c r="C7410" s="491">
        <v>1</v>
      </c>
      <c r="D7410" s="491">
        <v>2</v>
      </c>
      <c r="E7410" s="491">
        <v>0</v>
      </c>
      <c r="F7410" s="491">
        <v>0</v>
      </c>
      <c r="G7410" s="491">
        <f t="shared" si="115"/>
        <v>3</v>
      </c>
    </row>
    <row r="7411" spans="1:7" ht="12.75">
      <c r="A7411" s="134" t="s">
        <v>483</v>
      </c>
      <c r="B7411" s="134">
        <v>171</v>
      </c>
      <c r="C7411" s="491">
        <v>0</v>
      </c>
      <c r="D7411" s="491">
        <v>1</v>
      </c>
      <c r="E7411" s="491">
        <v>0</v>
      </c>
      <c r="F7411" s="491">
        <v>0</v>
      </c>
      <c r="G7411" s="491">
        <f t="shared" si="115"/>
        <v>1</v>
      </c>
    </row>
    <row r="7412" spans="1:7" ht="12.75">
      <c r="A7412" s="134" t="s">
        <v>483</v>
      </c>
      <c r="B7412" s="134">
        <v>180</v>
      </c>
      <c r="C7412" s="491">
        <v>0</v>
      </c>
      <c r="D7412" s="491">
        <v>1</v>
      </c>
      <c r="E7412" s="491">
        <v>0</v>
      </c>
      <c r="F7412" s="491">
        <v>0</v>
      </c>
      <c r="G7412" s="491">
        <f t="shared" si="115"/>
        <v>1</v>
      </c>
    </row>
    <row r="7413" spans="1:7" ht="12.75">
      <c r="A7413" s="134" t="s">
        <v>483</v>
      </c>
      <c r="B7413" s="134">
        <v>190</v>
      </c>
      <c r="C7413" s="491">
        <v>2</v>
      </c>
      <c r="D7413" s="491">
        <v>2</v>
      </c>
      <c r="E7413" s="491">
        <v>0</v>
      </c>
      <c r="F7413" s="491">
        <v>0</v>
      </c>
      <c r="G7413" s="491">
        <f t="shared" si="115"/>
        <v>4</v>
      </c>
    </row>
    <row r="7414" spans="1:7" ht="12.75">
      <c r="A7414" s="134" t="s">
        <v>483</v>
      </c>
      <c r="B7414" s="134">
        <v>191</v>
      </c>
      <c r="C7414" s="491">
        <v>3</v>
      </c>
      <c r="D7414" s="491">
        <v>0</v>
      </c>
      <c r="E7414" s="491">
        <v>0</v>
      </c>
      <c r="F7414" s="491">
        <v>0</v>
      </c>
      <c r="G7414" s="491">
        <f t="shared" si="115"/>
        <v>3</v>
      </c>
    </row>
    <row r="7415" spans="1:7" ht="12.75">
      <c r="A7415" s="134" t="s">
        <v>483</v>
      </c>
      <c r="B7415" s="134">
        <v>211</v>
      </c>
      <c r="C7415" s="491">
        <v>0</v>
      </c>
      <c r="D7415" s="491">
        <v>1</v>
      </c>
      <c r="E7415" s="491">
        <v>0</v>
      </c>
      <c r="F7415" s="491">
        <v>0</v>
      </c>
      <c r="G7415" s="491">
        <f t="shared" si="115"/>
        <v>1</v>
      </c>
    </row>
    <row r="7416" spans="1:7" ht="12.75">
      <c r="A7416" s="134" t="s">
        <v>483</v>
      </c>
      <c r="B7416" s="134">
        <v>214</v>
      </c>
      <c r="C7416" s="491">
        <v>0</v>
      </c>
      <c r="D7416" s="491">
        <v>1</v>
      </c>
      <c r="E7416" s="491">
        <v>0</v>
      </c>
      <c r="F7416" s="491">
        <v>0</v>
      </c>
      <c r="G7416" s="491">
        <f t="shared" si="115"/>
        <v>1</v>
      </c>
    </row>
    <row r="7417" spans="1:7" ht="12.75">
      <c r="A7417" s="134" t="s">
        <v>483</v>
      </c>
      <c r="B7417" s="134">
        <v>215</v>
      </c>
      <c r="C7417" s="491">
        <v>0</v>
      </c>
      <c r="D7417" s="491">
        <v>1</v>
      </c>
      <c r="E7417" s="491">
        <v>0</v>
      </c>
      <c r="F7417" s="491">
        <v>0</v>
      </c>
      <c r="G7417" s="491">
        <f t="shared" si="115"/>
        <v>1</v>
      </c>
    </row>
    <row r="7418" spans="1:7" ht="12.75">
      <c r="A7418" s="134" t="s">
        <v>483</v>
      </c>
      <c r="B7418" s="134">
        <v>216</v>
      </c>
      <c r="C7418" s="491">
        <v>2</v>
      </c>
      <c r="D7418" s="491">
        <v>3</v>
      </c>
      <c r="E7418" s="491">
        <v>0</v>
      </c>
      <c r="F7418" s="491">
        <v>0</v>
      </c>
      <c r="G7418" s="491">
        <f t="shared" si="115"/>
        <v>5</v>
      </c>
    </row>
    <row r="7419" spans="1:7" ht="12.75">
      <c r="A7419" s="134" t="s">
        <v>483</v>
      </c>
      <c r="B7419" s="134">
        <v>251</v>
      </c>
      <c r="C7419" s="491">
        <v>0</v>
      </c>
      <c r="D7419" s="491">
        <v>1</v>
      </c>
      <c r="E7419" s="491">
        <v>0</v>
      </c>
      <c r="F7419" s="491">
        <v>0</v>
      </c>
      <c r="G7419" s="491">
        <f t="shared" si="115"/>
        <v>1</v>
      </c>
    </row>
    <row r="7420" spans="1:7" ht="12.75">
      <c r="A7420" s="134" t="s">
        <v>483</v>
      </c>
      <c r="B7420" s="134">
        <v>253</v>
      </c>
      <c r="C7420" s="491">
        <v>0</v>
      </c>
      <c r="D7420" s="491">
        <v>1</v>
      </c>
      <c r="E7420" s="491">
        <v>0</v>
      </c>
      <c r="F7420" s="491">
        <v>0</v>
      </c>
      <c r="G7420" s="491">
        <f t="shared" si="115"/>
        <v>1</v>
      </c>
    </row>
    <row r="7421" spans="1:7" ht="12.75">
      <c r="A7421" s="134" t="s">
        <v>483</v>
      </c>
      <c r="B7421" s="134">
        <v>257</v>
      </c>
      <c r="C7421" s="491">
        <v>9</v>
      </c>
      <c r="D7421" s="491">
        <v>1</v>
      </c>
      <c r="E7421" s="491">
        <v>0</v>
      </c>
      <c r="F7421" s="491">
        <v>0</v>
      </c>
      <c r="G7421" s="491">
        <f t="shared" si="115"/>
        <v>10</v>
      </c>
    </row>
    <row r="7422" spans="1:7" ht="12.75">
      <c r="A7422" s="134" t="s">
        <v>483</v>
      </c>
      <c r="B7422" s="134">
        <v>300</v>
      </c>
      <c r="C7422" s="491">
        <v>0</v>
      </c>
      <c r="D7422" s="491">
        <v>1</v>
      </c>
      <c r="E7422" s="491">
        <v>0</v>
      </c>
      <c r="F7422" s="491">
        <v>0</v>
      </c>
      <c r="G7422" s="491">
        <f t="shared" si="115"/>
        <v>1</v>
      </c>
    </row>
    <row r="7423" spans="1:7" ht="12.75">
      <c r="A7423" s="134" t="s">
        <v>483</v>
      </c>
      <c r="B7423" s="134">
        <v>301</v>
      </c>
      <c r="C7423" s="491">
        <v>4</v>
      </c>
      <c r="D7423" s="491">
        <v>2</v>
      </c>
      <c r="E7423" s="491">
        <v>0</v>
      </c>
      <c r="F7423" s="491">
        <v>0</v>
      </c>
      <c r="G7423" s="491">
        <f t="shared" si="115"/>
        <v>6</v>
      </c>
    </row>
    <row r="7424" spans="1:7" ht="12.75">
      <c r="A7424" s="134" t="s">
        <v>483</v>
      </c>
      <c r="B7424" s="134">
        <v>302</v>
      </c>
      <c r="C7424" s="491">
        <v>0</v>
      </c>
      <c r="D7424" s="491">
        <v>3</v>
      </c>
      <c r="E7424" s="491">
        <v>17</v>
      </c>
      <c r="F7424" s="491">
        <v>3</v>
      </c>
      <c r="G7424" s="491">
        <f t="shared" si="115"/>
        <v>23</v>
      </c>
    </row>
    <row r="7425" spans="1:7" ht="12.75">
      <c r="A7425" s="134" t="s">
        <v>483</v>
      </c>
      <c r="B7425" s="134">
        <v>303</v>
      </c>
      <c r="C7425" s="491">
        <v>7</v>
      </c>
      <c r="D7425" s="491">
        <v>1</v>
      </c>
      <c r="E7425" s="491">
        <v>0</v>
      </c>
      <c r="F7425" s="491">
        <v>0</v>
      </c>
      <c r="G7425" s="491">
        <f t="shared" si="115"/>
        <v>8</v>
      </c>
    </row>
    <row r="7426" spans="1:7" ht="12.75">
      <c r="A7426" s="134" t="s">
        <v>483</v>
      </c>
      <c r="B7426" s="134">
        <v>306</v>
      </c>
      <c r="C7426" s="491">
        <v>0</v>
      </c>
      <c r="D7426" s="491">
        <v>3</v>
      </c>
      <c r="E7426" s="491">
        <v>0</v>
      </c>
      <c r="F7426" s="491">
        <v>0</v>
      </c>
      <c r="G7426" s="491">
        <f t="shared" si="115"/>
        <v>3</v>
      </c>
    </row>
    <row r="7427" spans="1:7" ht="12.75">
      <c r="A7427" s="134" t="s">
        <v>483</v>
      </c>
      <c r="B7427" s="134">
        <v>307</v>
      </c>
      <c r="C7427" s="491">
        <v>1</v>
      </c>
      <c r="D7427" s="491">
        <v>1</v>
      </c>
      <c r="E7427" s="491">
        <v>0</v>
      </c>
      <c r="F7427" s="491">
        <v>0</v>
      </c>
      <c r="G7427" s="491">
        <f t="shared" si="115"/>
        <v>2</v>
      </c>
    </row>
    <row r="7428" spans="1:7" ht="12.75">
      <c r="A7428" s="134" t="s">
        <v>483</v>
      </c>
      <c r="B7428" s="134">
        <v>310</v>
      </c>
      <c r="C7428" s="491">
        <v>0</v>
      </c>
      <c r="D7428" s="491">
        <v>2</v>
      </c>
      <c r="E7428" s="491">
        <v>0</v>
      </c>
      <c r="F7428" s="491">
        <v>0</v>
      </c>
      <c r="G7428" s="491">
        <f t="shared" ref="G7428:G7491" si="116">SUM(C7428:F7428)</f>
        <v>2</v>
      </c>
    </row>
    <row r="7429" spans="1:7" ht="12.75">
      <c r="A7429" s="134" t="s">
        <v>483</v>
      </c>
      <c r="B7429" s="134">
        <v>311</v>
      </c>
      <c r="C7429" s="491">
        <v>0</v>
      </c>
      <c r="D7429" s="491">
        <v>1</v>
      </c>
      <c r="E7429" s="491">
        <v>0</v>
      </c>
      <c r="F7429" s="491">
        <v>0</v>
      </c>
      <c r="G7429" s="491">
        <f t="shared" si="116"/>
        <v>1</v>
      </c>
    </row>
    <row r="7430" spans="1:7" ht="12.75">
      <c r="A7430" s="134" t="s">
        <v>483</v>
      </c>
      <c r="B7430" s="134">
        <v>314</v>
      </c>
      <c r="C7430" s="491">
        <v>1</v>
      </c>
      <c r="D7430" s="491">
        <v>1</v>
      </c>
      <c r="E7430" s="491">
        <v>0</v>
      </c>
      <c r="F7430" s="491">
        <v>0</v>
      </c>
      <c r="G7430" s="491">
        <f t="shared" si="116"/>
        <v>2</v>
      </c>
    </row>
    <row r="7431" spans="1:7" ht="12.75">
      <c r="A7431" s="134" t="s">
        <v>483</v>
      </c>
      <c r="B7431" s="134">
        <v>320</v>
      </c>
      <c r="C7431" s="491">
        <v>4</v>
      </c>
      <c r="D7431" s="491">
        <v>20</v>
      </c>
      <c r="E7431" s="491">
        <v>0</v>
      </c>
      <c r="F7431" s="491">
        <v>0</v>
      </c>
      <c r="G7431" s="491">
        <f t="shared" si="116"/>
        <v>24</v>
      </c>
    </row>
    <row r="7432" spans="1:7" ht="12.75">
      <c r="A7432" s="134" t="s">
        <v>483</v>
      </c>
      <c r="B7432" s="134">
        <v>330</v>
      </c>
      <c r="C7432" s="491">
        <v>165</v>
      </c>
      <c r="D7432" s="491">
        <v>118</v>
      </c>
      <c r="E7432" s="491">
        <v>2</v>
      </c>
      <c r="F7432" s="491">
        <v>0</v>
      </c>
      <c r="G7432" s="491">
        <f t="shared" si="116"/>
        <v>285</v>
      </c>
    </row>
    <row r="7433" spans="1:7" ht="12.75">
      <c r="A7433" s="134" t="s">
        <v>483</v>
      </c>
      <c r="B7433" s="134">
        <v>340</v>
      </c>
      <c r="C7433" s="491">
        <v>4</v>
      </c>
      <c r="D7433" s="491">
        <v>7</v>
      </c>
      <c r="E7433" s="491">
        <v>0</v>
      </c>
      <c r="F7433" s="491">
        <v>0</v>
      </c>
      <c r="G7433" s="491">
        <f t="shared" si="116"/>
        <v>11</v>
      </c>
    </row>
    <row r="7434" spans="1:7" ht="12.75">
      <c r="A7434" s="134" t="s">
        <v>483</v>
      </c>
      <c r="B7434" s="134">
        <v>341</v>
      </c>
      <c r="C7434" s="491">
        <v>0</v>
      </c>
      <c r="D7434" s="491">
        <v>1</v>
      </c>
      <c r="E7434" s="491">
        <v>0</v>
      </c>
      <c r="F7434" s="491">
        <v>0</v>
      </c>
      <c r="G7434" s="491">
        <f t="shared" si="116"/>
        <v>1</v>
      </c>
    </row>
    <row r="7435" spans="1:7" ht="12.75">
      <c r="A7435" s="134" t="s">
        <v>483</v>
      </c>
      <c r="B7435" s="134">
        <v>360</v>
      </c>
      <c r="C7435" s="491">
        <v>2</v>
      </c>
      <c r="D7435" s="491">
        <v>3</v>
      </c>
      <c r="E7435" s="491">
        <v>0</v>
      </c>
      <c r="F7435" s="491">
        <v>0</v>
      </c>
      <c r="G7435" s="491">
        <f t="shared" si="116"/>
        <v>5</v>
      </c>
    </row>
    <row r="7436" spans="1:7" ht="12.75">
      <c r="A7436" s="134" t="s">
        <v>483</v>
      </c>
      <c r="B7436" s="134">
        <v>361</v>
      </c>
      <c r="C7436" s="491">
        <v>1</v>
      </c>
      <c r="D7436" s="491">
        <v>3</v>
      </c>
      <c r="E7436" s="491">
        <v>0</v>
      </c>
      <c r="F7436" s="491">
        <v>0</v>
      </c>
      <c r="G7436" s="491">
        <f t="shared" si="116"/>
        <v>4</v>
      </c>
    </row>
    <row r="7437" spans="1:7" ht="12.75">
      <c r="A7437" s="134" t="s">
        <v>483</v>
      </c>
      <c r="B7437" s="134">
        <v>370</v>
      </c>
      <c r="C7437" s="491">
        <v>8</v>
      </c>
      <c r="D7437" s="491">
        <v>2</v>
      </c>
      <c r="E7437" s="491">
        <v>0</v>
      </c>
      <c r="F7437" s="491">
        <v>0</v>
      </c>
      <c r="G7437" s="491">
        <f t="shared" si="116"/>
        <v>10</v>
      </c>
    </row>
    <row r="7438" spans="1:7" ht="12.75">
      <c r="A7438" s="134" t="s">
        <v>483</v>
      </c>
      <c r="B7438" s="134">
        <v>400</v>
      </c>
      <c r="C7438" s="491">
        <v>0</v>
      </c>
      <c r="D7438" s="491">
        <v>7</v>
      </c>
      <c r="E7438" s="491">
        <v>0</v>
      </c>
      <c r="F7438" s="491">
        <v>0</v>
      </c>
      <c r="G7438" s="491">
        <f t="shared" si="116"/>
        <v>7</v>
      </c>
    </row>
    <row r="7439" spans="1:7" ht="12.75">
      <c r="A7439" s="134" t="s">
        <v>483</v>
      </c>
      <c r="B7439" s="134">
        <v>410</v>
      </c>
      <c r="C7439" s="491">
        <v>3</v>
      </c>
      <c r="D7439" s="491">
        <v>3</v>
      </c>
      <c r="E7439" s="491">
        <v>0</v>
      </c>
      <c r="F7439" s="491">
        <v>0</v>
      </c>
      <c r="G7439" s="491">
        <f t="shared" si="116"/>
        <v>6</v>
      </c>
    </row>
    <row r="7440" spans="1:7" ht="12.75">
      <c r="A7440" s="134" t="s">
        <v>483</v>
      </c>
      <c r="B7440" s="134">
        <v>420</v>
      </c>
      <c r="C7440" s="491">
        <v>3</v>
      </c>
      <c r="D7440" s="491">
        <v>2</v>
      </c>
      <c r="E7440" s="491">
        <v>0</v>
      </c>
      <c r="F7440" s="491">
        <v>0</v>
      </c>
      <c r="G7440" s="491">
        <f t="shared" si="116"/>
        <v>5</v>
      </c>
    </row>
    <row r="7441" spans="1:7" ht="12.75">
      <c r="A7441" s="134" t="s">
        <v>483</v>
      </c>
      <c r="B7441" s="134">
        <v>422</v>
      </c>
      <c r="C7441" s="491">
        <v>0</v>
      </c>
      <c r="D7441" s="491">
        <v>1</v>
      </c>
      <c r="E7441" s="491">
        <v>0</v>
      </c>
      <c r="F7441" s="491">
        <v>0</v>
      </c>
      <c r="G7441" s="491">
        <f t="shared" si="116"/>
        <v>1</v>
      </c>
    </row>
    <row r="7442" spans="1:7" ht="12.75">
      <c r="A7442" s="134" t="s">
        <v>483</v>
      </c>
      <c r="B7442" s="134">
        <v>430</v>
      </c>
      <c r="C7442" s="491">
        <v>5</v>
      </c>
      <c r="D7442" s="491">
        <v>1</v>
      </c>
      <c r="E7442" s="491">
        <v>0</v>
      </c>
      <c r="F7442" s="491">
        <v>0</v>
      </c>
      <c r="G7442" s="491">
        <f t="shared" si="116"/>
        <v>6</v>
      </c>
    </row>
    <row r="7443" spans="1:7" ht="12.75">
      <c r="A7443" s="134" t="s">
        <v>483</v>
      </c>
      <c r="B7443" s="134">
        <v>501</v>
      </c>
      <c r="C7443" s="491">
        <v>359</v>
      </c>
      <c r="D7443" s="491">
        <v>294</v>
      </c>
      <c r="E7443" s="491">
        <v>9</v>
      </c>
      <c r="F7443" s="491">
        <v>2</v>
      </c>
      <c r="G7443" s="491">
        <f t="shared" si="116"/>
        <v>664</v>
      </c>
    </row>
    <row r="7444" spans="1:7" ht="12.75">
      <c r="A7444" s="134" t="s">
        <v>483</v>
      </c>
      <c r="B7444" s="134">
        <v>502</v>
      </c>
      <c r="C7444" s="491">
        <v>67669</v>
      </c>
      <c r="D7444" s="491">
        <v>41636</v>
      </c>
      <c r="E7444" s="491">
        <v>2145</v>
      </c>
      <c r="F7444" s="491">
        <v>1223</v>
      </c>
      <c r="G7444" s="491">
        <f t="shared" si="116"/>
        <v>112673</v>
      </c>
    </row>
    <row r="7445" spans="1:7" ht="12.75">
      <c r="A7445" s="134" t="s">
        <v>483</v>
      </c>
      <c r="B7445" s="134">
        <v>503</v>
      </c>
      <c r="C7445" s="491">
        <v>2446</v>
      </c>
      <c r="D7445" s="491">
        <v>2077</v>
      </c>
      <c r="E7445" s="491">
        <v>715</v>
      </c>
      <c r="F7445" s="491">
        <v>141</v>
      </c>
      <c r="G7445" s="491">
        <f t="shared" si="116"/>
        <v>5379</v>
      </c>
    </row>
    <row r="7446" spans="1:7" ht="12.75">
      <c r="A7446" s="134" t="s">
        <v>483</v>
      </c>
      <c r="B7446" s="134">
        <v>560</v>
      </c>
      <c r="C7446" s="491">
        <v>143</v>
      </c>
      <c r="D7446" s="491">
        <v>101</v>
      </c>
      <c r="E7446" s="491">
        <v>0</v>
      </c>
      <c r="F7446" s="491">
        <v>0</v>
      </c>
      <c r="G7446" s="491">
        <f t="shared" si="116"/>
        <v>244</v>
      </c>
    </row>
    <row r="7447" spans="1:7" ht="12.75">
      <c r="A7447" s="134" t="s">
        <v>483</v>
      </c>
      <c r="B7447" s="134">
        <v>650</v>
      </c>
      <c r="C7447" s="491">
        <v>166</v>
      </c>
      <c r="D7447" s="491">
        <v>9</v>
      </c>
      <c r="E7447" s="491">
        <v>0</v>
      </c>
      <c r="F7447" s="491">
        <v>0</v>
      </c>
      <c r="G7447" s="491">
        <f t="shared" si="116"/>
        <v>175</v>
      </c>
    </row>
    <row r="7448" spans="1:7" ht="12.75">
      <c r="A7448" s="134" t="s">
        <v>483</v>
      </c>
      <c r="B7448" s="134">
        <v>654</v>
      </c>
      <c r="C7448" s="491">
        <v>4</v>
      </c>
      <c r="D7448" s="491">
        <v>1</v>
      </c>
      <c r="E7448" s="491">
        <v>0</v>
      </c>
      <c r="F7448" s="491">
        <v>0</v>
      </c>
      <c r="G7448" s="491">
        <f t="shared" si="116"/>
        <v>5</v>
      </c>
    </row>
    <row r="7449" spans="1:7" ht="12.75">
      <c r="A7449" s="134" t="s">
        <v>483</v>
      </c>
      <c r="B7449" s="134">
        <v>800</v>
      </c>
      <c r="C7449" s="491">
        <v>335</v>
      </c>
      <c r="D7449" s="491">
        <v>81</v>
      </c>
      <c r="E7449" s="491">
        <v>2</v>
      </c>
      <c r="F7449" s="491">
        <v>0</v>
      </c>
      <c r="G7449" s="491">
        <f t="shared" si="116"/>
        <v>418</v>
      </c>
    </row>
    <row r="7450" spans="1:7" ht="12.75">
      <c r="A7450" s="134" t="s">
        <v>483</v>
      </c>
      <c r="B7450" s="134">
        <v>811</v>
      </c>
      <c r="C7450" s="491">
        <v>0</v>
      </c>
      <c r="D7450" s="491">
        <v>0</v>
      </c>
      <c r="E7450" s="491">
        <v>0</v>
      </c>
      <c r="F7450" s="491">
        <v>1</v>
      </c>
      <c r="G7450" s="491">
        <f t="shared" si="116"/>
        <v>1</v>
      </c>
    </row>
    <row r="7451" spans="1:7" ht="12.75">
      <c r="A7451" s="134" t="s">
        <v>483</v>
      </c>
      <c r="B7451" s="134">
        <v>812</v>
      </c>
      <c r="C7451" s="491">
        <v>0</v>
      </c>
      <c r="D7451" s="491">
        <v>1</v>
      </c>
      <c r="E7451" s="491">
        <v>0</v>
      </c>
      <c r="F7451" s="491">
        <v>0</v>
      </c>
      <c r="G7451" s="491">
        <f t="shared" si="116"/>
        <v>1</v>
      </c>
    </row>
    <row r="7452" spans="1:7" ht="12.75">
      <c r="A7452" s="134" t="s">
        <v>483</v>
      </c>
      <c r="B7452" s="134">
        <v>840</v>
      </c>
      <c r="C7452" s="491">
        <v>1</v>
      </c>
      <c r="D7452" s="491">
        <v>0</v>
      </c>
      <c r="E7452" s="491">
        <v>0</v>
      </c>
      <c r="F7452" s="491">
        <v>0</v>
      </c>
      <c r="G7452" s="491">
        <f t="shared" si="116"/>
        <v>1</v>
      </c>
    </row>
    <row r="7453" spans="1:7" ht="12.75">
      <c r="A7453" s="134" t="s">
        <v>185</v>
      </c>
      <c r="B7453" s="134">
        <v>214</v>
      </c>
      <c r="C7453" s="491">
        <v>0</v>
      </c>
      <c r="D7453" s="491">
        <v>1</v>
      </c>
      <c r="E7453" s="491">
        <v>0</v>
      </c>
      <c r="F7453" s="491">
        <v>0</v>
      </c>
      <c r="G7453" s="491">
        <f t="shared" si="116"/>
        <v>1</v>
      </c>
    </row>
    <row r="7454" spans="1:7" ht="12.75">
      <c r="A7454" s="134" t="s">
        <v>185</v>
      </c>
      <c r="B7454" s="134">
        <v>330</v>
      </c>
      <c r="C7454" s="491">
        <v>2</v>
      </c>
      <c r="D7454" s="491">
        <v>0</v>
      </c>
      <c r="E7454" s="491">
        <v>0</v>
      </c>
      <c r="F7454" s="491">
        <v>0</v>
      </c>
      <c r="G7454" s="491">
        <f t="shared" si="116"/>
        <v>2</v>
      </c>
    </row>
    <row r="7455" spans="1:7" ht="12.75">
      <c r="A7455" s="134" t="s">
        <v>185</v>
      </c>
      <c r="B7455" s="134">
        <v>501</v>
      </c>
      <c r="C7455" s="491">
        <v>14</v>
      </c>
      <c r="D7455" s="491">
        <v>3</v>
      </c>
      <c r="E7455" s="491">
        <v>0</v>
      </c>
      <c r="F7455" s="491">
        <v>1</v>
      </c>
      <c r="G7455" s="491">
        <f t="shared" si="116"/>
        <v>18</v>
      </c>
    </row>
    <row r="7456" spans="1:7" ht="12.75">
      <c r="A7456" s="134" t="s">
        <v>185</v>
      </c>
      <c r="B7456" s="134">
        <v>502</v>
      </c>
      <c r="C7456" s="491">
        <v>744</v>
      </c>
      <c r="D7456" s="491">
        <v>811</v>
      </c>
      <c r="E7456" s="491">
        <v>3</v>
      </c>
      <c r="F7456" s="491">
        <v>7</v>
      </c>
      <c r="G7456" s="491">
        <f t="shared" si="116"/>
        <v>1565</v>
      </c>
    </row>
    <row r="7457" spans="1:7" ht="12.75">
      <c r="A7457" s="134" t="s">
        <v>185</v>
      </c>
      <c r="B7457" s="134">
        <v>503</v>
      </c>
      <c r="C7457" s="491">
        <v>21</v>
      </c>
      <c r="D7457" s="491">
        <v>11</v>
      </c>
      <c r="E7457" s="491">
        <v>0</v>
      </c>
      <c r="F7457" s="491">
        <v>0</v>
      </c>
      <c r="G7457" s="491">
        <f t="shared" si="116"/>
        <v>32</v>
      </c>
    </row>
    <row r="7458" spans="1:7" ht="12.75">
      <c r="A7458" s="134" t="s">
        <v>185</v>
      </c>
      <c r="B7458" s="134">
        <v>653</v>
      </c>
      <c r="C7458" s="491">
        <v>1</v>
      </c>
      <c r="D7458" s="491">
        <v>0</v>
      </c>
      <c r="E7458" s="491">
        <v>0</v>
      </c>
      <c r="F7458" s="491">
        <v>0</v>
      </c>
      <c r="G7458" s="491">
        <f t="shared" si="116"/>
        <v>1</v>
      </c>
    </row>
    <row r="7459" spans="1:7" ht="12.75">
      <c r="A7459" s="134" t="s">
        <v>474</v>
      </c>
      <c r="B7459" s="134">
        <v>100</v>
      </c>
      <c r="C7459" s="491">
        <v>12</v>
      </c>
      <c r="D7459" s="491">
        <v>131</v>
      </c>
      <c r="E7459" s="491">
        <v>3</v>
      </c>
      <c r="F7459" s="491">
        <v>0</v>
      </c>
      <c r="G7459" s="491">
        <f t="shared" si="116"/>
        <v>146</v>
      </c>
    </row>
    <row r="7460" spans="1:7" ht="12.75">
      <c r="A7460" s="134" t="s">
        <v>474</v>
      </c>
      <c r="B7460" s="134">
        <v>101</v>
      </c>
      <c r="C7460" s="491">
        <v>29</v>
      </c>
      <c r="D7460" s="491">
        <v>113</v>
      </c>
      <c r="E7460" s="491">
        <v>25</v>
      </c>
      <c r="F7460" s="491">
        <v>68</v>
      </c>
      <c r="G7460" s="491">
        <f t="shared" si="116"/>
        <v>235</v>
      </c>
    </row>
    <row r="7461" spans="1:7" ht="12.75">
      <c r="A7461" s="134" t="s">
        <v>474</v>
      </c>
      <c r="B7461" s="134">
        <v>103</v>
      </c>
      <c r="C7461" s="491">
        <v>0</v>
      </c>
      <c r="D7461" s="491">
        <v>94</v>
      </c>
      <c r="E7461" s="491">
        <v>0</v>
      </c>
      <c r="F7461" s="491">
        <v>0</v>
      </c>
      <c r="G7461" s="491">
        <f t="shared" si="116"/>
        <v>94</v>
      </c>
    </row>
    <row r="7462" spans="1:7" ht="12.75">
      <c r="A7462" s="134" t="s">
        <v>474</v>
      </c>
      <c r="B7462" s="134">
        <v>104</v>
      </c>
      <c r="C7462" s="491">
        <v>0</v>
      </c>
      <c r="D7462" s="491">
        <v>3</v>
      </c>
      <c r="E7462" s="491">
        <v>0</v>
      </c>
      <c r="F7462" s="491">
        <v>0</v>
      </c>
      <c r="G7462" s="491">
        <f t="shared" si="116"/>
        <v>3</v>
      </c>
    </row>
    <row r="7463" spans="1:7" ht="12.75">
      <c r="A7463" s="134" t="s">
        <v>474</v>
      </c>
      <c r="B7463" s="134">
        <v>107</v>
      </c>
      <c r="C7463" s="491">
        <v>1</v>
      </c>
      <c r="D7463" s="491">
        <v>0</v>
      </c>
      <c r="E7463" s="491">
        <v>0</v>
      </c>
      <c r="F7463" s="491">
        <v>0</v>
      </c>
      <c r="G7463" s="491">
        <f t="shared" si="116"/>
        <v>1</v>
      </c>
    </row>
    <row r="7464" spans="1:7" ht="12.75">
      <c r="A7464" s="134" t="s">
        <v>474</v>
      </c>
      <c r="B7464" s="134">
        <v>110</v>
      </c>
      <c r="C7464" s="491">
        <v>12</v>
      </c>
      <c r="D7464" s="491">
        <v>9</v>
      </c>
      <c r="E7464" s="491">
        <v>0</v>
      </c>
      <c r="F7464" s="491">
        <v>0</v>
      </c>
      <c r="G7464" s="491">
        <f t="shared" si="116"/>
        <v>21</v>
      </c>
    </row>
    <row r="7465" spans="1:7" ht="12.75">
      <c r="A7465" s="134" t="s">
        <v>474</v>
      </c>
      <c r="B7465" s="134">
        <v>120</v>
      </c>
      <c r="C7465" s="491">
        <v>1</v>
      </c>
      <c r="D7465" s="491">
        <v>0</v>
      </c>
      <c r="E7465" s="491">
        <v>0</v>
      </c>
      <c r="F7465" s="491">
        <v>0</v>
      </c>
      <c r="G7465" s="491">
        <f t="shared" si="116"/>
        <v>1</v>
      </c>
    </row>
    <row r="7466" spans="1:7" ht="12.75">
      <c r="A7466" s="134" t="s">
        <v>474</v>
      </c>
      <c r="B7466" s="134">
        <v>130</v>
      </c>
      <c r="C7466" s="491">
        <v>13</v>
      </c>
      <c r="D7466" s="491">
        <v>1</v>
      </c>
      <c r="E7466" s="491">
        <v>0</v>
      </c>
      <c r="F7466" s="491">
        <v>0</v>
      </c>
      <c r="G7466" s="491">
        <f t="shared" si="116"/>
        <v>14</v>
      </c>
    </row>
    <row r="7467" spans="1:7" ht="12.75">
      <c r="A7467" s="134" t="s">
        <v>474</v>
      </c>
      <c r="B7467" s="134">
        <v>143</v>
      </c>
      <c r="C7467" s="491">
        <v>0</v>
      </c>
      <c r="D7467" s="491">
        <v>1</v>
      </c>
      <c r="E7467" s="491">
        <v>0</v>
      </c>
      <c r="F7467" s="491">
        <v>0</v>
      </c>
      <c r="G7467" s="491">
        <f t="shared" si="116"/>
        <v>1</v>
      </c>
    </row>
    <row r="7468" spans="1:7" ht="12.75">
      <c r="A7468" s="134" t="s">
        <v>474</v>
      </c>
      <c r="B7468" s="134">
        <v>144</v>
      </c>
      <c r="C7468" s="491">
        <v>1</v>
      </c>
      <c r="D7468" s="491">
        <v>0</v>
      </c>
      <c r="E7468" s="491">
        <v>0</v>
      </c>
      <c r="F7468" s="491">
        <v>1</v>
      </c>
      <c r="G7468" s="491">
        <f t="shared" si="116"/>
        <v>2</v>
      </c>
    </row>
    <row r="7469" spans="1:7" ht="12.75">
      <c r="A7469" s="134" t="s">
        <v>474</v>
      </c>
      <c r="B7469" s="134">
        <v>160</v>
      </c>
      <c r="C7469" s="491">
        <v>1</v>
      </c>
      <c r="D7469" s="491">
        <v>0</v>
      </c>
      <c r="E7469" s="491">
        <v>0</v>
      </c>
      <c r="F7469" s="491">
        <v>0</v>
      </c>
      <c r="G7469" s="491">
        <f t="shared" si="116"/>
        <v>1</v>
      </c>
    </row>
    <row r="7470" spans="1:7" ht="12.75">
      <c r="A7470" s="134" t="s">
        <v>474</v>
      </c>
      <c r="B7470" s="134">
        <v>171</v>
      </c>
      <c r="C7470" s="491">
        <v>1</v>
      </c>
      <c r="D7470" s="491">
        <v>0</v>
      </c>
      <c r="E7470" s="491">
        <v>0</v>
      </c>
      <c r="F7470" s="491">
        <v>0</v>
      </c>
      <c r="G7470" s="491">
        <f t="shared" si="116"/>
        <v>1</v>
      </c>
    </row>
    <row r="7471" spans="1:7" ht="12.75">
      <c r="A7471" s="134" t="s">
        <v>474</v>
      </c>
      <c r="B7471" s="134">
        <v>180</v>
      </c>
      <c r="C7471" s="491">
        <v>2</v>
      </c>
      <c r="D7471" s="491">
        <v>0</v>
      </c>
      <c r="E7471" s="491">
        <v>0</v>
      </c>
      <c r="F7471" s="491">
        <v>0</v>
      </c>
      <c r="G7471" s="491">
        <f t="shared" si="116"/>
        <v>2</v>
      </c>
    </row>
    <row r="7472" spans="1:7" ht="12.75">
      <c r="A7472" s="134" t="s">
        <v>474</v>
      </c>
      <c r="B7472" s="134">
        <v>190</v>
      </c>
      <c r="C7472" s="491">
        <v>1</v>
      </c>
      <c r="D7472" s="491">
        <v>4</v>
      </c>
      <c r="E7472" s="491">
        <v>0</v>
      </c>
      <c r="F7472" s="491">
        <v>0</v>
      </c>
      <c r="G7472" s="491">
        <f t="shared" si="116"/>
        <v>5</v>
      </c>
    </row>
    <row r="7473" spans="1:7" ht="12.75">
      <c r="A7473" s="134" t="s">
        <v>474</v>
      </c>
      <c r="B7473" s="134">
        <v>191</v>
      </c>
      <c r="C7473" s="491">
        <v>3</v>
      </c>
      <c r="D7473" s="491">
        <v>0</v>
      </c>
      <c r="E7473" s="491">
        <v>0</v>
      </c>
      <c r="F7473" s="491">
        <v>0</v>
      </c>
      <c r="G7473" s="491">
        <f t="shared" si="116"/>
        <v>3</v>
      </c>
    </row>
    <row r="7474" spans="1:7" ht="12.75">
      <c r="A7474" s="134" t="s">
        <v>474</v>
      </c>
      <c r="B7474" s="134">
        <v>214</v>
      </c>
      <c r="C7474" s="491">
        <v>0</v>
      </c>
      <c r="D7474" s="491">
        <v>1</v>
      </c>
      <c r="E7474" s="491">
        <v>0</v>
      </c>
      <c r="F7474" s="491">
        <v>0</v>
      </c>
      <c r="G7474" s="491">
        <f t="shared" si="116"/>
        <v>1</v>
      </c>
    </row>
    <row r="7475" spans="1:7" ht="12.75">
      <c r="A7475" s="134" t="s">
        <v>474</v>
      </c>
      <c r="B7475" s="134">
        <v>216</v>
      </c>
      <c r="C7475" s="491">
        <v>1</v>
      </c>
      <c r="D7475" s="491">
        <v>0</v>
      </c>
      <c r="E7475" s="491">
        <v>0</v>
      </c>
      <c r="F7475" s="491">
        <v>0</v>
      </c>
      <c r="G7475" s="491">
        <f t="shared" si="116"/>
        <v>1</v>
      </c>
    </row>
    <row r="7476" spans="1:7" ht="12.75">
      <c r="A7476" s="134" t="s">
        <v>474</v>
      </c>
      <c r="B7476" s="134">
        <v>257</v>
      </c>
      <c r="C7476" s="491">
        <v>65</v>
      </c>
      <c r="D7476" s="491">
        <v>1</v>
      </c>
      <c r="E7476" s="491">
        <v>0</v>
      </c>
      <c r="F7476" s="491">
        <v>0</v>
      </c>
      <c r="G7476" s="491">
        <f t="shared" si="116"/>
        <v>66</v>
      </c>
    </row>
    <row r="7477" spans="1:7" ht="12.75">
      <c r="A7477" s="134" t="s">
        <v>474</v>
      </c>
      <c r="B7477" s="134">
        <v>300</v>
      </c>
      <c r="C7477" s="491">
        <v>1</v>
      </c>
      <c r="D7477" s="491">
        <v>1</v>
      </c>
      <c r="E7477" s="491">
        <v>0</v>
      </c>
      <c r="F7477" s="491">
        <v>0</v>
      </c>
      <c r="G7477" s="491">
        <f t="shared" si="116"/>
        <v>2</v>
      </c>
    </row>
    <row r="7478" spans="1:7" ht="12.75">
      <c r="A7478" s="134" t="s">
        <v>474</v>
      </c>
      <c r="B7478" s="134">
        <v>301</v>
      </c>
      <c r="C7478" s="491">
        <v>3</v>
      </c>
      <c r="D7478" s="491">
        <v>0</v>
      </c>
      <c r="E7478" s="491">
        <v>0</v>
      </c>
      <c r="F7478" s="491">
        <v>0</v>
      </c>
      <c r="G7478" s="491">
        <f t="shared" si="116"/>
        <v>3</v>
      </c>
    </row>
    <row r="7479" spans="1:7" ht="12.75">
      <c r="A7479" s="134" t="s">
        <v>474</v>
      </c>
      <c r="B7479" s="134">
        <v>302</v>
      </c>
      <c r="C7479" s="491">
        <v>1</v>
      </c>
      <c r="D7479" s="491">
        <v>0</v>
      </c>
      <c r="E7479" s="491">
        <v>0</v>
      </c>
      <c r="F7479" s="491">
        <v>0</v>
      </c>
      <c r="G7479" s="491">
        <f t="shared" si="116"/>
        <v>1</v>
      </c>
    </row>
    <row r="7480" spans="1:7" ht="12.75">
      <c r="A7480" s="134" t="s">
        <v>474</v>
      </c>
      <c r="B7480" s="134">
        <v>303</v>
      </c>
      <c r="C7480" s="491">
        <v>1</v>
      </c>
      <c r="D7480" s="491">
        <v>0</v>
      </c>
      <c r="E7480" s="491">
        <v>0</v>
      </c>
      <c r="F7480" s="491">
        <v>0</v>
      </c>
      <c r="G7480" s="491">
        <f t="shared" si="116"/>
        <v>1</v>
      </c>
    </row>
    <row r="7481" spans="1:7" ht="12.75">
      <c r="A7481" s="134" t="s">
        <v>474</v>
      </c>
      <c r="B7481" s="134">
        <v>307</v>
      </c>
      <c r="C7481" s="491">
        <v>0</v>
      </c>
      <c r="D7481" s="491">
        <v>1</v>
      </c>
      <c r="E7481" s="491">
        <v>7</v>
      </c>
      <c r="F7481" s="491">
        <v>1</v>
      </c>
      <c r="G7481" s="491">
        <f t="shared" si="116"/>
        <v>9</v>
      </c>
    </row>
    <row r="7482" spans="1:7" ht="12.75">
      <c r="A7482" s="134" t="s">
        <v>474</v>
      </c>
      <c r="B7482" s="134">
        <v>310</v>
      </c>
      <c r="C7482" s="491">
        <v>0</v>
      </c>
      <c r="D7482" s="491">
        <v>1</v>
      </c>
      <c r="E7482" s="491">
        <v>0</v>
      </c>
      <c r="F7482" s="491">
        <v>0</v>
      </c>
      <c r="G7482" s="491">
        <f t="shared" si="116"/>
        <v>1</v>
      </c>
    </row>
    <row r="7483" spans="1:7" ht="12.75">
      <c r="A7483" s="134" t="s">
        <v>474</v>
      </c>
      <c r="B7483" s="134">
        <v>320</v>
      </c>
      <c r="C7483" s="491">
        <v>1</v>
      </c>
      <c r="D7483" s="491">
        <v>2</v>
      </c>
      <c r="E7483" s="491">
        <v>0</v>
      </c>
      <c r="F7483" s="491">
        <v>0</v>
      </c>
      <c r="G7483" s="491">
        <f t="shared" si="116"/>
        <v>3</v>
      </c>
    </row>
    <row r="7484" spans="1:7" ht="12.75">
      <c r="A7484" s="134" t="s">
        <v>474</v>
      </c>
      <c r="B7484" s="134">
        <v>324</v>
      </c>
      <c r="C7484" s="491">
        <v>2</v>
      </c>
      <c r="D7484" s="491">
        <v>0</v>
      </c>
      <c r="E7484" s="491">
        <v>0</v>
      </c>
      <c r="F7484" s="491">
        <v>0</v>
      </c>
      <c r="G7484" s="491">
        <f t="shared" si="116"/>
        <v>2</v>
      </c>
    </row>
    <row r="7485" spans="1:7" ht="12.75">
      <c r="A7485" s="134" t="s">
        <v>474</v>
      </c>
      <c r="B7485" s="134">
        <v>330</v>
      </c>
      <c r="C7485" s="491">
        <v>371</v>
      </c>
      <c r="D7485" s="491">
        <v>9</v>
      </c>
      <c r="E7485" s="491">
        <v>0</v>
      </c>
      <c r="F7485" s="491">
        <v>0</v>
      </c>
      <c r="G7485" s="491">
        <f t="shared" si="116"/>
        <v>380</v>
      </c>
    </row>
    <row r="7486" spans="1:7" ht="12.75">
      <c r="A7486" s="134" t="s">
        <v>474</v>
      </c>
      <c r="B7486" s="134">
        <v>340</v>
      </c>
      <c r="C7486" s="491">
        <v>1</v>
      </c>
      <c r="D7486" s="491">
        <v>2</v>
      </c>
      <c r="E7486" s="491">
        <v>0</v>
      </c>
      <c r="F7486" s="491">
        <v>0</v>
      </c>
      <c r="G7486" s="491">
        <f t="shared" si="116"/>
        <v>3</v>
      </c>
    </row>
    <row r="7487" spans="1:7" ht="12.75">
      <c r="A7487" s="134" t="s">
        <v>474</v>
      </c>
      <c r="B7487" s="134">
        <v>341</v>
      </c>
      <c r="C7487" s="491">
        <v>0</v>
      </c>
      <c r="D7487" s="491">
        <v>1</v>
      </c>
      <c r="E7487" s="491">
        <v>0</v>
      </c>
      <c r="F7487" s="491">
        <v>0</v>
      </c>
      <c r="G7487" s="491">
        <f t="shared" si="116"/>
        <v>1</v>
      </c>
    </row>
    <row r="7488" spans="1:7" ht="12.75">
      <c r="A7488" s="134" t="s">
        <v>474</v>
      </c>
      <c r="B7488" s="134">
        <v>370</v>
      </c>
      <c r="C7488" s="491">
        <v>127</v>
      </c>
      <c r="D7488" s="491">
        <v>3</v>
      </c>
      <c r="E7488" s="491">
        <v>0</v>
      </c>
      <c r="F7488" s="491">
        <v>0</v>
      </c>
      <c r="G7488" s="491">
        <f t="shared" si="116"/>
        <v>130</v>
      </c>
    </row>
    <row r="7489" spans="1:7" ht="12.75">
      <c r="A7489" s="134" t="s">
        <v>474</v>
      </c>
      <c r="B7489" s="134">
        <v>420</v>
      </c>
      <c r="C7489" s="491">
        <v>2</v>
      </c>
      <c r="D7489" s="491">
        <v>0</v>
      </c>
      <c r="E7489" s="491">
        <v>0</v>
      </c>
      <c r="F7489" s="491">
        <v>0</v>
      </c>
      <c r="G7489" s="491">
        <f t="shared" si="116"/>
        <v>2</v>
      </c>
    </row>
    <row r="7490" spans="1:7" ht="12.75">
      <c r="A7490" s="134" t="s">
        <v>474</v>
      </c>
      <c r="B7490" s="134">
        <v>430</v>
      </c>
      <c r="C7490" s="491">
        <v>2</v>
      </c>
      <c r="D7490" s="491">
        <v>0</v>
      </c>
      <c r="E7490" s="491">
        <v>0</v>
      </c>
      <c r="F7490" s="491">
        <v>0</v>
      </c>
      <c r="G7490" s="491">
        <f t="shared" si="116"/>
        <v>2</v>
      </c>
    </row>
    <row r="7491" spans="1:7" ht="12.75">
      <c r="A7491" s="134" t="s">
        <v>474</v>
      </c>
      <c r="B7491" s="134">
        <v>501</v>
      </c>
      <c r="C7491" s="491">
        <v>8184</v>
      </c>
      <c r="D7491" s="491">
        <v>4963</v>
      </c>
      <c r="E7491" s="491">
        <v>1000</v>
      </c>
      <c r="F7491" s="491">
        <v>2048</v>
      </c>
      <c r="G7491" s="491">
        <f t="shared" si="116"/>
        <v>16195</v>
      </c>
    </row>
    <row r="7492" spans="1:7" ht="12.75">
      <c r="A7492" s="134" t="s">
        <v>474</v>
      </c>
      <c r="B7492" s="134">
        <v>502</v>
      </c>
      <c r="C7492" s="491">
        <v>33599</v>
      </c>
      <c r="D7492" s="491">
        <v>72672</v>
      </c>
      <c r="E7492" s="491">
        <v>1290</v>
      </c>
      <c r="F7492" s="491">
        <v>2511</v>
      </c>
      <c r="G7492" s="491">
        <f t="shared" ref="G7492:G7555" si="117">SUM(C7492:F7492)</f>
        <v>110072</v>
      </c>
    </row>
    <row r="7493" spans="1:7" ht="12.75">
      <c r="A7493" s="134" t="s">
        <v>474</v>
      </c>
      <c r="B7493" s="134">
        <v>503</v>
      </c>
      <c r="C7493" s="491">
        <v>2906</v>
      </c>
      <c r="D7493" s="491">
        <v>4778</v>
      </c>
      <c r="E7493" s="491">
        <v>200</v>
      </c>
      <c r="F7493" s="491">
        <v>252</v>
      </c>
      <c r="G7493" s="491">
        <f t="shared" si="117"/>
        <v>8136</v>
      </c>
    </row>
    <row r="7494" spans="1:7" ht="12.75">
      <c r="A7494" s="134" t="s">
        <v>474</v>
      </c>
      <c r="B7494" s="134">
        <v>560</v>
      </c>
      <c r="C7494" s="491">
        <v>7286</v>
      </c>
      <c r="D7494" s="491">
        <v>3438</v>
      </c>
      <c r="E7494" s="491">
        <v>2102</v>
      </c>
      <c r="F7494" s="491">
        <v>323</v>
      </c>
      <c r="G7494" s="491">
        <f t="shared" si="117"/>
        <v>13149</v>
      </c>
    </row>
    <row r="7495" spans="1:7" ht="12.75">
      <c r="A7495" s="134" t="s">
        <v>474</v>
      </c>
      <c r="B7495" s="134">
        <v>650</v>
      </c>
      <c r="C7495" s="491">
        <v>1</v>
      </c>
      <c r="D7495" s="491">
        <v>1</v>
      </c>
      <c r="E7495" s="491">
        <v>0</v>
      </c>
      <c r="F7495" s="491">
        <v>0</v>
      </c>
      <c r="G7495" s="491">
        <f t="shared" si="117"/>
        <v>2</v>
      </c>
    </row>
    <row r="7496" spans="1:7" ht="12.75">
      <c r="A7496" s="134" t="s">
        <v>474</v>
      </c>
      <c r="B7496" s="134">
        <v>651</v>
      </c>
      <c r="C7496" s="491">
        <v>0</v>
      </c>
      <c r="D7496" s="491">
        <v>1</v>
      </c>
      <c r="E7496" s="491">
        <v>0</v>
      </c>
      <c r="F7496" s="491">
        <v>0</v>
      </c>
      <c r="G7496" s="491">
        <f t="shared" si="117"/>
        <v>1</v>
      </c>
    </row>
    <row r="7497" spans="1:7" ht="12.75">
      <c r="A7497" s="134" t="s">
        <v>474</v>
      </c>
      <c r="B7497" s="134">
        <v>800</v>
      </c>
      <c r="C7497" s="491">
        <v>271</v>
      </c>
      <c r="D7497" s="491">
        <v>3</v>
      </c>
      <c r="E7497" s="491">
        <v>1</v>
      </c>
      <c r="F7497" s="491">
        <v>0</v>
      </c>
      <c r="G7497" s="491">
        <f t="shared" si="117"/>
        <v>275</v>
      </c>
    </row>
    <row r="7498" spans="1:7" ht="12.75">
      <c r="A7498" s="134" t="s">
        <v>474</v>
      </c>
      <c r="B7498" s="134">
        <v>811</v>
      </c>
      <c r="C7498" s="491">
        <v>55</v>
      </c>
      <c r="D7498" s="491">
        <v>418</v>
      </c>
      <c r="E7498" s="491">
        <v>0</v>
      </c>
      <c r="F7498" s="491">
        <v>0</v>
      </c>
      <c r="G7498" s="491">
        <f t="shared" si="117"/>
        <v>473</v>
      </c>
    </row>
    <row r="7499" spans="1:7" ht="12.75">
      <c r="A7499" s="134" t="s">
        <v>474</v>
      </c>
      <c r="B7499" s="134">
        <v>812</v>
      </c>
      <c r="C7499" s="491">
        <v>47</v>
      </c>
      <c r="D7499" s="491">
        <v>140</v>
      </c>
      <c r="E7499" s="491">
        <v>0</v>
      </c>
      <c r="F7499" s="491">
        <v>0</v>
      </c>
      <c r="G7499" s="491">
        <f t="shared" si="117"/>
        <v>187</v>
      </c>
    </row>
    <row r="7500" spans="1:7" ht="12.75">
      <c r="A7500" s="134" t="s">
        <v>474</v>
      </c>
      <c r="B7500" s="134">
        <v>840</v>
      </c>
      <c r="C7500" s="491">
        <v>1</v>
      </c>
      <c r="D7500" s="491">
        <v>0</v>
      </c>
      <c r="E7500" s="491">
        <v>0</v>
      </c>
      <c r="F7500" s="491">
        <v>0</v>
      </c>
      <c r="G7500" s="491">
        <f t="shared" si="117"/>
        <v>1</v>
      </c>
    </row>
    <row r="7501" spans="1:7" ht="12.75">
      <c r="A7501" s="134" t="s">
        <v>320</v>
      </c>
      <c r="B7501" s="134">
        <v>321</v>
      </c>
      <c r="C7501" s="491">
        <v>1</v>
      </c>
      <c r="D7501" s="491">
        <v>1</v>
      </c>
      <c r="E7501" s="491">
        <v>0</v>
      </c>
      <c r="F7501" s="491">
        <v>0</v>
      </c>
      <c r="G7501" s="491">
        <f t="shared" si="117"/>
        <v>2</v>
      </c>
    </row>
    <row r="7502" spans="1:7" ht="12.75">
      <c r="A7502" s="134" t="s">
        <v>320</v>
      </c>
      <c r="B7502" s="134">
        <v>502</v>
      </c>
      <c r="C7502" s="491">
        <v>17</v>
      </c>
      <c r="D7502" s="491">
        <v>21</v>
      </c>
      <c r="E7502" s="491">
        <v>0</v>
      </c>
      <c r="F7502" s="491">
        <v>1</v>
      </c>
      <c r="G7502" s="491">
        <f t="shared" si="117"/>
        <v>39</v>
      </c>
    </row>
    <row r="7503" spans="1:7" ht="12.75">
      <c r="A7503" s="134" t="s">
        <v>320</v>
      </c>
      <c r="B7503" s="134">
        <v>503</v>
      </c>
      <c r="C7503" s="491">
        <v>0</v>
      </c>
      <c r="D7503" s="491">
        <v>1</v>
      </c>
      <c r="E7503" s="491">
        <v>0</v>
      </c>
      <c r="F7503" s="491">
        <v>0</v>
      </c>
      <c r="G7503" s="491">
        <f t="shared" si="117"/>
        <v>1</v>
      </c>
    </row>
    <row r="7504" spans="1:7" ht="12.75">
      <c r="A7504" s="134" t="s">
        <v>935</v>
      </c>
      <c r="B7504" s="134">
        <v>101</v>
      </c>
      <c r="C7504" s="491">
        <v>0</v>
      </c>
      <c r="D7504" s="491">
        <v>3</v>
      </c>
      <c r="E7504" s="491">
        <v>0</v>
      </c>
      <c r="F7504" s="491">
        <v>0</v>
      </c>
      <c r="G7504" s="491">
        <f t="shared" si="117"/>
        <v>3</v>
      </c>
    </row>
    <row r="7505" spans="1:7" ht="12.75">
      <c r="A7505" s="134" t="s">
        <v>935</v>
      </c>
      <c r="B7505" s="134">
        <v>130</v>
      </c>
      <c r="C7505" s="491">
        <v>0</v>
      </c>
      <c r="D7505" s="491">
        <v>1</v>
      </c>
      <c r="E7505" s="491">
        <v>0</v>
      </c>
      <c r="F7505" s="491">
        <v>0</v>
      </c>
      <c r="G7505" s="491">
        <f t="shared" si="117"/>
        <v>1</v>
      </c>
    </row>
    <row r="7506" spans="1:7" ht="12.75">
      <c r="A7506" s="134" t="s">
        <v>935</v>
      </c>
      <c r="B7506" s="134">
        <v>190</v>
      </c>
      <c r="C7506" s="491">
        <v>1</v>
      </c>
      <c r="D7506" s="491">
        <v>1</v>
      </c>
      <c r="E7506" s="491">
        <v>0</v>
      </c>
      <c r="F7506" s="491">
        <v>0</v>
      </c>
      <c r="G7506" s="491">
        <f t="shared" si="117"/>
        <v>2</v>
      </c>
    </row>
    <row r="7507" spans="1:7" ht="12.75">
      <c r="A7507" s="134" t="s">
        <v>935</v>
      </c>
      <c r="B7507" s="134">
        <v>191</v>
      </c>
      <c r="C7507" s="491">
        <v>1</v>
      </c>
      <c r="D7507" s="491">
        <v>0</v>
      </c>
      <c r="E7507" s="491">
        <v>0</v>
      </c>
      <c r="F7507" s="491">
        <v>0</v>
      </c>
      <c r="G7507" s="491">
        <f t="shared" si="117"/>
        <v>1</v>
      </c>
    </row>
    <row r="7508" spans="1:7" ht="12.75">
      <c r="A7508" s="134" t="s">
        <v>935</v>
      </c>
      <c r="B7508" s="134">
        <v>258</v>
      </c>
      <c r="C7508" s="491">
        <v>0</v>
      </c>
      <c r="D7508" s="491">
        <v>1</v>
      </c>
      <c r="E7508" s="491">
        <v>0</v>
      </c>
      <c r="F7508" s="491">
        <v>0</v>
      </c>
      <c r="G7508" s="491">
        <f t="shared" si="117"/>
        <v>1</v>
      </c>
    </row>
    <row r="7509" spans="1:7" ht="12.75">
      <c r="A7509" s="134" t="s">
        <v>935</v>
      </c>
      <c r="B7509" s="134">
        <v>300</v>
      </c>
      <c r="C7509" s="491">
        <v>1</v>
      </c>
      <c r="D7509" s="491">
        <v>2</v>
      </c>
      <c r="E7509" s="491">
        <v>0</v>
      </c>
      <c r="F7509" s="491">
        <v>0</v>
      </c>
      <c r="G7509" s="491">
        <f t="shared" si="117"/>
        <v>3</v>
      </c>
    </row>
    <row r="7510" spans="1:7" ht="12.75">
      <c r="A7510" s="134" t="s">
        <v>935</v>
      </c>
      <c r="B7510" s="134">
        <v>360</v>
      </c>
      <c r="C7510" s="491">
        <v>1</v>
      </c>
      <c r="D7510" s="491">
        <v>1</v>
      </c>
      <c r="E7510" s="491">
        <v>0</v>
      </c>
      <c r="F7510" s="491">
        <v>0</v>
      </c>
      <c r="G7510" s="491">
        <f t="shared" si="117"/>
        <v>2</v>
      </c>
    </row>
    <row r="7511" spans="1:7" ht="12.75">
      <c r="A7511" s="134" t="s">
        <v>935</v>
      </c>
      <c r="B7511" s="134">
        <v>400</v>
      </c>
      <c r="C7511" s="491">
        <v>4</v>
      </c>
      <c r="D7511" s="491">
        <v>1</v>
      </c>
      <c r="E7511" s="491">
        <v>0</v>
      </c>
      <c r="F7511" s="491">
        <v>0</v>
      </c>
      <c r="G7511" s="491">
        <f t="shared" si="117"/>
        <v>5</v>
      </c>
    </row>
    <row r="7512" spans="1:7" ht="12.75">
      <c r="A7512" s="134" t="s">
        <v>935</v>
      </c>
      <c r="B7512" s="134">
        <v>410</v>
      </c>
      <c r="C7512" s="491">
        <v>1</v>
      </c>
      <c r="D7512" s="491">
        <v>0</v>
      </c>
      <c r="E7512" s="491">
        <v>0</v>
      </c>
      <c r="F7512" s="491">
        <v>0</v>
      </c>
      <c r="G7512" s="491">
        <f t="shared" si="117"/>
        <v>1</v>
      </c>
    </row>
    <row r="7513" spans="1:7" ht="12.75">
      <c r="A7513" s="134" t="s">
        <v>935</v>
      </c>
      <c r="B7513" s="134">
        <v>501</v>
      </c>
      <c r="C7513" s="491">
        <v>9</v>
      </c>
      <c r="D7513" s="491">
        <v>5</v>
      </c>
      <c r="E7513" s="491">
        <v>1</v>
      </c>
      <c r="F7513" s="491">
        <v>0</v>
      </c>
      <c r="G7513" s="491">
        <f t="shared" si="117"/>
        <v>15</v>
      </c>
    </row>
    <row r="7514" spans="1:7" ht="12.75">
      <c r="A7514" s="134" t="s">
        <v>935</v>
      </c>
      <c r="B7514" s="134">
        <v>502</v>
      </c>
      <c r="C7514" s="491">
        <v>6457</v>
      </c>
      <c r="D7514" s="491">
        <v>9379</v>
      </c>
      <c r="E7514" s="491">
        <v>63</v>
      </c>
      <c r="F7514" s="491">
        <v>219</v>
      </c>
      <c r="G7514" s="491">
        <f t="shared" si="117"/>
        <v>16118</v>
      </c>
    </row>
    <row r="7515" spans="1:7" ht="12.75">
      <c r="A7515" s="134" t="s">
        <v>935</v>
      </c>
      <c r="B7515" s="134">
        <v>503</v>
      </c>
      <c r="C7515" s="491">
        <v>417</v>
      </c>
      <c r="D7515" s="491">
        <v>815</v>
      </c>
      <c r="E7515" s="491">
        <v>4</v>
      </c>
      <c r="F7515" s="491">
        <v>51</v>
      </c>
      <c r="G7515" s="491">
        <f t="shared" si="117"/>
        <v>1287</v>
      </c>
    </row>
    <row r="7516" spans="1:7" ht="12.75">
      <c r="A7516" s="134" t="s">
        <v>935</v>
      </c>
      <c r="B7516" s="134">
        <v>560</v>
      </c>
      <c r="C7516" s="491">
        <v>7</v>
      </c>
      <c r="D7516" s="491">
        <v>8</v>
      </c>
      <c r="E7516" s="491">
        <v>1</v>
      </c>
      <c r="F7516" s="491">
        <v>0</v>
      </c>
      <c r="G7516" s="491">
        <f t="shared" si="117"/>
        <v>16</v>
      </c>
    </row>
    <row r="7517" spans="1:7" ht="12.75">
      <c r="A7517" s="134" t="s">
        <v>935</v>
      </c>
      <c r="B7517" s="134">
        <v>650</v>
      </c>
      <c r="C7517" s="491">
        <v>0</v>
      </c>
      <c r="D7517" s="491">
        <v>2</v>
      </c>
      <c r="E7517" s="491">
        <v>0</v>
      </c>
      <c r="F7517" s="491">
        <v>0</v>
      </c>
      <c r="G7517" s="491">
        <f t="shared" si="117"/>
        <v>2</v>
      </c>
    </row>
    <row r="7518" spans="1:7" ht="12.75">
      <c r="A7518" s="134" t="s">
        <v>935</v>
      </c>
      <c r="B7518" s="134">
        <v>800</v>
      </c>
      <c r="C7518" s="491">
        <v>0</v>
      </c>
      <c r="D7518" s="491">
        <v>1</v>
      </c>
      <c r="E7518" s="491">
        <v>0</v>
      </c>
      <c r="F7518" s="491">
        <v>0</v>
      </c>
      <c r="G7518" s="491">
        <f t="shared" si="117"/>
        <v>1</v>
      </c>
    </row>
    <row r="7519" spans="1:7" ht="12.75">
      <c r="A7519" s="134" t="s">
        <v>935</v>
      </c>
      <c r="B7519" s="134">
        <v>812</v>
      </c>
      <c r="C7519" s="491">
        <v>0</v>
      </c>
      <c r="D7519" s="491">
        <v>1</v>
      </c>
      <c r="E7519" s="491">
        <v>0</v>
      </c>
      <c r="F7519" s="491">
        <v>0</v>
      </c>
      <c r="G7519" s="491">
        <f t="shared" si="117"/>
        <v>1</v>
      </c>
    </row>
    <row r="7520" spans="1:7" ht="12.75">
      <c r="A7520" s="134" t="s">
        <v>936</v>
      </c>
      <c r="B7520" s="134">
        <v>100</v>
      </c>
      <c r="C7520" s="491">
        <v>1</v>
      </c>
      <c r="D7520" s="491">
        <v>4</v>
      </c>
      <c r="E7520" s="491">
        <v>0</v>
      </c>
      <c r="F7520" s="491">
        <v>0</v>
      </c>
      <c r="G7520" s="491">
        <f t="shared" si="117"/>
        <v>5</v>
      </c>
    </row>
    <row r="7521" spans="1:7" ht="12.75">
      <c r="A7521" s="134" t="s">
        <v>936</v>
      </c>
      <c r="B7521" s="134">
        <v>101</v>
      </c>
      <c r="C7521" s="491">
        <v>2</v>
      </c>
      <c r="D7521" s="491">
        <v>1</v>
      </c>
      <c r="E7521" s="491">
        <v>1</v>
      </c>
      <c r="F7521" s="491">
        <v>0</v>
      </c>
      <c r="G7521" s="491">
        <f t="shared" si="117"/>
        <v>4</v>
      </c>
    </row>
    <row r="7522" spans="1:7" ht="12.75">
      <c r="A7522" s="134" t="s">
        <v>936</v>
      </c>
      <c r="B7522" s="134">
        <v>102</v>
      </c>
      <c r="C7522" s="491">
        <v>0</v>
      </c>
      <c r="D7522" s="491">
        <v>1</v>
      </c>
      <c r="E7522" s="491">
        <v>0</v>
      </c>
      <c r="F7522" s="491">
        <v>0</v>
      </c>
      <c r="G7522" s="491">
        <f t="shared" si="117"/>
        <v>1</v>
      </c>
    </row>
    <row r="7523" spans="1:7" ht="12.75">
      <c r="A7523" s="134" t="s">
        <v>936</v>
      </c>
      <c r="B7523" s="134">
        <v>103</v>
      </c>
      <c r="C7523" s="491">
        <v>3</v>
      </c>
      <c r="D7523" s="491">
        <v>3</v>
      </c>
      <c r="E7523" s="491">
        <v>0</v>
      </c>
      <c r="F7523" s="491">
        <v>0</v>
      </c>
      <c r="G7523" s="491">
        <f t="shared" si="117"/>
        <v>6</v>
      </c>
    </row>
    <row r="7524" spans="1:7" ht="12.75">
      <c r="A7524" s="134" t="s">
        <v>936</v>
      </c>
      <c r="B7524" s="134">
        <v>104</v>
      </c>
      <c r="C7524" s="491">
        <v>0</v>
      </c>
      <c r="D7524" s="491">
        <v>5</v>
      </c>
      <c r="E7524" s="491">
        <v>0</v>
      </c>
      <c r="F7524" s="491">
        <v>0</v>
      </c>
      <c r="G7524" s="491">
        <f t="shared" si="117"/>
        <v>5</v>
      </c>
    </row>
    <row r="7525" spans="1:7" ht="12.75">
      <c r="A7525" s="134" t="s">
        <v>936</v>
      </c>
      <c r="B7525" s="134">
        <v>106</v>
      </c>
      <c r="C7525" s="491">
        <v>0</v>
      </c>
      <c r="D7525" s="491">
        <v>1</v>
      </c>
      <c r="E7525" s="491">
        <v>0</v>
      </c>
      <c r="F7525" s="491">
        <v>0</v>
      </c>
      <c r="G7525" s="491">
        <f t="shared" si="117"/>
        <v>1</v>
      </c>
    </row>
    <row r="7526" spans="1:7" ht="12.75">
      <c r="A7526" s="134" t="s">
        <v>936</v>
      </c>
      <c r="B7526" s="134">
        <v>107</v>
      </c>
      <c r="C7526" s="491">
        <v>1</v>
      </c>
      <c r="D7526" s="491">
        <v>2</v>
      </c>
      <c r="E7526" s="491">
        <v>0</v>
      </c>
      <c r="F7526" s="491">
        <v>0</v>
      </c>
      <c r="G7526" s="491">
        <f t="shared" si="117"/>
        <v>3</v>
      </c>
    </row>
    <row r="7527" spans="1:7" ht="12.75">
      <c r="A7527" s="134" t="s">
        <v>936</v>
      </c>
      <c r="B7527" s="134">
        <v>110</v>
      </c>
      <c r="C7527" s="491">
        <v>6</v>
      </c>
      <c r="D7527" s="491">
        <v>9</v>
      </c>
      <c r="E7527" s="491">
        <v>0</v>
      </c>
      <c r="F7527" s="491">
        <v>0</v>
      </c>
      <c r="G7527" s="491">
        <f t="shared" si="117"/>
        <v>15</v>
      </c>
    </row>
    <row r="7528" spans="1:7" ht="12.75">
      <c r="A7528" s="134" t="s">
        <v>936</v>
      </c>
      <c r="B7528" s="134">
        <v>120</v>
      </c>
      <c r="C7528" s="491">
        <v>0</v>
      </c>
      <c r="D7528" s="491">
        <v>7</v>
      </c>
      <c r="E7528" s="491">
        <v>0</v>
      </c>
      <c r="F7528" s="491">
        <v>1</v>
      </c>
      <c r="G7528" s="491">
        <f t="shared" si="117"/>
        <v>8</v>
      </c>
    </row>
    <row r="7529" spans="1:7" ht="12.75">
      <c r="A7529" s="134" t="s">
        <v>936</v>
      </c>
      <c r="B7529" s="134">
        <v>130</v>
      </c>
      <c r="C7529" s="491">
        <v>3</v>
      </c>
      <c r="D7529" s="491">
        <v>3</v>
      </c>
      <c r="E7529" s="491">
        <v>0</v>
      </c>
      <c r="F7529" s="491">
        <v>0</v>
      </c>
      <c r="G7529" s="491">
        <f t="shared" si="117"/>
        <v>6</v>
      </c>
    </row>
    <row r="7530" spans="1:7" ht="12.75">
      <c r="A7530" s="134" t="s">
        <v>936</v>
      </c>
      <c r="B7530" s="134">
        <v>140</v>
      </c>
      <c r="C7530" s="491">
        <v>0</v>
      </c>
      <c r="D7530" s="491">
        <v>3</v>
      </c>
      <c r="E7530" s="491">
        <v>0</v>
      </c>
      <c r="F7530" s="491">
        <v>0</v>
      </c>
      <c r="G7530" s="491">
        <f t="shared" si="117"/>
        <v>3</v>
      </c>
    </row>
    <row r="7531" spans="1:7" ht="12.75">
      <c r="A7531" s="134" t="s">
        <v>936</v>
      </c>
      <c r="B7531" s="134">
        <v>143</v>
      </c>
      <c r="C7531" s="491">
        <v>1</v>
      </c>
      <c r="D7531" s="491">
        <v>4</v>
      </c>
      <c r="E7531" s="491">
        <v>0</v>
      </c>
      <c r="F7531" s="491">
        <v>0</v>
      </c>
      <c r="G7531" s="491">
        <f t="shared" si="117"/>
        <v>5</v>
      </c>
    </row>
    <row r="7532" spans="1:7" ht="12.75">
      <c r="A7532" s="134" t="s">
        <v>936</v>
      </c>
      <c r="B7532" s="134">
        <v>144</v>
      </c>
      <c r="C7532" s="491">
        <v>0</v>
      </c>
      <c r="D7532" s="491">
        <v>1</v>
      </c>
      <c r="E7532" s="491">
        <v>0</v>
      </c>
      <c r="F7532" s="491">
        <v>0</v>
      </c>
      <c r="G7532" s="491">
        <f t="shared" si="117"/>
        <v>1</v>
      </c>
    </row>
    <row r="7533" spans="1:7" ht="12.75">
      <c r="A7533" s="134" t="s">
        <v>936</v>
      </c>
      <c r="B7533" s="134">
        <v>160</v>
      </c>
      <c r="C7533" s="491">
        <v>0</v>
      </c>
      <c r="D7533" s="491">
        <v>6</v>
      </c>
      <c r="E7533" s="491">
        <v>0</v>
      </c>
      <c r="F7533" s="491">
        <v>0</v>
      </c>
      <c r="G7533" s="491">
        <f t="shared" si="117"/>
        <v>6</v>
      </c>
    </row>
    <row r="7534" spans="1:7" ht="12.75">
      <c r="A7534" s="134" t="s">
        <v>936</v>
      </c>
      <c r="B7534" s="134">
        <v>172</v>
      </c>
      <c r="C7534" s="491">
        <v>0</v>
      </c>
      <c r="D7534" s="491">
        <v>1</v>
      </c>
      <c r="E7534" s="491">
        <v>0</v>
      </c>
      <c r="F7534" s="491">
        <v>0</v>
      </c>
      <c r="G7534" s="491">
        <f t="shared" si="117"/>
        <v>1</v>
      </c>
    </row>
    <row r="7535" spans="1:7" ht="12.75">
      <c r="A7535" s="134" t="s">
        <v>936</v>
      </c>
      <c r="B7535" s="134">
        <v>180</v>
      </c>
      <c r="C7535" s="491">
        <v>0</v>
      </c>
      <c r="D7535" s="491">
        <v>2</v>
      </c>
      <c r="E7535" s="491">
        <v>0</v>
      </c>
      <c r="F7535" s="491">
        <v>0</v>
      </c>
      <c r="G7535" s="491">
        <f t="shared" si="117"/>
        <v>2</v>
      </c>
    </row>
    <row r="7536" spans="1:7" ht="12.75">
      <c r="A7536" s="134" t="s">
        <v>936</v>
      </c>
      <c r="B7536" s="134">
        <v>190</v>
      </c>
      <c r="C7536" s="491">
        <v>1</v>
      </c>
      <c r="D7536" s="491">
        <v>1</v>
      </c>
      <c r="E7536" s="491">
        <v>0</v>
      </c>
      <c r="F7536" s="491">
        <v>0</v>
      </c>
      <c r="G7536" s="491">
        <f t="shared" si="117"/>
        <v>2</v>
      </c>
    </row>
    <row r="7537" spans="1:7" ht="12.75">
      <c r="A7537" s="134" t="s">
        <v>936</v>
      </c>
      <c r="B7537" s="134">
        <v>191</v>
      </c>
      <c r="C7537" s="491">
        <v>5</v>
      </c>
      <c r="D7537" s="491">
        <v>1</v>
      </c>
      <c r="E7537" s="491">
        <v>0</v>
      </c>
      <c r="F7537" s="491">
        <v>0</v>
      </c>
      <c r="G7537" s="491">
        <f t="shared" si="117"/>
        <v>6</v>
      </c>
    </row>
    <row r="7538" spans="1:7" ht="12.75">
      <c r="A7538" s="134" t="s">
        <v>936</v>
      </c>
      <c r="B7538" s="134">
        <v>214</v>
      </c>
      <c r="C7538" s="491">
        <v>2</v>
      </c>
      <c r="D7538" s="491">
        <v>1</v>
      </c>
      <c r="E7538" s="491">
        <v>0</v>
      </c>
      <c r="F7538" s="491">
        <v>0</v>
      </c>
      <c r="G7538" s="491">
        <f t="shared" si="117"/>
        <v>3</v>
      </c>
    </row>
    <row r="7539" spans="1:7" ht="12.75">
      <c r="A7539" s="134" t="s">
        <v>936</v>
      </c>
      <c r="B7539" s="134">
        <v>253</v>
      </c>
      <c r="C7539" s="491">
        <v>0</v>
      </c>
      <c r="D7539" s="491">
        <v>1</v>
      </c>
      <c r="E7539" s="491">
        <v>0</v>
      </c>
      <c r="F7539" s="491">
        <v>0</v>
      </c>
      <c r="G7539" s="491">
        <f t="shared" si="117"/>
        <v>1</v>
      </c>
    </row>
    <row r="7540" spans="1:7" ht="12.75">
      <c r="A7540" s="134" t="s">
        <v>936</v>
      </c>
      <c r="B7540" s="134">
        <v>258</v>
      </c>
      <c r="C7540" s="491">
        <v>0</v>
      </c>
      <c r="D7540" s="491">
        <v>1</v>
      </c>
      <c r="E7540" s="491">
        <v>0</v>
      </c>
      <c r="F7540" s="491">
        <v>0</v>
      </c>
      <c r="G7540" s="491">
        <f t="shared" si="117"/>
        <v>1</v>
      </c>
    </row>
    <row r="7541" spans="1:7" ht="12.75">
      <c r="A7541" s="134" t="s">
        <v>936</v>
      </c>
      <c r="B7541" s="134">
        <v>300</v>
      </c>
      <c r="C7541" s="491">
        <v>1</v>
      </c>
      <c r="D7541" s="491">
        <v>4</v>
      </c>
      <c r="E7541" s="491">
        <v>0</v>
      </c>
      <c r="F7541" s="491">
        <v>0</v>
      </c>
      <c r="G7541" s="491">
        <f t="shared" si="117"/>
        <v>5</v>
      </c>
    </row>
    <row r="7542" spans="1:7" ht="12.75">
      <c r="A7542" s="134" t="s">
        <v>936</v>
      </c>
      <c r="B7542" s="134">
        <v>301</v>
      </c>
      <c r="C7542" s="491">
        <v>1</v>
      </c>
      <c r="D7542" s="491">
        <v>4</v>
      </c>
      <c r="E7542" s="491">
        <v>0</v>
      </c>
      <c r="F7542" s="491">
        <v>0</v>
      </c>
      <c r="G7542" s="491">
        <f t="shared" si="117"/>
        <v>5</v>
      </c>
    </row>
    <row r="7543" spans="1:7" ht="12.75">
      <c r="A7543" s="134" t="s">
        <v>936</v>
      </c>
      <c r="B7543" s="134">
        <v>302</v>
      </c>
      <c r="C7543" s="491">
        <v>0</v>
      </c>
      <c r="D7543" s="491">
        <v>3</v>
      </c>
      <c r="E7543" s="491">
        <v>0</v>
      </c>
      <c r="F7543" s="491">
        <v>0</v>
      </c>
      <c r="G7543" s="491">
        <f t="shared" si="117"/>
        <v>3</v>
      </c>
    </row>
    <row r="7544" spans="1:7" ht="12.75">
      <c r="A7544" s="134" t="s">
        <v>936</v>
      </c>
      <c r="B7544" s="134">
        <v>303</v>
      </c>
      <c r="C7544" s="491">
        <v>1</v>
      </c>
      <c r="D7544" s="491">
        <v>2</v>
      </c>
      <c r="E7544" s="491">
        <v>0</v>
      </c>
      <c r="F7544" s="491">
        <v>0</v>
      </c>
      <c r="G7544" s="491">
        <f t="shared" si="117"/>
        <v>3</v>
      </c>
    </row>
    <row r="7545" spans="1:7" ht="12.75">
      <c r="A7545" s="134" t="s">
        <v>936</v>
      </c>
      <c r="B7545" s="134">
        <v>306</v>
      </c>
      <c r="C7545" s="491">
        <v>0</v>
      </c>
      <c r="D7545" s="491">
        <v>1</v>
      </c>
      <c r="E7545" s="491">
        <v>0</v>
      </c>
      <c r="F7545" s="491">
        <v>0</v>
      </c>
      <c r="G7545" s="491">
        <f t="shared" si="117"/>
        <v>1</v>
      </c>
    </row>
    <row r="7546" spans="1:7" ht="12.75">
      <c r="A7546" s="134" t="s">
        <v>936</v>
      </c>
      <c r="B7546" s="134">
        <v>307</v>
      </c>
      <c r="C7546" s="491">
        <v>0</v>
      </c>
      <c r="D7546" s="491">
        <v>3</v>
      </c>
      <c r="E7546" s="491">
        <v>0</v>
      </c>
      <c r="F7546" s="491">
        <v>0</v>
      </c>
      <c r="G7546" s="491">
        <f t="shared" si="117"/>
        <v>3</v>
      </c>
    </row>
    <row r="7547" spans="1:7" ht="12.75">
      <c r="A7547" s="134" t="s">
        <v>936</v>
      </c>
      <c r="B7547" s="134">
        <v>310</v>
      </c>
      <c r="C7547" s="491">
        <v>0</v>
      </c>
      <c r="D7547" s="491">
        <v>1</v>
      </c>
      <c r="E7547" s="491">
        <v>0</v>
      </c>
      <c r="F7547" s="491">
        <v>0</v>
      </c>
      <c r="G7547" s="491">
        <f t="shared" si="117"/>
        <v>1</v>
      </c>
    </row>
    <row r="7548" spans="1:7" ht="12.75">
      <c r="A7548" s="134" t="s">
        <v>936</v>
      </c>
      <c r="B7548" s="134">
        <v>311</v>
      </c>
      <c r="C7548" s="491">
        <v>1</v>
      </c>
      <c r="D7548" s="491">
        <v>0</v>
      </c>
      <c r="E7548" s="491">
        <v>0</v>
      </c>
      <c r="F7548" s="491">
        <v>0</v>
      </c>
      <c r="G7548" s="491">
        <f t="shared" si="117"/>
        <v>1</v>
      </c>
    </row>
    <row r="7549" spans="1:7" ht="12.75">
      <c r="A7549" s="134" t="s">
        <v>936</v>
      </c>
      <c r="B7549" s="134">
        <v>314</v>
      </c>
      <c r="C7549" s="491">
        <v>1</v>
      </c>
      <c r="D7549" s="491">
        <v>2</v>
      </c>
      <c r="E7549" s="491">
        <v>0</v>
      </c>
      <c r="F7549" s="491">
        <v>0</v>
      </c>
      <c r="G7549" s="491">
        <f t="shared" si="117"/>
        <v>3</v>
      </c>
    </row>
    <row r="7550" spans="1:7" ht="12.75">
      <c r="A7550" s="134" t="s">
        <v>936</v>
      </c>
      <c r="B7550" s="134">
        <v>320</v>
      </c>
      <c r="C7550" s="491">
        <v>1</v>
      </c>
      <c r="D7550" s="491">
        <v>14</v>
      </c>
      <c r="E7550" s="491">
        <v>0</v>
      </c>
      <c r="F7550" s="491">
        <v>0</v>
      </c>
      <c r="G7550" s="491">
        <f t="shared" si="117"/>
        <v>15</v>
      </c>
    </row>
    <row r="7551" spans="1:7" ht="12.75">
      <c r="A7551" s="134" t="s">
        <v>936</v>
      </c>
      <c r="B7551" s="134">
        <v>324</v>
      </c>
      <c r="C7551" s="491">
        <v>1</v>
      </c>
      <c r="D7551" s="491">
        <v>4</v>
      </c>
      <c r="E7551" s="491">
        <v>0</v>
      </c>
      <c r="F7551" s="491">
        <v>1</v>
      </c>
      <c r="G7551" s="491">
        <f t="shared" si="117"/>
        <v>6</v>
      </c>
    </row>
    <row r="7552" spans="1:7" ht="12.75">
      <c r="A7552" s="134" t="s">
        <v>936</v>
      </c>
      <c r="B7552" s="134">
        <v>330</v>
      </c>
      <c r="C7552" s="491">
        <v>4</v>
      </c>
      <c r="D7552" s="491">
        <v>9</v>
      </c>
      <c r="E7552" s="491">
        <v>0</v>
      </c>
      <c r="F7552" s="491">
        <v>0</v>
      </c>
      <c r="G7552" s="491">
        <f t="shared" si="117"/>
        <v>13</v>
      </c>
    </row>
    <row r="7553" spans="1:7" ht="12.75">
      <c r="A7553" s="134" t="s">
        <v>936</v>
      </c>
      <c r="B7553" s="134">
        <v>340</v>
      </c>
      <c r="C7553" s="491">
        <v>4</v>
      </c>
      <c r="D7553" s="491">
        <v>14</v>
      </c>
      <c r="E7553" s="491">
        <v>0</v>
      </c>
      <c r="F7553" s="491">
        <v>0</v>
      </c>
      <c r="G7553" s="491">
        <f t="shared" si="117"/>
        <v>18</v>
      </c>
    </row>
    <row r="7554" spans="1:7" ht="12.75">
      <c r="A7554" s="134" t="s">
        <v>936</v>
      </c>
      <c r="B7554" s="134">
        <v>341</v>
      </c>
      <c r="C7554" s="491">
        <v>0</v>
      </c>
      <c r="D7554" s="491">
        <v>1</v>
      </c>
      <c r="E7554" s="491">
        <v>0</v>
      </c>
      <c r="F7554" s="491">
        <v>0</v>
      </c>
      <c r="G7554" s="491">
        <f t="shared" si="117"/>
        <v>1</v>
      </c>
    </row>
    <row r="7555" spans="1:7" ht="12.75">
      <c r="A7555" s="134" t="s">
        <v>936</v>
      </c>
      <c r="B7555" s="134">
        <v>370</v>
      </c>
      <c r="C7555" s="491">
        <v>4</v>
      </c>
      <c r="D7555" s="491">
        <v>0</v>
      </c>
      <c r="E7555" s="491">
        <v>0</v>
      </c>
      <c r="F7555" s="491">
        <v>0</v>
      </c>
      <c r="G7555" s="491">
        <f t="shared" si="117"/>
        <v>4</v>
      </c>
    </row>
    <row r="7556" spans="1:7" ht="12.75">
      <c r="A7556" s="134" t="s">
        <v>936</v>
      </c>
      <c r="B7556" s="134">
        <v>400</v>
      </c>
      <c r="C7556" s="491">
        <v>0</v>
      </c>
      <c r="D7556" s="491">
        <v>5</v>
      </c>
      <c r="E7556" s="491">
        <v>0</v>
      </c>
      <c r="F7556" s="491">
        <v>0</v>
      </c>
      <c r="G7556" s="491">
        <f t="shared" ref="G7556:G7619" si="118">SUM(C7556:F7556)</f>
        <v>5</v>
      </c>
    </row>
    <row r="7557" spans="1:7" ht="12.75">
      <c r="A7557" s="134" t="s">
        <v>936</v>
      </c>
      <c r="B7557" s="134">
        <v>410</v>
      </c>
      <c r="C7557" s="491">
        <v>2</v>
      </c>
      <c r="D7557" s="491">
        <v>4</v>
      </c>
      <c r="E7557" s="491">
        <v>0</v>
      </c>
      <c r="F7557" s="491">
        <v>0</v>
      </c>
      <c r="G7557" s="491">
        <f t="shared" si="118"/>
        <v>6</v>
      </c>
    </row>
    <row r="7558" spans="1:7" ht="12.75">
      <c r="A7558" s="134" t="s">
        <v>936</v>
      </c>
      <c r="B7558" s="134">
        <v>420</v>
      </c>
      <c r="C7558" s="491">
        <v>1</v>
      </c>
      <c r="D7558" s="491">
        <v>5</v>
      </c>
      <c r="E7558" s="491">
        <v>0</v>
      </c>
      <c r="F7558" s="491">
        <v>0</v>
      </c>
      <c r="G7558" s="491">
        <f t="shared" si="118"/>
        <v>6</v>
      </c>
    </row>
    <row r="7559" spans="1:7" ht="12.75">
      <c r="A7559" s="134" t="s">
        <v>936</v>
      </c>
      <c r="B7559" s="134">
        <v>430</v>
      </c>
      <c r="C7559" s="491">
        <v>0</v>
      </c>
      <c r="D7559" s="491">
        <v>1</v>
      </c>
      <c r="E7559" s="491">
        <v>0</v>
      </c>
      <c r="F7559" s="491">
        <v>0</v>
      </c>
      <c r="G7559" s="491">
        <f t="shared" si="118"/>
        <v>1</v>
      </c>
    </row>
    <row r="7560" spans="1:7" ht="12.75">
      <c r="A7560" s="134" t="s">
        <v>936</v>
      </c>
      <c r="B7560" s="134">
        <v>501</v>
      </c>
      <c r="C7560" s="491">
        <v>46</v>
      </c>
      <c r="D7560" s="491">
        <v>48</v>
      </c>
      <c r="E7560" s="491">
        <v>0</v>
      </c>
      <c r="F7560" s="491">
        <v>0</v>
      </c>
      <c r="G7560" s="491">
        <f t="shared" si="118"/>
        <v>94</v>
      </c>
    </row>
    <row r="7561" spans="1:7" ht="12.75">
      <c r="A7561" s="134" t="s">
        <v>936</v>
      </c>
      <c r="B7561" s="134">
        <v>502</v>
      </c>
      <c r="C7561" s="491">
        <v>11415</v>
      </c>
      <c r="D7561" s="491">
        <v>20957</v>
      </c>
      <c r="E7561" s="491">
        <v>89</v>
      </c>
      <c r="F7561" s="491">
        <v>249</v>
      </c>
      <c r="G7561" s="491">
        <f t="shared" si="118"/>
        <v>32710</v>
      </c>
    </row>
    <row r="7562" spans="1:7" ht="12.75">
      <c r="A7562" s="134" t="s">
        <v>936</v>
      </c>
      <c r="B7562" s="134">
        <v>503</v>
      </c>
      <c r="C7562" s="491">
        <v>717</v>
      </c>
      <c r="D7562" s="491">
        <v>2161</v>
      </c>
      <c r="E7562" s="491">
        <v>12</v>
      </c>
      <c r="F7562" s="491">
        <v>114</v>
      </c>
      <c r="G7562" s="491">
        <f t="shared" si="118"/>
        <v>3004</v>
      </c>
    </row>
    <row r="7563" spans="1:7" ht="12.75">
      <c r="A7563" s="134" t="s">
        <v>936</v>
      </c>
      <c r="B7563" s="134">
        <v>560</v>
      </c>
      <c r="C7563" s="491">
        <v>1</v>
      </c>
      <c r="D7563" s="491">
        <v>2</v>
      </c>
      <c r="E7563" s="491">
        <v>0</v>
      </c>
      <c r="F7563" s="491">
        <v>0</v>
      </c>
      <c r="G7563" s="491">
        <f t="shared" si="118"/>
        <v>3</v>
      </c>
    </row>
    <row r="7564" spans="1:7" ht="12.75">
      <c r="A7564" s="134" t="s">
        <v>936</v>
      </c>
      <c r="B7564" s="134">
        <v>650</v>
      </c>
      <c r="C7564" s="491">
        <v>6</v>
      </c>
      <c r="D7564" s="491">
        <v>13</v>
      </c>
      <c r="E7564" s="491">
        <v>0</v>
      </c>
      <c r="F7564" s="491">
        <v>0</v>
      </c>
      <c r="G7564" s="491">
        <f t="shared" si="118"/>
        <v>19</v>
      </c>
    </row>
    <row r="7565" spans="1:7" ht="12.75">
      <c r="A7565" s="134" t="s">
        <v>936</v>
      </c>
      <c r="B7565" s="134">
        <v>652</v>
      </c>
      <c r="C7565" s="491">
        <v>0</v>
      </c>
      <c r="D7565" s="491">
        <v>1</v>
      </c>
      <c r="E7565" s="491">
        <v>0</v>
      </c>
      <c r="F7565" s="491">
        <v>0</v>
      </c>
      <c r="G7565" s="491">
        <f t="shared" si="118"/>
        <v>1</v>
      </c>
    </row>
    <row r="7566" spans="1:7" ht="12.75">
      <c r="A7566" s="134" t="s">
        <v>936</v>
      </c>
      <c r="B7566" s="134">
        <v>654</v>
      </c>
      <c r="C7566" s="491">
        <v>0</v>
      </c>
      <c r="D7566" s="491">
        <v>3</v>
      </c>
      <c r="E7566" s="491">
        <v>0</v>
      </c>
      <c r="F7566" s="491">
        <v>0</v>
      </c>
      <c r="G7566" s="491">
        <f t="shared" si="118"/>
        <v>3</v>
      </c>
    </row>
    <row r="7567" spans="1:7" ht="12.75">
      <c r="A7567" s="134" t="s">
        <v>936</v>
      </c>
      <c r="B7567" s="134">
        <v>658</v>
      </c>
      <c r="C7567" s="491">
        <v>1</v>
      </c>
      <c r="D7567" s="491">
        <v>0</v>
      </c>
      <c r="E7567" s="491">
        <v>0</v>
      </c>
      <c r="F7567" s="491">
        <v>0</v>
      </c>
      <c r="G7567" s="491">
        <f t="shared" si="118"/>
        <v>1</v>
      </c>
    </row>
    <row r="7568" spans="1:7" ht="12.75">
      <c r="A7568" s="134" t="s">
        <v>936</v>
      </c>
      <c r="B7568" s="134">
        <v>800</v>
      </c>
      <c r="C7568" s="491">
        <v>5</v>
      </c>
      <c r="D7568" s="491">
        <v>23</v>
      </c>
      <c r="E7568" s="491">
        <v>0</v>
      </c>
      <c r="F7568" s="491">
        <v>0</v>
      </c>
      <c r="G7568" s="491">
        <f t="shared" si="118"/>
        <v>28</v>
      </c>
    </row>
    <row r="7569" spans="1:7" ht="12.75">
      <c r="A7569" s="134" t="s">
        <v>936</v>
      </c>
      <c r="B7569" s="134">
        <v>812</v>
      </c>
      <c r="C7569" s="491">
        <v>0</v>
      </c>
      <c r="D7569" s="491">
        <v>1</v>
      </c>
      <c r="E7569" s="491">
        <v>0</v>
      </c>
      <c r="F7569" s="491">
        <v>0</v>
      </c>
      <c r="G7569" s="491">
        <f t="shared" si="118"/>
        <v>1</v>
      </c>
    </row>
    <row r="7570" spans="1:7" ht="12.75">
      <c r="A7570" s="134" t="s">
        <v>937</v>
      </c>
      <c r="B7570" s="134">
        <v>100</v>
      </c>
      <c r="C7570" s="491">
        <v>0</v>
      </c>
      <c r="D7570" s="491">
        <v>1</v>
      </c>
      <c r="E7570" s="491">
        <v>0</v>
      </c>
      <c r="F7570" s="491">
        <v>0</v>
      </c>
      <c r="G7570" s="491">
        <f t="shared" si="118"/>
        <v>1</v>
      </c>
    </row>
    <row r="7571" spans="1:7" ht="12.75">
      <c r="A7571" s="134" t="s">
        <v>937</v>
      </c>
      <c r="B7571" s="134">
        <v>103</v>
      </c>
      <c r="C7571" s="491">
        <v>0</v>
      </c>
      <c r="D7571" s="491">
        <v>0</v>
      </c>
      <c r="E7571" s="491">
        <v>1</v>
      </c>
      <c r="F7571" s="491">
        <v>0</v>
      </c>
      <c r="G7571" s="491">
        <f t="shared" si="118"/>
        <v>1</v>
      </c>
    </row>
    <row r="7572" spans="1:7" ht="12.75">
      <c r="A7572" s="134" t="s">
        <v>937</v>
      </c>
      <c r="B7572" s="134">
        <v>106</v>
      </c>
      <c r="C7572" s="491">
        <v>0</v>
      </c>
      <c r="D7572" s="491">
        <v>1</v>
      </c>
      <c r="E7572" s="491">
        <v>0</v>
      </c>
      <c r="F7572" s="491">
        <v>0</v>
      </c>
      <c r="G7572" s="491">
        <f t="shared" si="118"/>
        <v>1</v>
      </c>
    </row>
    <row r="7573" spans="1:7" ht="12.75">
      <c r="A7573" s="134" t="s">
        <v>937</v>
      </c>
      <c r="B7573" s="134">
        <v>110</v>
      </c>
      <c r="C7573" s="491">
        <v>2</v>
      </c>
      <c r="D7573" s="491">
        <v>0</v>
      </c>
      <c r="E7573" s="491">
        <v>0</v>
      </c>
      <c r="F7573" s="491">
        <v>0</v>
      </c>
      <c r="G7573" s="491">
        <f t="shared" si="118"/>
        <v>2</v>
      </c>
    </row>
    <row r="7574" spans="1:7" ht="12.75">
      <c r="A7574" s="134" t="s">
        <v>937</v>
      </c>
      <c r="B7574" s="134">
        <v>120</v>
      </c>
      <c r="C7574" s="491">
        <v>0</v>
      </c>
      <c r="D7574" s="491">
        <v>3</v>
      </c>
      <c r="E7574" s="491">
        <v>0</v>
      </c>
      <c r="F7574" s="491">
        <v>0</v>
      </c>
      <c r="G7574" s="491">
        <f t="shared" si="118"/>
        <v>3</v>
      </c>
    </row>
    <row r="7575" spans="1:7" ht="12.75">
      <c r="A7575" s="134" t="s">
        <v>937</v>
      </c>
      <c r="B7575" s="134">
        <v>130</v>
      </c>
      <c r="C7575" s="491">
        <v>2</v>
      </c>
      <c r="D7575" s="491">
        <v>0</v>
      </c>
      <c r="E7575" s="491">
        <v>0</v>
      </c>
      <c r="F7575" s="491">
        <v>0</v>
      </c>
      <c r="G7575" s="491">
        <f t="shared" si="118"/>
        <v>2</v>
      </c>
    </row>
    <row r="7576" spans="1:7" ht="12.75">
      <c r="A7576" s="134" t="s">
        <v>937</v>
      </c>
      <c r="B7576" s="134">
        <v>143</v>
      </c>
      <c r="C7576" s="491">
        <v>0</v>
      </c>
      <c r="D7576" s="491">
        <v>1</v>
      </c>
      <c r="E7576" s="491">
        <v>0</v>
      </c>
      <c r="F7576" s="491">
        <v>0</v>
      </c>
      <c r="G7576" s="491">
        <f t="shared" si="118"/>
        <v>1</v>
      </c>
    </row>
    <row r="7577" spans="1:7" ht="12.75">
      <c r="A7577" s="134" t="s">
        <v>937</v>
      </c>
      <c r="B7577" s="134">
        <v>150</v>
      </c>
      <c r="C7577" s="491">
        <v>0</v>
      </c>
      <c r="D7577" s="491">
        <v>1</v>
      </c>
      <c r="E7577" s="491">
        <v>0</v>
      </c>
      <c r="F7577" s="491">
        <v>0</v>
      </c>
      <c r="G7577" s="491">
        <f t="shared" si="118"/>
        <v>1</v>
      </c>
    </row>
    <row r="7578" spans="1:7" ht="12.75">
      <c r="A7578" s="134" t="s">
        <v>937</v>
      </c>
      <c r="B7578" s="134">
        <v>191</v>
      </c>
      <c r="C7578" s="491">
        <v>3</v>
      </c>
      <c r="D7578" s="491">
        <v>0</v>
      </c>
      <c r="E7578" s="491">
        <v>0</v>
      </c>
      <c r="F7578" s="491">
        <v>0</v>
      </c>
      <c r="G7578" s="491">
        <f t="shared" si="118"/>
        <v>3</v>
      </c>
    </row>
    <row r="7579" spans="1:7" ht="12.75">
      <c r="A7579" s="134" t="s">
        <v>937</v>
      </c>
      <c r="B7579" s="134">
        <v>211</v>
      </c>
      <c r="C7579" s="491">
        <v>0</v>
      </c>
      <c r="D7579" s="491">
        <v>1</v>
      </c>
      <c r="E7579" s="491">
        <v>0</v>
      </c>
      <c r="F7579" s="491">
        <v>0</v>
      </c>
      <c r="G7579" s="491">
        <f t="shared" si="118"/>
        <v>1</v>
      </c>
    </row>
    <row r="7580" spans="1:7" ht="12.75">
      <c r="A7580" s="134" t="s">
        <v>937</v>
      </c>
      <c r="B7580" s="134">
        <v>307</v>
      </c>
      <c r="C7580" s="491">
        <v>2</v>
      </c>
      <c r="D7580" s="491">
        <v>1</v>
      </c>
      <c r="E7580" s="491">
        <v>0</v>
      </c>
      <c r="F7580" s="491">
        <v>0</v>
      </c>
      <c r="G7580" s="491">
        <f t="shared" si="118"/>
        <v>3</v>
      </c>
    </row>
    <row r="7581" spans="1:7" ht="12.75">
      <c r="A7581" s="134" t="s">
        <v>937</v>
      </c>
      <c r="B7581" s="134">
        <v>310</v>
      </c>
      <c r="C7581" s="491">
        <v>0</v>
      </c>
      <c r="D7581" s="491">
        <v>1</v>
      </c>
      <c r="E7581" s="491">
        <v>0</v>
      </c>
      <c r="F7581" s="491">
        <v>0</v>
      </c>
      <c r="G7581" s="491">
        <f t="shared" si="118"/>
        <v>1</v>
      </c>
    </row>
    <row r="7582" spans="1:7" ht="12.75">
      <c r="A7582" s="134" t="s">
        <v>937</v>
      </c>
      <c r="B7582" s="134">
        <v>314</v>
      </c>
      <c r="C7582" s="491">
        <v>1</v>
      </c>
      <c r="D7582" s="491">
        <v>1</v>
      </c>
      <c r="E7582" s="491">
        <v>0</v>
      </c>
      <c r="F7582" s="491">
        <v>0</v>
      </c>
      <c r="G7582" s="491">
        <f t="shared" si="118"/>
        <v>2</v>
      </c>
    </row>
    <row r="7583" spans="1:7" ht="12.75">
      <c r="A7583" s="134" t="s">
        <v>937</v>
      </c>
      <c r="B7583" s="134">
        <v>320</v>
      </c>
      <c r="C7583" s="491">
        <v>0</v>
      </c>
      <c r="D7583" s="491">
        <v>3</v>
      </c>
      <c r="E7583" s="491">
        <v>0</v>
      </c>
      <c r="F7583" s="491">
        <v>0</v>
      </c>
      <c r="G7583" s="491">
        <f t="shared" si="118"/>
        <v>3</v>
      </c>
    </row>
    <row r="7584" spans="1:7" ht="12.75">
      <c r="A7584" s="134" t="s">
        <v>937</v>
      </c>
      <c r="B7584" s="134">
        <v>330</v>
      </c>
      <c r="C7584" s="491">
        <v>2</v>
      </c>
      <c r="D7584" s="491">
        <v>3</v>
      </c>
      <c r="E7584" s="491">
        <v>0</v>
      </c>
      <c r="F7584" s="491">
        <v>0</v>
      </c>
      <c r="G7584" s="491">
        <f t="shared" si="118"/>
        <v>5</v>
      </c>
    </row>
    <row r="7585" spans="1:7" ht="12.75">
      <c r="A7585" s="134" t="s">
        <v>937</v>
      </c>
      <c r="B7585" s="134">
        <v>340</v>
      </c>
      <c r="C7585" s="491">
        <v>0</v>
      </c>
      <c r="D7585" s="491">
        <v>1</v>
      </c>
      <c r="E7585" s="491">
        <v>0</v>
      </c>
      <c r="F7585" s="491">
        <v>0</v>
      </c>
      <c r="G7585" s="491">
        <f t="shared" si="118"/>
        <v>1</v>
      </c>
    </row>
    <row r="7586" spans="1:7" ht="12.75">
      <c r="A7586" s="134" t="s">
        <v>937</v>
      </c>
      <c r="B7586" s="134">
        <v>361</v>
      </c>
      <c r="C7586" s="491">
        <v>0</v>
      </c>
      <c r="D7586" s="491">
        <v>1</v>
      </c>
      <c r="E7586" s="491">
        <v>0</v>
      </c>
      <c r="F7586" s="491">
        <v>0</v>
      </c>
      <c r="G7586" s="491">
        <f t="shared" si="118"/>
        <v>1</v>
      </c>
    </row>
    <row r="7587" spans="1:7" ht="12.75">
      <c r="A7587" s="134" t="s">
        <v>937</v>
      </c>
      <c r="B7587" s="134">
        <v>400</v>
      </c>
      <c r="C7587" s="491">
        <v>0</v>
      </c>
      <c r="D7587" s="491">
        <v>2</v>
      </c>
      <c r="E7587" s="491">
        <v>0</v>
      </c>
      <c r="F7587" s="491">
        <v>0</v>
      </c>
      <c r="G7587" s="491">
        <f t="shared" si="118"/>
        <v>2</v>
      </c>
    </row>
    <row r="7588" spans="1:7" ht="12.75">
      <c r="A7588" s="134" t="s">
        <v>937</v>
      </c>
      <c r="B7588" s="134">
        <v>410</v>
      </c>
      <c r="C7588" s="491">
        <v>0</v>
      </c>
      <c r="D7588" s="491">
        <v>1</v>
      </c>
      <c r="E7588" s="491">
        <v>0</v>
      </c>
      <c r="F7588" s="491">
        <v>0</v>
      </c>
      <c r="G7588" s="491">
        <f t="shared" si="118"/>
        <v>1</v>
      </c>
    </row>
    <row r="7589" spans="1:7" ht="12.75">
      <c r="A7589" s="134" t="s">
        <v>937</v>
      </c>
      <c r="B7589" s="134">
        <v>501</v>
      </c>
      <c r="C7589" s="491">
        <v>3</v>
      </c>
      <c r="D7589" s="491">
        <v>2</v>
      </c>
      <c r="E7589" s="491">
        <v>0</v>
      </c>
      <c r="F7589" s="491">
        <v>0</v>
      </c>
      <c r="G7589" s="491">
        <f t="shared" si="118"/>
        <v>5</v>
      </c>
    </row>
    <row r="7590" spans="1:7" ht="12.75">
      <c r="A7590" s="134" t="s">
        <v>937</v>
      </c>
      <c r="B7590" s="134">
        <v>502</v>
      </c>
      <c r="C7590" s="491">
        <v>2097</v>
      </c>
      <c r="D7590" s="491">
        <v>2378</v>
      </c>
      <c r="E7590" s="491">
        <v>24</v>
      </c>
      <c r="F7590" s="491">
        <v>25</v>
      </c>
      <c r="G7590" s="491">
        <f t="shared" si="118"/>
        <v>4524</v>
      </c>
    </row>
    <row r="7591" spans="1:7" ht="12.75">
      <c r="A7591" s="134" t="s">
        <v>937</v>
      </c>
      <c r="B7591" s="134">
        <v>503</v>
      </c>
      <c r="C7591" s="491">
        <v>56</v>
      </c>
      <c r="D7591" s="491">
        <v>47</v>
      </c>
      <c r="E7591" s="491">
        <v>0</v>
      </c>
      <c r="F7591" s="491">
        <v>1</v>
      </c>
      <c r="G7591" s="491">
        <f t="shared" si="118"/>
        <v>104</v>
      </c>
    </row>
    <row r="7592" spans="1:7" ht="12.75">
      <c r="A7592" s="134" t="s">
        <v>937</v>
      </c>
      <c r="B7592" s="134">
        <v>560</v>
      </c>
      <c r="C7592" s="491">
        <v>1</v>
      </c>
      <c r="D7592" s="491">
        <v>1</v>
      </c>
      <c r="E7592" s="491">
        <v>0</v>
      </c>
      <c r="F7592" s="491">
        <v>0</v>
      </c>
      <c r="G7592" s="491">
        <f t="shared" si="118"/>
        <v>2</v>
      </c>
    </row>
    <row r="7593" spans="1:7" ht="12.75">
      <c r="A7593" s="134" t="s">
        <v>937</v>
      </c>
      <c r="B7593" s="134">
        <v>650</v>
      </c>
      <c r="C7593" s="491">
        <v>0</v>
      </c>
      <c r="D7593" s="491">
        <v>1</v>
      </c>
      <c r="E7593" s="491">
        <v>0</v>
      </c>
      <c r="F7593" s="491">
        <v>0</v>
      </c>
      <c r="G7593" s="491">
        <f t="shared" si="118"/>
        <v>1</v>
      </c>
    </row>
    <row r="7594" spans="1:7" ht="12.75">
      <c r="A7594" s="134" t="s">
        <v>938</v>
      </c>
      <c r="B7594" s="134">
        <v>501</v>
      </c>
      <c r="C7594" s="491">
        <v>0</v>
      </c>
      <c r="D7594" s="491">
        <v>1</v>
      </c>
      <c r="E7594" s="491">
        <v>0</v>
      </c>
      <c r="F7594" s="491">
        <v>0</v>
      </c>
      <c r="G7594" s="491">
        <f t="shared" si="118"/>
        <v>1</v>
      </c>
    </row>
    <row r="7595" spans="1:7" ht="12.75">
      <c r="A7595" s="134" t="s">
        <v>938</v>
      </c>
      <c r="B7595" s="134">
        <v>502</v>
      </c>
      <c r="C7595" s="491">
        <v>762</v>
      </c>
      <c r="D7595" s="491">
        <v>834</v>
      </c>
      <c r="E7595" s="491">
        <v>4</v>
      </c>
      <c r="F7595" s="491">
        <v>11</v>
      </c>
      <c r="G7595" s="491">
        <f t="shared" si="118"/>
        <v>1611</v>
      </c>
    </row>
    <row r="7596" spans="1:7" ht="12.75">
      <c r="A7596" s="134" t="s">
        <v>938</v>
      </c>
      <c r="B7596" s="134">
        <v>503</v>
      </c>
      <c r="C7596" s="491">
        <v>18</v>
      </c>
      <c r="D7596" s="491">
        <v>9</v>
      </c>
      <c r="E7596" s="491">
        <v>1</v>
      </c>
      <c r="F7596" s="491">
        <v>1</v>
      </c>
      <c r="G7596" s="491">
        <f t="shared" si="118"/>
        <v>29</v>
      </c>
    </row>
    <row r="7597" spans="1:7" ht="12.75">
      <c r="A7597" s="134" t="s">
        <v>939</v>
      </c>
      <c r="B7597" s="134">
        <v>100</v>
      </c>
      <c r="C7597" s="491">
        <v>2</v>
      </c>
      <c r="D7597" s="491">
        <v>1</v>
      </c>
      <c r="E7597" s="491">
        <v>0</v>
      </c>
      <c r="F7597" s="491">
        <v>0</v>
      </c>
      <c r="G7597" s="491">
        <f t="shared" si="118"/>
        <v>3</v>
      </c>
    </row>
    <row r="7598" spans="1:7" ht="12.75">
      <c r="A7598" s="134" t="s">
        <v>939</v>
      </c>
      <c r="B7598" s="134">
        <v>101</v>
      </c>
      <c r="C7598" s="491">
        <v>1</v>
      </c>
      <c r="D7598" s="491">
        <v>0</v>
      </c>
      <c r="E7598" s="491">
        <v>0</v>
      </c>
      <c r="F7598" s="491">
        <v>0</v>
      </c>
      <c r="G7598" s="491">
        <f t="shared" si="118"/>
        <v>1</v>
      </c>
    </row>
    <row r="7599" spans="1:7" ht="12.75">
      <c r="A7599" s="134" t="s">
        <v>939</v>
      </c>
      <c r="B7599" s="134">
        <v>120</v>
      </c>
      <c r="C7599" s="491">
        <v>0</v>
      </c>
      <c r="D7599" s="491">
        <v>2</v>
      </c>
      <c r="E7599" s="491">
        <v>0</v>
      </c>
      <c r="F7599" s="491">
        <v>0</v>
      </c>
      <c r="G7599" s="491">
        <f t="shared" si="118"/>
        <v>2</v>
      </c>
    </row>
    <row r="7600" spans="1:7" ht="12.75">
      <c r="A7600" s="134" t="s">
        <v>939</v>
      </c>
      <c r="B7600" s="134">
        <v>214</v>
      </c>
      <c r="C7600" s="491">
        <v>1</v>
      </c>
      <c r="D7600" s="491">
        <v>0</v>
      </c>
      <c r="E7600" s="491">
        <v>0</v>
      </c>
      <c r="F7600" s="491">
        <v>0</v>
      </c>
      <c r="G7600" s="491">
        <f t="shared" si="118"/>
        <v>1</v>
      </c>
    </row>
    <row r="7601" spans="1:7" ht="12.75">
      <c r="A7601" s="134" t="s">
        <v>939</v>
      </c>
      <c r="B7601" s="134">
        <v>300</v>
      </c>
      <c r="C7601" s="491">
        <v>1</v>
      </c>
      <c r="D7601" s="491">
        <v>0</v>
      </c>
      <c r="E7601" s="491">
        <v>0</v>
      </c>
      <c r="F7601" s="491">
        <v>0</v>
      </c>
      <c r="G7601" s="491">
        <f t="shared" si="118"/>
        <v>1</v>
      </c>
    </row>
    <row r="7602" spans="1:7" ht="12.75">
      <c r="A7602" s="134" t="s">
        <v>939</v>
      </c>
      <c r="B7602" s="134">
        <v>304</v>
      </c>
      <c r="C7602" s="491">
        <v>1</v>
      </c>
      <c r="D7602" s="491">
        <v>0</v>
      </c>
      <c r="E7602" s="491">
        <v>0</v>
      </c>
      <c r="F7602" s="491">
        <v>0</v>
      </c>
      <c r="G7602" s="491">
        <f t="shared" si="118"/>
        <v>1</v>
      </c>
    </row>
    <row r="7603" spans="1:7" ht="12.75">
      <c r="A7603" s="134" t="s">
        <v>939</v>
      </c>
      <c r="B7603" s="134">
        <v>330</v>
      </c>
      <c r="C7603" s="491">
        <v>1</v>
      </c>
      <c r="D7603" s="491">
        <v>0</v>
      </c>
      <c r="E7603" s="491">
        <v>0</v>
      </c>
      <c r="F7603" s="491">
        <v>0</v>
      </c>
      <c r="G7603" s="491">
        <f t="shared" si="118"/>
        <v>1</v>
      </c>
    </row>
    <row r="7604" spans="1:7" ht="12.75">
      <c r="A7604" s="134" t="s">
        <v>939</v>
      </c>
      <c r="B7604" s="134">
        <v>400</v>
      </c>
      <c r="C7604" s="491">
        <v>0</v>
      </c>
      <c r="D7604" s="491">
        <v>1</v>
      </c>
      <c r="E7604" s="491">
        <v>0</v>
      </c>
      <c r="F7604" s="491">
        <v>0</v>
      </c>
      <c r="G7604" s="491">
        <f t="shared" si="118"/>
        <v>1</v>
      </c>
    </row>
    <row r="7605" spans="1:7" ht="12.75">
      <c r="A7605" s="134" t="s">
        <v>939</v>
      </c>
      <c r="B7605" s="134">
        <v>501</v>
      </c>
      <c r="C7605" s="491">
        <v>2</v>
      </c>
      <c r="D7605" s="491">
        <v>3</v>
      </c>
      <c r="E7605" s="491">
        <v>0</v>
      </c>
      <c r="F7605" s="491">
        <v>1</v>
      </c>
      <c r="G7605" s="491">
        <f t="shared" si="118"/>
        <v>6</v>
      </c>
    </row>
    <row r="7606" spans="1:7" ht="12.75">
      <c r="A7606" s="134" t="s">
        <v>939</v>
      </c>
      <c r="B7606" s="134">
        <v>502</v>
      </c>
      <c r="C7606" s="491">
        <v>3699</v>
      </c>
      <c r="D7606" s="491">
        <v>3476</v>
      </c>
      <c r="E7606" s="491">
        <v>50</v>
      </c>
      <c r="F7606" s="491">
        <v>43</v>
      </c>
      <c r="G7606" s="491">
        <f t="shared" si="118"/>
        <v>7268</v>
      </c>
    </row>
    <row r="7607" spans="1:7" ht="12.75">
      <c r="A7607" s="134" t="s">
        <v>939</v>
      </c>
      <c r="B7607" s="134">
        <v>503</v>
      </c>
      <c r="C7607" s="491">
        <v>88</v>
      </c>
      <c r="D7607" s="491">
        <v>46</v>
      </c>
      <c r="E7607" s="491">
        <v>4</v>
      </c>
      <c r="F7607" s="491">
        <v>0</v>
      </c>
      <c r="G7607" s="491">
        <f t="shared" si="118"/>
        <v>138</v>
      </c>
    </row>
    <row r="7608" spans="1:7" ht="12.75">
      <c r="A7608" s="134" t="s">
        <v>939</v>
      </c>
      <c r="B7608" s="134">
        <v>560</v>
      </c>
      <c r="C7608" s="491">
        <v>1</v>
      </c>
      <c r="D7608" s="491">
        <v>0</v>
      </c>
      <c r="E7608" s="491">
        <v>0</v>
      </c>
      <c r="F7608" s="491">
        <v>0</v>
      </c>
      <c r="G7608" s="491">
        <f t="shared" si="118"/>
        <v>1</v>
      </c>
    </row>
    <row r="7609" spans="1:7" ht="12.75">
      <c r="A7609" s="134" t="s">
        <v>939</v>
      </c>
      <c r="B7609" s="134">
        <v>650</v>
      </c>
      <c r="C7609" s="491">
        <v>0</v>
      </c>
      <c r="D7609" s="491">
        <v>1</v>
      </c>
      <c r="E7609" s="491">
        <v>0</v>
      </c>
      <c r="F7609" s="491">
        <v>0</v>
      </c>
      <c r="G7609" s="491">
        <f t="shared" si="118"/>
        <v>1</v>
      </c>
    </row>
    <row r="7610" spans="1:7" ht="12.75">
      <c r="A7610" s="134" t="s">
        <v>939</v>
      </c>
      <c r="B7610" s="134">
        <v>812</v>
      </c>
      <c r="C7610" s="491">
        <v>0</v>
      </c>
      <c r="D7610" s="491">
        <v>1</v>
      </c>
      <c r="E7610" s="491">
        <v>0</v>
      </c>
      <c r="F7610" s="491">
        <v>0</v>
      </c>
      <c r="G7610" s="491">
        <f t="shared" si="118"/>
        <v>1</v>
      </c>
    </row>
    <row r="7611" spans="1:7" ht="12.75">
      <c r="A7611" s="134" t="s">
        <v>940</v>
      </c>
      <c r="B7611" s="134">
        <v>100</v>
      </c>
      <c r="C7611" s="491">
        <v>47</v>
      </c>
      <c r="D7611" s="491">
        <v>128</v>
      </c>
      <c r="E7611" s="491">
        <v>1</v>
      </c>
      <c r="F7611" s="491">
        <v>1</v>
      </c>
      <c r="G7611" s="491">
        <f t="shared" si="118"/>
        <v>177</v>
      </c>
    </row>
    <row r="7612" spans="1:7" ht="12.75">
      <c r="A7612" s="134" t="s">
        <v>940</v>
      </c>
      <c r="B7612" s="134">
        <v>101</v>
      </c>
      <c r="C7612" s="491">
        <v>40</v>
      </c>
      <c r="D7612" s="491">
        <v>139</v>
      </c>
      <c r="E7612" s="491">
        <v>0</v>
      </c>
      <c r="F7612" s="491">
        <v>0</v>
      </c>
      <c r="G7612" s="491">
        <f t="shared" si="118"/>
        <v>179</v>
      </c>
    </row>
    <row r="7613" spans="1:7" ht="12.75">
      <c r="A7613" s="134" t="s">
        <v>940</v>
      </c>
      <c r="B7613" s="134">
        <v>102</v>
      </c>
      <c r="C7613" s="491">
        <v>0</v>
      </c>
      <c r="D7613" s="491">
        <v>21</v>
      </c>
      <c r="E7613" s="491">
        <v>0</v>
      </c>
      <c r="F7613" s="491">
        <v>0</v>
      </c>
      <c r="G7613" s="491">
        <f t="shared" si="118"/>
        <v>21</v>
      </c>
    </row>
    <row r="7614" spans="1:7" ht="12.75">
      <c r="A7614" s="134" t="s">
        <v>940</v>
      </c>
      <c r="B7614" s="134">
        <v>103</v>
      </c>
      <c r="C7614" s="491">
        <v>21</v>
      </c>
      <c r="D7614" s="491">
        <v>58</v>
      </c>
      <c r="E7614" s="491">
        <v>0</v>
      </c>
      <c r="F7614" s="491">
        <v>0</v>
      </c>
      <c r="G7614" s="491">
        <f t="shared" si="118"/>
        <v>79</v>
      </c>
    </row>
    <row r="7615" spans="1:7" ht="12.75">
      <c r="A7615" s="134" t="s">
        <v>940</v>
      </c>
      <c r="B7615" s="134">
        <v>104</v>
      </c>
      <c r="C7615" s="491">
        <v>17</v>
      </c>
      <c r="D7615" s="491">
        <v>85</v>
      </c>
      <c r="E7615" s="491">
        <v>0</v>
      </c>
      <c r="F7615" s="491">
        <v>0</v>
      </c>
      <c r="G7615" s="491">
        <f t="shared" si="118"/>
        <v>102</v>
      </c>
    </row>
    <row r="7616" spans="1:7" ht="12.75">
      <c r="A7616" s="134" t="s">
        <v>940</v>
      </c>
      <c r="B7616" s="134">
        <v>105</v>
      </c>
      <c r="C7616" s="491">
        <v>0</v>
      </c>
      <c r="D7616" s="491">
        <v>2</v>
      </c>
      <c r="E7616" s="491">
        <v>0</v>
      </c>
      <c r="F7616" s="491">
        <v>0</v>
      </c>
      <c r="G7616" s="491">
        <f t="shared" si="118"/>
        <v>2</v>
      </c>
    </row>
    <row r="7617" spans="1:7" ht="12.75">
      <c r="A7617" s="134" t="s">
        <v>940</v>
      </c>
      <c r="B7617" s="134">
        <v>106</v>
      </c>
      <c r="C7617" s="491">
        <v>1</v>
      </c>
      <c r="D7617" s="491">
        <v>37</v>
      </c>
      <c r="E7617" s="491">
        <v>0</v>
      </c>
      <c r="F7617" s="491">
        <v>0</v>
      </c>
      <c r="G7617" s="491">
        <f t="shared" si="118"/>
        <v>38</v>
      </c>
    </row>
    <row r="7618" spans="1:7" ht="12.75">
      <c r="A7618" s="134" t="s">
        <v>940</v>
      </c>
      <c r="B7618" s="134">
        <v>107</v>
      </c>
      <c r="C7618" s="491">
        <v>0</v>
      </c>
      <c r="D7618" s="491">
        <v>65</v>
      </c>
      <c r="E7618" s="491">
        <v>0</v>
      </c>
      <c r="F7618" s="491">
        <v>0</v>
      </c>
      <c r="G7618" s="491">
        <f t="shared" si="118"/>
        <v>65</v>
      </c>
    </row>
    <row r="7619" spans="1:7" ht="12.75">
      <c r="A7619" s="134" t="s">
        <v>940</v>
      </c>
      <c r="B7619" s="134">
        <v>110</v>
      </c>
      <c r="C7619" s="491">
        <v>21</v>
      </c>
      <c r="D7619" s="491">
        <v>240</v>
      </c>
      <c r="E7619" s="491">
        <v>0</v>
      </c>
      <c r="F7619" s="491">
        <v>0</v>
      </c>
      <c r="G7619" s="491">
        <f t="shared" si="118"/>
        <v>261</v>
      </c>
    </row>
    <row r="7620" spans="1:7" ht="12.75">
      <c r="A7620" s="134" t="s">
        <v>940</v>
      </c>
      <c r="B7620" s="134">
        <v>120</v>
      </c>
      <c r="C7620" s="491">
        <v>5</v>
      </c>
      <c r="D7620" s="491">
        <v>155</v>
      </c>
      <c r="E7620" s="491">
        <v>0</v>
      </c>
      <c r="F7620" s="491">
        <v>0</v>
      </c>
      <c r="G7620" s="491">
        <f t="shared" ref="G7620:G7683" si="119">SUM(C7620:F7620)</f>
        <v>160</v>
      </c>
    </row>
    <row r="7621" spans="1:7" ht="12.75">
      <c r="A7621" s="134" t="s">
        <v>940</v>
      </c>
      <c r="B7621" s="134">
        <v>130</v>
      </c>
      <c r="C7621" s="491">
        <v>7</v>
      </c>
      <c r="D7621" s="491">
        <v>8</v>
      </c>
      <c r="E7621" s="491">
        <v>0</v>
      </c>
      <c r="F7621" s="491">
        <v>0</v>
      </c>
      <c r="G7621" s="491">
        <f t="shared" si="119"/>
        <v>15</v>
      </c>
    </row>
    <row r="7622" spans="1:7" ht="12.75">
      <c r="A7622" s="134" t="s">
        <v>940</v>
      </c>
      <c r="B7622" s="134">
        <v>140</v>
      </c>
      <c r="C7622" s="491">
        <v>2</v>
      </c>
      <c r="D7622" s="491">
        <v>66</v>
      </c>
      <c r="E7622" s="491">
        <v>0</v>
      </c>
      <c r="F7622" s="491">
        <v>0</v>
      </c>
      <c r="G7622" s="491">
        <f t="shared" si="119"/>
        <v>68</v>
      </c>
    </row>
    <row r="7623" spans="1:7" ht="12.75">
      <c r="A7623" s="134" t="s">
        <v>940</v>
      </c>
      <c r="B7623" s="134">
        <v>141</v>
      </c>
      <c r="C7623" s="491">
        <v>2</v>
      </c>
      <c r="D7623" s="491">
        <v>1</v>
      </c>
      <c r="E7623" s="491">
        <v>0</v>
      </c>
      <c r="F7623" s="491">
        <v>0</v>
      </c>
      <c r="G7623" s="491">
        <f t="shared" si="119"/>
        <v>3</v>
      </c>
    </row>
    <row r="7624" spans="1:7" ht="12.75">
      <c r="A7624" s="134" t="s">
        <v>940</v>
      </c>
      <c r="B7624" s="134">
        <v>142</v>
      </c>
      <c r="C7624" s="491">
        <v>0</v>
      </c>
      <c r="D7624" s="491">
        <v>2</v>
      </c>
      <c r="E7624" s="491">
        <v>0</v>
      </c>
      <c r="F7624" s="491">
        <v>0</v>
      </c>
      <c r="G7624" s="491">
        <f t="shared" si="119"/>
        <v>2</v>
      </c>
    </row>
    <row r="7625" spans="1:7" ht="12.75">
      <c r="A7625" s="134" t="s">
        <v>940</v>
      </c>
      <c r="B7625" s="134">
        <v>143</v>
      </c>
      <c r="C7625" s="491">
        <v>1</v>
      </c>
      <c r="D7625" s="491">
        <v>41</v>
      </c>
      <c r="E7625" s="491">
        <v>0</v>
      </c>
      <c r="F7625" s="491">
        <v>0</v>
      </c>
      <c r="G7625" s="491">
        <f t="shared" si="119"/>
        <v>42</v>
      </c>
    </row>
    <row r="7626" spans="1:7" ht="12.75">
      <c r="A7626" s="134" t="s">
        <v>940</v>
      </c>
      <c r="B7626" s="134">
        <v>144</v>
      </c>
      <c r="C7626" s="491">
        <v>3</v>
      </c>
      <c r="D7626" s="491">
        <v>77</v>
      </c>
      <c r="E7626" s="491">
        <v>0</v>
      </c>
      <c r="F7626" s="491">
        <v>0</v>
      </c>
      <c r="G7626" s="491">
        <f t="shared" si="119"/>
        <v>80</v>
      </c>
    </row>
    <row r="7627" spans="1:7" ht="12.75">
      <c r="A7627" s="134" t="s">
        <v>940</v>
      </c>
      <c r="B7627" s="134">
        <v>150</v>
      </c>
      <c r="C7627" s="491">
        <v>1</v>
      </c>
      <c r="D7627" s="491">
        <v>59</v>
      </c>
      <c r="E7627" s="491">
        <v>0</v>
      </c>
      <c r="F7627" s="491">
        <v>0</v>
      </c>
      <c r="G7627" s="491">
        <f t="shared" si="119"/>
        <v>60</v>
      </c>
    </row>
    <row r="7628" spans="1:7" ht="12.75">
      <c r="A7628" s="134" t="s">
        <v>940</v>
      </c>
      <c r="B7628" s="134">
        <v>160</v>
      </c>
      <c r="C7628" s="491">
        <v>1</v>
      </c>
      <c r="D7628" s="491">
        <v>134</v>
      </c>
      <c r="E7628" s="491">
        <v>0</v>
      </c>
      <c r="F7628" s="491">
        <v>0</v>
      </c>
      <c r="G7628" s="491">
        <f t="shared" si="119"/>
        <v>135</v>
      </c>
    </row>
    <row r="7629" spans="1:7" ht="12.75">
      <c r="A7629" s="134" t="s">
        <v>940</v>
      </c>
      <c r="B7629" s="134">
        <v>171</v>
      </c>
      <c r="C7629" s="491">
        <v>0</v>
      </c>
      <c r="D7629" s="491">
        <v>12</v>
      </c>
      <c r="E7629" s="491">
        <v>0</v>
      </c>
      <c r="F7629" s="491">
        <v>0</v>
      </c>
      <c r="G7629" s="491">
        <f t="shared" si="119"/>
        <v>12</v>
      </c>
    </row>
    <row r="7630" spans="1:7" ht="12.75">
      <c r="A7630" s="134" t="s">
        <v>940</v>
      </c>
      <c r="B7630" s="134">
        <v>172</v>
      </c>
      <c r="C7630" s="491">
        <v>0</v>
      </c>
      <c r="D7630" s="491">
        <v>18</v>
      </c>
      <c r="E7630" s="491">
        <v>0</v>
      </c>
      <c r="F7630" s="491">
        <v>0</v>
      </c>
      <c r="G7630" s="491">
        <f t="shared" si="119"/>
        <v>18</v>
      </c>
    </row>
    <row r="7631" spans="1:7" ht="12.75">
      <c r="A7631" s="134" t="s">
        <v>940</v>
      </c>
      <c r="B7631" s="134">
        <v>173</v>
      </c>
      <c r="C7631" s="491">
        <v>0</v>
      </c>
      <c r="D7631" s="491">
        <v>7</v>
      </c>
      <c r="E7631" s="491">
        <v>0</v>
      </c>
      <c r="F7631" s="491">
        <v>0</v>
      </c>
      <c r="G7631" s="491">
        <f t="shared" si="119"/>
        <v>7</v>
      </c>
    </row>
    <row r="7632" spans="1:7" ht="12.75">
      <c r="A7632" s="134" t="s">
        <v>940</v>
      </c>
      <c r="B7632" s="134">
        <v>180</v>
      </c>
      <c r="C7632" s="491">
        <v>0</v>
      </c>
      <c r="D7632" s="491">
        <v>21</v>
      </c>
      <c r="E7632" s="491">
        <v>0</v>
      </c>
      <c r="F7632" s="491">
        <v>0</v>
      </c>
      <c r="G7632" s="491">
        <f t="shared" si="119"/>
        <v>21</v>
      </c>
    </row>
    <row r="7633" spans="1:7" ht="12.75">
      <c r="A7633" s="134" t="s">
        <v>940</v>
      </c>
      <c r="B7633" s="134">
        <v>190</v>
      </c>
      <c r="C7633" s="491">
        <v>13</v>
      </c>
      <c r="D7633" s="491">
        <v>17</v>
      </c>
      <c r="E7633" s="491">
        <v>0</v>
      </c>
      <c r="F7633" s="491">
        <v>0</v>
      </c>
      <c r="G7633" s="491">
        <f t="shared" si="119"/>
        <v>30</v>
      </c>
    </row>
    <row r="7634" spans="1:7" ht="12.75">
      <c r="A7634" s="134" t="s">
        <v>940</v>
      </c>
      <c r="B7634" s="134">
        <v>191</v>
      </c>
      <c r="C7634" s="491">
        <v>8</v>
      </c>
      <c r="D7634" s="491">
        <v>20</v>
      </c>
      <c r="E7634" s="491">
        <v>1</v>
      </c>
      <c r="F7634" s="491">
        <v>0</v>
      </c>
      <c r="G7634" s="491">
        <f t="shared" si="119"/>
        <v>29</v>
      </c>
    </row>
    <row r="7635" spans="1:7" ht="12.75">
      <c r="A7635" s="134" t="s">
        <v>940</v>
      </c>
      <c r="B7635" s="134">
        <v>199</v>
      </c>
      <c r="C7635" s="491">
        <v>0</v>
      </c>
      <c r="D7635" s="491">
        <v>1</v>
      </c>
      <c r="E7635" s="491">
        <v>0</v>
      </c>
      <c r="F7635" s="491">
        <v>0</v>
      </c>
      <c r="G7635" s="491">
        <f t="shared" si="119"/>
        <v>1</v>
      </c>
    </row>
    <row r="7636" spans="1:7" ht="12.75">
      <c r="A7636" s="134" t="s">
        <v>940</v>
      </c>
      <c r="B7636" s="134">
        <v>211</v>
      </c>
      <c r="C7636" s="491">
        <v>0</v>
      </c>
      <c r="D7636" s="491">
        <v>21</v>
      </c>
      <c r="E7636" s="491">
        <v>0</v>
      </c>
      <c r="F7636" s="491">
        <v>0</v>
      </c>
      <c r="G7636" s="491">
        <f t="shared" si="119"/>
        <v>21</v>
      </c>
    </row>
    <row r="7637" spans="1:7" ht="12.75">
      <c r="A7637" s="134" t="s">
        <v>940</v>
      </c>
      <c r="B7637" s="134">
        <v>251</v>
      </c>
      <c r="C7637" s="491">
        <v>1</v>
      </c>
      <c r="D7637" s="491">
        <v>7</v>
      </c>
      <c r="E7637" s="491">
        <v>0</v>
      </c>
      <c r="F7637" s="491">
        <v>0</v>
      </c>
      <c r="G7637" s="491">
        <f t="shared" si="119"/>
        <v>8</v>
      </c>
    </row>
    <row r="7638" spans="1:7" ht="12.75">
      <c r="A7638" s="134" t="s">
        <v>940</v>
      </c>
      <c r="B7638" s="134">
        <v>252</v>
      </c>
      <c r="C7638" s="491">
        <v>0</v>
      </c>
      <c r="D7638" s="491">
        <v>8</v>
      </c>
      <c r="E7638" s="491">
        <v>0</v>
      </c>
      <c r="F7638" s="491">
        <v>0</v>
      </c>
      <c r="G7638" s="491">
        <f t="shared" si="119"/>
        <v>8</v>
      </c>
    </row>
    <row r="7639" spans="1:7" ht="12.75">
      <c r="A7639" s="134" t="s">
        <v>940</v>
      </c>
      <c r="B7639" s="134">
        <v>253</v>
      </c>
      <c r="C7639" s="491">
        <v>0</v>
      </c>
      <c r="D7639" s="491">
        <v>8</v>
      </c>
      <c r="E7639" s="491">
        <v>0</v>
      </c>
      <c r="F7639" s="491">
        <v>0</v>
      </c>
      <c r="G7639" s="491">
        <f t="shared" si="119"/>
        <v>8</v>
      </c>
    </row>
    <row r="7640" spans="1:7" ht="12.75">
      <c r="A7640" s="134" t="s">
        <v>940</v>
      </c>
      <c r="B7640" s="134">
        <v>258</v>
      </c>
      <c r="C7640" s="491">
        <v>0</v>
      </c>
      <c r="D7640" s="491">
        <v>10</v>
      </c>
      <c r="E7640" s="491">
        <v>0</v>
      </c>
      <c r="F7640" s="491">
        <v>0</v>
      </c>
      <c r="G7640" s="491">
        <f t="shared" si="119"/>
        <v>10</v>
      </c>
    </row>
    <row r="7641" spans="1:7" ht="12.75">
      <c r="A7641" s="134" t="s">
        <v>940</v>
      </c>
      <c r="B7641" s="134">
        <v>300</v>
      </c>
      <c r="C7641" s="491">
        <v>16</v>
      </c>
      <c r="D7641" s="491">
        <v>36</v>
      </c>
      <c r="E7641" s="491">
        <v>0</v>
      </c>
      <c r="F7641" s="491">
        <v>0</v>
      </c>
      <c r="G7641" s="491">
        <f t="shared" si="119"/>
        <v>52</v>
      </c>
    </row>
    <row r="7642" spans="1:7" ht="12.75">
      <c r="A7642" s="134" t="s">
        <v>940</v>
      </c>
      <c r="B7642" s="134">
        <v>301</v>
      </c>
      <c r="C7642" s="491">
        <v>43</v>
      </c>
      <c r="D7642" s="491">
        <v>119</v>
      </c>
      <c r="E7642" s="491">
        <v>3</v>
      </c>
      <c r="F7642" s="491">
        <v>1</v>
      </c>
      <c r="G7642" s="491">
        <f t="shared" si="119"/>
        <v>166</v>
      </c>
    </row>
    <row r="7643" spans="1:7" ht="12.75">
      <c r="A7643" s="134" t="s">
        <v>940</v>
      </c>
      <c r="B7643" s="134">
        <v>302</v>
      </c>
      <c r="C7643" s="491">
        <v>24</v>
      </c>
      <c r="D7643" s="491">
        <v>63</v>
      </c>
      <c r="E7643" s="491">
        <v>6</v>
      </c>
      <c r="F7643" s="491">
        <v>0</v>
      </c>
      <c r="G7643" s="491">
        <f t="shared" si="119"/>
        <v>93</v>
      </c>
    </row>
    <row r="7644" spans="1:7" ht="12.75">
      <c r="A7644" s="134" t="s">
        <v>940</v>
      </c>
      <c r="B7644" s="134">
        <v>303</v>
      </c>
      <c r="C7644" s="491">
        <v>21</v>
      </c>
      <c r="D7644" s="491">
        <v>86</v>
      </c>
      <c r="E7644" s="491">
        <v>1</v>
      </c>
      <c r="F7644" s="491">
        <v>1</v>
      </c>
      <c r="G7644" s="491">
        <f t="shared" si="119"/>
        <v>109</v>
      </c>
    </row>
    <row r="7645" spans="1:7" ht="12.75">
      <c r="A7645" s="134" t="s">
        <v>940</v>
      </c>
      <c r="B7645" s="134">
        <v>305</v>
      </c>
      <c r="C7645" s="491">
        <v>1</v>
      </c>
      <c r="D7645" s="491">
        <v>0</v>
      </c>
      <c r="E7645" s="491">
        <v>0</v>
      </c>
      <c r="F7645" s="491">
        <v>0</v>
      </c>
      <c r="G7645" s="491">
        <f t="shared" si="119"/>
        <v>1</v>
      </c>
    </row>
    <row r="7646" spans="1:7" ht="12.75">
      <c r="A7646" s="134" t="s">
        <v>940</v>
      </c>
      <c r="B7646" s="134">
        <v>306</v>
      </c>
      <c r="C7646" s="491">
        <v>3</v>
      </c>
      <c r="D7646" s="491">
        <v>32</v>
      </c>
      <c r="E7646" s="491">
        <v>0</v>
      </c>
      <c r="F7646" s="491">
        <v>0</v>
      </c>
      <c r="G7646" s="491">
        <f t="shared" si="119"/>
        <v>35</v>
      </c>
    </row>
    <row r="7647" spans="1:7" ht="12.75">
      <c r="A7647" s="134" t="s">
        <v>940</v>
      </c>
      <c r="B7647" s="134">
        <v>307</v>
      </c>
      <c r="C7647" s="491">
        <v>8</v>
      </c>
      <c r="D7647" s="491">
        <v>49</v>
      </c>
      <c r="E7647" s="491">
        <v>0</v>
      </c>
      <c r="F7647" s="491">
        <v>0</v>
      </c>
      <c r="G7647" s="491">
        <f t="shared" si="119"/>
        <v>57</v>
      </c>
    </row>
    <row r="7648" spans="1:7" ht="12.75">
      <c r="A7648" s="134" t="s">
        <v>940</v>
      </c>
      <c r="B7648" s="134">
        <v>309</v>
      </c>
      <c r="C7648" s="491">
        <v>1</v>
      </c>
      <c r="D7648" s="491">
        <v>0</v>
      </c>
      <c r="E7648" s="491">
        <v>0</v>
      </c>
      <c r="F7648" s="491">
        <v>0</v>
      </c>
      <c r="G7648" s="491">
        <f t="shared" si="119"/>
        <v>1</v>
      </c>
    </row>
    <row r="7649" spans="1:7" ht="12.75">
      <c r="A7649" s="134" t="s">
        <v>940</v>
      </c>
      <c r="B7649" s="134">
        <v>310</v>
      </c>
      <c r="C7649" s="491">
        <v>1</v>
      </c>
      <c r="D7649" s="491">
        <v>82</v>
      </c>
      <c r="E7649" s="491">
        <v>0</v>
      </c>
      <c r="F7649" s="491">
        <v>0</v>
      </c>
      <c r="G7649" s="491">
        <f t="shared" si="119"/>
        <v>83</v>
      </c>
    </row>
    <row r="7650" spans="1:7" ht="12.75">
      <c r="A7650" s="134" t="s">
        <v>940</v>
      </c>
      <c r="B7650" s="134">
        <v>311</v>
      </c>
      <c r="C7650" s="491">
        <v>0</v>
      </c>
      <c r="D7650" s="491">
        <v>8</v>
      </c>
      <c r="E7650" s="491">
        <v>0</v>
      </c>
      <c r="F7650" s="491">
        <v>0</v>
      </c>
      <c r="G7650" s="491">
        <f t="shared" si="119"/>
        <v>8</v>
      </c>
    </row>
    <row r="7651" spans="1:7" ht="12.75">
      <c r="A7651" s="134" t="s">
        <v>940</v>
      </c>
      <c r="B7651" s="134">
        <v>314</v>
      </c>
      <c r="C7651" s="491">
        <v>0</v>
      </c>
      <c r="D7651" s="491">
        <v>28</v>
      </c>
      <c r="E7651" s="491">
        <v>0</v>
      </c>
      <c r="F7651" s="491">
        <v>0</v>
      </c>
      <c r="G7651" s="491">
        <f t="shared" si="119"/>
        <v>28</v>
      </c>
    </row>
    <row r="7652" spans="1:7" ht="12.75">
      <c r="A7652" s="134" t="s">
        <v>940</v>
      </c>
      <c r="B7652" s="134">
        <v>317</v>
      </c>
      <c r="C7652" s="491">
        <v>0</v>
      </c>
      <c r="D7652" s="491">
        <v>3</v>
      </c>
      <c r="E7652" s="491">
        <v>0</v>
      </c>
      <c r="F7652" s="491">
        <v>0</v>
      </c>
      <c r="G7652" s="491">
        <f t="shared" si="119"/>
        <v>3</v>
      </c>
    </row>
    <row r="7653" spans="1:7" ht="12.75">
      <c r="A7653" s="134" t="s">
        <v>940</v>
      </c>
      <c r="B7653" s="134">
        <v>320</v>
      </c>
      <c r="C7653" s="491">
        <v>4</v>
      </c>
      <c r="D7653" s="491">
        <v>266</v>
      </c>
      <c r="E7653" s="491">
        <v>0</v>
      </c>
      <c r="F7653" s="491">
        <v>1</v>
      </c>
      <c r="G7653" s="491">
        <f t="shared" si="119"/>
        <v>271</v>
      </c>
    </row>
    <row r="7654" spans="1:7" ht="12.75">
      <c r="A7654" s="134" t="s">
        <v>940</v>
      </c>
      <c r="B7654" s="134">
        <v>321</v>
      </c>
      <c r="C7654" s="491">
        <v>0</v>
      </c>
      <c r="D7654" s="491">
        <v>2</v>
      </c>
      <c r="E7654" s="491">
        <v>0</v>
      </c>
      <c r="F7654" s="491">
        <v>0</v>
      </c>
      <c r="G7654" s="491">
        <f t="shared" si="119"/>
        <v>2</v>
      </c>
    </row>
    <row r="7655" spans="1:7" ht="12.75">
      <c r="A7655" s="134" t="s">
        <v>940</v>
      </c>
      <c r="B7655" s="134">
        <v>324</v>
      </c>
      <c r="C7655" s="491">
        <v>5</v>
      </c>
      <c r="D7655" s="491">
        <v>73</v>
      </c>
      <c r="E7655" s="491">
        <v>0</v>
      </c>
      <c r="F7655" s="491">
        <v>0</v>
      </c>
      <c r="G7655" s="491">
        <f t="shared" si="119"/>
        <v>78</v>
      </c>
    </row>
    <row r="7656" spans="1:7" ht="12.75">
      <c r="A7656" s="134" t="s">
        <v>940</v>
      </c>
      <c r="B7656" s="134">
        <v>330</v>
      </c>
      <c r="C7656" s="491">
        <v>10</v>
      </c>
      <c r="D7656" s="491">
        <v>183</v>
      </c>
      <c r="E7656" s="491">
        <v>0</v>
      </c>
      <c r="F7656" s="491">
        <v>0</v>
      </c>
      <c r="G7656" s="491">
        <f t="shared" si="119"/>
        <v>193</v>
      </c>
    </row>
    <row r="7657" spans="1:7" ht="12.75">
      <c r="A7657" s="134" t="s">
        <v>940</v>
      </c>
      <c r="B7657" s="134">
        <v>340</v>
      </c>
      <c r="C7657" s="491">
        <v>10</v>
      </c>
      <c r="D7657" s="491">
        <v>102</v>
      </c>
      <c r="E7657" s="491">
        <v>0</v>
      </c>
      <c r="F7657" s="491">
        <v>0</v>
      </c>
      <c r="G7657" s="491">
        <f t="shared" si="119"/>
        <v>112</v>
      </c>
    </row>
    <row r="7658" spans="1:7" ht="12.75">
      <c r="A7658" s="134" t="s">
        <v>940</v>
      </c>
      <c r="B7658" s="134">
        <v>341</v>
      </c>
      <c r="C7658" s="491">
        <v>0</v>
      </c>
      <c r="D7658" s="491">
        <v>37</v>
      </c>
      <c r="E7658" s="491">
        <v>0</v>
      </c>
      <c r="F7658" s="491">
        <v>0</v>
      </c>
      <c r="G7658" s="491">
        <f t="shared" si="119"/>
        <v>37</v>
      </c>
    </row>
    <row r="7659" spans="1:7" ht="12.75">
      <c r="A7659" s="134" t="s">
        <v>940</v>
      </c>
      <c r="B7659" s="134">
        <v>350</v>
      </c>
      <c r="C7659" s="491">
        <v>2</v>
      </c>
      <c r="D7659" s="491">
        <v>17</v>
      </c>
      <c r="E7659" s="491">
        <v>0</v>
      </c>
      <c r="F7659" s="491">
        <v>0</v>
      </c>
      <c r="G7659" s="491">
        <f t="shared" si="119"/>
        <v>19</v>
      </c>
    </row>
    <row r="7660" spans="1:7" ht="12.75">
      <c r="A7660" s="134" t="s">
        <v>940</v>
      </c>
      <c r="B7660" s="134">
        <v>360</v>
      </c>
      <c r="C7660" s="491">
        <v>0</v>
      </c>
      <c r="D7660" s="491">
        <v>1</v>
      </c>
      <c r="E7660" s="491">
        <v>0</v>
      </c>
      <c r="F7660" s="491">
        <v>0</v>
      </c>
      <c r="G7660" s="491">
        <f t="shared" si="119"/>
        <v>1</v>
      </c>
    </row>
    <row r="7661" spans="1:7" ht="12.75">
      <c r="A7661" s="134" t="s">
        <v>940</v>
      </c>
      <c r="B7661" s="134">
        <v>361</v>
      </c>
      <c r="C7661" s="491">
        <v>17</v>
      </c>
      <c r="D7661" s="491">
        <v>28</v>
      </c>
      <c r="E7661" s="491">
        <v>0</v>
      </c>
      <c r="F7661" s="491">
        <v>0</v>
      </c>
      <c r="G7661" s="491">
        <f t="shared" si="119"/>
        <v>45</v>
      </c>
    </row>
    <row r="7662" spans="1:7" ht="12.75">
      <c r="A7662" s="134" t="s">
        <v>940</v>
      </c>
      <c r="B7662" s="134">
        <v>370</v>
      </c>
      <c r="C7662" s="491">
        <v>64</v>
      </c>
      <c r="D7662" s="491">
        <v>71</v>
      </c>
      <c r="E7662" s="491">
        <v>0</v>
      </c>
      <c r="F7662" s="491">
        <v>0</v>
      </c>
      <c r="G7662" s="491">
        <f t="shared" si="119"/>
        <v>135</v>
      </c>
    </row>
    <row r="7663" spans="1:7" ht="12.75">
      <c r="A7663" s="134" t="s">
        <v>940</v>
      </c>
      <c r="B7663" s="134">
        <v>400</v>
      </c>
      <c r="C7663" s="491">
        <v>6</v>
      </c>
      <c r="D7663" s="491">
        <v>91</v>
      </c>
      <c r="E7663" s="491">
        <v>0</v>
      </c>
      <c r="F7663" s="491">
        <v>0</v>
      </c>
      <c r="G7663" s="491">
        <f t="shared" si="119"/>
        <v>97</v>
      </c>
    </row>
    <row r="7664" spans="1:7" ht="12.75">
      <c r="A7664" s="134" t="s">
        <v>940</v>
      </c>
      <c r="B7664" s="134">
        <v>410</v>
      </c>
      <c r="C7664" s="491">
        <v>17</v>
      </c>
      <c r="D7664" s="491">
        <v>95</v>
      </c>
      <c r="E7664" s="491">
        <v>0</v>
      </c>
      <c r="F7664" s="491">
        <v>0</v>
      </c>
      <c r="G7664" s="491">
        <f t="shared" si="119"/>
        <v>112</v>
      </c>
    </row>
    <row r="7665" spans="1:7" ht="12.75">
      <c r="A7665" s="134" t="s">
        <v>940</v>
      </c>
      <c r="B7665" s="134">
        <v>420</v>
      </c>
      <c r="C7665" s="491">
        <v>1</v>
      </c>
      <c r="D7665" s="491">
        <v>37</v>
      </c>
      <c r="E7665" s="491">
        <v>0</v>
      </c>
      <c r="F7665" s="491">
        <v>0</v>
      </c>
      <c r="G7665" s="491">
        <f t="shared" si="119"/>
        <v>38</v>
      </c>
    </row>
    <row r="7666" spans="1:7" ht="12.75">
      <c r="A7666" s="134" t="s">
        <v>940</v>
      </c>
      <c r="B7666" s="134">
        <v>421</v>
      </c>
      <c r="C7666" s="491">
        <v>0</v>
      </c>
      <c r="D7666" s="491">
        <v>5</v>
      </c>
      <c r="E7666" s="491">
        <v>0</v>
      </c>
      <c r="F7666" s="491">
        <v>0</v>
      </c>
      <c r="G7666" s="491">
        <f t="shared" si="119"/>
        <v>5</v>
      </c>
    </row>
    <row r="7667" spans="1:7" ht="12.75">
      <c r="A7667" s="134" t="s">
        <v>940</v>
      </c>
      <c r="B7667" s="134">
        <v>422</v>
      </c>
      <c r="C7667" s="491">
        <v>0</v>
      </c>
      <c r="D7667" s="491">
        <v>4</v>
      </c>
      <c r="E7667" s="491">
        <v>0</v>
      </c>
      <c r="F7667" s="491">
        <v>0</v>
      </c>
      <c r="G7667" s="491">
        <f t="shared" si="119"/>
        <v>4</v>
      </c>
    </row>
    <row r="7668" spans="1:7" ht="12.75">
      <c r="A7668" s="134" t="s">
        <v>940</v>
      </c>
      <c r="B7668" s="134">
        <v>430</v>
      </c>
      <c r="C7668" s="491">
        <v>1</v>
      </c>
      <c r="D7668" s="491">
        <v>7</v>
      </c>
      <c r="E7668" s="491">
        <v>0</v>
      </c>
      <c r="F7668" s="491">
        <v>0</v>
      </c>
      <c r="G7668" s="491">
        <f t="shared" si="119"/>
        <v>8</v>
      </c>
    </row>
    <row r="7669" spans="1:7" ht="12.75">
      <c r="A7669" s="134" t="s">
        <v>940</v>
      </c>
      <c r="B7669" s="134">
        <v>450</v>
      </c>
      <c r="C7669" s="491">
        <v>1</v>
      </c>
      <c r="D7669" s="491">
        <v>0</v>
      </c>
      <c r="E7669" s="491">
        <v>0</v>
      </c>
      <c r="F7669" s="491">
        <v>0</v>
      </c>
      <c r="G7669" s="491">
        <f t="shared" si="119"/>
        <v>1</v>
      </c>
    </row>
    <row r="7670" spans="1:7" ht="12.75">
      <c r="A7670" s="134" t="s">
        <v>940</v>
      </c>
      <c r="B7670" s="134">
        <v>501</v>
      </c>
      <c r="C7670" s="491">
        <v>2444</v>
      </c>
      <c r="D7670" s="491">
        <v>4847</v>
      </c>
      <c r="E7670" s="491">
        <v>60</v>
      </c>
      <c r="F7670" s="491">
        <v>71</v>
      </c>
      <c r="G7670" s="491">
        <f t="shared" si="119"/>
        <v>7422</v>
      </c>
    </row>
    <row r="7671" spans="1:7" ht="12.75">
      <c r="A7671" s="134" t="s">
        <v>940</v>
      </c>
      <c r="B7671" s="134">
        <v>502</v>
      </c>
      <c r="C7671" s="491">
        <v>76060</v>
      </c>
      <c r="D7671" s="491">
        <v>113353</v>
      </c>
      <c r="E7671" s="491">
        <v>9995</v>
      </c>
      <c r="F7671" s="491">
        <v>16019</v>
      </c>
      <c r="G7671" s="491">
        <f t="shared" si="119"/>
        <v>215427</v>
      </c>
    </row>
    <row r="7672" spans="1:7" ht="12.75">
      <c r="A7672" s="134" t="s">
        <v>940</v>
      </c>
      <c r="B7672" s="134">
        <v>503</v>
      </c>
      <c r="C7672" s="491">
        <v>1087</v>
      </c>
      <c r="D7672" s="491">
        <v>3734</v>
      </c>
      <c r="E7672" s="491">
        <v>63</v>
      </c>
      <c r="F7672" s="491">
        <v>539</v>
      </c>
      <c r="G7672" s="491">
        <f t="shared" si="119"/>
        <v>5423</v>
      </c>
    </row>
    <row r="7673" spans="1:7" ht="12.75">
      <c r="A7673" s="134" t="s">
        <v>940</v>
      </c>
      <c r="B7673" s="134">
        <v>560</v>
      </c>
      <c r="C7673" s="491">
        <v>1099</v>
      </c>
      <c r="D7673" s="491">
        <v>217</v>
      </c>
      <c r="E7673" s="491">
        <v>9</v>
      </c>
      <c r="F7673" s="491">
        <v>5</v>
      </c>
      <c r="G7673" s="491">
        <f t="shared" si="119"/>
        <v>1330</v>
      </c>
    </row>
    <row r="7674" spans="1:7" ht="12.75">
      <c r="A7674" s="134" t="s">
        <v>940</v>
      </c>
      <c r="B7674" s="134">
        <v>650</v>
      </c>
      <c r="C7674" s="491">
        <v>3</v>
      </c>
      <c r="D7674" s="491">
        <v>435</v>
      </c>
      <c r="E7674" s="491">
        <v>0</v>
      </c>
      <c r="F7674" s="491">
        <v>0</v>
      </c>
      <c r="G7674" s="491">
        <f t="shared" si="119"/>
        <v>438</v>
      </c>
    </row>
    <row r="7675" spans="1:7" ht="12.75">
      <c r="A7675" s="134" t="s">
        <v>940</v>
      </c>
      <c r="B7675" s="134">
        <v>651</v>
      </c>
      <c r="C7675" s="491">
        <v>0</v>
      </c>
      <c r="D7675" s="491">
        <v>1</v>
      </c>
      <c r="E7675" s="491">
        <v>0</v>
      </c>
      <c r="F7675" s="491">
        <v>0</v>
      </c>
      <c r="G7675" s="491">
        <f t="shared" si="119"/>
        <v>1</v>
      </c>
    </row>
    <row r="7676" spans="1:7" ht="12.75">
      <c r="A7676" s="134" t="s">
        <v>940</v>
      </c>
      <c r="B7676" s="134">
        <v>652</v>
      </c>
      <c r="C7676" s="491">
        <v>0</v>
      </c>
      <c r="D7676" s="491">
        <v>3</v>
      </c>
      <c r="E7676" s="491">
        <v>0</v>
      </c>
      <c r="F7676" s="491">
        <v>0</v>
      </c>
      <c r="G7676" s="491">
        <f t="shared" si="119"/>
        <v>3</v>
      </c>
    </row>
    <row r="7677" spans="1:7" ht="12.75">
      <c r="A7677" s="134" t="s">
        <v>940</v>
      </c>
      <c r="B7677" s="134">
        <v>653</v>
      </c>
      <c r="C7677" s="491">
        <v>1</v>
      </c>
      <c r="D7677" s="491">
        <v>36</v>
      </c>
      <c r="E7677" s="491">
        <v>0</v>
      </c>
      <c r="F7677" s="491">
        <v>0</v>
      </c>
      <c r="G7677" s="491">
        <f t="shared" si="119"/>
        <v>37</v>
      </c>
    </row>
    <row r="7678" spans="1:7" ht="12.75">
      <c r="A7678" s="134" t="s">
        <v>940</v>
      </c>
      <c r="B7678" s="134">
        <v>654</v>
      </c>
      <c r="C7678" s="491">
        <v>1</v>
      </c>
      <c r="D7678" s="491">
        <v>17</v>
      </c>
      <c r="E7678" s="491">
        <v>0</v>
      </c>
      <c r="F7678" s="491">
        <v>0</v>
      </c>
      <c r="G7678" s="491">
        <f t="shared" si="119"/>
        <v>18</v>
      </c>
    </row>
    <row r="7679" spans="1:7" ht="12.75">
      <c r="A7679" s="134" t="s">
        <v>940</v>
      </c>
      <c r="B7679" s="134">
        <v>658</v>
      </c>
      <c r="C7679" s="491">
        <v>0</v>
      </c>
      <c r="D7679" s="491">
        <v>1</v>
      </c>
      <c r="E7679" s="491">
        <v>0</v>
      </c>
      <c r="F7679" s="491">
        <v>0</v>
      </c>
      <c r="G7679" s="491">
        <f t="shared" si="119"/>
        <v>1</v>
      </c>
    </row>
    <row r="7680" spans="1:7" ht="12.75">
      <c r="A7680" s="134" t="s">
        <v>940</v>
      </c>
      <c r="B7680" s="134">
        <v>721</v>
      </c>
      <c r="C7680" s="491">
        <v>3</v>
      </c>
      <c r="D7680" s="491">
        <v>0</v>
      </c>
      <c r="E7680" s="491">
        <v>0</v>
      </c>
      <c r="F7680" s="491">
        <v>0</v>
      </c>
      <c r="G7680" s="491">
        <f t="shared" si="119"/>
        <v>3</v>
      </c>
    </row>
    <row r="7681" spans="1:7" ht="12.75">
      <c r="A7681" s="134" t="s">
        <v>940</v>
      </c>
      <c r="B7681" s="134">
        <v>800</v>
      </c>
      <c r="C7681" s="491">
        <v>21</v>
      </c>
      <c r="D7681" s="491">
        <v>3</v>
      </c>
      <c r="E7681" s="491">
        <v>1</v>
      </c>
      <c r="F7681" s="491">
        <v>1</v>
      </c>
      <c r="G7681" s="491">
        <f t="shared" si="119"/>
        <v>26</v>
      </c>
    </row>
    <row r="7682" spans="1:7" ht="12.75">
      <c r="A7682" s="134" t="s">
        <v>940</v>
      </c>
      <c r="B7682" s="134">
        <v>811</v>
      </c>
      <c r="C7682" s="491">
        <v>711</v>
      </c>
      <c r="D7682" s="491">
        <v>3841</v>
      </c>
      <c r="E7682" s="491">
        <v>0</v>
      </c>
      <c r="F7682" s="491">
        <v>0</v>
      </c>
      <c r="G7682" s="491">
        <f t="shared" si="119"/>
        <v>4552</v>
      </c>
    </row>
    <row r="7683" spans="1:7" ht="12.75">
      <c r="A7683" s="134" t="s">
        <v>940</v>
      </c>
      <c r="B7683" s="134">
        <v>812</v>
      </c>
      <c r="C7683" s="491">
        <v>5784</v>
      </c>
      <c r="D7683" s="491">
        <v>16959</v>
      </c>
      <c r="E7683" s="491">
        <v>1</v>
      </c>
      <c r="F7683" s="491">
        <v>44</v>
      </c>
      <c r="G7683" s="491">
        <f t="shared" si="119"/>
        <v>22788</v>
      </c>
    </row>
    <row r="7684" spans="1:7" ht="12.75">
      <c r="A7684" s="134" t="s">
        <v>941</v>
      </c>
      <c r="B7684" s="134">
        <v>104</v>
      </c>
      <c r="C7684" s="491">
        <v>1</v>
      </c>
      <c r="D7684" s="491">
        <v>0</v>
      </c>
      <c r="E7684" s="491">
        <v>0</v>
      </c>
      <c r="F7684" s="491">
        <v>0</v>
      </c>
      <c r="G7684" s="491">
        <f t="shared" ref="G7684:G7747" si="120">SUM(C7684:F7684)</f>
        <v>1</v>
      </c>
    </row>
    <row r="7685" spans="1:7" ht="12.75">
      <c r="A7685" s="134" t="s">
        <v>941</v>
      </c>
      <c r="B7685" s="134">
        <v>110</v>
      </c>
      <c r="C7685" s="491">
        <v>0</v>
      </c>
      <c r="D7685" s="491">
        <v>1</v>
      </c>
      <c r="E7685" s="491">
        <v>0</v>
      </c>
      <c r="F7685" s="491">
        <v>0</v>
      </c>
      <c r="G7685" s="491">
        <f t="shared" si="120"/>
        <v>1</v>
      </c>
    </row>
    <row r="7686" spans="1:7" ht="12.75">
      <c r="A7686" s="134" t="s">
        <v>941</v>
      </c>
      <c r="B7686" s="134">
        <v>130</v>
      </c>
      <c r="C7686" s="491">
        <v>1</v>
      </c>
      <c r="D7686" s="491">
        <v>0</v>
      </c>
      <c r="E7686" s="491">
        <v>0</v>
      </c>
      <c r="F7686" s="491">
        <v>0</v>
      </c>
      <c r="G7686" s="491">
        <f t="shared" si="120"/>
        <v>1</v>
      </c>
    </row>
    <row r="7687" spans="1:7" ht="12.75">
      <c r="A7687" s="134" t="s">
        <v>941</v>
      </c>
      <c r="B7687" s="134">
        <v>140</v>
      </c>
      <c r="C7687" s="491">
        <v>0</v>
      </c>
      <c r="D7687" s="491">
        <v>1</v>
      </c>
      <c r="E7687" s="491">
        <v>0</v>
      </c>
      <c r="F7687" s="491">
        <v>0</v>
      </c>
      <c r="G7687" s="491">
        <f t="shared" si="120"/>
        <v>1</v>
      </c>
    </row>
    <row r="7688" spans="1:7" ht="12.75">
      <c r="A7688" s="134" t="s">
        <v>941</v>
      </c>
      <c r="B7688" s="134">
        <v>180</v>
      </c>
      <c r="C7688" s="491">
        <v>0</v>
      </c>
      <c r="D7688" s="491">
        <v>1</v>
      </c>
      <c r="E7688" s="491">
        <v>0</v>
      </c>
      <c r="F7688" s="491">
        <v>0</v>
      </c>
      <c r="G7688" s="491">
        <f t="shared" si="120"/>
        <v>1</v>
      </c>
    </row>
    <row r="7689" spans="1:7" ht="12.75">
      <c r="A7689" s="134" t="s">
        <v>941</v>
      </c>
      <c r="B7689" s="134">
        <v>290</v>
      </c>
      <c r="C7689" s="491">
        <v>1</v>
      </c>
      <c r="D7689" s="491">
        <v>0</v>
      </c>
      <c r="E7689" s="491">
        <v>0</v>
      </c>
      <c r="F7689" s="491">
        <v>0</v>
      </c>
      <c r="G7689" s="491">
        <f t="shared" si="120"/>
        <v>1</v>
      </c>
    </row>
    <row r="7690" spans="1:7" ht="12.75">
      <c r="A7690" s="134" t="s">
        <v>941</v>
      </c>
      <c r="B7690" s="134">
        <v>330</v>
      </c>
      <c r="C7690" s="491">
        <v>1</v>
      </c>
      <c r="D7690" s="491">
        <v>0</v>
      </c>
      <c r="E7690" s="491">
        <v>0</v>
      </c>
      <c r="F7690" s="491">
        <v>0</v>
      </c>
      <c r="G7690" s="491">
        <f t="shared" si="120"/>
        <v>1</v>
      </c>
    </row>
    <row r="7691" spans="1:7" ht="12.75">
      <c r="A7691" s="134" t="s">
        <v>941</v>
      </c>
      <c r="B7691" s="134">
        <v>501</v>
      </c>
      <c r="C7691" s="491">
        <v>1</v>
      </c>
      <c r="D7691" s="491">
        <v>2</v>
      </c>
      <c r="E7691" s="491">
        <v>1</v>
      </c>
      <c r="F7691" s="491">
        <v>0</v>
      </c>
      <c r="G7691" s="491">
        <f t="shared" si="120"/>
        <v>4</v>
      </c>
    </row>
    <row r="7692" spans="1:7" ht="12.75">
      <c r="A7692" s="134" t="s">
        <v>941</v>
      </c>
      <c r="B7692" s="134">
        <v>502</v>
      </c>
      <c r="C7692" s="491">
        <v>308</v>
      </c>
      <c r="D7692" s="491">
        <v>3970</v>
      </c>
      <c r="E7692" s="491">
        <v>5</v>
      </c>
      <c r="F7692" s="491">
        <v>54</v>
      </c>
      <c r="G7692" s="491">
        <f t="shared" si="120"/>
        <v>4337</v>
      </c>
    </row>
    <row r="7693" spans="1:7" ht="12.75">
      <c r="A7693" s="134" t="s">
        <v>941</v>
      </c>
      <c r="B7693" s="134">
        <v>503</v>
      </c>
      <c r="C7693" s="491">
        <v>49</v>
      </c>
      <c r="D7693" s="491">
        <v>1250</v>
      </c>
      <c r="E7693" s="491">
        <v>0</v>
      </c>
      <c r="F7693" s="491">
        <v>257</v>
      </c>
      <c r="G7693" s="491">
        <f t="shared" si="120"/>
        <v>1556</v>
      </c>
    </row>
    <row r="7694" spans="1:7" ht="12.75">
      <c r="A7694" s="134" t="s">
        <v>942</v>
      </c>
      <c r="B7694" s="134">
        <v>100</v>
      </c>
      <c r="C7694" s="491">
        <v>5</v>
      </c>
      <c r="D7694" s="491">
        <v>18</v>
      </c>
      <c r="E7694" s="491">
        <v>0</v>
      </c>
      <c r="F7694" s="491">
        <v>0</v>
      </c>
      <c r="G7694" s="491">
        <f t="shared" si="120"/>
        <v>23</v>
      </c>
    </row>
    <row r="7695" spans="1:7" ht="12.75">
      <c r="A7695" s="134" t="s">
        <v>942</v>
      </c>
      <c r="B7695" s="134">
        <v>101</v>
      </c>
      <c r="C7695" s="491">
        <v>7</v>
      </c>
      <c r="D7695" s="491">
        <v>105</v>
      </c>
      <c r="E7695" s="491">
        <v>0</v>
      </c>
      <c r="F7695" s="491">
        <v>0</v>
      </c>
      <c r="G7695" s="491">
        <f t="shared" si="120"/>
        <v>112</v>
      </c>
    </row>
    <row r="7696" spans="1:7" ht="12.75">
      <c r="A7696" s="134" t="s">
        <v>942</v>
      </c>
      <c r="B7696" s="134">
        <v>102</v>
      </c>
      <c r="C7696" s="491">
        <v>0</v>
      </c>
      <c r="D7696" s="491">
        <v>5</v>
      </c>
      <c r="E7696" s="491">
        <v>0</v>
      </c>
      <c r="F7696" s="491">
        <v>0</v>
      </c>
      <c r="G7696" s="491">
        <f t="shared" si="120"/>
        <v>5</v>
      </c>
    </row>
    <row r="7697" spans="1:7" ht="12.75">
      <c r="A7697" s="134" t="s">
        <v>942</v>
      </c>
      <c r="B7697" s="134">
        <v>103</v>
      </c>
      <c r="C7697" s="491">
        <v>0</v>
      </c>
      <c r="D7697" s="491">
        <v>13</v>
      </c>
      <c r="E7697" s="491">
        <v>0</v>
      </c>
      <c r="F7697" s="491">
        <v>0</v>
      </c>
      <c r="G7697" s="491">
        <f t="shared" si="120"/>
        <v>13</v>
      </c>
    </row>
    <row r="7698" spans="1:7" ht="12.75">
      <c r="A7698" s="134" t="s">
        <v>942</v>
      </c>
      <c r="B7698" s="134">
        <v>104</v>
      </c>
      <c r="C7698" s="491">
        <v>3</v>
      </c>
      <c r="D7698" s="491">
        <v>28</v>
      </c>
      <c r="E7698" s="491">
        <v>0</v>
      </c>
      <c r="F7698" s="491">
        <v>0</v>
      </c>
      <c r="G7698" s="491">
        <f t="shared" si="120"/>
        <v>31</v>
      </c>
    </row>
    <row r="7699" spans="1:7" ht="12.75">
      <c r="A7699" s="134" t="s">
        <v>942</v>
      </c>
      <c r="B7699" s="134">
        <v>106</v>
      </c>
      <c r="C7699" s="491">
        <v>1</v>
      </c>
      <c r="D7699" s="491">
        <v>8</v>
      </c>
      <c r="E7699" s="491">
        <v>0</v>
      </c>
      <c r="F7699" s="491">
        <v>0</v>
      </c>
      <c r="G7699" s="491">
        <f t="shared" si="120"/>
        <v>9</v>
      </c>
    </row>
    <row r="7700" spans="1:7" ht="12.75">
      <c r="A7700" s="134" t="s">
        <v>942</v>
      </c>
      <c r="B7700" s="134">
        <v>107</v>
      </c>
      <c r="C7700" s="491">
        <v>0</v>
      </c>
      <c r="D7700" s="491">
        <v>11</v>
      </c>
      <c r="E7700" s="491">
        <v>0</v>
      </c>
      <c r="F7700" s="491">
        <v>0</v>
      </c>
      <c r="G7700" s="491">
        <f t="shared" si="120"/>
        <v>11</v>
      </c>
    </row>
    <row r="7701" spans="1:7" ht="12.75">
      <c r="A7701" s="134" t="s">
        <v>942</v>
      </c>
      <c r="B7701" s="134">
        <v>110</v>
      </c>
      <c r="C7701" s="491">
        <v>8</v>
      </c>
      <c r="D7701" s="491">
        <v>70</v>
      </c>
      <c r="E7701" s="491">
        <v>0</v>
      </c>
      <c r="F7701" s="491">
        <v>0</v>
      </c>
      <c r="G7701" s="491">
        <f t="shared" si="120"/>
        <v>78</v>
      </c>
    </row>
    <row r="7702" spans="1:7" ht="12.75">
      <c r="A7702" s="134" t="s">
        <v>942</v>
      </c>
      <c r="B7702" s="134">
        <v>120</v>
      </c>
      <c r="C7702" s="491">
        <v>2</v>
      </c>
      <c r="D7702" s="491">
        <v>27</v>
      </c>
      <c r="E7702" s="491">
        <v>1</v>
      </c>
      <c r="F7702" s="491">
        <v>1</v>
      </c>
      <c r="G7702" s="491">
        <f t="shared" si="120"/>
        <v>31</v>
      </c>
    </row>
    <row r="7703" spans="1:7" ht="12.75">
      <c r="A7703" s="134" t="s">
        <v>942</v>
      </c>
      <c r="B7703" s="134">
        <v>130</v>
      </c>
      <c r="C7703" s="491">
        <v>14</v>
      </c>
      <c r="D7703" s="491">
        <v>9</v>
      </c>
      <c r="E7703" s="491">
        <v>0</v>
      </c>
      <c r="F7703" s="491">
        <v>0</v>
      </c>
      <c r="G7703" s="491">
        <f t="shared" si="120"/>
        <v>23</v>
      </c>
    </row>
    <row r="7704" spans="1:7" ht="12.75">
      <c r="A7704" s="134" t="s">
        <v>942</v>
      </c>
      <c r="B7704" s="134">
        <v>140</v>
      </c>
      <c r="C7704" s="491">
        <v>4</v>
      </c>
      <c r="D7704" s="491">
        <v>19</v>
      </c>
      <c r="E7704" s="491">
        <v>0</v>
      </c>
      <c r="F7704" s="491">
        <v>0</v>
      </c>
      <c r="G7704" s="491">
        <f t="shared" si="120"/>
        <v>23</v>
      </c>
    </row>
    <row r="7705" spans="1:7" ht="12.75">
      <c r="A7705" s="134" t="s">
        <v>942</v>
      </c>
      <c r="B7705" s="134">
        <v>143</v>
      </c>
      <c r="C7705" s="491">
        <v>3</v>
      </c>
      <c r="D7705" s="491">
        <v>5</v>
      </c>
      <c r="E7705" s="491">
        <v>0</v>
      </c>
      <c r="F7705" s="491">
        <v>0</v>
      </c>
      <c r="G7705" s="491">
        <f t="shared" si="120"/>
        <v>8</v>
      </c>
    </row>
    <row r="7706" spans="1:7" ht="12.75">
      <c r="A7706" s="134" t="s">
        <v>942</v>
      </c>
      <c r="B7706" s="134">
        <v>144</v>
      </c>
      <c r="C7706" s="491">
        <v>0</v>
      </c>
      <c r="D7706" s="491">
        <v>25</v>
      </c>
      <c r="E7706" s="491">
        <v>0</v>
      </c>
      <c r="F7706" s="491">
        <v>0</v>
      </c>
      <c r="G7706" s="491">
        <f t="shared" si="120"/>
        <v>25</v>
      </c>
    </row>
    <row r="7707" spans="1:7" ht="12.75">
      <c r="A7707" s="134" t="s">
        <v>942</v>
      </c>
      <c r="B7707" s="134">
        <v>150</v>
      </c>
      <c r="C7707" s="491">
        <v>0</v>
      </c>
      <c r="D7707" s="491">
        <v>13</v>
      </c>
      <c r="E7707" s="491">
        <v>0</v>
      </c>
      <c r="F7707" s="491">
        <v>0</v>
      </c>
      <c r="G7707" s="491">
        <f t="shared" si="120"/>
        <v>13</v>
      </c>
    </row>
    <row r="7708" spans="1:7" ht="12.75">
      <c r="A7708" s="134" t="s">
        <v>942</v>
      </c>
      <c r="B7708" s="134">
        <v>160</v>
      </c>
      <c r="C7708" s="491">
        <v>0</v>
      </c>
      <c r="D7708" s="491">
        <v>26</v>
      </c>
      <c r="E7708" s="491">
        <v>0</v>
      </c>
      <c r="F7708" s="491">
        <v>0</v>
      </c>
      <c r="G7708" s="491">
        <f t="shared" si="120"/>
        <v>26</v>
      </c>
    </row>
    <row r="7709" spans="1:7" ht="12.75">
      <c r="A7709" s="134" t="s">
        <v>942</v>
      </c>
      <c r="B7709" s="134">
        <v>172</v>
      </c>
      <c r="C7709" s="491">
        <v>0</v>
      </c>
      <c r="D7709" s="491">
        <v>3</v>
      </c>
      <c r="E7709" s="491">
        <v>0</v>
      </c>
      <c r="F7709" s="491">
        <v>0</v>
      </c>
      <c r="G7709" s="491">
        <f t="shared" si="120"/>
        <v>3</v>
      </c>
    </row>
    <row r="7710" spans="1:7" ht="12.75">
      <c r="A7710" s="134" t="s">
        <v>942</v>
      </c>
      <c r="B7710" s="134">
        <v>180</v>
      </c>
      <c r="C7710" s="491">
        <v>1</v>
      </c>
      <c r="D7710" s="491">
        <v>1</v>
      </c>
      <c r="E7710" s="491">
        <v>0</v>
      </c>
      <c r="F7710" s="491">
        <v>0</v>
      </c>
      <c r="G7710" s="491">
        <f t="shared" si="120"/>
        <v>2</v>
      </c>
    </row>
    <row r="7711" spans="1:7" ht="12.75">
      <c r="A7711" s="134" t="s">
        <v>942</v>
      </c>
      <c r="B7711" s="134">
        <v>190</v>
      </c>
      <c r="C7711" s="491">
        <v>2</v>
      </c>
      <c r="D7711" s="491">
        <v>6</v>
      </c>
      <c r="E7711" s="491">
        <v>0</v>
      </c>
      <c r="F7711" s="491">
        <v>0</v>
      </c>
      <c r="G7711" s="491">
        <f t="shared" si="120"/>
        <v>8</v>
      </c>
    </row>
    <row r="7712" spans="1:7" ht="12.75">
      <c r="A7712" s="134" t="s">
        <v>942</v>
      </c>
      <c r="B7712" s="134">
        <v>191</v>
      </c>
      <c r="C7712" s="491">
        <v>3</v>
      </c>
      <c r="D7712" s="491">
        <v>18</v>
      </c>
      <c r="E7712" s="491">
        <v>0</v>
      </c>
      <c r="F7712" s="491">
        <v>0</v>
      </c>
      <c r="G7712" s="491">
        <f t="shared" si="120"/>
        <v>21</v>
      </c>
    </row>
    <row r="7713" spans="1:7" ht="12.75">
      <c r="A7713" s="134" t="s">
        <v>942</v>
      </c>
      <c r="B7713" s="134">
        <v>211</v>
      </c>
      <c r="C7713" s="491">
        <v>0</v>
      </c>
      <c r="D7713" s="491">
        <v>12</v>
      </c>
      <c r="E7713" s="491">
        <v>0</v>
      </c>
      <c r="F7713" s="491">
        <v>0</v>
      </c>
      <c r="G7713" s="491">
        <f t="shared" si="120"/>
        <v>12</v>
      </c>
    </row>
    <row r="7714" spans="1:7" ht="12.75">
      <c r="A7714" s="134" t="s">
        <v>942</v>
      </c>
      <c r="B7714" s="134">
        <v>214</v>
      </c>
      <c r="C7714" s="491">
        <v>1</v>
      </c>
      <c r="D7714" s="491">
        <v>2</v>
      </c>
      <c r="E7714" s="491">
        <v>0</v>
      </c>
      <c r="F7714" s="491">
        <v>0</v>
      </c>
      <c r="G7714" s="491">
        <f t="shared" si="120"/>
        <v>3</v>
      </c>
    </row>
    <row r="7715" spans="1:7" ht="12.75">
      <c r="A7715" s="134" t="s">
        <v>942</v>
      </c>
      <c r="B7715" s="134">
        <v>215</v>
      </c>
      <c r="C7715" s="491">
        <v>0</v>
      </c>
      <c r="D7715" s="491">
        <v>0</v>
      </c>
      <c r="E7715" s="491">
        <v>0</v>
      </c>
      <c r="F7715" s="491">
        <v>2</v>
      </c>
      <c r="G7715" s="491">
        <f t="shared" si="120"/>
        <v>2</v>
      </c>
    </row>
    <row r="7716" spans="1:7" ht="12.75">
      <c r="A7716" s="134" t="s">
        <v>942</v>
      </c>
      <c r="B7716" s="134">
        <v>251</v>
      </c>
      <c r="C7716" s="491">
        <v>0</v>
      </c>
      <c r="D7716" s="491">
        <v>11</v>
      </c>
      <c r="E7716" s="491">
        <v>0</v>
      </c>
      <c r="F7716" s="491">
        <v>0</v>
      </c>
      <c r="G7716" s="491">
        <f t="shared" si="120"/>
        <v>11</v>
      </c>
    </row>
    <row r="7717" spans="1:7" ht="12.75">
      <c r="A7717" s="134" t="s">
        <v>942</v>
      </c>
      <c r="B7717" s="134">
        <v>252</v>
      </c>
      <c r="C7717" s="491">
        <v>0</v>
      </c>
      <c r="D7717" s="491">
        <v>8</v>
      </c>
      <c r="E7717" s="491">
        <v>0</v>
      </c>
      <c r="F7717" s="491">
        <v>0</v>
      </c>
      <c r="G7717" s="491">
        <f t="shared" si="120"/>
        <v>8</v>
      </c>
    </row>
    <row r="7718" spans="1:7" ht="12.75">
      <c r="A7718" s="134" t="s">
        <v>942</v>
      </c>
      <c r="B7718" s="134">
        <v>253</v>
      </c>
      <c r="C7718" s="491">
        <v>0</v>
      </c>
      <c r="D7718" s="491">
        <v>4</v>
      </c>
      <c r="E7718" s="491">
        <v>0</v>
      </c>
      <c r="F7718" s="491">
        <v>0</v>
      </c>
      <c r="G7718" s="491">
        <f t="shared" si="120"/>
        <v>4</v>
      </c>
    </row>
    <row r="7719" spans="1:7" ht="12.75">
      <c r="A7719" s="134" t="s">
        <v>942</v>
      </c>
      <c r="B7719" s="134">
        <v>257</v>
      </c>
      <c r="C7719" s="491">
        <v>2</v>
      </c>
      <c r="D7719" s="491">
        <v>0</v>
      </c>
      <c r="E7719" s="491">
        <v>0</v>
      </c>
      <c r="F7719" s="491">
        <v>0</v>
      </c>
      <c r="G7719" s="491">
        <f t="shared" si="120"/>
        <v>2</v>
      </c>
    </row>
    <row r="7720" spans="1:7" ht="12.75">
      <c r="A7720" s="134" t="s">
        <v>942</v>
      </c>
      <c r="B7720" s="134">
        <v>258</v>
      </c>
      <c r="C7720" s="491">
        <v>0</v>
      </c>
      <c r="D7720" s="491">
        <v>5</v>
      </c>
      <c r="E7720" s="491">
        <v>0</v>
      </c>
      <c r="F7720" s="491">
        <v>0</v>
      </c>
      <c r="G7720" s="491">
        <f t="shared" si="120"/>
        <v>5</v>
      </c>
    </row>
    <row r="7721" spans="1:7" ht="12.75">
      <c r="A7721" s="134" t="s">
        <v>942</v>
      </c>
      <c r="B7721" s="134">
        <v>290</v>
      </c>
      <c r="C7721" s="491">
        <v>1</v>
      </c>
      <c r="D7721" s="491">
        <v>16</v>
      </c>
      <c r="E7721" s="491">
        <v>0</v>
      </c>
      <c r="F7721" s="491">
        <v>0</v>
      </c>
      <c r="G7721" s="491">
        <f t="shared" si="120"/>
        <v>17</v>
      </c>
    </row>
    <row r="7722" spans="1:7" ht="12.75">
      <c r="A7722" s="134" t="s">
        <v>942</v>
      </c>
      <c r="B7722" s="134">
        <v>300</v>
      </c>
      <c r="C7722" s="491">
        <v>3</v>
      </c>
      <c r="D7722" s="491">
        <v>13</v>
      </c>
      <c r="E7722" s="491">
        <v>0</v>
      </c>
      <c r="F7722" s="491">
        <v>0</v>
      </c>
      <c r="G7722" s="491">
        <f t="shared" si="120"/>
        <v>16</v>
      </c>
    </row>
    <row r="7723" spans="1:7" ht="12.75">
      <c r="A7723" s="134" t="s">
        <v>942</v>
      </c>
      <c r="B7723" s="134">
        <v>301</v>
      </c>
      <c r="C7723" s="491">
        <v>2</v>
      </c>
      <c r="D7723" s="491">
        <v>24</v>
      </c>
      <c r="E7723" s="491">
        <v>0</v>
      </c>
      <c r="F7723" s="491">
        <v>0</v>
      </c>
      <c r="G7723" s="491">
        <f t="shared" si="120"/>
        <v>26</v>
      </c>
    </row>
    <row r="7724" spans="1:7" ht="12.75">
      <c r="A7724" s="134" t="s">
        <v>942</v>
      </c>
      <c r="B7724" s="134">
        <v>302</v>
      </c>
      <c r="C7724" s="491">
        <v>0</v>
      </c>
      <c r="D7724" s="491">
        <v>16</v>
      </c>
      <c r="E7724" s="491">
        <v>0</v>
      </c>
      <c r="F7724" s="491">
        <v>0</v>
      </c>
      <c r="G7724" s="491">
        <f t="shared" si="120"/>
        <v>16</v>
      </c>
    </row>
    <row r="7725" spans="1:7" ht="12.75">
      <c r="A7725" s="134" t="s">
        <v>942</v>
      </c>
      <c r="B7725" s="134">
        <v>303</v>
      </c>
      <c r="C7725" s="491">
        <v>2</v>
      </c>
      <c r="D7725" s="491">
        <v>14</v>
      </c>
      <c r="E7725" s="491">
        <v>0</v>
      </c>
      <c r="F7725" s="491">
        <v>0</v>
      </c>
      <c r="G7725" s="491">
        <f t="shared" si="120"/>
        <v>16</v>
      </c>
    </row>
    <row r="7726" spans="1:7" ht="12.75">
      <c r="A7726" s="134" t="s">
        <v>942</v>
      </c>
      <c r="B7726" s="134">
        <v>306</v>
      </c>
      <c r="C7726" s="491">
        <v>0</v>
      </c>
      <c r="D7726" s="491">
        <v>15</v>
      </c>
      <c r="E7726" s="491">
        <v>0</v>
      </c>
      <c r="F7726" s="491">
        <v>0</v>
      </c>
      <c r="G7726" s="491">
        <f t="shared" si="120"/>
        <v>15</v>
      </c>
    </row>
    <row r="7727" spans="1:7" ht="12.75">
      <c r="A7727" s="134" t="s">
        <v>942</v>
      </c>
      <c r="B7727" s="134">
        <v>307</v>
      </c>
      <c r="C7727" s="491">
        <v>2</v>
      </c>
      <c r="D7727" s="491">
        <v>22</v>
      </c>
      <c r="E7727" s="491">
        <v>0</v>
      </c>
      <c r="F7727" s="491">
        <v>0</v>
      </c>
      <c r="G7727" s="491">
        <f t="shared" si="120"/>
        <v>24</v>
      </c>
    </row>
    <row r="7728" spans="1:7" ht="12.75">
      <c r="A7728" s="134" t="s">
        <v>942</v>
      </c>
      <c r="B7728" s="134">
        <v>310</v>
      </c>
      <c r="C7728" s="491">
        <v>0</v>
      </c>
      <c r="D7728" s="491">
        <v>43</v>
      </c>
      <c r="E7728" s="491">
        <v>0</v>
      </c>
      <c r="F7728" s="491">
        <v>0</v>
      </c>
      <c r="G7728" s="491">
        <f t="shared" si="120"/>
        <v>43</v>
      </c>
    </row>
    <row r="7729" spans="1:7" ht="12.75">
      <c r="A7729" s="134" t="s">
        <v>942</v>
      </c>
      <c r="B7729" s="134">
        <v>311</v>
      </c>
      <c r="C7729" s="491">
        <v>0</v>
      </c>
      <c r="D7729" s="491">
        <v>1</v>
      </c>
      <c r="E7729" s="491">
        <v>0</v>
      </c>
      <c r="F7729" s="491">
        <v>0</v>
      </c>
      <c r="G7729" s="491">
        <f t="shared" si="120"/>
        <v>1</v>
      </c>
    </row>
    <row r="7730" spans="1:7" ht="12.75">
      <c r="A7730" s="134" t="s">
        <v>942</v>
      </c>
      <c r="B7730" s="134">
        <v>314</v>
      </c>
      <c r="C7730" s="491">
        <v>1</v>
      </c>
      <c r="D7730" s="491">
        <v>6</v>
      </c>
      <c r="E7730" s="491">
        <v>0</v>
      </c>
      <c r="F7730" s="491">
        <v>0</v>
      </c>
      <c r="G7730" s="491">
        <f t="shared" si="120"/>
        <v>7</v>
      </c>
    </row>
    <row r="7731" spans="1:7" ht="12.75">
      <c r="A7731" s="134" t="s">
        <v>942</v>
      </c>
      <c r="B7731" s="134">
        <v>317</v>
      </c>
      <c r="C7731" s="491">
        <v>1</v>
      </c>
      <c r="D7731" s="491">
        <v>0</v>
      </c>
      <c r="E7731" s="491">
        <v>0</v>
      </c>
      <c r="F7731" s="491">
        <v>0</v>
      </c>
      <c r="G7731" s="491">
        <f t="shared" si="120"/>
        <v>1</v>
      </c>
    </row>
    <row r="7732" spans="1:7" ht="12.75">
      <c r="A7732" s="134" t="s">
        <v>942</v>
      </c>
      <c r="B7732" s="134">
        <v>320</v>
      </c>
      <c r="C7732" s="491">
        <v>6</v>
      </c>
      <c r="D7732" s="491">
        <v>67</v>
      </c>
      <c r="E7732" s="491">
        <v>0</v>
      </c>
      <c r="F7732" s="491">
        <v>0</v>
      </c>
      <c r="G7732" s="491">
        <f t="shared" si="120"/>
        <v>73</v>
      </c>
    </row>
    <row r="7733" spans="1:7" ht="12.75">
      <c r="A7733" s="134" t="s">
        <v>942</v>
      </c>
      <c r="B7733" s="134">
        <v>321</v>
      </c>
      <c r="C7733" s="491">
        <v>1</v>
      </c>
      <c r="D7733" s="491">
        <v>1</v>
      </c>
      <c r="E7733" s="491">
        <v>0</v>
      </c>
      <c r="F7733" s="491">
        <v>0</v>
      </c>
      <c r="G7733" s="491">
        <f t="shared" si="120"/>
        <v>2</v>
      </c>
    </row>
    <row r="7734" spans="1:7" ht="12.75">
      <c r="A7734" s="134" t="s">
        <v>942</v>
      </c>
      <c r="B7734" s="134">
        <v>324</v>
      </c>
      <c r="C7734" s="491">
        <v>1</v>
      </c>
      <c r="D7734" s="491">
        <v>7</v>
      </c>
      <c r="E7734" s="491">
        <v>0</v>
      </c>
      <c r="F7734" s="491">
        <v>0</v>
      </c>
      <c r="G7734" s="491">
        <f t="shared" si="120"/>
        <v>8</v>
      </c>
    </row>
    <row r="7735" spans="1:7" ht="12.75">
      <c r="A7735" s="134" t="s">
        <v>942</v>
      </c>
      <c r="B7735" s="134">
        <v>330</v>
      </c>
      <c r="C7735" s="491">
        <v>16</v>
      </c>
      <c r="D7735" s="491">
        <v>65</v>
      </c>
      <c r="E7735" s="491">
        <v>39</v>
      </c>
      <c r="F7735" s="491">
        <v>2</v>
      </c>
      <c r="G7735" s="491">
        <f t="shared" si="120"/>
        <v>122</v>
      </c>
    </row>
    <row r="7736" spans="1:7" ht="12.75">
      <c r="A7736" s="134" t="s">
        <v>942</v>
      </c>
      <c r="B7736" s="134">
        <v>340</v>
      </c>
      <c r="C7736" s="491">
        <v>6</v>
      </c>
      <c r="D7736" s="491">
        <v>14</v>
      </c>
      <c r="E7736" s="491">
        <v>0</v>
      </c>
      <c r="F7736" s="491">
        <v>0</v>
      </c>
      <c r="G7736" s="491">
        <f t="shared" si="120"/>
        <v>20</v>
      </c>
    </row>
    <row r="7737" spans="1:7" ht="12.75">
      <c r="A7737" s="134" t="s">
        <v>942</v>
      </c>
      <c r="B7737" s="134">
        <v>341</v>
      </c>
      <c r="C7737" s="491">
        <v>0</v>
      </c>
      <c r="D7737" s="491">
        <v>9</v>
      </c>
      <c r="E7737" s="491">
        <v>0</v>
      </c>
      <c r="F7737" s="491">
        <v>0</v>
      </c>
      <c r="G7737" s="491">
        <f t="shared" si="120"/>
        <v>9</v>
      </c>
    </row>
    <row r="7738" spans="1:7" ht="12.75">
      <c r="A7738" s="134" t="s">
        <v>942</v>
      </c>
      <c r="B7738" s="134">
        <v>343</v>
      </c>
      <c r="C7738" s="491">
        <v>1</v>
      </c>
      <c r="D7738" s="491">
        <v>0</v>
      </c>
      <c r="E7738" s="491">
        <v>0</v>
      </c>
      <c r="F7738" s="491">
        <v>0</v>
      </c>
      <c r="G7738" s="491">
        <f t="shared" si="120"/>
        <v>1</v>
      </c>
    </row>
    <row r="7739" spans="1:7" ht="12.75">
      <c r="A7739" s="134" t="s">
        <v>942</v>
      </c>
      <c r="B7739" s="134">
        <v>350</v>
      </c>
      <c r="C7739" s="491">
        <v>17</v>
      </c>
      <c r="D7739" s="491">
        <v>1</v>
      </c>
      <c r="E7739" s="491">
        <v>0</v>
      </c>
      <c r="F7739" s="491">
        <v>0</v>
      </c>
      <c r="G7739" s="491">
        <f t="shared" si="120"/>
        <v>18</v>
      </c>
    </row>
    <row r="7740" spans="1:7" ht="12.75">
      <c r="A7740" s="134" t="s">
        <v>942</v>
      </c>
      <c r="B7740" s="134">
        <v>360</v>
      </c>
      <c r="C7740" s="491">
        <v>134</v>
      </c>
      <c r="D7740" s="491">
        <v>654</v>
      </c>
      <c r="E7740" s="491">
        <v>0</v>
      </c>
      <c r="F7740" s="491">
        <v>0</v>
      </c>
      <c r="G7740" s="491">
        <f t="shared" si="120"/>
        <v>788</v>
      </c>
    </row>
    <row r="7741" spans="1:7" ht="12.75">
      <c r="A7741" s="134" t="s">
        <v>942</v>
      </c>
      <c r="B7741" s="134">
        <v>361</v>
      </c>
      <c r="C7741" s="491">
        <v>1</v>
      </c>
      <c r="D7741" s="491">
        <v>8</v>
      </c>
      <c r="E7741" s="491">
        <v>0</v>
      </c>
      <c r="F7741" s="491">
        <v>0</v>
      </c>
      <c r="G7741" s="491">
        <f t="shared" si="120"/>
        <v>9</v>
      </c>
    </row>
    <row r="7742" spans="1:7" ht="12.75">
      <c r="A7742" s="134" t="s">
        <v>942</v>
      </c>
      <c r="B7742" s="134">
        <v>370</v>
      </c>
      <c r="C7742" s="491">
        <v>4</v>
      </c>
      <c r="D7742" s="491">
        <v>18</v>
      </c>
      <c r="E7742" s="491">
        <v>0</v>
      </c>
      <c r="F7742" s="491">
        <v>0</v>
      </c>
      <c r="G7742" s="491">
        <f t="shared" si="120"/>
        <v>22</v>
      </c>
    </row>
    <row r="7743" spans="1:7" ht="12.75">
      <c r="A7743" s="134" t="s">
        <v>942</v>
      </c>
      <c r="B7743" s="134">
        <v>400</v>
      </c>
      <c r="C7743" s="491">
        <v>0</v>
      </c>
      <c r="D7743" s="491">
        <v>44</v>
      </c>
      <c r="E7743" s="491">
        <v>0</v>
      </c>
      <c r="F7743" s="491">
        <v>0</v>
      </c>
      <c r="G7743" s="491">
        <f t="shared" si="120"/>
        <v>44</v>
      </c>
    </row>
    <row r="7744" spans="1:7" ht="12.75">
      <c r="A7744" s="134" t="s">
        <v>942</v>
      </c>
      <c r="B7744" s="134">
        <v>410</v>
      </c>
      <c r="C7744" s="491">
        <v>1</v>
      </c>
      <c r="D7744" s="491">
        <v>34</v>
      </c>
      <c r="E7744" s="491">
        <v>0</v>
      </c>
      <c r="F7744" s="491">
        <v>0</v>
      </c>
      <c r="G7744" s="491">
        <f t="shared" si="120"/>
        <v>35</v>
      </c>
    </row>
    <row r="7745" spans="1:7" ht="12.75">
      <c r="A7745" s="134" t="s">
        <v>942</v>
      </c>
      <c r="B7745" s="134">
        <v>420</v>
      </c>
      <c r="C7745" s="491">
        <v>6</v>
      </c>
      <c r="D7745" s="491">
        <v>16</v>
      </c>
      <c r="E7745" s="491">
        <v>0</v>
      </c>
      <c r="F7745" s="491">
        <v>0</v>
      </c>
      <c r="G7745" s="491">
        <f t="shared" si="120"/>
        <v>22</v>
      </c>
    </row>
    <row r="7746" spans="1:7" ht="12.75">
      <c r="A7746" s="134" t="s">
        <v>942</v>
      </c>
      <c r="B7746" s="134">
        <v>421</v>
      </c>
      <c r="C7746" s="491">
        <v>0</v>
      </c>
      <c r="D7746" s="491">
        <v>3</v>
      </c>
      <c r="E7746" s="491">
        <v>0</v>
      </c>
      <c r="F7746" s="491">
        <v>0</v>
      </c>
      <c r="G7746" s="491">
        <f t="shared" si="120"/>
        <v>3</v>
      </c>
    </row>
    <row r="7747" spans="1:7" ht="12.75">
      <c r="A7747" s="134" t="s">
        <v>942</v>
      </c>
      <c r="B7747" s="134">
        <v>430</v>
      </c>
      <c r="C7747" s="491">
        <v>0</v>
      </c>
      <c r="D7747" s="491">
        <v>1</v>
      </c>
      <c r="E7747" s="491">
        <v>0</v>
      </c>
      <c r="F7747" s="491">
        <v>0</v>
      </c>
      <c r="G7747" s="491">
        <f t="shared" si="120"/>
        <v>1</v>
      </c>
    </row>
    <row r="7748" spans="1:7" ht="12.75">
      <c r="A7748" s="134" t="s">
        <v>942</v>
      </c>
      <c r="B7748" s="134">
        <v>501</v>
      </c>
      <c r="C7748" s="491">
        <v>206</v>
      </c>
      <c r="D7748" s="491">
        <v>96</v>
      </c>
      <c r="E7748" s="491">
        <v>55</v>
      </c>
      <c r="F7748" s="491">
        <v>5</v>
      </c>
      <c r="G7748" s="491">
        <f t="shared" ref="G7748:G7811" si="121">SUM(C7748:F7748)</f>
        <v>362</v>
      </c>
    </row>
    <row r="7749" spans="1:7" ht="12.75">
      <c r="A7749" s="134" t="s">
        <v>942</v>
      </c>
      <c r="B7749" s="134">
        <v>502</v>
      </c>
      <c r="C7749" s="491">
        <v>66166</v>
      </c>
      <c r="D7749" s="491">
        <v>74903</v>
      </c>
      <c r="E7749" s="491">
        <v>494</v>
      </c>
      <c r="F7749" s="491">
        <v>499</v>
      </c>
      <c r="G7749" s="491">
        <f t="shared" si="121"/>
        <v>142062</v>
      </c>
    </row>
    <row r="7750" spans="1:7" ht="12.75">
      <c r="A7750" s="134" t="s">
        <v>942</v>
      </c>
      <c r="B7750" s="134">
        <v>503</v>
      </c>
      <c r="C7750" s="491">
        <v>6198</v>
      </c>
      <c r="D7750" s="491">
        <v>5784</v>
      </c>
      <c r="E7750" s="491">
        <v>28</v>
      </c>
      <c r="F7750" s="491">
        <v>85</v>
      </c>
      <c r="G7750" s="491">
        <f t="shared" si="121"/>
        <v>12095</v>
      </c>
    </row>
    <row r="7751" spans="1:7" ht="12.75">
      <c r="A7751" s="134" t="s">
        <v>942</v>
      </c>
      <c r="B7751" s="134">
        <v>560</v>
      </c>
      <c r="C7751" s="491">
        <v>57</v>
      </c>
      <c r="D7751" s="491">
        <v>13</v>
      </c>
      <c r="E7751" s="491">
        <v>26</v>
      </c>
      <c r="F7751" s="491">
        <v>0</v>
      </c>
      <c r="G7751" s="491">
        <f t="shared" si="121"/>
        <v>96</v>
      </c>
    </row>
    <row r="7752" spans="1:7" ht="12.75">
      <c r="A7752" s="134" t="s">
        <v>942</v>
      </c>
      <c r="B7752" s="134">
        <v>650</v>
      </c>
      <c r="C7752" s="491">
        <v>3</v>
      </c>
      <c r="D7752" s="491">
        <v>57</v>
      </c>
      <c r="E7752" s="491">
        <v>0</v>
      </c>
      <c r="F7752" s="491">
        <v>0</v>
      </c>
      <c r="G7752" s="491">
        <f t="shared" si="121"/>
        <v>60</v>
      </c>
    </row>
    <row r="7753" spans="1:7" ht="12.75">
      <c r="A7753" s="134" t="s">
        <v>942</v>
      </c>
      <c r="B7753" s="134">
        <v>651</v>
      </c>
      <c r="C7753" s="491">
        <v>0</v>
      </c>
      <c r="D7753" s="491">
        <v>1</v>
      </c>
      <c r="E7753" s="491">
        <v>0</v>
      </c>
      <c r="F7753" s="491">
        <v>0</v>
      </c>
      <c r="G7753" s="491">
        <f t="shared" si="121"/>
        <v>1</v>
      </c>
    </row>
    <row r="7754" spans="1:7" ht="12.75">
      <c r="A7754" s="134" t="s">
        <v>942</v>
      </c>
      <c r="B7754" s="134">
        <v>653</v>
      </c>
      <c r="C7754" s="491">
        <v>0</v>
      </c>
      <c r="D7754" s="491">
        <v>2</v>
      </c>
      <c r="E7754" s="491">
        <v>0</v>
      </c>
      <c r="F7754" s="491">
        <v>0</v>
      </c>
      <c r="G7754" s="491">
        <f t="shared" si="121"/>
        <v>2</v>
      </c>
    </row>
    <row r="7755" spans="1:7" ht="12.75">
      <c r="A7755" s="134" t="s">
        <v>942</v>
      </c>
      <c r="B7755" s="134">
        <v>654</v>
      </c>
      <c r="C7755" s="491">
        <v>2</v>
      </c>
      <c r="D7755" s="491">
        <v>8</v>
      </c>
      <c r="E7755" s="491">
        <v>0</v>
      </c>
      <c r="F7755" s="491">
        <v>0</v>
      </c>
      <c r="G7755" s="491">
        <f t="shared" si="121"/>
        <v>10</v>
      </c>
    </row>
    <row r="7756" spans="1:7" ht="12.75">
      <c r="A7756" s="134" t="s">
        <v>942</v>
      </c>
      <c r="B7756" s="134">
        <v>800</v>
      </c>
      <c r="C7756" s="491">
        <v>4</v>
      </c>
      <c r="D7756" s="491">
        <v>1</v>
      </c>
      <c r="E7756" s="491">
        <v>0</v>
      </c>
      <c r="F7756" s="491">
        <v>0</v>
      </c>
      <c r="G7756" s="491">
        <f t="shared" si="121"/>
        <v>5</v>
      </c>
    </row>
    <row r="7757" spans="1:7" ht="12.75">
      <c r="A7757" s="134" t="s">
        <v>942</v>
      </c>
      <c r="B7757" s="134">
        <v>812</v>
      </c>
      <c r="C7757" s="491">
        <v>5</v>
      </c>
      <c r="D7757" s="491">
        <v>0</v>
      </c>
      <c r="E7757" s="491">
        <v>0</v>
      </c>
      <c r="F7757" s="491">
        <v>0</v>
      </c>
      <c r="G7757" s="491">
        <f t="shared" si="121"/>
        <v>5</v>
      </c>
    </row>
    <row r="7758" spans="1:7" ht="12.75">
      <c r="A7758" s="134" t="s">
        <v>943</v>
      </c>
      <c r="B7758" s="134">
        <v>100</v>
      </c>
      <c r="C7758" s="491">
        <v>2</v>
      </c>
      <c r="D7758" s="491">
        <v>2</v>
      </c>
      <c r="E7758" s="491">
        <v>0</v>
      </c>
      <c r="F7758" s="491">
        <v>0</v>
      </c>
      <c r="G7758" s="491">
        <f t="shared" si="121"/>
        <v>4</v>
      </c>
    </row>
    <row r="7759" spans="1:7" ht="12.75">
      <c r="A7759" s="134" t="s">
        <v>943</v>
      </c>
      <c r="B7759" s="134">
        <v>101</v>
      </c>
      <c r="C7759" s="491">
        <v>1</v>
      </c>
      <c r="D7759" s="491">
        <v>11</v>
      </c>
      <c r="E7759" s="491">
        <v>0</v>
      </c>
      <c r="F7759" s="491">
        <v>0</v>
      </c>
      <c r="G7759" s="491">
        <f t="shared" si="121"/>
        <v>12</v>
      </c>
    </row>
    <row r="7760" spans="1:7" ht="12.75">
      <c r="A7760" s="134" t="s">
        <v>943</v>
      </c>
      <c r="B7760" s="134">
        <v>103</v>
      </c>
      <c r="C7760" s="491">
        <v>2</v>
      </c>
      <c r="D7760" s="491">
        <v>6</v>
      </c>
      <c r="E7760" s="491">
        <v>0</v>
      </c>
      <c r="F7760" s="491">
        <v>0</v>
      </c>
      <c r="G7760" s="491">
        <f t="shared" si="121"/>
        <v>8</v>
      </c>
    </row>
    <row r="7761" spans="1:7" ht="12.75">
      <c r="A7761" s="134" t="s">
        <v>943</v>
      </c>
      <c r="B7761" s="134">
        <v>104</v>
      </c>
      <c r="C7761" s="491">
        <v>8</v>
      </c>
      <c r="D7761" s="491">
        <v>11</v>
      </c>
      <c r="E7761" s="491">
        <v>0</v>
      </c>
      <c r="F7761" s="491">
        <v>0</v>
      </c>
      <c r="G7761" s="491">
        <f t="shared" si="121"/>
        <v>19</v>
      </c>
    </row>
    <row r="7762" spans="1:7" ht="12.75">
      <c r="A7762" s="134" t="s">
        <v>943</v>
      </c>
      <c r="B7762" s="134">
        <v>106</v>
      </c>
      <c r="C7762" s="491">
        <v>0</v>
      </c>
      <c r="D7762" s="491">
        <v>4</v>
      </c>
      <c r="E7762" s="491">
        <v>0</v>
      </c>
      <c r="F7762" s="491">
        <v>0</v>
      </c>
      <c r="G7762" s="491">
        <f t="shared" si="121"/>
        <v>4</v>
      </c>
    </row>
    <row r="7763" spans="1:7" ht="12.75">
      <c r="A7763" s="134" t="s">
        <v>943</v>
      </c>
      <c r="B7763" s="134">
        <v>107</v>
      </c>
      <c r="C7763" s="491">
        <v>2</v>
      </c>
      <c r="D7763" s="491">
        <v>5</v>
      </c>
      <c r="E7763" s="491">
        <v>0</v>
      </c>
      <c r="F7763" s="491">
        <v>0</v>
      </c>
      <c r="G7763" s="491">
        <f t="shared" si="121"/>
        <v>7</v>
      </c>
    </row>
    <row r="7764" spans="1:7" ht="12.75">
      <c r="A7764" s="134" t="s">
        <v>943</v>
      </c>
      <c r="B7764" s="134">
        <v>110</v>
      </c>
      <c r="C7764" s="491">
        <v>12</v>
      </c>
      <c r="D7764" s="491">
        <v>27</v>
      </c>
      <c r="E7764" s="491">
        <v>0</v>
      </c>
      <c r="F7764" s="491">
        <v>0</v>
      </c>
      <c r="G7764" s="491">
        <f t="shared" si="121"/>
        <v>39</v>
      </c>
    </row>
    <row r="7765" spans="1:7" ht="12.75">
      <c r="A7765" s="134" t="s">
        <v>943</v>
      </c>
      <c r="B7765" s="134">
        <v>120</v>
      </c>
      <c r="C7765" s="491">
        <v>7</v>
      </c>
      <c r="D7765" s="491">
        <v>22</v>
      </c>
      <c r="E7765" s="491">
        <v>0</v>
      </c>
      <c r="F7765" s="491">
        <v>0</v>
      </c>
      <c r="G7765" s="491">
        <f t="shared" si="121"/>
        <v>29</v>
      </c>
    </row>
    <row r="7766" spans="1:7" ht="12.75">
      <c r="A7766" s="134" t="s">
        <v>943</v>
      </c>
      <c r="B7766" s="134">
        <v>130</v>
      </c>
      <c r="C7766" s="491">
        <v>8</v>
      </c>
      <c r="D7766" s="491">
        <v>7</v>
      </c>
      <c r="E7766" s="491">
        <v>0</v>
      </c>
      <c r="F7766" s="491">
        <v>0</v>
      </c>
      <c r="G7766" s="491">
        <f t="shared" si="121"/>
        <v>15</v>
      </c>
    </row>
    <row r="7767" spans="1:7" ht="12.75">
      <c r="A7767" s="134" t="s">
        <v>943</v>
      </c>
      <c r="B7767" s="134">
        <v>140</v>
      </c>
      <c r="C7767" s="491">
        <v>1</v>
      </c>
      <c r="D7767" s="491">
        <v>13</v>
      </c>
      <c r="E7767" s="491">
        <v>0</v>
      </c>
      <c r="F7767" s="491">
        <v>0</v>
      </c>
      <c r="G7767" s="491">
        <f t="shared" si="121"/>
        <v>14</v>
      </c>
    </row>
    <row r="7768" spans="1:7" ht="12.75">
      <c r="A7768" s="134" t="s">
        <v>943</v>
      </c>
      <c r="B7768" s="134">
        <v>142</v>
      </c>
      <c r="C7768" s="491">
        <v>0</v>
      </c>
      <c r="D7768" s="491">
        <v>1</v>
      </c>
      <c r="E7768" s="491">
        <v>0</v>
      </c>
      <c r="F7768" s="491">
        <v>0</v>
      </c>
      <c r="G7768" s="491">
        <f t="shared" si="121"/>
        <v>1</v>
      </c>
    </row>
    <row r="7769" spans="1:7" ht="12.75">
      <c r="A7769" s="134" t="s">
        <v>943</v>
      </c>
      <c r="B7769" s="134">
        <v>143</v>
      </c>
      <c r="C7769" s="491">
        <v>5</v>
      </c>
      <c r="D7769" s="491">
        <v>2</v>
      </c>
      <c r="E7769" s="491">
        <v>0</v>
      </c>
      <c r="F7769" s="491">
        <v>0</v>
      </c>
      <c r="G7769" s="491">
        <f t="shared" si="121"/>
        <v>7</v>
      </c>
    </row>
    <row r="7770" spans="1:7" ht="12.75">
      <c r="A7770" s="134" t="s">
        <v>943</v>
      </c>
      <c r="B7770" s="134">
        <v>144</v>
      </c>
      <c r="C7770" s="491">
        <v>0</v>
      </c>
      <c r="D7770" s="491">
        <v>6</v>
      </c>
      <c r="E7770" s="491">
        <v>0</v>
      </c>
      <c r="F7770" s="491">
        <v>0</v>
      </c>
      <c r="G7770" s="491">
        <f t="shared" si="121"/>
        <v>6</v>
      </c>
    </row>
    <row r="7771" spans="1:7" ht="12.75">
      <c r="A7771" s="134" t="s">
        <v>943</v>
      </c>
      <c r="B7771" s="134">
        <v>150</v>
      </c>
      <c r="C7771" s="491">
        <v>0</v>
      </c>
      <c r="D7771" s="491">
        <v>5</v>
      </c>
      <c r="E7771" s="491">
        <v>0</v>
      </c>
      <c r="F7771" s="491">
        <v>0</v>
      </c>
      <c r="G7771" s="491">
        <f t="shared" si="121"/>
        <v>5</v>
      </c>
    </row>
    <row r="7772" spans="1:7" ht="12.75">
      <c r="A7772" s="134" t="s">
        <v>943</v>
      </c>
      <c r="B7772" s="134">
        <v>160</v>
      </c>
      <c r="C7772" s="491">
        <v>0</v>
      </c>
      <c r="D7772" s="491">
        <v>13</v>
      </c>
      <c r="E7772" s="491">
        <v>0</v>
      </c>
      <c r="F7772" s="491">
        <v>0</v>
      </c>
      <c r="G7772" s="491">
        <f t="shared" si="121"/>
        <v>13</v>
      </c>
    </row>
    <row r="7773" spans="1:7" ht="12.75">
      <c r="A7773" s="134" t="s">
        <v>943</v>
      </c>
      <c r="B7773" s="134">
        <v>171</v>
      </c>
      <c r="C7773" s="491">
        <v>0</v>
      </c>
      <c r="D7773" s="491">
        <v>3</v>
      </c>
      <c r="E7773" s="491">
        <v>0</v>
      </c>
      <c r="F7773" s="491">
        <v>0</v>
      </c>
      <c r="G7773" s="491">
        <f t="shared" si="121"/>
        <v>3</v>
      </c>
    </row>
    <row r="7774" spans="1:7" ht="12.75">
      <c r="A7774" s="134" t="s">
        <v>943</v>
      </c>
      <c r="B7774" s="134">
        <v>173</v>
      </c>
      <c r="C7774" s="491">
        <v>0</v>
      </c>
      <c r="D7774" s="491">
        <v>1</v>
      </c>
      <c r="E7774" s="491">
        <v>0</v>
      </c>
      <c r="F7774" s="491">
        <v>0</v>
      </c>
      <c r="G7774" s="491">
        <f t="shared" si="121"/>
        <v>1</v>
      </c>
    </row>
    <row r="7775" spans="1:7" ht="12.75">
      <c r="A7775" s="134" t="s">
        <v>943</v>
      </c>
      <c r="B7775" s="134">
        <v>191</v>
      </c>
      <c r="C7775" s="491">
        <v>5</v>
      </c>
      <c r="D7775" s="491">
        <v>4</v>
      </c>
      <c r="E7775" s="491">
        <v>0</v>
      </c>
      <c r="F7775" s="491">
        <v>0</v>
      </c>
      <c r="G7775" s="491">
        <f t="shared" si="121"/>
        <v>9</v>
      </c>
    </row>
    <row r="7776" spans="1:7" ht="12.75">
      <c r="A7776" s="134" t="s">
        <v>943</v>
      </c>
      <c r="B7776" s="134">
        <v>211</v>
      </c>
      <c r="C7776" s="491">
        <v>0</v>
      </c>
      <c r="D7776" s="491">
        <v>3</v>
      </c>
      <c r="E7776" s="491">
        <v>0</v>
      </c>
      <c r="F7776" s="491">
        <v>0</v>
      </c>
      <c r="G7776" s="491">
        <f t="shared" si="121"/>
        <v>3</v>
      </c>
    </row>
    <row r="7777" spans="1:7" ht="12.75">
      <c r="A7777" s="134" t="s">
        <v>943</v>
      </c>
      <c r="B7777" s="134">
        <v>214</v>
      </c>
      <c r="C7777" s="491">
        <v>1</v>
      </c>
      <c r="D7777" s="491">
        <v>0</v>
      </c>
      <c r="E7777" s="491">
        <v>0</v>
      </c>
      <c r="F7777" s="491">
        <v>0</v>
      </c>
      <c r="G7777" s="491">
        <f t="shared" si="121"/>
        <v>1</v>
      </c>
    </row>
    <row r="7778" spans="1:7" ht="12.75">
      <c r="A7778" s="134" t="s">
        <v>943</v>
      </c>
      <c r="B7778" s="134">
        <v>215</v>
      </c>
      <c r="C7778" s="491">
        <v>1</v>
      </c>
      <c r="D7778" s="491">
        <v>1</v>
      </c>
      <c r="E7778" s="491">
        <v>0</v>
      </c>
      <c r="F7778" s="491">
        <v>0</v>
      </c>
      <c r="G7778" s="491">
        <f t="shared" si="121"/>
        <v>2</v>
      </c>
    </row>
    <row r="7779" spans="1:7" ht="12.75">
      <c r="A7779" s="134" t="s">
        <v>943</v>
      </c>
      <c r="B7779" s="134">
        <v>216</v>
      </c>
      <c r="C7779" s="491">
        <v>0</v>
      </c>
      <c r="D7779" s="491">
        <v>3</v>
      </c>
      <c r="E7779" s="491">
        <v>0</v>
      </c>
      <c r="F7779" s="491">
        <v>0</v>
      </c>
      <c r="G7779" s="491">
        <f t="shared" si="121"/>
        <v>3</v>
      </c>
    </row>
    <row r="7780" spans="1:7" ht="12.75">
      <c r="A7780" s="134" t="s">
        <v>943</v>
      </c>
      <c r="B7780" s="134">
        <v>217</v>
      </c>
      <c r="C7780" s="491">
        <v>0</v>
      </c>
      <c r="D7780" s="491">
        <v>1</v>
      </c>
      <c r="E7780" s="491">
        <v>0</v>
      </c>
      <c r="F7780" s="491">
        <v>0</v>
      </c>
      <c r="G7780" s="491">
        <f t="shared" si="121"/>
        <v>1</v>
      </c>
    </row>
    <row r="7781" spans="1:7" ht="12.75">
      <c r="A7781" s="134" t="s">
        <v>943</v>
      </c>
      <c r="B7781" s="134">
        <v>251</v>
      </c>
      <c r="C7781" s="491">
        <v>0</v>
      </c>
      <c r="D7781" s="491">
        <v>6</v>
      </c>
      <c r="E7781" s="491">
        <v>0</v>
      </c>
      <c r="F7781" s="491">
        <v>0</v>
      </c>
      <c r="G7781" s="491">
        <f t="shared" si="121"/>
        <v>6</v>
      </c>
    </row>
    <row r="7782" spans="1:7" ht="12.75">
      <c r="A7782" s="134" t="s">
        <v>943</v>
      </c>
      <c r="B7782" s="134">
        <v>252</v>
      </c>
      <c r="C7782" s="491">
        <v>0</v>
      </c>
      <c r="D7782" s="491">
        <v>3</v>
      </c>
      <c r="E7782" s="491">
        <v>0</v>
      </c>
      <c r="F7782" s="491">
        <v>0</v>
      </c>
      <c r="G7782" s="491">
        <f t="shared" si="121"/>
        <v>3</v>
      </c>
    </row>
    <row r="7783" spans="1:7" ht="12.75">
      <c r="A7783" s="134" t="s">
        <v>943</v>
      </c>
      <c r="B7783" s="134">
        <v>257</v>
      </c>
      <c r="C7783" s="491">
        <v>0</v>
      </c>
      <c r="D7783" s="491">
        <v>1</v>
      </c>
      <c r="E7783" s="491">
        <v>0</v>
      </c>
      <c r="F7783" s="491">
        <v>0</v>
      </c>
      <c r="G7783" s="491">
        <f t="shared" si="121"/>
        <v>1</v>
      </c>
    </row>
    <row r="7784" spans="1:7" ht="12.75">
      <c r="A7784" s="134" t="s">
        <v>943</v>
      </c>
      <c r="B7784" s="134">
        <v>258</v>
      </c>
      <c r="C7784" s="491">
        <v>0</v>
      </c>
      <c r="D7784" s="491">
        <v>1</v>
      </c>
      <c r="E7784" s="491">
        <v>0</v>
      </c>
      <c r="F7784" s="491">
        <v>0</v>
      </c>
      <c r="G7784" s="491">
        <f t="shared" si="121"/>
        <v>1</v>
      </c>
    </row>
    <row r="7785" spans="1:7" ht="12.75">
      <c r="A7785" s="134" t="s">
        <v>943</v>
      </c>
      <c r="B7785" s="134">
        <v>262</v>
      </c>
      <c r="C7785" s="491">
        <v>1</v>
      </c>
      <c r="D7785" s="491">
        <v>0</v>
      </c>
      <c r="E7785" s="491">
        <v>0</v>
      </c>
      <c r="F7785" s="491">
        <v>0</v>
      </c>
      <c r="G7785" s="491">
        <f t="shared" si="121"/>
        <v>1</v>
      </c>
    </row>
    <row r="7786" spans="1:7" ht="12.75">
      <c r="A7786" s="134" t="s">
        <v>943</v>
      </c>
      <c r="B7786" s="134">
        <v>263</v>
      </c>
      <c r="C7786" s="491">
        <v>1</v>
      </c>
      <c r="D7786" s="491">
        <v>0</v>
      </c>
      <c r="E7786" s="491">
        <v>0</v>
      </c>
      <c r="F7786" s="491">
        <v>0</v>
      </c>
      <c r="G7786" s="491">
        <f t="shared" si="121"/>
        <v>1</v>
      </c>
    </row>
    <row r="7787" spans="1:7" ht="12.75">
      <c r="A7787" s="134" t="s">
        <v>943</v>
      </c>
      <c r="B7787" s="134">
        <v>290</v>
      </c>
      <c r="C7787" s="491">
        <v>1</v>
      </c>
      <c r="D7787" s="491">
        <v>0</v>
      </c>
      <c r="E7787" s="491">
        <v>0</v>
      </c>
      <c r="F7787" s="491">
        <v>0</v>
      </c>
      <c r="G7787" s="491">
        <f t="shared" si="121"/>
        <v>1</v>
      </c>
    </row>
    <row r="7788" spans="1:7" ht="12.75">
      <c r="A7788" s="134" t="s">
        <v>943</v>
      </c>
      <c r="B7788" s="134">
        <v>300</v>
      </c>
      <c r="C7788" s="491">
        <v>2</v>
      </c>
      <c r="D7788" s="491">
        <v>14</v>
      </c>
      <c r="E7788" s="491">
        <v>0</v>
      </c>
      <c r="F7788" s="491">
        <v>0</v>
      </c>
      <c r="G7788" s="491">
        <f t="shared" si="121"/>
        <v>16</v>
      </c>
    </row>
    <row r="7789" spans="1:7" ht="12.75">
      <c r="A7789" s="134" t="s">
        <v>943</v>
      </c>
      <c r="B7789" s="134">
        <v>301</v>
      </c>
      <c r="C7789" s="491">
        <v>4</v>
      </c>
      <c r="D7789" s="491">
        <v>13</v>
      </c>
      <c r="E7789" s="491">
        <v>0</v>
      </c>
      <c r="F7789" s="491">
        <v>0</v>
      </c>
      <c r="G7789" s="491">
        <f t="shared" si="121"/>
        <v>17</v>
      </c>
    </row>
    <row r="7790" spans="1:7" ht="12.75">
      <c r="A7790" s="134" t="s">
        <v>943</v>
      </c>
      <c r="B7790" s="134">
        <v>302</v>
      </c>
      <c r="C7790" s="491">
        <v>0</v>
      </c>
      <c r="D7790" s="491">
        <v>5</v>
      </c>
      <c r="E7790" s="491">
        <v>0</v>
      </c>
      <c r="F7790" s="491">
        <v>0</v>
      </c>
      <c r="G7790" s="491">
        <f t="shared" si="121"/>
        <v>5</v>
      </c>
    </row>
    <row r="7791" spans="1:7" ht="12.75">
      <c r="A7791" s="134" t="s">
        <v>943</v>
      </c>
      <c r="B7791" s="134">
        <v>303</v>
      </c>
      <c r="C7791" s="491">
        <v>3</v>
      </c>
      <c r="D7791" s="491">
        <v>7</v>
      </c>
      <c r="E7791" s="491">
        <v>0</v>
      </c>
      <c r="F7791" s="491">
        <v>0</v>
      </c>
      <c r="G7791" s="491">
        <f t="shared" si="121"/>
        <v>10</v>
      </c>
    </row>
    <row r="7792" spans="1:7" ht="12.75">
      <c r="A7792" s="134" t="s">
        <v>943</v>
      </c>
      <c r="B7792" s="134">
        <v>306</v>
      </c>
      <c r="C7792" s="491">
        <v>0</v>
      </c>
      <c r="D7792" s="491">
        <v>3</v>
      </c>
      <c r="E7792" s="491">
        <v>0</v>
      </c>
      <c r="F7792" s="491">
        <v>0</v>
      </c>
      <c r="G7792" s="491">
        <f t="shared" si="121"/>
        <v>3</v>
      </c>
    </row>
    <row r="7793" spans="1:7" ht="12.75">
      <c r="A7793" s="134" t="s">
        <v>943</v>
      </c>
      <c r="B7793" s="134">
        <v>307</v>
      </c>
      <c r="C7793" s="491">
        <v>2</v>
      </c>
      <c r="D7793" s="491">
        <v>1</v>
      </c>
      <c r="E7793" s="491">
        <v>0</v>
      </c>
      <c r="F7793" s="491">
        <v>0</v>
      </c>
      <c r="G7793" s="491">
        <f t="shared" si="121"/>
        <v>3</v>
      </c>
    </row>
    <row r="7794" spans="1:7" ht="12.75">
      <c r="A7794" s="134" t="s">
        <v>943</v>
      </c>
      <c r="B7794" s="134">
        <v>310</v>
      </c>
      <c r="C7794" s="491">
        <v>0</v>
      </c>
      <c r="D7794" s="491">
        <v>20</v>
      </c>
      <c r="E7794" s="491">
        <v>0</v>
      </c>
      <c r="F7794" s="491">
        <v>0</v>
      </c>
      <c r="G7794" s="491">
        <f t="shared" si="121"/>
        <v>20</v>
      </c>
    </row>
    <row r="7795" spans="1:7" ht="12.75">
      <c r="A7795" s="134" t="s">
        <v>943</v>
      </c>
      <c r="B7795" s="134">
        <v>314</v>
      </c>
      <c r="C7795" s="491">
        <v>4</v>
      </c>
      <c r="D7795" s="491">
        <v>2</v>
      </c>
      <c r="E7795" s="491">
        <v>0</v>
      </c>
      <c r="F7795" s="491">
        <v>0</v>
      </c>
      <c r="G7795" s="491">
        <f t="shared" si="121"/>
        <v>6</v>
      </c>
    </row>
    <row r="7796" spans="1:7" ht="12.75">
      <c r="A7796" s="134" t="s">
        <v>943</v>
      </c>
      <c r="B7796" s="134">
        <v>320</v>
      </c>
      <c r="C7796" s="491">
        <v>25</v>
      </c>
      <c r="D7796" s="491">
        <v>35</v>
      </c>
      <c r="E7796" s="491">
        <v>0</v>
      </c>
      <c r="F7796" s="491">
        <v>0</v>
      </c>
      <c r="G7796" s="491">
        <f t="shared" si="121"/>
        <v>60</v>
      </c>
    </row>
    <row r="7797" spans="1:7" ht="12.75">
      <c r="A7797" s="134" t="s">
        <v>943</v>
      </c>
      <c r="B7797" s="134">
        <v>324</v>
      </c>
      <c r="C7797" s="491">
        <v>0</v>
      </c>
      <c r="D7797" s="491">
        <v>5</v>
      </c>
      <c r="E7797" s="491">
        <v>0</v>
      </c>
      <c r="F7797" s="491">
        <v>0</v>
      </c>
      <c r="G7797" s="491">
        <f t="shared" si="121"/>
        <v>5</v>
      </c>
    </row>
    <row r="7798" spans="1:7" ht="12.75">
      <c r="A7798" s="134" t="s">
        <v>943</v>
      </c>
      <c r="B7798" s="134">
        <v>330</v>
      </c>
      <c r="C7798" s="491">
        <v>13</v>
      </c>
      <c r="D7798" s="491">
        <v>27</v>
      </c>
      <c r="E7798" s="491">
        <v>0</v>
      </c>
      <c r="F7798" s="491">
        <v>0</v>
      </c>
      <c r="G7798" s="491">
        <f t="shared" si="121"/>
        <v>40</v>
      </c>
    </row>
    <row r="7799" spans="1:7" ht="12.75">
      <c r="A7799" s="134" t="s">
        <v>943</v>
      </c>
      <c r="B7799" s="134">
        <v>340</v>
      </c>
      <c r="C7799" s="491">
        <v>11</v>
      </c>
      <c r="D7799" s="491">
        <v>21</v>
      </c>
      <c r="E7799" s="491">
        <v>0</v>
      </c>
      <c r="F7799" s="491">
        <v>0</v>
      </c>
      <c r="G7799" s="491">
        <f t="shared" si="121"/>
        <v>32</v>
      </c>
    </row>
    <row r="7800" spans="1:7" ht="12.75">
      <c r="A7800" s="134" t="s">
        <v>943</v>
      </c>
      <c r="B7800" s="134">
        <v>341</v>
      </c>
      <c r="C7800" s="491">
        <v>0</v>
      </c>
      <c r="D7800" s="491">
        <v>1</v>
      </c>
      <c r="E7800" s="491">
        <v>0</v>
      </c>
      <c r="F7800" s="491">
        <v>0</v>
      </c>
      <c r="G7800" s="491">
        <f t="shared" si="121"/>
        <v>1</v>
      </c>
    </row>
    <row r="7801" spans="1:7" ht="12.75">
      <c r="A7801" s="134" t="s">
        <v>943</v>
      </c>
      <c r="B7801" s="134">
        <v>350</v>
      </c>
      <c r="C7801" s="491">
        <v>12</v>
      </c>
      <c r="D7801" s="491">
        <v>0</v>
      </c>
      <c r="E7801" s="491">
        <v>0</v>
      </c>
      <c r="F7801" s="491">
        <v>0</v>
      </c>
      <c r="G7801" s="491">
        <f t="shared" si="121"/>
        <v>12</v>
      </c>
    </row>
    <row r="7802" spans="1:7" ht="12.75">
      <c r="A7802" s="134" t="s">
        <v>943</v>
      </c>
      <c r="B7802" s="134">
        <v>360</v>
      </c>
      <c r="C7802" s="491">
        <v>380</v>
      </c>
      <c r="D7802" s="491">
        <v>1641</v>
      </c>
      <c r="E7802" s="491">
        <v>0</v>
      </c>
      <c r="F7802" s="491">
        <v>0</v>
      </c>
      <c r="G7802" s="491">
        <f t="shared" si="121"/>
        <v>2021</v>
      </c>
    </row>
    <row r="7803" spans="1:7" ht="12.75">
      <c r="A7803" s="134" t="s">
        <v>943</v>
      </c>
      <c r="B7803" s="134">
        <v>361</v>
      </c>
      <c r="C7803" s="491">
        <v>1</v>
      </c>
      <c r="D7803" s="491">
        <v>1</v>
      </c>
      <c r="E7803" s="491">
        <v>0</v>
      </c>
      <c r="F7803" s="491">
        <v>0</v>
      </c>
      <c r="G7803" s="491">
        <f t="shared" si="121"/>
        <v>2</v>
      </c>
    </row>
    <row r="7804" spans="1:7" ht="12.75">
      <c r="A7804" s="134" t="s">
        <v>943</v>
      </c>
      <c r="B7804" s="134">
        <v>370</v>
      </c>
      <c r="C7804" s="491">
        <v>3</v>
      </c>
      <c r="D7804" s="491">
        <v>7</v>
      </c>
      <c r="E7804" s="491">
        <v>0</v>
      </c>
      <c r="F7804" s="491">
        <v>0</v>
      </c>
      <c r="G7804" s="491">
        <f t="shared" si="121"/>
        <v>10</v>
      </c>
    </row>
    <row r="7805" spans="1:7" ht="12.75">
      <c r="A7805" s="134" t="s">
        <v>943</v>
      </c>
      <c r="B7805" s="134">
        <v>400</v>
      </c>
      <c r="C7805" s="491">
        <v>0</v>
      </c>
      <c r="D7805" s="491">
        <v>18</v>
      </c>
      <c r="E7805" s="491">
        <v>0</v>
      </c>
      <c r="F7805" s="491">
        <v>0</v>
      </c>
      <c r="G7805" s="491">
        <f t="shared" si="121"/>
        <v>18</v>
      </c>
    </row>
    <row r="7806" spans="1:7" ht="12.75">
      <c r="A7806" s="134" t="s">
        <v>943</v>
      </c>
      <c r="B7806" s="134">
        <v>410</v>
      </c>
      <c r="C7806" s="491">
        <v>2</v>
      </c>
      <c r="D7806" s="491">
        <v>19</v>
      </c>
      <c r="E7806" s="491">
        <v>0</v>
      </c>
      <c r="F7806" s="491">
        <v>0</v>
      </c>
      <c r="G7806" s="491">
        <f t="shared" si="121"/>
        <v>21</v>
      </c>
    </row>
    <row r="7807" spans="1:7" ht="12.75">
      <c r="A7807" s="134" t="s">
        <v>943</v>
      </c>
      <c r="B7807" s="134">
        <v>420</v>
      </c>
      <c r="C7807" s="491">
        <v>7</v>
      </c>
      <c r="D7807" s="491">
        <v>9</v>
      </c>
      <c r="E7807" s="491">
        <v>0</v>
      </c>
      <c r="F7807" s="491">
        <v>0</v>
      </c>
      <c r="G7807" s="491">
        <f t="shared" si="121"/>
        <v>16</v>
      </c>
    </row>
    <row r="7808" spans="1:7" ht="12.75">
      <c r="A7808" s="134" t="s">
        <v>943</v>
      </c>
      <c r="B7808" s="134">
        <v>421</v>
      </c>
      <c r="C7808" s="491">
        <v>0</v>
      </c>
      <c r="D7808" s="491">
        <v>1</v>
      </c>
      <c r="E7808" s="491">
        <v>0</v>
      </c>
      <c r="F7808" s="491">
        <v>0</v>
      </c>
      <c r="G7808" s="491">
        <f t="shared" si="121"/>
        <v>1</v>
      </c>
    </row>
    <row r="7809" spans="1:7" ht="12.75">
      <c r="A7809" s="134" t="s">
        <v>943</v>
      </c>
      <c r="B7809" s="134">
        <v>422</v>
      </c>
      <c r="C7809" s="491">
        <v>1</v>
      </c>
      <c r="D7809" s="491">
        <v>1</v>
      </c>
      <c r="E7809" s="491">
        <v>0</v>
      </c>
      <c r="F7809" s="491">
        <v>0</v>
      </c>
      <c r="G7809" s="491">
        <f t="shared" si="121"/>
        <v>2</v>
      </c>
    </row>
    <row r="7810" spans="1:7" ht="12.75">
      <c r="A7810" s="134" t="s">
        <v>943</v>
      </c>
      <c r="B7810" s="134">
        <v>430</v>
      </c>
      <c r="C7810" s="491">
        <v>0</v>
      </c>
      <c r="D7810" s="491">
        <v>1</v>
      </c>
      <c r="E7810" s="491">
        <v>0</v>
      </c>
      <c r="F7810" s="491">
        <v>0</v>
      </c>
      <c r="G7810" s="491">
        <f t="shared" si="121"/>
        <v>1</v>
      </c>
    </row>
    <row r="7811" spans="1:7" ht="12.75">
      <c r="A7811" s="134" t="s">
        <v>943</v>
      </c>
      <c r="B7811" s="134">
        <v>501</v>
      </c>
      <c r="C7811" s="491">
        <v>13</v>
      </c>
      <c r="D7811" s="491">
        <v>19</v>
      </c>
      <c r="E7811" s="491">
        <v>0</v>
      </c>
      <c r="F7811" s="491">
        <v>0</v>
      </c>
      <c r="G7811" s="491">
        <f t="shared" si="121"/>
        <v>32</v>
      </c>
    </row>
    <row r="7812" spans="1:7" ht="12.75">
      <c r="A7812" s="134" t="s">
        <v>943</v>
      </c>
      <c r="B7812" s="134">
        <v>502</v>
      </c>
      <c r="C7812" s="491">
        <v>12790</v>
      </c>
      <c r="D7812" s="491">
        <v>51496</v>
      </c>
      <c r="E7812" s="491">
        <v>163</v>
      </c>
      <c r="F7812" s="491">
        <v>467</v>
      </c>
      <c r="G7812" s="491">
        <f t="shared" ref="G7812:G7875" si="122">SUM(C7812:F7812)</f>
        <v>64916</v>
      </c>
    </row>
    <row r="7813" spans="1:7" ht="12.75">
      <c r="A7813" s="134" t="s">
        <v>943</v>
      </c>
      <c r="B7813" s="134">
        <v>503</v>
      </c>
      <c r="C7813" s="491">
        <v>1982</v>
      </c>
      <c r="D7813" s="491">
        <v>5736</v>
      </c>
      <c r="E7813" s="491">
        <v>9</v>
      </c>
      <c r="F7813" s="491">
        <v>35</v>
      </c>
      <c r="G7813" s="491">
        <f t="shared" si="122"/>
        <v>7762</v>
      </c>
    </row>
    <row r="7814" spans="1:7" ht="12.75">
      <c r="A7814" s="134" t="s">
        <v>943</v>
      </c>
      <c r="B7814" s="134">
        <v>560</v>
      </c>
      <c r="C7814" s="491">
        <v>0</v>
      </c>
      <c r="D7814" s="491">
        <v>7</v>
      </c>
      <c r="E7814" s="491">
        <v>0</v>
      </c>
      <c r="F7814" s="491">
        <v>0</v>
      </c>
      <c r="G7814" s="491">
        <f t="shared" si="122"/>
        <v>7</v>
      </c>
    </row>
    <row r="7815" spans="1:7" ht="12.75">
      <c r="A7815" s="134" t="s">
        <v>943</v>
      </c>
      <c r="B7815" s="134">
        <v>650</v>
      </c>
      <c r="C7815" s="491">
        <v>0</v>
      </c>
      <c r="D7815" s="491">
        <v>31</v>
      </c>
      <c r="E7815" s="491">
        <v>0</v>
      </c>
      <c r="F7815" s="491">
        <v>0</v>
      </c>
      <c r="G7815" s="491">
        <f t="shared" si="122"/>
        <v>31</v>
      </c>
    </row>
    <row r="7816" spans="1:7" ht="12.75">
      <c r="A7816" s="134" t="s">
        <v>943</v>
      </c>
      <c r="B7816" s="134">
        <v>653</v>
      </c>
      <c r="C7816" s="491">
        <v>0</v>
      </c>
      <c r="D7816" s="491">
        <v>1</v>
      </c>
      <c r="E7816" s="491">
        <v>0</v>
      </c>
      <c r="F7816" s="491">
        <v>0</v>
      </c>
      <c r="G7816" s="491">
        <f t="shared" si="122"/>
        <v>1</v>
      </c>
    </row>
    <row r="7817" spans="1:7" ht="12.75">
      <c r="A7817" s="134" t="s">
        <v>943</v>
      </c>
      <c r="B7817" s="134">
        <v>654</v>
      </c>
      <c r="C7817" s="491">
        <v>1</v>
      </c>
      <c r="D7817" s="491">
        <v>3</v>
      </c>
      <c r="E7817" s="491">
        <v>0</v>
      </c>
      <c r="F7817" s="491">
        <v>0</v>
      </c>
      <c r="G7817" s="491">
        <f t="shared" si="122"/>
        <v>4</v>
      </c>
    </row>
    <row r="7818" spans="1:7" ht="12.75">
      <c r="A7818" s="134" t="s">
        <v>943</v>
      </c>
      <c r="B7818" s="134">
        <v>800</v>
      </c>
      <c r="C7818" s="491">
        <v>2</v>
      </c>
      <c r="D7818" s="491">
        <v>0</v>
      </c>
      <c r="E7818" s="491">
        <v>0</v>
      </c>
      <c r="F7818" s="491">
        <v>0</v>
      </c>
      <c r="G7818" s="491">
        <f t="shared" si="122"/>
        <v>2</v>
      </c>
    </row>
    <row r="7819" spans="1:7" ht="12.75">
      <c r="A7819" s="134" t="s">
        <v>943</v>
      </c>
      <c r="B7819" s="134">
        <v>840</v>
      </c>
      <c r="C7819" s="491">
        <v>1</v>
      </c>
      <c r="D7819" s="491">
        <v>2</v>
      </c>
      <c r="E7819" s="491">
        <v>0</v>
      </c>
      <c r="F7819" s="491">
        <v>0</v>
      </c>
      <c r="G7819" s="491">
        <f t="shared" si="122"/>
        <v>3</v>
      </c>
    </row>
    <row r="7820" spans="1:7" ht="12.75">
      <c r="A7820" s="134" t="s">
        <v>944</v>
      </c>
      <c r="B7820" s="134">
        <v>100</v>
      </c>
      <c r="C7820" s="491">
        <v>2</v>
      </c>
      <c r="D7820" s="491">
        <v>1</v>
      </c>
      <c r="E7820" s="491">
        <v>0</v>
      </c>
      <c r="F7820" s="491">
        <v>0</v>
      </c>
      <c r="G7820" s="491">
        <f t="shared" si="122"/>
        <v>3</v>
      </c>
    </row>
    <row r="7821" spans="1:7" ht="12.75">
      <c r="A7821" s="134" t="s">
        <v>944</v>
      </c>
      <c r="B7821" s="134">
        <v>101</v>
      </c>
      <c r="C7821" s="491">
        <v>5</v>
      </c>
      <c r="D7821" s="491">
        <v>15</v>
      </c>
      <c r="E7821" s="491">
        <v>0</v>
      </c>
      <c r="F7821" s="491">
        <v>0</v>
      </c>
      <c r="G7821" s="491">
        <f t="shared" si="122"/>
        <v>20</v>
      </c>
    </row>
    <row r="7822" spans="1:7" ht="12.75">
      <c r="A7822" s="134" t="s">
        <v>944</v>
      </c>
      <c r="B7822" s="134">
        <v>103</v>
      </c>
      <c r="C7822" s="491">
        <v>4</v>
      </c>
      <c r="D7822" s="491">
        <v>5</v>
      </c>
      <c r="E7822" s="491">
        <v>0</v>
      </c>
      <c r="F7822" s="491">
        <v>0</v>
      </c>
      <c r="G7822" s="491">
        <f t="shared" si="122"/>
        <v>9</v>
      </c>
    </row>
    <row r="7823" spans="1:7" ht="12.75">
      <c r="A7823" s="134" t="s">
        <v>944</v>
      </c>
      <c r="B7823" s="134">
        <v>104</v>
      </c>
      <c r="C7823" s="491">
        <v>0</v>
      </c>
      <c r="D7823" s="491">
        <v>10</v>
      </c>
      <c r="E7823" s="491">
        <v>0</v>
      </c>
      <c r="F7823" s="491">
        <v>0</v>
      </c>
      <c r="G7823" s="491">
        <f t="shared" si="122"/>
        <v>10</v>
      </c>
    </row>
    <row r="7824" spans="1:7" ht="12.75">
      <c r="A7824" s="134" t="s">
        <v>944</v>
      </c>
      <c r="B7824" s="134">
        <v>106</v>
      </c>
      <c r="C7824" s="491">
        <v>0</v>
      </c>
      <c r="D7824" s="491">
        <v>7</v>
      </c>
      <c r="E7824" s="491">
        <v>0</v>
      </c>
      <c r="F7824" s="491">
        <v>0</v>
      </c>
      <c r="G7824" s="491">
        <f t="shared" si="122"/>
        <v>7</v>
      </c>
    </row>
    <row r="7825" spans="1:7" ht="12.75">
      <c r="A7825" s="134" t="s">
        <v>944</v>
      </c>
      <c r="B7825" s="134">
        <v>107</v>
      </c>
      <c r="C7825" s="491">
        <v>0</v>
      </c>
      <c r="D7825" s="491">
        <v>2</v>
      </c>
      <c r="E7825" s="491">
        <v>0</v>
      </c>
      <c r="F7825" s="491">
        <v>0</v>
      </c>
      <c r="G7825" s="491">
        <f t="shared" si="122"/>
        <v>2</v>
      </c>
    </row>
    <row r="7826" spans="1:7" ht="12.75">
      <c r="A7826" s="134" t="s">
        <v>944</v>
      </c>
      <c r="B7826" s="134">
        <v>110</v>
      </c>
      <c r="C7826" s="491">
        <v>12</v>
      </c>
      <c r="D7826" s="491">
        <v>41</v>
      </c>
      <c r="E7826" s="491">
        <v>0</v>
      </c>
      <c r="F7826" s="491">
        <v>0</v>
      </c>
      <c r="G7826" s="491">
        <f t="shared" si="122"/>
        <v>53</v>
      </c>
    </row>
    <row r="7827" spans="1:7" ht="12.75">
      <c r="A7827" s="134" t="s">
        <v>944</v>
      </c>
      <c r="B7827" s="134">
        <v>120</v>
      </c>
      <c r="C7827" s="491">
        <v>1</v>
      </c>
      <c r="D7827" s="491">
        <v>16</v>
      </c>
      <c r="E7827" s="491">
        <v>0</v>
      </c>
      <c r="F7827" s="491">
        <v>0</v>
      </c>
      <c r="G7827" s="491">
        <f t="shared" si="122"/>
        <v>17</v>
      </c>
    </row>
    <row r="7828" spans="1:7" ht="12.75">
      <c r="A7828" s="134" t="s">
        <v>944</v>
      </c>
      <c r="B7828" s="134">
        <v>130</v>
      </c>
      <c r="C7828" s="491">
        <v>10</v>
      </c>
      <c r="D7828" s="491">
        <v>3</v>
      </c>
      <c r="E7828" s="491">
        <v>0</v>
      </c>
      <c r="F7828" s="491">
        <v>0</v>
      </c>
      <c r="G7828" s="491">
        <f t="shared" si="122"/>
        <v>13</v>
      </c>
    </row>
    <row r="7829" spans="1:7" ht="12.75">
      <c r="A7829" s="134" t="s">
        <v>944</v>
      </c>
      <c r="B7829" s="134">
        <v>140</v>
      </c>
      <c r="C7829" s="491">
        <v>5</v>
      </c>
      <c r="D7829" s="491">
        <v>7</v>
      </c>
      <c r="E7829" s="491">
        <v>0</v>
      </c>
      <c r="F7829" s="491">
        <v>1</v>
      </c>
      <c r="G7829" s="491">
        <f t="shared" si="122"/>
        <v>13</v>
      </c>
    </row>
    <row r="7830" spans="1:7" ht="12.75">
      <c r="A7830" s="134" t="s">
        <v>944</v>
      </c>
      <c r="B7830" s="134">
        <v>143</v>
      </c>
      <c r="C7830" s="491">
        <v>9</v>
      </c>
      <c r="D7830" s="491">
        <v>4</v>
      </c>
      <c r="E7830" s="491">
        <v>0</v>
      </c>
      <c r="F7830" s="491">
        <v>0</v>
      </c>
      <c r="G7830" s="491">
        <f t="shared" si="122"/>
        <v>13</v>
      </c>
    </row>
    <row r="7831" spans="1:7" ht="12.75">
      <c r="A7831" s="134" t="s">
        <v>944</v>
      </c>
      <c r="B7831" s="134">
        <v>144</v>
      </c>
      <c r="C7831" s="491">
        <v>0</v>
      </c>
      <c r="D7831" s="491">
        <v>3</v>
      </c>
      <c r="E7831" s="491">
        <v>0</v>
      </c>
      <c r="F7831" s="491">
        <v>1</v>
      </c>
      <c r="G7831" s="491">
        <f t="shared" si="122"/>
        <v>4</v>
      </c>
    </row>
    <row r="7832" spans="1:7" ht="12.75">
      <c r="A7832" s="134" t="s">
        <v>944</v>
      </c>
      <c r="B7832" s="134">
        <v>150</v>
      </c>
      <c r="C7832" s="491">
        <v>0</v>
      </c>
      <c r="D7832" s="491">
        <v>5</v>
      </c>
      <c r="E7832" s="491">
        <v>0</v>
      </c>
      <c r="F7832" s="491">
        <v>0</v>
      </c>
      <c r="G7832" s="491">
        <f t="shared" si="122"/>
        <v>5</v>
      </c>
    </row>
    <row r="7833" spans="1:7" ht="12.75">
      <c r="A7833" s="134" t="s">
        <v>944</v>
      </c>
      <c r="B7833" s="134">
        <v>160</v>
      </c>
      <c r="C7833" s="491">
        <v>0</v>
      </c>
      <c r="D7833" s="491">
        <v>15</v>
      </c>
      <c r="E7833" s="491">
        <v>0</v>
      </c>
      <c r="F7833" s="491">
        <v>0</v>
      </c>
      <c r="G7833" s="491">
        <f t="shared" si="122"/>
        <v>15</v>
      </c>
    </row>
    <row r="7834" spans="1:7" ht="12.75">
      <c r="A7834" s="134" t="s">
        <v>944</v>
      </c>
      <c r="B7834" s="134">
        <v>171</v>
      </c>
      <c r="C7834" s="491">
        <v>0</v>
      </c>
      <c r="D7834" s="491">
        <v>3</v>
      </c>
      <c r="E7834" s="491">
        <v>0</v>
      </c>
      <c r="F7834" s="491">
        <v>0</v>
      </c>
      <c r="G7834" s="491">
        <f t="shared" si="122"/>
        <v>3</v>
      </c>
    </row>
    <row r="7835" spans="1:7" ht="12.75">
      <c r="A7835" s="134" t="s">
        <v>944</v>
      </c>
      <c r="B7835" s="134">
        <v>173</v>
      </c>
      <c r="C7835" s="491">
        <v>0</v>
      </c>
      <c r="D7835" s="491">
        <v>1</v>
      </c>
      <c r="E7835" s="491">
        <v>0</v>
      </c>
      <c r="F7835" s="491">
        <v>0</v>
      </c>
      <c r="G7835" s="491">
        <f t="shared" si="122"/>
        <v>1</v>
      </c>
    </row>
    <row r="7836" spans="1:7" ht="12.75">
      <c r="A7836" s="134" t="s">
        <v>944</v>
      </c>
      <c r="B7836" s="134">
        <v>180</v>
      </c>
      <c r="C7836" s="491">
        <v>0</v>
      </c>
      <c r="D7836" s="491">
        <v>1</v>
      </c>
      <c r="E7836" s="491">
        <v>0</v>
      </c>
      <c r="F7836" s="491">
        <v>0</v>
      </c>
      <c r="G7836" s="491">
        <f t="shared" si="122"/>
        <v>1</v>
      </c>
    </row>
    <row r="7837" spans="1:7" ht="12.75">
      <c r="A7837" s="134" t="s">
        <v>944</v>
      </c>
      <c r="B7837" s="134">
        <v>190</v>
      </c>
      <c r="C7837" s="491">
        <v>0</v>
      </c>
      <c r="D7837" s="491">
        <v>5</v>
      </c>
      <c r="E7837" s="491">
        <v>0</v>
      </c>
      <c r="F7837" s="491">
        <v>0</v>
      </c>
      <c r="G7837" s="491">
        <f t="shared" si="122"/>
        <v>5</v>
      </c>
    </row>
    <row r="7838" spans="1:7" ht="12.75">
      <c r="A7838" s="134" t="s">
        <v>944</v>
      </c>
      <c r="B7838" s="134">
        <v>191</v>
      </c>
      <c r="C7838" s="491">
        <v>3</v>
      </c>
      <c r="D7838" s="491">
        <v>1</v>
      </c>
      <c r="E7838" s="491">
        <v>0</v>
      </c>
      <c r="F7838" s="491">
        <v>0</v>
      </c>
      <c r="G7838" s="491">
        <f t="shared" si="122"/>
        <v>4</v>
      </c>
    </row>
    <row r="7839" spans="1:7" ht="12.75">
      <c r="A7839" s="134" t="s">
        <v>944</v>
      </c>
      <c r="B7839" s="134">
        <v>211</v>
      </c>
      <c r="C7839" s="491">
        <v>0</v>
      </c>
      <c r="D7839" s="491">
        <v>8</v>
      </c>
      <c r="E7839" s="491">
        <v>0</v>
      </c>
      <c r="F7839" s="491">
        <v>0</v>
      </c>
      <c r="G7839" s="491">
        <f t="shared" si="122"/>
        <v>8</v>
      </c>
    </row>
    <row r="7840" spans="1:7" ht="12.75">
      <c r="A7840" s="134" t="s">
        <v>944</v>
      </c>
      <c r="B7840" s="134">
        <v>216</v>
      </c>
      <c r="C7840" s="491">
        <v>2</v>
      </c>
      <c r="D7840" s="491">
        <v>1</v>
      </c>
      <c r="E7840" s="491">
        <v>0</v>
      </c>
      <c r="F7840" s="491">
        <v>0</v>
      </c>
      <c r="G7840" s="491">
        <f t="shared" si="122"/>
        <v>3</v>
      </c>
    </row>
    <row r="7841" spans="1:7" ht="12.75">
      <c r="A7841" s="134" t="s">
        <v>944</v>
      </c>
      <c r="B7841" s="134">
        <v>217</v>
      </c>
      <c r="C7841" s="491">
        <v>2</v>
      </c>
      <c r="D7841" s="491">
        <v>0</v>
      </c>
      <c r="E7841" s="491">
        <v>0</v>
      </c>
      <c r="F7841" s="491">
        <v>0</v>
      </c>
      <c r="G7841" s="491">
        <f t="shared" si="122"/>
        <v>2</v>
      </c>
    </row>
    <row r="7842" spans="1:7" ht="12.75">
      <c r="A7842" s="134" t="s">
        <v>944</v>
      </c>
      <c r="B7842" s="134">
        <v>251</v>
      </c>
      <c r="C7842" s="491">
        <v>0</v>
      </c>
      <c r="D7842" s="491">
        <v>7</v>
      </c>
      <c r="E7842" s="491">
        <v>0</v>
      </c>
      <c r="F7842" s="491">
        <v>0</v>
      </c>
      <c r="G7842" s="491">
        <f t="shared" si="122"/>
        <v>7</v>
      </c>
    </row>
    <row r="7843" spans="1:7" ht="12.75">
      <c r="A7843" s="134" t="s">
        <v>944</v>
      </c>
      <c r="B7843" s="134">
        <v>253</v>
      </c>
      <c r="C7843" s="491">
        <v>0</v>
      </c>
      <c r="D7843" s="491">
        <v>3</v>
      </c>
      <c r="E7843" s="491">
        <v>0</v>
      </c>
      <c r="F7843" s="491">
        <v>0</v>
      </c>
      <c r="G7843" s="491">
        <f t="shared" si="122"/>
        <v>3</v>
      </c>
    </row>
    <row r="7844" spans="1:7" ht="12.75">
      <c r="A7844" s="134" t="s">
        <v>944</v>
      </c>
      <c r="B7844" s="134">
        <v>258</v>
      </c>
      <c r="C7844" s="491">
        <v>0</v>
      </c>
      <c r="D7844" s="491">
        <v>3</v>
      </c>
      <c r="E7844" s="491">
        <v>0</v>
      </c>
      <c r="F7844" s="491">
        <v>0</v>
      </c>
      <c r="G7844" s="491">
        <f t="shared" si="122"/>
        <v>3</v>
      </c>
    </row>
    <row r="7845" spans="1:7" ht="12.75">
      <c r="A7845" s="134" t="s">
        <v>944</v>
      </c>
      <c r="B7845" s="134">
        <v>263</v>
      </c>
      <c r="C7845" s="491">
        <v>3</v>
      </c>
      <c r="D7845" s="491">
        <v>0</v>
      </c>
      <c r="E7845" s="491">
        <v>0</v>
      </c>
      <c r="F7845" s="491">
        <v>0</v>
      </c>
      <c r="G7845" s="491">
        <f t="shared" si="122"/>
        <v>3</v>
      </c>
    </row>
    <row r="7846" spans="1:7" ht="12.75">
      <c r="A7846" s="134" t="s">
        <v>944</v>
      </c>
      <c r="B7846" s="134">
        <v>300</v>
      </c>
      <c r="C7846" s="491">
        <v>0</v>
      </c>
      <c r="D7846" s="491">
        <v>12</v>
      </c>
      <c r="E7846" s="491">
        <v>0</v>
      </c>
      <c r="F7846" s="491">
        <v>0</v>
      </c>
      <c r="G7846" s="491">
        <f t="shared" si="122"/>
        <v>12</v>
      </c>
    </row>
    <row r="7847" spans="1:7" ht="12.75">
      <c r="A7847" s="134" t="s">
        <v>944</v>
      </c>
      <c r="B7847" s="134">
        <v>301</v>
      </c>
      <c r="C7847" s="491">
        <v>3</v>
      </c>
      <c r="D7847" s="491">
        <v>9</v>
      </c>
      <c r="E7847" s="491">
        <v>0</v>
      </c>
      <c r="F7847" s="491">
        <v>0</v>
      </c>
      <c r="G7847" s="491">
        <f t="shared" si="122"/>
        <v>12</v>
      </c>
    </row>
    <row r="7848" spans="1:7" ht="12.75">
      <c r="A7848" s="134" t="s">
        <v>944</v>
      </c>
      <c r="B7848" s="134">
        <v>302</v>
      </c>
      <c r="C7848" s="491">
        <v>0</v>
      </c>
      <c r="D7848" s="491">
        <v>9</v>
      </c>
      <c r="E7848" s="491">
        <v>0</v>
      </c>
      <c r="F7848" s="491">
        <v>0</v>
      </c>
      <c r="G7848" s="491">
        <f t="shared" si="122"/>
        <v>9</v>
      </c>
    </row>
    <row r="7849" spans="1:7" ht="12.75">
      <c r="A7849" s="134" t="s">
        <v>944</v>
      </c>
      <c r="B7849" s="134">
        <v>303</v>
      </c>
      <c r="C7849" s="491">
        <v>3</v>
      </c>
      <c r="D7849" s="491">
        <v>7</v>
      </c>
      <c r="E7849" s="491">
        <v>0</v>
      </c>
      <c r="F7849" s="491">
        <v>0</v>
      </c>
      <c r="G7849" s="491">
        <f t="shared" si="122"/>
        <v>10</v>
      </c>
    </row>
    <row r="7850" spans="1:7" ht="12.75">
      <c r="A7850" s="134" t="s">
        <v>944</v>
      </c>
      <c r="B7850" s="134">
        <v>306</v>
      </c>
      <c r="C7850" s="491">
        <v>1</v>
      </c>
      <c r="D7850" s="491">
        <v>11</v>
      </c>
      <c r="E7850" s="491">
        <v>0</v>
      </c>
      <c r="F7850" s="491">
        <v>0</v>
      </c>
      <c r="G7850" s="491">
        <f t="shared" si="122"/>
        <v>12</v>
      </c>
    </row>
    <row r="7851" spans="1:7" ht="12.75">
      <c r="A7851" s="134" t="s">
        <v>944</v>
      </c>
      <c r="B7851" s="134">
        <v>307</v>
      </c>
      <c r="C7851" s="491">
        <v>0</v>
      </c>
      <c r="D7851" s="491">
        <v>8</v>
      </c>
      <c r="E7851" s="491">
        <v>0</v>
      </c>
      <c r="F7851" s="491">
        <v>0</v>
      </c>
      <c r="G7851" s="491">
        <f t="shared" si="122"/>
        <v>8</v>
      </c>
    </row>
    <row r="7852" spans="1:7" ht="12.75">
      <c r="A7852" s="134" t="s">
        <v>944</v>
      </c>
      <c r="B7852" s="134">
        <v>310</v>
      </c>
      <c r="C7852" s="491">
        <v>0</v>
      </c>
      <c r="D7852" s="491">
        <v>17</v>
      </c>
      <c r="E7852" s="491">
        <v>0</v>
      </c>
      <c r="F7852" s="491">
        <v>0</v>
      </c>
      <c r="G7852" s="491">
        <f t="shared" si="122"/>
        <v>17</v>
      </c>
    </row>
    <row r="7853" spans="1:7" ht="12.75">
      <c r="A7853" s="134" t="s">
        <v>944</v>
      </c>
      <c r="B7853" s="134">
        <v>314</v>
      </c>
      <c r="C7853" s="491">
        <v>1</v>
      </c>
      <c r="D7853" s="491">
        <v>2</v>
      </c>
      <c r="E7853" s="491">
        <v>0</v>
      </c>
      <c r="F7853" s="491">
        <v>0</v>
      </c>
      <c r="G7853" s="491">
        <f t="shared" si="122"/>
        <v>3</v>
      </c>
    </row>
    <row r="7854" spans="1:7" ht="12.75">
      <c r="A7854" s="134" t="s">
        <v>944</v>
      </c>
      <c r="B7854" s="134">
        <v>317</v>
      </c>
      <c r="C7854" s="491">
        <v>0</v>
      </c>
      <c r="D7854" s="491">
        <v>1</v>
      </c>
      <c r="E7854" s="491">
        <v>0</v>
      </c>
      <c r="F7854" s="491">
        <v>0</v>
      </c>
      <c r="G7854" s="491">
        <f t="shared" si="122"/>
        <v>1</v>
      </c>
    </row>
    <row r="7855" spans="1:7" ht="12.75">
      <c r="A7855" s="134" t="s">
        <v>944</v>
      </c>
      <c r="B7855" s="134">
        <v>320</v>
      </c>
      <c r="C7855" s="491">
        <v>6</v>
      </c>
      <c r="D7855" s="491">
        <v>32</v>
      </c>
      <c r="E7855" s="491">
        <v>0</v>
      </c>
      <c r="F7855" s="491">
        <v>0</v>
      </c>
      <c r="G7855" s="491">
        <f t="shared" si="122"/>
        <v>38</v>
      </c>
    </row>
    <row r="7856" spans="1:7" ht="12.75">
      <c r="A7856" s="134" t="s">
        <v>944</v>
      </c>
      <c r="B7856" s="134">
        <v>324</v>
      </c>
      <c r="C7856" s="491">
        <v>0</v>
      </c>
      <c r="D7856" s="491">
        <v>4</v>
      </c>
      <c r="E7856" s="491">
        <v>0</v>
      </c>
      <c r="F7856" s="491">
        <v>0</v>
      </c>
      <c r="G7856" s="491">
        <f t="shared" si="122"/>
        <v>4</v>
      </c>
    </row>
    <row r="7857" spans="1:7" ht="12.75">
      <c r="A7857" s="134" t="s">
        <v>944</v>
      </c>
      <c r="B7857" s="134">
        <v>330</v>
      </c>
      <c r="C7857" s="491">
        <v>3</v>
      </c>
      <c r="D7857" s="491">
        <v>44</v>
      </c>
      <c r="E7857" s="491">
        <v>0</v>
      </c>
      <c r="F7857" s="491">
        <v>0</v>
      </c>
      <c r="G7857" s="491">
        <f t="shared" si="122"/>
        <v>47</v>
      </c>
    </row>
    <row r="7858" spans="1:7" ht="12.75">
      <c r="A7858" s="134" t="s">
        <v>944</v>
      </c>
      <c r="B7858" s="134">
        <v>340</v>
      </c>
      <c r="C7858" s="491">
        <v>3</v>
      </c>
      <c r="D7858" s="491">
        <v>15</v>
      </c>
      <c r="E7858" s="491">
        <v>0</v>
      </c>
      <c r="F7858" s="491">
        <v>0</v>
      </c>
      <c r="G7858" s="491">
        <f t="shared" si="122"/>
        <v>18</v>
      </c>
    </row>
    <row r="7859" spans="1:7" ht="12.75">
      <c r="A7859" s="134" t="s">
        <v>944</v>
      </c>
      <c r="B7859" s="134">
        <v>341</v>
      </c>
      <c r="C7859" s="491">
        <v>1</v>
      </c>
      <c r="D7859" s="491">
        <v>6</v>
      </c>
      <c r="E7859" s="491">
        <v>0</v>
      </c>
      <c r="F7859" s="491">
        <v>0</v>
      </c>
      <c r="G7859" s="491">
        <f t="shared" si="122"/>
        <v>7</v>
      </c>
    </row>
    <row r="7860" spans="1:7" ht="12.75">
      <c r="A7860" s="134" t="s">
        <v>944</v>
      </c>
      <c r="B7860" s="134">
        <v>360</v>
      </c>
      <c r="C7860" s="491">
        <v>4</v>
      </c>
      <c r="D7860" s="491">
        <v>2</v>
      </c>
      <c r="E7860" s="491">
        <v>0</v>
      </c>
      <c r="F7860" s="491">
        <v>0</v>
      </c>
      <c r="G7860" s="491">
        <f t="shared" si="122"/>
        <v>6</v>
      </c>
    </row>
    <row r="7861" spans="1:7" ht="12.75">
      <c r="A7861" s="134" t="s">
        <v>944</v>
      </c>
      <c r="B7861" s="134">
        <v>361</v>
      </c>
      <c r="C7861" s="491">
        <v>0</v>
      </c>
      <c r="D7861" s="491">
        <v>2</v>
      </c>
      <c r="E7861" s="491">
        <v>0</v>
      </c>
      <c r="F7861" s="491">
        <v>0</v>
      </c>
      <c r="G7861" s="491">
        <f t="shared" si="122"/>
        <v>2</v>
      </c>
    </row>
    <row r="7862" spans="1:7" ht="12.75">
      <c r="A7862" s="134" t="s">
        <v>944</v>
      </c>
      <c r="B7862" s="134">
        <v>370</v>
      </c>
      <c r="C7862" s="491">
        <v>3</v>
      </c>
      <c r="D7862" s="491">
        <v>5</v>
      </c>
      <c r="E7862" s="491">
        <v>0</v>
      </c>
      <c r="F7862" s="491">
        <v>0</v>
      </c>
      <c r="G7862" s="491">
        <f t="shared" si="122"/>
        <v>8</v>
      </c>
    </row>
    <row r="7863" spans="1:7" ht="12.75">
      <c r="A7863" s="134" t="s">
        <v>944</v>
      </c>
      <c r="B7863" s="134">
        <v>400</v>
      </c>
      <c r="C7863" s="491">
        <v>4</v>
      </c>
      <c r="D7863" s="491">
        <v>29</v>
      </c>
      <c r="E7863" s="491">
        <v>0</v>
      </c>
      <c r="F7863" s="491">
        <v>0</v>
      </c>
      <c r="G7863" s="491">
        <f t="shared" si="122"/>
        <v>33</v>
      </c>
    </row>
    <row r="7864" spans="1:7" ht="12.75">
      <c r="A7864" s="134" t="s">
        <v>944</v>
      </c>
      <c r="B7864" s="134">
        <v>410</v>
      </c>
      <c r="C7864" s="491">
        <v>3</v>
      </c>
      <c r="D7864" s="491">
        <v>24</v>
      </c>
      <c r="E7864" s="491">
        <v>0</v>
      </c>
      <c r="F7864" s="491">
        <v>0</v>
      </c>
      <c r="G7864" s="491">
        <f t="shared" si="122"/>
        <v>27</v>
      </c>
    </row>
    <row r="7865" spans="1:7" ht="12.75">
      <c r="A7865" s="134" t="s">
        <v>944</v>
      </c>
      <c r="B7865" s="134">
        <v>420</v>
      </c>
      <c r="C7865" s="491">
        <v>11</v>
      </c>
      <c r="D7865" s="491">
        <v>13</v>
      </c>
      <c r="E7865" s="491">
        <v>0</v>
      </c>
      <c r="F7865" s="491">
        <v>0</v>
      </c>
      <c r="G7865" s="491">
        <f t="shared" si="122"/>
        <v>24</v>
      </c>
    </row>
    <row r="7866" spans="1:7" ht="12.75">
      <c r="A7866" s="134" t="s">
        <v>944</v>
      </c>
      <c r="B7866" s="134">
        <v>421</v>
      </c>
      <c r="C7866" s="491">
        <v>0</v>
      </c>
      <c r="D7866" s="491">
        <v>1</v>
      </c>
      <c r="E7866" s="491">
        <v>0</v>
      </c>
      <c r="F7866" s="491">
        <v>0</v>
      </c>
      <c r="G7866" s="491">
        <f t="shared" si="122"/>
        <v>1</v>
      </c>
    </row>
    <row r="7867" spans="1:7" ht="12.75">
      <c r="A7867" s="134" t="s">
        <v>944</v>
      </c>
      <c r="B7867" s="134">
        <v>501</v>
      </c>
      <c r="C7867" s="491">
        <v>11</v>
      </c>
      <c r="D7867" s="491">
        <v>5</v>
      </c>
      <c r="E7867" s="491">
        <v>0</v>
      </c>
      <c r="F7867" s="491">
        <v>0</v>
      </c>
      <c r="G7867" s="491">
        <f t="shared" si="122"/>
        <v>16</v>
      </c>
    </row>
    <row r="7868" spans="1:7" ht="12.75">
      <c r="A7868" s="134" t="s">
        <v>944</v>
      </c>
      <c r="B7868" s="134">
        <v>502</v>
      </c>
      <c r="C7868" s="491">
        <v>15576</v>
      </c>
      <c r="D7868" s="491">
        <v>17565</v>
      </c>
      <c r="E7868" s="491">
        <v>114</v>
      </c>
      <c r="F7868" s="491">
        <v>113</v>
      </c>
      <c r="G7868" s="491">
        <f t="shared" si="122"/>
        <v>33368</v>
      </c>
    </row>
    <row r="7869" spans="1:7" ht="12.75">
      <c r="A7869" s="134" t="s">
        <v>944</v>
      </c>
      <c r="B7869" s="134">
        <v>503</v>
      </c>
      <c r="C7869" s="491">
        <v>1998</v>
      </c>
      <c r="D7869" s="491">
        <v>1923</v>
      </c>
      <c r="E7869" s="491">
        <v>6</v>
      </c>
      <c r="F7869" s="491">
        <v>4</v>
      </c>
      <c r="G7869" s="491">
        <f t="shared" si="122"/>
        <v>3931</v>
      </c>
    </row>
    <row r="7870" spans="1:7" ht="12.75">
      <c r="A7870" s="134" t="s">
        <v>944</v>
      </c>
      <c r="B7870" s="134">
        <v>560</v>
      </c>
      <c r="C7870" s="491">
        <v>0</v>
      </c>
      <c r="D7870" s="491">
        <v>4</v>
      </c>
      <c r="E7870" s="491">
        <v>0</v>
      </c>
      <c r="F7870" s="491">
        <v>0</v>
      </c>
      <c r="G7870" s="491">
        <f t="shared" si="122"/>
        <v>4</v>
      </c>
    </row>
    <row r="7871" spans="1:7" ht="12.75">
      <c r="A7871" s="134" t="s">
        <v>944</v>
      </c>
      <c r="B7871" s="134">
        <v>650</v>
      </c>
      <c r="C7871" s="491">
        <v>1</v>
      </c>
      <c r="D7871" s="491">
        <v>29</v>
      </c>
      <c r="E7871" s="491">
        <v>0</v>
      </c>
      <c r="F7871" s="491">
        <v>0</v>
      </c>
      <c r="G7871" s="491">
        <f t="shared" si="122"/>
        <v>30</v>
      </c>
    </row>
    <row r="7872" spans="1:7" ht="12.75">
      <c r="A7872" s="134" t="s">
        <v>944</v>
      </c>
      <c r="B7872" s="134">
        <v>652</v>
      </c>
      <c r="C7872" s="491">
        <v>0</v>
      </c>
      <c r="D7872" s="491">
        <v>1</v>
      </c>
      <c r="E7872" s="491">
        <v>0</v>
      </c>
      <c r="F7872" s="491">
        <v>0</v>
      </c>
      <c r="G7872" s="491">
        <f t="shared" si="122"/>
        <v>1</v>
      </c>
    </row>
    <row r="7873" spans="1:7" ht="12.75">
      <c r="A7873" s="134" t="s">
        <v>944</v>
      </c>
      <c r="B7873" s="134">
        <v>653</v>
      </c>
      <c r="C7873" s="491">
        <v>0</v>
      </c>
      <c r="D7873" s="491">
        <v>1</v>
      </c>
      <c r="E7873" s="491">
        <v>0</v>
      </c>
      <c r="F7873" s="491">
        <v>0</v>
      </c>
      <c r="G7873" s="491">
        <f t="shared" si="122"/>
        <v>1</v>
      </c>
    </row>
    <row r="7874" spans="1:7" ht="12.75">
      <c r="A7874" s="134" t="s">
        <v>944</v>
      </c>
      <c r="B7874" s="134">
        <v>654</v>
      </c>
      <c r="C7874" s="491">
        <v>5</v>
      </c>
      <c r="D7874" s="491">
        <v>0</v>
      </c>
      <c r="E7874" s="491">
        <v>0</v>
      </c>
      <c r="F7874" s="491">
        <v>0</v>
      </c>
      <c r="G7874" s="491">
        <f t="shared" si="122"/>
        <v>5</v>
      </c>
    </row>
    <row r="7875" spans="1:7" ht="12.75">
      <c r="A7875" s="134" t="s">
        <v>944</v>
      </c>
      <c r="B7875" s="134">
        <v>834</v>
      </c>
      <c r="C7875" s="491">
        <v>1</v>
      </c>
      <c r="D7875" s="491">
        <v>0</v>
      </c>
      <c r="E7875" s="491">
        <v>0</v>
      </c>
      <c r="F7875" s="491">
        <v>0</v>
      </c>
      <c r="G7875" s="491">
        <f t="shared" si="122"/>
        <v>1</v>
      </c>
    </row>
    <row r="7876" spans="1:7" ht="12.75">
      <c r="A7876" s="134" t="s">
        <v>186</v>
      </c>
      <c r="B7876" s="134">
        <v>101</v>
      </c>
      <c r="C7876" s="491">
        <v>0</v>
      </c>
      <c r="D7876" s="491">
        <v>1</v>
      </c>
      <c r="E7876" s="491">
        <v>0</v>
      </c>
      <c r="F7876" s="491">
        <v>0</v>
      </c>
      <c r="G7876" s="491">
        <f t="shared" ref="G7876:G7884" si="123">SUM(C7876:F7876)</f>
        <v>1</v>
      </c>
    </row>
    <row r="7877" spans="1:7" ht="12.75">
      <c r="A7877" s="134" t="s">
        <v>186</v>
      </c>
      <c r="B7877" s="134">
        <v>300</v>
      </c>
      <c r="C7877" s="491">
        <v>1</v>
      </c>
      <c r="D7877" s="491">
        <v>0</v>
      </c>
      <c r="E7877" s="491">
        <v>0</v>
      </c>
      <c r="F7877" s="491">
        <v>0</v>
      </c>
      <c r="G7877" s="491">
        <f t="shared" si="123"/>
        <v>1</v>
      </c>
    </row>
    <row r="7878" spans="1:7" ht="12.75">
      <c r="A7878" s="134" t="s">
        <v>186</v>
      </c>
      <c r="B7878" s="134">
        <v>323</v>
      </c>
      <c r="C7878" s="491">
        <v>1</v>
      </c>
      <c r="D7878" s="491">
        <v>0</v>
      </c>
      <c r="E7878" s="491">
        <v>0</v>
      </c>
      <c r="F7878" s="491">
        <v>0</v>
      </c>
      <c r="G7878" s="491">
        <f t="shared" si="123"/>
        <v>1</v>
      </c>
    </row>
    <row r="7879" spans="1:7" ht="12.75">
      <c r="A7879" s="134" t="s">
        <v>186</v>
      </c>
      <c r="B7879" s="134">
        <v>330</v>
      </c>
      <c r="C7879" s="491">
        <v>1</v>
      </c>
      <c r="D7879" s="491">
        <v>0</v>
      </c>
      <c r="E7879" s="491">
        <v>0</v>
      </c>
      <c r="F7879" s="491">
        <v>0</v>
      </c>
      <c r="G7879" s="491">
        <f t="shared" si="123"/>
        <v>1</v>
      </c>
    </row>
    <row r="7880" spans="1:7" ht="12.75">
      <c r="A7880" s="134" t="s">
        <v>186</v>
      </c>
      <c r="B7880" s="134">
        <v>502</v>
      </c>
      <c r="C7880" s="491">
        <v>759</v>
      </c>
      <c r="D7880" s="491">
        <v>1026</v>
      </c>
      <c r="E7880" s="491">
        <v>0</v>
      </c>
      <c r="F7880" s="491">
        <v>0</v>
      </c>
      <c r="G7880" s="491">
        <f t="shared" si="123"/>
        <v>1785</v>
      </c>
    </row>
    <row r="7881" spans="1:7" ht="12.75">
      <c r="A7881" s="134" t="s">
        <v>187</v>
      </c>
      <c r="B7881" s="134">
        <v>502</v>
      </c>
      <c r="C7881" s="491">
        <v>479</v>
      </c>
      <c r="D7881" s="491">
        <v>5</v>
      </c>
      <c r="E7881" s="491">
        <v>0</v>
      </c>
      <c r="F7881" s="491">
        <v>0</v>
      </c>
      <c r="G7881" s="491">
        <f t="shared" si="123"/>
        <v>484</v>
      </c>
    </row>
    <row r="7882" spans="1:7" ht="12.75">
      <c r="A7882" s="134" t="s">
        <v>187</v>
      </c>
      <c r="B7882" s="134">
        <v>503</v>
      </c>
      <c r="C7882" s="491">
        <v>1</v>
      </c>
      <c r="D7882" s="491">
        <v>2</v>
      </c>
      <c r="E7882" s="491">
        <v>0</v>
      </c>
      <c r="F7882" s="491">
        <v>0</v>
      </c>
      <c r="G7882" s="491">
        <f t="shared" si="123"/>
        <v>3</v>
      </c>
    </row>
    <row r="7883" spans="1:7" ht="12.75">
      <c r="A7883" s="134" t="s">
        <v>188</v>
      </c>
      <c r="B7883" s="134">
        <v>501</v>
      </c>
      <c r="C7883" s="491">
        <v>2</v>
      </c>
      <c r="D7883" s="491">
        <v>1</v>
      </c>
      <c r="E7883" s="491">
        <v>0</v>
      </c>
      <c r="F7883" s="491">
        <v>0</v>
      </c>
      <c r="G7883" s="491">
        <f t="shared" si="123"/>
        <v>3</v>
      </c>
    </row>
    <row r="7884" spans="1:7" ht="12.75">
      <c r="A7884" s="134" t="s">
        <v>188</v>
      </c>
      <c r="B7884" s="134">
        <v>502</v>
      </c>
      <c r="C7884" s="491">
        <v>71</v>
      </c>
      <c r="D7884" s="491">
        <v>3</v>
      </c>
      <c r="E7884" s="491">
        <v>0</v>
      </c>
      <c r="F7884" s="491">
        <v>0</v>
      </c>
      <c r="G7884" s="491">
        <f t="shared" si="123"/>
        <v>74</v>
      </c>
    </row>
    <row r="7885" spans="1:7" ht="12.75">
      <c r="A7885" s="134" t="s">
        <v>189</v>
      </c>
      <c r="B7885" s="134">
        <v>501</v>
      </c>
      <c r="C7885" s="491">
        <v>4</v>
      </c>
      <c r="D7885" s="491">
        <v>4</v>
      </c>
      <c r="E7885" s="491">
        <v>0</v>
      </c>
      <c r="F7885" s="491">
        <v>0</v>
      </c>
      <c r="G7885" s="491">
        <f t="shared" ref="G7885:G7948" si="124">SUM(C7885:F7885)</f>
        <v>8</v>
      </c>
    </row>
    <row r="7886" spans="1:7" ht="12.75">
      <c r="A7886" s="134" t="s">
        <v>189</v>
      </c>
      <c r="B7886" s="134">
        <v>502</v>
      </c>
      <c r="C7886" s="491">
        <v>487</v>
      </c>
      <c r="D7886" s="491">
        <v>8</v>
      </c>
      <c r="E7886" s="491">
        <v>1</v>
      </c>
      <c r="F7886" s="491">
        <v>0</v>
      </c>
      <c r="G7886" s="491">
        <f t="shared" si="124"/>
        <v>496</v>
      </c>
    </row>
    <row r="7887" spans="1:7" ht="12.75">
      <c r="A7887" s="134" t="s">
        <v>190</v>
      </c>
      <c r="B7887" s="134">
        <v>501</v>
      </c>
      <c r="C7887" s="491">
        <v>7</v>
      </c>
      <c r="D7887" s="491">
        <v>7</v>
      </c>
      <c r="E7887" s="491">
        <v>0</v>
      </c>
      <c r="F7887" s="491">
        <v>0</v>
      </c>
      <c r="G7887" s="491">
        <f t="shared" si="124"/>
        <v>14</v>
      </c>
    </row>
    <row r="7888" spans="1:7" ht="12.75">
      <c r="A7888" s="134" t="s">
        <v>190</v>
      </c>
      <c r="B7888" s="134">
        <v>502</v>
      </c>
      <c r="C7888" s="491">
        <v>97</v>
      </c>
      <c r="D7888" s="491">
        <v>0</v>
      </c>
      <c r="E7888" s="491">
        <v>0</v>
      </c>
      <c r="F7888" s="491">
        <v>0</v>
      </c>
      <c r="G7888" s="491">
        <f t="shared" si="124"/>
        <v>97</v>
      </c>
    </row>
    <row r="7889" spans="1:7" ht="12.75">
      <c r="A7889" s="134" t="s">
        <v>191</v>
      </c>
      <c r="B7889" s="134">
        <v>501</v>
      </c>
      <c r="C7889" s="491">
        <v>19</v>
      </c>
      <c r="D7889" s="491">
        <v>33</v>
      </c>
      <c r="E7889" s="491">
        <v>0</v>
      </c>
      <c r="F7889" s="491">
        <v>0</v>
      </c>
      <c r="G7889" s="491">
        <f t="shared" si="124"/>
        <v>52</v>
      </c>
    </row>
    <row r="7890" spans="1:7" ht="12.75">
      <c r="A7890" s="134" t="s">
        <v>191</v>
      </c>
      <c r="B7890" s="134">
        <v>502</v>
      </c>
      <c r="C7890" s="491">
        <v>2392</v>
      </c>
      <c r="D7890" s="491">
        <v>16</v>
      </c>
      <c r="E7890" s="491">
        <v>226</v>
      </c>
      <c r="F7890" s="491">
        <v>8</v>
      </c>
      <c r="G7890" s="491">
        <f t="shared" si="124"/>
        <v>2642</v>
      </c>
    </row>
    <row r="7891" spans="1:7" ht="12.75">
      <c r="A7891" s="134" t="s">
        <v>192</v>
      </c>
      <c r="B7891" s="134">
        <v>501</v>
      </c>
      <c r="C7891" s="491">
        <v>1</v>
      </c>
      <c r="D7891" s="491">
        <v>1</v>
      </c>
      <c r="E7891" s="491">
        <v>0</v>
      </c>
      <c r="F7891" s="491">
        <v>0</v>
      </c>
      <c r="G7891" s="491">
        <f t="shared" si="124"/>
        <v>2</v>
      </c>
    </row>
    <row r="7892" spans="1:7" ht="12.75">
      <c r="A7892" s="134" t="s">
        <v>192</v>
      </c>
      <c r="B7892" s="134">
        <v>502</v>
      </c>
      <c r="C7892" s="491">
        <v>14</v>
      </c>
      <c r="D7892" s="491">
        <v>3</v>
      </c>
      <c r="E7892" s="491">
        <v>0</v>
      </c>
      <c r="F7892" s="491">
        <v>0</v>
      </c>
      <c r="G7892" s="491">
        <f t="shared" si="124"/>
        <v>17</v>
      </c>
    </row>
    <row r="7893" spans="1:7" ht="12.75">
      <c r="A7893" s="134" t="s">
        <v>193</v>
      </c>
      <c r="B7893" s="134">
        <v>502</v>
      </c>
      <c r="C7893" s="491">
        <v>1</v>
      </c>
      <c r="D7893" s="491">
        <v>0</v>
      </c>
      <c r="E7893" s="491">
        <v>0</v>
      </c>
      <c r="F7893" s="491">
        <v>0</v>
      </c>
      <c r="G7893" s="491">
        <f t="shared" si="124"/>
        <v>1</v>
      </c>
    </row>
    <row r="7894" spans="1:7" ht="12.75">
      <c r="A7894" s="134" t="s">
        <v>194</v>
      </c>
      <c r="B7894" s="134">
        <v>502</v>
      </c>
      <c r="C7894" s="491">
        <v>5</v>
      </c>
      <c r="D7894" s="491">
        <v>0</v>
      </c>
      <c r="E7894" s="491">
        <v>0</v>
      </c>
      <c r="F7894" s="491">
        <v>0</v>
      </c>
      <c r="G7894" s="491">
        <f t="shared" si="124"/>
        <v>5</v>
      </c>
    </row>
    <row r="7895" spans="1:7" ht="12.75">
      <c r="A7895" s="134" t="s">
        <v>195</v>
      </c>
      <c r="B7895" s="134">
        <v>107</v>
      </c>
      <c r="C7895" s="491">
        <v>0</v>
      </c>
      <c r="D7895" s="491">
        <v>2</v>
      </c>
      <c r="E7895" s="491">
        <v>0</v>
      </c>
      <c r="F7895" s="491">
        <v>0</v>
      </c>
      <c r="G7895" s="491">
        <f t="shared" si="124"/>
        <v>2</v>
      </c>
    </row>
    <row r="7896" spans="1:7" ht="12.75">
      <c r="A7896" s="134" t="s">
        <v>195</v>
      </c>
      <c r="B7896" s="134">
        <v>110</v>
      </c>
      <c r="C7896" s="491">
        <v>1</v>
      </c>
      <c r="D7896" s="491">
        <v>0</v>
      </c>
      <c r="E7896" s="491">
        <v>0</v>
      </c>
      <c r="F7896" s="491">
        <v>0</v>
      </c>
      <c r="G7896" s="491">
        <f t="shared" si="124"/>
        <v>1</v>
      </c>
    </row>
    <row r="7897" spans="1:7" ht="12.75">
      <c r="A7897" s="134" t="s">
        <v>195</v>
      </c>
      <c r="B7897" s="134">
        <v>120</v>
      </c>
      <c r="C7897" s="491">
        <v>1</v>
      </c>
      <c r="D7897" s="491">
        <v>5</v>
      </c>
      <c r="E7897" s="491">
        <v>0</v>
      </c>
      <c r="F7897" s="491">
        <v>0</v>
      </c>
      <c r="G7897" s="491">
        <f t="shared" si="124"/>
        <v>6</v>
      </c>
    </row>
    <row r="7898" spans="1:7" ht="12.75">
      <c r="A7898" s="134" t="s">
        <v>195</v>
      </c>
      <c r="B7898" s="134">
        <v>144</v>
      </c>
      <c r="C7898" s="491">
        <v>0</v>
      </c>
      <c r="D7898" s="491">
        <v>1</v>
      </c>
      <c r="E7898" s="491">
        <v>0</v>
      </c>
      <c r="F7898" s="491">
        <v>0</v>
      </c>
      <c r="G7898" s="491">
        <f t="shared" si="124"/>
        <v>1</v>
      </c>
    </row>
    <row r="7899" spans="1:7" ht="12.75">
      <c r="A7899" s="134" t="s">
        <v>195</v>
      </c>
      <c r="B7899" s="134">
        <v>160</v>
      </c>
      <c r="C7899" s="491">
        <v>0</v>
      </c>
      <c r="D7899" s="491">
        <v>1</v>
      </c>
      <c r="E7899" s="491">
        <v>0</v>
      </c>
      <c r="F7899" s="491">
        <v>0</v>
      </c>
      <c r="G7899" s="491">
        <f t="shared" si="124"/>
        <v>1</v>
      </c>
    </row>
    <row r="7900" spans="1:7" ht="12.75">
      <c r="A7900" s="134" t="s">
        <v>195</v>
      </c>
      <c r="B7900" s="134">
        <v>180</v>
      </c>
      <c r="C7900" s="491">
        <v>0</v>
      </c>
      <c r="D7900" s="491">
        <v>1</v>
      </c>
      <c r="E7900" s="491">
        <v>0</v>
      </c>
      <c r="F7900" s="491">
        <v>0</v>
      </c>
      <c r="G7900" s="491">
        <f t="shared" si="124"/>
        <v>1</v>
      </c>
    </row>
    <row r="7901" spans="1:7" ht="12.75">
      <c r="A7901" s="134" t="s">
        <v>195</v>
      </c>
      <c r="B7901" s="134">
        <v>300</v>
      </c>
      <c r="C7901" s="491">
        <v>0</v>
      </c>
      <c r="D7901" s="491">
        <v>1</v>
      </c>
      <c r="E7901" s="491">
        <v>0</v>
      </c>
      <c r="F7901" s="491">
        <v>0</v>
      </c>
      <c r="G7901" s="491">
        <f t="shared" si="124"/>
        <v>1</v>
      </c>
    </row>
    <row r="7902" spans="1:7" ht="12.75">
      <c r="A7902" s="134" t="s">
        <v>195</v>
      </c>
      <c r="B7902" s="134">
        <v>307</v>
      </c>
      <c r="C7902" s="491">
        <v>0</v>
      </c>
      <c r="D7902" s="491">
        <v>1</v>
      </c>
      <c r="E7902" s="491">
        <v>0</v>
      </c>
      <c r="F7902" s="491">
        <v>0</v>
      </c>
      <c r="G7902" s="491">
        <f t="shared" si="124"/>
        <v>1</v>
      </c>
    </row>
    <row r="7903" spans="1:7" ht="12.75">
      <c r="A7903" s="134" t="s">
        <v>195</v>
      </c>
      <c r="B7903" s="134">
        <v>310</v>
      </c>
      <c r="C7903" s="491">
        <v>0</v>
      </c>
      <c r="D7903" s="491">
        <v>1</v>
      </c>
      <c r="E7903" s="491">
        <v>0</v>
      </c>
      <c r="F7903" s="491">
        <v>0</v>
      </c>
      <c r="G7903" s="491">
        <f t="shared" si="124"/>
        <v>1</v>
      </c>
    </row>
    <row r="7904" spans="1:7" ht="12.75">
      <c r="A7904" s="134" t="s">
        <v>195</v>
      </c>
      <c r="B7904" s="134">
        <v>314</v>
      </c>
      <c r="C7904" s="491">
        <v>0</v>
      </c>
      <c r="D7904" s="491">
        <v>1</v>
      </c>
      <c r="E7904" s="491">
        <v>0</v>
      </c>
      <c r="F7904" s="491">
        <v>0</v>
      </c>
      <c r="G7904" s="491">
        <f t="shared" si="124"/>
        <v>1</v>
      </c>
    </row>
    <row r="7905" spans="1:7" ht="12.75">
      <c r="A7905" s="134" t="s">
        <v>195</v>
      </c>
      <c r="B7905" s="134">
        <v>320</v>
      </c>
      <c r="C7905" s="491">
        <v>1</v>
      </c>
      <c r="D7905" s="491">
        <v>3</v>
      </c>
      <c r="E7905" s="491">
        <v>0</v>
      </c>
      <c r="F7905" s="491">
        <v>0</v>
      </c>
      <c r="G7905" s="491">
        <f t="shared" si="124"/>
        <v>4</v>
      </c>
    </row>
    <row r="7906" spans="1:7" ht="12.75">
      <c r="A7906" s="134" t="s">
        <v>195</v>
      </c>
      <c r="B7906" s="134">
        <v>330</v>
      </c>
      <c r="C7906" s="491">
        <v>1</v>
      </c>
      <c r="D7906" s="491">
        <v>1</v>
      </c>
      <c r="E7906" s="491">
        <v>0</v>
      </c>
      <c r="F7906" s="491">
        <v>0</v>
      </c>
      <c r="G7906" s="491">
        <f t="shared" si="124"/>
        <v>2</v>
      </c>
    </row>
    <row r="7907" spans="1:7" ht="12.75">
      <c r="A7907" s="134" t="s">
        <v>195</v>
      </c>
      <c r="B7907" s="134">
        <v>340</v>
      </c>
      <c r="C7907" s="491">
        <v>1</v>
      </c>
      <c r="D7907" s="491">
        <v>0</v>
      </c>
      <c r="E7907" s="491">
        <v>0</v>
      </c>
      <c r="F7907" s="491">
        <v>0</v>
      </c>
      <c r="G7907" s="491">
        <f t="shared" si="124"/>
        <v>1</v>
      </c>
    </row>
    <row r="7908" spans="1:7" ht="12.75">
      <c r="A7908" s="134" t="s">
        <v>195</v>
      </c>
      <c r="B7908" s="134">
        <v>420</v>
      </c>
      <c r="C7908" s="491">
        <v>0</v>
      </c>
      <c r="D7908" s="491">
        <v>2</v>
      </c>
      <c r="E7908" s="491">
        <v>0</v>
      </c>
      <c r="F7908" s="491">
        <v>1</v>
      </c>
      <c r="G7908" s="491">
        <f t="shared" si="124"/>
        <v>3</v>
      </c>
    </row>
    <row r="7909" spans="1:7" ht="12.75">
      <c r="A7909" s="134" t="s">
        <v>195</v>
      </c>
      <c r="B7909" s="134">
        <v>501</v>
      </c>
      <c r="C7909" s="491">
        <v>318</v>
      </c>
      <c r="D7909" s="491">
        <v>150</v>
      </c>
      <c r="E7909" s="491">
        <v>74</v>
      </c>
      <c r="F7909" s="491">
        <v>23</v>
      </c>
      <c r="G7909" s="491">
        <f t="shared" si="124"/>
        <v>565</v>
      </c>
    </row>
    <row r="7910" spans="1:7" ht="12.75">
      <c r="A7910" s="134" t="s">
        <v>195</v>
      </c>
      <c r="B7910" s="134">
        <v>502</v>
      </c>
      <c r="C7910" s="491">
        <v>13</v>
      </c>
      <c r="D7910" s="491">
        <v>3</v>
      </c>
      <c r="E7910" s="491">
        <v>0</v>
      </c>
      <c r="F7910" s="491">
        <v>0</v>
      </c>
      <c r="G7910" s="491">
        <f t="shared" si="124"/>
        <v>16</v>
      </c>
    </row>
    <row r="7911" spans="1:7" ht="12.75">
      <c r="A7911" s="134" t="s">
        <v>195</v>
      </c>
      <c r="B7911" s="134">
        <v>560</v>
      </c>
      <c r="C7911" s="491">
        <v>27</v>
      </c>
      <c r="D7911" s="491">
        <v>1</v>
      </c>
      <c r="E7911" s="491">
        <v>12</v>
      </c>
      <c r="F7911" s="491">
        <v>0</v>
      </c>
      <c r="G7911" s="491">
        <f t="shared" si="124"/>
        <v>40</v>
      </c>
    </row>
    <row r="7912" spans="1:7" ht="12.75">
      <c r="A7912" s="134" t="s">
        <v>195</v>
      </c>
      <c r="B7912" s="134">
        <v>650</v>
      </c>
      <c r="C7912" s="491">
        <v>0</v>
      </c>
      <c r="D7912" s="491">
        <v>4</v>
      </c>
      <c r="E7912" s="491">
        <v>0</v>
      </c>
      <c r="F7912" s="491">
        <v>0</v>
      </c>
      <c r="G7912" s="491">
        <f t="shared" si="124"/>
        <v>4</v>
      </c>
    </row>
    <row r="7913" spans="1:7" ht="12.75">
      <c r="A7913" s="134" t="s">
        <v>195</v>
      </c>
      <c r="B7913" s="134">
        <v>653</v>
      </c>
      <c r="C7913" s="491">
        <v>0</v>
      </c>
      <c r="D7913" s="491">
        <v>1</v>
      </c>
      <c r="E7913" s="491">
        <v>0</v>
      </c>
      <c r="F7913" s="491">
        <v>0</v>
      </c>
      <c r="G7913" s="491">
        <f t="shared" si="124"/>
        <v>1</v>
      </c>
    </row>
    <row r="7914" spans="1:7" ht="12.75">
      <c r="A7914" s="134" t="s">
        <v>360</v>
      </c>
      <c r="B7914" s="134">
        <v>100</v>
      </c>
      <c r="C7914" s="491">
        <v>66</v>
      </c>
      <c r="D7914" s="491">
        <v>26</v>
      </c>
      <c r="E7914" s="491">
        <v>0</v>
      </c>
      <c r="F7914" s="491">
        <v>1</v>
      </c>
      <c r="G7914" s="491">
        <f t="shared" si="124"/>
        <v>93</v>
      </c>
    </row>
    <row r="7915" spans="1:7" ht="12.75">
      <c r="A7915" s="134" t="s">
        <v>360</v>
      </c>
      <c r="B7915" s="134">
        <v>101</v>
      </c>
      <c r="C7915" s="491">
        <v>77</v>
      </c>
      <c r="D7915" s="491">
        <v>29</v>
      </c>
      <c r="E7915" s="491">
        <v>2</v>
      </c>
      <c r="F7915" s="491">
        <v>0</v>
      </c>
      <c r="G7915" s="491">
        <f t="shared" si="124"/>
        <v>108</v>
      </c>
    </row>
    <row r="7916" spans="1:7" ht="12.75">
      <c r="A7916" s="134" t="s">
        <v>360</v>
      </c>
      <c r="B7916" s="134">
        <v>102</v>
      </c>
      <c r="C7916" s="491">
        <v>0</v>
      </c>
      <c r="D7916" s="491">
        <v>1</v>
      </c>
      <c r="E7916" s="491">
        <v>0</v>
      </c>
      <c r="F7916" s="491">
        <v>0</v>
      </c>
      <c r="G7916" s="491">
        <f t="shared" si="124"/>
        <v>1</v>
      </c>
    </row>
    <row r="7917" spans="1:7" ht="12.75">
      <c r="A7917" s="134" t="s">
        <v>360</v>
      </c>
      <c r="B7917" s="134">
        <v>103</v>
      </c>
      <c r="C7917" s="491">
        <v>3</v>
      </c>
      <c r="D7917" s="491">
        <v>5</v>
      </c>
      <c r="E7917" s="491">
        <v>0</v>
      </c>
      <c r="F7917" s="491">
        <v>0</v>
      </c>
      <c r="G7917" s="491">
        <f t="shared" si="124"/>
        <v>8</v>
      </c>
    </row>
    <row r="7918" spans="1:7" ht="12.75">
      <c r="A7918" s="134" t="s">
        <v>360</v>
      </c>
      <c r="B7918" s="134">
        <v>104</v>
      </c>
      <c r="C7918" s="491">
        <v>9</v>
      </c>
      <c r="D7918" s="491">
        <v>7</v>
      </c>
      <c r="E7918" s="491">
        <v>0</v>
      </c>
      <c r="F7918" s="491">
        <v>0</v>
      </c>
      <c r="G7918" s="491">
        <f t="shared" si="124"/>
        <v>16</v>
      </c>
    </row>
    <row r="7919" spans="1:7" ht="12.75">
      <c r="A7919" s="134" t="s">
        <v>360</v>
      </c>
      <c r="B7919" s="134">
        <v>107</v>
      </c>
      <c r="C7919" s="491">
        <v>3</v>
      </c>
      <c r="D7919" s="491">
        <v>7</v>
      </c>
      <c r="E7919" s="491">
        <v>0</v>
      </c>
      <c r="F7919" s="491">
        <v>0</v>
      </c>
      <c r="G7919" s="491">
        <f t="shared" si="124"/>
        <v>10</v>
      </c>
    </row>
    <row r="7920" spans="1:7" ht="12.75">
      <c r="A7920" s="134" t="s">
        <v>360</v>
      </c>
      <c r="B7920" s="134">
        <v>110</v>
      </c>
      <c r="C7920" s="491">
        <v>45</v>
      </c>
      <c r="D7920" s="491">
        <v>42</v>
      </c>
      <c r="E7920" s="491">
        <v>0</v>
      </c>
      <c r="F7920" s="491">
        <v>0</v>
      </c>
      <c r="G7920" s="491">
        <f t="shared" si="124"/>
        <v>87</v>
      </c>
    </row>
    <row r="7921" spans="1:7" ht="12.75">
      <c r="A7921" s="134" t="s">
        <v>360</v>
      </c>
      <c r="B7921" s="134">
        <v>120</v>
      </c>
      <c r="C7921" s="491">
        <v>17</v>
      </c>
      <c r="D7921" s="491">
        <v>31</v>
      </c>
      <c r="E7921" s="491">
        <v>2</v>
      </c>
      <c r="F7921" s="491">
        <v>0</v>
      </c>
      <c r="G7921" s="491">
        <f t="shared" si="124"/>
        <v>50</v>
      </c>
    </row>
    <row r="7922" spans="1:7" ht="12.75">
      <c r="A7922" s="134" t="s">
        <v>360</v>
      </c>
      <c r="B7922" s="134">
        <v>130</v>
      </c>
      <c r="C7922" s="491">
        <v>31</v>
      </c>
      <c r="D7922" s="491">
        <v>26</v>
      </c>
      <c r="E7922" s="491">
        <v>1</v>
      </c>
      <c r="F7922" s="491">
        <v>0</v>
      </c>
      <c r="G7922" s="491">
        <f t="shared" si="124"/>
        <v>58</v>
      </c>
    </row>
    <row r="7923" spans="1:7" ht="12.75">
      <c r="A7923" s="134" t="s">
        <v>360</v>
      </c>
      <c r="B7923" s="134">
        <v>140</v>
      </c>
      <c r="C7923" s="491">
        <v>13</v>
      </c>
      <c r="D7923" s="491">
        <v>8</v>
      </c>
      <c r="E7923" s="491">
        <v>1</v>
      </c>
      <c r="F7923" s="491">
        <v>0</v>
      </c>
      <c r="G7923" s="491">
        <f t="shared" si="124"/>
        <v>22</v>
      </c>
    </row>
    <row r="7924" spans="1:7" ht="12.75">
      <c r="A7924" s="134" t="s">
        <v>360</v>
      </c>
      <c r="B7924" s="134">
        <v>141</v>
      </c>
      <c r="C7924" s="491">
        <v>2</v>
      </c>
      <c r="D7924" s="491">
        <v>1</v>
      </c>
      <c r="E7924" s="491">
        <v>0</v>
      </c>
      <c r="F7924" s="491">
        <v>0</v>
      </c>
      <c r="G7924" s="491">
        <f t="shared" si="124"/>
        <v>3</v>
      </c>
    </row>
    <row r="7925" spans="1:7" ht="12.75">
      <c r="A7925" s="134" t="s">
        <v>360</v>
      </c>
      <c r="B7925" s="134">
        <v>142</v>
      </c>
      <c r="C7925" s="491">
        <v>1</v>
      </c>
      <c r="D7925" s="491">
        <v>0</v>
      </c>
      <c r="E7925" s="491">
        <v>0</v>
      </c>
      <c r="F7925" s="491">
        <v>0</v>
      </c>
      <c r="G7925" s="491">
        <f t="shared" si="124"/>
        <v>1</v>
      </c>
    </row>
    <row r="7926" spans="1:7" ht="12.75">
      <c r="A7926" s="134" t="s">
        <v>360</v>
      </c>
      <c r="B7926" s="134">
        <v>143</v>
      </c>
      <c r="C7926" s="491">
        <v>22</v>
      </c>
      <c r="D7926" s="491">
        <v>4</v>
      </c>
      <c r="E7926" s="491">
        <v>0</v>
      </c>
      <c r="F7926" s="491">
        <v>0</v>
      </c>
      <c r="G7926" s="491">
        <f t="shared" si="124"/>
        <v>26</v>
      </c>
    </row>
    <row r="7927" spans="1:7" ht="12.75">
      <c r="A7927" s="134" t="s">
        <v>360</v>
      </c>
      <c r="B7927" s="134">
        <v>144</v>
      </c>
      <c r="C7927" s="491">
        <v>0</v>
      </c>
      <c r="D7927" s="491">
        <v>1</v>
      </c>
      <c r="E7927" s="491">
        <v>0</v>
      </c>
      <c r="F7927" s="491">
        <v>0</v>
      </c>
      <c r="G7927" s="491">
        <f t="shared" si="124"/>
        <v>1</v>
      </c>
    </row>
    <row r="7928" spans="1:7" ht="12.75">
      <c r="A7928" s="134" t="s">
        <v>360</v>
      </c>
      <c r="B7928" s="134">
        <v>150</v>
      </c>
      <c r="C7928" s="491">
        <v>0</v>
      </c>
      <c r="D7928" s="491">
        <v>1</v>
      </c>
      <c r="E7928" s="491">
        <v>0</v>
      </c>
      <c r="F7928" s="491">
        <v>0</v>
      </c>
      <c r="G7928" s="491">
        <f t="shared" si="124"/>
        <v>1</v>
      </c>
    </row>
    <row r="7929" spans="1:7" ht="12.75">
      <c r="A7929" s="134" t="s">
        <v>360</v>
      </c>
      <c r="B7929" s="134">
        <v>160</v>
      </c>
      <c r="C7929" s="491">
        <v>0</v>
      </c>
      <c r="D7929" s="491">
        <v>4</v>
      </c>
      <c r="E7929" s="491">
        <v>0</v>
      </c>
      <c r="F7929" s="491">
        <v>0</v>
      </c>
      <c r="G7929" s="491">
        <f t="shared" si="124"/>
        <v>4</v>
      </c>
    </row>
    <row r="7930" spans="1:7" ht="12.75">
      <c r="A7930" s="134" t="s">
        <v>360</v>
      </c>
      <c r="B7930" s="134">
        <v>171</v>
      </c>
      <c r="C7930" s="491">
        <v>0</v>
      </c>
      <c r="D7930" s="491">
        <v>1</v>
      </c>
      <c r="E7930" s="491">
        <v>0</v>
      </c>
      <c r="F7930" s="491">
        <v>0</v>
      </c>
      <c r="G7930" s="491">
        <f t="shared" si="124"/>
        <v>1</v>
      </c>
    </row>
    <row r="7931" spans="1:7" ht="12.75">
      <c r="A7931" s="134" t="s">
        <v>360</v>
      </c>
      <c r="B7931" s="134">
        <v>180</v>
      </c>
      <c r="C7931" s="491">
        <v>2</v>
      </c>
      <c r="D7931" s="491">
        <v>2</v>
      </c>
      <c r="E7931" s="491">
        <v>0</v>
      </c>
      <c r="F7931" s="491">
        <v>0</v>
      </c>
      <c r="G7931" s="491">
        <f t="shared" si="124"/>
        <v>4</v>
      </c>
    </row>
    <row r="7932" spans="1:7" ht="12.75">
      <c r="A7932" s="134" t="s">
        <v>360</v>
      </c>
      <c r="B7932" s="134">
        <v>190</v>
      </c>
      <c r="C7932" s="491">
        <v>15</v>
      </c>
      <c r="D7932" s="491">
        <v>9</v>
      </c>
      <c r="E7932" s="491">
        <v>0</v>
      </c>
      <c r="F7932" s="491">
        <v>0</v>
      </c>
      <c r="G7932" s="491">
        <f t="shared" si="124"/>
        <v>24</v>
      </c>
    </row>
    <row r="7933" spans="1:7" ht="12.75">
      <c r="A7933" s="134" t="s">
        <v>360</v>
      </c>
      <c r="B7933" s="134">
        <v>191</v>
      </c>
      <c r="C7933" s="491">
        <v>23</v>
      </c>
      <c r="D7933" s="491">
        <v>8</v>
      </c>
      <c r="E7933" s="491">
        <v>1</v>
      </c>
      <c r="F7933" s="491">
        <v>0</v>
      </c>
      <c r="G7933" s="491">
        <f t="shared" si="124"/>
        <v>32</v>
      </c>
    </row>
    <row r="7934" spans="1:7" ht="12.75">
      <c r="A7934" s="134" t="s">
        <v>360</v>
      </c>
      <c r="B7934" s="134">
        <v>211</v>
      </c>
      <c r="C7934" s="491">
        <v>1</v>
      </c>
      <c r="D7934" s="491">
        <v>1</v>
      </c>
      <c r="E7934" s="491">
        <v>0</v>
      </c>
      <c r="F7934" s="491">
        <v>0</v>
      </c>
      <c r="G7934" s="491">
        <f t="shared" si="124"/>
        <v>2</v>
      </c>
    </row>
    <row r="7935" spans="1:7" ht="12.75">
      <c r="A7935" s="134" t="s">
        <v>360</v>
      </c>
      <c r="B7935" s="134">
        <v>214</v>
      </c>
      <c r="C7935" s="491">
        <v>9</v>
      </c>
      <c r="D7935" s="491">
        <v>11</v>
      </c>
      <c r="E7935" s="491">
        <v>0</v>
      </c>
      <c r="F7935" s="491">
        <v>2</v>
      </c>
      <c r="G7935" s="491">
        <f t="shared" si="124"/>
        <v>22</v>
      </c>
    </row>
    <row r="7936" spans="1:7" ht="12.75">
      <c r="A7936" s="134" t="s">
        <v>360</v>
      </c>
      <c r="B7936" s="134">
        <v>215</v>
      </c>
      <c r="C7936" s="491">
        <v>3</v>
      </c>
      <c r="D7936" s="491">
        <v>2</v>
      </c>
      <c r="E7936" s="491">
        <v>0</v>
      </c>
      <c r="F7936" s="491">
        <v>0</v>
      </c>
      <c r="G7936" s="491">
        <f t="shared" si="124"/>
        <v>5</v>
      </c>
    </row>
    <row r="7937" spans="1:7" ht="12.75">
      <c r="A7937" s="134" t="s">
        <v>360</v>
      </c>
      <c r="B7937" s="134">
        <v>216</v>
      </c>
      <c r="C7937" s="491">
        <v>3</v>
      </c>
      <c r="D7937" s="491">
        <v>3</v>
      </c>
      <c r="E7937" s="491">
        <v>0</v>
      </c>
      <c r="F7937" s="491">
        <v>0</v>
      </c>
      <c r="G7937" s="491">
        <f t="shared" si="124"/>
        <v>6</v>
      </c>
    </row>
    <row r="7938" spans="1:7" ht="12.75">
      <c r="A7938" s="134" t="s">
        <v>360</v>
      </c>
      <c r="B7938" s="134">
        <v>217</v>
      </c>
      <c r="C7938" s="491">
        <v>1</v>
      </c>
      <c r="D7938" s="491">
        <v>0</v>
      </c>
      <c r="E7938" s="491">
        <v>0</v>
      </c>
      <c r="F7938" s="491">
        <v>0</v>
      </c>
      <c r="G7938" s="491">
        <f t="shared" si="124"/>
        <v>1</v>
      </c>
    </row>
    <row r="7939" spans="1:7" ht="12.75">
      <c r="A7939" s="134" t="s">
        <v>360</v>
      </c>
      <c r="B7939" s="134">
        <v>257</v>
      </c>
      <c r="C7939" s="491">
        <v>2</v>
      </c>
      <c r="D7939" s="491">
        <v>1</v>
      </c>
      <c r="E7939" s="491">
        <v>0</v>
      </c>
      <c r="F7939" s="491">
        <v>0</v>
      </c>
      <c r="G7939" s="491">
        <f t="shared" si="124"/>
        <v>3</v>
      </c>
    </row>
    <row r="7940" spans="1:7" ht="12.75">
      <c r="A7940" s="134" t="s">
        <v>360</v>
      </c>
      <c r="B7940" s="134">
        <v>258</v>
      </c>
      <c r="C7940" s="491">
        <v>0</v>
      </c>
      <c r="D7940" s="491">
        <v>1</v>
      </c>
      <c r="E7940" s="491">
        <v>0</v>
      </c>
      <c r="F7940" s="491">
        <v>0</v>
      </c>
      <c r="G7940" s="491">
        <f t="shared" si="124"/>
        <v>1</v>
      </c>
    </row>
    <row r="7941" spans="1:7" ht="12.75">
      <c r="A7941" s="134" t="s">
        <v>360</v>
      </c>
      <c r="B7941" s="134">
        <v>262</v>
      </c>
      <c r="C7941" s="491">
        <v>1</v>
      </c>
      <c r="D7941" s="491">
        <v>0</v>
      </c>
      <c r="E7941" s="491">
        <v>0</v>
      </c>
      <c r="F7941" s="491">
        <v>0</v>
      </c>
      <c r="G7941" s="491">
        <f t="shared" si="124"/>
        <v>1</v>
      </c>
    </row>
    <row r="7942" spans="1:7" ht="12.75">
      <c r="A7942" s="134" t="s">
        <v>360</v>
      </c>
      <c r="B7942" s="134">
        <v>300</v>
      </c>
      <c r="C7942" s="491">
        <v>428</v>
      </c>
      <c r="D7942" s="491">
        <v>54</v>
      </c>
      <c r="E7942" s="491">
        <v>4</v>
      </c>
      <c r="F7942" s="491">
        <v>1</v>
      </c>
      <c r="G7942" s="491">
        <f t="shared" si="124"/>
        <v>487</v>
      </c>
    </row>
    <row r="7943" spans="1:7" ht="12.75">
      <c r="A7943" s="134" t="s">
        <v>360</v>
      </c>
      <c r="B7943" s="134">
        <v>301</v>
      </c>
      <c r="C7943" s="491">
        <v>21</v>
      </c>
      <c r="D7943" s="491">
        <v>15</v>
      </c>
      <c r="E7943" s="491">
        <v>6</v>
      </c>
      <c r="F7943" s="491">
        <v>0</v>
      </c>
      <c r="G7943" s="491">
        <f t="shared" si="124"/>
        <v>42</v>
      </c>
    </row>
    <row r="7944" spans="1:7" ht="12.75">
      <c r="A7944" s="134" t="s">
        <v>360</v>
      </c>
      <c r="B7944" s="134">
        <v>302</v>
      </c>
      <c r="C7944" s="491">
        <v>22</v>
      </c>
      <c r="D7944" s="491">
        <v>15</v>
      </c>
      <c r="E7944" s="491">
        <v>26</v>
      </c>
      <c r="F7944" s="491">
        <v>8</v>
      </c>
      <c r="G7944" s="491">
        <f t="shared" si="124"/>
        <v>71</v>
      </c>
    </row>
    <row r="7945" spans="1:7" ht="12.75">
      <c r="A7945" s="134" t="s">
        <v>360</v>
      </c>
      <c r="B7945" s="134">
        <v>303</v>
      </c>
      <c r="C7945" s="491">
        <v>30</v>
      </c>
      <c r="D7945" s="491">
        <v>7</v>
      </c>
      <c r="E7945" s="491">
        <v>10</v>
      </c>
      <c r="F7945" s="491">
        <v>2</v>
      </c>
      <c r="G7945" s="491">
        <f t="shared" si="124"/>
        <v>49</v>
      </c>
    </row>
    <row r="7946" spans="1:7" ht="12.75">
      <c r="A7946" s="134" t="s">
        <v>360</v>
      </c>
      <c r="B7946" s="134">
        <v>306</v>
      </c>
      <c r="C7946" s="491">
        <v>0</v>
      </c>
      <c r="D7946" s="491">
        <v>1</v>
      </c>
      <c r="E7946" s="491">
        <v>0</v>
      </c>
      <c r="F7946" s="491">
        <v>0</v>
      </c>
      <c r="G7946" s="491">
        <f t="shared" si="124"/>
        <v>1</v>
      </c>
    </row>
    <row r="7947" spans="1:7" ht="12.75">
      <c r="A7947" s="134" t="s">
        <v>360</v>
      </c>
      <c r="B7947" s="134">
        <v>307</v>
      </c>
      <c r="C7947" s="491">
        <v>597</v>
      </c>
      <c r="D7947" s="491">
        <v>99</v>
      </c>
      <c r="E7947" s="491">
        <v>427</v>
      </c>
      <c r="F7947" s="491">
        <v>36</v>
      </c>
      <c r="G7947" s="491">
        <f t="shared" si="124"/>
        <v>1159</v>
      </c>
    </row>
    <row r="7948" spans="1:7" ht="12.75">
      <c r="A7948" s="134" t="s">
        <v>360</v>
      </c>
      <c r="B7948" s="134">
        <v>309</v>
      </c>
      <c r="C7948" s="491">
        <v>0</v>
      </c>
      <c r="D7948" s="491">
        <v>1</v>
      </c>
      <c r="E7948" s="491">
        <v>0</v>
      </c>
      <c r="F7948" s="491">
        <v>0</v>
      </c>
      <c r="G7948" s="491">
        <f t="shared" si="124"/>
        <v>1</v>
      </c>
    </row>
    <row r="7949" spans="1:7" ht="12.75">
      <c r="A7949" s="134" t="s">
        <v>360</v>
      </c>
      <c r="B7949" s="134">
        <v>310</v>
      </c>
      <c r="C7949" s="491">
        <v>0</v>
      </c>
      <c r="D7949" s="491">
        <v>2</v>
      </c>
      <c r="E7949" s="491">
        <v>0</v>
      </c>
      <c r="F7949" s="491">
        <v>0</v>
      </c>
      <c r="G7949" s="491">
        <f t="shared" ref="G7949:G8012" si="125">SUM(C7949:F7949)</f>
        <v>2</v>
      </c>
    </row>
    <row r="7950" spans="1:7" ht="12.75">
      <c r="A7950" s="134" t="s">
        <v>360</v>
      </c>
      <c r="B7950" s="134">
        <v>311</v>
      </c>
      <c r="C7950" s="491">
        <v>0</v>
      </c>
      <c r="D7950" s="491">
        <v>1</v>
      </c>
      <c r="E7950" s="491">
        <v>1</v>
      </c>
      <c r="F7950" s="491">
        <v>1</v>
      </c>
      <c r="G7950" s="491">
        <f t="shared" si="125"/>
        <v>3</v>
      </c>
    </row>
    <row r="7951" spans="1:7" ht="12.75">
      <c r="A7951" s="134" t="s">
        <v>360</v>
      </c>
      <c r="B7951" s="134">
        <v>314</v>
      </c>
      <c r="C7951" s="491">
        <v>4</v>
      </c>
      <c r="D7951" s="491">
        <v>1</v>
      </c>
      <c r="E7951" s="491">
        <v>0</v>
      </c>
      <c r="F7951" s="491">
        <v>0</v>
      </c>
      <c r="G7951" s="491">
        <f t="shared" si="125"/>
        <v>5</v>
      </c>
    </row>
    <row r="7952" spans="1:7" ht="12.75">
      <c r="A7952" s="134" t="s">
        <v>360</v>
      </c>
      <c r="B7952" s="134">
        <v>320</v>
      </c>
      <c r="C7952" s="491">
        <v>41</v>
      </c>
      <c r="D7952" s="491">
        <v>48</v>
      </c>
      <c r="E7952" s="491">
        <v>1</v>
      </c>
      <c r="F7952" s="491">
        <v>1</v>
      </c>
      <c r="G7952" s="491">
        <f t="shared" si="125"/>
        <v>91</v>
      </c>
    </row>
    <row r="7953" spans="1:7" ht="12.75">
      <c r="A7953" s="134" t="s">
        <v>360</v>
      </c>
      <c r="B7953" s="134">
        <v>321</v>
      </c>
      <c r="C7953" s="491">
        <v>0</v>
      </c>
      <c r="D7953" s="491">
        <v>3</v>
      </c>
      <c r="E7953" s="491">
        <v>0</v>
      </c>
      <c r="F7953" s="491">
        <v>0</v>
      </c>
      <c r="G7953" s="491">
        <f t="shared" si="125"/>
        <v>3</v>
      </c>
    </row>
    <row r="7954" spans="1:7" ht="12.75">
      <c r="A7954" s="134" t="s">
        <v>360</v>
      </c>
      <c r="B7954" s="134">
        <v>324</v>
      </c>
      <c r="C7954" s="491">
        <v>2</v>
      </c>
      <c r="D7954" s="491">
        <v>2</v>
      </c>
      <c r="E7954" s="491">
        <v>3</v>
      </c>
      <c r="F7954" s="491">
        <v>0</v>
      </c>
      <c r="G7954" s="491">
        <f t="shared" si="125"/>
        <v>7</v>
      </c>
    </row>
    <row r="7955" spans="1:7" ht="12.75">
      <c r="A7955" s="134" t="s">
        <v>360</v>
      </c>
      <c r="B7955" s="134">
        <v>330</v>
      </c>
      <c r="C7955" s="491">
        <v>26</v>
      </c>
      <c r="D7955" s="491">
        <v>16</v>
      </c>
      <c r="E7955" s="491">
        <v>2</v>
      </c>
      <c r="F7955" s="491">
        <v>1</v>
      </c>
      <c r="G7955" s="491">
        <f t="shared" si="125"/>
        <v>45</v>
      </c>
    </row>
    <row r="7956" spans="1:7" ht="12.75">
      <c r="A7956" s="134" t="s">
        <v>360</v>
      </c>
      <c r="B7956" s="134">
        <v>340</v>
      </c>
      <c r="C7956" s="491">
        <v>13</v>
      </c>
      <c r="D7956" s="491">
        <v>15</v>
      </c>
      <c r="E7956" s="491">
        <v>0</v>
      </c>
      <c r="F7956" s="491">
        <v>0</v>
      </c>
      <c r="G7956" s="491">
        <f t="shared" si="125"/>
        <v>28</v>
      </c>
    </row>
    <row r="7957" spans="1:7" ht="12.75">
      <c r="A7957" s="134" t="s">
        <v>360</v>
      </c>
      <c r="B7957" s="134">
        <v>341</v>
      </c>
      <c r="C7957" s="491">
        <v>0</v>
      </c>
      <c r="D7957" s="491">
        <v>1</v>
      </c>
      <c r="E7957" s="491">
        <v>0</v>
      </c>
      <c r="F7957" s="491">
        <v>0</v>
      </c>
      <c r="G7957" s="491">
        <f t="shared" si="125"/>
        <v>1</v>
      </c>
    </row>
    <row r="7958" spans="1:7" ht="12.75">
      <c r="A7958" s="134" t="s">
        <v>360</v>
      </c>
      <c r="B7958" s="134">
        <v>350</v>
      </c>
      <c r="C7958" s="491">
        <v>2</v>
      </c>
      <c r="D7958" s="491">
        <v>0</v>
      </c>
      <c r="E7958" s="491">
        <v>0</v>
      </c>
      <c r="F7958" s="491">
        <v>0</v>
      </c>
      <c r="G7958" s="491">
        <f t="shared" si="125"/>
        <v>2</v>
      </c>
    </row>
    <row r="7959" spans="1:7" ht="12.75">
      <c r="A7959" s="134" t="s">
        <v>360</v>
      </c>
      <c r="B7959" s="134">
        <v>361</v>
      </c>
      <c r="C7959" s="491">
        <v>1</v>
      </c>
      <c r="D7959" s="491">
        <v>1</v>
      </c>
      <c r="E7959" s="491">
        <v>0</v>
      </c>
      <c r="F7959" s="491">
        <v>0</v>
      </c>
      <c r="G7959" s="491">
        <f t="shared" si="125"/>
        <v>2</v>
      </c>
    </row>
    <row r="7960" spans="1:7" ht="12.75">
      <c r="A7960" s="134" t="s">
        <v>360</v>
      </c>
      <c r="B7960" s="134">
        <v>370</v>
      </c>
      <c r="C7960" s="491">
        <v>17</v>
      </c>
      <c r="D7960" s="491">
        <v>2</v>
      </c>
      <c r="E7960" s="491">
        <v>0</v>
      </c>
      <c r="F7960" s="491">
        <v>0</v>
      </c>
      <c r="G7960" s="491">
        <f t="shared" si="125"/>
        <v>19</v>
      </c>
    </row>
    <row r="7961" spans="1:7" ht="12.75">
      <c r="A7961" s="134" t="s">
        <v>360</v>
      </c>
      <c r="B7961" s="134">
        <v>400</v>
      </c>
      <c r="C7961" s="491">
        <v>8</v>
      </c>
      <c r="D7961" s="491">
        <v>10</v>
      </c>
      <c r="E7961" s="491">
        <v>0</v>
      </c>
      <c r="F7961" s="491">
        <v>0</v>
      </c>
      <c r="G7961" s="491">
        <f t="shared" si="125"/>
        <v>18</v>
      </c>
    </row>
    <row r="7962" spans="1:7" ht="12.75">
      <c r="A7962" s="134" t="s">
        <v>360</v>
      </c>
      <c r="B7962" s="134">
        <v>410</v>
      </c>
      <c r="C7962" s="491">
        <v>54</v>
      </c>
      <c r="D7962" s="491">
        <v>29</v>
      </c>
      <c r="E7962" s="491">
        <v>0</v>
      </c>
      <c r="F7962" s="491">
        <v>0</v>
      </c>
      <c r="G7962" s="491">
        <f t="shared" si="125"/>
        <v>83</v>
      </c>
    </row>
    <row r="7963" spans="1:7" ht="12.75">
      <c r="A7963" s="134" t="s">
        <v>360</v>
      </c>
      <c r="B7963" s="134">
        <v>420</v>
      </c>
      <c r="C7963" s="491">
        <v>9</v>
      </c>
      <c r="D7963" s="491">
        <v>18</v>
      </c>
      <c r="E7963" s="491">
        <v>1</v>
      </c>
      <c r="F7963" s="491">
        <v>0</v>
      </c>
      <c r="G7963" s="491">
        <f t="shared" si="125"/>
        <v>28</v>
      </c>
    </row>
    <row r="7964" spans="1:7" ht="12.75">
      <c r="A7964" s="134" t="s">
        <v>360</v>
      </c>
      <c r="B7964" s="134">
        <v>424</v>
      </c>
      <c r="C7964" s="491">
        <v>0</v>
      </c>
      <c r="D7964" s="491">
        <v>2</v>
      </c>
      <c r="E7964" s="491">
        <v>0</v>
      </c>
      <c r="F7964" s="491">
        <v>0</v>
      </c>
      <c r="G7964" s="491">
        <f t="shared" si="125"/>
        <v>2</v>
      </c>
    </row>
    <row r="7965" spans="1:7" ht="12.75">
      <c r="A7965" s="134" t="s">
        <v>360</v>
      </c>
      <c r="B7965" s="134">
        <v>430</v>
      </c>
      <c r="C7965" s="491">
        <v>1</v>
      </c>
      <c r="D7965" s="491">
        <v>0</v>
      </c>
      <c r="E7965" s="491">
        <v>0</v>
      </c>
      <c r="F7965" s="491">
        <v>0</v>
      </c>
      <c r="G7965" s="491">
        <f t="shared" si="125"/>
        <v>1</v>
      </c>
    </row>
    <row r="7966" spans="1:7" ht="12.75">
      <c r="A7966" s="134" t="s">
        <v>360</v>
      </c>
      <c r="B7966" s="134">
        <v>501</v>
      </c>
      <c r="C7966" s="491">
        <v>266342</v>
      </c>
      <c r="D7966" s="491">
        <v>133665</v>
      </c>
      <c r="E7966" s="491">
        <v>12804</v>
      </c>
      <c r="F7966" s="491">
        <v>5173</v>
      </c>
      <c r="G7966" s="491">
        <f t="shared" si="125"/>
        <v>417984</v>
      </c>
    </row>
    <row r="7967" spans="1:7" ht="12.75">
      <c r="A7967" s="134" t="s">
        <v>360</v>
      </c>
      <c r="B7967" s="134">
        <v>502</v>
      </c>
      <c r="C7967" s="491">
        <v>30941</v>
      </c>
      <c r="D7967" s="491">
        <v>66654</v>
      </c>
      <c r="E7967" s="491">
        <v>4193</v>
      </c>
      <c r="F7967" s="491">
        <v>6857</v>
      </c>
      <c r="G7967" s="491">
        <f t="shared" si="125"/>
        <v>108645</v>
      </c>
    </row>
    <row r="7968" spans="1:7" ht="12.75">
      <c r="A7968" s="134" t="s">
        <v>360</v>
      </c>
      <c r="B7968" s="134">
        <v>503</v>
      </c>
      <c r="C7968" s="491">
        <v>50</v>
      </c>
      <c r="D7968" s="491">
        <v>11</v>
      </c>
      <c r="E7968" s="491">
        <v>0</v>
      </c>
      <c r="F7968" s="491">
        <v>0</v>
      </c>
      <c r="G7968" s="491">
        <f t="shared" si="125"/>
        <v>61</v>
      </c>
    </row>
    <row r="7969" spans="1:7" ht="12.75">
      <c r="A7969" s="134" t="s">
        <v>360</v>
      </c>
      <c r="B7969" s="134">
        <v>560</v>
      </c>
      <c r="C7969" s="491">
        <v>102325</v>
      </c>
      <c r="D7969" s="491">
        <v>46593</v>
      </c>
      <c r="E7969" s="491">
        <v>9320</v>
      </c>
      <c r="F7969" s="491">
        <v>3399</v>
      </c>
      <c r="G7969" s="491">
        <f t="shared" si="125"/>
        <v>161637</v>
      </c>
    </row>
    <row r="7970" spans="1:7" ht="12.75">
      <c r="A7970" s="134" t="s">
        <v>360</v>
      </c>
      <c r="B7970" s="134">
        <v>650</v>
      </c>
      <c r="C7970" s="491">
        <v>19</v>
      </c>
      <c r="D7970" s="491">
        <v>37</v>
      </c>
      <c r="E7970" s="491">
        <v>0</v>
      </c>
      <c r="F7970" s="491">
        <v>0</v>
      </c>
      <c r="G7970" s="491">
        <f t="shared" si="125"/>
        <v>56</v>
      </c>
    </row>
    <row r="7971" spans="1:7" ht="12.75">
      <c r="A7971" s="134" t="s">
        <v>360</v>
      </c>
      <c r="B7971" s="134">
        <v>651</v>
      </c>
      <c r="C7971" s="491">
        <v>0</v>
      </c>
      <c r="D7971" s="491">
        <v>1</v>
      </c>
      <c r="E7971" s="491">
        <v>0</v>
      </c>
      <c r="F7971" s="491">
        <v>0</v>
      </c>
      <c r="G7971" s="491">
        <f t="shared" si="125"/>
        <v>1</v>
      </c>
    </row>
    <row r="7972" spans="1:7" ht="12.75">
      <c r="A7972" s="134" t="s">
        <v>360</v>
      </c>
      <c r="B7972" s="134">
        <v>653</v>
      </c>
      <c r="C7972" s="491">
        <v>1</v>
      </c>
      <c r="D7972" s="491">
        <v>2</v>
      </c>
      <c r="E7972" s="491">
        <v>0</v>
      </c>
      <c r="F7972" s="491">
        <v>0</v>
      </c>
      <c r="G7972" s="491">
        <f t="shared" si="125"/>
        <v>3</v>
      </c>
    </row>
    <row r="7973" spans="1:7" ht="12.75">
      <c r="A7973" s="134" t="s">
        <v>360</v>
      </c>
      <c r="B7973" s="134">
        <v>654</v>
      </c>
      <c r="C7973" s="491">
        <v>8</v>
      </c>
      <c r="D7973" s="491">
        <v>11</v>
      </c>
      <c r="E7973" s="491">
        <v>0</v>
      </c>
      <c r="F7973" s="491">
        <v>0</v>
      </c>
      <c r="G7973" s="491">
        <f t="shared" si="125"/>
        <v>19</v>
      </c>
    </row>
    <row r="7974" spans="1:7" ht="12.75">
      <c r="A7974" s="134" t="s">
        <v>360</v>
      </c>
      <c r="B7974" s="134">
        <v>658</v>
      </c>
      <c r="C7974" s="491">
        <v>0</v>
      </c>
      <c r="D7974" s="491">
        <v>1</v>
      </c>
      <c r="E7974" s="491">
        <v>0</v>
      </c>
      <c r="F7974" s="491">
        <v>0</v>
      </c>
      <c r="G7974" s="491">
        <f t="shared" si="125"/>
        <v>1</v>
      </c>
    </row>
    <row r="7975" spans="1:7" ht="12.75">
      <c r="A7975" s="134" t="s">
        <v>360</v>
      </c>
      <c r="B7975" s="134">
        <v>659</v>
      </c>
      <c r="C7975" s="491">
        <v>0</v>
      </c>
      <c r="D7975" s="491">
        <v>1</v>
      </c>
      <c r="E7975" s="491">
        <v>0</v>
      </c>
      <c r="F7975" s="491">
        <v>0</v>
      </c>
      <c r="G7975" s="491">
        <f t="shared" si="125"/>
        <v>1</v>
      </c>
    </row>
    <row r="7976" spans="1:7" ht="12.75">
      <c r="A7976" s="134" t="s">
        <v>360</v>
      </c>
      <c r="B7976" s="134">
        <v>713</v>
      </c>
      <c r="C7976" s="491">
        <v>1</v>
      </c>
      <c r="D7976" s="491">
        <v>0</v>
      </c>
      <c r="E7976" s="491">
        <v>0</v>
      </c>
      <c r="F7976" s="491">
        <v>0</v>
      </c>
      <c r="G7976" s="491">
        <f t="shared" si="125"/>
        <v>1</v>
      </c>
    </row>
    <row r="7977" spans="1:7" ht="12.75">
      <c r="A7977" s="134" t="s">
        <v>360</v>
      </c>
      <c r="B7977" s="134">
        <v>800</v>
      </c>
      <c r="C7977" s="491">
        <v>7</v>
      </c>
      <c r="D7977" s="491">
        <v>0</v>
      </c>
      <c r="E7977" s="491">
        <v>0</v>
      </c>
      <c r="F7977" s="491">
        <v>0</v>
      </c>
      <c r="G7977" s="491">
        <f t="shared" si="125"/>
        <v>7</v>
      </c>
    </row>
    <row r="7978" spans="1:7" ht="12.75">
      <c r="A7978" s="134" t="s">
        <v>360</v>
      </c>
      <c r="B7978" s="134">
        <v>811</v>
      </c>
      <c r="C7978" s="491">
        <v>1</v>
      </c>
      <c r="D7978" s="491">
        <v>0</v>
      </c>
      <c r="E7978" s="491">
        <v>0</v>
      </c>
      <c r="F7978" s="491">
        <v>0</v>
      </c>
      <c r="G7978" s="491">
        <f t="shared" si="125"/>
        <v>1</v>
      </c>
    </row>
    <row r="7979" spans="1:7" ht="12.75">
      <c r="A7979" s="134" t="s">
        <v>360</v>
      </c>
      <c r="B7979" s="134">
        <v>812</v>
      </c>
      <c r="C7979" s="491">
        <v>20469</v>
      </c>
      <c r="D7979" s="491">
        <v>29113</v>
      </c>
      <c r="E7979" s="491">
        <v>0</v>
      </c>
      <c r="F7979" s="491">
        <v>0</v>
      </c>
      <c r="G7979" s="491">
        <f t="shared" si="125"/>
        <v>49582</v>
      </c>
    </row>
    <row r="7980" spans="1:7" ht="12.75">
      <c r="A7980" s="134" t="s">
        <v>360</v>
      </c>
      <c r="B7980" s="134">
        <v>822</v>
      </c>
      <c r="C7980" s="491">
        <v>1</v>
      </c>
      <c r="D7980" s="491">
        <v>0</v>
      </c>
      <c r="E7980" s="491">
        <v>0</v>
      </c>
      <c r="F7980" s="491">
        <v>0</v>
      </c>
      <c r="G7980" s="491">
        <f t="shared" si="125"/>
        <v>1</v>
      </c>
    </row>
    <row r="7981" spans="1:7" ht="12.75">
      <c r="A7981" s="134" t="s">
        <v>360</v>
      </c>
      <c r="B7981" s="134">
        <v>840</v>
      </c>
      <c r="C7981" s="491">
        <v>0</v>
      </c>
      <c r="D7981" s="491">
        <v>1</v>
      </c>
      <c r="E7981" s="491">
        <v>0</v>
      </c>
      <c r="F7981" s="491">
        <v>0</v>
      </c>
      <c r="G7981" s="491">
        <f t="shared" si="125"/>
        <v>1</v>
      </c>
    </row>
    <row r="7982" spans="1:7" ht="12.75">
      <c r="A7982" s="134" t="s">
        <v>357</v>
      </c>
      <c r="B7982" s="134">
        <v>100</v>
      </c>
      <c r="C7982" s="491">
        <v>5</v>
      </c>
      <c r="D7982" s="491">
        <v>8</v>
      </c>
      <c r="E7982" s="491">
        <v>0</v>
      </c>
      <c r="F7982" s="491">
        <v>0</v>
      </c>
      <c r="G7982" s="491">
        <f t="shared" si="125"/>
        <v>13</v>
      </c>
    </row>
    <row r="7983" spans="1:7" ht="12.75">
      <c r="A7983" s="134" t="s">
        <v>357</v>
      </c>
      <c r="B7983" s="134">
        <v>101</v>
      </c>
      <c r="C7983" s="491">
        <v>4</v>
      </c>
      <c r="D7983" s="491">
        <v>10</v>
      </c>
      <c r="E7983" s="491">
        <v>13</v>
      </c>
      <c r="F7983" s="491">
        <v>3</v>
      </c>
      <c r="G7983" s="491">
        <f t="shared" si="125"/>
        <v>30</v>
      </c>
    </row>
    <row r="7984" spans="1:7" ht="12.75">
      <c r="A7984" s="134" t="s">
        <v>357</v>
      </c>
      <c r="B7984" s="134">
        <v>102</v>
      </c>
      <c r="C7984" s="491">
        <v>0</v>
      </c>
      <c r="D7984" s="491">
        <v>1</v>
      </c>
      <c r="E7984" s="491">
        <v>0</v>
      </c>
      <c r="F7984" s="491">
        <v>0</v>
      </c>
      <c r="G7984" s="491">
        <f t="shared" si="125"/>
        <v>1</v>
      </c>
    </row>
    <row r="7985" spans="1:7" ht="12.75">
      <c r="A7985" s="134" t="s">
        <v>357</v>
      </c>
      <c r="B7985" s="134">
        <v>103</v>
      </c>
      <c r="C7985" s="491">
        <v>3</v>
      </c>
      <c r="D7985" s="491">
        <v>6</v>
      </c>
      <c r="E7985" s="491">
        <v>0</v>
      </c>
      <c r="F7985" s="491">
        <v>0</v>
      </c>
      <c r="G7985" s="491">
        <f t="shared" si="125"/>
        <v>9</v>
      </c>
    </row>
    <row r="7986" spans="1:7" ht="12.75">
      <c r="A7986" s="134" t="s">
        <v>357</v>
      </c>
      <c r="B7986" s="134">
        <v>104</v>
      </c>
      <c r="C7986" s="491">
        <v>2</v>
      </c>
      <c r="D7986" s="491">
        <v>3</v>
      </c>
      <c r="E7986" s="491">
        <v>0</v>
      </c>
      <c r="F7986" s="491">
        <v>0</v>
      </c>
      <c r="G7986" s="491">
        <f t="shared" si="125"/>
        <v>5</v>
      </c>
    </row>
    <row r="7987" spans="1:7" ht="12.75">
      <c r="A7987" s="134" t="s">
        <v>357</v>
      </c>
      <c r="B7987" s="134">
        <v>107</v>
      </c>
      <c r="C7987" s="491">
        <v>0</v>
      </c>
      <c r="D7987" s="491">
        <v>1</v>
      </c>
      <c r="E7987" s="491">
        <v>0</v>
      </c>
      <c r="F7987" s="491">
        <v>0</v>
      </c>
      <c r="G7987" s="491">
        <f t="shared" si="125"/>
        <v>1</v>
      </c>
    </row>
    <row r="7988" spans="1:7" ht="12.75">
      <c r="A7988" s="134" t="s">
        <v>357</v>
      </c>
      <c r="B7988" s="134">
        <v>110</v>
      </c>
      <c r="C7988" s="491">
        <v>10</v>
      </c>
      <c r="D7988" s="491">
        <v>15</v>
      </c>
      <c r="E7988" s="491">
        <v>0</v>
      </c>
      <c r="F7988" s="491">
        <v>1</v>
      </c>
      <c r="G7988" s="491">
        <f t="shared" si="125"/>
        <v>26</v>
      </c>
    </row>
    <row r="7989" spans="1:7" ht="12.75">
      <c r="A7989" s="134" t="s">
        <v>357</v>
      </c>
      <c r="B7989" s="134">
        <v>120</v>
      </c>
      <c r="C7989" s="491">
        <v>8</v>
      </c>
      <c r="D7989" s="491">
        <v>9</v>
      </c>
      <c r="E7989" s="491">
        <v>1</v>
      </c>
      <c r="F7989" s="491">
        <v>0</v>
      </c>
      <c r="G7989" s="491">
        <f t="shared" si="125"/>
        <v>18</v>
      </c>
    </row>
    <row r="7990" spans="1:7" ht="12.75">
      <c r="A7990" s="134" t="s">
        <v>357</v>
      </c>
      <c r="B7990" s="134">
        <v>130</v>
      </c>
      <c r="C7990" s="491">
        <v>10</v>
      </c>
      <c r="D7990" s="491">
        <v>8</v>
      </c>
      <c r="E7990" s="491">
        <v>0</v>
      </c>
      <c r="F7990" s="491">
        <v>0</v>
      </c>
      <c r="G7990" s="491">
        <f t="shared" si="125"/>
        <v>18</v>
      </c>
    </row>
    <row r="7991" spans="1:7" ht="12.75">
      <c r="A7991" s="134" t="s">
        <v>357</v>
      </c>
      <c r="B7991" s="134">
        <v>140</v>
      </c>
      <c r="C7991" s="491">
        <v>5</v>
      </c>
      <c r="D7991" s="491">
        <v>7</v>
      </c>
      <c r="E7991" s="491">
        <v>0</v>
      </c>
      <c r="F7991" s="491">
        <v>0</v>
      </c>
      <c r="G7991" s="491">
        <f t="shared" si="125"/>
        <v>12</v>
      </c>
    </row>
    <row r="7992" spans="1:7" ht="12.75">
      <c r="A7992" s="134" t="s">
        <v>357</v>
      </c>
      <c r="B7992" s="134">
        <v>141</v>
      </c>
      <c r="C7992" s="491">
        <v>0</v>
      </c>
      <c r="D7992" s="491">
        <v>1</v>
      </c>
      <c r="E7992" s="491">
        <v>0</v>
      </c>
      <c r="F7992" s="491">
        <v>0</v>
      </c>
      <c r="G7992" s="491">
        <f t="shared" si="125"/>
        <v>1</v>
      </c>
    </row>
    <row r="7993" spans="1:7" ht="12.75">
      <c r="A7993" s="134" t="s">
        <v>357</v>
      </c>
      <c r="B7993" s="134">
        <v>143</v>
      </c>
      <c r="C7993" s="491">
        <v>2</v>
      </c>
      <c r="D7993" s="491">
        <v>0</v>
      </c>
      <c r="E7993" s="491">
        <v>0</v>
      </c>
      <c r="F7993" s="491">
        <v>0</v>
      </c>
      <c r="G7993" s="491">
        <f t="shared" si="125"/>
        <v>2</v>
      </c>
    </row>
    <row r="7994" spans="1:7" ht="12.75">
      <c r="A7994" s="134" t="s">
        <v>357</v>
      </c>
      <c r="B7994" s="134">
        <v>144</v>
      </c>
      <c r="C7994" s="491">
        <v>0</v>
      </c>
      <c r="D7994" s="491">
        <v>1</v>
      </c>
      <c r="E7994" s="491">
        <v>0</v>
      </c>
      <c r="F7994" s="491">
        <v>2</v>
      </c>
      <c r="G7994" s="491">
        <f t="shared" si="125"/>
        <v>3</v>
      </c>
    </row>
    <row r="7995" spans="1:7" ht="12.75">
      <c r="A7995" s="134" t="s">
        <v>357</v>
      </c>
      <c r="B7995" s="134">
        <v>150</v>
      </c>
      <c r="C7995" s="491">
        <v>0</v>
      </c>
      <c r="D7995" s="491">
        <v>2</v>
      </c>
      <c r="E7995" s="491">
        <v>0</v>
      </c>
      <c r="F7995" s="491">
        <v>0</v>
      </c>
      <c r="G7995" s="491">
        <f t="shared" si="125"/>
        <v>2</v>
      </c>
    </row>
    <row r="7996" spans="1:7" ht="12.75">
      <c r="A7996" s="134" t="s">
        <v>357</v>
      </c>
      <c r="B7996" s="134">
        <v>160</v>
      </c>
      <c r="C7996" s="491">
        <v>4</v>
      </c>
      <c r="D7996" s="491">
        <v>12</v>
      </c>
      <c r="E7996" s="491">
        <v>0</v>
      </c>
      <c r="F7996" s="491">
        <v>0</v>
      </c>
      <c r="G7996" s="491">
        <f t="shared" si="125"/>
        <v>16</v>
      </c>
    </row>
    <row r="7997" spans="1:7" ht="12.75">
      <c r="A7997" s="134" t="s">
        <v>357</v>
      </c>
      <c r="B7997" s="134">
        <v>171</v>
      </c>
      <c r="C7997" s="491">
        <v>0</v>
      </c>
      <c r="D7997" s="491">
        <v>1</v>
      </c>
      <c r="E7997" s="491">
        <v>0</v>
      </c>
      <c r="F7997" s="491">
        <v>0</v>
      </c>
      <c r="G7997" s="491">
        <f t="shared" si="125"/>
        <v>1</v>
      </c>
    </row>
    <row r="7998" spans="1:7" ht="12.75">
      <c r="A7998" s="134" t="s">
        <v>357</v>
      </c>
      <c r="B7998" s="134">
        <v>180</v>
      </c>
      <c r="C7998" s="491">
        <v>1</v>
      </c>
      <c r="D7998" s="491">
        <v>3</v>
      </c>
      <c r="E7998" s="491">
        <v>0</v>
      </c>
      <c r="F7998" s="491">
        <v>0</v>
      </c>
      <c r="G7998" s="491">
        <f t="shared" si="125"/>
        <v>4</v>
      </c>
    </row>
    <row r="7999" spans="1:7" ht="12.75">
      <c r="A7999" s="134" t="s">
        <v>357</v>
      </c>
      <c r="B7999" s="134">
        <v>190</v>
      </c>
      <c r="C7999" s="491">
        <v>1</v>
      </c>
      <c r="D7999" s="491">
        <v>15</v>
      </c>
      <c r="E7999" s="491">
        <v>1</v>
      </c>
      <c r="F7999" s="491">
        <v>0</v>
      </c>
      <c r="G7999" s="491">
        <f t="shared" si="125"/>
        <v>17</v>
      </c>
    </row>
    <row r="8000" spans="1:7" ht="12.75">
      <c r="A8000" s="134" t="s">
        <v>357</v>
      </c>
      <c r="B8000" s="134">
        <v>191</v>
      </c>
      <c r="C8000" s="491">
        <v>11</v>
      </c>
      <c r="D8000" s="491">
        <v>3</v>
      </c>
      <c r="E8000" s="491">
        <v>0</v>
      </c>
      <c r="F8000" s="491">
        <v>0</v>
      </c>
      <c r="G8000" s="491">
        <f t="shared" si="125"/>
        <v>14</v>
      </c>
    </row>
    <row r="8001" spans="1:7" ht="12.75">
      <c r="A8001" s="134" t="s">
        <v>357</v>
      </c>
      <c r="B8001" s="134">
        <v>214</v>
      </c>
      <c r="C8001" s="491">
        <v>2</v>
      </c>
      <c r="D8001" s="491">
        <v>5</v>
      </c>
      <c r="E8001" s="491">
        <v>0</v>
      </c>
      <c r="F8001" s="491">
        <v>0</v>
      </c>
      <c r="G8001" s="491">
        <f t="shared" si="125"/>
        <v>7</v>
      </c>
    </row>
    <row r="8002" spans="1:7" ht="12.75">
      <c r="A8002" s="134" t="s">
        <v>357</v>
      </c>
      <c r="B8002" s="134">
        <v>215</v>
      </c>
      <c r="C8002" s="491">
        <v>1</v>
      </c>
      <c r="D8002" s="491">
        <v>0</v>
      </c>
      <c r="E8002" s="491">
        <v>0</v>
      </c>
      <c r="F8002" s="491">
        <v>0</v>
      </c>
      <c r="G8002" s="491">
        <f t="shared" si="125"/>
        <v>1</v>
      </c>
    </row>
    <row r="8003" spans="1:7" ht="12.75">
      <c r="A8003" s="134" t="s">
        <v>357</v>
      </c>
      <c r="B8003" s="134">
        <v>217</v>
      </c>
      <c r="C8003" s="491">
        <v>1</v>
      </c>
      <c r="D8003" s="491">
        <v>0</v>
      </c>
      <c r="E8003" s="491">
        <v>0</v>
      </c>
      <c r="F8003" s="491">
        <v>0</v>
      </c>
      <c r="G8003" s="491">
        <f t="shared" si="125"/>
        <v>1</v>
      </c>
    </row>
    <row r="8004" spans="1:7" ht="12.75">
      <c r="A8004" s="134" t="s">
        <v>357</v>
      </c>
      <c r="B8004" s="134">
        <v>257</v>
      </c>
      <c r="C8004" s="491">
        <v>0</v>
      </c>
      <c r="D8004" s="491">
        <v>1</v>
      </c>
      <c r="E8004" s="491">
        <v>0</v>
      </c>
      <c r="F8004" s="491">
        <v>0</v>
      </c>
      <c r="G8004" s="491">
        <f t="shared" si="125"/>
        <v>1</v>
      </c>
    </row>
    <row r="8005" spans="1:7" ht="12.75">
      <c r="A8005" s="134" t="s">
        <v>357</v>
      </c>
      <c r="B8005" s="134">
        <v>300</v>
      </c>
      <c r="C8005" s="491">
        <v>36</v>
      </c>
      <c r="D8005" s="491">
        <v>16</v>
      </c>
      <c r="E8005" s="491">
        <v>1</v>
      </c>
      <c r="F8005" s="491">
        <v>1</v>
      </c>
      <c r="G8005" s="491">
        <f t="shared" si="125"/>
        <v>54</v>
      </c>
    </row>
    <row r="8006" spans="1:7" ht="12.75">
      <c r="A8006" s="134" t="s">
        <v>357</v>
      </c>
      <c r="B8006" s="134">
        <v>301</v>
      </c>
      <c r="C8006" s="491">
        <v>2</v>
      </c>
      <c r="D8006" s="491">
        <v>7</v>
      </c>
      <c r="E8006" s="491">
        <v>2</v>
      </c>
      <c r="F8006" s="491">
        <v>0</v>
      </c>
      <c r="G8006" s="491">
        <f t="shared" si="125"/>
        <v>11</v>
      </c>
    </row>
    <row r="8007" spans="1:7" ht="12.75">
      <c r="A8007" s="134" t="s">
        <v>357</v>
      </c>
      <c r="B8007" s="134">
        <v>302</v>
      </c>
      <c r="C8007" s="491">
        <v>6</v>
      </c>
      <c r="D8007" s="491">
        <v>17</v>
      </c>
      <c r="E8007" s="491">
        <v>7</v>
      </c>
      <c r="F8007" s="491">
        <v>0</v>
      </c>
      <c r="G8007" s="491">
        <f t="shared" si="125"/>
        <v>30</v>
      </c>
    </row>
    <row r="8008" spans="1:7" ht="12.75">
      <c r="A8008" s="134" t="s">
        <v>357</v>
      </c>
      <c r="B8008" s="134">
        <v>303</v>
      </c>
      <c r="C8008" s="491">
        <v>10</v>
      </c>
      <c r="D8008" s="491">
        <v>3</v>
      </c>
      <c r="E8008" s="491">
        <v>2</v>
      </c>
      <c r="F8008" s="491">
        <v>1</v>
      </c>
      <c r="G8008" s="491">
        <f t="shared" si="125"/>
        <v>16</v>
      </c>
    </row>
    <row r="8009" spans="1:7" ht="12.75">
      <c r="A8009" s="134" t="s">
        <v>357</v>
      </c>
      <c r="B8009" s="134">
        <v>304</v>
      </c>
      <c r="C8009" s="491">
        <v>0</v>
      </c>
      <c r="D8009" s="491">
        <v>2</v>
      </c>
      <c r="E8009" s="491">
        <v>0</v>
      </c>
      <c r="F8009" s="491">
        <v>0</v>
      </c>
      <c r="G8009" s="491">
        <f t="shared" si="125"/>
        <v>2</v>
      </c>
    </row>
    <row r="8010" spans="1:7" ht="12.75">
      <c r="A8010" s="134" t="s">
        <v>357</v>
      </c>
      <c r="B8010" s="134">
        <v>306</v>
      </c>
      <c r="C8010" s="491">
        <v>0</v>
      </c>
      <c r="D8010" s="491">
        <v>0</v>
      </c>
      <c r="E8010" s="491">
        <v>0</v>
      </c>
      <c r="F8010" s="491">
        <v>1</v>
      </c>
      <c r="G8010" s="491">
        <f t="shared" si="125"/>
        <v>1</v>
      </c>
    </row>
    <row r="8011" spans="1:7" ht="12.75">
      <c r="A8011" s="134" t="s">
        <v>357</v>
      </c>
      <c r="B8011" s="134">
        <v>307</v>
      </c>
      <c r="C8011" s="491">
        <v>337</v>
      </c>
      <c r="D8011" s="491">
        <v>23</v>
      </c>
      <c r="E8011" s="491">
        <v>56</v>
      </c>
      <c r="F8011" s="491">
        <v>7</v>
      </c>
      <c r="G8011" s="491">
        <f t="shared" si="125"/>
        <v>423</v>
      </c>
    </row>
    <row r="8012" spans="1:7" ht="12.75">
      <c r="A8012" s="134" t="s">
        <v>357</v>
      </c>
      <c r="B8012" s="134">
        <v>309</v>
      </c>
      <c r="C8012" s="491">
        <v>0</v>
      </c>
      <c r="D8012" s="491">
        <v>1</v>
      </c>
      <c r="E8012" s="491">
        <v>0</v>
      </c>
      <c r="F8012" s="491">
        <v>0</v>
      </c>
      <c r="G8012" s="491">
        <f t="shared" si="125"/>
        <v>1</v>
      </c>
    </row>
    <row r="8013" spans="1:7" ht="12.75">
      <c r="A8013" s="134" t="s">
        <v>357</v>
      </c>
      <c r="B8013" s="134">
        <v>310</v>
      </c>
      <c r="C8013" s="491">
        <v>0</v>
      </c>
      <c r="D8013" s="491">
        <v>1</v>
      </c>
      <c r="E8013" s="491">
        <v>0</v>
      </c>
      <c r="F8013" s="491">
        <v>0</v>
      </c>
      <c r="G8013" s="491">
        <f t="shared" ref="G8013:G8076" si="126">SUM(C8013:F8013)</f>
        <v>1</v>
      </c>
    </row>
    <row r="8014" spans="1:7" ht="12.75">
      <c r="A8014" s="134" t="s">
        <v>357</v>
      </c>
      <c r="B8014" s="134">
        <v>314</v>
      </c>
      <c r="C8014" s="491">
        <v>1</v>
      </c>
      <c r="D8014" s="491">
        <v>1</v>
      </c>
      <c r="E8014" s="491">
        <v>0</v>
      </c>
      <c r="F8014" s="491">
        <v>0</v>
      </c>
      <c r="G8014" s="491">
        <f t="shared" si="126"/>
        <v>2</v>
      </c>
    </row>
    <row r="8015" spans="1:7" ht="12.75">
      <c r="A8015" s="134" t="s">
        <v>357</v>
      </c>
      <c r="B8015" s="134">
        <v>316</v>
      </c>
      <c r="C8015" s="491">
        <v>1</v>
      </c>
      <c r="D8015" s="491">
        <v>0</v>
      </c>
      <c r="E8015" s="491">
        <v>0</v>
      </c>
      <c r="F8015" s="491">
        <v>0</v>
      </c>
      <c r="G8015" s="491">
        <f t="shared" si="126"/>
        <v>1</v>
      </c>
    </row>
    <row r="8016" spans="1:7" ht="12.75">
      <c r="A8016" s="134" t="s">
        <v>357</v>
      </c>
      <c r="B8016" s="134">
        <v>320</v>
      </c>
      <c r="C8016" s="491">
        <v>17</v>
      </c>
      <c r="D8016" s="491">
        <v>43</v>
      </c>
      <c r="E8016" s="491">
        <v>0</v>
      </c>
      <c r="F8016" s="491">
        <v>0</v>
      </c>
      <c r="G8016" s="491">
        <f t="shared" si="126"/>
        <v>60</v>
      </c>
    </row>
    <row r="8017" spans="1:7" ht="12.75">
      <c r="A8017" s="134" t="s">
        <v>357</v>
      </c>
      <c r="B8017" s="134">
        <v>321</v>
      </c>
      <c r="C8017" s="491">
        <v>7</v>
      </c>
      <c r="D8017" s="491">
        <v>19</v>
      </c>
      <c r="E8017" s="491">
        <v>1</v>
      </c>
      <c r="F8017" s="491">
        <v>0</v>
      </c>
      <c r="G8017" s="491">
        <f t="shared" si="126"/>
        <v>27</v>
      </c>
    </row>
    <row r="8018" spans="1:7" ht="12.75">
      <c r="A8018" s="134" t="s">
        <v>357</v>
      </c>
      <c r="B8018" s="134">
        <v>324</v>
      </c>
      <c r="C8018" s="491">
        <v>3</v>
      </c>
      <c r="D8018" s="491">
        <v>3</v>
      </c>
      <c r="E8018" s="491">
        <v>0</v>
      </c>
      <c r="F8018" s="491">
        <v>0</v>
      </c>
      <c r="G8018" s="491">
        <f t="shared" si="126"/>
        <v>6</v>
      </c>
    </row>
    <row r="8019" spans="1:7" ht="12.75">
      <c r="A8019" s="134" t="s">
        <v>357</v>
      </c>
      <c r="B8019" s="134">
        <v>329</v>
      </c>
      <c r="C8019" s="491">
        <v>0</v>
      </c>
      <c r="D8019" s="491">
        <v>1</v>
      </c>
      <c r="E8019" s="491">
        <v>0</v>
      </c>
      <c r="F8019" s="491">
        <v>0</v>
      </c>
      <c r="G8019" s="491">
        <f t="shared" si="126"/>
        <v>1</v>
      </c>
    </row>
    <row r="8020" spans="1:7" ht="12.75">
      <c r="A8020" s="134" t="s">
        <v>357</v>
      </c>
      <c r="B8020" s="134">
        <v>330</v>
      </c>
      <c r="C8020" s="491">
        <v>14</v>
      </c>
      <c r="D8020" s="491">
        <v>11</v>
      </c>
      <c r="E8020" s="491">
        <v>0</v>
      </c>
      <c r="F8020" s="491">
        <v>0</v>
      </c>
      <c r="G8020" s="491">
        <f t="shared" si="126"/>
        <v>25</v>
      </c>
    </row>
    <row r="8021" spans="1:7" ht="12.75">
      <c r="A8021" s="134" t="s">
        <v>357</v>
      </c>
      <c r="B8021" s="134">
        <v>340</v>
      </c>
      <c r="C8021" s="491">
        <v>6</v>
      </c>
      <c r="D8021" s="491">
        <v>6</v>
      </c>
      <c r="E8021" s="491">
        <v>0</v>
      </c>
      <c r="F8021" s="491">
        <v>0</v>
      </c>
      <c r="G8021" s="491">
        <f t="shared" si="126"/>
        <v>12</v>
      </c>
    </row>
    <row r="8022" spans="1:7" ht="12.75">
      <c r="A8022" s="134" t="s">
        <v>357</v>
      </c>
      <c r="B8022" s="134">
        <v>350</v>
      </c>
      <c r="C8022" s="491">
        <v>0</v>
      </c>
      <c r="D8022" s="491">
        <v>1</v>
      </c>
      <c r="E8022" s="491">
        <v>0</v>
      </c>
      <c r="F8022" s="491">
        <v>0</v>
      </c>
      <c r="G8022" s="491">
        <f t="shared" si="126"/>
        <v>1</v>
      </c>
    </row>
    <row r="8023" spans="1:7" ht="12.75">
      <c r="A8023" s="134" t="s">
        <v>357</v>
      </c>
      <c r="B8023" s="134">
        <v>361</v>
      </c>
      <c r="C8023" s="491">
        <v>1</v>
      </c>
      <c r="D8023" s="491">
        <v>2</v>
      </c>
      <c r="E8023" s="491">
        <v>0</v>
      </c>
      <c r="F8023" s="491">
        <v>0</v>
      </c>
      <c r="G8023" s="491">
        <f t="shared" si="126"/>
        <v>3</v>
      </c>
    </row>
    <row r="8024" spans="1:7" ht="12.75">
      <c r="A8024" s="134" t="s">
        <v>357</v>
      </c>
      <c r="B8024" s="134">
        <v>370</v>
      </c>
      <c r="C8024" s="491">
        <v>2</v>
      </c>
      <c r="D8024" s="491">
        <v>1</v>
      </c>
      <c r="E8024" s="491">
        <v>0</v>
      </c>
      <c r="F8024" s="491">
        <v>0</v>
      </c>
      <c r="G8024" s="491">
        <f t="shared" si="126"/>
        <v>3</v>
      </c>
    </row>
    <row r="8025" spans="1:7" ht="12.75">
      <c r="A8025" s="134" t="s">
        <v>357</v>
      </c>
      <c r="B8025" s="134">
        <v>400</v>
      </c>
      <c r="C8025" s="491">
        <v>7</v>
      </c>
      <c r="D8025" s="491">
        <v>6</v>
      </c>
      <c r="E8025" s="491">
        <v>0</v>
      </c>
      <c r="F8025" s="491">
        <v>0</v>
      </c>
      <c r="G8025" s="491">
        <f t="shared" si="126"/>
        <v>13</v>
      </c>
    </row>
    <row r="8026" spans="1:7" ht="12.75">
      <c r="A8026" s="134" t="s">
        <v>357</v>
      </c>
      <c r="B8026" s="134">
        <v>410</v>
      </c>
      <c r="C8026" s="491">
        <v>7</v>
      </c>
      <c r="D8026" s="491">
        <v>3</v>
      </c>
      <c r="E8026" s="491">
        <v>0</v>
      </c>
      <c r="F8026" s="491">
        <v>0</v>
      </c>
      <c r="G8026" s="491">
        <f t="shared" si="126"/>
        <v>10</v>
      </c>
    </row>
    <row r="8027" spans="1:7" ht="12.75">
      <c r="A8027" s="134" t="s">
        <v>357</v>
      </c>
      <c r="B8027" s="134">
        <v>420</v>
      </c>
      <c r="C8027" s="491">
        <v>4</v>
      </c>
      <c r="D8027" s="491">
        <v>5</v>
      </c>
      <c r="E8027" s="491">
        <v>0</v>
      </c>
      <c r="F8027" s="491">
        <v>0</v>
      </c>
      <c r="G8027" s="491">
        <f t="shared" si="126"/>
        <v>9</v>
      </c>
    </row>
    <row r="8028" spans="1:7" ht="12.75">
      <c r="A8028" s="134" t="s">
        <v>357</v>
      </c>
      <c r="B8028" s="134">
        <v>424</v>
      </c>
      <c r="C8028" s="491">
        <v>0</v>
      </c>
      <c r="D8028" s="491">
        <v>1</v>
      </c>
      <c r="E8028" s="491">
        <v>0</v>
      </c>
      <c r="F8028" s="491">
        <v>0</v>
      </c>
      <c r="G8028" s="491">
        <f t="shared" si="126"/>
        <v>1</v>
      </c>
    </row>
    <row r="8029" spans="1:7" ht="12.75">
      <c r="A8029" s="134" t="s">
        <v>357</v>
      </c>
      <c r="B8029" s="134">
        <v>430</v>
      </c>
      <c r="C8029" s="491">
        <v>0</v>
      </c>
      <c r="D8029" s="491">
        <v>3</v>
      </c>
      <c r="E8029" s="491">
        <v>0</v>
      </c>
      <c r="F8029" s="491">
        <v>0</v>
      </c>
      <c r="G8029" s="491">
        <f t="shared" si="126"/>
        <v>3</v>
      </c>
    </row>
    <row r="8030" spans="1:7" ht="12.75">
      <c r="A8030" s="134" t="s">
        <v>357</v>
      </c>
      <c r="B8030" s="134">
        <v>501</v>
      </c>
      <c r="C8030" s="491">
        <v>98258</v>
      </c>
      <c r="D8030" s="491">
        <v>21702</v>
      </c>
      <c r="E8030" s="491">
        <v>7064</v>
      </c>
      <c r="F8030" s="491">
        <v>4514</v>
      </c>
      <c r="G8030" s="491">
        <f t="shared" si="126"/>
        <v>131538</v>
      </c>
    </row>
    <row r="8031" spans="1:7" ht="12.75">
      <c r="A8031" s="134" t="s">
        <v>357</v>
      </c>
      <c r="B8031" s="134">
        <v>502</v>
      </c>
      <c r="C8031" s="491">
        <v>856</v>
      </c>
      <c r="D8031" s="491">
        <v>578</v>
      </c>
      <c r="E8031" s="491">
        <v>15</v>
      </c>
      <c r="F8031" s="491">
        <v>20</v>
      </c>
      <c r="G8031" s="491">
        <f t="shared" si="126"/>
        <v>1469</v>
      </c>
    </row>
    <row r="8032" spans="1:7" ht="12.75">
      <c r="A8032" s="134" t="s">
        <v>357</v>
      </c>
      <c r="B8032" s="134">
        <v>503</v>
      </c>
      <c r="C8032" s="491">
        <v>0</v>
      </c>
      <c r="D8032" s="491">
        <v>3</v>
      </c>
      <c r="E8032" s="491">
        <v>0</v>
      </c>
      <c r="F8032" s="491">
        <v>0</v>
      </c>
      <c r="G8032" s="491">
        <f t="shared" si="126"/>
        <v>3</v>
      </c>
    </row>
    <row r="8033" spans="1:7" ht="12.75">
      <c r="A8033" s="134" t="s">
        <v>357</v>
      </c>
      <c r="B8033" s="134">
        <v>560</v>
      </c>
      <c r="C8033" s="491">
        <v>46632</v>
      </c>
      <c r="D8033" s="491">
        <v>4588</v>
      </c>
      <c r="E8033" s="491">
        <v>3499</v>
      </c>
      <c r="F8033" s="491">
        <v>1251</v>
      </c>
      <c r="G8033" s="491">
        <f t="shared" si="126"/>
        <v>55970</v>
      </c>
    </row>
    <row r="8034" spans="1:7" ht="12.75">
      <c r="A8034" s="134" t="s">
        <v>357</v>
      </c>
      <c r="B8034" s="134">
        <v>650</v>
      </c>
      <c r="C8034" s="491">
        <v>5</v>
      </c>
      <c r="D8034" s="491">
        <v>32</v>
      </c>
      <c r="E8034" s="491">
        <v>0</v>
      </c>
      <c r="F8034" s="491">
        <v>0</v>
      </c>
      <c r="G8034" s="491">
        <f t="shared" si="126"/>
        <v>37</v>
      </c>
    </row>
    <row r="8035" spans="1:7" ht="12.75">
      <c r="A8035" s="134" t="s">
        <v>357</v>
      </c>
      <c r="B8035" s="134">
        <v>653</v>
      </c>
      <c r="C8035" s="491">
        <v>2</v>
      </c>
      <c r="D8035" s="491">
        <v>0</v>
      </c>
      <c r="E8035" s="491">
        <v>0</v>
      </c>
      <c r="F8035" s="491">
        <v>0</v>
      </c>
      <c r="G8035" s="491">
        <f t="shared" si="126"/>
        <v>2</v>
      </c>
    </row>
    <row r="8036" spans="1:7" ht="12.75">
      <c r="A8036" s="134" t="s">
        <v>357</v>
      </c>
      <c r="B8036" s="134">
        <v>654</v>
      </c>
      <c r="C8036" s="491">
        <v>2</v>
      </c>
      <c r="D8036" s="491">
        <v>2</v>
      </c>
      <c r="E8036" s="491">
        <v>0</v>
      </c>
      <c r="F8036" s="491">
        <v>0</v>
      </c>
      <c r="G8036" s="491">
        <f t="shared" si="126"/>
        <v>4</v>
      </c>
    </row>
    <row r="8037" spans="1:7" ht="12.75">
      <c r="A8037" s="134" t="s">
        <v>357</v>
      </c>
      <c r="B8037" s="134">
        <v>658</v>
      </c>
      <c r="C8037" s="491">
        <v>1</v>
      </c>
      <c r="D8037" s="491">
        <v>0</v>
      </c>
      <c r="E8037" s="491">
        <v>0</v>
      </c>
      <c r="F8037" s="491">
        <v>0</v>
      </c>
      <c r="G8037" s="491">
        <f t="shared" si="126"/>
        <v>1</v>
      </c>
    </row>
    <row r="8038" spans="1:7" ht="12.75">
      <c r="A8038" s="134" t="s">
        <v>357</v>
      </c>
      <c r="B8038" s="134">
        <v>800</v>
      </c>
      <c r="C8038" s="491">
        <v>1</v>
      </c>
      <c r="D8038" s="491">
        <v>0</v>
      </c>
      <c r="E8038" s="491">
        <v>0</v>
      </c>
      <c r="F8038" s="491">
        <v>0</v>
      </c>
      <c r="G8038" s="491">
        <f t="shared" si="126"/>
        <v>1</v>
      </c>
    </row>
    <row r="8039" spans="1:7" ht="12.75">
      <c r="A8039" s="134" t="s">
        <v>357</v>
      </c>
      <c r="B8039" s="134">
        <v>812</v>
      </c>
      <c r="C8039" s="491">
        <v>19281</v>
      </c>
      <c r="D8039" s="491">
        <v>10978</v>
      </c>
      <c r="E8039" s="491">
        <v>0</v>
      </c>
      <c r="F8039" s="491">
        <v>254</v>
      </c>
      <c r="G8039" s="491">
        <f t="shared" si="126"/>
        <v>30513</v>
      </c>
    </row>
    <row r="8040" spans="1:7" ht="12.75">
      <c r="A8040" s="134" t="s">
        <v>357</v>
      </c>
      <c r="B8040" s="134">
        <v>840</v>
      </c>
      <c r="C8040" s="491">
        <v>0</v>
      </c>
      <c r="D8040" s="491">
        <v>1</v>
      </c>
      <c r="E8040" s="491">
        <v>0</v>
      </c>
      <c r="F8040" s="491">
        <v>0</v>
      </c>
      <c r="G8040" s="491">
        <f t="shared" si="126"/>
        <v>1</v>
      </c>
    </row>
    <row r="8041" spans="1:7" ht="12.75">
      <c r="A8041" s="134" t="s">
        <v>371</v>
      </c>
      <c r="B8041" s="134">
        <v>100</v>
      </c>
      <c r="C8041" s="491">
        <v>1</v>
      </c>
      <c r="D8041" s="491">
        <v>3</v>
      </c>
      <c r="E8041" s="491">
        <v>0</v>
      </c>
      <c r="F8041" s="491">
        <v>0</v>
      </c>
      <c r="G8041" s="491">
        <f t="shared" si="126"/>
        <v>4</v>
      </c>
    </row>
    <row r="8042" spans="1:7" ht="12.75">
      <c r="A8042" s="134" t="s">
        <v>371</v>
      </c>
      <c r="B8042" s="134">
        <v>101</v>
      </c>
      <c r="C8042" s="491">
        <v>1</v>
      </c>
      <c r="D8042" s="491">
        <v>6</v>
      </c>
      <c r="E8042" s="491">
        <v>0</v>
      </c>
      <c r="F8042" s="491">
        <v>0</v>
      </c>
      <c r="G8042" s="491">
        <f t="shared" si="126"/>
        <v>7</v>
      </c>
    </row>
    <row r="8043" spans="1:7" ht="12.75">
      <c r="A8043" s="134" t="s">
        <v>371</v>
      </c>
      <c r="B8043" s="134">
        <v>103</v>
      </c>
      <c r="C8043" s="491">
        <v>0</v>
      </c>
      <c r="D8043" s="491">
        <v>1</v>
      </c>
      <c r="E8043" s="491">
        <v>0</v>
      </c>
      <c r="F8043" s="491">
        <v>0</v>
      </c>
      <c r="G8043" s="491">
        <f t="shared" si="126"/>
        <v>1</v>
      </c>
    </row>
    <row r="8044" spans="1:7" ht="12.75">
      <c r="A8044" s="134" t="s">
        <v>371</v>
      </c>
      <c r="B8044" s="134">
        <v>104</v>
      </c>
      <c r="C8044" s="491">
        <v>0</v>
      </c>
      <c r="D8044" s="491">
        <v>3</v>
      </c>
      <c r="E8044" s="491">
        <v>0</v>
      </c>
      <c r="F8044" s="491">
        <v>0</v>
      </c>
      <c r="G8044" s="491">
        <f t="shared" si="126"/>
        <v>3</v>
      </c>
    </row>
    <row r="8045" spans="1:7" ht="12.75">
      <c r="A8045" s="134" t="s">
        <v>371</v>
      </c>
      <c r="B8045" s="134">
        <v>106</v>
      </c>
      <c r="C8045" s="491">
        <v>0</v>
      </c>
      <c r="D8045" s="491">
        <v>1</v>
      </c>
      <c r="E8045" s="491">
        <v>0</v>
      </c>
      <c r="F8045" s="491">
        <v>0</v>
      </c>
      <c r="G8045" s="491">
        <f t="shared" si="126"/>
        <v>1</v>
      </c>
    </row>
    <row r="8046" spans="1:7" ht="12.75">
      <c r="A8046" s="134" t="s">
        <v>371</v>
      </c>
      <c r="B8046" s="134">
        <v>107</v>
      </c>
      <c r="C8046" s="491">
        <v>0</v>
      </c>
      <c r="D8046" s="491">
        <v>1</v>
      </c>
      <c r="E8046" s="491">
        <v>0</v>
      </c>
      <c r="F8046" s="491">
        <v>0</v>
      </c>
      <c r="G8046" s="491">
        <f t="shared" si="126"/>
        <v>1</v>
      </c>
    </row>
    <row r="8047" spans="1:7" ht="12.75">
      <c r="A8047" s="134" t="s">
        <v>371</v>
      </c>
      <c r="B8047" s="134">
        <v>110</v>
      </c>
      <c r="C8047" s="491">
        <v>3</v>
      </c>
      <c r="D8047" s="491">
        <v>4</v>
      </c>
      <c r="E8047" s="491">
        <v>0</v>
      </c>
      <c r="F8047" s="491">
        <v>0</v>
      </c>
      <c r="G8047" s="491">
        <f t="shared" si="126"/>
        <v>7</v>
      </c>
    </row>
    <row r="8048" spans="1:7" ht="12.75">
      <c r="A8048" s="134" t="s">
        <v>371</v>
      </c>
      <c r="B8048" s="134">
        <v>120</v>
      </c>
      <c r="C8048" s="491">
        <v>2</v>
      </c>
      <c r="D8048" s="491">
        <v>6</v>
      </c>
      <c r="E8048" s="491">
        <v>0</v>
      </c>
      <c r="F8048" s="491">
        <v>0</v>
      </c>
      <c r="G8048" s="491">
        <f t="shared" si="126"/>
        <v>8</v>
      </c>
    </row>
    <row r="8049" spans="1:7" ht="12.75">
      <c r="A8049" s="134" t="s">
        <v>371</v>
      </c>
      <c r="B8049" s="134">
        <v>140</v>
      </c>
      <c r="C8049" s="491">
        <v>0</v>
      </c>
      <c r="D8049" s="491">
        <v>1</v>
      </c>
      <c r="E8049" s="491">
        <v>0</v>
      </c>
      <c r="F8049" s="491">
        <v>0</v>
      </c>
      <c r="G8049" s="491">
        <f t="shared" si="126"/>
        <v>1</v>
      </c>
    </row>
    <row r="8050" spans="1:7" ht="12.75">
      <c r="A8050" s="134" t="s">
        <v>371</v>
      </c>
      <c r="B8050" s="134">
        <v>144</v>
      </c>
      <c r="C8050" s="491">
        <v>0</v>
      </c>
      <c r="D8050" s="491">
        <v>1</v>
      </c>
      <c r="E8050" s="491">
        <v>0</v>
      </c>
      <c r="F8050" s="491">
        <v>0</v>
      </c>
      <c r="G8050" s="491">
        <f t="shared" si="126"/>
        <v>1</v>
      </c>
    </row>
    <row r="8051" spans="1:7" ht="12.75">
      <c r="A8051" s="134" t="s">
        <v>371</v>
      </c>
      <c r="B8051" s="134">
        <v>150</v>
      </c>
      <c r="C8051" s="491">
        <v>0</v>
      </c>
      <c r="D8051" s="491">
        <v>1</v>
      </c>
      <c r="E8051" s="491">
        <v>0</v>
      </c>
      <c r="F8051" s="491">
        <v>0</v>
      </c>
      <c r="G8051" s="491">
        <f t="shared" si="126"/>
        <v>1</v>
      </c>
    </row>
    <row r="8052" spans="1:7" ht="12.75">
      <c r="A8052" s="134" t="s">
        <v>371</v>
      </c>
      <c r="B8052" s="134">
        <v>160</v>
      </c>
      <c r="C8052" s="491">
        <v>0</v>
      </c>
      <c r="D8052" s="491">
        <v>7</v>
      </c>
      <c r="E8052" s="491">
        <v>0</v>
      </c>
      <c r="F8052" s="491">
        <v>0</v>
      </c>
      <c r="G8052" s="491">
        <f t="shared" si="126"/>
        <v>7</v>
      </c>
    </row>
    <row r="8053" spans="1:7" ht="12.75">
      <c r="A8053" s="134" t="s">
        <v>371</v>
      </c>
      <c r="B8053" s="134">
        <v>172</v>
      </c>
      <c r="C8053" s="491">
        <v>0</v>
      </c>
      <c r="D8053" s="491">
        <v>1</v>
      </c>
      <c r="E8053" s="491">
        <v>0</v>
      </c>
      <c r="F8053" s="491">
        <v>0</v>
      </c>
      <c r="G8053" s="491">
        <f t="shared" si="126"/>
        <v>1</v>
      </c>
    </row>
    <row r="8054" spans="1:7" ht="12.75">
      <c r="A8054" s="134" t="s">
        <v>371</v>
      </c>
      <c r="B8054" s="134">
        <v>190</v>
      </c>
      <c r="C8054" s="491">
        <v>0</v>
      </c>
      <c r="D8054" s="491">
        <v>2</v>
      </c>
      <c r="E8054" s="491">
        <v>0</v>
      </c>
      <c r="F8054" s="491">
        <v>0</v>
      </c>
      <c r="G8054" s="491">
        <f t="shared" si="126"/>
        <v>2</v>
      </c>
    </row>
    <row r="8055" spans="1:7" ht="12.75">
      <c r="A8055" s="134" t="s">
        <v>371</v>
      </c>
      <c r="B8055" s="134">
        <v>191</v>
      </c>
      <c r="C8055" s="491">
        <v>0</v>
      </c>
      <c r="D8055" s="491">
        <v>1</v>
      </c>
      <c r="E8055" s="491">
        <v>0</v>
      </c>
      <c r="F8055" s="491">
        <v>0</v>
      </c>
      <c r="G8055" s="491">
        <f t="shared" si="126"/>
        <v>1</v>
      </c>
    </row>
    <row r="8056" spans="1:7" ht="12.75">
      <c r="A8056" s="134" t="s">
        <v>371</v>
      </c>
      <c r="B8056" s="134">
        <v>300</v>
      </c>
      <c r="C8056" s="491">
        <v>1</v>
      </c>
      <c r="D8056" s="491">
        <v>2</v>
      </c>
      <c r="E8056" s="491">
        <v>0</v>
      </c>
      <c r="F8056" s="491">
        <v>0</v>
      </c>
      <c r="G8056" s="491">
        <f t="shared" si="126"/>
        <v>3</v>
      </c>
    </row>
    <row r="8057" spans="1:7" ht="12.75">
      <c r="A8057" s="134" t="s">
        <v>371</v>
      </c>
      <c r="B8057" s="134">
        <v>301</v>
      </c>
      <c r="C8057" s="491">
        <v>1</v>
      </c>
      <c r="D8057" s="491">
        <v>4</v>
      </c>
      <c r="E8057" s="491">
        <v>0</v>
      </c>
      <c r="F8057" s="491">
        <v>0</v>
      </c>
      <c r="G8057" s="491">
        <f t="shared" si="126"/>
        <v>5</v>
      </c>
    </row>
    <row r="8058" spans="1:7" ht="12.75">
      <c r="A8058" s="134" t="s">
        <v>371</v>
      </c>
      <c r="B8058" s="134">
        <v>302</v>
      </c>
      <c r="C8058" s="491">
        <v>0</v>
      </c>
      <c r="D8058" s="491">
        <v>4</v>
      </c>
      <c r="E8058" s="491">
        <v>0</v>
      </c>
      <c r="F8058" s="491">
        <v>0</v>
      </c>
      <c r="G8058" s="491">
        <f t="shared" si="126"/>
        <v>4</v>
      </c>
    </row>
    <row r="8059" spans="1:7" ht="12.75">
      <c r="A8059" s="134" t="s">
        <v>371</v>
      </c>
      <c r="B8059" s="134">
        <v>303</v>
      </c>
      <c r="C8059" s="491">
        <v>0</v>
      </c>
      <c r="D8059" s="491">
        <v>1</v>
      </c>
      <c r="E8059" s="491">
        <v>0</v>
      </c>
      <c r="F8059" s="491">
        <v>0</v>
      </c>
      <c r="G8059" s="491">
        <f t="shared" si="126"/>
        <v>1</v>
      </c>
    </row>
    <row r="8060" spans="1:7" ht="12.75">
      <c r="A8060" s="134" t="s">
        <v>371</v>
      </c>
      <c r="B8060" s="134">
        <v>307</v>
      </c>
      <c r="C8060" s="491">
        <v>1</v>
      </c>
      <c r="D8060" s="491">
        <v>1</v>
      </c>
      <c r="E8060" s="491">
        <v>0</v>
      </c>
      <c r="F8060" s="491">
        <v>0</v>
      </c>
      <c r="G8060" s="491">
        <f t="shared" si="126"/>
        <v>2</v>
      </c>
    </row>
    <row r="8061" spans="1:7" ht="12.75">
      <c r="A8061" s="134" t="s">
        <v>371</v>
      </c>
      <c r="B8061" s="134">
        <v>309</v>
      </c>
      <c r="C8061" s="491">
        <v>1</v>
      </c>
      <c r="D8061" s="491">
        <v>0</v>
      </c>
      <c r="E8061" s="491">
        <v>0</v>
      </c>
      <c r="F8061" s="491">
        <v>0</v>
      </c>
      <c r="G8061" s="491">
        <f t="shared" si="126"/>
        <v>1</v>
      </c>
    </row>
    <row r="8062" spans="1:7" ht="12.75">
      <c r="A8062" s="134" t="s">
        <v>371</v>
      </c>
      <c r="B8062" s="134">
        <v>310</v>
      </c>
      <c r="C8062" s="491">
        <v>0</v>
      </c>
      <c r="D8062" s="491">
        <v>3</v>
      </c>
      <c r="E8062" s="491">
        <v>0</v>
      </c>
      <c r="F8062" s="491">
        <v>0</v>
      </c>
      <c r="G8062" s="491">
        <f t="shared" si="126"/>
        <v>3</v>
      </c>
    </row>
    <row r="8063" spans="1:7" ht="12.75">
      <c r="A8063" s="134" t="s">
        <v>371</v>
      </c>
      <c r="B8063" s="134">
        <v>320</v>
      </c>
      <c r="C8063" s="491">
        <v>0</v>
      </c>
      <c r="D8063" s="491">
        <v>3</v>
      </c>
      <c r="E8063" s="491">
        <v>0</v>
      </c>
      <c r="F8063" s="491">
        <v>0</v>
      </c>
      <c r="G8063" s="491">
        <f t="shared" si="126"/>
        <v>3</v>
      </c>
    </row>
    <row r="8064" spans="1:7" ht="12.75">
      <c r="A8064" s="134" t="s">
        <v>371</v>
      </c>
      <c r="B8064" s="134">
        <v>321</v>
      </c>
      <c r="C8064" s="491">
        <v>1</v>
      </c>
      <c r="D8064" s="491">
        <v>3</v>
      </c>
      <c r="E8064" s="491">
        <v>0</v>
      </c>
      <c r="F8064" s="491">
        <v>0</v>
      </c>
      <c r="G8064" s="491">
        <f t="shared" si="126"/>
        <v>4</v>
      </c>
    </row>
    <row r="8065" spans="1:7" ht="12.75">
      <c r="A8065" s="134" t="s">
        <v>371</v>
      </c>
      <c r="B8065" s="134">
        <v>324</v>
      </c>
      <c r="C8065" s="491">
        <v>0</v>
      </c>
      <c r="D8065" s="491">
        <v>1</v>
      </c>
      <c r="E8065" s="491">
        <v>0</v>
      </c>
      <c r="F8065" s="491">
        <v>0</v>
      </c>
      <c r="G8065" s="491">
        <f t="shared" si="126"/>
        <v>1</v>
      </c>
    </row>
    <row r="8066" spans="1:7" ht="12.75">
      <c r="A8066" s="134" t="s">
        <v>371</v>
      </c>
      <c r="B8066" s="134">
        <v>330</v>
      </c>
      <c r="C8066" s="491">
        <v>1</v>
      </c>
      <c r="D8066" s="491">
        <v>7</v>
      </c>
      <c r="E8066" s="491">
        <v>0</v>
      </c>
      <c r="F8066" s="491">
        <v>0</v>
      </c>
      <c r="G8066" s="491">
        <f t="shared" si="126"/>
        <v>8</v>
      </c>
    </row>
    <row r="8067" spans="1:7" ht="12.75">
      <c r="A8067" s="134" t="s">
        <v>371</v>
      </c>
      <c r="B8067" s="134">
        <v>340</v>
      </c>
      <c r="C8067" s="491">
        <v>0</v>
      </c>
      <c r="D8067" s="491">
        <v>1</v>
      </c>
      <c r="E8067" s="491">
        <v>0</v>
      </c>
      <c r="F8067" s="491">
        <v>0</v>
      </c>
      <c r="G8067" s="491">
        <f t="shared" si="126"/>
        <v>1</v>
      </c>
    </row>
    <row r="8068" spans="1:7" ht="12.75">
      <c r="A8068" s="134" t="s">
        <v>371</v>
      </c>
      <c r="B8068" s="134">
        <v>341</v>
      </c>
      <c r="C8068" s="491">
        <v>0</v>
      </c>
      <c r="D8068" s="491">
        <v>1</v>
      </c>
      <c r="E8068" s="491">
        <v>0</v>
      </c>
      <c r="F8068" s="491">
        <v>0</v>
      </c>
      <c r="G8068" s="491">
        <f t="shared" si="126"/>
        <v>1</v>
      </c>
    </row>
    <row r="8069" spans="1:7" ht="12.75">
      <c r="A8069" s="134" t="s">
        <v>371</v>
      </c>
      <c r="B8069" s="134">
        <v>350</v>
      </c>
      <c r="C8069" s="491">
        <v>0</v>
      </c>
      <c r="D8069" s="491">
        <v>1</v>
      </c>
      <c r="E8069" s="491">
        <v>0</v>
      </c>
      <c r="F8069" s="491">
        <v>0</v>
      </c>
      <c r="G8069" s="491">
        <f t="shared" si="126"/>
        <v>1</v>
      </c>
    </row>
    <row r="8070" spans="1:7" ht="12.75">
      <c r="A8070" s="134" t="s">
        <v>371</v>
      </c>
      <c r="B8070" s="134">
        <v>400</v>
      </c>
      <c r="C8070" s="491">
        <v>0</v>
      </c>
      <c r="D8070" s="491">
        <v>2</v>
      </c>
      <c r="E8070" s="491">
        <v>0</v>
      </c>
      <c r="F8070" s="491">
        <v>0</v>
      </c>
      <c r="G8070" s="491">
        <f t="shared" si="126"/>
        <v>2</v>
      </c>
    </row>
    <row r="8071" spans="1:7" ht="12.75">
      <c r="A8071" s="134" t="s">
        <v>371</v>
      </c>
      <c r="B8071" s="134">
        <v>410</v>
      </c>
      <c r="C8071" s="491">
        <v>0</v>
      </c>
      <c r="D8071" s="491">
        <v>2</v>
      </c>
      <c r="E8071" s="491">
        <v>0</v>
      </c>
      <c r="F8071" s="491">
        <v>0</v>
      </c>
      <c r="G8071" s="491">
        <f t="shared" si="126"/>
        <v>2</v>
      </c>
    </row>
    <row r="8072" spans="1:7" ht="12.75">
      <c r="A8072" s="134" t="s">
        <v>371</v>
      </c>
      <c r="B8072" s="134">
        <v>420</v>
      </c>
      <c r="C8072" s="491">
        <v>3</v>
      </c>
      <c r="D8072" s="491">
        <v>2</v>
      </c>
      <c r="E8072" s="491">
        <v>1</v>
      </c>
      <c r="F8072" s="491">
        <v>0</v>
      </c>
      <c r="G8072" s="491">
        <f t="shared" si="126"/>
        <v>6</v>
      </c>
    </row>
    <row r="8073" spans="1:7" ht="12.75">
      <c r="A8073" s="134" t="s">
        <v>371</v>
      </c>
      <c r="B8073" s="134">
        <v>430</v>
      </c>
      <c r="C8073" s="491">
        <v>0</v>
      </c>
      <c r="D8073" s="491">
        <v>1</v>
      </c>
      <c r="E8073" s="491">
        <v>0</v>
      </c>
      <c r="F8073" s="491">
        <v>0</v>
      </c>
      <c r="G8073" s="491">
        <f t="shared" si="126"/>
        <v>1</v>
      </c>
    </row>
    <row r="8074" spans="1:7" ht="12.75">
      <c r="A8074" s="134" t="s">
        <v>371</v>
      </c>
      <c r="B8074" s="134">
        <v>501</v>
      </c>
      <c r="C8074" s="491">
        <v>1808</v>
      </c>
      <c r="D8074" s="491">
        <v>2441</v>
      </c>
      <c r="E8074" s="491">
        <v>360</v>
      </c>
      <c r="F8074" s="491">
        <v>843</v>
      </c>
      <c r="G8074" s="491">
        <f t="shared" si="126"/>
        <v>5452</v>
      </c>
    </row>
    <row r="8075" spans="1:7" ht="12.75">
      <c r="A8075" s="134" t="s">
        <v>371</v>
      </c>
      <c r="B8075" s="134">
        <v>502</v>
      </c>
      <c r="C8075" s="491">
        <v>20</v>
      </c>
      <c r="D8075" s="491">
        <v>90</v>
      </c>
      <c r="E8075" s="491">
        <v>0</v>
      </c>
      <c r="F8075" s="491">
        <v>1</v>
      </c>
      <c r="G8075" s="491">
        <f t="shared" si="126"/>
        <v>111</v>
      </c>
    </row>
    <row r="8076" spans="1:7" ht="12.75">
      <c r="A8076" s="134" t="s">
        <v>371</v>
      </c>
      <c r="B8076" s="134">
        <v>503</v>
      </c>
      <c r="C8076" s="491">
        <v>0</v>
      </c>
      <c r="D8076" s="491">
        <v>2</v>
      </c>
      <c r="E8076" s="491">
        <v>0</v>
      </c>
      <c r="F8076" s="491">
        <v>0</v>
      </c>
      <c r="G8076" s="491">
        <f t="shared" si="126"/>
        <v>2</v>
      </c>
    </row>
    <row r="8077" spans="1:7" ht="12.75">
      <c r="A8077" s="134" t="s">
        <v>371</v>
      </c>
      <c r="B8077" s="134">
        <v>560</v>
      </c>
      <c r="C8077" s="491">
        <v>101</v>
      </c>
      <c r="D8077" s="491">
        <v>14</v>
      </c>
      <c r="E8077" s="491">
        <v>22</v>
      </c>
      <c r="F8077" s="491">
        <v>2</v>
      </c>
      <c r="G8077" s="491">
        <f t="shared" ref="G8077:G8140" si="127">SUM(C8077:F8077)</f>
        <v>139</v>
      </c>
    </row>
    <row r="8078" spans="1:7" ht="12.75">
      <c r="A8078" s="134" t="s">
        <v>371</v>
      </c>
      <c r="B8078" s="134">
        <v>650</v>
      </c>
      <c r="C8078" s="491">
        <v>0</v>
      </c>
      <c r="D8078" s="491">
        <v>11</v>
      </c>
      <c r="E8078" s="491">
        <v>0</v>
      </c>
      <c r="F8078" s="491">
        <v>0</v>
      </c>
      <c r="G8078" s="491">
        <f t="shared" si="127"/>
        <v>11</v>
      </c>
    </row>
    <row r="8079" spans="1:7" ht="12.75">
      <c r="A8079" s="134" t="s">
        <v>371</v>
      </c>
      <c r="B8079" s="134">
        <v>812</v>
      </c>
      <c r="C8079" s="491">
        <v>37</v>
      </c>
      <c r="D8079" s="491">
        <v>81</v>
      </c>
      <c r="E8079" s="491">
        <v>0</v>
      </c>
      <c r="F8079" s="491">
        <v>0</v>
      </c>
      <c r="G8079" s="491">
        <f t="shared" si="127"/>
        <v>118</v>
      </c>
    </row>
    <row r="8080" spans="1:7" ht="12.75">
      <c r="A8080" s="134" t="s">
        <v>945</v>
      </c>
      <c r="B8080" s="134">
        <v>143</v>
      </c>
      <c r="C8080" s="491">
        <v>5</v>
      </c>
      <c r="D8080" s="491">
        <v>0</v>
      </c>
      <c r="E8080" s="491">
        <v>0</v>
      </c>
      <c r="F8080" s="491">
        <v>0</v>
      </c>
      <c r="G8080" s="491">
        <f t="shared" si="127"/>
        <v>5</v>
      </c>
    </row>
    <row r="8081" spans="1:7" ht="12.75">
      <c r="A8081" s="134" t="s">
        <v>945</v>
      </c>
      <c r="B8081" s="134">
        <v>300</v>
      </c>
      <c r="C8081" s="491">
        <v>1</v>
      </c>
      <c r="D8081" s="491">
        <v>0</v>
      </c>
      <c r="E8081" s="491">
        <v>0</v>
      </c>
      <c r="F8081" s="491">
        <v>0</v>
      </c>
      <c r="G8081" s="491">
        <f t="shared" si="127"/>
        <v>1</v>
      </c>
    </row>
    <row r="8082" spans="1:7" ht="12.75">
      <c r="A8082" s="134" t="s">
        <v>945</v>
      </c>
      <c r="B8082" s="134">
        <v>307</v>
      </c>
      <c r="C8082" s="491">
        <v>0</v>
      </c>
      <c r="D8082" s="491">
        <v>0</v>
      </c>
      <c r="E8082" s="491">
        <v>3</v>
      </c>
      <c r="F8082" s="491">
        <v>0</v>
      </c>
      <c r="G8082" s="491">
        <f t="shared" si="127"/>
        <v>3</v>
      </c>
    </row>
    <row r="8083" spans="1:7" ht="12.75">
      <c r="A8083" s="134" t="s">
        <v>945</v>
      </c>
      <c r="B8083" s="134">
        <v>420</v>
      </c>
      <c r="C8083" s="491">
        <v>1</v>
      </c>
      <c r="D8083" s="491">
        <v>0</v>
      </c>
      <c r="E8083" s="491">
        <v>0</v>
      </c>
      <c r="F8083" s="491">
        <v>0</v>
      </c>
      <c r="G8083" s="491">
        <f t="shared" si="127"/>
        <v>1</v>
      </c>
    </row>
    <row r="8084" spans="1:7" ht="12.75">
      <c r="A8084" s="134" t="s">
        <v>945</v>
      </c>
      <c r="B8084" s="134">
        <v>501</v>
      </c>
      <c r="C8084" s="491">
        <v>1710</v>
      </c>
      <c r="D8084" s="491">
        <v>230</v>
      </c>
      <c r="E8084" s="491">
        <v>157</v>
      </c>
      <c r="F8084" s="491">
        <v>22</v>
      </c>
      <c r="G8084" s="491">
        <f t="shared" si="127"/>
        <v>2119</v>
      </c>
    </row>
    <row r="8085" spans="1:7" ht="12.75">
      <c r="A8085" s="134" t="s">
        <v>945</v>
      </c>
      <c r="B8085" s="134">
        <v>502</v>
      </c>
      <c r="C8085" s="491">
        <v>11</v>
      </c>
      <c r="D8085" s="491">
        <v>2</v>
      </c>
      <c r="E8085" s="491">
        <v>0</v>
      </c>
      <c r="F8085" s="491">
        <v>0</v>
      </c>
      <c r="G8085" s="491">
        <f t="shared" si="127"/>
        <v>13</v>
      </c>
    </row>
    <row r="8086" spans="1:7" ht="12.75">
      <c r="A8086" s="134" t="s">
        <v>945</v>
      </c>
      <c r="B8086" s="134">
        <v>560</v>
      </c>
      <c r="C8086" s="491">
        <v>857</v>
      </c>
      <c r="D8086" s="491">
        <v>477</v>
      </c>
      <c r="E8086" s="491">
        <v>234</v>
      </c>
      <c r="F8086" s="491">
        <v>381</v>
      </c>
      <c r="G8086" s="491">
        <f t="shared" si="127"/>
        <v>1949</v>
      </c>
    </row>
    <row r="8087" spans="1:7" ht="12.75">
      <c r="A8087" s="134" t="s">
        <v>945</v>
      </c>
      <c r="B8087" s="134">
        <v>658</v>
      </c>
      <c r="C8087" s="491">
        <v>2</v>
      </c>
      <c r="D8087" s="491">
        <v>0</v>
      </c>
      <c r="E8087" s="491">
        <v>0</v>
      </c>
      <c r="F8087" s="491">
        <v>0</v>
      </c>
      <c r="G8087" s="491">
        <f t="shared" si="127"/>
        <v>2</v>
      </c>
    </row>
    <row r="8088" spans="1:7" ht="12.75">
      <c r="A8088" s="134" t="s">
        <v>378</v>
      </c>
      <c r="B8088" s="134">
        <v>104</v>
      </c>
      <c r="C8088" s="491">
        <v>0</v>
      </c>
      <c r="D8088" s="491">
        <v>2</v>
      </c>
      <c r="E8088" s="491">
        <v>0</v>
      </c>
      <c r="F8088" s="491">
        <v>0</v>
      </c>
      <c r="G8088" s="491">
        <f t="shared" si="127"/>
        <v>2</v>
      </c>
    </row>
    <row r="8089" spans="1:7" ht="12.75">
      <c r="A8089" s="134" t="s">
        <v>378</v>
      </c>
      <c r="B8089" s="134">
        <v>107</v>
      </c>
      <c r="C8089" s="491">
        <v>0</v>
      </c>
      <c r="D8089" s="491">
        <v>1</v>
      </c>
      <c r="E8089" s="491">
        <v>0</v>
      </c>
      <c r="F8089" s="491">
        <v>0</v>
      </c>
      <c r="G8089" s="491">
        <f t="shared" si="127"/>
        <v>1</v>
      </c>
    </row>
    <row r="8090" spans="1:7" ht="12.75">
      <c r="A8090" s="134" t="s">
        <v>378</v>
      </c>
      <c r="B8090" s="134">
        <v>110</v>
      </c>
      <c r="C8090" s="491">
        <v>9</v>
      </c>
      <c r="D8090" s="491">
        <v>3</v>
      </c>
      <c r="E8090" s="491">
        <v>0</v>
      </c>
      <c r="F8090" s="491">
        <v>0</v>
      </c>
      <c r="G8090" s="491">
        <f t="shared" si="127"/>
        <v>12</v>
      </c>
    </row>
    <row r="8091" spans="1:7" ht="12.75">
      <c r="A8091" s="134" t="s">
        <v>378</v>
      </c>
      <c r="B8091" s="134">
        <v>300</v>
      </c>
      <c r="C8091" s="491">
        <v>0</v>
      </c>
      <c r="D8091" s="491">
        <v>2</v>
      </c>
      <c r="E8091" s="491">
        <v>0</v>
      </c>
      <c r="F8091" s="491">
        <v>0</v>
      </c>
      <c r="G8091" s="491">
        <f t="shared" si="127"/>
        <v>2</v>
      </c>
    </row>
    <row r="8092" spans="1:7" ht="12.75">
      <c r="A8092" s="134" t="s">
        <v>378</v>
      </c>
      <c r="B8092" s="134">
        <v>328</v>
      </c>
      <c r="C8092" s="491">
        <v>0</v>
      </c>
      <c r="D8092" s="491">
        <v>1</v>
      </c>
      <c r="E8092" s="491">
        <v>0</v>
      </c>
      <c r="F8092" s="491">
        <v>0</v>
      </c>
      <c r="G8092" s="491">
        <f t="shared" si="127"/>
        <v>1</v>
      </c>
    </row>
    <row r="8093" spans="1:7" ht="12.75">
      <c r="A8093" s="134" t="s">
        <v>378</v>
      </c>
      <c r="B8093" s="134">
        <v>329</v>
      </c>
      <c r="C8093" s="491">
        <v>0</v>
      </c>
      <c r="D8093" s="491">
        <v>3</v>
      </c>
      <c r="E8093" s="491">
        <v>0</v>
      </c>
      <c r="F8093" s="491">
        <v>0</v>
      </c>
      <c r="G8093" s="491">
        <f t="shared" si="127"/>
        <v>3</v>
      </c>
    </row>
    <row r="8094" spans="1:7" ht="12.75">
      <c r="A8094" s="134" t="s">
        <v>378</v>
      </c>
      <c r="B8094" s="134">
        <v>410</v>
      </c>
      <c r="C8094" s="491">
        <v>14</v>
      </c>
      <c r="D8094" s="491">
        <v>9</v>
      </c>
      <c r="E8094" s="491">
        <v>0</v>
      </c>
      <c r="F8094" s="491">
        <v>0</v>
      </c>
      <c r="G8094" s="491">
        <f t="shared" si="127"/>
        <v>23</v>
      </c>
    </row>
    <row r="8095" spans="1:7" ht="12.75">
      <c r="A8095" s="134" t="s">
        <v>378</v>
      </c>
      <c r="B8095" s="134">
        <v>420</v>
      </c>
      <c r="C8095" s="491">
        <v>1</v>
      </c>
      <c r="D8095" s="491">
        <v>1</v>
      </c>
      <c r="E8095" s="491">
        <v>0</v>
      </c>
      <c r="F8095" s="491">
        <v>0</v>
      </c>
      <c r="G8095" s="491">
        <f t="shared" si="127"/>
        <v>2</v>
      </c>
    </row>
    <row r="8096" spans="1:7" ht="12.75">
      <c r="A8096" s="134" t="s">
        <v>378</v>
      </c>
      <c r="B8096" s="134">
        <v>421</v>
      </c>
      <c r="C8096" s="491">
        <v>3</v>
      </c>
      <c r="D8096" s="491">
        <v>0</v>
      </c>
      <c r="E8096" s="491">
        <v>0</v>
      </c>
      <c r="F8096" s="491">
        <v>0</v>
      </c>
      <c r="G8096" s="491">
        <f t="shared" si="127"/>
        <v>3</v>
      </c>
    </row>
    <row r="8097" spans="1:7" ht="12.75">
      <c r="A8097" s="134" t="s">
        <v>378</v>
      </c>
      <c r="B8097" s="134">
        <v>501</v>
      </c>
      <c r="C8097" s="491">
        <v>672</v>
      </c>
      <c r="D8097" s="491">
        <v>222</v>
      </c>
      <c r="E8097" s="491">
        <v>4</v>
      </c>
      <c r="F8097" s="491">
        <v>3</v>
      </c>
      <c r="G8097" s="491">
        <f t="shared" si="127"/>
        <v>901</v>
      </c>
    </row>
    <row r="8098" spans="1:7" ht="12.75">
      <c r="A8098" s="134" t="s">
        <v>378</v>
      </c>
      <c r="B8098" s="134">
        <v>502</v>
      </c>
      <c r="C8098" s="491">
        <v>3</v>
      </c>
      <c r="D8098" s="491">
        <v>14</v>
      </c>
      <c r="E8098" s="491">
        <v>0</v>
      </c>
      <c r="F8098" s="491">
        <v>0</v>
      </c>
      <c r="G8098" s="491">
        <f t="shared" si="127"/>
        <v>17</v>
      </c>
    </row>
    <row r="8099" spans="1:7" ht="12.75">
      <c r="A8099" s="134" t="s">
        <v>378</v>
      </c>
      <c r="B8099" s="134">
        <v>560</v>
      </c>
      <c r="C8099" s="491">
        <v>178</v>
      </c>
      <c r="D8099" s="491">
        <v>87</v>
      </c>
      <c r="E8099" s="491">
        <v>0</v>
      </c>
      <c r="F8099" s="491">
        <v>1</v>
      </c>
      <c r="G8099" s="491">
        <f t="shared" si="127"/>
        <v>266</v>
      </c>
    </row>
    <row r="8100" spans="1:7" ht="12.75">
      <c r="A8100" s="134" t="s">
        <v>946</v>
      </c>
      <c r="B8100" s="134">
        <v>330</v>
      </c>
      <c r="C8100" s="491">
        <v>0</v>
      </c>
      <c r="D8100" s="491">
        <v>1</v>
      </c>
      <c r="E8100" s="491">
        <v>0</v>
      </c>
      <c r="F8100" s="491">
        <v>0</v>
      </c>
      <c r="G8100" s="491">
        <f t="shared" si="127"/>
        <v>1</v>
      </c>
    </row>
    <row r="8101" spans="1:7" ht="12.75">
      <c r="A8101" s="134" t="s">
        <v>946</v>
      </c>
      <c r="B8101" s="134">
        <v>501</v>
      </c>
      <c r="C8101" s="491">
        <v>38</v>
      </c>
      <c r="D8101" s="491">
        <v>2</v>
      </c>
      <c r="E8101" s="491">
        <v>0</v>
      </c>
      <c r="F8101" s="491">
        <v>0</v>
      </c>
      <c r="G8101" s="491">
        <f t="shared" si="127"/>
        <v>40</v>
      </c>
    </row>
    <row r="8102" spans="1:7" ht="12.75">
      <c r="A8102" s="134" t="s">
        <v>946</v>
      </c>
      <c r="B8102" s="134">
        <v>560</v>
      </c>
      <c r="C8102" s="491">
        <v>3</v>
      </c>
      <c r="D8102" s="491">
        <v>3</v>
      </c>
      <c r="E8102" s="491">
        <v>0</v>
      </c>
      <c r="F8102" s="491">
        <v>0</v>
      </c>
      <c r="G8102" s="491">
        <f t="shared" si="127"/>
        <v>6</v>
      </c>
    </row>
    <row r="8103" spans="1:7" ht="12.75">
      <c r="A8103" s="134" t="s">
        <v>947</v>
      </c>
      <c r="B8103" s="134">
        <v>501</v>
      </c>
      <c r="C8103" s="491">
        <v>1</v>
      </c>
      <c r="D8103" s="491">
        <v>0</v>
      </c>
      <c r="E8103" s="491">
        <v>0</v>
      </c>
      <c r="F8103" s="491">
        <v>0</v>
      </c>
      <c r="G8103" s="491">
        <f t="shared" si="127"/>
        <v>1</v>
      </c>
    </row>
    <row r="8104" spans="1:7" ht="12.75">
      <c r="A8104" s="134" t="s">
        <v>947</v>
      </c>
      <c r="B8104" s="134">
        <v>560</v>
      </c>
      <c r="C8104" s="491">
        <v>1</v>
      </c>
      <c r="D8104" s="491">
        <v>1</v>
      </c>
      <c r="E8104" s="491">
        <v>0</v>
      </c>
      <c r="F8104" s="491">
        <v>0</v>
      </c>
      <c r="G8104" s="491">
        <f t="shared" si="127"/>
        <v>2</v>
      </c>
    </row>
    <row r="8105" spans="1:7" ht="12.75">
      <c r="A8105" s="134" t="s">
        <v>948</v>
      </c>
      <c r="B8105" s="134">
        <v>501</v>
      </c>
      <c r="C8105" s="491">
        <v>4</v>
      </c>
      <c r="D8105" s="491">
        <v>0</v>
      </c>
      <c r="E8105" s="491">
        <v>0</v>
      </c>
      <c r="F8105" s="491">
        <v>0</v>
      </c>
      <c r="G8105" s="491">
        <f t="shared" si="127"/>
        <v>4</v>
      </c>
    </row>
    <row r="8106" spans="1:7" ht="12.75">
      <c r="A8106" s="134" t="s">
        <v>1104</v>
      </c>
      <c r="B8106" s="134">
        <v>501</v>
      </c>
      <c r="C8106" s="491">
        <v>1</v>
      </c>
      <c r="D8106" s="491">
        <v>0</v>
      </c>
      <c r="E8106" s="491">
        <v>0</v>
      </c>
      <c r="F8106" s="491">
        <v>0</v>
      </c>
      <c r="G8106" s="491">
        <f t="shared" si="127"/>
        <v>1</v>
      </c>
    </row>
    <row r="8107" spans="1:7" ht="12.75">
      <c r="A8107" s="134" t="s">
        <v>949</v>
      </c>
      <c r="B8107" s="134">
        <v>100</v>
      </c>
      <c r="C8107" s="491">
        <v>0</v>
      </c>
      <c r="D8107" s="491">
        <v>4</v>
      </c>
      <c r="E8107" s="491">
        <v>0</v>
      </c>
      <c r="F8107" s="491">
        <v>0</v>
      </c>
      <c r="G8107" s="491">
        <f t="shared" si="127"/>
        <v>4</v>
      </c>
    </row>
    <row r="8108" spans="1:7" ht="12.75">
      <c r="A8108" s="134" t="s">
        <v>949</v>
      </c>
      <c r="B8108" s="134">
        <v>215</v>
      </c>
      <c r="C8108" s="491">
        <v>1</v>
      </c>
      <c r="D8108" s="491">
        <v>0</v>
      </c>
      <c r="E8108" s="491">
        <v>0</v>
      </c>
      <c r="F8108" s="491">
        <v>0</v>
      </c>
      <c r="G8108" s="491">
        <f t="shared" si="127"/>
        <v>1</v>
      </c>
    </row>
    <row r="8109" spans="1:7" ht="12.75">
      <c r="A8109" s="134" t="s">
        <v>949</v>
      </c>
      <c r="B8109" s="134">
        <v>501</v>
      </c>
      <c r="C8109" s="491">
        <v>2</v>
      </c>
      <c r="D8109" s="491">
        <v>0</v>
      </c>
      <c r="E8109" s="491">
        <v>0</v>
      </c>
      <c r="F8109" s="491">
        <v>0</v>
      </c>
      <c r="G8109" s="491">
        <f t="shared" si="127"/>
        <v>2</v>
      </c>
    </row>
    <row r="8110" spans="1:7" ht="12.75">
      <c r="A8110" s="134" t="s">
        <v>950</v>
      </c>
      <c r="B8110" s="134">
        <v>501</v>
      </c>
      <c r="C8110" s="491">
        <v>2</v>
      </c>
      <c r="D8110" s="491">
        <v>0</v>
      </c>
      <c r="E8110" s="491">
        <v>0</v>
      </c>
      <c r="F8110" s="491">
        <v>0</v>
      </c>
      <c r="G8110" s="491">
        <f t="shared" si="127"/>
        <v>2</v>
      </c>
    </row>
    <row r="8111" spans="1:7" ht="12.75">
      <c r="A8111" s="134" t="s">
        <v>950</v>
      </c>
      <c r="B8111" s="134">
        <v>560</v>
      </c>
      <c r="C8111" s="491">
        <v>1</v>
      </c>
      <c r="D8111" s="491">
        <v>0</v>
      </c>
      <c r="E8111" s="491">
        <v>0</v>
      </c>
      <c r="F8111" s="491">
        <v>0</v>
      </c>
      <c r="G8111" s="491">
        <f t="shared" si="127"/>
        <v>1</v>
      </c>
    </row>
    <row r="8112" spans="1:7" ht="12.75">
      <c r="A8112" s="134" t="s">
        <v>951</v>
      </c>
      <c r="B8112" s="134">
        <v>501</v>
      </c>
      <c r="C8112" s="491">
        <v>0</v>
      </c>
      <c r="D8112" s="491">
        <v>1</v>
      </c>
      <c r="E8112" s="491">
        <v>0</v>
      </c>
      <c r="F8112" s="491">
        <v>0</v>
      </c>
      <c r="G8112" s="491">
        <f t="shared" si="127"/>
        <v>1</v>
      </c>
    </row>
    <row r="8113" spans="1:7" ht="12.75">
      <c r="A8113" s="134" t="s">
        <v>952</v>
      </c>
      <c r="B8113" s="134">
        <v>501</v>
      </c>
      <c r="C8113" s="491">
        <v>1</v>
      </c>
      <c r="D8113" s="491">
        <v>0</v>
      </c>
      <c r="E8113" s="491">
        <v>0</v>
      </c>
      <c r="F8113" s="491">
        <v>0</v>
      </c>
      <c r="G8113" s="491">
        <f t="shared" si="127"/>
        <v>1</v>
      </c>
    </row>
    <row r="8114" spans="1:7" ht="12.75">
      <c r="A8114" s="134" t="s">
        <v>953</v>
      </c>
      <c r="B8114" s="134">
        <v>420</v>
      </c>
      <c r="C8114" s="491">
        <v>1</v>
      </c>
      <c r="D8114" s="491">
        <v>0</v>
      </c>
      <c r="E8114" s="491">
        <v>0</v>
      </c>
      <c r="F8114" s="491">
        <v>0</v>
      </c>
      <c r="G8114" s="491">
        <f t="shared" si="127"/>
        <v>1</v>
      </c>
    </row>
    <row r="8115" spans="1:7" ht="12.75">
      <c r="A8115" s="134" t="s">
        <v>953</v>
      </c>
      <c r="B8115" s="134">
        <v>501</v>
      </c>
      <c r="C8115" s="491">
        <v>49</v>
      </c>
      <c r="D8115" s="491">
        <v>5</v>
      </c>
      <c r="E8115" s="491">
        <v>0</v>
      </c>
      <c r="F8115" s="491">
        <v>0</v>
      </c>
      <c r="G8115" s="491">
        <f t="shared" si="127"/>
        <v>54</v>
      </c>
    </row>
    <row r="8116" spans="1:7" ht="12.75">
      <c r="A8116" s="134" t="s">
        <v>954</v>
      </c>
      <c r="B8116" s="134">
        <v>110</v>
      </c>
      <c r="C8116" s="491">
        <v>1</v>
      </c>
      <c r="D8116" s="491">
        <v>0</v>
      </c>
      <c r="E8116" s="491">
        <v>0</v>
      </c>
      <c r="F8116" s="491">
        <v>0</v>
      </c>
      <c r="G8116" s="491">
        <f t="shared" si="127"/>
        <v>1</v>
      </c>
    </row>
    <row r="8117" spans="1:7" ht="12.75">
      <c r="A8117" s="134" t="s">
        <v>954</v>
      </c>
      <c r="B8117" s="134">
        <v>120</v>
      </c>
      <c r="C8117" s="491">
        <v>1</v>
      </c>
      <c r="D8117" s="491">
        <v>0</v>
      </c>
      <c r="E8117" s="491">
        <v>0</v>
      </c>
      <c r="F8117" s="491">
        <v>0</v>
      </c>
      <c r="G8117" s="491">
        <f t="shared" si="127"/>
        <v>1</v>
      </c>
    </row>
    <row r="8118" spans="1:7" ht="12.75">
      <c r="A8118" s="134" t="s">
        <v>954</v>
      </c>
      <c r="B8118" s="134">
        <v>301</v>
      </c>
      <c r="C8118" s="491">
        <v>1</v>
      </c>
      <c r="D8118" s="491">
        <v>0</v>
      </c>
      <c r="E8118" s="491">
        <v>0</v>
      </c>
      <c r="F8118" s="491">
        <v>0</v>
      </c>
      <c r="G8118" s="491">
        <f t="shared" si="127"/>
        <v>1</v>
      </c>
    </row>
    <row r="8119" spans="1:7" ht="12.75">
      <c r="A8119" s="134" t="s">
        <v>954</v>
      </c>
      <c r="B8119" s="134">
        <v>307</v>
      </c>
      <c r="C8119" s="491">
        <v>2</v>
      </c>
      <c r="D8119" s="491">
        <v>0</v>
      </c>
      <c r="E8119" s="491">
        <v>0</v>
      </c>
      <c r="F8119" s="491">
        <v>0</v>
      </c>
      <c r="G8119" s="491">
        <f t="shared" si="127"/>
        <v>2</v>
      </c>
    </row>
    <row r="8120" spans="1:7" ht="12.75">
      <c r="A8120" s="134" t="s">
        <v>954</v>
      </c>
      <c r="B8120" s="134">
        <v>340</v>
      </c>
      <c r="C8120" s="491">
        <v>1</v>
      </c>
      <c r="D8120" s="491">
        <v>1</v>
      </c>
      <c r="E8120" s="491">
        <v>0</v>
      </c>
      <c r="F8120" s="491">
        <v>0</v>
      </c>
      <c r="G8120" s="491">
        <f t="shared" si="127"/>
        <v>2</v>
      </c>
    </row>
    <row r="8121" spans="1:7" ht="12.75">
      <c r="A8121" s="134" t="s">
        <v>954</v>
      </c>
      <c r="B8121" s="134">
        <v>501</v>
      </c>
      <c r="C8121" s="491">
        <v>145</v>
      </c>
      <c r="D8121" s="491">
        <v>5</v>
      </c>
      <c r="E8121" s="491">
        <v>0</v>
      </c>
      <c r="F8121" s="491">
        <v>0</v>
      </c>
      <c r="G8121" s="491">
        <f t="shared" si="127"/>
        <v>150</v>
      </c>
    </row>
    <row r="8122" spans="1:7" ht="12.75">
      <c r="A8122" s="134" t="s">
        <v>508</v>
      </c>
      <c r="B8122" s="134">
        <v>100</v>
      </c>
      <c r="C8122" s="491">
        <v>42</v>
      </c>
      <c r="D8122" s="491">
        <v>77</v>
      </c>
      <c r="E8122" s="491">
        <v>0</v>
      </c>
      <c r="F8122" s="491">
        <v>1</v>
      </c>
      <c r="G8122" s="491">
        <f t="shared" si="127"/>
        <v>120</v>
      </c>
    </row>
    <row r="8123" spans="1:7" ht="12.75">
      <c r="A8123" s="134" t="s">
        <v>508</v>
      </c>
      <c r="B8123" s="134">
        <v>101</v>
      </c>
      <c r="C8123" s="491">
        <v>73</v>
      </c>
      <c r="D8123" s="491">
        <v>6</v>
      </c>
      <c r="E8123" s="491">
        <v>2</v>
      </c>
      <c r="F8123" s="491">
        <v>0</v>
      </c>
      <c r="G8123" s="491">
        <f t="shared" si="127"/>
        <v>81</v>
      </c>
    </row>
    <row r="8124" spans="1:7" ht="12.75">
      <c r="A8124" s="134" t="s">
        <v>508</v>
      </c>
      <c r="B8124" s="134">
        <v>102</v>
      </c>
      <c r="C8124" s="491">
        <v>41</v>
      </c>
      <c r="D8124" s="491">
        <v>1</v>
      </c>
      <c r="E8124" s="491">
        <v>0</v>
      </c>
      <c r="F8124" s="491">
        <v>0</v>
      </c>
      <c r="G8124" s="491">
        <f t="shared" si="127"/>
        <v>42</v>
      </c>
    </row>
    <row r="8125" spans="1:7" ht="12.75">
      <c r="A8125" s="134" t="s">
        <v>508</v>
      </c>
      <c r="B8125" s="134">
        <v>103</v>
      </c>
      <c r="C8125" s="491">
        <v>0</v>
      </c>
      <c r="D8125" s="491">
        <v>2</v>
      </c>
      <c r="E8125" s="491">
        <v>0</v>
      </c>
      <c r="F8125" s="491">
        <v>0</v>
      </c>
      <c r="G8125" s="491">
        <f t="shared" si="127"/>
        <v>2</v>
      </c>
    </row>
    <row r="8126" spans="1:7" ht="12.75">
      <c r="A8126" s="134" t="s">
        <v>508</v>
      </c>
      <c r="B8126" s="134">
        <v>104</v>
      </c>
      <c r="C8126" s="491">
        <v>3</v>
      </c>
      <c r="D8126" s="491">
        <v>1</v>
      </c>
      <c r="E8126" s="491">
        <v>0</v>
      </c>
      <c r="F8126" s="491">
        <v>0</v>
      </c>
      <c r="G8126" s="491">
        <f t="shared" si="127"/>
        <v>4</v>
      </c>
    </row>
    <row r="8127" spans="1:7" ht="12.75">
      <c r="A8127" s="134" t="s">
        <v>508</v>
      </c>
      <c r="B8127" s="134">
        <v>107</v>
      </c>
      <c r="C8127" s="491">
        <v>12</v>
      </c>
      <c r="D8127" s="491">
        <v>3</v>
      </c>
      <c r="E8127" s="491">
        <v>0</v>
      </c>
      <c r="F8127" s="491">
        <v>0</v>
      </c>
      <c r="G8127" s="491">
        <f t="shared" si="127"/>
        <v>15</v>
      </c>
    </row>
    <row r="8128" spans="1:7" ht="12.75">
      <c r="A8128" s="134" t="s">
        <v>508</v>
      </c>
      <c r="B8128" s="134">
        <v>110</v>
      </c>
      <c r="C8128" s="491">
        <v>16</v>
      </c>
      <c r="D8128" s="491">
        <v>10</v>
      </c>
      <c r="E8128" s="491">
        <v>0</v>
      </c>
      <c r="F8128" s="491">
        <v>0</v>
      </c>
      <c r="G8128" s="491">
        <f t="shared" si="127"/>
        <v>26</v>
      </c>
    </row>
    <row r="8129" spans="1:7" ht="12.75">
      <c r="A8129" s="134" t="s">
        <v>508</v>
      </c>
      <c r="B8129" s="134">
        <v>120</v>
      </c>
      <c r="C8129" s="491">
        <v>0</v>
      </c>
      <c r="D8129" s="491">
        <v>1</v>
      </c>
      <c r="E8129" s="491">
        <v>0</v>
      </c>
      <c r="F8129" s="491">
        <v>0</v>
      </c>
      <c r="G8129" s="491">
        <f t="shared" si="127"/>
        <v>1</v>
      </c>
    </row>
    <row r="8130" spans="1:7" ht="12.75">
      <c r="A8130" s="134" t="s">
        <v>508</v>
      </c>
      <c r="B8130" s="134">
        <v>130</v>
      </c>
      <c r="C8130" s="491">
        <v>1</v>
      </c>
      <c r="D8130" s="491">
        <v>0</v>
      </c>
      <c r="E8130" s="491">
        <v>0</v>
      </c>
      <c r="F8130" s="491">
        <v>1</v>
      </c>
      <c r="G8130" s="491">
        <f t="shared" si="127"/>
        <v>2</v>
      </c>
    </row>
    <row r="8131" spans="1:7" ht="12.75">
      <c r="A8131" s="134" t="s">
        <v>508</v>
      </c>
      <c r="B8131" s="134">
        <v>140</v>
      </c>
      <c r="C8131" s="491">
        <v>15</v>
      </c>
      <c r="D8131" s="491">
        <v>1</v>
      </c>
      <c r="E8131" s="491">
        <v>0</v>
      </c>
      <c r="F8131" s="491">
        <v>0</v>
      </c>
      <c r="G8131" s="491">
        <f t="shared" si="127"/>
        <v>16</v>
      </c>
    </row>
    <row r="8132" spans="1:7" ht="12.75">
      <c r="A8132" s="134" t="s">
        <v>508</v>
      </c>
      <c r="B8132" s="134">
        <v>144</v>
      </c>
      <c r="C8132" s="491">
        <v>1</v>
      </c>
      <c r="D8132" s="491">
        <v>2</v>
      </c>
      <c r="E8132" s="491">
        <v>0</v>
      </c>
      <c r="F8132" s="491">
        <v>0</v>
      </c>
      <c r="G8132" s="491">
        <f t="shared" si="127"/>
        <v>3</v>
      </c>
    </row>
    <row r="8133" spans="1:7" ht="12.75">
      <c r="A8133" s="134" t="s">
        <v>508</v>
      </c>
      <c r="B8133" s="134">
        <v>150</v>
      </c>
      <c r="C8133" s="491">
        <v>1</v>
      </c>
      <c r="D8133" s="491">
        <v>0</v>
      </c>
      <c r="E8133" s="491">
        <v>0</v>
      </c>
      <c r="F8133" s="491">
        <v>0</v>
      </c>
      <c r="G8133" s="491">
        <f t="shared" si="127"/>
        <v>1</v>
      </c>
    </row>
    <row r="8134" spans="1:7" ht="12.75">
      <c r="A8134" s="134" t="s">
        <v>508</v>
      </c>
      <c r="B8134" s="134">
        <v>160</v>
      </c>
      <c r="C8134" s="491">
        <v>4</v>
      </c>
      <c r="D8134" s="491">
        <v>3</v>
      </c>
      <c r="E8134" s="491">
        <v>0</v>
      </c>
      <c r="F8134" s="491">
        <v>0</v>
      </c>
      <c r="G8134" s="491">
        <f t="shared" si="127"/>
        <v>7</v>
      </c>
    </row>
    <row r="8135" spans="1:7" ht="12.75">
      <c r="A8135" s="134" t="s">
        <v>508</v>
      </c>
      <c r="B8135" s="134">
        <v>172</v>
      </c>
      <c r="C8135" s="491">
        <v>0</v>
      </c>
      <c r="D8135" s="491">
        <v>1</v>
      </c>
      <c r="E8135" s="491">
        <v>0</v>
      </c>
      <c r="F8135" s="491">
        <v>0</v>
      </c>
      <c r="G8135" s="491">
        <f t="shared" si="127"/>
        <v>1</v>
      </c>
    </row>
    <row r="8136" spans="1:7" ht="12.75">
      <c r="A8136" s="134" t="s">
        <v>508</v>
      </c>
      <c r="B8136" s="134">
        <v>180</v>
      </c>
      <c r="C8136" s="491">
        <v>0</v>
      </c>
      <c r="D8136" s="491">
        <v>4</v>
      </c>
      <c r="E8136" s="491">
        <v>0</v>
      </c>
      <c r="F8136" s="491">
        <v>0</v>
      </c>
      <c r="G8136" s="491">
        <f t="shared" si="127"/>
        <v>4</v>
      </c>
    </row>
    <row r="8137" spans="1:7" ht="12.75">
      <c r="A8137" s="134" t="s">
        <v>508</v>
      </c>
      <c r="B8137" s="134">
        <v>190</v>
      </c>
      <c r="C8137" s="491">
        <v>1</v>
      </c>
      <c r="D8137" s="491">
        <v>3</v>
      </c>
      <c r="E8137" s="491">
        <v>0</v>
      </c>
      <c r="F8137" s="491">
        <v>0</v>
      </c>
      <c r="G8137" s="491">
        <f t="shared" si="127"/>
        <v>4</v>
      </c>
    </row>
    <row r="8138" spans="1:7" ht="12.75">
      <c r="A8138" s="134" t="s">
        <v>508</v>
      </c>
      <c r="B8138" s="134">
        <v>191</v>
      </c>
      <c r="C8138" s="491">
        <v>6</v>
      </c>
      <c r="D8138" s="491">
        <v>1</v>
      </c>
      <c r="E8138" s="491">
        <v>0</v>
      </c>
      <c r="F8138" s="491">
        <v>0</v>
      </c>
      <c r="G8138" s="491">
        <f t="shared" si="127"/>
        <v>7</v>
      </c>
    </row>
    <row r="8139" spans="1:7" ht="12.75">
      <c r="A8139" s="134" t="s">
        <v>508</v>
      </c>
      <c r="B8139" s="134">
        <v>300</v>
      </c>
      <c r="C8139" s="491">
        <v>1883</v>
      </c>
      <c r="D8139" s="491">
        <v>1174</v>
      </c>
      <c r="E8139" s="491">
        <v>32</v>
      </c>
      <c r="F8139" s="491">
        <v>34</v>
      </c>
      <c r="G8139" s="491">
        <f t="shared" si="127"/>
        <v>3123</v>
      </c>
    </row>
    <row r="8140" spans="1:7" ht="12.75">
      <c r="A8140" s="134" t="s">
        <v>508</v>
      </c>
      <c r="B8140" s="134">
        <v>301</v>
      </c>
      <c r="C8140" s="491">
        <v>47</v>
      </c>
      <c r="D8140" s="491">
        <v>19</v>
      </c>
      <c r="E8140" s="491">
        <v>0</v>
      </c>
      <c r="F8140" s="491">
        <v>0</v>
      </c>
      <c r="G8140" s="491">
        <f t="shared" si="127"/>
        <v>66</v>
      </c>
    </row>
    <row r="8141" spans="1:7" ht="12.75">
      <c r="A8141" s="134" t="s">
        <v>508</v>
      </c>
      <c r="B8141" s="134">
        <v>302</v>
      </c>
      <c r="C8141" s="491">
        <v>8</v>
      </c>
      <c r="D8141" s="491">
        <v>3</v>
      </c>
      <c r="E8141" s="491">
        <v>0</v>
      </c>
      <c r="F8141" s="491">
        <v>0</v>
      </c>
      <c r="G8141" s="491">
        <f t="shared" ref="G8141:G8204" si="128">SUM(C8141:F8141)</f>
        <v>11</v>
      </c>
    </row>
    <row r="8142" spans="1:7" ht="12.75">
      <c r="A8142" s="134" t="s">
        <v>508</v>
      </c>
      <c r="B8142" s="134">
        <v>303</v>
      </c>
      <c r="C8142" s="491">
        <v>3313</v>
      </c>
      <c r="D8142" s="491">
        <v>111</v>
      </c>
      <c r="E8142" s="491">
        <v>88</v>
      </c>
      <c r="F8142" s="491">
        <v>2</v>
      </c>
      <c r="G8142" s="491">
        <f t="shared" si="128"/>
        <v>3514</v>
      </c>
    </row>
    <row r="8143" spans="1:7" ht="12.75">
      <c r="A8143" s="134" t="s">
        <v>508</v>
      </c>
      <c r="B8143" s="134">
        <v>305</v>
      </c>
      <c r="C8143" s="491">
        <v>7</v>
      </c>
      <c r="D8143" s="491">
        <v>0</v>
      </c>
      <c r="E8143" s="491">
        <v>0</v>
      </c>
      <c r="F8143" s="491">
        <v>0</v>
      </c>
      <c r="G8143" s="491">
        <f t="shared" si="128"/>
        <v>7</v>
      </c>
    </row>
    <row r="8144" spans="1:7" ht="12.75">
      <c r="A8144" s="134" t="s">
        <v>508</v>
      </c>
      <c r="B8144" s="134">
        <v>306</v>
      </c>
      <c r="C8144" s="491">
        <v>13</v>
      </c>
      <c r="D8144" s="491">
        <v>1</v>
      </c>
      <c r="E8144" s="491">
        <v>17</v>
      </c>
      <c r="F8144" s="491">
        <v>1</v>
      </c>
      <c r="G8144" s="491">
        <f t="shared" si="128"/>
        <v>32</v>
      </c>
    </row>
    <row r="8145" spans="1:7" ht="12.75">
      <c r="A8145" s="134" t="s">
        <v>508</v>
      </c>
      <c r="B8145" s="134">
        <v>307</v>
      </c>
      <c r="C8145" s="491">
        <v>7</v>
      </c>
      <c r="D8145" s="491">
        <v>3</v>
      </c>
      <c r="E8145" s="491">
        <v>5</v>
      </c>
      <c r="F8145" s="491">
        <v>0</v>
      </c>
      <c r="G8145" s="491">
        <f t="shared" si="128"/>
        <v>15</v>
      </c>
    </row>
    <row r="8146" spans="1:7" ht="12.75">
      <c r="A8146" s="134" t="s">
        <v>508</v>
      </c>
      <c r="B8146" s="134">
        <v>308</v>
      </c>
      <c r="C8146" s="491">
        <v>119</v>
      </c>
      <c r="D8146" s="491">
        <v>17</v>
      </c>
      <c r="E8146" s="491">
        <v>1</v>
      </c>
      <c r="F8146" s="491">
        <v>0</v>
      </c>
      <c r="G8146" s="491">
        <f t="shared" si="128"/>
        <v>137</v>
      </c>
    </row>
    <row r="8147" spans="1:7" ht="12.75">
      <c r="A8147" s="134" t="s">
        <v>508</v>
      </c>
      <c r="B8147" s="134">
        <v>309</v>
      </c>
      <c r="C8147" s="491">
        <v>0</v>
      </c>
      <c r="D8147" s="491">
        <v>0</v>
      </c>
      <c r="E8147" s="491">
        <v>177</v>
      </c>
      <c r="F8147" s="491">
        <v>2</v>
      </c>
      <c r="G8147" s="491">
        <f t="shared" si="128"/>
        <v>179</v>
      </c>
    </row>
    <row r="8148" spans="1:7" ht="12.75">
      <c r="A8148" s="134" t="s">
        <v>508</v>
      </c>
      <c r="B8148" s="134">
        <v>310</v>
      </c>
      <c r="C8148" s="491">
        <v>0</v>
      </c>
      <c r="D8148" s="491">
        <v>1</v>
      </c>
      <c r="E8148" s="491">
        <v>0</v>
      </c>
      <c r="F8148" s="491">
        <v>0</v>
      </c>
      <c r="G8148" s="491">
        <f t="shared" si="128"/>
        <v>1</v>
      </c>
    </row>
    <row r="8149" spans="1:7" ht="12.75">
      <c r="A8149" s="134" t="s">
        <v>508</v>
      </c>
      <c r="B8149" s="134">
        <v>313</v>
      </c>
      <c r="C8149" s="491">
        <v>67</v>
      </c>
      <c r="D8149" s="491">
        <v>0</v>
      </c>
      <c r="E8149" s="491">
        <v>0</v>
      </c>
      <c r="F8149" s="491">
        <v>0</v>
      </c>
      <c r="G8149" s="491">
        <f t="shared" si="128"/>
        <v>67</v>
      </c>
    </row>
    <row r="8150" spans="1:7" ht="12.75">
      <c r="A8150" s="134" t="s">
        <v>508</v>
      </c>
      <c r="B8150" s="134">
        <v>314</v>
      </c>
      <c r="C8150" s="491">
        <v>0</v>
      </c>
      <c r="D8150" s="491">
        <v>1</v>
      </c>
      <c r="E8150" s="491">
        <v>0</v>
      </c>
      <c r="F8150" s="491">
        <v>0</v>
      </c>
      <c r="G8150" s="491">
        <f t="shared" si="128"/>
        <v>1</v>
      </c>
    </row>
    <row r="8151" spans="1:7" ht="12.75">
      <c r="A8151" s="134" t="s">
        <v>508</v>
      </c>
      <c r="B8151" s="134">
        <v>315</v>
      </c>
      <c r="C8151" s="491">
        <v>2</v>
      </c>
      <c r="D8151" s="491">
        <v>1</v>
      </c>
      <c r="E8151" s="491">
        <v>0</v>
      </c>
      <c r="F8151" s="491">
        <v>0</v>
      </c>
      <c r="G8151" s="491">
        <f t="shared" si="128"/>
        <v>3</v>
      </c>
    </row>
    <row r="8152" spans="1:7" ht="12.75">
      <c r="A8152" s="134" t="s">
        <v>508</v>
      </c>
      <c r="B8152" s="134">
        <v>317</v>
      </c>
      <c r="C8152" s="491">
        <v>2</v>
      </c>
      <c r="D8152" s="491">
        <v>0</v>
      </c>
      <c r="E8152" s="491">
        <v>0</v>
      </c>
      <c r="F8152" s="491">
        <v>0</v>
      </c>
      <c r="G8152" s="491">
        <f t="shared" si="128"/>
        <v>2</v>
      </c>
    </row>
    <row r="8153" spans="1:7" ht="12.75">
      <c r="A8153" s="134" t="s">
        <v>508</v>
      </c>
      <c r="B8153" s="134">
        <v>320</v>
      </c>
      <c r="C8153" s="491">
        <v>9</v>
      </c>
      <c r="D8153" s="491">
        <v>6</v>
      </c>
      <c r="E8153" s="491">
        <v>0</v>
      </c>
      <c r="F8153" s="491">
        <v>0</v>
      </c>
      <c r="G8153" s="491">
        <f t="shared" si="128"/>
        <v>15</v>
      </c>
    </row>
    <row r="8154" spans="1:7" ht="12.75">
      <c r="A8154" s="134" t="s">
        <v>508</v>
      </c>
      <c r="B8154" s="134">
        <v>324</v>
      </c>
      <c r="C8154" s="491">
        <v>3</v>
      </c>
      <c r="D8154" s="491">
        <v>3</v>
      </c>
      <c r="E8154" s="491">
        <v>0</v>
      </c>
      <c r="F8154" s="491">
        <v>0</v>
      </c>
      <c r="G8154" s="491">
        <f t="shared" si="128"/>
        <v>6</v>
      </c>
    </row>
    <row r="8155" spans="1:7" ht="12.75">
      <c r="A8155" s="134" t="s">
        <v>508</v>
      </c>
      <c r="B8155" s="134">
        <v>329</v>
      </c>
      <c r="C8155" s="491">
        <v>1</v>
      </c>
      <c r="D8155" s="491">
        <v>1</v>
      </c>
      <c r="E8155" s="491">
        <v>0</v>
      </c>
      <c r="F8155" s="491">
        <v>0</v>
      </c>
      <c r="G8155" s="491">
        <f t="shared" si="128"/>
        <v>2</v>
      </c>
    </row>
    <row r="8156" spans="1:7" ht="12.75">
      <c r="A8156" s="134" t="s">
        <v>508</v>
      </c>
      <c r="B8156" s="134">
        <v>330</v>
      </c>
      <c r="C8156" s="491">
        <v>10</v>
      </c>
      <c r="D8156" s="491">
        <v>4</v>
      </c>
      <c r="E8156" s="491">
        <v>0</v>
      </c>
      <c r="F8156" s="491">
        <v>0</v>
      </c>
      <c r="G8156" s="491">
        <f t="shared" si="128"/>
        <v>14</v>
      </c>
    </row>
    <row r="8157" spans="1:7" ht="12.75">
      <c r="A8157" s="134" t="s">
        <v>508</v>
      </c>
      <c r="B8157" s="134">
        <v>340</v>
      </c>
      <c r="C8157" s="491">
        <v>4</v>
      </c>
      <c r="D8157" s="491">
        <v>9</v>
      </c>
      <c r="E8157" s="491">
        <v>0</v>
      </c>
      <c r="F8157" s="491">
        <v>1</v>
      </c>
      <c r="G8157" s="491">
        <f t="shared" si="128"/>
        <v>14</v>
      </c>
    </row>
    <row r="8158" spans="1:7" ht="12.75">
      <c r="A8158" s="134" t="s">
        <v>508</v>
      </c>
      <c r="B8158" s="134">
        <v>341</v>
      </c>
      <c r="C8158" s="491">
        <v>1</v>
      </c>
      <c r="D8158" s="491">
        <v>0</v>
      </c>
      <c r="E8158" s="491">
        <v>0</v>
      </c>
      <c r="F8158" s="491">
        <v>0</v>
      </c>
      <c r="G8158" s="491">
        <f t="shared" si="128"/>
        <v>1</v>
      </c>
    </row>
    <row r="8159" spans="1:7" ht="12.75">
      <c r="A8159" s="134" t="s">
        <v>508</v>
      </c>
      <c r="B8159" s="134">
        <v>350</v>
      </c>
      <c r="C8159" s="491">
        <v>217</v>
      </c>
      <c r="D8159" s="491">
        <v>17</v>
      </c>
      <c r="E8159" s="491">
        <v>0</v>
      </c>
      <c r="F8159" s="491">
        <v>0</v>
      </c>
      <c r="G8159" s="491">
        <f t="shared" si="128"/>
        <v>234</v>
      </c>
    </row>
    <row r="8160" spans="1:7" ht="12.75">
      <c r="A8160" s="134" t="s">
        <v>508</v>
      </c>
      <c r="B8160" s="134">
        <v>361</v>
      </c>
      <c r="C8160" s="491">
        <v>763</v>
      </c>
      <c r="D8160" s="491">
        <v>20</v>
      </c>
      <c r="E8160" s="491">
        <v>4</v>
      </c>
      <c r="F8160" s="491">
        <v>1</v>
      </c>
      <c r="G8160" s="491">
        <f t="shared" si="128"/>
        <v>788</v>
      </c>
    </row>
    <row r="8161" spans="1:7" ht="12.75">
      <c r="A8161" s="134" t="s">
        <v>508</v>
      </c>
      <c r="B8161" s="134">
        <v>370</v>
      </c>
      <c r="C8161" s="491">
        <v>837</v>
      </c>
      <c r="D8161" s="491">
        <v>24</v>
      </c>
      <c r="E8161" s="491">
        <v>5</v>
      </c>
      <c r="F8161" s="491">
        <v>2</v>
      </c>
      <c r="G8161" s="491">
        <f t="shared" si="128"/>
        <v>868</v>
      </c>
    </row>
    <row r="8162" spans="1:7" ht="12.75">
      <c r="A8162" s="134" t="s">
        <v>508</v>
      </c>
      <c r="B8162" s="134">
        <v>400</v>
      </c>
      <c r="C8162" s="491">
        <v>0</v>
      </c>
      <c r="D8162" s="491">
        <v>5</v>
      </c>
      <c r="E8162" s="491">
        <v>0</v>
      </c>
      <c r="F8162" s="491">
        <v>0</v>
      </c>
      <c r="G8162" s="491">
        <f t="shared" si="128"/>
        <v>5</v>
      </c>
    </row>
    <row r="8163" spans="1:7" ht="12.75">
      <c r="A8163" s="134" t="s">
        <v>508</v>
      </c>
      <c r="B8163" s="134">
        <v>401</v>
      </c>
      <c r="C8163" s="491">
        <v>0</v>
      </c>
      <c r="D8163" s="491">
        <v>3</v>
      </c>
      <c r="E8163" s="491">
        <v>0</v>
      </c>
      <c r="F8163" s="491">
        <v>0</v>
      </c>
      <c r="G8163" s="491">
        <f t="shared" si="128"/>
        <v>3</v>
      </c>
    </row>
    <row r="8164" spans="1:7" ht="12.75">
      <c r="A8164" s="134" t="s">
        <v>508</v>
      </c>
      <c r="B8164" s="134">
        <v>410</v>
      </c>
      <c r="C8164" s="491">
        <v>37</v>
      </c>
      <c r="D8164" s="491">
        <v>14</v>
      </c>
      <c r="E8164" s="491">
        <v>0</v>
      </c>
      <c r="F8164" s="491">
        <v>0</v>
      </c>
      <c r="G8164" s="491">
        <f t="shared" si="128"/>
        <v>51</v>
      </c>
    </row>
    <row r="8165" spans="1:7" ht="12.75">
      <c r="A8165" s="134" t="s">
        <v>508</v>
      </c>
      <c r="B8165" s="134">
        <v>430</v>
      </c>
      <c r="C8165" s="491">
        <v>176</v>
      </c>
      <c r="D8165" s="491">
        <v>283</v>
      </c>
      <c r="E8165" s="491">
        <v>0</v>
      </c>
      <c r="F8165" s="491">
        <v>0</v>
      </c>
      <c r="G8165" s="491">
        <f t="shared" si="128"/>
        <v>459</v>
      </c>
    </row>
    <row r="8166" spans="1:7" ht="12.75">
      <c r="A8166" s="134" t="s">
        <v>508</v>
      </c>
      <c r="B8166" s="134">
        <v>501</v>
      </c>
      <c r="C8166" s="491">
        <v>5872</v>
      </c>
      <c r="D8166" s="491">
        <v>3579</v>
      </c>
      <c r="E8166" s="491">
        <v>201</v>
      </c>
      <c r="F8166" s="491">
        <v>196</v>
      </c>
      <c r="G8166" s="491">
        <f t="shared" si="128"/>
        <v>9848</v>
      </c>
    </row>
    <row r="8167" spans="1:7" ht="12.75">
      <c r="A8167" s="134" t="s">
        <v>508</v>
      </c>
      <c r="B8167" s="134">
        <v>502</v>
      </c>
      <c r="C8167" s="491">
        <v>271</v>
      </c>
      <c r="D8167" s="491">
        <v>531</v>
      </c>
      <c r="E8167" s="491">
        <v>40</v>
      </c>
      <c r="F8167" s="491">
        <v>37</v>
      </c>
      <c r="G8167" s="491">
        <f t="shared" si="128"/>
        <v>879</v>
      </c>
    </row>
    <row r="8168" spans="1:7" ht="12.75">
      <c r="A8168" s="134" t="s">
        <v>508</v>
      </c>
      <c r="B8168" s="134">
        <v>503</v>
      </c>
      <c r="C8168" s="491">
        <v>2</v>
      </c>
      <c r="D8168" s="491">
        <v>1</v>
      </c>
      <c r="E8168" s="491">
        <v>0</v>
      </c>
      <c r="F8168" s="491">
        <v>0</v>
      </c>
      <c r="G8168" s="491">
        <f t="shared" si="128"/>
        <v>3</v>
      </c>
    </row>
    <row r="8169" spans="1:7" ht="12.75">
      <c r="A8169" s="134" t="s">
        <v>508</v>
      </c>
      <c r="B8169" s="134">
        <v>560</v>
      </c>
      <c r="C8169" s="491">
        <v>7692</v>
      </c>
      <c r="D8169" s="491">
        <v>1790</v>
      </c>
      <c r="E8169" s="491">
        <v>275</v>
      </c>
      <c r="F8169" s="491">
        <v>48</v>
      </c>
      <c r="G8169" s="491">
        <f t="shared" si="128"/>
        <v>9805</v>
      </c>
    </row>
    <row r="8170" spans="1:7" ht="12.75">
      <c r="A8170" s="134" t="s">
        <v>508</v>
      </c>
      <c r="B8170" s="134">
        <v>650</v>
      </c>
      <c r="C8170" s="491">
        <v>0</v>
      </c>
      <c r="D8170" s="491">
        <v>1</v>
      </c>
      <c r="E8170" s="491">
        <v>0</v>
      </c>
      <c r="F8170" s="491">
        <v>0</v>
      </c>
      <c r="G8170" s="491">
        <f t="shared" si="128"/>
        <v>1</v>
      </c>
    </row>
    <row r="8171" spans="1:7" ht="12.75">
      <c r="A8171" s="134" t="s">
        <v>508</v>
      </c>
      <c r="B8171" s="134">
        <v>653</v>
      </c>
      <c r="C8171" s="491">
        <v>0</v>
      </c>
      <c r="D8171" s="491">
        <v>2</v>
      </c>
      <c r="E8171" s="491">
        <v>0</v>
      </c>
      <c r="F8171" s="491">
        <v>0</v>
      </c>
      <c r="G8171" s="491">
        <f t="shared" si="128"/>
        <v>2</v>
      </c>
    </row>
    <row r="8172" spans="1:7" ht="12.75">
      <c r="A8172" s="134" t="s">
        <v>508</v>
      </c>
      <c r="B8172" s="134">
        <v>800</v>
      </c>
      <c r="C8172" s="491">
        <v>170</v>
      </c>
      <c r="D8172" s="491">
        <v>25</v>
      </c>
      <c r="E8172" s="491">
        <v>0</v>
      </c>
      <c r="F8172" s="491">
        <v>0</v>
      </c>
      <c r="G8172" s="491">
        <f t="shared" si="128"/>
        <v>195</v>
      </c>
    </row>
    <row r="8173" spans="1:7" ht="12.75">
      <c r="A8173" s="134" t="s">
        <v>508</v>
      </c>
      <c r="B8173" s="134">
        <v>812</v>
      </c>
      <c r="C8173" s="491">
        <v>711</v>
      </c>
      <c r="D8173" s="491">
        <v>7</v>
      </c>
      <c r="E8173" s="491">
        <v>0</v>
      </c>
      <c r="F8173" s="491">
        <v>0</v>
      </c>
      <c r="G8173" s="491">
        <f t="shared" si="128"/>
        <v>718</v>
      </c>
    </row>
    <row r="8174" spans="1:7" ht="12.75">
      <c r="A8174" s="134" t="s">
        <v>471</v>
      </c>
      <c r="B8174" s="134">
        <v>100</v>
      </c>
      <c r="C8174" s="491">
        <v>0</v>
      </c>
      <c r="D8174" s="491">
        <v>4</v>
      </c>
      <c r="E8174" s="491">
        <v>0</v>
      </c>
      <c r="F8174" s="491">
        <v>0</v>
      </c>
      <c r="G8174" s="491">
        <f t="shared" si="128"/>
        <v>4</v>
      </c>
    </row>
    <row r="8175" spans="1:7" ht="12.75">
      <c r="A8175" s="134" t="s">
        <v>471</v>
      </c>
      <c r="B8175" s="134">
        <v>110</v>
      </c>
      <c r="C8175" s="491">
        <v>1</v>
      </c>
      <c r="D8175" s="491">
        <v>0</v>
      </c>
      <c r="E8175" s="491">
        <v>0</v>
      </c>
      <c r="F8175" s="491">
        <v>0</v>
      </c>
      <c r="G8175" s="491">
        <f t="shared" si="128"/>
        <v>1</v>
      </c>
    </row>
    <row r="8176" spans="1:7" ht="12.75">
      <c r="A8176" s="134" t="s">
        <v>471</v>
      </c>
      <c r="B8176" s="134">
        <v>140</v>
      </c>
      <c r="C8176" s="491">
        <v>1</v>
      </c>
      <c r="D8176" s="491">
        <v>0</v>
      </c>
      <c r="E8176" s="491">
        <v>0</v>
      </c>
      <c r="F8176" s="491">
        <v>0</v>
      </c>
      <c r="G8176" s="491">
        <f t="shared" si="128"/>
        <v>1</v>
      </c>
    </row>
    <row r="8177" spans="1:7" ht="12.75">
      <c r="A8177" s="134" t="s">
        <v>471</v>
      </c>
      <c r="B8177" s="134">
        <v>144</v>
      </c>
      <c r="C8177" s="491">
        <v>0</v>
      </c>
      <c r="D8177" s="491">
        <v>1</v>
      </c>
      <c r="E8177" s="491">
        <v>0</v>
      </c>
      <c r="F8177" s="491">
        <v>0</v>
      </c>
      <c r="G8177" s="491">
        <f t="shared" si="128"/>
        <v>1</v>
      </c>
    </row>
    <row r="8178" spans="1:7" ht="12.75">
      <c r="A8178" s="134" t="s">
        <v>471</v>
      </c>
      <c r="B8178" s="134">
        <v>160</v>
      </c>
      <c r="C8178" s="491">
        <v>0</v>
      </c>
      <c r="D8178" s="491">
        <v>1</v>
      </c>
      <c r="E8178" s="491">
        <v>0</v>
      </c>
      <c r="F8178" s="491">
        <v>0</v>
      </c>
      <c r="G8178" s="491">
        <f t="shared" si="128"/>
        <v>1</v>
      </c>
    </row>
    <row r="8179" spans="1:7" ht="12.75">
      <c r="A8179" s="134" t="s">
        <v>471</v>
      </c>
      <c r="B8179" s="134">
        <v>171</v>
      </c>
      <c r="C8179" s="491">
        <v>1</v>
      </c>
      <c r="D8179" s="491">
        <v>0</v>
      </c>
      <c r="E8179" s="491">
        <v>0</v>
      </c>
      <c r="F8179" s="491">
        <v>0</v>
      </c>
      <c r="G8179" s="491">
        <f t="shared" si="128"/>
        <v>1</v>
      </c>
    </row>
    <row r="8180" spans="1:7" ht="12.75">
      <c r="A8180" s="134" t="s">
        <v>471</v>
      </c>
      <c r="B8180" s="134">
        <v>251</v>
      </c>
      <c r="C8180" s="491">
        <v>2</v>
      </c>
      <c r="D8180" s="491">
        <v>0</v>
      </c>
      <c r="E8180" s="491">
        <v>0</v>
      </c>
      <c r="F8180" s="491">
        <v>0</v>
      </c>
      <c r="G8180" s="491">
        <f t="shared" si="128"/>
        <v>2</v>
      </c>
    </row>
    <row r="8181" spans="1:7" ht="12.75">
      <c r="A8181" s="134" t="s">
        <v>471</v>
      </c>
      <c r="B8181" s="134">
        <v>252</v>
      </c>
      <c r="C8181" s="491">
        <v>2</v>
      </c>
      <c r="D8181" s="491">
        <v>0</v>
      </c>
      <c r="E8181" s="491">
        <v>0</v>
      </c>
      <c r="F8181" s="491">
        <v>0</v>
      </c>
      <c r="G8181" s="491">
        <f t="shared" si="128"/>
        <v>2</v>
      </c>
    </row>
    <row r="8182" spans="1:7" ht="12.75">
      <c r="A8182" s="134" t="s">
        <v>471</v>
      </c>
      <c r="B8182" s="134">
        <v>253</v>
      </c>
      <c r="C8182" s="491">
        <v>55</v>
      </c>
      <c r="D8182" s="491">
        <v>0</v>
      </c>
      <c r="E8182" s="491">
        <v>4</v>
      </c>
      <c r="F8182" s="491">
        <v>0</v>
      </c>
      <c r="G8182" s="491">
        <f t="shared" si="128"/>
        <v>59</v>
      </c>
    </row>
    <row r="8183" spans="1:7" ht="12.75">
      <c r="A8183" s="134" t="s">
        <v>471</v>
      </c>
      <c r="B8183" s="134">
        <v>260</v>
      </c>
      <c r="C8183" s="491">
        <v>9</v>
      </c>
      <c r="D8183" s="491">
        <v>0</v>
      </c>
      <c r="E8183" s="491">
        <v>0</v>
      </c>
      <c r="F8183" s="491">
        <v>0</v>
      </c>
      <c r="G8183" s="491">
        <f t="shared" si="128"/>
        <v>9</v>
      </c>
    </row>
    <row r="8184" spans="1:7" ht="12.75">
      <c r="A8184" s="134" t="s">
        <v>471</v>
      </c>
      <c r="B8184" s="134">
        <v>263</v>
      </c>
      <c r="C8184" s="491">
        <v>0</v>
      </c>
      <c r="D8184" s="491">
        <v>0</v>
      </c>
      <c r="E8184" s="491">
        <v>1</v>
      </c>
      <c r="F8184" s="491">
        <v>0</v>
      </c>
      <c r="G8184" s="491">
        <f t="shared" si="128"/>
        <v>1</v>
      </c>
    </row>
    <row r="8185" spans="1:7" ht="12.75">
      <c r="A8185" s="134" t="s">
        <v>471</v>
      </c>
      <c r="B8185" s="134">
        <v>264</v>
      </c>
      <c r="C8185" s="491">
        <v>0</v>
      </c>
      <c r="D8185" s="491">
        <v>0</v>
      </c>
      <c r="E8185" s="491">
        <v>1</v>
      </c>
      <c r="F8185" s="491">
        <v>0</v>
      </c>
      <c r="G8185" s="491">
        <f t="shared" si="128"/>
        <v>1</v>
      </c>
    </row>
    <row r="8186" spans="1:7" ht="12.75">
      <c r="A8186" s="134" t="s">
        <v>471</v>
      </c>
      <c r="B8186" s="134">
        <v>300</v>
      </c>
      <c r="C8186" s="491">
        <v>9</v>
      </c>
      <c r="D8186" s="491">
        <v>3</v>
      </c>
      <c r="E8186" s="491">
        <v>0</v>
      </c>
      <c r="F8186" s="491">
        <v>0</v>
      </c>
      <c r="G8186" s="491">
        <f t="shared" si="128"/>
        <v>12</v>
      </c>
    </row>
    <row r="8187" spans="1:7" ht="12.75">
      <c r="A8187" s="134" t="s">
        <v>471</v>
      </c>
      <c r="B8187" s="134">
        <v>303</v>
      </c>
      <c r="C8187" s="491">
        <v>108</v>
      </c>
      <c r="D8187" s="491">
        <v>1</v>
      </c>
      <c r="E8187" s="491">
        <v>0</v>
      </c>
      <c r="F8187" s="491">
        <v>0</v>
      </c>
      <c r="G8187" s="491">
        <f t="shared" si="128"/>
        <v>109</v>
      </c>
    </row>
    <row r="8188" spans="1:7" ht="12.75">
      <c r="A8188" s="134" t="s">
        <v>471</v>
      </c>
      <c r="B8188" s="134">
        <v>306</v>
      </c>
      <c r="C8188" s="491">
        <v>2</v>
      </c>
      <c r="D8188" s="491">
        <v>0</v>
      </c>
      <c r="E8188" s="491">
        <v>3</v>
      </c>
      <c r="F8188" s="491">
        <v>0</v>
      </c>
      <c r="G8188" s="491">
        <f t="shared" si="128"/>
        <v>5</v>
      </c>
    </row>
    <row r="8189" spans="1:7" ht="12.75">
      <c r="A8189" s="134" t="s">
        <v>471</v>
      </c>
      <c r="B8189" s="134">
        <v>308</v>
      </c>
      <c r="C8189" s="491">
        <v>3</v>
      </c>
      <c r="D8189" s="491">
        <v>1</v>
      </c>
      <c r="E8189" s="491">
        <v>0</v>
      </c>
      <c r="F8189" s="491">
        <v>0</v>
      </c>
      <c r="G8189" s="491">
        <f t="shared" si="128"/>
        <v>4</v>
      </c>
    </row>
    <row r="8190" spans="1:7" ht="12.75">
      <c r="A8190" s="134" t="s">
        <v>471</v>
      </c>
      <c r="B8190" s="134">
        <v>309</v>
      </c>
      <c r="C8190" s="491">
        <v>2</v>
      </c>
      <c r="D8190" s="491">
        <v>0</v>
      </c>
      <c r="E8190" s="491">
        <v>146</v>
      </c>
      <c r="F8190" s="491">
        <v>1</v>
      </c>
      <c r="G8190" s="491">
        <f t="shared" si="128"/>
        <v>149</v>
      </c>
    </row>
    <row r="8191" spans="1:7" ht="12.75">
      <c r="A8191" s="134" t="s">
        <v>471</v>
      </c>
      <c r="B8191" s="134">
        <v>313</v>
      </c>
      <c r="C8191" s="491">
        <v>1</v>
      </c>
      <c r="D8191" s="491">
        <v>0</v>
      </c>
      <c r="E8191" s="491">
        <v>0</v>
      </c>
      <c r="F8191" s="491">
        <v>0</v>
      </c>
      <c r="G8191" s="491">
        <f t="shared" si="128"/>
        <v>1</v>
      </c>
    </row>
    <row r="8192" spans="1:7" ht="12.75">
      <c r="A8192" s="134" t="s">
        <v>471</v>
      </c>
      <c r="B8192" s="134">
        <v>316</v>
      </c>
      <c r="C8192" s="491">
        <v>1</v>
      </c>
      <c r="D8192" s="491">
        <v>0</v>
      </c>
      <c r="E8192" s="491">
        <v>0</v>
      </c>
      <c r="F8192" s="491">
        <v>0</v>
      </c>
      <c r="G8192" s="491">
        <f t="shared" si="128"/>
        <v>1</v>
      </c>
    </row>
    <row r="8193" spans="1:7" ht="12.75">
      <c r="A8193" s="134" t="s">
        <v>471</v>
      </c>
      <c r="B8193" s="134">
        <v>320</v>
      </c>
      <c r="C8193" s="491">
        <v>0</v>
      </c>
      <c r="D8193" s="491">
        <v>1</v>
      </c>
      <c r="E8193" s="491">
        <v>0</v>
      </c>
      <c r="F8193" s="491">
        <v>0</v>
      </c>
      <c r="G8193" s="491">
        <f t="shared" si="128"/>
        <v>1</v>
      </c>
    </row>
    <row r="8194" spans="1:7" ht="12.75">
      <c r="A8194" s="134" t="s">
        <v>471</v>
      </c>
      <c r="B8194" s="134">
        <v>340</v>
      </c>
      <c r="C8194" s="491">
        <v>0</v>
      </c>
      <c r="D8194" s="491">
        <v>1</v>
      </c>
      <c r="E8194" s="491">
        <v>0</v>
      </c>
      <c r="F8194" s="491">
        <v>0</v>
      </c>
      <c r="G8194" s="491">
        <f t="shared" si="128"/>
        <v>1</v>
      </c>
    </row>
    <row r="8195" spans="1:7" ht="12.75">
      <c r="A8195" s="134" t="s">
        <v>471</v>
      </c>
      <c r="B8195" s="134">
        <v>361</v>
      </c>
      <c r="C8195" s="491">
        <v>1</v>
      </c>
      <c r="D8195" s="491">
        <v>0</v>
      </c>
      <c r="E8195" s="491">
        <v>0</v>
      </c>
      <c r="F8195" s="491">
        <v>0</v>
      </c>
      <c r="G8195" s="491">
        <f t="shared" si="128"/>
        <v>1</v>
      </c>
    </row>
    <row r="8196" spans="1:7" ht="12.75">
      <c r="A8196" s="134" t="s">
        <v>471</v>
      </c>
      <c r="B8196" s="134">
        <v>420</v>
      </c>
      <c r="C8196" s="491">
        <v>133</v>
      </c>
      <c r="D8196" s="491">
        <v>36</v>
      </c>
      <c r="E8196" s="491">
        <v>6</v>
      </c>
      <c r="F8196" s="491">
        <v>1</v>
      </c>
      <c r="G8196" s="491">
        <f t="shared" si="128"/>
        <v>176</v>
      </c>
    </row>
    <row r="8197" spans="1:7" ht="12.75">
      <c r="A8197" s="134" t="s">
        <v>471</v>
      </c>
      <c r="B8197" s="134">
        <v>422</v>
      </c>
      <c r="C8197" s="491">
        <v>1</v>
      </c>
      <c r="D8197" s="491">
        <v>0</v>
      </c>
      <c r="E8197" s="491">
        <v>0</v>
      </c>
      <c r="F8197" s="491">
        <v>0</v>
      </c>
      <c r="G8197" s="491">
        <f t="shared" si="128"/>
        <v>1</v>
      </c>
    </row>
    <row r="8198" spans="1:7" ht="12.75">
      <c r="A8198" s="134" t="s">
        <v>471</v>
      </c>
      <c r="B8198" s="134">
        <v>501</v>
      </c>
      <c r="C8198" s="491">
        <v>207</v>
      </c>
      <c r="D8198" s="491">
        <v>110</v>
      </c>
      <c r="E8198" s="491">
        <v>7</v>
      </c>
      <c r="F8198" s="491">
        <v>8</v>
      </c>
      <c r="G8198" s="491">
        <f t="shared" si="128"/>
        <v>332</v>
      </c>
    </row>
    <row r="8199" spans="1:7" ht="12.75">
      <c r="A8199" s="134" t="s">
        <v>471</v>
      </c>
      <c r="B8199" s="134">
        <v>502</v>
      </c>
      <c r="C8199" s="491">
        <v>3</v>
      </c>
      <c r="D8199" s="491">
        <v>17</v>
      </c>
      <c r="E8199" s="491">
        <v>1</v>
      </c>
      <c r="F8199" s="491">
        <v>3</v>
      </c>
      <c r="G8199" s="491">
        <f t="shared" si="128"/>
        <v>24</v>
      </c>
    </row>
    <row r="8200" spans="1:7" ht="12.75">
      <c r="A8200" s="134" t="s">
        <v>471</v>
      </c>
      <c r="B8200" s="134">
        <v>560</v>
      </c>
      <c r="C8200" s="491">
        <v>199</v>
      </c>
      <c r="D8200" s="491">
        <v>71</v>
      </c>
      <c r="E8200" s="491">
        <v>8</v>
      </c>
      <c r="F8200" s="491">
        <v>2</v>
      </c>
      <c r="G8200" s="491">
        <f t="shared" si="128"/>
        <v>280</v>
      </c>
    </row>
    <row r="8201" spans="1:7" ht="12.75">
      <c r="A8201" s="134" t="s">
        <v>471</v>
      </c>
      <c r="B8201" s="134">
        <v>812</v>
      </c>
      <c r="C8201" s="491">
        <v>55</v>
      </c>
      <c r="D8201" s="491">
        <v>0</v>
      </c>
      <c r="E8201" s="491">
        <v>0</v>
      </c>
      <c r="F8201" s="491">
        <v>0</v>
      </c>
      <c r="G8201" s="491">
        <f t="shared" si="128"/>
        <v>55</v>
      </c>
    </row>
    <row r="8202" spans="1:7" ht="12.75">
      <c r="A8202" s="134" t="s">
        <v>199</v>
      </c>
      <c r="B8202" s="134">
        <v>102</v>
      </c>
      <c r="C8202" s="491">
        <v>1</v>
      </c>
      <c r="D8202" s="491">
        <v>0</v>
      </c>
      <c r="E8202" s="491">
        <v>0</v>
      </c>
      <c r="F8202" s="491">
        <v>0</v>
      </c>
      <c r="G8202" s="491">
        <f t="shared" si="128"/>
        <v>1</v>
      </c>
    </row>
    <row r="8203" spans="1:7" ht="12.75">
      <c r="A8203" s="134" t="s">
        <v>199</v>
      </c>
      <c r="B8203" s="134">
        <v>160</v>
      </c>
      <c r="C8203" s="491">
        <v>1</v>
      </c>
      <c r="D8203" s="491">
        <v>0</v>
      </c>
      <c r="E8203" s="491">
        <v>0</v>
      </c>
      <c r="F8203" s="491">
        <v>0</v>
      </c>
      <c r="G8203" s="491">
        <f t="shared" si="128"/>
        <v>1</v>
      </c>
    </row>
    <row r="8204" spans="1:7" ht="12.75">
      <c r="A8204" s="134" t="s">
        <v>199</v>
      </c>
      <c r="B8204" s="134">
        <v>361</v>
      </c>
      <c r="C8204" s="491">
        <v>3</v>
      </c>
      <c r="D8204" s="491">
        <v>0</v>
      </c>
      <c r="E8204" s="491">
        <v>0</v>
      </c>
      <c r="F8204" s="491">
        <v>0</v>
      </c>
      <c r="G8204" s="491">
        <f t="shared" si="128"/>
        <v>3</v>
      </c>
    </row>
    <row r="8205" spans="1:7" ht="12.75">
      <c r="A8205" s="134" t="s">
        <v>199</v>
      </c>
      <c r="B8205" s="134">
        <v>370</v>
      </c>
      <c r="C8205" s="491">
        <v>1</v>
      </c>
      <c r="D8205" s="491">
        <v>0</v>
      </c>
      <c r="E8205" s="491">
        <v>0</v>
      </c>
      <c r="F8205" s="491">
        <v>0</v>
      </c>
      <c r="G8205" s="491">
        <f t="shared" ref="G8205:G8268" si="129">SUM(C8205:F8205)</f>
        <v>1</v>
      </c>
    </row>
    <row r="8206" spans="1:7" ht="12.75">
      <c r="A8206" s="134" t="s">
        <v>199</v>
      </c>
      <c r="B8206" s="134">
        <v>410</v>
      </c>
      <c r="C8206" s="491">
        <v>1</v>
      </c>
      <c r="D8206" s="491">
        <v>0</v>
      </c>
      <c r="E8206" s="491">
        <v>0</v>
      </c>
      <c r="F8206" s="491">
        <v>0</v>
      </c>
      <c r="G8206" s="491">
        <f t="shared" si="129"/>
        <v>1</v>
      </c>
    </row>
    <row r="8207" spans="1:7" ht="12.75">
      <c r="A8207" s="134" t="s">
        <v>199</v>
      </c>
      <c r="B8207" s="134">
        <v>501</v>
      </c>
      <c r="C8207" s="491">
        <v>1</v>
      </c>
      <c r="D8207" s="491">
        <v>0</v>
      </c>
      <c r="E8207" s="491">
        <v>0</v>
      </c>
      <c r="F8207" s="491">
        <v>0</v>
      </c>
      <c r="G8207" s="491">
        <f t="shared" si="129"/>
        <v>1</v>
      </c>
    </row>
    <row r="8208" spans="1:7" ht="12.75">
      <c r="A8208" s="134" t="s">
        <v>200</v>
      </c>
      <c r="B8208" s="134">
        <v>101</v>
      </c>
      <c r="C8208" s="491">
        <v>4</v>
      </c>
      <c r="D8208" s="491">
        <v>3</v>
      </c>
      <c r="E8208" s="491">
        <v>1</v>
      </c>
      <c r="F8208" s="491">
        <v>0</v>
      </c>
      <c r="G8208" s="491">
        <f t="shared" si="129"/>
        <v>8</v>
      </c>
    </row>
    <row r="8209" spans="1:7" ht="12.75">
      <c r="A8209" s="134" t="s">
        <v>955</v>
      </c>
      <c r="B8209" s="134">
        <v>191</v>
      </c>
      <c r="C8209" s="491">
        <v>1</v>
      </c>
      <c r="D8209" s="491">
        <v>0</v>
      </c>
      <c r="E8209" s="491">
        <v>0</v>
      </c>
      <c r="F8209" s="491">
        <v>0</v>
      </c>
      <c r="G8209" s="491">
        <f t="shared" si="129"/>
        <v>1</v>
      </c>
    </row>
    <row r="8210" spans="1:7" ht="12.75">
      <c r="A8210" s="134" t="s">
        <v>955</v>
      </c>
      <c r="B8210" s="134">
        <v>303</v>
      </c>
      <c r="C8210" s="491">
        <v>4</v>
      </c>
      <c r="D8210" s="491">
        <v>0</v>
      </c>
      <c r="E8210" s="491">
        <v>0</v>
      </c>
      <c r="F8210" s="491">
        <v>0</v>
      </c>
      <c r="G8210" s="491">
        <f t="shared" si="129"/>
        <v>4</v>
      </c>
    </row>
    <row r="8211" spans="1:7" ht="12.75">
      <c r="A8211" s="134" t="s">
        <v>955</v>
      </c>
      <c r="B8211" s="134">
        <v>410</v>
      </c>
      <c r="C8211" s="491">
        <v>2</v>
      </c>
      <c r="D8211" s="491">
        <v>0</v>
      </c>
      <c r="E8211" s="491">
        <v>0</v>
      </c>
      <c r="F8211" s="491">
        <v>0</v>
      </c>
      <c r="G8211" s="491">
        <f t="shared" si="129"/>
        <v>2</v>
      </c>
    </row>
    <row r="8212" spans="1:7" ht="12.75">
      <c r="A8212" s="134" t="s">
        <v>955</v>
      </c>
      <c r="B8212" s="134">
        <v>800</v>
      </c>
      <c r="C8212" s="491">
        <v>1</v>
      </c>
      <c r="D8212" s="491">
        <v>0</v>
      </c>
      <c r="E8212" s="491">
        <v>0</v>
      </c>
      <c r="F8212" s="491">
        <v>0</v>
      </c>
      <c r="G8212" s="491">
        <f t="shared" si="129"/>
        <v>1</v>
      </c>
    </row>
    <row r="8213" spans="1:7" ht="12.75">
      <c r="A8213" s="134" t="s">
        <v>201</v>
      </c>
      <c r="B8213" s="134">
        <v>110</v>
      </c>
      <c r="C8213" s="491">
        <v>5</v>
      </c>
      <c r="D8213" s="491">
        <v>1</v>
      </c>
      <c r="E8213" s="491">
        <v>0</v>
      </c>
      <c r="F8213" s="491">
        <v>0</v>
      </c>
      <c r="G8213" s="491">
        <f t="shared" si="129"/>
        <v>6</v>
      </c>
    </row>
    <row r="8214" spans="1:7" ht="12.75">
      <c r="A8214" s="134" t="s">
        <v>201</v>
      </c>
      <c r="B8214" s="134">
        <v>160</v>
      </c>
      <c r="C8214" s="491">
        <v>0</v>
      </c>
      <c r="D8214" s="491">
        <v>1</v>
      </c>
      <c r="E8214" s="491">
        <v>0</v>
      </c>
      <c r="F8214" s="491">
        <v>0</v>
      </c>
      <c r="G8214" s="491">
        <f t="shared" si="129"/>
        <v>1</v>
      </c>
    </row>
    <row r="8215" spans="1:7" ht="12.75">
      <c r="A8215" s="134" t="s">
        <v>201</v>
      </c>
      <c r="B8215" s="134">
        <v>303</v>
      </c>
      <c r="C8215" s="491">
        <v>2</v>
      </c>
      <c r="D8215" s="491">
        <v>0</v>
      </c>
      <c r="E8215" s="491">
        <v>0</v>
      </c>
      <c r="F8215" s="491">
        <v>0</v>
      </c>
      <c r="G8215" s="491">
        <f t="shared" si="129"/>
        <v>2</v>
      </c>
    </row>
    <row r="8216" spans="1:7" ht="12.75">
      <c r="A8216" s="134" t="s">
        <v>201</v>
      </c>
      <c r="B8216" s="134">
        <v>501</v>
      </c>
      <c r="C8216" s="491">
        <v>1</v>
      </c>
      <c r="D8216" s="491">
        <v>0</v>
      </c>
      <c r="E8216" s="491">
        <v>0</v>
      </c>
      <c r="F8216" s="491">
        <v>0</v>
      </c>
      <c r="G8216" s="491">
        <f t="shared" si="129"/>
        <v>1</v>
      </c>
    </row>
    <row r="8217" spans="1:7" ht="12.75">
      <c r="A8217" s="134" t="s">
        <v>341</v>
      </c>
      <c r="B8217" s="134">
        <v>110</v>
      </c>
      <c r="C8217" s="491">
        <v>1</v>
      </c>
      <c r="D8217" s="491">
        <v>0</v>
      </c>
      <c r="E8217" s="491">
        <v>0</v>
      </c>
      <c r="F8217" s="491">
        <v>0</v>
      </c>
      <c r="G8217" s="491">
        <f t="shared" si="129"/>
        <v>1</v>
      </c>
    </row>
    <row r="8218" spans="1:7" ht="12.75">
      <c r="A8218" s="134" t="s">
        <v>1064</v>
      </c>
      <c r="B8218" s="134">
        <v>361</v>
      </c>
      <c r="C8218" s="491">
        <v>1</v>
      </c>
      <c r="D8218" s="491">
        <v>0</v>
      </c>
      <c r="E8218" s="491">
        <v>0</v>
      </c>
      <c r="F8218" s="491">
        <v>0</v>
      </c>
      <c r="G8218" s="491">
        <f t="shared" si="129"/>
        <v>1</v>
      </c>
    </row>
    <row r="8219" spans="1:7" ht="12.75">
      <c r="A8219" s="134" t="s">
        <v>202</v>
      </c>
      <c r="B8219" s="134">
        <v>101</v>
      </c>
      <c r="C8219" s="491">
        <v>1</v>
      </c>
      <c r="D8219" s="491">
        <v>0</v>
      </c>
      <c r="E8219" s="491">
        <v>0</v>
      </c>
      <c r="F8219" s="491">
        <v>0</v>
      </c>
      <c r="G8219" s="491">
        <f t="shared" si="129"/>
        <v>1</v>
      </c>
    </row>
    <row r="8220" spans="1:7" ht="12.75">
      <c r="A8220" s="134" t="s">
        <v>202</v>
      </c>
      <c r="B8220" s="134">
        <v>300</v>
      </c>
      <c r="C8220" s="491">
        <v>0</v>
      </c>
      <c r="D8220" s="491">
        <v>1</v>
      </c>
      <c r="E8220" s="491">
        <v>0</v>
      </c>
      <c r="F8220" s="491">
        <v>0</v>
      </c>
      <c r="G8220" s="491">
        <f t="shared" si="129"/>
        <v>1</v>
      </c>
    </row>
    <row r="8221" spans="1:7" ht="12.75">
      <c r="A8221" s="134" t="s">
        <v>203</v>
      </c>
      <c r="B8221" s="134">
        <v>103</v>
      </c>
      <c r="C8221" s="491">
        <v>1</v>
      </c>
      <c r="D8221" s="491">
        <v>0</v>
      </c>
      <c r="E8221" s="491">
        <v>0</v>
      </c>
      <c r="F8221" s="491">
        <v>0</v>
      </c>
      <c r="G8221" s="491">
        <f t="shared" si="129"/>
        <v>1</v>
      </c>
    </row>
    <row r="8222" spans="1:7" ht="12.75">
      <c r="A8222" s="134" t="s">
        <v>203</v>
      </c>
      <c r="B8222" s="134">
        <v>110</v>
      </c>
      <c r="C8222" s="491">
        <v>0</v>
      </c>
      <c r="D8222" s="491">
        <v>1</v>
      </c>
      <c r="E8222" s="491">
        <v>0</v>
      </c>
      <c r="F8222" s="491">
        <v>0</v>
      </c>
      <c r="G8222" s="491">
        <f t="shared" si="129"/>
        <v>1</v>
      </c>
    </row>
    <row r="8223" spans="1:7" ht="12.75">
      <c r="A8223" s="134" t="s">
        <v>203</v>
      </c>
      <c r="B8223" s="134">
        <v>330</v>
      </c>
      <c r="C8223" s="491">
        <v>1</v>
      </c>
      <c r="D8223" s="491">
        <v>0</v>
      </c>
      <c r="E8223" s="491">
        <v>0</v>
      </c>
      <c r="F8223" s="491">
        <v>0</v>
      </c>
      <c r="G8223" s="491">
        <f t="shared" si="129"/>
        <v>1</v>
      </c>
    </row>
    <row r="8224" spans="1:7" ht="12.75">
      <c r="A8224" s="134" t="s">
        <v>203</v>
      </c>
      <c r="B8224" s="134">
        <v>502</v>
      </c>
      <c r="C8224" s="491">
        <v>0</v>
      </c>
      <c r="D8224" s="491">
        <v>2</v>
      </c>
      <c r="E8224" s="491">
        <v>0</v>
      </c>
      <c r="F8224" s="491">
        <v>0</v>
      </c>
      <c r="G8224" s="491">
        <f t="shared" si="129"/>
        <v>2</v>
      </c>
    </row>
    <row r="8225" spans="1:7" ht="12.75">
      <c r="A8225" s="134" t="s">
        <v>956</v>
      </c>
      <c r="B8225" s="134">
        <v>420</v>
      </c>
      <c r="C8225" s="491">
        <v>1</v>
      </c>
      <c r="D8225" s="491">
        <v>0</v>
      </c>
      <c r="E8225" s="491">
        <v>0</v>
      </c>
      <c r="F8225" s="491">
        <v>0</v>
      </c>
      <c r="G8225" s="491">
        <f t="shared" si="129"/>
        <v>1</v>
      </c>
    </row>
    <row r="8226" spans="1:7" ht="12.75">
      <c r="A8226" s="134" t="s">
        <v>204</v>
      </c>
      <c r="B8226" s="134">
        <v>100</v>
      </c>
      <c r="C8226" s="491">
        <v>1</v>
      </c>
      <c r="D8226" s="491">
        <v>10</v>
      </c>
      <c r="E8226" s="491">
        <v>0</v>
      </c>
      <c r="F8226" s="491">
        <v>0</v>
      </c>
      <c r="G8226" s="491">
        <f t="shared" si="129"/>
        <v>11</v>
      </c>
    </row>
    <row r="8227" spans="1:7" ht="12.75">
      <c r="A8227" s="134" t="s">
        <v>204</v>
      </c>
      <c r="B8227" s="134">
        <v>101</v>
      </c>
      <c r="C8227" s="491">
        <v>1</v>
      </c>
      <c r="D8227" s="491">
        <v>0</v>
      </c>
      <c r="E8227" s="491">
        <v>0</v>
      </c>
      <c r="F8227" s="491">
        <v>0</v>
      </c>
      <c r="G8227" s="491">
        <f t="shared" si="129"/>
        <v>1</v>
      </c>
    </row>
    <row r="8228" spans="1:7" ht="12.75">
      <c r="A8228" s="134" t="s">
        <v>204</v>
      </c>
      <c r="B8228" s="134">
        <v>103</v>
      </c>
      <c r="C8228" s="491">
        <v>1</v>
      </c>
      <c r="D8228" s="491">
        <v>0</v>
      </c>
      <c r="E8228" s="491">
        <v>0</v>
      </c>
      <c r="F8228" s="491">
        <v>0</v>
      </c>
      <c r="G8228" s="491">
        <f t="shared" si="129"/>
        <v>1</v>
      </c>
    </row>
    <row r="8229" spans="1:7" ht="12.75">
      <c r="A8229" s="134" t="s">
        <v>204</v>
      </c>
      <c r="B8229" s="134">
        <v>110</v>
      </c>
      <c r="C8229" s="491">
        <v>0</v>
      </c>
      <c r="D8229" s="491">
        <v>1</v>
      </c>
      <c r="E8229" s="491">
        <v>0</v>
      </c>
      <c r="F8229" s="491">
        <v>0</v>
      </c>
      <c r="G8229" s="491">
        <f t="shared" si="129"/>
        <v>1</v>
      </c>
    </row>
    <row r="8230" spans="1:7" ht="12.75">
      <c r="A8230" s="134" t="s">
        <v>204</v>
      </c>
      <c r="B8230" s="134">
        <v>191</v>
      </c>
      <c r="C8230" s="491">
        <v>1</v>
      </c>
      <c r="D8230" s="491">
        <v>0</v>
      </c>
      <c r="E8230" s="491">
        <v>0</v>
      </c>
      <c r="F8230" s="491">
        <v>0</v>
      </c>
      <c r="G8230" s="491">
        <f t="shared" si="129"/>
        <v>1</v>
      </c>
    </row>
    <row r="8231" spans="1:7" ht="12.75">
      <c r="A8231" s="134" t="s">
        <v>204</v>
      </c>
      <c r="B8231" s="134">
        <v>303</v>
      </c>
      <c r="C8231" s="491">
        <v>2221</v>
      </c>
      <c r="D8231" s="491">
        <v>495</v>
      </c>
      <c r="E8231" s="491">
        <v>264</v>
      </c>
      <c r="F8231" s="491">
        <v>14</v>
      </c>
      <c r="G8231" s="491">
        <f t="shared" si="129"/>
        <v>2994</v>
      </c>
    </row>
    <row r="8232" spans="1:7" ht="12.75">
      <c r="A8232" s="134" t="s">
        <v>204</v>
      </c>
      <c r="B8232" s="134">
        <v>305</v>
      </c>
      <c r="C8232" s="491">
        <v>12</v>
      </c>
      <c r="D8232" s="491">
        <v>0</v>
      </c>
      <c r="E8232" s="491">
        <v>0</v>
      </c>
      <c r="F8232" s="491">
        <v>0</v>
      </c>
      <c r="G8232" s="491">
        <f t="shared" si="129"/>
        <v>12</v>
      </c>
    </row>
    <row r="8233" spans="1:7" ht="12.75">
      <c r="A8233" s="134" t="s">
        <v>204</v>
      </c>
      <c r="B8233" s="134">
        <v>308</v>
      </c>
      <c r="C8233" s="491">
        <v>1</v>
      </c>
      <c r="D8233" s="491">
        <v>1</v>
      </c>
      <c r="E8233" s="491">
        <v>0</v>
      </c>
      <c r="F8233" s="491">
        <v>0</v>
      </c>
      <c r="G8233" s="491">
        <f t="shared" si="129"/>
        <v>2</v>
      </c>
    </row>
    <row r="8234" spans="1:7" ht="12.75">
      <c r="A8234" s="134" t="s">
        <v>204</v>
      </c>
      <c r="B8234" s="134">
        <v>320</v>
      </c>
      <c r="C8234" s="491">
        <v>0</v>
      </c>
      <c r="D8234" s="491">
        <v>2</v>
      </c>
      <c r="E8234" s="491">
        <v>0</v>
      </c>
      <c r="F8234" s="491">
        <v>0</v>
      </c>
      <c r="G8234" s="491">
        <f t="shared" si="129"/>
        <v>2</v>
      </c>
    </row>
    <row r="8235" spans="1:7" ht="12.75">
      <c r="A8235" s="134" t="s">
        <v>204</v>
      </c>
      <c r="B8235" s="134">
        <v>330</v>
      </c>
      <c r="C8235" s="491">
        <v>1</v>
      </c>
      <c r="D8235" s="491">
        <v>0</v>
      </c>
      <c r="E8235" s="491">
        <v>1</v>
      </c>
      <c r="F8235" s="491">
        <v>0</v>
      </c>
      <c r="G8235" s="491">
        <f t="shared" si="129"/>
        <v>2</v>
      </c>
    </row>
    <row r="8236" spans="1:7" ht="12.75">
      <c r="A8236" s="134" t="s">
        <v>204</v>
      </c>
      <c r="B8236" s="134">
        <v>370</v>
      </c>
      <c r="C8236" s="491">
        <v>149</v>
      </c>
      <c r="D8236" s="491">
        <v>0</v>
      </c>
      <c r="E8236" s="491">
        <v>4</v>
      </c>
      <c r="F8236" s="491">
        <v>0</v>
      </c>
      <c r="G8236" s="491">
        <f t="shared" si="129"/>
        <v>153</v>
      </c>
    </row>
    <row r="8237" spans="1:7" ht="12.75">
      <c r="A8237" s="134" t="s">
        <v>204</v>
      </c>
      <c r="B8237" s="134">
        <v>430</v>
      </c>
      <c r="C8237" s="491">
        <v>0</v>
      </c>
      <c r="D8237" s="491">
        <v>4</v>
      </c>
      <c r="E8237" s="491">
        <v>0</v>
      </c>
      <c r="F8237" s="491">
        <v>0</v>
      </c>
      <c r="G8237" s="491">
        <f t="shared" si="129"/>
        <v>4</v>
      </c>
    </row>
    <row r="8238" spans="1:7" ht="12.75">
      <c r="A8238" s="134" t="s">
        <v>204</v>
      </c>
      <c r="B8238" s="134">
        <v>800</v>
      </c>
      <c r="C8238" s="491">
        <v>73</v>
      </c>
      <c r="D8238" s="491">
        <v>2</v>
      </c>
      <c r="E8238" s="491">
        <v>0</v>
      </c>
      <c r="F8238" s="491">
        <v>0</v>
      </c>
      <c r="G8238" s="491">
        <f t="shared" si="129"/>
        <v>75</v>
      </c>
    </row>
    <row r="8239" spans="1:7" ht="12.75">
      <c r="A8239" s="134" t="s">
        <v>205</v>
      </c>
      <c r="B8239" s="134">
        <v>303</v>
      </c>
      <c r="C8239" s="491">
        <v>4</v>
      </c>
      <c r="D8239" s="491">
        <v>0</v>
      </c>
      <c r="E8239" s="491">
        <v>0</v>
      </c>
      <c r="F8239" s="491">
        <v>0</v>
      </c>
      <c r="G8239" s="491">
        <f t="shared" si="129"/>
        <v>4</v>
      </c>
    </row>
    <row r="8240" spans="1:7" ht="12.75">
      <c r="A8240" s="134" t="s">
        <v>957</v>
      </c>
      <c r="B8240" s="134">
        <v>100</v>
      </c>
      <c r="C8240" s="491">
        <v>19</v>
      </c>
      <c r="D8240" s="491">
        <v>4</v>
      </c>
      <c r="E8240" s="491">
        <v>0</v>
      </c>
      <c r="F8240" s="491">
        <v>1</v>
      </c>
      <c r="G8240" s="491">
        <f t="shared" si="129"/>
        <v>24</v>
      </c>
    </row>
    <row r="8241" spans="1:7" ht="12.75">
      <c r="A8241" s="134" t="s">
        <v>957</v>
      </c>
      <c r="B8241" s="134">
        <v>101</v>
      </c>
      <c r="C8241" s="491">
        <v>233</v>
      </c>
      <c r="D8241" s="491">
        <v>23</v>
      </c>
      <c r="E8241" s="491">
        <v>1</v>
      </c>
      <c r="F8241" s="491">
        <v>0</v>
      </c>
      <c r="G8241" s="491">
        <f t="shared" si="129"/>
        <v>257</v>
      </c>
    </row>
    <row r="8242" spans="1:7" ht="12.75">
      <c r="A8242" s="134" t="s">
        <v>957</v>
      </c>
      <c r="B8242" s="134">
        <v>102</v>
      </c>
      <c r="C8242" s="491">
        <v>0</v>
      </c>
      <c r="D8242" s="491">
        <v>6</v>
      </c>
      <c r="E8242" s="491">
        <v>0</v>
      </c>
      <c r="F8242" s="491">
        <v>0</v>
      </c>
      <c r="G8242" s="491">
        <f t="shared" si="129"/>
        <v>6</v>
      </c>
    </row>
    <row r="8243" spans="1:7" ht="12.75">
      <c r="A8243" s="134" t="s">
        <v>957</v>
      </c>
      <c r="B8243" s="134">
        <v>103</v>
      </c>
      <c r="C8243" s="491">
        <v>12</v>
      </c>
      <c r="D8243" s="491">
        <v>10</v>
      </c>
      <c r="E8243" s="491">
        <v>0</v>
      </c>
      <c r="F8243" s="491">
        <v>0</v>
      </c>
      <c r="G8243" s="491">
        <f t="shared" si="129"/>
        <v>22</v>
      </c>
    </row>
    <row r="8244" spans="1:7" ht="12.75">
      <c r="A8244" s="134" t="s">
        <v>957</v>
      </c>
      <c r="B8244" s="134">
        <v>104</v>
      </c>
      <c r="C8244" s="491">
        <v>0</v>
      </c>
      <c r="D8244" s="491">
        <v>9</v>
      </c>
      <c r="E8244" s="491">
        <v>0</v>
      </c>
      <c r="F8244" s="491">
        <v>0</v>
      </c>
      <c r="G8244" s="491">
        <f t="shared" si="129"/>
        <v>9</v>
      </c>
    </row>
    <row r="8245" spans="1:7" ht="12.75">
      <c r="A8245" s="134" t="s">
        <v>957</v>
      </c>
      <c r="B8245" s="134">
        <v>106</v>
      </c>
      <c r="C8245" s="491">
        <v>4</v>
      </c>
      <c r="D8245" s="491">
        <v>18</v>
      </c>
      <c r="E8245" s="491">
        <v>1</v>
      </c>
      <c r="F8245" s="491">
        <v>0</v>
      </c>
      <c r="G8245" s="491">
        <f t="shared" si="129"/>
        <v>23</v>
      </c>
    </row>
    <row r="8246" spans="1:7" ht="12.75">
      <c r="A8246" s="134" t="s">
        <v>957</v>
      </c>
      <c r="B8246" s="134">
        <v>107</v>
      </c>
      <c r="C8246" s="491">
        <v>0</v>
      </c>
      <c r="D8246" s="491">
        <v>7</v>
      </c>
      <c r="E8246" s="491">
        <v>0</v>
      </c>
      <c r="F8246" s="491">
        <v>0</v>
      </c>
      <c r="G8246" s="491">
        <f t="shared" si="129"/>
        <v>7</v>
      </c>
    </row>
    <row r="8247" spans="1:7" ht="12.75">
      <c r="A8247" s="134" t="s">
        <v>957</v>
      </c>
      <c r="B8247" s="134">
        <v>110</v>
      </c>
      <c r="C8247" s="491">
        <v>19</v>
      </c>
      <c r="D8247" s="491">
        <v>30</v>
      </c>
      <c r="E8247" s="491">
        <v>0</v>
      </c>
      <c r="F8247" s="491">
        <v>0</v>
      </c>
      <c r="G8247" s="491">
        <f t="shared" si="129"/>
        <v>49</v>
      </c>
    </row>
    <row r="8248" spans="1:7" ht="12.75">
      <c r="A8248" s="134" t="s">
        <v>957</v>
      </c>
      <c r="B8248" s="134">
        <v>120</v>
      </c>
      <c r="C8248" s="491">
        <v>3</v>
      </c>
      <c r="D8248" s="491">
        <v>30</v>
      </c>
      <c r="E8248" s="491">
        <v>0</v>
      </c>
      <c r="F8248" s="491">
        <v>0</v>
      </c>
      <c r="G8248" s="491">
        <f t="shared" si="129"/>
        <v>33</v>
      </c>
    </row>
    <row r="8249" spans="1:7" ht="12.75">
      <c r="A8249" s="134" t="s">
        <v>957</v>
      </c>
      <c r="B8249" s="134">
        <v>130</v>
      </c>
      <c r="C8249" s="491">
        <v>3</v>
      </c>
      <c r="D8249" s="491">
        <v>1</v>
      </c>
      <c r="E8249" s="491">
        <v>0</v>
      </c>
      <c r="F8249" s="491">
        <v>0</v>
      </c>
      <c r="G8249" s="491">
        <f t="shared" si="129"/>
        <v>4</v>
      </c>
    </row>
    <row r="8250" spans="1:7" ht="12.75">
      <c r="A8250" s="134" t="s">
        <v>957</v>
      </c>
      <c r="B8250" s="134">
        <v>140</v>
      </c>
      <c r="C8250" s="491">
        <v>3</v>
      </c>
      <c r="D8250" s="491">
        <v>8</v>
      </c>
      <c r="E8250" s="491">
        <v>0</v>
      </c>
      <c r="F8250" s="491">
        <v>0</v>
      </c>
      <c r="G8250" s="491">
        <f t="shared" si="129"/>
        <v>11</v>
      </c>
    </row>
    <row r="8251" spans="1:7" ht="12.75">
      <c r="A8251" s="134" t="s">
        <v>957</v>
      </c>
      <c r="B8251" s="134">
        <v>143</v>
      </c>
      <c r="C8251" s="491">
        <v>0</v>
      </c>
      <c r="D8251" s="491">
        <v>7</v>
      </c>
      <c r="E8251" s="491">
        <v>0</v>
      </c>
      <c r="F8251" s="491">
        <v>0</v>
      </c>
      <c r="G8251" s="491">
        <f t="shared" si="129"/>
        <v>7</v>
      </c>
    </row>
    <row r="8252" spans="1:7" ht="12.75">
      <c r="A8252" s="134" t="s">
        <v>957</v>
      </c>
      <c r="B8252" s="134">
        <v>144</v>
      </c>
      <c r="C8252" s="491">
        <v>4</v>
      </c>
      <c r="D8252" s="491">
        <v>21</v>
      </c>
      <c r="E8252" s="491">
        <v>0</v>
      </c>
      <c r="F8252" s="491">
        <v>0</v>
      </c>
      <c r="G8252" s="491">
        <f t="shared" si="129"/>
        <v>25</v>
      </c>
    </row>
    <row r="8253" spans="1:7" ht="12.75">
      <c r="A8253" s="134" t="s">
        <v>957</v>
      </c>
      <c r="B8253" s="134">
        <v>150</v>
      </c>
      <c r="C8253" s="491">
        <v>0</v>
      </c>
      <c r="D8253" s="491">
        <v>9</v>
      </c>
      <c r="E8253" s="491">
        <v>1</v>
      </c>
      <c r="F8253" s="491">
        <v>0</v>
      </c>
      <c r="G8253" s="491">
        <f t="shared" si="129"/>
        <v>10</v>
      </c>
    </row>
    <row r="8254" spans="1:7" ht="12.75">
      <c r="A8254" s="134" t="s">
        <v>957</v>
      </c>
      <c r="B8254" s="134">
        <v>160</v>
      </c>
      <c r="C8254" s="491">
        <v>3</v>
      </c>
      <c r="D8254" s="491">
        <v>48</v>
      </c>
      <c r="E8254" s="491">
        <v>0</v>
      </c>
      <c r="F8254" s="491">
        <v>0</v>
      </c>
      <c r="G8254" s="491">
        <f t="shared" si="129"/>
        <v>51</v>
      </c>
    </row>
    <row r="8255" spans="1:7" ht="12.75">
      <c r="A8255" s="134" t="s">
        <v>957</v>
      </c>
      <c r="B8255" s="134">
        <v>172</v>
      </c>
      <c r="C8255" s="491">
        <v>0</v>
      </c>
      <c r="D8255" s="491">
        <v>1</v>
      </c>
      <c r="E8255" s="491">
        <v>0</v>
      </c>
      <c r="F8255" s="491">
        <v>0</v>
      </c>
      <c r="G8255" s="491">
        <f t="shared" si="129"/>
        <v>1</v>
      </c>
    </row>
    <row r="8256" spans="1:7" ht="12.75">
      <c r="A8256" s="134" t="s">
        <v>957</v>
      </c>
      <c r="B8256" s="134">
        <v>180</v>
      </c>
      <c r="C8256" s="491">
        <v>1</v>
      </c>
      <c r="D8256" s="491">
        <v>2</v>
      </c>
      <c r="E8256" s="491">
        <v>0</v>
      </c>
      <c r="F8256" s="491">
        <v>0</v>
      </c>
      <c r="G8256" s="491">
        <f t="shared" si="129"/>
        <v>3</v>
      </c>
    </row>
    <row r="8257" spans="1:7" ht="12.75">
      <c r="A8257" s="134" t="s">
        <v>957</v>
      </c>
      <c r="B8257" s="134">
        <v>190</v>
      </c>
      <c r="C8257" s="491">
        <v>0</v>
      </c>
      <c r="D8257" s="491">
        <v>6</v>
      </c>
      <c r="E8257" s="491">
        <v>0</v>
      </c>
      <c r="F8257" s="491">
        <v>0</v>
      </c>
      <c r="G8257" s="491">
        <f t="shared" si="129"/>
        <v>6</v>
      </c>
    </row>
    <row r="8258" spans="1:7" ht="12.75">
      <c r="A8258" s="134" t="s">
        <v>957</v>
      </c>
      <c r="B8258" s="134">
        <v>191</v>
      </c>
      <c r="C8258" s="491">
        <v>9</v>
      </c>
      <c r="D8258" s="491">
        <v>5</v>
      </c>
      <c r="E8258" s="491">
        <v>2</v>
      </c>
      <c r="F8258" s="491">
        <v>0</v>
      </c>
      <c r="G8258" s="491">
        <f t="shared" si="129"/>
        <v>16</v>
      </c>
    </row>
    <row r="8259" spans="1:7" ht="12.75">
      <c r="A8259" s="134" t="s">
        <v>957</v>
      </c>
      <c r="B8259" s="134">
        <v>211</v>
      </c>
      <c r="C8259" s="491">
        <v>0</v>
      </c>
      <c r="D8259" s="491">
        <v>3</v>
      </c>
      <c r="E8259" s="491">
        <v>0</v>
      </c>
      <c r="F8259" s="491">
        <v>0</v>
      </c>
      <c r="G8259" s="491">
        <f t="shared" si="129"/>
        <v>3</v>
      </c>
    </row>
    <row r="8260" spans="1:7" ht="12.75">
      <c r="A8260" s="134" t="s">
        <v>957</v>
      </c>
      <c r="B8260" s="134">
        <v>214</v>
      </c>
      <c r="C8260" s="491">
        <v>5</v>
      </c>
      <c r="D8260" s="491">
        <v>0</v>
      </c>
      <c r="E8260" s="491">
        <v>0</v>
      </c>
      <c r="F8260" s="491">
        <v>0</v>
      </c>
      <c r="G8260" s="491">
        <f t="shared" si="129"/>
        <v>5</v>
      </c>
    </row>
    <row r="8261" spans="1:7" ht="12.75">
      <c r="A8261" s="134" t="s">
        <v>957</v>
      </c>
      <c r="B8261" s="134">
        <v>216</v>
      </c>
      <c r="C8261" s="491">
        <v>0</v>
      </c>
      <c r="D8261" s="491">
        <v>0</v>
      </c>
      <c r="E8261" s="491">
        <v>1</v>
      </c>
      <c r="F8261" s="491">
        <v>0</v>
      </c>
      <c r="G8261" s="491">
        <f t="shared" si="129"/>
        <v>1</v>
      </c>
    </row>
    <row r="8262" spans="1:7" ht="12.75">
      <c r="A8262" s="134" t="s">
        <v>957</v>
      </c>
      <c r="B8262" s="134">
        <v>251</v>
      </c>
      <c r="C8262" s="491">
        <v>0</v>
      </c>
      <c r="D8262" s="491">
        <v>3</v>
      </c>
      <c r="E8262" s="491">
        <v>0</v>
      </c>
      <c r="F8262" s="491">
        <v>0</v>
      </c>
      <c r="G8262" s="491">
        <f t="shared" si="129"/>
        <v>3</v>
      </c>
    </row>
    <row r="8263" spans="1:7" ht="12.75">
      <c r="A8263" s="134" t="s">
        <v>957</v>
      </c>
      <c r="B8263" s="134">
        <v>252</v>
      </c>
      <c r="C8263" s="491">
        <v>2</v>
      </c>
      <c r="D8263" s="491">
        <v>2</v>
      </c>
      <c r="E8263" s="491">
        <v>0</v>
      </c>
      <c r="F8263" s="491">
        <v>0</v>
      </c>
      <c r="G8263" s="491">
        <f t="shared" si="129"/>
        <v>4</v>
      </c>
    </row>
    <row r="8264" spans="1:7" ht="12.75">
      <c r="A8264" s="134" t="s">
        <v>957</v>
      </c>
      <c r="B8264" s="134">
        <v>253</v>
      </c>
      <c r="C8264" s="491">
        <v>127</v>
      </c>
      <c r="D8264" s="491">
        <v>3</v>
      </c>
      <c r="E8264" s="491">
        <v>86</v>
      </c>
      <c r="F8264" s="491">
        <v>3</v>
      </c>
      <c r="G8264" s="491">
        <f t="shared" si="129"/>
        <v>219</v>
      </c>
    </row>
    <row r="8265" spans="1:7" ht="12.75">
      <c r="A8265" s="134" t="s">
        <v>957</v>
      </c>
      <c r="B8265" s="134">
        <v>255</v>
      </c>
      <c r="C8265" s="491">
        <v>0</v>
      </c>
      <c r="D8265" s="491">
        <v>0</v>
      </c>
      <c r="E8265" s="491">
        <v>1</v>
      </c>
      <c r="F8265" s="491">
        <v>0</v>
      </c>
      <c r="G8265" s="491">
        <f t="shared" si="129"/>
        <v>1</v>
      </c>
    </row>
    <row r="8266" spans="1:7" ht="12.75">
      <c r="A8266" s="134" t="s">
        <v>957</v>
      </c>
      <c r="B8266" s="134">
        <v>258</v>
      </c>
      <c r="C8266" s="491">
        <v>0</v>
      </c>
      <c r="D8266" s="491">
        <v>2</v>
      </c>
      <c r="E8266" s="491">
        <v>0</v>
      </c>
      <c r="F8266" s="491">
        <v>0</v>
      </c>
      <c r="G8266" s="491">
        <f t="shared" si="129"/>
        <v>2</v>
      </c>
    </row>
    <row r="8267" spans="1:7" ht="12.75">
      <c r="A8267" s="134" t="s">
        <v>957</v>
      </c>
      <c r="B8267" s="134">
        <v>260</v>
      </c>
      <c r="C8267" s="491">
        <v>906</v>
      </c>
      <c r="D8267" s="491">
        <v>2</v>
      </c>
      <c r="E8267" s="491">
        <v>112</v>
      </c>
      <c r="F8267" s="491">
        <v>2</v>
      </c>
      <c r="G8267" s="491">
        <f t="shared" si="129"/>
        <v>1022</v>
      </c>
    </row>
    <row r="8268" spans="1:7" ht="12.75">
      <c r="A8268" s="134" t="s">
        <v>957</v>
      </c>
      <c r="B8268" s="134">
        <v>290</v>
      </c>
      <c r="C8268" s="491">
        <v>0</v>
      </c>
      <c r="D8268" s="491">
        <v>0</v>
      </c>
      <c r="E8268" s="491">
        <v>1</v>
      </c>
      <c r="F8268" s="491">
        <v>0</v>
      </c>
      <c r="G8268" s="491">
        <f t="shared" si="129"/>
        <v>1</v>
      </c>
    </row>
    <row r="8269" spans="1:7" ht="12.75">
      <c r="A8269" s="134" t="s">
        <v>957</v>
      </c>
      <c r="B8269" s="134">
        <v>300</v>
      </c>
      <c r="C8269" s="491">
        <v>9</v>
      </c>
      <c r="D8269" s="491">
        <v>8</v>
      </c>
      <c r="E8269" s="491">
        <v>0</v>
      </c>
      <c r="F8269" s="491">
        <v>0</v>
      </c>
      <c r="G8269" s="491">
        <f t="shared" ref="G8269:G8332" si="130">SUM(C8269:F8269)</f>
        <v>17</v>
      </c>
    </row>
    <row r="8270" spans="1:7" ht="12.75">
      <c r="A8270" s="134" t="s">
        <v>957</v>
      </c>
      <c r="B8270" s="134">
        <v>301</v>
      </c>
      <c r="C8270" s="491">
        <v>6</v>
      </c>
      <c r="D8270" s="491">
        <v>3</v>
      </c>
      <c r="E8270" s="491">
        <v>0</v>
      </c>
      <c r="F8270" s="491">
        <v>0</v>
      </c>
      <c r="G8270" s="491">
        <f t="shared" si="130"/>
        <v>9</v>
      </c>
    </row>
    <row r="8271" spans="1:7" ht="12.75">
      <c r="A8271" s="134" t="s">
        <v>957</v>
      </c>
      <c r="B8271" s="134">
        <v>302</v>
      </c>
      <c r="C8271" s="491">
        <v>1</v>
      </c>
      <c r="D8271" s="491">
        <v>6</v>
      </c>
      <c r="E8271" s="491">
        <v>0</v>
      </c>
      <c r="F8271" s="491">
        <v>0</v>
      </c>
      <c r="G8271" s="491">
        <f t="shared" si="130"/>
        <v>7</v>
      </c>
    </row>
    <row r="8272" spans="1:7" ht="12.75">
      <c r="A8272" s="134" t="s">
        <v>957</v>
      </c>
      <c r="B8272" s="134">
        <v>303</v>
      </c>
      <c r="C8272" s="491">
        <v>33871</v>
      </c>
      <c r="D8272" s="491">
        <v>445</v>
      </c>
      <c r="E8272" s="491">
        <v>920</v>
      </c>
      <c r="F8272" s="491">
        <v>26</v>
      </c>
      <c r="G8272" s="491">
        <f t="shared" si="130"/>
        <v>35262</v>
      </c>
    </row>
    <row r="8273" spans="1:7" ht="12.75">
      <c r="A8273" s="134" t="s">
        <v>957</v>
      </c>
      <c r="B8273" s="134">
        <v>304</v>
      </c>
      <c r="C8273" s="491">
        <v>1</v>
      </c>
      <c r="D8273" s="491">
        <v>0</v>
      </c>
      <c r="E8273" s="491">
        <v>0</v>
      </c>
      <c r="F8273" s="491">
        <v>0</v>
      </c>
      <c r="G8273" s="491">
        <f t="shared" si="130"/>
        <v>1</v>
      </c>
    </row>
    <row r="8274" spans="1:7" ht="12.75">
      <c r="A8274" s="134" t="s">
        <v>957</v>
      </c>
      <c r="B8274" s="134">
        <v>305</v>
      </c>
      <c r="C8274" s="491">
        <v>765</v>
      </c>
      <c r="D8274" s="491">
        <v>5</v>
      </c>
      <c r="E8274" s="491">
        <v>0</v>
      </c>
      <c r="F8274" s="491">
        <v>0</v>
      </c>
      <c r="G8274" s="491">
        <f t="shared" si="130"/>
        <v>770</v>
      </c>
    </row>
    <row r="8275" spans="1:7" ht="12.75">
      <c r="A8275" s="134" t="s">
        <v>957</v>
      </c>
      <c r="B8275" s="134">
        <v>306</v>
      </c>
      <c r="C8275" s="491">
        <v>1</v>
      </c>
      <c r="D8275" s="491">
        <v>3</v>
      </c>
      <c r="E8275" s="491">
        <v>0</v>
      </c>
      <c r="F8275" s="491">
        <v>0</v>
      </c>
      <c r="G8275" s="491">
        <f t="shared" si="130"/>
        <v>4</v>
      </c>
    </row>
    <row r="8276" spans="1:7" ht="12.75">
      <c r="A8276" s="134" t="s">
        <v>957</v>
      </c>
      <c r="B8276" s="134">
        <v>307</v>
      </c>
      <c r="C8276" s="491">
        <v>1</v>
      </c>
      <c r="D8276" s="491">
        <v>11</v>
      </c>
      <c r="E8276" s="491">
        <v>0</v>
      </c>
      <c r="F8276" s="491">
        <v>0</v>
      </c>
      <c r="G8276" s="491">
        <f t="shared" si="130"/>
        <v>12</v>
      </c>
    </row>
    <row r="8277" spans="1:7" ht="12.75">
      <c r="A8277" s="134" t="s">
        <v>957</v>
      </c>
      <c r="B8277" s="134">
        <v>308</v>
      </c>
      <c r="C8277" s="491">
        <v>521</v>
      </c>
      <c r="D8277" s="491">
        <v>7</v>
      </c>
      <c r="E8277" s="491">
        <v>35</v>
      </c>
      <c r="F8277" s="491">
        <v>0</v>
      </c>
      <c r="G8277" s="491">
        <f t="shared" si="130"/>
        <v>563</v>
      </c>
    </row>
    <row r="8278" spans="1:7" ht="12.75">
      <c r="A8278" s="134" t="s">
        <v>957</v>
      </c>
      <c r="B8278" s="134">
        <v>310</v>
      </c>
      <c r="C8278" s="491">
        <v>0</v>
      </c>
      <c r="D8278" s="491">
        <v>12</v>
      </c>
      <c r="E8278" s="491">
        <v>0</v>
      </c>
      <c r="F8278" s="491">
        <v>0</v>
      </c>
      <c r="G8278" s="491">
        <f t="shared" si="130"/>
        <v>12</v>
      </c>
    </row>
    <row r="8279" spans="1:7" ht="12.75">
      <c r="A8279" s="134" t="s">
        <v>957</v>
      </c>
      <c r="B8279" s="134">
        <v>311</v>
      </c>
      <c r="C8279" s="491">
        <v>1</v>
      </c>
      <c r="D8279" s="491">
        <v>0</v>
      </c>
      <c r="E8279" s="491">
        <v>0</v>
      </c>
      <c r="F8279" s="491">
        <v>0</v>
      </c>
      <c r="G8279" s="491">
        <f t="shared" si="130"/>
        <v>1</v>
      </c>
    </row>
    <row r="8280" spans="1:7" ht="12.75">
      <c r="A8280" s="134" t="s">
        <v>957</v>
      </c>
      <c r="B8280" s="134">
        <v>314</v>
      </c>
      <c r="C8280" s="491">
        <v>0</v>
      </c>
      <c r="D8280" s="491">
        <v>3</v>
      </c>
      <c r="E8280" s="491">
        <v>0</v>
      </c>
      <c r="F8280" s="491">
        <v>0</v>
      </c>
      <c r="G8280" s="491">
        <f t="shared" si="130"/>
        <v>3</v>
      </c>
    </row>
    <row r="8281" spans="1:7" ht="12.75">
      <c r="A8281" s="134" t="s">
        <v>957</v>
      </c>
      <c r="B8281" s="134">
        <v>315</v>
      </c>
      <c r="C8281" s="491">
        <v>15</v>
      </c>
      <c r="D8281" s="491">
        <v>10</v>
      </c>
      <c r="E8281" s="491">
        <v>2</v>
      </c>
      <c r="F8281" s="491">
        <v>1</v>
      </c>
      <c r="G8281" s="491">
        <f t="shared" si="130"/>
        <v>28</v>
      </c>
    </row>
    <row r="8282" spans="1:7" ht="12.75">
      <c r="A8282" s="134" t="s">
        <v>957</v>
      </c>
      <c r="B8282" s="134">
        <v>316</v>
      </c>
      <c r="C8282" s="491">
        <v>1</v>
      </c>
      <c r="D8282" s="491">
        <v>0</v>
      </c>
      <c r="E8282" s="491">
        <v>0</v>
      </c>
      <c r="F8282" s="491">
        <v>0</v>
      </c>
      <c r="G8282" s="491">
        <f t="shared" si="130"/>
        <v>1</v>
      </c>
    </row>
    <row r="8283" spans="1:7" ht="12.75">
      <c r="A8283" s="134" t="s">
        <v>957</v>
      </c>
      <c r="B8283" s="134">
        <v>320</v>
      </c>
      <c r="C8283" s="491">
        <v>2</v>
      </c>
      <c r="D8283" s="491">
        <v>25</v>
      </c>
      <c r="E8283" s="491">
        <v>1</v>
      </c>
      <c r="F8283" s="491">
        <v>0</v>
      </c>
      <c r="G8283" s="491">
        <f t="shared" si="130"/>
        <v>28</v>
      </c>
    </row>
    <row r="8284" spans="1:7" ht="12.75">
      <c r="A8284" s="134" t="s">
        <v>957</v>
      </c>
      <c r="B8284" s="134">
        <v>321</v>
      </c>
      <c r="C8284" s="491">
        <v>0</v>
      </c>
      <c r="D8284" s="491">
        <v>1</v>
      </c>
      <c r="E8284" s="491">
        <v>0</v>
      </c>
      <c r="F8284" s="491">
        <v>0</v>
      </c>
      <c r="G8284" s="491">
        <f t="shared" si="130"/>
        <v>1</v>
      </c>
    </row>
    <row r="8285" spans="1:7" ht="12.75">
      <c r="A8285" s="134" t="s">
        <v>957</v>
      </c>
      <c r="B8285" s="134">
        <v>324</v>
      </c>
      <c r="C8285" s="491">
        <v>8</v>
      </c>
      <c r="D8285" s="491">
        <v>46</v>
      </c>
      <c r="E8285" s="491">
        <v>0</v>
      </c>
      <c r="F8285" s="491">
        <v>0</v>
      </c>
      <c r="G8285" s="491">
        <f t="shared" si="130"/>
        <v>54</v>
      </c>
    </row>
    <row r="8286" spans="1:7" ht="12.75">
      <c r="A8286" s="134" t="s">
        <v>957</v>
      </c>
      <c r="B8286" s="134">
        <v>330</v>
      </c>
      <c r="C8286" s="491">
        <v>44</v>
      </c>
      <c r="D8286" s="491">
        <v>37</v>
      </c>
      <c r="E8286" s="491">
        <v>1</v>
      </c>
      <c r="F8286" s="491">
        <v>0</v>
      </c>
      <c r="G8286" s="491">
        <f t="shared" si="130"/>
        <v>82</v>
      </c>
    </row>
    <row r="8287" spans="1:7" ht="12.75">
      <c r="A8287" s="134" t="s">
        <v>957</v>
      </c>
      <c r="B8287" s="134">
        <v>340</v>
      </c>
      <c r="C8287" s="491">
        <v>5</v>
      </c>
      <c r="D8287" s="491">
        <v>11</v>
      </c>
      <c r="E8287" s="491">
        <v>0</v>
      </c>
      <c r="F8287" s="491">
        <v>0</v>
      </c>
      <c r="G8287" s="491">
        <f t="shared" si="130"/>
        <v>16</v>
      </c>
    </row>
    <row r="8288" spans="1:7" ht="12.75">
      <c r="A8288" s="134" t="s">
        <v>957</v>
      </c>
      <c r="B8288" s="134">
        <v>341</v>
      </c>
      <c r="C8288" s="491">
        <v>0</v>
      </c>
      <c r="D8288" s="491">
        <v>16</v>
      </c>
      <c r="E8288" s="491">
        <v>0</v>
      </c>
      <c r="F8288" s="491">
        <v>0</v>
      </c>
      <c r="G8288" s="491">
        <f t="shared" si="130"/>
        <v>16</v>
      </c>
    </row>
    <row r="8289" spans="1:7" ht="12.75">
      <c r="A8289" s="134" t="s">
        <v>957</v>
      </c>
      <c r="B8289" s="134">
        <v>350</v>
      </c>
      <c r="C8289" s="491">
        <v>0</v>
      </c>
      <c r="D8289" s="491">
        <v>2</v>
      </c>
      <c r="E8289" s="491">
        <v>0</v>
      </c>
      <c r="F8289" s="491">
        <v>0</v>
      </c>
      <c r="G8289" s="491">
        <f t="shared" si="130"/>
        <v>2</v>
      </c>
    </row>
    <row r="8290" spans="1:7" ht="12.75">
      <c r="A8290" s="134" t="s">
        <v>957</v>
      </c>
      <c r="B8290" s="134">
        <v>361</v>
      </c>
      <c r="C8290" s="491">
        <v>100</v>
      </c>
      <c r="D8290" s="491">
        <v>11</v>
      </c>
      <c r="E8290" s="491">
        <v>2</v>
      </c>
      <c r="F8290" s="491">
        <v>0</v>
      </c>
      <c r="G8290" s="491">
        <f t="shared" si="130"/>
        <v>113</v>
      </c>
    </row>
    <row r="8291" spans="1:7" ht="12.75">
      <c r="A8291" s="134" t="s">
        <v>957</v>
      </c>
      <c r="B8291" s="134">
        <v>370</v>
      </c>
      <c r="C8291" s="491">
        <v>118121</v>
      </c>
      <c r="D8291" s="491">
        <v>2689</v>
      </c>
      <c r="E8291" s="491">
        <v>1354</v>
      </c>
      <c r="F8291" s="491">
        <v>7</v>
      </c>
      <c r="G8291" s="491">
        <f t="shared" si="130"/>
        <v>122171</v>
      </c>
    </row>
    <row r="8292" spans="1:7" ht="12.75">
      <c r="A8292" s="134" t="s">
        <v>957</v>
      </c>
      <c r="B8292" s="134">
        <v>400</v>
      </c>
      <c r="C8292" s="491">
        <v>0</v>
      </c>
      <c r="D8292" s="491">
        <v>17</v>
      </c>
      <c r="E8292" s="491">
        <v>0</v>
      </c>
      <c r="F8292" s="491">
        <v>0</v>
      </c>
      <c r="G8292" s="491">
        <f t="shared" si="130"/>
        <v>17</v>
      </c>
    </row>
    <row r="8293" spans="1:7" ht="12.75">
      <c r="A8293" s="134" t="s">
        <v>957</v>
      </c>
      <c r="B8293" s="134">
        <v>410</v>
      </c>
      <c r="C8293" s="491">
        <v>945</v>
      </c>
      <c r="D8293" s="491">
        <v>51</v>
      </c>
      <c r="E8293" s="491">
        <v>0</v>
      </c>
      <c r="F8293" s="491">
        <v>0</v>
      </c>
      <c r="G8293" s="491">
        <f t="shared" si="130"/>
        <v>996</v>
      </c>
    </row>
    <row r="8294" spans="1:7" ht="12.75">
      <c r="A8294" s="134" t="s">
        <v>957</v>
      </c>
      <c r="B8294" s="134">
        <v>420</v>
      </c>
      <c r="C8294" s="491">
        <v>383</v>
      </c>
      <c r="D8294" s="491">
        <v>32</v>
      </c>
      <c r="E8294" s="491">
        <v>173</v>
      </c>
      <c r="F8294" s="491">
        <v>5</v>
      </c>
      <c r="G8294" s="491">
        <f t="shared" si="130"/>
        <v>593</v>
      </c>
    </row>
    <row r="8295" spans="1:7" ht="12.75">
      <c r="A8295" s="134" t="s">
        <v>957</v>
      </c>
      <c r="B8295" s="134">
        <v>422</v>
      </c>
      <c r="C8295" s="491">
        <v>1</v>
      </c>
      <c r="D8295" s="491">
        <v>1</v>
      </c>
      <c r="E8295" s="491">
        <v>0</v>
      </c>
      <c r="F8295" s="491">
        <v>0</v>
      </c>
      <c r="G8295" s="491">
        <f t="shared" si="130"/>
        <v>2</v>
      </c>
    </row>
    <row r="8296" spans="1:7" ht="12.75">
      <c r="A8296" s="134" t="s">
        <v>957</v>
      </c>
      <c r="B8296" s="134">
        <v>430</v>
      </c>
      <c r="C8296" s="491">
        <v>0</v>
      </c>
      <c r="D8296" s="491">
        <v>2</v>
      </c>
      <c r="E8296" s="491">
        <v>0</v>
      </c>
      <c r="F8296" s="491">
        <v>0</v>
      </c>
      <c r="G8296" s="491">
        <f t="shared" si="130"/>
        <v>2</v>
      </c>
    </row>
    <row r="8297" spans="1:7" ht="12.75">
      <c r="A8297" s="134" t="s">
        <v>957</v>
      </c>
      <c r="B8297" s="134">
        <v>460</v>
      </c>
      <c r="C8297" s="491">
        <v>1</v>
      </c>
      <c r="D8297" s="491">
        <v>0</v>
      </c>
      <c r="E8297" s="491">
        <v>0</v>
      </c>
      <c r="F8297" s="491">
        <v>0</v>
      </c>
      <c r="G8297" s="491">
        <f t="shared" si="130"/>
        <v>1</v>
      </c>
    </row>
    <row r="8298" spans="1:7" ht="12.75">
      <c r="A8298" s="134" t="s">
        <v>957</v>
      </c>
      <c r="B8298" s="134">
        <v>501</v>
      </c>
      <c r="C8298" s="491">
        <v>2</v>
      </c>
      <c r="D8298" s="491">
        <v>14</v>
      </c>
      <c r="E8298" s="491">
        <v>0</v>
      </c>
      <c r="F8298" s="491">
        <v>0</v>
      </c>
      <c r="G8298" s="491">
        <f t="shared" si="130"/>
        <v>16</v>
      </c>
    </row>
    <row r="8299" spans="1:7" ht="12.75">
      <c r="A8299" s="134" t="s">
        <v>957</v>
      </c>
      <c r="B8299" s="134">
        <v>502</v>
      </c>
      <c r="C8299" s="491">
        <v>3</v>
      </c>
      <c r="D8299" s="491">
        <v>30</v>
      </c>
      <c r="E8299" s="491">
        <v>0</v>
      </c>
      <c r="F8299" s="491">
        <v>0</v>
      </c>
      <c r="G8299" s="491">
        <f t="shared" si="130"/>
        <v>33</v>
      </c>
    </row>
    <row r="8300" spans="1:7" ht="12.75">
      <c r="A8300" s="134" t="s">
        <v>957</v>
      </c>
      <c r="B8300" s="134">
        <v>503</v>
      </c>
      <c r="C8300" s="491">
        <v>6</v>
      </c>
      <c r="D8300" s="491">
        <v>4</v>
      </c>
      <c r="E8300" s="491">
        <v>11</v>
      </c>
      <c r="F8300" s="491">
        <v>1</v>
      </c>
      <c r="G8300" s="491">
        <f t="shared" si="130"/>
        <v>22</v>
      </c>
    </row>
    <row r="8301" spans="1:7" ht="12.75">
      <c r="A8301" s="134" t="s">
        <v>957</v>
      </c>
      <c r="B8301" s="134">
        <v>560</v>
      </c>
      <c r="C8301" s="491">
        <v>0</v>
      </c>
      <c r="D8301" s="491">
        <v>7</v>
      </c>
      <c r="E8301" s="491">
        <v>0</v>
      </c>
      <c r="F8301" s="491">
        <v>0</v>
      </c>
      <c r="G8301" s="491">
        <f t="shared" si="130"/>
        <v>7</v>
      </c>
    </row>
    <row r="8302" spans="1:7" ht="12.75">
      <c r="A8302" s="134" t="s">
        <v>957</v>
      </c>
      <c r="B8302" s="134">
        <v>650</v>
      </c>
      <c r="C8302" s="491">
        <v>5</v>
      </c>
      <c r="D8302" s="491">
        <v>90</v>
      </c>
      <c r="E8302" s="491">
        <v>0</v>
      </c>
      <c r="F8302" s="491">
        <v>0</v>
      </c>
      <c r="G8302" s="491">
        <f t="shared" si="130"/>
        <v>95</v>
      </c>
    </row>
    <row r="8303" spans="1:7" ht="12.75">
      <c r="A8303" s="134" t="s">
        <v>957</v>
      </c>
      <c r="B8303" s="134">
        <v>651</v>
      </c>
      <c r="C8303" s="491">
        <v>1</v>
      </c>
      <c r="D8303" s="491">
        <v>0</v>
      </c>
      <c r="E8303" s="491">
        <v>0</v>
      </c>
      <c r="F8303" s="491">
        <v>0</v>
      </c>
      <c r="G8303" s="491">
        <f t="shared" si="130"/>
        <v>1</v>
      </c>
    </row>
    <row r="8304" spans="1:7" ht="12.75">
      <c r="A8304" s="134" t="s">
        <v>957</v>
      </c>
      <c r="B8304" s="134">
        <v>652</v>
      </c>
      <c r="C8304" s="491">
        <v>0</v>
      </c>
      <c r="D8304" s="491">
        <v>1</v>
      </c>
      <c r="E8304" s="491">
        <v>0</v>
      </c>
      <c r="F8304" s="491">
        <v>0</v>
      </c>
      <c r="G8304" s="491">
        <f t="shared" si="130"/>
        <v>1</v>
      </c>
    </row>
    <row r="8305" spans="1:7" ht="12.75">
      <c r="A8305" s="134" t="s">
        <v>957</v>
      </c>
      <c r="B8305" s="134">
        <v>653</v>
      </c>
      <c r="C8305" s="491">
        <v>0</v>
      </c>
      <c r="D8305" s="491">
        <v>7</v>
      </c>
      <c r="E8305" s="491">
        <v>0</v>
      </c>
      <c r="F8305" s="491">
        <v>0</v>
      </c>
      <c r="G8305" s="491">
        <f t="shared" si="130"/>
        <v>7</v>
      </c>
    </row>
    <row r="8306" spans="1:7" ht="12.75">
      <c r="A8306" s="134" t="s">
        <v>957</v>
      </c>
      <c r="B8306" s="134">
        <v>654</v>
      </c>
      <c r="C8306" s="491">
        <v>3</v>
      </c>
      <c r="D8306" s="491">
        <v>2</v>
      </c>
      <c r="E8306" s="491">
        <v>0</v>
      </c>
      <c r="F8306" s="491">
        <v>0</v>
      </c>
      <c r="G8306" s="491">
        <f t="shared" si="130"/>
        <v>5</v>
      </c>
    </row>
    <row r="8307" spans="1:7" ht="12.75">
      <c r="A8307" s="134" t="s">
        <v>957</v>
      </c>
      <c r="B8307" s="134">
        <v>657</v>
      </c>
      <c r="C8307" s="491">
        <v>1</v>
      </c>
      <c r="D8307" s="491">
        <v>0</v>
      </c>
      <c r="E8307" s="491">
        <v>0</v>
      </c>
      <c r="F8307" s="491">
        <v>0</v>
      </c>
      <c r="G8307" s="491">
        <f t="shared" si="130"/>
        <v>1</v>
      </c>
    </row>
    <row r="8308" spans="1:7" ht="12.75">
      <c r="A8308" s="134" t="s">
        <v>957</v>
      </c>
      <c r="B8308" s="134">
        <v>658</v>
      </c>
      <c r="C8308" s="491">
        <v>3</v>
      </c>
      <c r="D8308" s="491">
        <v>0</v>
      </c>
      <c r="E8308" s="491">
        <v>0</v>
      </c>
      <c r="F8308" s="491">
        <v>0</v>
      </c>
      <c r="G8308" s="491">
        <f t="shared" si="130"/>
        <v>3</v>
      </c>
    </row>
    <row r="8309" spans="1:7" ht="12.75">
      <c r="A8309" s="134" t="s">
        <v>957</v>
      </c>
      <c r="B8309" s="134">
        <v>722</v>
      </c>
      <c r="C8309" s="491">
        <v>1</v>
      </c>
      <c r="D8309" s="491">
        <v>0</v>
      </c>
      <c r="E8309" s="491">
        <v>0</v>
      </c>
      <c r="F8309" s="491">
        <v>0</v>
      </c>
      <c r="G8309" s="491">
        <f t="shared" si="130"/>
        <v>1</v>
      </c>
    </row>
    <row r="8310" spans="1:7" ht="12.75">
      <c r="A8310" s="134" t="s">
        <v>957</v>
      </c>
      <c r="B8310" s="134">
        <v>800</v>
      </c>
      <c r="C8310" s="491">
        <v>39430</v>
      </c>
      <c r="D8310" s="491">
        <v>1325</v>
      </c>
      <c r="E8310" s="491">
        <v>1152</v>
      </c>
      <c r="F8310" s="491">
        <v>19</v>
      </c>
      <c r="G8310" s="491">
        <f t="shared" si="130"/>
        <v>41926</v>
      </c>
    </row>
    <row r="8311" spans="1:7" ht="12.75">
      <c r="A8311" s="134" t="s">
        <v>957</v>
      </c>
      <c r="B8311" s="134">
        <v>811</v>
      </c>
      <c r="C8311" s="491">
        <v>0</v>
      </c>
      <c r="D8311" s="491">
        <v>1</v>
      </c>
      <c r="E8311" s="491">
        <v>0</v>
      </c>
      <c r="F8311" s="491">
        <v>0</v>
      </c>
      <c r="G8311" s="491">
        <f t="shared" si="130"/>
        <v>1</v>
      </c>
    </row>
    <row r="8312" spans="1:7" ht="12.75">
      <c r="A8312" s="134" t="s">
        <v>957</v>
      </c>
      <c r="B8312" s="134">
        <v>812</v>
      </c>
      <c r="C8312" s="491">
        <v>0</v>
      </c>
      <c r="D8312" s="491">
        <v>1</v>
      </c>
      <c r="E8312" s="491">
        <v>0</v>
      </c>
      <c r="F8312" s="491">
        <v>0</v>
      </c>
      <c r="G8312" s="491">
        <f t="shared" si="130"/>
        <v>1</v>
      </c>
    </row>
    <row r="8313" spans="1:7" ht="12.75">
      <c r="A8313" s="134" t="s">
        <v>957</v>
      </c>
      <c r="B8313" s="134">
        <v>840</v>
      </c>
      <c r="C8313" s="491">
        <v>1</v>
      </c>
      <c r="D8313" s="491">
        <v>0</v>
      </c>
      <c r="E8313" s="491">
        <v>0</v>
      </c>
      <c r="F8313" s="491">
        <v>0</v>
      </c>
      <c r="G8313" s="491">
        <f t="shared" si="130"/>
        <v>1</v>
      </c>
    </row>
    <row r="8314" spans="1:7" ht="12.75">
      <c r="A8314" s="134" t="s">
        <v>958</v>
      </c>
      <c r="B8314" s="134">
        <v>100</v>
      </c>
      <c r="C8314" s="491">
        <v>1</v>
      </c>
      <c r="D8314" s="491">
        <v>0</v>
      </c>
      <c r="E8314" s="491">
        <v>0</v>
      </c>
      <c r="F8314" s="491">
        <v>0</v>
      </c>
      <c r="G8314" s="491">
        <f t="shared" si="130"/>
        <v>1</v>
      </c>
    </row>
    <row r="8315" spans="1:7" ht="12.75">
      <c r="A8315" s="134" t="s">
        <v>958</v>
      </c>
      <c r="B8315" s="134">
        <v>101</v>
      </c>
      <c r="C8315" s="491">
        <v>1</v>
      </c>
      <c r="D8315" s="491">
        <v>0</v>
      </c>
      <c r="E8315" s="491">
        <v>0</v>
      </c>
      <c r="F8315" s="491">
        <v>0</v>
      </c>
      <c r="G8315" s="491">
        <f t="shared" si="130"/>
        <v>1</v>
      </c>
    </row>
    <row r="8316" spans="1:7" ht="12.75">
      <c r="A8316" s="134" t="s">
        <v>958</v>
      </c>
      <c r="B8316" s="134">
        <v>103</v>
      </c>
      <c r="C8316" s="491">
        <v>1</v>
      </c>
      <c r="D8316" s="491">
        <v>1</v>
      </c>
      <c r="E8316" s="491">
        <v>0</v>
      </c>
      <c r="F8316" s="491">
        <v>0</v>
      </c>
      <c r="G8316" s="491">
        <f t="shared" si="130"/>
        <v>2</v>
      </c>
    </row>
    <row r="8317" spans="1:7" ht="12.75">
      <c r="A8317" s="134" t="s">
        <v>958</v>
      </c>
      <c r="B8317" s="134">
        <v>105</v>
      </c>
      <c r="C8317" s="491">
        <v>1</v>
      </c>
      <c r="D8317" s="491">
        <v>0</v>
      </c>
      <c r="E8317" s="491">
        <v>0</v>
      </c>
      <c r="F8317" s="491">
        <v>0</v>
      </c>
      <c r="G8317" s="491">
        <f t="shared" si="130"/>
        <v>1</v>
      </c>
    </row>
    <row r="8318" spans="1:7" ht="12.75">
      <c r="A8318" s="134" t="s">
        <v>958</v>
      </c>
      <c r="B8318" s="134">
        <v>110</v>
      </c>
      <c r="C8318" s="491">
        <v>10</v>
      </c>
      <c r="D8318" s="491">
        <v>10</v>
      </c>
      <c r="E8318" s="491">
        <v>0</v>
      </c>
      <c r="F8318" s="491">
        <v>0</v>
      </c>
      <c r="G8318" s="491">
        <f t="shared" si="130"/>
        <v>20</v>
      </c>
    </row>
    <row r="8319" spans="1:7" ht="12.75">
      <c r="A8319" s="134" t="s">
        <v>958</v>
      </c>
      <c r="B8319" s="134">
        <v>130</v>
      </c>
      <c r="C8319" s="491">
        <v>6</v>
      </c>
      <c r="D8319" s="491">
        <v>1</v>
      </c>
      <c r="E8319" s="491">
        <v>0</v>
      </c>
      <c r="F8319" s="491">
        <v>0</v>
      </c>
      <c r="G8319" s="491">
        <f t="shared" si="130"/>
        <v>7</v>
      </c>
    </row>
    <row r="8320" spans="1:7" ht="12.75">
      <c r="A8320" s="134" t="s">
        <v>958</v>
      </c>
      <c r="B8320" s="134">
        <v>150</v>
      </c>
      <c r="C8320" s="491">
        <v>0</v>
      </c>
      <c r="D8320" s="491">
        <v>1</v>
      </c>
      <c r="E8320" s="491">
        <v>0</v>
      </c>
      <c r="F8320" s="491">
        <v>0</v>
      </c>
      <c r="G8320" s="491">
        <f t="shared" si="130"/>
        <v>1</v>
      </c>
    </row>
    <row r="8321" spans="1:7" ht="12.75">
      <c r="A8321" s="134" t="s">
        <v>958</v>
      </c>
      <c r="B8321" s="134">
        <v>160</v>
      </c>
      <c r="C8321" s="491">
        <v>0</v>
      </c>
      <c r="D8321" s="491">
        <v>2</v>
      </c>
      <c r="E8321" s="491">
        <v>0</v>
      </c>
      <c r="F8321" s="491">
        <v>0</v>
      </c>
      <c r="G8321" s="491">
        <f t="shared" si="130"/>
        <v>2</v>
      </c>
    </row>
    <row r="8322" spans="1:7" ht="12.75">
      <c r="A8322" s="134" t="s">
        <v>958</v>
      </c>
      <c r="B8322" s="134">
        <v>191</v>
      </c>
      <c r="C8322" s="491">
        <v>1</v>
      </c>
      <c r="D8322" s="491">
        <v>0</v>
      </c>
      <c r="E8322" s="491">
        <v>0</v>
      </c>
      <c r="F8322" s="491">
        <v>0</v>
      </c>
      <c r="G8322" s="491">
        <f t="shared" si="130"/>
        <v>1</v>
      </c>
    </row>
    <row r="8323" spans="1:7" ht="12.75">
      <c r="A8323" s="134" t="s">
        <v>958</v>
      </c>
      <c r="B8323" s="134">
        <v>263</v>
      </c>
      <c r="C8323" s="491">
        <v>1</v>
      </c>
      <c r="D8323" s="491">
        <v>0</v>
      </c>
      <c r="E8323" s="491">
        <v>0</v>
      </c>
      <c r="F8323" s="491">
        <v>0</v>
      </c>
      <c r="G8323" s="491">
        <f t="shared" si="130"/>
        <v>1</v>
      </c>
    </row>
    <row r="8324" spans="1:7" ht="12.75">
      <c r="A8324" s="134" t="s">
        <v>958</v>
      </c>
      <c r="B8324" s="134">
        <v>300</v>
      </c>
      <c r="C8324" s="491">
        <v>37</v>
      </c>
      <c r="D8324" s="491">
        <v>0</v>
      </c>
      <c r="E8324" s="491">
        <v>1</v>
      </c>
      <c r="F8324" s="491">
        <v>0</v>
      </c>
      <c r="G8324" s="491">
        <f t="shared" si="130"/>
        <v>38</v>
      </c>
    </row>
    <row r="8325" spans="1:7" ht="12.75">
      <c r="A8325" s="134" t="s">
        <v>958</v>
      </c>
      <c r="B8325" s="134">
        <v>302</v>
      </c>
      <c r="C8325" s="491">
        <v>399</v>
      </c>
      <c r="D8325" s="491">
        <v>277</v>
      </c>
      <c r="E8325" s="491">
        <v>1</v>
      </c>
      <c r="F8325" s="491">
        <v>0</v>
      </c>
      <c r="G8325" s="491">
        <f t="shared" si="130"/>
        <v>677</v>
      </c>
    </row>
    <row r="8326" spans="1:7" ht="12.75">
      <c r="A8326" s="134" t="s">
        <v>958</v>
      </c>
      <c r="B8326" s="134">
        <v>303</v>
      </c>
      <c r="C8326" s="491">
        <v>42</v>
      </c>
      <c r="D8326" s="491">
        <v>3</v>
      </c>
      <c r="E8326" s="491">
        <v>0</v>
      </c>
      <c r="F8326" s="491">
        <v>0</v>
      </c>
      <c r="G8326" s="491">
        <f t="shared" si="130"/>
        <v>45</v>
      </c>
    </row>
    <row r="8327" spans="1:7" ht="12.75">
      <c r="A8327" s="134" t="s">
        <v>958</v>
      </c>
      <c r="B8327" s="134">
        <v>307</v>
      </c>
      <c r="C8327" s="491">
        <v>1</v>
      </c>
      <c r="D8327" s="491">
        <v>8</v>
      </c>
      <c r="E8327" s="491">
        <v>0</v>
      </c>
      <c r="F8327" s="491">
        <v>0</v>
      </c>
      <c r="G8327" s="491">
        <f t="shared" si="130"/>
        <v>9</v>
      </c>
    </row>
    <row r="8328" spans="1:7" ht="12.75">
      <c r="A8328" s="134" t="s">
        <v>958</v>
      </c>
      <c r="B8328" s="134">
        <v>320</v>
      </c>
      <c r="C8328" s="491">
        <v>3</v>
      </c>
      <c r="D8328" s="491">
        <v>2</v>
      </c>
      <c r="E8328" s="491">
        <v>0</v>
      </c>
      <c r="F8328" s="491">
        <v>0</v>
      </c>
      <c r="G8328" s="491">
        <f t="shared" si="130"/>
        <v>5</v>
      </c>
    </row>
    <row r="8329" spans="1:7" ht="12.75">
      <c r="A8329" s="134" t="s">
        <v>958</v>
      </c>
      <c r="B8329" s="134">
        <v>324</v>
      </c>
      <c r="C8329" s="491">
        <v>1</v>
      </c>
      <c r="D8329" s="491">
        <v>0</v>
      </c>
      <c r="E8329" s="491">
        <v>0</v>
      </c>
      <c r="F8329" s="491">
        <v>0</v>
      </c>
      <c r="G8329" s="491">
        <f t="shared" si="130"/>
        <v>1</v>
      </c>
    </row>
    <row r="8330" spans="1:7" ht="12.75">
      <c r="A8330" s="134" t="s">
        <v>958</v>
      </c>
      <c r="B8330" s="134">
        <v>330</v>
      </c>
      <c r="C8330" s="491">
        <v>2</v>
      </c>
      <c r="D8330" s="491">
        <v>1</v>
      </c>
      <c r="E8330" s="491">
        <v>0</v>
      </c>
      <c r="F8330" s="491">
        <v>0</v>
      </c>
      <c r="G8330" s="491">
        <f t="shared" si="130"/>
        <v>3</v>
      </c>
    </row>
    <row r="8331" spans="1:7" ht="12.75">
      <c r="A8331" s="134" t="s">
        <v>958</v>
      </c>
      <c r="B8331" s="134">
        <v>340</v>
      </c>
      <c r="C8331" s="491">
        <v>2</v>
      </c>
      <c r="D8331" s="491">
        <v>0</v>
      </c>
      <c r="E8331" s="491">
        <v>0</v>
      </c>
      <c r="F8331" s="491">
        <v>0</v>
      </c>
      <c r="G8331" s="491">
        <f t="shared" si="130"/>
        <v>2</v>
      </c>
    </row>
    <row r="8332" spans="1:7" ht="12.75">
      <c r="A8332" s="134" t="s">
        <v>958</v>
      </c>
      <c r="B8332" s="134">
        <v>361</v>
      </c>
      <c r="C8332" s="491">
        <v>1</v>
      </c>
      <c r="D8332" s="491">
        <v>0</v>
      </c>
      <c r="E8332" s="491">
        <v>0</v>
      </c>
      <c r="F8332" s="491">
        <v>0</v>
      </c>
      <c r="G8332" s="491">
        <f t="shared" si="130"/>
        <v>1</v>
      </c>
    </row>
    <row r="8333" spans="1:7" ht="12.75">
      <c r="A8333" s="134" t="s">
        <v>958</v>
      </c>
      <c r="B8333" s="134">
        <v>370</v>
      </c>
      <c r="C8333" s="491">
        <v>18</v>
      </c>
      <c r="D8333" s="491">
        <v>3</v>
      </c>
      <c r="E8333" s="491">
        <v>0</v>
      </c>
      <c r="F8333" s="491">
        <v>0</v>
      </c>
      <c r="G8333" s="491">
        <f t="shared" ref="G8333:G8396" si="131">SUM(C8333:F8333)</f>
        <v>21</v>
      </c>
    </row>
    <row r="8334" spans="1:7" ht="12.75">
      <c r="A8334" s="134" t="s">
        <v>958</v>
      </c>
      <c r="B8334" s="134">
        <v>371</v>
      </c>
      <c r="C8334" s="491">
        <v>128</v>
      </c>
      <c r="D8334" s="491">
        <v>88</v>
      </c>
      <c r="E8334" s="491">
        <v>0</v>
      </c>
      <c r="F8334" s="491">
        <v>0</v>
      </c>
      <c r="G8334" s="491">
        <f t="shared" si="131"/>
        <v>216</v>
      </c>
    </row>
    <row r="8335" spans="1:7" ht="12.75">
      <c r="A8335" s="134" t="s">
        <v>958</v>
      </c>
      <c r="B8335" s="134">
        <v>400</v>
      </c>
      <c r="C8335" s="491">
        <v>1</v>
      </c>
      <c r="D8335" s="491">
        <v>1</v>
      </c>
      <c r="E8335" s="491">
        <v>0</v>
      </c>
      <c r="F8335" s="491">
        <v>0</v>
      </c>
      <c r="G8335" s="491">
        <f t="shared" si="131"/>
        <v>2</v>
      </c>
    </row>
    <row r="8336" spans="1:7" ht="12.75">
      <c r="A8336" s="134" t="s">
        <v>958</v>
      </c>
      <c r="B8336" s="134">
        <v>410</v>
      </c>
      <c r="C8336" s="491">
        <v>4</v>
      </c>
      <c r="D8336" s="491">
        <v>0</v>
      </c>
      <c r="E8336" s="491">
        <v>0</v>
      </c>
      <c r="F8336" s="491">
        <v>0</v>
      </c>
      <c r="G8336" s="491">
        <f t="shared" si="131"/>
        <v>4</v>
      </c>
    </row>
    <row r="8337" spans="1:7" ht="12.75">
      <c r="A8337" s="134" t="s">
        <v>958</v>
      </c>
      <c r="B8337" s="134">
        <v>420</v>
      </c>
      <c r="C8337" s="491">
        <v>2</v>
      </c>
      <c r="D8337" s="491">
        <v>1</v>
      </c>
      <c r="E8337" s="491">
        <v>0</v>
      </c>
      <c r="F8337" s="491">
        <v>0</v>
      </c>
      <c r="G8337" s="491">
        <f t="shared" si="131"/>
        <v>3</v>
      </c>
    </row>
    <row r="8338" spans="1:7" ht="12.75">
      <c r="A8338" s="134" t="s">
        <v>958</v>
      </c>
      <c r="B8338" s="134">
        <v>501</v>
      </c>
      <c r="C8338" s="491">
        <v>3</v>
      </c>
      <c r="D8338" s="491">
        <v>0</v>
      </c>
      <c r="E8338" s="491">
        <v>0</v>
      </c>
      <c r="F8338" s="491">
        <v>0</v>
      </c>
      <c r="G8338" s="491">
        <f t="shared" si="131"/>
        <v>3</v>
      </c>
    </row>
    <row r="8339" spans="1:7" ht="12.75">
      <c r="A8339" s="134" t="s">
        <v>958</v>
      </c>
      <c r="B8339" s="134">
        <v>502</v>
      </c>
      <c r="C8339" s="491">
        <v>2</v>
      </c>
      <c r="D8339" s="491">
        <v>0</v>
      </c>
      <c r="E8339" s="491">
        <v>0</v>
      </c>
      <c r="F8339" s="491">
        <v>0</v>
      </c>
      <c r="G8339" s="491">
        <f t="shared" si="131"/>
        <v>2</v>
      </c>
    </row>
    <row r="8340" spans="1:7" ht="12.75">
      <c r="A8340" s="134" t="s">
        <v>958</v>
      </c>
      <c r="B8340" s="134">
        <v>653</v>
      </c>
      <c r="C8340" s="491">
        <v>1</v>
      </c>
      <c r="D8340" s="491">
        <v>0</v>
      </c>
      <c r="E8340" s="491">
        <v>0</v>
      </c>
      <c r="F8340" s="491">
        <v>0</v>
      </c>
      <c r="G8340" s="491">
        <f t="shared" si="131"/>
        <v>1</v>
      </c>
    </row>
    <row r="8341" spans="1:7" ht="12.75">
      <c r="A8341" s="134" t="s">
        <v>958</v>
      </c>
      <c r="B8341" s="134">
        <v>800</v>
      </c>
      <c r="C8341" s="491">
        <v>724984</v>
      </c>
      <c r="D8341" s="491">
        <v>22679</v>
      </c>
      <c r="E8341" s="491">
        <v>3002</v>
      </c>
      <c r="F8341" s="491">
        <v>9</v>
      </c>
      <c r="G8341" s="491">
        <f t="shared" si="131"/>
        <v>750674</v>
      </c>
    </row>
    <row r="8342" spans="1:7" ht="12.75">
      <c r="A8342" s="134" t="s">
        <v>958</v>
      </c>
      <c r="B8342" s="134">
        <v>811</v>
      </c>
      <c r="C8342" s="491">
        <v>80</v>
      </c>
      <c r="D8342" s="491">
        <v>26</v>
      </c>
      <c r="E8342" s="491">
        <v>0</v>
      </c>
      <c r="F8342" s="491">
        <v>0</v>
      </c>
      <c r="G8342" s="491">
        <f t="shared" si="131"/>
        <v>106</v>
      </c>
    </row>
    <row r="8343" spans="1:7" ht="12.75">
      <c r="A8343" s="134" t="s">
        <v>958</v>
      </c>
      <c r="B8343" s="134">
        <v>812</v>
      </c>
      <c r="C8343" s="491">
        <v>109</v>
      </c>
      <c r="D8343" s="491">
        <v>465</v>
      </c>
      <c r="E8343" s="491">
        <v>0</v>
      </c>
      <c r="F8343" s="491">
        <v>0</v>
      </c>
      <c r="G8343" s="491">
        <f t="shared" si="131"/>
        <v>574</v>
      </c>
    </row>
    <row r="8344" spans="1:7" ht="12.75">
      <c r="A8344" s="134" t="s">
        <v>959</v>
      </c>
      <c r="B8344" s="134">
        <v>100</v>
      </c>
      <c r="C8344" s="491">
        <v>2</v>
      </c>
      <c r="D8344" s="491">
        <v>0</v>
      </c>
      <c r="E8344" s="491">
        <v>0</v>
      </c>
      <c r="F8344" s="491">
        <v>0</v>
      </c>
      <c r="G8344" s="491">
        <f t="shared" si="131"/>
        <v>2</v>
      </c>
    </row>
    <row r="8345" spans="1:7" ht="12.75">
      <c r="A8345" s="134" t="s">
        <v>959</v>
      </c>
      <c r="B8345" s="134">
        <v>103</v>
      </c>
      <c r="C8345" s="491">
        <v>3</v>
      </c>
      <c r="D8345" s="491">
        <v>0</v>
      </c>
      <c r="E8345" s="491">
        <v>0</v>
      </c>
      <c r="F8345" s="491">
        <v>0</v>
      </c>
      <c r="G8345" s="491">
        <f t="shared" si="131"/>
        <v>3</v>
      </c>
    </row>
    <row r="8346" spans="1:7" ht="12.75">
      <c r="A8346" s="134" t="s">
        <v>959</v>
      </c>
      <c r="B8346" s="134">
        <v>104</v>
      </c>
      <c r="C8346" s="491">
        <v>5</v>
      </c>
      <c r="D8346" s="491">
        <v>0</v>
      </c>
      <c r="E8346" s="491">
        <v>0</v>
      </c>
      <c r="F8346" s="491">
        <v>0</v>
      </c>
      <c r="G8346" s="491">
        <f t="shared" si="131"/>
        <v>5</v>
      </c>
    </row>
    <row r="8347" spans="1:7" ht="12.75">
      <c r="A8347" s="134" t="s">
        <v>959</v>
      </c>
      <c r="B8347" s="134">
        <v>106</v>
      </c>
      <c r="C8347" s="491">
        <v>1</v>
      </c>
      <c r="D8347" s="491">
        <v>0</v>
      </c>
      <c r="E8347" s="491">
        <v>0</v>
      </c>
      <c r="F8347" s="491">
        <v>0</v>
      </c>
      <c r="G8347" s="491">
        <f t="shared" si="131"/>
        <v>1</v>
      </c>
    </row>
    <row r="8348" spans="1:7" ht="12.75">
      <c r="A8348" s="134" t="s">
        <v>959</v>
      </c>
      <c r="B8348" s="134">
        <v>108</v>
      </c>
      <c r="C8348" s="491">
        <v>1</v>
      </c>
      <c r="D8348" s="491">
        <v>0</v>
      </c>
      <c r="E8348" s="491">
        <v>0</v>
      </c>
      <c r="F8348" s="491">
        <v>0</v>
      </c>
      <c r="G8348" s="491">
        <f t="shared" si="131"/>
        <v>1</v>
      </c>
    </row>
    <row r="8349" spans="1:7" ht="12.75">
      <c r="A8349" s="134" t="s">
        <v>959</v>
      </c>
      <c r="B8349" s="134">
        <v>110</v>
      </c>
      <c r="C8349" s="491">
        <v>52</v>
      </c>
      <c r="D8349" s="491">
        <v>0</v>
      </c>
      <c r="E8349" s="491">
        <v>0</v>
      </c>
      <c r="F8349" s="491">
        <v>0</v>
      </c>
      <c r="G8349" s="491">
        <f t="shared" si="131"/>
        <v>52</v>
      </c>
    </row>
    <row r="8350" spans="1:7" ht="12.75">
      <c r="A8350" s="134" t="s">
        <v>959</v>
      </c>
      <c r="B8350" s="134">
        <v>120</v>
      </c>
      <c r="C8350" s="491">
        <v>4</v>
      </c>
      <c r="D8350" s="491">
        <v>3</v>
      </c>
      <c r="E8350" s="491">
        <v>0</v>
      </c>
      <c r="F8350" s="491">
        <v>0</v>
      </c>
      <c r="G8350" s="491">
        <f t="shared" si="131"/>
        <v>7</v>
      </c>
    </row>
    <row r="8351" spans="1:7" ht="12.75">
      <c r="A8351" s="134" t="s">
        <v>959</v>
      </c>
      <c r="B8351" s="134">
        <v>140</v>
      </c>
      <c r="C8351" s="491">
        <v>1</v>
      </c>
      <c r="D8351" s="491">
        <v>0</v>
      </c>
      <c r="E8351" s="491">
        <v>0</v>
      </c>
      <c r="F8351" s="491">
        <v>0</v>
      </c>
      <c r="G8351" s="491">
        <f t="shared" si="131"/>
        <v>1</v>
      </c>
    </row>
    <row r="8352" spans="1:7" ht="12.75">
      <c r="A8352" s="134" t="s">
        <v>959</v>
      </c>
      <c r="B8352" s="134">
        <v>340</v>
      </c>
      <c r="C8352" s="491">
        <v>1</v>
      </c>
      <c r="D8352" s="491">
        <v>0</v>
      </c>
      <c r="E8352" s="491">
        <v>0</v>
      </c>
      <c r="F8352" s="491">
        <v>0</v>
      </c>
      <c r="G8352" s="491">
        <f t="shared" si="131"/>
        <v>1</v>
      </c>
    </row>
    <row r="8353" spans="1:7" ht="12.75">
      <c r="A8353" s="134" t="s">
        <v>959</v>
      </c>
      <c r="B8353" s="134">
        <v>361</v>
      </c>
      <c r="C8353" s="491">
        <v>1</v>
      </c>
      <c r="D8353" s="491">
        <v>0</v>
      </c>
      <c r="E8353" s="491">
        <v>0</v>
      </c>
      <c r="F8353" s="491">
        <v>0</v>
      </c>
      <c r="G8353" s="491">
        <f t="shared" si="131"/>
        <v>1</v>
      </c>
    </row>
    <row r="8354" spans="1:7" ht="12.75">
      <c r="A8354" s="134" t="s">
        <v>959</v>
      </c>
      <c r="B8354" s="134">
        <v>410</v>
      </c>
      <c r="C8354" s="491">
        <v>3</v>
      </c>
      <c r="D8354" s="491">
        <v>0</v>
      </c>
      <c r="E8354" s="491">
        <v>0</v>
      </c>
      <c r="F8354" s="491">
        <v>0</v>
      </c>
      <c r="G8354" s="491">
        <f t="shared" si="131"/>
        <v>3</v>
      </c>
    </row>
    <row r="8355" spans="1:7" ht="12.75">
      <c r="A8355" s="134" t="s">
        <v>959</v>
      </c>
      <c r="B8355" s="134">
        <v>501</v>
      </c>
      <c r="C8355" s="491">
        <v>0</v>
      </c>
      <c r="D8355" s="491">
        <v>1</v>
      </c>
      <c r="E8355" s="491">
        <v>0</v>
      </c>
      <c r="F8355" s="491">
        <v>0</v>
      </c>
      <c r="G8355" s="491">
        <f t="shared" si="131"/>
        <v>1</v>
      </c>
    </row>
    <row r="8356" spans="1:7" ht="12.75">
      <c r="A8356" s="134" t="s">
        <v>959</v>
      </c>
      <c r="B8356" s="134">
        <v>502</v>
      </c>
      <c r="C8356" s="491">
        <v>4</v>
      </c>
      <c r="D8356" s="491">
        <v>1</v>
      </c>
      <c r="E8356" s="491">
        <v>1</v>
      </c>
      <c r="F8356" s="491">
        <v>0</v>
      </c>
      <c r="G8356" s="491">
        <f t="shared" si="131"/>
        <v>6</v>
      </c>
    </row>
    <row r="8357" spans="1:7" ht="12.75">
      <c r="A8357" s="134" t="s">
        <v>959</v>
      </c>
      <c r="B8357" s="134">
        <v>503</v>
      </c>
      <c r="C8357" s="491">
        <v>1</v>
      </c>
      <c r="D8357" s="491">
        <v>2</v>
      </c>
      <c r="E8357" s="491">
        <v>0</v>
      </c>
      <c r="F8357" s="491">
        <v>0</v>
      </c>
      <c r="G8357" s="491">
        <f t="shared" si="131"/>
        <v>3</v>
      </c>
    </row>
    <row r="8358" spans="1:7" ht="12.75">
      <c r="A8358" s="134" t="s">
        <v>959</v>
      </c>
      <c r="B8358" s="134">
        <v>560</v>
      </c>
      <c r="C8358" s="491">
        <v>1</v>
      </c>
      <c r="D8358" s="491">
        <v>0</v>
      </c>
      <c r="E8358" s="491">
        <v>0</v>
      </c>
      <c r="F8358" s="491">
        <v>0</v>
      </c>
      <c r="G8358" s="491">
        <f t="shared" si="131"/>
        <v>1</v>
      </c>
    </row>
    <row r="8359" spans="1:7" ht="12.75">
      <c r="A8359" s="134" t="s">
        <v>959</v>
      </c>
      <c r="B8359" s="134">
        <v>654</v>
      </c>
      <c r="C8359" s="491">
        <v>1</v>
      </c>
      <c r="D8359" s="491">
        <v>0</v>
      </c>
      <c r="E8359" s="491">
        <v>0</v>
      </c>
      <c r="F8359" s="491">
        <v>0</v>
      </c>
      <c r="G8359" s="491">
        <f t="shared" si="131"/>
        <v>1</v>
      </c>
    </row>
    <row r="8360" spans="1:7" ht="12.75">
      <c r="A8360" s="134" t="s">
        <v>959</v>
      </c>
      <c r="B8360" s="134">
        <v>811</v>
      </c>
      <c r="C8360" s="491">
        <v>123</v>
      </c>
      <c r="D8360" s="491">
        <v>0</v>
      </c>
      <c r="E8360" s="491">
        <v>0</v>
      </c>
      <c r="F8360" s="491">
        <v>0</v>
      </c>
      <c r="G8360" s="491">
        <f t="shared" si="131"/>
        <v>123</v>
      </c>
    </row>
    <row r="8361" spans="1:7" ht="12.75">
      <c r="A8361" s="134" t="s">
        <v>959</v>
      </c>
      <c r="B8361" s="134">
        <v>812</v>
      </c>
      <c r="C8361" s="491">
        <v>126</v>
      </c>
      <c r="D8361" s="491">
        <v>8</v>
      </c>
      <c r="E8361" s="491">
        <v>0</v>
      </c>
      <c r="F8361" s="491">
        <v>0</v>
      </c>
      <c r="G8361" s="491">
        <f t="shared" si="131"/>
        <v>134</v>
      </c>
    </row>
    <row r="8362" spans="1:7" ht="12.75">
      <c r="A8362" s="134" t="s">
        <v>960</v>
      </c>
      <c r="B8362" s="134">
        <v>100</v>
      </c>
      <c r="C8362" s="491">
        <v>5</v>
      </c>
      <c r="D8362" s="491">
        <v>8</v>
      </c>
      <c r="E8362" s="491">
        <v>0</v>
      </c>
      <c r="F8362" s="491">
        <v>1</v>
      </c>
      <c r="G8362" s="491">
        <f t="shared" si="131"/>
        <v>14</v>
      </c>
    </row>
    <row r="8363" spans="1:7" ht="12.75">
      <c r="A8363" s="134" t="s">
        <v>960</v>
      </c>
      <c r="B8363" s="134">
        <v>101</v>
      </c>
      <c r="C8363" s="491">
        <v>1</v>
      </c>
      <c r="D8363" s="491">
        <v>0</v>
      </c>
      <c r="E8363" s="491">
        <v>0</v>
      </c>
      <c r="F8363" s="491">
        <v>0</v>
      </c>
      <c r="G8363" s="491">
        <f t="shared" si="131"/>
        <v>1</v>
      </c>
    </row>
    <row r="8364" spans="1:7" ht="12.75">
      <c r="A8364" s="134" t="s">
        <v>960</v>
      </c>
      <c r="B8364" s="134">
        <v>103</v>
      </c>
      <c r="C8364" s="491">
        <v>7</v>
      </c>
      <c r="D8364" s="491">
        <v>37</v>
      </c>
      <c r="E8364" s="491">
        <v>0</v>
      </c>
      <c r="F8364" s="491">
        <v>0</v>
      </c>
      <c r="G8364" s="491">
        <f t="shared" si="131"/>
        <v>44</v>
      </c>
    </row>
    <row r="8365" spans="1:7" ht="12.75">
      <c r="A8365" s="134" t="s">
        <v>960</v>
      </c>
      <c r="B8365" s="134">
        <v>104</v>
      </c>
      <c r="C8365" s="491">
        <v>1</v>
      </c>
      <c r="D8365" s="491">
        <v>0</v>
      </c>
      <c r="E8365" s="491">
        <v>0</v>
      </c>
      <c r="F8365" s="491">
        <v>0</v>
      </c>
      <c r="G8365" s="491">
        <f t="shared" si="131"/>
        <v>1</v>
      </c>
    </row>
    <row r="8366" spans="1:7" ht="12.75">
      <c r="A8366" s="134" t="s">
        <v>960</v>
      </c>
      <c r="B8366" s="134">
        <v>120</v>
      </c>
      <c r="C8366" s="491">
        <v>57</v>
      </c>
      <c r="D8366" s="491">
        <v>187</v>
      </c>
      <c r="E8366" s="491">
        <v>1</v>
      </c>
      <c r="F8366" s="491">
        <v>1</v>
      </c>
      <c r="G8366" s="491">
        <f t="shared" si="131"/>
        <v>246</v>
      </c>
    </row>
    <row r="8367" spans="1:7" ht="12.75">
      <c r="A8367" s="134" t="s">
        <v>960</v>
      </c>
      <c r="B8367" s="134">
        <v>140</v>
      </c>
      <c r="C8367" s="491">
        <v>1</v>
      </c>
      <c r="D8367" s="491">
        <v>3</v>
      </c>
      <c r="E8367" s="491">
        <v>0</v>
      </c>
      <c r="F8367" s="491">
        <v>0</v>
      </c>
      <c r="G8367" s="491">
        <f t="shared" si="131"/>
        <v>4</v>
      </c>
    </row>
    <row r="8368" spans="1:7" ht="12.75">
      <c r="A8368" s="134" t="s">
        <v>960</v>
      </c>
      <c r="B8368" s="134">
        <v>144</v>
      </c>
      <c r="C8368" s="491">
        <v>2</v>
      </c>
      <c r="D8368" s="491">
        <v>0</v>
      </c>
      <c r="E8368" s="491">
        <v>0</v>
      </c>
      <c r="F8368" s="491">
        <v>0</v>
      </c>
      <c r="G8368" s="491">
        <f t="shared" si="131"/>
        <v>2</v>
      </c>
    </row>
    <row r="8369" spans="1:7" ht="12.75">
      <c r="A8369" s="134" t="s">
        <v>960</v>
      </c>
      <c r="B8369" s="134">
        <v>160</v>
      </c>
      <c r="C8369" s="491">
        <v>45</v>
      </c>
      <c r="D8369" s="491">
        <v>2</v>
      </c>
      <c r="E8369" s="491">
        <v>1</v>
      </c>
      <c r="F8369" s="491">
        <v>0</v>
      </c>
      <c r="G8369" s="491">
        <f t="shared" si="131"/>
        <v>48</v>
      </c>
    </row>
    <row r="8370" spans="1:7" ht="12.75">
      <c r="A8370" s="134" t="s">
        <v>960</v>
      </c>
      <c r="B8370" s="134">
        <v>215</v>
      </c>
      <c r="C8370" s="491">
        <v>0</v>
      </c>
      <c r="D8370" s="491">
        <v>1</v>
      </c>
      <c r="E8370" s="491">
        <v>0</v>
      </c>
      <c r="F8370" s="491">
        <v>0</v>
      </c>
      <c r="G8370" s="491">
        <f t="shared" si="131"/>
        <v>1</v>
      </c>
    </row>
    <row r="8371" spans="1:7" ht="12.75">
      <c r="A8371" s="134" t="s">
        <v>960</v>
      </c>
      <c r="B8371" s="134">
        <v>317</v>
      </c>
      <c r="C8371" s="491">
        <v>0</v>
      </c>
      <c r="D8371" s="491">
        <v>1</v>
      </c>
      <c r="E8371" s="491">
        <v>0</v>
      </c>
      <c r="F8371" s="491">
        <v>0</v>
      </c>
      <c r="G8371" s="491">
        <f t="shared" si="131"/>
        <v>1</v>
      </c>
    </row>
    <row r="8372" spans="1:7" ht="12.75">
      <c r="A8372" s="134" t="s">
        <v>960</v>
      </c>
      <c r="B8372" s="134">
        <v>340</v>
      </c>
      <c r="C8372" s="491">
        <v>1</v>
      </c>
      <c r="D8372" s="491">
        <v>3</v>
      </c>
      <c r="E8372" s="491">
        <v>0</v>
      </c>
      <c r="F8372" s="491">
        <v>0</v>
      </c>
      <c r="G8372" s="491">
        <f t="shared" si="131"/>
        <v>4</v>
      </c>
    </row>
    <row r="8373" spans="1:7" ht="12.75">
      <c r="A8373" s="134" t="s">
        <v>960</v>
      </c>
      <c r="B8373" s="134">
        <v>350</v>
      </c>
      <c r="C8373" s="491">
        <v>6</v>
      </c>
      <c r="D8373" s="491">
        <v>3</v>
      </c>
      <c r="E8373" s="491">
        <v>0</v>
      </c>
      <c r="F8373" s="491">
        <v>0</v>
      </c>
      <c r="G8373" s="491">
        <f t="shared" si="131"/>
        <v>9</v>
      </c>
    </row>
    <row r="8374" spans="1:7" ht="12.75">
      <c r="A8374" s="134" t="s">
        <v>960</v>
      </c>
      <c r="B8374" s="134">
        <v>370</v>
      </c>
      <c r="C8374" s="491">
        <v>1</v>
      </c>
      <c r="D8374" s="491">
        <v>0</v>
      </c>
      <c r="E8374" s="491">
        <v>0</v>
      </c>
      <c r="F8374" s="491">
        <v>0</v>
      </c>
      <c r="G8374" s="491">
        <f t="shared" si="131"/>
        <v>1</v>
      </c>
    </row>
    <row r="8375" spans="1:7" ht="12.75">
      <c r="A8375" s="134" t="s">
        <v>960</v>
      </c>
      <c r="B8375" s="134">
        <v>420</v>
      </c>
      <c r="C8375" s="491">
        <v>3</v>
      </c>
      <c r="D8375" s="491">
        <v>0</v>
      </c>
      <c r="E8375" s="491">
        <v>0</v>
      </c>
      <c r="F8375" s="491">
        <v>0</v>
      </c>
      <c r="G8375" s="491">
        <f t="shared" si="131"/>
        <v>3</v>
      </c>
    </row>
    <row r="8376" spans="1:7" ht="12.75">
      <c r="A8376" s="134" t="s">
        <v>960</v>
      </c>
      <c r="B8376" s="134">
        <v>501</v>
      </c>
      <c r="C8376" s="491">
        <v>1</v>
      </c>
      <c r="D8376" s="491">
        <v>0</v>
      </c>
      <c r="E8376" s="491">
        <v>0</v>
      </c>
      <c r="F8376" s="491">
        <v>0</v>
      </c>
      <c r="G8376" s="491">
        <f t="shared" si="131"/>
        <v>1</v>
      </c>
    </row>
    <row r="8377" spans="1:7" ht="12.75">
      <c r="A8377" s="134" t="s">
        <v>960</v>
      </c>
      <c r="B8377" s="134">
        <v>502</v>
      </c>
      <c r="C8377" s="491">
        <v>2</v>
      </c>
      <c r="D8377" s="491">
        <v>0</v>
      </c>
      <c r="E8377" s="491">
        <v>0</v>
      </c>
      <c r="F8377" s="491">
        <v>0</v>
      </c>
      <c r="G8377" s="491">
        <f t="shared" si="131"/>
        <v>2</v>
      </c>
    </row>
    <row r="8378" spans="1:7" ht="12.75">
      <c r="A8378" s="134" t="s">
        <v>960</v>
      </c>
      <c r="B8378" s="134">
        <v>503</v>
      </c>
      <c r="C8378" s="491">
        <v>2</v>
      </c>
      <c r="D8378" s="491">
        <v>1</v>
      </c>
      <c r="E8378" s="491">
        <v>0</v>
      </c>
      <c r="F8378" s="491">
        <v>0</v>
      </c>
      <c r="G8378" s="491">
        <f t="shared" si="131"/>
        <v>3</v>
      </c>
    </row>
    <row r="8379" spans="1:7" ht="12.75">
      <c r="A8379" s="134" t="s">
        <v>960</v>
      </c>
      <c r="B8379" s="134">
        <v>800</v>
      </c>
      <c r="C8379" s="491">
        <v>89</v>
      </c>
      <c r="D8379" s="491">
        <v>1</v>
      </c>
      <c r="E8379" s="491">
        <v>0</v>
      </c>
      <c r="F8379" s="491">
        <v>0</v>
      </c>
      <c r="G8379" s="491">
        <f t="shared" si="131"/>
        <v>90</v>
      </c>
    </row>
    <row r="8380" spans="1:7" ht="12.75">
      <c r="A8380" s="134" t="s">
        <v>960</v>
      </c>
      <c r="B8380" s="134">
        <v>811</v>
      </c>
      <c r="C8380" s="491">
        <v>11</v>
      </c>
      <c r="D8380" s="491">
        <v>0</v>
      </c>
      <c r="E8380" s="491">
        <v>0</v>
      </c>
      <c r="F8380" s="491">
        <v>0</v>
      </c>
      <c r="G8380" s="491">
        <f t="shared" si="131"/>
        <v>11</v>
      </c>
    </row>
    <row r="8381" spans="1:7" ht="12.75">
      <c r="A8381" s="134" t="s">
        <v>960</v>
      </c>
      <c r="B8381" s="134">
        <v>812</v>
      </c>
      <c r="C8381" s="491">
        <v>1</v>
      </c>
      <c r="D8381" s="491">
        <v>0</v>
      </c>
      <c r="E8381" s="491">
        <v>0</v>
      </c>
      <c r="F8381" s="491">
        <v>0</v>
      </c>
      <c r="G8381" s="491">
        <f t="shared" si="131"/>
        <v>1</v>
      </c>
    </row>
    <row r="8382" spans="1:7" ht="12.75">
      <c r="A8382" s="134" t="s">
        <v>961</v>
      </c>
      <c r="B8382" s="134">
        <v>303</v>
      </c>
      <c r="C8382" s="491">
        <v>3</v>
      </c>
      <c r="D8382" s="491">
        <v>0</v>
      </c>
      <c r="E8382" s="491">
        <v>1</v>
      </c>
      <c r="F8382" s="491">
        <v>0</v>
      </c>
      <c r="G8382" s="491">
        <f t="shared" si="131"/>
        <v>4</v>
      </c>
    </row>
    <row r="8383" spans="1:7" ht="12.75">
      <c r="A8383" s="134" t="s">
        <v>962</v>
      </c>
      <c r="B8383" s="134">
        <v>120</v>
      </c>
      <c r="C8383" s="491">
        <v>0</v>
      </c>
      <c r="D8383" s="491">
        <v>1</v>
      </c>
      <c r="E8383" s="491">
        <v>0</v>
      </c>
      <c r="F8383" s="491">
        <v>0</v>
      </c>
      <c r="G8383" s="491">
        <f t="shared" si="131"/>
        <v>1</v>
      </c>
    </row>
    <row r="8384" spans="1:7" ht="12.75">
      <c r="A8384" s="134" t="s">
        <v>962</v>
      </c>
      <c r="B8384" s="134">
        <v>361</v>
      </c>
      <c r="C8384" s="491">
        <v>1</v>
      </c>
      <c r="D8384" s="491">
        <v>1</v>
      </c>
      <c r="E8384" s="491">
        <v>0</v>
      </c>
      <c r="F8384" s="491">
        <v>0</v>
      </c>
      <c r="G8384" s="491">
        <f t="shared" si="131"/>
        <v>2</v>
      </c>
    </row>
    <row r="8385" spans="1:7" ht="12.75">
      <c r="A8385" s="134" t="s">
        <v>962</v>
      </c>
      <c r="B8385" s="134">
        <v>430</v>
      </c>
      <c r="C8385" s="491">
        <v>0</v>
      </c>
      <c r="D8385" s="491">
        <v>1</v>
      </c>
      <c r="E8385" s="491">
        <v>0</v>
      </c>
      <c r="F8385" s="491">
        <v>0</v>
      </c>
      <c r="G8385" s="491">
        <f t="shared" si="131"/>
        <v>1</v>
      </c>
    </row>
    <row r="8386" spans="1:7" ht="12.75">
      <c r="A8386" s="134" t="s">
        <v>963</v>
      </c>
      <c r="B8386" s="134">
        <v>103</v>
      </c>
      <c r="C8386" s="491">
        <v>1</v>
      </c>
      <c r="D8386" s="491">
        <v>1</v>
      </c>
      <c r="E8386" s="491">
        <v>0</v>
      </c>
      <c r="F8386" s="491">
        <v>0</v>
      </c>
      <c r="G8386" s="491">
        <f t="shared" si="131"/>
        <v>2</v>
      </c>
    </row>
    <row r="8387" spans="1:7" ht="12.75">
      <c r="A8387" s="134" t="s">
        <v>963</v>
      </c>
      <c r="B8387" s="134">
        <v>120</v>
      </c>
      <c r="C8387" s="491">
        <v>0</v>
      </c>
      <c r="D8387" s="491">
        <v>1</v>
      </c>
      <c r="E8387" s="491">
        <v>0</v>
      </c>
      <c r="F8387" s="491">
        <v>0</v>
      </c>
      <c r="G8387" s="491">
        <f t="shared" si="131"/>
        <v>1</v>
      </c>
    </row>
    <row r="8388" spans="1:7" ht="12.75">
      <c r="A8388" s="134" t="s">
        <v>963</v>
      </c>
      <c r="B8388" s="134">
        <v>300</v>
      </c>
      <c r="C8388" s="491">
        <v>7</v>
      </c>
      <c r="D8388" s="491">
        <v>2</v>
      </c>
      <c r="E8388" s="491">
        <v>0</v>
      </c>
      <c r="F8388" s="491">
        <v>0</v>
      </c>
      <c r="G8388" s="491">
        <f t="shared" si="131"/>
        <v>9</v>
      </c>
    </row>
    <row r="8389" spans="1:7" ht="12.75">
      <c r="A8389" s="134" t="s">
        <v>963</v>
      </c>
      <c r="B8389" s="134">
        <v>330</v>
      </c>
      <c r="C8389" s="491">
        <v>4</v>
      </c>
      <c r="D8389" s="491">
        <v>2</v>
      </c>
      <c r="E8389" s="491">
        <v>0</v>
      </c>
      <c r="F8389" s="491">
        <v>0</v>
      </c>
      <c r="G8389" s="491">
        <f t="shared" si="131"/>
        <v>6</v>
      </c>
    </row>
    <row r="8390" spans="1:7" ht="12.75">
      <c r="A8390" s="134" t="s">
        <v>963</v>
      </c>
      <c r="B8390" s="134">
        <v>410</v>
      </c>
      <c r="C8390" s="491">
        <v>0</v>
      </c>
      <c r="D8390" s="491">
        <v>2</v>
      </c>
      <c r="E8390" s="491">
        <v>0</v>
      </c>
      <c r="F8390" s="491">
        <v>0</v>
      </c>
      <c r="G8390" s="491">
        <f t="shared" si="131"/>
        <v>2</v>
      </c>
    </row>
    <row r="8391" spans="1:7" ht="12.75">
      <c r="A8391" s="134" t="s">
        <v>963</v>
      </c>
      <c r="B8391" s="134">
        <v>430</v>
      </c>
      <c r="C8391" s="491">
        <v>1</v>
      </c>
      <c r="D8391" s="491">
        <v>0</v>
      </c>
      <c r="E8391" s="491">
        <v>0</v>
      </c>
      <c r="F8391" s="491">
        <v>0</v>
      </c>
      <c r="G8391" s="491">
        <f t="shared" si="131"/>
        <v>1</v>
      </c>
    </row>
    <row r="8392" spans="1:7" ht="12.75">
      <c r="A8392" s="134" t="s">
        <v>964</v>
      </c>
      <c r="B8392" s="134">
        <v>100</v>
      </c>
      <c r="C8392" s="491">
        <v>0</v>
      </c>
      <c r="D8392" s="491">
        <v>1</v>
      </c>
      <c r="E8392" s="491">
        <v>0</v>
      </c>
      <c r="F8392" s="491">
        <v>0</v>
      </c>
      <c r="G8392" s="491">
        <f t="shared" si="131"/>
        <v>1</v>
      </c>
    </row>
    <row r="8393" spans="1:7" ht="12.75">
      <c r="A8393" s="134" t="s">
        <v>964</v>
      </c>
      <c r="B8393" s="134">
        <v>107</v>
      </c>
      <c r="C8393" s="491">
        <v>1</v>
      </c>
      <c r="D8393" s="491">
        <v>0</v>
      </c>
      <c r="E8393" s="491">
        <v>0</v>
      </c>
      <c r="F8393" s="491">
        <v>0</v>
      </c>
      <c r="G8393" s="491">
        <f t="shared" si="131"/>
        <v>1</v>
      </c>
    </row>
    <row r="8394" spans="1:7" ht="12.75">
      <c r="A8394" s="134" t="s">
        <v>964</v>
      </c>
      <c r="B8394" s="134">
        <v>140</v>
      </c>
      <c r="C8394" s="491">
        <v>1</v>
      </c>
      <c r="D8394" s="491">
        <v>0</v>
      </c>
      <c r="E8394" s="491">
        <v>0</v>
      </c>
      <c r="F8394" s="491">
        <v>0</v>
      </c>
      <c r="G8394" s="491">
        <f t="shared" si="131"/>
        <v>1</v>
      </c>
    </row>
    <row r="8395" spans="1:7" ht="12.75">
      <c r="A8395" s="134" t="s">
        <v>964</v>
      </c>
      <c r="B8395" s="134">
        <v>190</v>
      </c>
      <c r="C8395" s="491">
        <v>0</v>
      </c>
      <c r="D8395" s="491">
        <v>1</v>
      </c>
      <c r="E8395" s="491">
        <v>0</v>
      </c>
      <c r="F8395" s="491">
        <v>0</v>
      </c>
      <c r="G8395" s="491">
        <f t="shared" si="131"/>
        <v>1</v>
      </c>
    </row>
    <row r="8396" spans="1:7" ht="12.75">
      <c r="A8396" s="134" t="s">
        <v>964</v>
      </c>
      <c r="B8396" s="134">
        <v>303</v>
      </c>
      <c r="C8396" s="491">
        <v>1</v>
      </c>
      <c r="D8396" s="491">
        <v>1</v>
      </c>
      <c r="E8396" s="491">
        <v>0</v>
      </c>
      <c r="F8396" s="491">
        <v>0</v>
      </c>
      <c r="G8396" s="491">
        <f t="shared" si="131"/>
        <v>2</v>
      </c>
    </row>
    <row r="8397" spans="1:7" ht="12.75">
      <c r="A8397" s="134" t="s">
        <v>964</v>
      </c>
      <c r="B8397" s="134">
        <v>330</v>
      </c>
      <c r="C8397" s="491">
        <v>1</v>
      </c>
      <c r="D8397" s="491">
        <v>0</v>
      </c>
      <c r="E8397" s="491">
        <v>0</v>
      </c>
      <c r="F8397" s="491">
        <v>0</v>
      </c>
      <c r="G8397" s="491">
        <f t="shared" ref="G8397:G8460" si="132">SUM(C8397:F8397)</f>
        <v>1</v>
      </c>
    </row>
    <row r="8398" spans="1:7" ht="12.75">
      <c r="A8398" s="134" t="s">
        <v>965</v>
      </c>
      <c r="B8398" s="134">
        <v>330</v>
      </c>
      <c r="C8398" s="491">
        <v>1</v>
      </c>
      <c r="D8398" s="491">
        <v>0</v>
      </c>
      <c r="E8398" s="491">
        <v>0</v>
      </c>
      <c r="F8398" s="491">
        <v>0</v>
      </c>
      <c r="G8398" s="491">
        <f t="shared" si="132"/>
        <v>1</v>
      </c>
    </row>
    <row r="8399" spans="1:7" ht="12.75">
      <c r="A8399" s="134" t="s">
        <v>966</v>
      </c>
      <c r="B8399" s="134">
        <v>107</v>
      </c>
      <c r="C8399" s="491">
        <v>1</v>
      </c>
      <c r="D8399" s="491">
        <v>0</v>
      </c>
      <c r="E8399" s="491">
        <v>0</v>
      </c>
      <c r="F8399" s="491">
        <v>0</v>
      </c>
      <c r="G8399" s="491">
        <f t="shared" si="132"/>
        <v>1</v>
      </c>
    </row>
    <row r="8400" spans="1:7" ht="12.75">
      <c r="A8400" s="134" t="s">
        <v>966</v>
      </c>
      <c r="B8400" s="134">
        <v>130</v>
      </c>
      <c r="C8400" s="491">
        <v>0</v>
      </c>
      <c r="D8400" s="491">
        <v>1</v>
      </c>
      <c r="E8400" s="491">
        <v>0</v>
      </c>
      <c r="F8400" s="491">
        <v>0</v>
      </c>
      <c r="G8400" s="491">
        <f t="shared" si="132"/>
        <v>1</v>
      </c>
    </row>
    <row r="8401" spans="1:7" ht="12.75">
      <c r="A8401" s="134" t="s">
        <v>967</v>
      </c>
      <c r="B8401" s="134">
        <v>100</v>
      </c>
      <c r="C8401" s="491">
        <v>0</v>
      </c>
      <c r="D8401" s="491">
        <v>1</v>
      </c>
      <c r="E8401" s="491">
        <v>0</v>
      </c>
      <c r="F8401" s="491">
        <v>0</v>
      </c>
      <c r="G8401" s="491">
        <f t="shared" si="132"/>
        <v>1</v>
      </c>
    </row>
    <row r="8402" spans="1:7" ht="12.75">
      <c r="A8402" s="134" t="s">
        <v>967</v>
      </c>
      <c r="B8402" s="134">
        <v>107</v>
      </c>
      <c r="C8402" s="491">
        <v>1</v>
      </c>
      <c r="D8402" s="491">
        <v>1</v>
      </c>
      <c r="E8402" s="491">
        <v>0</v>
      </c>
      <c r="F8402" s="491">
        <v>0</v>
      </c>
      <c r="G8402" s="491">
        <f t="shared" si="132"/>
        <v>2</v>
      </c>
    </row>
    <row r="8403" spans="1:7" ht="12.75">
      <c r="A8403" s="134" t="s">
        <v>967</v>
      </c>
      <c r="B8403" s="134">
        <v>110</v>
      </c>
      <c r="C8403" s="491">
        <v>1</v>
      </c>
      <c r="D8403" s="491">
        <v>0</v>
      </c>
      <c r="E8403" s="491">
        <v>0</v>
      </c>
      <c r="F8403" s="491">
        <v>0</v>
      </c>
      <c r="G8403" s="491">
        <f t="shared" si="132"/>
        <v>1</v>
      </c>
    </row>
    <row r="8404" spans="1:7" ht="12.75">
      <c r="A8404" s="134" t="s">
        <v>967</v>
      </c>
      <c r="B8404" s="134">
        <v>160</v>
      </c>
      <c r="C8404" s="491">
        <v>1</v>
      </c>
      <c r="D8404" s="491">
        <v>0</v>
      </c>
      <c r="E8404" s="491">
        <v>0</v>
      </c>
      <c r="F8404" s="491">
        <v>0</v>
      </c>
      <c r="G8404" s="491">
        <f t="shared" si="132"/>
        <v>1</v>
      </c>
    </row>
    <row r="8405" spans="1:7" ht="12.75">
      <c r="A8405" s="134" t="s">
        <v>967</v>
      </c>
      <c r="B8405" s="134">
        <v>180</v>
      </c>
      <c r="C8405" s="491">
        <v>0</v>
      </c>
      <c r="D8405" s="491">
        <v>1</v>
      </c>
      <c r="E8405" s="491">
        <v>0</v>
      </c>
      <c r="F8405" s="491">
        <v>0</v>
      </c>
      <c r="G8405" s="491">
        <f t="shared" si="132"/>
        <v>1</v>
      </c>
    </row>
    <row r="8406" spans="1:7" ht="12.75">
      <c r="A8406" s="134" t="s">
        <v>967</v>
      </c>
      <c r="B8406" s="134">
        <v>501</v>
      </c>
      <c r="C8406" s="491">
        <v>3</v>
      </c>
      <c r="D8406" s="491">
        <v>0</v>
      </c>
      <c r="E8406" s="491">
        <v>0</v>
      </c>
      <c r="F8406" s="491">
        <v>0</v>
      </c>
      <c r="G8406" s="491">
        <f t="shared" si="132"/>
        <v>3</v>
      </c>
    </row>
    <row r="8407" spans="1:7" ht="12.75">
      <c r="A8407" s="134" t="s">
        <v>968</v>
      </c>
      <c r="B8407" s="134">
        <v>142</v>
      </c>
      <c r="C8407" s="491">
        <v>0</v>
      </c>
      <c r="D8407" s="491">
        <v>1</v>
      </c>
      <c r="E8407" s="491">
        <v>0</v>
      </c>
      <c r="F8407" s="491">
        <v>0</v>
      </c>
      <c r="G8407" s="491">
        <f t="shared" si="132"/>
        <v>1</v>
      </c>
    </row>
    <row r="8408" spans="1:7" ht="12.75">
      <c r="A8408" s="134" t="s">
        <v>968</v>
      </c>
      <c r="B8408" s="134">
        <v>330</v>
      </c>
      <c r="C8408" s="491">
        <v>1</v>
      </c>
      <c r="D8408" s="491">
        <v>0</v>
      </c>
      <c r="E8408" s="491">
        <v>0</v>
      </c>
      <c r="F8408" s="491">
        <v>0</v>
      </c>
      <c r="G8408" s="491">
        <f t="shared" si="132"/>
        <v>1</v>
      </c>
    </row>
    <row r="8409" spans="1:7" ht="12.75">
      <c r="A8409" s="134" t="s">
        <v>968</v>
      </c>
      <c r="B8409" s="134">
        <v>420</v>
      </c>
      <c r="C8409" s="491">
        <v>1</v>
      </c>
      <c r="D8409" s="491">
        <v>0</v>
      </c>
      <c r="E8409" s="491">
        <v>0</v>
      </c>
      <c r="F8409" s="491">
        <v>0</v>
      </c>
      <c r="G8409" s="491">
        <f t="shared" si="132"/>
        <v>1</v>
      </c>
    </row>
    <row r="8410" spans="1:7" ht="12.75">
      <c r="A8410" s="134" t="s">
        <v>968</v>
      </c>
      <c r="B8410" s="134">
        <v>502</v>
      </c>
      <c r="C8410" s="491">
        <v>2</v>
      </c>
      <c r="D8410" s="491">
        <v>0</v>
      </c>
      <c r="E8410" s="491">
        <v>0</v>
      </c>
      <c r="F8410" s="491">
        <v>2</v>
      </c>
      <c r="G8410" s="491">
        <f t="shared" si="132"/>
        <v>4</v>
      </c>
    </row>
    <row r="8411" spans="1:7" ht="12.75">
      <c r="A8411" s="134" t="s">
        <v>969</v>
      </c>
      <c r="B8411" s="134">
        <v>101</v>
      </c>
      <c r="C8411" s="491">
        <v>5</v>
      </c>
      <c r="D8411" s="491">
        <v>0</v>
      </c>
      <c r="E8411" s="491">
        <v>0</v>
      </c>
      <c r="F8411" s="491">
        <v>0</v>
      </c>
      <c r="G8411" s="491">
        <f t="shared" si="132"/>
        <v>5</v>
      </c>
    </row>
    <row r="8412" spans="1:7" ht="12.75">
      <c r="A8412" s="134" t="s">
        <v>969</v>
      </c>
      <c r="B8412" s="134">
        <v>141</v>
      </c>
      <c r="C8412" s="491">
        <v>1</v>
      </c>
      <c r="D8412" s="491">
        <v>0</v>
      </c>
      <c r="E8412" s="491">
        <v>0</v>
      </c>
      <c r="F8412" s="491">
        <v>0</v>
      </c>
      <c r="G8412" s="491">
        <f t="shared" si="132"/>
        <v>1</v>
      </c>
    </row>
    <row r="8413" spans="1:7" ht="12.75">
      <c r="A8413" s="134" t="s">
        <v>969</v>
      </c>
      <c r="B8413" s="134">
        <v>160</v>
      </c>
      <c r="C8413" s="491">
        <v>1</v>
      </c>
      <c r="D8413" s="491">
        <v>0</v>
      </c>
      <c r="E8413" s="491">
        <v>0</v>
      </c>
      <c r="F8413" s="491">
        <v>0</v>
      </c>
      <c r="G8413" s="491">
        <f t="shared" si="132"/>
        <v>1</v>
      </c>
    </row>
    <row r="8414" spans="1:7" ht="12.75">
      <c r="A8414" s="134" t="s">
        <v>969</v>
      </c>
      <c r="B8414" s="134">
        <v>330</v>
      </c>
      <c r="C8414" s="491">
        <v>5</v>
      </c>
      <c r="D8414" s="491">
        <v>0</v>
      </c>
      <c r="E8414" s="491">
        <v>0</v>
      </c>
      <c r="F8414" s="491">
        <v>0</v>
      </c>
      <c r="G8414" s="491">
        <f t="shared" si="132"/>
        <v>5</v>
      </c>
    </row>
    <row r="8415" spans="1:7" ht="12.75">
      <c r="A8415" s="134" t="s">
        <v>969</v>
      </c>
      <c r="B8415" s="134">
        <v>560</v>
      </c>
      <c r="C8415" s="491">
        <v>1</v>
      </c>
      <c r="D8415" s="491">
        <v>0</v>
      </c>
      <c r="E8415" s="491">
        <v>0</v>
      </c>
      <c r="F8415" s="491">
        <v>0</v>
      </c>
      <c r="G8415" s="491">
        <f t="shared" si="132"/>
        <v>1</v>
      </c>
    </row>
    <row r="8416" spans="1:7" ht="12.75">
      <c r="A8416" s="134" t="s">
        <v>970</v>
      </c>
      <c r="B8416" s="134">
        <v>100</v>
      </c>
      <c r="C8416" s="491">
        <v>0</v>
      </c>
      <c r="D8416" s="491">
        <v>1</v>
      </c>
      <c r="E8416" s="491">
        <v>0</v>
      </c>
      <c r="F8416" s="491">
        <v>0</v>
      </c>
      <c r="G8416" s="491">
        <f t="shared" si="132"/>
        <v>1</v>
      </c>
    </row>
    <row r="8417" spans="1:7" ht="12.75">
      <c r="A8417" s="134" t="s">
        <v>970</v>
      </c>
      <c r="B8417" s="134">
        <v>107</v>
      </c>
      <c r="C8417" s="491">
        <v>1</v>
      </c>
      <c r="D8417" s="491">
        <v>0</v>
      </c>
      <c r="E8417" s="491">
        <v>0</v>
      </c>
      <c r="F8417" s="491">
        <v>0</v>
      </c>
      <c r="G8417" s="491">
        <f t="shared" si="132"/>
        <v>1</v>
      </c>
    </row>
    <row r="8418" spans="1:7" ht="12.75">
      <c r="A8418" s="134" t="s">
        <v>970</v>
      </c>
      <c r="B8418" s="134">
        <v>330</v>
      </c>
      <c r="C8418" s="491">
        <v>2</v>
      </c>
      <c r="D8418" s="491">
        <v>0</v>
      </c>
      <c r="E8418" s="491">
        <v>0</v>
      </c>
      <c r="F8418" s="491">
        <v>0</v>
      </c>
      <c r="G8418" s="491">
        <f t="shared" si="132"/>
        <v>2</v>
      </c>
    </row>
    <row r="8419" spans="1:7" ht="12.75">
      <c r="A8419" s="134" t="s">
        <v>970</v>
      </c>
      <c r="B8419" s="134">
        <v>800</v>
      </c>
      <c r="C8419" s="491">
        <v>1</v>
      </c>
      <c r="D8419" s="491">
        <v>0</v>
      </c>
      <c r="E8419" s="491">
        <v>0</v>
      </c>
      <c r="F8419" s="491">
        <v>0</v>
      </c>
      <c r="G8419" s="491">
        <f t="shared" si="132"/>
        <v>1</v>
      </c>
    </row>
    <row r="8420" spans="1:7" ht="12.75">
      <c r="A8420" s="134" t="s">
        <v>971</v>
      </c>
      <c r="B8420" s="134">
        <v>130</v>
      </c>
      <c r="C8420" s="491">
        <v>17</v>
      </c>
      <c r="D8420" s="491">
        <v>0</v>
      </c>
      <c r="E8420" s="491">
        <v>0</v>
      </c>
      <c r="F8420" s="491">
        <v>0</v>
      </c>
      <c r="G8420" s="491">
        <f t="shared" si="132"/>
        <v>17</v>
      </c>
    </row>
    <row r="8421" spans="1:7" ht="12.75">
      <c r="A8421" s="134" t="s">
        <v>971</v>
      </c>
      <c r="B8421" s="134">
        <v>502</v>
      </c>
      <c r="C8421" s="491">
        <v>0</v>
      </c>
      <c r="D8421" s="491">
        <v>0</v>
      </c>
      <c r="E8421" s="491">
        <v>0</v>
      </c>
      <c r="F8421" s="491">
        <v>1</v>
      </c>
      <c r="G8421" s="491">
        <f t="shared" si="132"/>
        <v>1</v>
      </c>
    </row>
    <row r="8422" spans="1:7" ht="12.75">
      <c r="A8422" s="134" t="s">
        <v>972</v>
      </c>
      <c r="B8422" s="134">
        <v>110</v>
      </c>
      <c r="C8422" s="491">
        <v>1</v>
      </c>
      <c r="D8422" s="491">
        <v>0</v>
      </c>
      <c r="E8422" s="491">
        <v>0</v>
      </c>
      <c r="F8422" s="491">
        <v>0</v>
      </c>
      <c r="G8422" s="491">
        <f t="shared" si="132"/>
        <v>1</v>
      </c>
    </row>
    <row r="8423" spans="1:7" ht="12.75">
      <c r="A8423" s="134" t="s">
        <v>972</v>
      </c>
      <c r="B8423" s="134">
        <v>140</v>
      </c>
      <c r="C8423" s="491">
        <v>4</v>
      </c>
      <c r="D8423" s="491">
        <v>0</v>
      </c>
      <c r="E8423" s="491">
        <v>0</v>
      </c>
      <c r="F8423" s="491">
        <v>0</v>
      </c>
      <c r="G8423" s="491">
        <f t="shared" si="132"/>
        <v>4</v>
      </c>
    </row>
    <row r="8424" spans="1:7" ht="12.75">
      <c r="A8424" s="134" t="s">
        <v>972</v>
      </c>
      <c r="B8424" s="134">
        <v>191</v>
      </c>
      <c r="C8424" s="491">
        <v>3</v>
      </c>
      <c r="D8424" s="491">
        <v>1</v>
      </c>
      <c r="E8424" s="491">
        <v>0</v>
      </c>
      <c r="F8424" s="491">
        <v>0</v>
      </c>
      <c r="G8424" s="491">
        <f t="shared" si="132"/>
        <v>4</v>
      </c>
    </row>
    <row r="8425" spans="1:7" ht="12.75">
      <c r="A8425" s="134" t="s">
        <v>972</v>
      </c>
      <c r="B8425" s="134">
        <v>410</v>
      </c>
      <c r="C8425" s="491">
        <v>3</v>
      </c>
      <c r="D8425" s="491">
        <v>0</v>
      </c>
      <c r="E8425" s="491">
        <v>0</v>
      </c>
      <c r="F8425" s="491">
        <v>0</v>
      </c>
      <c r="G8425" s="491">
        <f t="shared" si="132"/>
        <v>3</v>
      </c>
    </row>
    <row r="8426" spans="1:7" ht="12.75">
      <c r="A8426" s="134" t="s">
        <v>972</v>
      </c>
      <c r="B8426" s="134">
        <v>812</v>
      </c>
      <c r="C8426" s="491">
        <v>0</v>
      </c>
      <c r="D8426" s="491">
        <v>4</v>
      </c>
      <c r="E8426" s="491">
        <v>0</v>
      </c>
      <c r="F8426" s="491">
        <v>0</v>
      </c>
      <c r="G8426" s="491">
        <f t="shared" si="132"/>
        <v>4</v>
      </c>
    </row>
    <row r="8427" spans="1:7" ht="12.75">
      <c r="A8427" s="134" t="s">
        <v>973</v>
      </c>
      <c r="B8427" s="134">
        <v>100</v>
      </c>
      <c r="C8427" s="491">
        <v>38</v>
      </c>
      <c r="D8427" s="491">
        <v>151</v>
      </c>
      <c r="E8427" s="491">
        <v>0</v>
      </c>
      <c r="F8427" s="491">
        <v>0</v>
      </c>
      <c r="G8427" s="491">
        <f t="shared" si="132"/>
        <v>189</v>
      </c>
    </row>
    <row r="8428" spans="1:7" ht="12.75">
      <c r="A8428" s="134" t="s">
        <v>973</v>
      </c>
      <c r="B8428" s="134">
        <v>107</v>
      </c>
      <c r="C8428" s="491">
        <v>260</v>
      </c>
      <c r="D8428" s="491">
        <v>330</v>
      </c>
      <c r="E8428" s="491">
        <v>1</v>
      </c>
      <c r="F8428" s="491">
        <v>0</v>
      </c>
      <c r="G8428" s="491">
        <f t="shared" si="132"/>
        <v>591</v>
      </c>
    </row>
    <row r="8429" spans="1:7" ht="12.75">
      <c r="A8429" s="134" t="s">
        <v>973</v>
      </c>
      <c r="B8429" s="134">
        <v>110</v>
      </c>
      <c r="C8429" s="491">
        <v>1</v>
      </c>
      <c r="D8429" s="491">
        <v>0</v>
      </c>
      <c r="E8429" s="491">
        <v>0</v>
      </c>
      <c r="F8429" s="491">
        <v>0</v>
      </c>
      <c r="G8429" s="491">
        <f t="shared" si="132"/>
        <v>1</v>
      </c>
    </row>
    <row r="8430" spans="1:7" ht="12.75">
      <c r="A8430" s="134" t="s">
        <v>973</v>
      </c>
      <c r="B8430" s="134">
        <v>120</v>
      </c>
      <c r="C8430" s="491">
        <v>0</v>
      </c>
      <c r="D8430" s="491">
        <v>1</v>
      </c>
      <c r="E8430" s="491">
        <v>0</v>
      </c>
      <c r="F8430" s="491">
        <v>0</v>
      </c>
      <c r="G8430" s="491">
        <f t="shared" si="132"/>
        <v>1</v>
      </c>
    </row>
    <row r="8431" spans="1:7" ht="12.75">
      <c r="A8431" s="134" t="s">
        <v>973</v>
      </c>
      <c r="B8431" s="134">
        <v>130</v>
      </c>
      <c r="C8431" s="491">
        <v>4</v>
      </c>
      <c r="D8431" s="491">
        <v>6</v>
      </c>
      <c r="E8431" s="491">
        <v>0</v>
      </c>
      <c r="F8431" s="491">
        <v>0</v>
      </c>
      <c r="G8431" s="491">
        <f t="shared" si="132"/>
        <v>10</v>
      </c>
    </row>
    <row r="8432" spans="1:7" ht="12.75">
      <c r="A8432" s="134" t="s">
        <v>973</v>
      </c>
      <c r="B8432" s="134">
        <v>140</v>
      </c>
      <c r="C8432" s="491">
        <v>22</v>
      </c>
      <c r="D8432" s="491">
        <v>28</v>
      </c>
      <c r="E8432" s="491">
        <v>0</v>
      </c>
      <c r="F8432" s="491">
        <v>0</v>
      </c>
      <c r="G8432" s="491">
        <f t="shared" si="132"/>
        <v>50</v>
      </c>
    </row>
    <row r="8433" spans="1:7" ht="12.75">
      <c r="A8433" s="134" t="s">
        <v>973</v>
      </c>
      <c r="B8433" s="134">
        <v>144</v>
      </c>
      <c r="C8433" s="491">
        <v>11</v>
      </c>
      <c r="D8433" s="491">
        <v>12</v>
      </c>
      <c r="E8433" s="491">
        <v>6</v>
      </c>
      <c r="F8433" s="491">
        <v>0</v>
      </c>
      <c r="G8433" s="491">
        <f t="shared" si="132"/>
        <v>29</v>
      </c>
    </row>
    <row r="8434" spans="1:7" ht="12.75">
      <c r="A8434" s="134" t="s">
        <v>973</v>
      </c>
      <c r="B8434" s="134">
        <v>290</v>
      </c>
      <c r="C8434" s="491">
        <v>11</v>
      </c>
      <c r="D8434" s="491">
        <v>4</v>
      </c>
      <c r="E8434" s="491">
        <v>0</v>
      </c>
      <c r="F8434" s="491">
        <v>3</v>
      </c>
      <c r="G8434" s="491">
        <f t="shared" si="132"/>
        <v>18</v>
      </c>
    </row>
    <row r="8435" spans="1:7" ht="12.75">
      <c r="A8435" s="134" t="s">
        <v>973</v>
      </c>
      <c r="B8435" s="134">
        <v>300</v>
      </c>
      <c r="C8435" s="491">
        <v>5</v>
      </c>
      <c r="D8435" s="491">
        <v>9</v>
      </c>
      <c r="E8435" s="491">
        <v>0</v>
      </c>
      <c r="F8435" s="491">
        <v>0</v>
      </c>
      <c r="G8435" s="491">
        <f t="shared" si="132"/>
        <v>14</v>
      </c>
    </row>
    <row r="8436" spans="1:7" ht="12.75">
      <c r="A8436" s="134" t="s">
        <v>973</v>
      </c>
      <c r="B8436" s="134">
        <v>303</v>
      </c>
      <c r="C8436" s="491">
        <v>10</v>
      </c>
      <c r="D8436" s="491">
        <v>0</v>
      </c>
      <c r="E8436" s="491">
        <v>2</v>
      </c>
      <c r="F8436" s="491">
        <v>0</v>
      </c>
      <c r="G8436" s="491">
        <f t="shared" si="132"/>
        <v>12</v>
      </c>
    </row>
    <row r="8437" spans="1:7" ht="12.75">
      <c r="A8437" s="134" t="s">
        <v>973</v>
      </c>
      <c r="B8437" s="134">
        <v>320</v>
      </c>
      <c r="C8437" s="491">
        <v>1</v>
      </c>
      <c r="D8437" s="491">
        <v>0</v>
      </c>
      <c r="E8437" s="491">
        <v>0</v>
      </c>
      <c r="F8437" s="491">
        <v>0</v>
      </c>
      <c r="G8437" s="491">
        <f t="shared" si="132"/>
        <v>1</v>
      </c>
    </row>
    <row r="8438" spans="1:7" ht="12.75">
      <c r="A8438" s="134" t="s">
        <v>973</v>
      </c>
      <c r="B8438" s="134">
        <v>330</v>
      </c>
      <c r="C8438" s="491">
        <v>20</v>
      </c>
      <c r="D8438" s="491">
        <v>14</v>
      </c>
      <c r="E8438" s="491">
        <v>0</v>
      </c>
      <c r="F8438" s="491">
        <v>0</v>
      </c>
      <c r="G8438" s="491">
        <f t="shared" si="132"/>
        <v>34</v>
      </c>
    </row>
    <row r="8439" spans="1:7" ht="12.75">
      <c r="A8439" s="134" t="s">
        <v>973</v>
      </c>
      <c r="B8439" s="134">
        <v>370</v>
      </c>
      <c r="C8439" s="491">
        <v>8</v>
      </c>
      <c r="D8439" s="491">
        <v>0</v>
      </c>
      <c r="E8439" s="491">
        <v>0</v>
      </c>
      <c r="F8439" s="491">
        <v>0</v>
      </c>
      <c r="G8439" s="491">
        <f t="shared" si="132"/>
        <v>8</v>
      </c>
    </row>
    <row r="8440" spans="1:7" ht="12.75">
      <c r="A8440" s="134" t="s">
        <v>973</v>
      </c>
      <c r="B8440" s="134">
        <v>410</v>
      </c>
      <c r="C8440" s="491">
        <v>1869</v>
      </c>
      <c r="D8440" s="491">
        <v>9</v>
      </c>
      <c r="E8440" s="491">
        <v>121</v>
      </c>
      <c r="F8440" s="491">
        <v>8</v>
      </c>
      <c r="G8440" s="491">
        <f t="shared" si="132"/>
        <v>2007</v>
      </c>
    </row>
    <row r="8441" spans="1:7" ht="12.75">
      <c r="A8441" s="134" t="s">
        <v>973</v>
      </c>
      <c r="B8441" s="134">
        <v>420</v>
      </c>
      <c r="C8441" s="491">
        <v>247</v>
      </c>
      <c r="D8441" s="491">
        <v>216</v>
      </c>
      <c r="E8441" s="491">
        <v>63</v>
      </c>
      <c r="F8441" s="491">
        <v>28</v>
      </c>
      <c r="G8441" s="491">
        <f t="shared" si="132"/>
        <v>554</v>
      </c>
    </row>
    <row r="8442" spans="1:7" ht="12.75">
      <c r="A8442" s="134" t="s">
        <v>973</v>
      </c>
      <c r="B8442" s="134">
        <v>430</v>
      </c>
      <c r="C8442" s="491">
        <v>19</v>
      </c>
      <c r="D8442" s="491">
        <v>1</v>
      </c>
      <c r="E8442" s="491">
        <v>0</v>
      </c>
      <c r="F8442" s="491">
        <v>0</v>
      </c>
      <c r="G8442" s="491">
        <f t="shared" si="132"/>
        <v>20</v>
      </c>
    </row>
    <row r="8443" spans="1:7" ht="12.75">
      <c r="A8443" s="134" t="s">
        <v>973</v>
      </c>
      <c r="B8443" s="134">
        <v>460</v>
      </c>
      <c r="C8443" s="491">
        <v>2</v>
      </c>
      <c r="D8443" s="491">
        <v>1</v>
      </c>
      <c r="E8443" s="491">
        <v>0</v>
      </c>
      <c r="F8443" s="491">
        <v>0</v>
      </c>
      <c r="G8443" s="491">
        <f t="shared" si="132"/>
        <v>3</v>
      </c>
    </row>
    <row r="8444" spans="1:7" ht="12.75">
      <c r="A8444" s="134" t="s">
        <v>973</v>
      </c>
      <c r="B8444" s="134">
        <v>800</v>
      </c>
      <c r="C8444" s="491">
        <v>3</v>
      </c>
      <c r="D8444" s="491">
        <v>0</v>
      </c>
      <c r="E8444" s="491">
        <v>0</v>
      </c>
      <c r="F8444" s="491">
        <v>0</v>
      </c>
      <c r="G8444" s="491">
        <f t="shared" si="132"/>
        <v>3</v>
      </c>
    </row>
    <row r="8445" spans="1:7" ht="12.75">
      <c r="A8445" s="134" t="s">
        <v>974</v>
      </c>
      <c r="B8445" s="134">
        <v>301</v>
      </c>
      <c r="C8445" s="491">
        <v>1</v>
      </c>
      <c r="D8445" s="491">
        <v>0</v>
      </c>
      <c r="E8445" s="491">
        <v>0</v>
      </c>
      <c r="F8445" s="491">
        <v>0</v>
      </c>
      <c r="G8445" s="491">
        <f t="shared" si="132"/>
        <v>1</v>
      </c>
    </row>
    <row r="8446" spans="1:7" ht="12.75">
      <c r="A8446" s="134" t="s">
        <v>974</v>
      </c>
      <c r="B8446" s="134">
        <v>320</v>
      </c>
      <c r="C8446" s="491">
        <v>0</v>
      </c>
      <c r="D8446" s="491">
        <v>1</v>
      </c>
      <c r="E8446" s="491">
        <v>0</v>
      </c>
      <c r="F8446" s="491">
        <v>0</v>
      </c>
      <c r="G8446" s="491">
        <f t="shared" si="132"/>
        <v>1</v>
      </c>
    </row>
    <row r="8447" spans="1:7" ht="12.75">
      <c r="A8447" s="134" t="s">
        <v>974</v>
      </c>
      <c r="B8447" s="134">
        <v>361</v>
      </c>
      <c r="C8447" s="491">
        <v>33</v>
      </c>
      <c r="D8447" s="491">
        <v>0</v>
      </c>
      <c r="E8447" s="491">
        <v>0</v>
      </c>
      <c r="F8447" s="491">
        <v>0</v>
      </c>
      <c r="G8447" s="491">
        <f t="shared" si="132"/>
        <v>33</v>
      </c>
    </row>
    <row r="8448" spans="1:7" ht="12.75">
      <c r="A8448" s="134" t="s">
        <v>975</v>
      </c>
      <c r="B8448" s="134">
        <v>107</v>
      </c>
      <c r="C8448" s="491">
        <v>3</v>
      </c>
      <c r="D8448" s="491">
        <v>4</v>
      </c>
      <c r="E8448" s="491">
        <v>0</v>
      </c>
      <c r="F8448" s="491">
        <v>0</v>
      </c>
      <c r="G8448" s="491">
        <f t="shared" si="132"/>
        <v>7</v>
      </c>
    </row>
    <row r="8449" spans="1:7" ht="12.75">
      <c r="A8449" s="134" t="s">
        <v>975</v>
      </c>
      <c r="B8449" s="134">
        <v>120</v>
      </c>
      <c r="C8449" s="491">
        <v>13</v>
      </c>
      <c r="D8449" s="491">
        <v>5</v>
      </c>
      <c r="E8449" s="491">
        <v>0</v>
      </c>
      <c r="F8449" s="491">
        <v>0</v>
      </c>
      <c r="G8449" s="491">
        <f t="shared" si="132"/>
        <v>18</v>
      </c>
    </row>
    <row r="8450" spans="1:7" ht="12.75">
      <c r="A8450" s="134" t="s">
        <v>975</v>
      </c>
      <c r="B8450" s="134">
        <v>130</v>
      </c>
      <c r="C8450" s="491">
        <v>0</v>
      </c>
      <c r="D8450" s="491">
        <v>1</v>
      </c>
      <c r="E8450" s="491">
        <v>0</v>
      </c>
      <c r="F8450" s="491">
        <v>0</v>
      </c>
      <c r="G8450" s="491">
        <f t="shared" si="132"/>
        <v>1</v>
      </c>
    </row>
    <row r="8451" spans="1:7" ht="12.75">
      <c r="A8451" s="134" t="s">
        <v>975</v>
      </c>
      <c r="B8451" s="134">
        <v>812</v>
      </c>
      <c r="C8451" s="491">
        <v>62</v>
      </c>
      <c r="D8451" s="491">
        <v>2</v>
      </c>
      <c r="E8451" s="491">
        <v>0</v>
      </c>
      <c r="F8451" s="491">
        <v>0</v>
      </c>
      <c r="G8451" s="491">
        <f t="shared" si="132"/>
        <v>64</v>
      </c>
    </row>
    <row r="8452" spans="1:7" ht="12.75">
      <c r="A8452" s="134" t="s">
        <v>976</v>
      </c>
      <c r="B8452" s="134">
        <v>107</v>
      </c>
      <c r="C8452" s="491">
        <v>7</v>
      </c>
      <c r="D8452" s="491">
        <v>10</v>
      </c>
      <c r="E8452" s="491">
        <v>0</v>
      </c>
      <c r="F8452" s="491">
        <v>0</v>
      </c>
      <c r="G8452" s="491">
        <f t="shared" si="132"/>
        <v>17</v>
      </c>
    </row>
    <row r="8453" spans="1:7" ht="12.75">
      <c r="A8453" s="134" t="s">
        <v>976</v>
      </c>
      <c r="B8453" s="134">
        <v>130</v>
      </c>
      <c r="C8453" s="491">
        <v>1</v>
      </c>
      <c r="D8453" s="491">
        <v>0</v>
      </c>
      <c r="E8453" s="491">
        <v>0</v>
      </c>
      <c r="F8453" s="491">
        <v>0</v>
      </c>
      <c r="G8453" s="491">
        <f t="shared" si="132"/>
        <v>1</v>
      </c>
    </row>
    <row r="8454" spans="1:7" ht="12.75">
      <c r="A8454" s="134" t="s">
        <v>976</v>
      </c>
      <c r="B8454" s="134">
        <v>811</v>
      </c>
      <c r="C8454" s="491">
        <v>0</v>
      </c>
      <c r="D8454" s="491">
        <v>14</v>
      </c>
      <c r="E8454" s="491">
        <v>0</v>
      </c>
      <c r="F8454" s="491">
        <v>0</v>
      </c>
      <c r="G8454" s="491">
        <f t="shared" si="132"/>
        <v>14</v>
      </c>
    </row>
    <row r="8455" spans="1:7" ht="12.75">
      <c r="A8455" s="134" t="s">
        <v>976</v>
      </c>
      <c r="B8455" s="134">
        <v>812</v>
      </c>
      <c r="C8455" s="491">
        <v>13</v>
      </c>
      <c r="D8455" s="491">
        <v>1</v>
      </c>
      <c r="E8455" s="491">
        <v>0</v>
      </c>
      <c r="F8455" s="491">
        <v>0</v>
      </c>
      <c r="G8455" s="491">
        <f t="shared" si="132"/>
        <v>14</v>
      </c>
    </row>
    <row r="8456" spans="1:7" ht="12.75">
      <c r="A8456" s="134" t="s">
        <v>977</v>
      </c>
      <c r="B8456" s="134">
        <v>100</v>
      </c>
      <c r="C8456" s="491">
        <v>32</v>
      </c>
      <c r="D8456" s="491">
        <v>12</v>
      </c>
      <c r="E8456" s="491">
        <v>0</v>
      </c>
      <c r="F8456" s="491">
        <v>0</v>
      </c>
      <c r="G8456" s="491">
        <f t="shared" si="132"/>
        <v>44</v>
      </c>
    </row>
    <row r="8457" spans="1:7" ht="12.75">
      <c r="A8457" s="134" t="s">
        <v>977</v>
      </c>
      <c r="B8457" s="134">
        <v>101</v>
      </c>
      <c r="C8457" s="491">
        <v>1</v>
      </c>
      <c r="D8457" s="491">
        <v>0</v>
      </c>
      <c r="E8457" s="491">
        <v>0</v>
      </c>
      <c r="F8457" s="491">
        <v>0</v>
      </c>
      <c r="G8457" s="491">
        <f t="shared" si="132"/>
        <v>1</v>
      </c>
    </row>
    <row r="8458" spans="1:7" ht="12.75">
      <c r="A8458" s="134" t="s">
        <v>977</v>
      </c>
      <c r="B8458" s="134">
        <v>107</v>
      </c>
      <c r="C8458" s="491">
        <v>53</v>
      </c>
      <c r="D8458" s="491">
        <v>30</v>
      </c>
      <c r="E8458" s="491">
        <v>0</v>
      </c>
      <c r="F8458" s="491">
        <v>0</v>
      </c>
      <c r="G8458" s="491">
        <f t="shared" si="132"/>
        <v>83</v>
      </c>
    </row>
    <row r="8459" spans="1:7" ht="12.75">
      <c r="A8459" s="134" t="s">
        <v>977</v>
      </c>
      <c r="B8459" s="134">
        <v>300</v>
      </c>
      <c r="C8459" s="491">
        <v>2</v>
      </c>
      <c r="D8459" s="491">
        <v>0</v>
      </c>
      <c r="E8459" s="491">
        <v>0</v>
      </c>
      <c r="F8459" s="491">
        <v>0</v>
      </c>
      <c r="G8459" s="491">
        <f t="shared" si="132"/>
        <v>2</v>
      </c>
    </row>
    <row r="8460" spans="1:7" ht="12.75">
      <c r="A8460" s="134" t="s">
        <v>977</v>
      </c>
      <c r="B8460" s="134">
        <v>307</v>
      </c>
      <c r="C8460" s="491">
        <v>1</v>
      </c>
      <c r="D8460" s="491">
        <v>2</v>
      </c>
      <c r="E8460" s="491">
        <v>1</v>
      </c>
      <c r="F8460" s="491">
        <v>1</v>
      </c>
      <c r="G8460" s="491">
        <f t="shared" si="132"/>
        <v>5</v>
      </c>
    </row>
    <row r="8461" spans="1:7" ht="12.75">
      <c r="A8461" s="134" t="s">
        <v>977</v>
      </c>
      <c r="B8461" s="134">
        <v>320</v>
      </c>
      <c r="C8461" s="491">
        <v>1</v>
      </c>
      <c r="D8461" s="491">
        <v>1</v>
      </c>
      <c r="E8461" s="491">
        <v>0</v>
      </c>
      <c r="F8461" s="491">
        <v>0</v>
      </c>
      <c r="G8461" s="491">
        <f t="shared" ref="G8461:G8524" si="133">SUM(C8461:F8461)</f>
        <v>2</v>
      </c>
    </row>
    <row r="8462" spans="1:7" ht="12.75">
      <c r="A8462" s="134" t="s">
        <v>977</v>
      </c>
      <c r="B8462" s="134">
        <v>330</v>
      </c>
      <c r="C8462" s="491">
        <v>1</v>
      </c>
      <c r="D8462" s="491">
        <v>0</v>
      </c>
      <c r="E8462" s="491">
        <v>0</v>
      </c>
      <c r="F8462" s="491">
        <v>0</v>
      </c>
      <c r="G8462" s="491">
        <f t="shared" si="133"/>
        <v>1</v>
      </c>
    </row>
    <row r="8463" spans="1:7" ht="12.75">
      <c r="A8463" s="134" t="s">
        <v>977</v>
      </c>
      <c r="B8463" s="134">
        <v>361</v>
      </c>
      <c r="C8463" s="491">
        <v>1</v>
      </c>
      <c r="D8463" s="491">
        <v>0</v>
      </c>
      <c r="E8463" s="491">
        <v>1</v>
      </c>
      <c r="F8463" s="491">
        <v>0</v>
      </c>
      <c r="G8463" s="491">
        <f t="shared" si="133"/>
        <v>2</v>
      </c>
    </row>
    <row r="8464" spans="1:7" ht="12.75">
      <c r="A8464" s="134" t="s">
        <v>977</v>
      </c>
      <c r="B8464" s="134">
        <v>370</v>
      </c>
      <c r="C8464" s="491">
        <v>1</v>
      </c>
      <c r="D8464" s="491">
        <v>0</v>
      </c>
      <c r="E8464" s="491">
        <v>0</v>
      </c>
      <c r="F8464" s="491">
        <v>0</v>
      </c>
      <c r="G8464" s="491">
        <f t="shared" si="133"/>
        <v>1</v>
      </c>
    </row>
    <row r="8465" spans="1:7" ht="12.75">
      <c r="A8465" s="134" t="s">
        <v>977</v>
      </c>
      <c r="B8465" s="134">
        <v>420</v>
      </c>
      <c r="C8465" s="491">
        <v>1</v>
      </c>
      <c r="D8465" s="491">
        <v>0</v>
      </c>
      <c r="E8465" s="491">
        <v>0</v>
      </c>
      <c r="F8465" s="491">
        <v>0</v>
      </c>
      <c r="G8465" s="491">
        <f t="shared" si="133"/>
        <v>1</v>
      </c>
    </row>
    <row r="8466" spans="1:7" ht="12.75">
      <c r="A8466" s="134" t="s">
        <v>977</v>
      </c>
      <c r="B8466" s="134">
        <v>811</v>
      </c>
      <c r="C8466" s="491">
        <v>0</v>
      </c>
      <c r="D8466" s="491">
        <v>31</v>
      </c>
      <c r="E8466" s="491">
        <v>0</v>
      </c>
      <c r="F8466" s="491">
        <v>0</v>
      </c>
      <c r="G8466" s="491">
        <f t="shared" si="133"/>
        <v>31</v>
      </c>
    </row>
    <row r="8467" spans="1:7" ht="12.75">
      <c r="A8467" s="134" t="s">
        <v>977</v>
      </c>
      <c r="B8467" s="134">
        <v>812</v>
      </c>
      <c r="C8467" s="491">
        <v>361</v>
      </c>
      <c r="D8467" s="491">
        <v>64</v>
      </c>
      <c r="E8467" s="491">
        <v>0</v>
      </c>
      <c r="F8467" s="491">
        <v>0</v>
      </c>
      <c r="G8467" s="491">
        <f t="shared" si="133"/>
        <v>425</v>
      </c>
    </row>
    <row r="8468" spans="1:7" ht="12.75">
      <c r="A8468" s="134" t="s">
        <v>1105</v>
      </c>
      <c r="B8468" s="134">
        <v>812</v>
      </c>
      <c r="C8468" s="491">
        <v>10</v>
      </c>
      <c r="D8468" s="491">
        <v>1</v>
      </c>
      <c r="E8468" s="491">
        <v>0</v>
      </c>
      <c r="F8468" s="491">
        <v>0</v>
      </c>
      <c r="G8468" s="491">
        <f t="shared" si="133"/>
        <v>11</v>
      </c>
    </row>
    <row r="8469" spans="1:7" ht="12.75">
      <c r="A8469" s="134" t="s">
        <v>978</v>
      </c>
      <c r="B8469" s="134">
        <v>107</v>
      </c>
      <c r="C8469" s="491">
        <v>3</v>
      </c>
      <c r="D8469" s="491">
        <v>0</v>
      </c>
      <c r="E8469" s="491">
        <v>0</v>
      </c>
      <c r="F8469" s="491">
        <v>0</v>
      </c>
      <c r="G8469" s="491">
        <f t="shared" si="133"/>
        <v>3</v>
      </c>
    </row>
    <row r="8470" spans="1:7" ht="12.75">
      <c r="A8470" s="134" t="s">
        <v>978</v>
      </c>
      <c r="B8470" s="134">
        <v>812</v>
      </c>
      <c r="C8470" s="491">
        <v>2</v>
      </c>
      <c r="D8470" s="491">
        <v>0</v>
      </c>
      <c r="E8470" s="491">
        <v>0</v>
      </c>
      <c r="F8470" s="491">
        <v>0</v>
      </c>
      <c r="G8470" s="491">
        <f t="shared" si="133"/>
        <v>2</v>
      </c>
    </row>
    <row r="8471" spans="1:7" ht="12.75">
      <c r="A8471" s="134" t="s">
        <v>979</v>
      </c>
      <c r="B8471" s="134">
        <v>107</v>
      </c>
      <c r="C8471" s="491">
        <v>6</v>
      </c>
      <c r="D8471" s="491">
        <v>11</v>
      </c>
      <c r="E8471" s="491">
        <v>0</v>
      </c>
      <c r="F8471" s="491">
        <v>0</v>
      </c>
      <c r="G8471" s="491">
        <f t="shared" si="133"/>
        <v>17</v>
      </c>
    </row>
    <row r="8472" spans="1:7" ht="12.75">
      <c r="A8472" s="134" t="s">
        <v>979</v>
      </c>
      <c r="B8472" s="134">
        <v>320</v>
      </c>
      <c r="C8472" s="491">
        <v>0</v>
      </c>
      <c r="D8472" s="491">
        <v>2</v>
      </c>
      <c r="E8472" s="491">
        <v>0</v>
      </c>
      <c r="F8472" s="491">
        <v>0</v>
      </c>
      <c r="G8472" s="491">
        <f t="shared" si="133"/>
        <v>2</v>
      </c>
    </row>
    <row r="8473" spans="1:7" ht="12.75">
      <c r="A8473" s="134" t="s">
        <v>979</v>
      </c>
      <c r="B8473" s="134">
        <v>361</v>
      </c>
      <c r="C8473" s="491">
        <v>2</v>
      </c>
      <c r="D8473" s="491">
        <v>0</v>
      </c>
      <c r="E8473" s="491">
        <v>0</v>
      </c>
      <c r="F8473" s="491">
        <v>0</v>
      </c>
      <c r="G8473" s="491">
        <f t="shared" si="133"/>
        <v>2</v>
      </c>
    </row>
    <row r="8474" spans="1:7" ht="12.75">
      <c r="A8474" s="134" t="s">
        <v>979</v>
      </c>
      <c r="B8474" s="134">
        <v>370</v>
      </c>
      <c r="C8474" s="491">
        <v>1</v>
      </c>
      <c r="D8474" s="491">
        <v>1</v>
      </c>
      <c r="E8474" s="491">
        <v>0</v>
      </c>
      <c r="F8474" s="491">
        <v>0</v>
      </c>
      <c r="G8474" s="491">
        <f t="shared" si="133"/>
        <v>2</v>
      </c>
    </row>
    <row r="8475" spans="1:7" ht="12.75">
      <c r="A8475" s="134" t="s">
        <v>979</v>
      </c>
      <c r="B8475" s="134">
        <v>812</v>
      </c>
      <c r="C8475" s="491">
        <v>39</v>
      </c>
      <c r="D8475" s="491">
        <v>12</v>
      </c>
      <c r="E8475" s="491">
        <v>0</v>
      </c>
      <c r="F8475" s="491">
        <v>0</v>
      </c>
      <c r="G8475" s="491">
        <f t="shared" si="133"/>
        <v>51</v>
      </c>
    </row>
    <row r="8476" spans="1:7" ht="12.75">
      <c r="A8476" s="134" t="s">
        <v>980</v>
      </c>
      <c r="B8476" s="134">
        <v>140</v>
      </c>
      <c r="C8476" s="491">
        <v>1</v>
      </c>
      <c r="D8476" s="491">
        <v>4</v>
      </c>
      <c r="E8476" s="491">
        <v>0</v>
      </c>
      <c r="F8476" s="491">
        <v>0</v>
      </c>
      <c r="G8476" s="491">
        <f t="shared" si="133"/>
        <v>5</v>
      </c>
    </row>
    <row r="8477" spans="1:7" ht="12.75">
      <c r="A8477" s="134" t="s">
        <v>980</v>
      </c>
      <c r="B8477" s="134">
        <v>141</v>
      </c>
      <c r="C8477" s="491">
        <v>4</v>
      </c>
      <c r="D8477" s="491">
        <v>4</v>
      </c>
      <c r="E8477" s="491">
        <v>0</v>
      </c>
      <c r="F8477" s="491">
        <v>1</v>
      </c>
      <c r="G8477" s="491">
        <f t="shared" si="133"/>
        <v>9</v>
      </c>
    </row>
    <row r="8478" spans="1:7" ht="12.75">
      <c r="A8478" s="134" t="s">
        <v>980</v>
      </c>
      <c r="B8478" s="134">
        <v>142</v>
      </c>
      <c r="C8478" s="491">
        <v>0</v>
      </c>
      <c r="D8478" s="491">
        <v>1</v>
      </c>
      <c r="E8478" s="491">
        <v>0</v>
      </c>
      <c r="F8478" s="491">
        <v>0</v>
      </c>
      <c r="G8478" s="491">
        <f t="shared" si="133"/>
        <v>1</v>
      </c>
    </row>
    <row r="8479" spans="1:7" ht="12.75">
      <c r="A8479" s="134" t="s">
        <v>980</v>
      </c>
      <c r="B8479" s="134">
        <v>143</v>
      </c>
      <c r="C8479" s="491">
        <v>0</v>
      </c>
      <c r="D8479" s="491">
        <v>2</v>
      </c>
      <c r="E8479" s="491">
        <v>0</v>
      </c>
      <c r="F8479" s="491">
        <v>0</v>
      </c>
      <c r="G8479" s="491">
        <f t="shared" si="133"/>
        <v>2</v>
      </c>
    </row>
    <row r="8480" spans="1:7" ht="12.75">
      <c r="A8480" s="134" t="s">
        <v>980</v>
      </c>
      <c r="B8480" s="134">
        <v>217</v>
      </c>
      <c r="C8480" s="491">
        <v>0</v>
      </c>
      <c r="D8480" s="491">
        <v>1</v>
      </c>
      <c r="E8480" s="491">
        <v>0</v>
      </c>
      <c r="F8480" s="491">
        <v>0</v>
      </c>
      <c r="G8480" s="491">
        <f t="shared" si="133"/>
        <v>1</v>
      </c>
    </row>
    <row r="8481" spans="1:7" ht="12.75">
      <c r="A8481" s="134" t="s">
        <v>980</v>
      </c>
      <c r="B8481" s="134">
        <v>340</v>
      </c>
      <c r="C8481" s="491">
        <v>8</v>
      </c>
      <c r="D8481" s="491">
        <v>24</v>
      </c>
      <c r="E8481" s="491">
        <v>0</v>
      </c>
      <c r="F8481" s="491">
        <v>0</v>
      </c>
      <c r="G8481" s="491">
        <f t="shared" si="133"/>
        <v>32</v>
      </c>
    </row>
    <row r="8482" spans="1:7" ht="12.75">
      <c r="A8482" s="134" t="s">
        <v>980</v>
      </c>
      <c r="B8482" s="134">
        <v>450</v>
      </c>
      <c r="C8482" s="491">
        <v>0</v>
      </c>
      <c r="D8482" s="491">
        <v>1</v>
      </c>
      <c r="E8482" s="491">
        <v>0</v>
      </c>
      <c r="F8482" s="491">
        <v>0</v>
      </c>
      <c r="G8482" s="491">
        <f t="shared" si="133"/>
        <v>1</v>
      </c>
    </row>
    <row r="8483" spans="1:7" ht="12.75">
      <c r="A8483" s="134" t="s">
        <v>980</v>
      </c>
      <c r="B8483" s="134">
        <v>502</v>
      </c>
      <c r="C8483" s="491">
        <v>2</v>
      </c>
      <c r="D8483" s="491">
        <v>3</v>
      </c>
      <c r="E8483" s="491">
        <v>0</v>
      </c>
      <c r="F8483" s="491">
        <v>0</v>
      </c>
      <c r="G8483" s="491">
        <f t="shared" si="133"/>
        <v>5</v>
      </c>
    </row>
    <row r="8484" spans="1:7" ht="12.75">
      <c r="A8484" s="134" t="s">
        <v>980</v>
      </c>
      <c r="B8484" s="134">
        <v>812</v>
      </c>
      <c r="C8484" s="491">
        <v>2</v>
      </c>
      <c r="D8484" s="491">
        <v>2</v>
      </c>
      <c r="E8484" s="491">
        <v>0</v>
      </c>
      <c r="F8484" s="491">
        <v>0</v>
      </c>
      <c r="G8484" s="491">
        <f t="shared" si="133"/>
        <v>4</v>
      </c>
    </row>
    <row r="8485" spans="1:7" ht="12.75">
      <c r="A8485" s="134" t="s">
        <v>981</v>
      </c>
      <c r="B8485" s="134">
        <v>100</v>
      </c>
      <c r="C8485" s="491">
        <v>6</v>
      </c>
      <c r="D8485" s="491">
        <v>0</v>
      </c>
      <c r="E8485" s="491">
        <v>0</v>
      </c>
      <c r="F8485" s="491">
        <v>0</v>
      </c>
      <c r="G8485" s="491">
        <f t="shared" si="133"/>
        <v>6</v>
      </c>
    </row>
    <row r="8486" spans="1:7" ht="12.75">
      <c r="A8486" s="134" t="s">
        <v>981</v>
      </c>
      <c r="B8486" s="134">
        <v>101</v>
      </c>
      <c r="C8486" s="491">
        <v>3</v>
      </c>
      <c r="D8486" s="491">
        <v>8</v>
      </c>
      <c r="E8486" s="491">
        <v>0</v>
      </c>
      <c r="F8486" s="491">
        <v>0</v>
      </c>
      <c r="G8486" s="491">
        <f t="shared" si="133"/>
        <v>11</v>
      </c>
    </row>
    <row r="8487" spans="1:7" ht="12.75">
      <c r="A8487" s="134" t="s">
        <v>981</v>
      </c>
      <c r="B8487" s="134">
        <v>107</v>
      </c>
      <c r="C8487" s="491">
        <v>3</v>
      </c>
      <c r="D8487" s="491">
        <v>1</v>
      </c>
      <c r="E8487" s="491">
        <v>0</v>
      </c>
      <c r="F8487" s="491">
        <v>0</v>
      </c>
      <c r="G8487" s="491">
        <f t="shared" si="133"/>
        <v>4</v>
      </c>
    </row>
    <row r="8488" spans="1:7" ht="12.75">
      <c r="A8488" s="134" t="s">
        <v>981</v>
      </c>
      <c r="B8488" s="134">
        <v>144</v>
      </c>
      <c r="C8488" s="491">
        <v>1</v>
      </c>
      <c r="D8488" s="491">
        <v>0</v>
      </c>
      <c r="E8488" s="491">
        <v>0</v>
      </c>
      <c r="F8488" s="491">
        <v>0</v>
      </c>
      <c r="G8488" s="491">
        <f t="shared" si="133"/>
        <v>1</v>
      </c>
    </row>
    <row r="8489" spans="1:7" ht="12.75">
      <c r="A8489" s="134" t="s">
        <v>981</v>
      </c>
      <c r="B8489" s="134">
        <v>211</v>
      </c>
      <c r="C8489" s="491">
        <v>0</v>
      </c>
      <c r="D8489" s="491">
        <v>1</v>
      </c>
      <c r="E8489" s="491">
        <v>0</v>
      </c>
      <c r="F8489" s="491">
        <v>0</v>
      </c>
      <c r="G8489" s="491">
        <f t="shared" si="133"/>
        <v>1</v>
      </c>
    </row>
    <row r="8490" spans="1:7" ht="12.75">
      <c r="A8490" s="134" t="s">
        <v>981</v>
      </c>
      <c r="B8490" s="134">
        <v>300</v>
      </c>
      <c r="C8490" s="491">
        <v>1</v>
      </c>
      <c r="D8490" s="491">
        <v>0</v>
      </c>
      <c r="E8490" s="491">
        <v>0</v>
      </c>
      <c r="F8490" s="491">
        <v>0</v>
      </c>
      <c r="G8490" s="491">
        <f t="shared" si="133"/>
        <v>1</v>
      </c>
    </row>
    <row r="8491" spans="1:7" ht="12.75">
      <c r="A8491" s="134" t="s">
        <v>981</v>
      </c>
      <c r="B8491" s="134">
        <v>370</v>
      </c>
      <c r="C8491" s="491">
        <v>2</v>
      </c>
      <c r="D8491" s="491">
        <v>0</v>
      </c>
      <c r="E8491" s="491">
        <v>0</v>
      </c>
      <c r="F8491" s="491">
        <v>0</v>
      </c>
      <c r="G8491" s="491">
        <f t="shared" si="133"/>
        <v>2</v>
      </c>
    </row>
    <row r="8492" spans="1:7" ht="12.75">
      <c r="A8492" s="134" t="s">
        <v>981</v>
      </c>
      <c r="B8492" s="134">
        <v>420</v>
      </c>
      <c r="C8492" s="491">
        <v>0</v>
      </c>
      <c r="D8492" s="491">
        <v>1</v>
      </c>
      <c r="E8492" s="491">
        <v>0</v>
      </c>
      <c r="F8492" s="491">
        <v>0</v>
      </c>
      <c r="G8492" s="491">
        <f t="shared" si="133"/>
        <v>1</v>
      </c>
    </row>
    <row r="8493" spans="1:7" ht="12.75">
      <c r="A8493" s="134" t="s">
        <v>981</v>
      </c>
      <c r="B8493" s="134">
        <v>502</v>
      </c>
      <c r="C8493" s="491">
        <v>5</v>
      </c>
      <c r="D8493" s="491">
        <v>2</v>
      </c>
      <c r="E8493" s="491">
        <v>0</v>
      </c>
      <c r="F8493" s="491">
        <v>0</v>
      </c>
      <c r="G8493" s="491">
        <f t="shared" si="133"/>
        <v>7</v>
      </c>
    </row>
    <row r="8494" spans="1:7" ht="12.75">
      <c r="A8494" s="134" t="s">
        <v>981</v>
      </c>
      <c r="B8494" s="134">
        <v>811</v>
      </c>
      <c r="C8494" s="491">
        <v>1</v>
      </c>
      <c r="D8494" s="491">
        <v>14</v>
      </c>
      <c r="E8494" s="491">
        <v>0</v>
      </c>
      <c r="F8494" s="491">
        <v>0</v>
      </c>
      <c r="G8494" s="491">
        <f t="shared" si="133"/>
        <v>15</v>
      </c>
    </row>
    <row r="8495" spans="1:7" ht="12.75">
      <c r="A8495" s="134" t="s">
        <v>981</v>
      </c>
      <c r="B8495" s="134">
        <v>812</v>
      </c>
      <c r="C8495" s="491">
        <v>112</v>
      </c>
      <c r="D8495" s="491">
        <v>46</v>
      </c>
      <c r="E8495" s="491">
        <v>0</v>
      </c>
      <c r="F8495" s="491">
        <v>0</v>
      </c>
      <c r="G8495" s="491">
        <f t="shared" si="133"/>
        <v>158</v>
      </c>
    </row>
    <row r="8496" spans="1:7" ht="12.75">
      <c r="A8496" s="134" t="s">
        <v>982</v>
      </c>
      <c r="B8496" s="134">
        <v>100</v>
      </c>
      <c r="C8496" s="491">
        <v>3</v>
      </c>
      <c r="D8496" s="491">
        <v>2</v>
      </c>
      <c r="E8496" s="491">
        <v>3</v>
      </c>
      <c r="F8496" s="491">
        <v>1</v>
      </c>
      <c r="G8496" s="491">
        <f t="shared" si="133"/>
        <v>9</v>
      </c>
    </row>
    <row r="8497" spans="1:7" ht="12.75">
      <c r="A8497" s="134" t="s">
        <v>982</v>
      </c>
      <c r="B8497" s="134">
        <v>101</v>
      </c>
      <c r="C8497" s="491">
        <v>3</v>
      </c>
      <c r="D8497" s="491">
        <v>0</v>
      </c>
      <c r="E8497" s="491">
        <v>0</v>
      </c>
      <c r="F8497" s="491">
        <v>0</v>
      </c>
      <c r="G8497" s="491">
        <f t="shared" si="133"/>
        <v>3</v>
      </c>
    </row>
    <row r="8498" spans="1:7" ht="12.75">
      <c r="A8498" s="134" t="s">
        <v>982</v>
      </c>
      <c r="B8498" s="134">
        <v>107</v>
      </c>
      <c r="C8498" s="491">
        <v>2</v>
      </c>
      <c r="D8498" s="491">
        <v>4</v>
      </c>
      <c r="E8498" s="491">
        <v>0</v>
      </c>
      <c r="F8498" s="491">
        <v>0</v>
      </c>
      <c r="G8498" s="491">
        <f t="shared" si="133"/>
        <v>6</v>
      </c>
    </row>
    <row r="8499" spans="1:7" ht="12.75">
      <c r="A8499" s="134" t="s">
        <v>982</v>
      </c>
      <c r="B8499" s="134">
        <v>110</v>
      </c>
      <c r="C8499" s="491">
        <v>3</v>
      </c>
      <c r="D8499" s="491">
        <v>3</v>
      </c>
      <c r="E8499" s="491">
        <v>0</v>
      </c>
      <c r="F8499" s="491">
        <v>0</v>
      </c>
      <c r="G8499" s="491">
        <f t="shared" si="133"/>
        <v>6</v>
      </c>
    </row>
    <row r="8500" spans="1:7" ht="12.75">
      <c r="A8500" s="134" t="s">
        <v>982</v>
      </c>
      <c r="B8500" s="134">
        <v>130</v>
      </c>
      <c r="C8500" s="491">
        <v>1</v>
      </c>
      <c r="D8500" s="491">
        <v>0</v>
      </c>
      <c r="E8500" s="491">
        <v>0</v>
      </c>
      <c r="F8500" s="491">
        <v>0</v>
      </c>
      <c r="G8500" s="491">
        <f t="shared" si="133"/>
        <v>1</v>
      </c>
    </row>
    <row r="8501" spans="1:7" ht="12.75">
      <c r="A8501" s="134" t="s">
        <v>982</v>
      </c>
      <c r="B8501" s="134">
        <v>160</v>
      </c>
      <c r="C8501" s="491">
        <v>1</v>
      </c>
      <c r="D8501" s="491">
        <v>0</v>
      </c>
      <c r="E8501" s="491">
        <v>0</v>
      </c>
      <c r="F8501" s="491">
        <v>0</v>
      </c>
      <c r="G8501" s="491">
        <f t="shared" si="133"/>
        <v>1</v>
      </c>
    </row>
    <row r="8502" spans="1:7" ht="12.75">
      <c r="A8502" s="134" t="s">
        <v>982</v>
      </c>
      <c r="B8502" s="134">
        <v>190</v>
      </c>
      <c r="C8502" s="491">
        <v>1</v>
      </c>
      <c r="D8502" s="491">
        <v>0</v>
      </c>
      <c r="E8502" s="491">
        <v>0</v>
      </c>
      <c r="F8502" s="491">
        <v>0</v>
      </c>
      <c r="G8502" s="491">
        <f t="shared" si="133"/>
        <v>1</v>
      </c>
    </row>
    <row r="8503" spans="1:7" ht="12.75">
      <c r="A8503" s="134" t="s">
        <v>982</v>
      </c>
      <c r="B8503" s="134">
        <v>300</v>
      </c>
      <c r="C8503" s="491">
        <v>1</v>
      </c>
      <c r="D8503" s="491">
        <v>0</v>
      </c>
      <c r="E8503" s="491">
        <v>0</v>
      </c>
      <c r="F8503" s="491">
        <v>0</v>
      </c>
      <c r="G8503" s="491">
        <f t="shared" si="133"/>
        <v>1</v>
      </c>
    </row>
    <row r="8504" spans="1:7" ht="12.75">
      <c r="A8504" s="134" t="s">
        <v>982</v>
      </c>
      <c r="B8504" s="134">
        <v>324</v>
      </c>
      <c r="C8504" s="491">
        <v>1</v>
      </c>
      <c r="D8504" s="491">
        <v>0</v>
      </c>
      <c r="E8504" s="491">
        <v>0</v>
      </c>
      <c r="F8504" s="491">
        <v>0</v>
      </c>
      <c r="G8504" s="491">
        <f t="shared" si="133"/>
        <v>1</v>
      </c>
    </row>
    <row r="8505" spans="1:7" ht="12.75">
      <c r="A8505" s="134" t="s">
        <v>982</v>
      </c>
      <c r="B8505" s="134">
        <v>340</v>
      </c>
      <c r="C8505" s="491">
        <v>1</v>
      </c>
      <c r="D8505" s="491">
        <v>0</v>
      </c>
      <c r="E8505" s="491">
        <v>0</v>
      </c>
      <c r="F8505" s="491">
        <v>0</v>
      </c>
      <c r="G8505" s="491">
        <f t="shared" si="133"/>
        <v>1</v>
      </c>
    </row>
    <row r="8506" spans="1:7" ht="12.75">
      <c r="A8506" s="134" t="s">
        <v>982</v>
      </c>
      <c r="B8506" s="134">
        <v>350</v>
      </c>
      <c r="C8506" s="491">
        <v>0</v>
      </c>
      <c r="D8506" s="491">
        <v>0</v>
      </c>
      <c r="E8506" s="491">
        <v>0</v>
      </c>
      <c r="F8506" s="491">
        <v>1</v>
      </c>
      <c r="G8506" s="491">
        <f t="shared" si="133"/>
        <v>1</v>
      </c>
    </row>
    <row r="8507" spans="1:7" ht="12.75">
      <c r="A8507" s="134" t="s">
        <v>982</v>
      </c>
      <c r="B8507" s="134">
        <v>361</v>
      </c>
      <c r="C8507" s="491">
        <v>1</v>
      </c>
      <c r="D8507" s="491">
        <v>0</v>
      </c>
      <c r="E8507" s="491">
        <v>0</v>
      </c>
      <c r="F8507" s="491">
        <v>0</v>
      </c>
      <c r="G8507" s="491">
        <f t="shared" si="133"/>
        <v>1</v>
      </c>
    </row>
    <row r="8508" spans="1:7" ht="12.75">
      <c r="A8508" s="134" t="s">
        <v>982</v>
      </c>
      <c r="B8508" s="134">
        <v>370</v>
      </c>
      <c r="C8508" s="491">
        <v>1</v>
      </c>
      <c r="D8508" s="491">
        <v>0</v>
      </c>
      <c r="E8508" s="491">
        <v>0</v>
      </c>
      <c r="F8508" s="491">
        <v>0</v>
      </c>
      <c r="G8508" s="491">
        <f t="shared" si="133"/>
        <v>1</v>
      </c>
    </row>
    <row r="8509" spans="1:7" ht="12.75">
      <c r="A8509" s="134" t="s">
        <v>982</v>
      </c>
      <c r="B8509" s="134">
        <v>656</v>
      </c>
      <c r="C8509" s="491">
        <v>1</v>
      </c>
      <c r="D8509" s="491">
        <v>0</v>
      </c>
      <c r="E8509" s="491">
        <v>0</v>
      </c>
      <c r="F8509" s="491">
        <v>0</v>
      </c>
      <c r="G8509" s="491">
        <f t="shared" si="133"/>
        <v>1</v>
      </c>
    </row>
    <row r="8510" spans="1:7" ht="12.75">
      <c r="A8510" s="134" t="s">
        <v>982</v>
      </c>
      <c r="B8510" s="134">
        <v>800</v>
      </c>
      <c r="C8510" s="491">
        <v>2</v>
      </c>
      <c r="D8510" s="491">
        <v>0</v>
      </c>
      <c r="E8510" s="491">
        <v>3</v>
      </c>
      <c r="F8510" s="491">
        <v>0</v>
      </c>
      <c r="G8510" s="491">
        <f t="shared" si="133"/>
        <v>5</v>
      </c>
    </row>
    <row r="8511" spans="1:7" ht="12.75">
      <c r="A8511" s="134" t="s">
        <v>982</v>
      </c>
      <c r="B8511" s="134">
        <v>811</v>
      </c>
      <c r="C8511" s="491">
        <v>0</v>
      </c>
      <c r="D8511" s="491">
        <v>6</v>
      </c>
      <c r="E8511" s="491">
        <v>0</v>
      </c>
      <c r="F8511" s="491">
        <v>0</v>
      </c>
      <c r="G8511" s="491">
        <f t="shared" si="133"/>
        <v>6</v>
      </c>
    </row>
    <row r="8512" spans="1:7" ht="12.75">
      <c r="A8512" s="134" t="s">
        <v>982</v>
      </c>
      <c r="B8512" s="134">
        <v>812</v>
      </c>
      <c r="C8512" s="491">
        <v>48</v>
      </c>
      <c r="D8512" s="491">
        <v>20</v>
      </c>
      <c r="E8512" s="491">
        <v>0</v>
      </c>
      <c r="F8512" s="491">
        <v>0</v>
      </c>
      <c r="G8512" s="491">
        <f t="shared" si="133"/>
        <v>68</v>
      </c>
    </row>
    <row r="8513" spans="1:7" ht="12.75">
      <c r="A8513" s="134" t="s">
        <v>983</v>
      </c>
      <c r="B8513" s="134">
        <v>100</v>
      </c>
      <c r="C8513" s="491">
        <v>2</v>
      </c>
      <c r="D8513" s="491">
        <v>0</v>
      </c>
      <c r="E8513" s="491">
        <v>0</v>
      </c>
      <c r="F8513" s="491">
        <v>0</v>
      </c>
      <c r="G8513" s="491">
        <f t="shared" si="133"/>
        <v>2</v>
      </c>
    </row>
    <row r="8514" spans="1:7" ht="12.75">
      <c r="A8514" s="134" t="s">
        <v>983</v>
      </c>
      <c r="B8514" s="134">
        <v>107</v>
      </c>
      <c r="C8514" s="491">
        <v>16</v>
      </c>
      <c r="D8514" s="491">
        <v>6</v>
      </c>
      <c r="E8514" s="491">
        <v>0</v>
      </c>
      <c r="F8514" s="491">
        <v>0</v>
      </c>
      <c r="G8514" s="491">
        <f t="shared" si="133"/>
        <v>22</v>
      </c>
    </row>
    <row r="8515" spans="1:7" ht="12.75">
      <c r="A8515" s="134" t="s">
        <v>983</v>
      </c>
      <c r="B8515" s="134">
        <v>180</v>
      </c>
      <c r="C8515" s="491">
        <v>0</v>
      </c>
      <c r="D8515" s="491">
        <v>2</v>
      </c>
      <c r="E8515" s="491">
        <v>0</v>
      </c>
      <c r="F8515" s="491">
        <v>0</v>
      </c>
      <c r="G8515" s="491">
        <f t="shared" si="133"/>
        <v>2</v>
      </c>
    </row>
    <row r="8516" spans="1:7" ht="12.75">
      <c r="A8516" s="134" t="s">
        <v>983</v>
      </c>
      <c r="B8516" s="134">
        <v>262</v>
      </c>
      <c r="C8516" s="491">
        <v>0</v>
      </c>
      <c r="D8516" s="491">
        <v>0</v>
      </c>
      <c r="E8516" s="491">
        <v>1</v>
      </c>
      <c r="F8516" s="491">
        <v>0</v>
      </c>
      <c r="G8516" s="491">
        <f t="shared" si="133"/>
        <v>1</v>
      </c>
    </row>
    <row r="8517" spans="1:7" ht="12.75">
      <c r="A8517" s="134" t="s">
        <v>983</v>
      </c>
      <c r="B8517" s="134">
        <v>320</v>
      </c>
      <c r="C8517" s="491">
        <v>0</v>
      </c>
      <c r="D8517" s="491">
        <v>1</v>
      </c>
      <c r="E8517" s="491">
        <v>0</v>
      </c>
      <c r="F8517" s="491">
        <v>0</v>
      </c>
      <c r="G8517" s="491">
        <f t="shared" si="133"/>
        <v>1</v>
      </c>
    </row>
    <row r="8518" spans="1:7" ht="12.75">
      <c r="A8518" s="134" t="s">
        <v>983</v>
      </c>
      <c r="B8518" s="134">
        <v>324</v>
      </c>
      <c r="C8518" s="491">
        <v>0</v>
      </c>
      <c r="D8518" s="491">
        <v>1</v>
      </c>
      <c r="E8518" s="491">
        <v>0</v>
      </c>
      <c r="F8518" s="491">
        <v>0</v>
      </c>
      <c r="G8518" s="491">
        <f t="shared" si="133"/>
        <v>1</v>
      </c>
    </row>
    <row r="8519" spans="1:7" ht="12.75">
      <c r="A8519" s="134" t="s">
        <v>983</v>
      </c>
      <c r="B8519" s="134">
        <v>502</v>
      </c>
      <c r="C8519" s="491">
        <v>1</v>
      </c>
      <c r="D8519" s="491">
        <v>0</v>
      </c>
      <c r="E8519" s="491">
        <v>0</v>
      </c>
      <c r="F8519" s="491">
        <v>0</v>
      </c>
      <c r="G8519" s="491">
        <f t="shared" si="133"/>
        <v>1</v>
      </c>
    </row>
    <row r="8520" spans="1:7" ht="12.75">
      <c r="A8520" s="134" t="s">
        <v>983</v>
      </c>
      <c r="B8520" s="134">
        <v>812</v>
      </c>
      <c r="C8520" s="491">
        <v>15</v>
      </c>
      <c r="D8520" s="491">
        <v>1</v>
      </c>
      <c r="E8520" s="491">
        <v>0</v>
      </c>
      <c r="F8520" s="491">
        <v>0</v>
      </c>
      <c r="G8520" s="491">
        <f t="shared" si="133"/>
        <v>16</v>
      </c>
    </row>
    <row r="8521" spans="1:7" ht="12.75">
      <c r="A8521" s="134" t="s">
        <v>984</v>
      </c>
      <c r="B8521" s="134">
        <v>100</v>
      </c>
      <c r="C8521" s="491">
        <v>11</v>
      </c>
      <c r="D8521" s="491">
        <v>166</v>
      </c>
      <c r="E8521" s="491">
        <v>3</v>
      </c>
      <c r="F8521" s="491">
        <v>0</v>
      </c>
      <c r="G8521" s="491">
        <f t="shared" si="133"/>
        <v>180</v>
      </c>
    </row>
    <row r="8522" spans="1:7" ht="12.75">
      <c r="A8522" s="134" t="s">
        <v>984</v>
      </c>
      <c r="B8522" s="134">
        <v>160</v>
      </c>
      <c r="C8522" s="491">
        <v>4</v>
      </c>
      <c r="D8522" s="491">
        <v>0</v>
      </c>
      <c r="E8522" s="491">
        <v>0</v>
      </c>
      <c r="F8522" s="491">
        <v>0</v>
      </c>
      <c r="G8522" s="491">
        <f t="shared" si="133"/>
        <v>4</v>
      </c>
    </row>
    <row r="8523" spans="1:7" ht="12.75">
      <c r="A8523" s="134" t="s">
        <v>984</v>
      </c>
      <c r="B8523" s="134">
        <v>211</v>
      </c>
      <c r="C8523" s="491">
        <v>1</v>
      </c>
      <c r="D8523" s="491">
        <v>0</v>
      </c>
      <c r="E8523" s="491">
        <v>0</v>
      </c>
      <c r="F8523" s="491">
        <v>0</v>
      </c>
      <c r="G8523" s="491">
        <f t="shared" si="133"/>
        <v>1</v>
      </c>
    </row>
    <row r="8524" spans="1:7" ht="12.75">
      <c r="A8524" s="134" t="s">
        <v>984</v>
      </c>
      <c r="B8524" s="134">
        <v>300</v>
      </c>
      <c r="C8524" s="491">
        <v>615</v>
      </c>
      <c r="D8524" s="491">
        <v>400</v>
      </c>
      <c r="E8524" s="491">
        <v>45</v>
      </c>
      <c r="F8524" s="491">
        <v>84</v>
      </c>
      <c r="G8524" s="491">
        <f t="shared" si="133"/>
        <v>1144</v>
      </c>
    </row>
    <row r="8525" spans="1:7" ht="12.75">
      <c r="A8525" s="134" t="s">
        <v>984</v>
      </c>
      <c r="B8525" s="134">
        <v>329</v>
      </c>
      <c r="C8525" s="491">
        <v>3</v>
      </c>
      <c r="D8525" s="491">
        <v>49</v>
      </c>
      <c r="E8525" s="491">
        <v>0</v>
      </c>
      <c r="F8525" s="491">
        <v>0</v>
      </c>
      <c r="G8525" s="491">
        <f t="shared" ref="G8525:G8588" si="134">SUM(C8525:F8525)</f>
        <v>52</v>
      </c>
    </row>
    <row r="8526" spans="1:7" ht="12.75">
      <c r="A8526" s="134" t="s">
        <v>984</v>
      </c>
      <c r="B8526" s="134">
        <v>340</v>
      </c>
      <c r="C8526" s="491">
        <v>1</v>
      </c>
      <c r="D8526" s="491">
        <v>0</v>
      </c>
      <c r="E8526" s="491">
        <v>0</v>
      </c>
      <c r="F8526" s="491">
        <v>0</v>
      </c>
      <c r="G8526" s="491">
        <f t="shared" si="134"/>
        <v>1</v>
      </c>
    </row>
    <row r="8527" spans="1:7" ht="12.75">
      <c r="A8527" s="134" t="s">
        <v>984</v>
      </c>
      <c r="B8527" s="134">
        <v>370</v>
      </c>
      <c r="C8527" s="491">
        <v>2</v>
      </c>
      <c r="D8527" s="491">
        <v>0</v>
      </c>
      <c r="E8527" s="491">
        <v>0</v>
      </c>
      <c r="F8527" s="491">
        <v>0</v>
      </c>
      <c r="G8527" s="491">
        <f t="shared" si="134"/>
        <v>2</v>
      </c>
    </row>
    <row r="8528" spans="1:7" ht="12.75">
      <c r="A8528" s="134" t="s">
        <v>984</v>
      </c>
      <c r="B8528" s="134">
        <v>420</v>
      </c>
      <c r="C8528" s="491">
        <v>3</v>
      </c>
      <c r="D8528" s="491">
        <v>1</v>
      </c>
      <c r="E8528" s="491">
        <v>0</v>
      </c>
      <c r="F8528" s="491">
        <v>0</v>
      </c>
      <c r="G8528" s="491">
        <f t="shared" si="134"/>
        <v>4</v>
      </c>
    </row>
    <row r="8529" spans="1:7" ht="12.75">
      <c r="A8529" s="134" t="s">
        <v>984</v>
      </c>
      <c r="B8529" s="134">
        <v>430</v>
      </c>
      <c r="C8529" s="491">
        <v>519</v>
      </c>
      <c r="D8529" s="491">
        <v>912</v>
      </c>
      <c r="E8529" s="491">
        <v>20</v>
      </c>
      <c r="F8529" s="491">
        <v>6</v>
      </c>
      <c r="G8529" s="491">
        <f t="shared" si="134"/>
        <v>1457</v>
      </c>
    </row>
    <row r="8530" spans="1:7" ht="12.75">
      <c r="A8530" s="134" t="s">
        <v>984</v>
      </c>
      <c r="B8530" s="134">
        <v>800</v>
      </c>
      <c r="C8530" s="491">
        <v>14</v>
      </c>
      <c r="D8530" s="491">
        <v>2</v>
      </c>
      <c r="E8530" s="491">
        <v>0</v>
      </c>
      <c r="F8530" s="491">
        <v>0</v>
      </c>
      <c r="G8530" s="491">
        <f t="shared" si="134"/>
        <v>16</v>
      </c>
    </row>
    <row r="8531" spans="1:7" ht="12.75">
      <c r="A8531" s="134" t="s">
        <v>984</v>
      </c>
      <c r="B8531" s="134">
        <v>812</v>
      </c>
      <c r="C8531" s="491">
        <v>1</v>
      </c>
      <c r="D8531" s="491">
        <v>0</v>
      </c>
      <c r="E8531" s="491">
        <v>0</v>
      </c>
      <c r="F8531" s="491">
        <v>0</v>
      </c>
      <c r="G8531" s="491">
        <f t="shared" si="134"/>
        <v>1</v>
      </c>
    </row>
    <row r="8532" spans="1:7" ht="12.75">
      <c r="A8532" s="134" t="s">
        <v>985</v>
      </c>
      <c r="B8532" s="134">
        <v>100</v>
      </c>
      <c r="C8532" s="491">
        <v>22</v>
      </c>
      <c r="D8532" s="491">
        <v>92</v>
      </c>
      <c r="E8532" s="491">
        <v>1</v>
      </c>
      <c r="F8532" s="491">
        <v>0</v>
      </c>
      <c r="G8532" s="491">
        <f t="shared" si="134"/>
        <v>115</v>
      </c>
    </row>
    <row r="8533" spans="1:7" ht="12.75">
      <c r="A8533" s="134" t="s">
        <v>985</v>
      </c>
      <c r="B8533" s="134">
        <v>107</v>
      </c>
      <c r="C8533" s="491">
        <v>59</v>
      </c>
      <c r="D8533" s="491">
        <v>251</v>
      </c>
      <c r="E8533" s="491">
        <v>0</v>
      </c>
      <c r="F8533" s="491">
        <v>0</v>
      </c>
      <c r="G8533" s="491">
        <f t="shared" si="134"/>
        <v>310</v>
      </c>
    </row>
    <row r="8534" spans="1:7" ht="12.75">
      <c r="A8534" s="134" t="s">
        <v>985</v>
      </c>
      <c r="B8534" s="134">
        <v>110</v>
      </c>
      <c r="C8534" s="491">
        <v>2</v>
      </c>
      <c r="D8534" s="491">
        <v>4</v>
      </c>
      <c r="E8534" s="491">
        <v>0</v>
      </c>
      <c r="F8534" s="491">
        <v>0</v>
      </c>
      <c r="G8534" s="491">
        <f t="shared" si="134"/>
        <v>6</v>
      </c>
    </row>
    <row r="8535" spans="1:7" ht="12.75">
      <c r="A8535" s="134" t="s">
        <v>985</v>
      </c>
      <c r="B8535" s="134">
        <v>160</v>
      </c>
      <c r="C8535" s="491">
        <v>3</v>
      </c>
      <c r="D8535" s="491">
        <v>1</v>
      </c>
      <c r="E8535" s="491">
        <v>0</v>
      </c>
      <c r="F8535" s="491">
        <v>0</v>
      </c>
      <c r="G8535" s="491">
        <f t="shared" si="134"/>
        <v>4</v>
      </c>
    </row>
    <row r="8536" spans="1:7" ht="12.75">
      <c r="A8536" s="134" t="s">
        <v>985</v>
      </c>
      <c r="B8536" s="134">
        <v>190</v>
      </c>
      <c r="C8536" s="491">
        <v>0</v>
      </c>
      <c r="D8536" s="491">
        <v>1</v>
      </c>
      <c r="E8536" s="491">
        <v>0</v>
      </c>
      <c r="F8536" s="491">
        <v>0</v>
      </c>
      <c r="G8536" s="491">
        <f t="shared" si="134"/>
        <v>1</v>
      </c>
    </row>
    <row r="8537" spans="1:7" ht="12.75">
      <c r="A8537" s="134" t="s">
        <v>985</v>
      </c>
      <c r="B8537" s="134">
        <v>191</v>
      </c>
      <c r="C8537" s="491">
        <v>1</v>
      </c>
      <c r="D8537" s="491">
        <v>0</v>
      </c>
      <c r="E8537" s="491">
        <v>0</v>
      </c>
      <c r="F8537" s="491">
        <v>0</v>
      </c>
      <c r="G8537" s="491">
        <f t="shared" si="134"/>
        <v>1</v>
      </c>
    </row>
    <row r="8538" spans="1:7" ht="12.75">
      <c r="A8538" s="134" t="s">
        <v>985</v>
      </c>
      <c r="B8538" s="134">
        <v>300</v>
      </c>
      <c r="C8538" s="491">
        <v>0</v>
      </c>
      <c r="D8538" s="491">
        <v>1</v>
      </c>
      <c r="E8538" s="491">
        <v>0</v>
      </c>
      <c r="F8538" s="491">
        <v>0</v>
      </c>
      <c r="G8538" s="491">
        <f t="shared" si="134"/>
        <v>1</v>
      </c>
    </row>
    <row r="8539" spans="1:7" ht="12.75">
      <c r="A8539" s="134" t="s">
        <v>985</v>
      </c>
      <c r="B8539" s="134">
        <v>301</v>
      </c>
      <c r="C8539" s="491">
        <v>1</v>
      </c>
      <c r="D8539" s="491">
        <v>3</v>
      </c>
      <c r="E8539" s="491">
        <v>0</v>
      </c>
      <c r="F8539" s="491">
        <v>0</v>
      </c>
      <c r="G8539" s="491">
        <f t="shared" si="134"/>
        <v>4</v>
      </c>
    </row>
    <row r="8540" spans="1:7" ht="12.75">
      <c r="A8540" s="134" t="s">
        <v>985</v>
      </c>
      <c r="B8540" s="134">
        <v>303</v>
      </c>
      <c r="C8540" s="491">
        <v>1</v>
      </c>
      <c r="D8540" s="491">
        <v>0</v>
      </c>
      <c r="E8540" s="491">
        <v>0</v>
      </c>
      <c r="F8540" s="491">
        <v>0</v>
      </c>
      <c r="G8540" s="491">
        <f t="shared" si="134"/>
        <v>1</v>
      </c>
    </row>
    <row r="8541" spans="1:7" ht="12.75">
      <c r="A8541" s="134" t="s">
        <v>985</v>
      </c>
      <c r="B8541" s="134">
        <v>306</v>
      </c>
      <c r="C8541" s="491">
        <v>0</v>
      </c>
      <c r="D8541" s="491">
        <v>1</v>
      </c>
      <c r="E8541" s="491">
        <v>0</v>
      </c>
      <c r="F8541" s="491">
        <v>0</v>
      </c>
      <c r="G8541" s="491">
        <f t="shared" si="134"/>
        <v>1</v>
      </c>
    </row>
    <row r="8542" spans="1:7" ht="12.75">
      <c r="A8542" s="134" t="s">
        <v>985</v>
      </c>
      <c r="B8542" s="134">
        <v>307</v>
      </c>
      <c r="C8542" s="491">
        <v>0</v>
      </c>
      <c r="D8542" s="491">
        <v>1</v>
      </c>
      <c r="E8542" s="491">
        <v>0</v>
      </c>
      <c r="F8542" s="491">
        <v>1</v>
      </c>
      <c r="G8542" s="491">
        <f t="shared" si="134"/>
        <v>2</v>
      </c>
    </row>
    <row r="8543" spans="1:7" ht="12.75">
      <c r="A8543" s="134" t="s">
        <v>985</v>
      </c>
      <c r="B8543" s="134">
        <v>315</v>
      </c>
      <c r="C8543" s="491">
        <v>1</v>
      </c>
      <c r="D8543" s="491">
        <v>0</v>
      </c>
      <c r="E8543" s="491">
        <v>0</v>
      </c>
      <c r="F8543" s="491">
        <v>0</v>
      </c>
      <c r="G8543" s="491">
        <f t="shared" si="134"/>
        <v>1</v>
      </c>
    </row>
    <row r="8544" spans="1:7" ht="12.75">
      <c r="A8544" s="134" t="s">
        <v>985</v>
      </c>
      <c r="B8544" s="134">
        <v>320</v>
      </c>
      <c r="C8544" s="491">
        <v>23</v>
      </c>
      <c r="D8544" s="491">
        <v>26</v>
      </c>
      <c r="E8544" s="491">
        <v>0</v>
      </c>
      <c r="F8544" s="491">
        <v>0</v>
      </c>
      <c r="G8544" s="491">
        <f t="shared" si="134"/>
        <v>49</v>
      </c>
    </row>
    <row r="8545" spans="1:7" ht="12.75">
      <c r="A8545" s="134" t="s">
        <v>985</v>
      </c>
      <c r="B8545" s="134">
        <v>328</v>
      </c>
      <c r="C8545" s="491">
        <v>0</v>
      </c>
      <c r="D8545" s="491">
        <v>1</v>
      </c>
      <c r="E8545" s="491">
        <v>0</v>
      </c>
      <c r="F8545" s="491">
        <v>0</v>
      </c>
      <c r="G8545" s="491">
        <f t="shared" si="134"/>
        <v>1</v>
      </c>
    </row>
    <row r="8546" spans="1:7" ht="12.75">
      <c r="A8546" s="134" t="s">
        <v>985</v>
      </c>
      <c r="B8546" s="134">
        <v>330</v>
      </c>
      <c r="C8546" s="491">
        <v>0</v>
      </c>
      <c r="D8546" s="491">
        <v>1</v>
      </c>
      <c r="E8546" s="491">
        <v>0</v>
      </c>
      <c r="F8546" s="491">
        <v>0</v>
      </c>
      <c r="G8546" s="491">
        <f t="shared" si="134"/>
        <v>1</v>
      </c>
    </row>
    <row r="8547" spans="1:7" ht="12.75">
      <c r="A8547" s="134" t="s">
        <v>985</v>
      </c>
      <c r="B8547" s="134">
        <v>340</v>
      </c>
      <c r="C8547" s="491">
        <v>0</v>
      </c>
      <c r="D8547" s="491">
        <v>1</v>
      </c>
      <c r="E8547" s="491">
        <v>0</v>
      </c>
      <c r="F8547" s="491">
        <v>0</v>
      </c>
      <c r="G8547" s="491">
        <f t="shared" si="134"/>
        <v>1</v>
      </c>
    </row>
    <row r="8548" spans="1:7" ht="12.75">
      <c r="A8548" s="134" t="s">
        <v>985</v>
      </c>
      <c r="B8548" s="134">
        <v>501</v>
      </c>
      <c r="C8548" s="491">
        <v>0</v>
      </c>
      <c r="D8548" s="491">
        <v>1</v>
      </c>
      <c r="E8548" s="491">
        <v>0</v>
      </c>
      <c r="F8548" s="491">
        <v>0</v>
      </c>
      <c r="G8548" s="491">
        <f t="shared" si="134"/>
        <v>1</v>
      </c>
    </row>
    <row r="8549" spans="1:7" ht="12.75">
      <c r="A8549" s="134" t="s">
        <v>985</v>
      </c>
      <c r="B8549" s="134">
        <v>650</v>
      </c>
      <c r="C8549" s="491">
        <v>1</v>
      </c>
      <c r="D8549" s="491">
        <v>0</v>
      </c>
      <c r="E8549" s="491">
        <v>0</v>
      </c>
      <c r="F8549" s="491">
        <v>0</v>
      </c>
      <c r="G8549" s="491">
        <f t="shared" si="134"/>
        <v>1</v>
      </c>
    </row>
    <row r="8550" spans="1:7" ht="12.75">
      <c r="A8550" s="134" t="s">
        <v>985</v>
      </c>
      <c r="B8550" s="134">
        <v>800</v>
      </c>
      <c r="C8550" s="491">
        <v>2</v>
      </c>
      <c r="D8550" s="491">
        <v>0</v>
      </c>
      <c r="E8550" s="491">
        <v>0</v>
      </c>
      <c r="F8550" s="491">
        <v>0</v>
      </c>
      <c r="G8550" s="491">
        <f t="shared" si="134"/>
        <v>2</v>
      </c>
    </row>
    <row r="8551" spans="1:7" ht="12.75">
      <c r="A8551" s="134" t="s">
        <v>985</v>
      </c>
      <c r="B8551" s="134">
        <v>811</v>
      </c>
      <c r="C8551" s="491">
        <v>17</v>
      </c>
      <c r="D8551" s="491">
        <v>49</v>
      </c>
      <c r="E8551" s="491">
        <v>0</v>
      </c>
      <c r="F8551" s="491">
        <v>0</v>
      </c>
      <c r="G8551" s="491">
        <f t="shared" si="134"/>
        <v>66</v>
      </c>
    </row>
    <row r="8552" spans="1:7" ht="12.75">
      <c r="A8552" s="134" t="s">
        <v>985</v>
      </c>
      <c r="B8552" s="134">
        <v>812</v>
      </c>
      <c r="C8552" s="491">
        <v>216</v>
      </c>
      <c r="D8552" s="491">
        <v>134</v>
      </c>
      <c r="E8552" s="491">
        <v>0</v>
      </c>
      <c r="F8552" s="491">
        <v>0</v>
      </c>
      <c r="G8552" s="491">
        <f t="shared" si="134"/>
        <v>350</v>
      </c>
    </row>
    <row r="8553" spans="1:7" ht="12.75">
      <c r="A8553" s="134" t="s">
        <v>986</v>
      </c>
      <c r="B8553" s="134">
        <v>100</v>
      </c>
      <c r="C8553" s="491">
        <v>7</v>
      </c>
      <c r="D8553" s="491">
        <v>36</v>
      </c>
      <c r="E8553" s="491">
        <v>1</v>
      </c>
      <c r="F8553" s="491">
        <v>0</v>
      </c>
      <c r="G8553" s="491">
        <f t="shared" si="134"/>
        <v>44</v>
      </c>
    </row>
    <row r="8554" spans="1:7" ht="12.75">
      <c r="A8554" s="134" t="s">
        <v>986</v>
      </c>
      <c r="B8554" s="134">
        <v>107</v>
      </c>
      <c r="C8554" s="491">
        <v>7</v>
      </c>
      <c r="D8554" s="491">
        <v>2</v>
      </c>
      <c r="E8554" s="491">
        <v>0</v>
      </c>
      <c r="F8554" s="491">
        <v>0</v>
      </c>
      <c r="G8554" s="491">
        <f t="shared" si="134"/>
        <v>9</v>
      </c>
    </row>
    <row r="8555" spans="1:7" ht="12.75">
      <c r="A8555" s="134" t="s">
        <v>986</v>
      </c>
      <c r="B8555" s="134">
        <v>110</v>
      </c>
      <c r="C8555" s="491">
        <v>12</v>
      </c>
      <c r="D8555" s="491">
        <v>35</v>
      </c>
      <c r="E8555" s="491">
        <v>0</v>
      </c>
      <c r="F8555" s="491">
        <v>0</v>
      </c>
      <c r="G8555" s="491">
        <f t="shared" si="134"/>
        <v>47</v>
      </c>
    </row>
    <row r="8556" spans="1:7" ht="12.75">
      <c r="A8556" s="134" t="s">
        <v>986</v>
      </c>
      <c r="B8556" s="134">
        <v>130</v>
      </c>
      <c r="C8556" s="491">
        <v>1</v>
      </c>
      <c r="D8556" s="491">
        <v>0</v>
      </c>
      <c r="E8556" s="491">
        <v>0</v>
      </c>
      <c r="F8556" s="491">
        <v>0</v>
      </c>
      <c r="G8556" s="491">
        <f t="shared" si="134"/>
        <v>1</v>
      </c>
    </row>
    <row r="8557" spans="1:7" ht="12.75">
      <c r="A8557" s="134" t="s">
        <v>986</v>
      </c>
      <c r="B8557" s="134">
        <v>160</v>
      </c>
      <c r="C8557" s="491">
        <v>1</v>
      </c>
      <c r="D8557" s="491">
        <v>0</v>
      </c>
      <c r="E8557" s="491">
        <v>0</v>
      </c>
      <c r="F8557" s="491">
        <v>0</v>
      </c>
      <c r="G8557" s="491">
        <f t="shared" si="134"/>
        <v>1</v>
      </c>
    </row>
    <row r="8558" spans="1:7" ht="12.75">
      <c r="A8558" s="134" t="s">
        <v>986</v>
      </c>
      <c r="B8558" s="134">
        <v>191</v>
      </c>
      <c r="C8558" s="491">
        <v>1</v>
      </c>
      <c r="D8558" s="491">
        <v>0</v>
      </c>
      <c r="E8558" s="491">
        <v>0</v>
      </c>
      <c r="F8558" s="491">
        <v>0</v>
      </c>
      <c r="G8558" s="491">
        <f t="shared" si="134"/>
        <v>1</v>
      </c>
    </row>
    <row r="8559" spans="1:7" ht="12.75">
      <c r="A8559" s="134" t="s">
        <v>986</v>
      </c>
      <c r="B8559" s="134">
        <v>214</v>
      </c>
      <c r="C8559" s="491">
        <v>4</v>
      </c>
      <c r="D8559" s="491">
        <v>3</v>
      </c>
      <c r="E8559" s="491">
        <v>0</v>
      </c>
      <c r="F8559" s="491">
        <v>0</v>
      </c>
      <c r="G8559" s="491">
        <f t="shared" si="134"/>
        <v>7</v>
      </c>
    </row>
    <row r="8560" spans="1:7" ht="12.75">
      <c r="A8560" s="134" t="s">
        <v>986</v>
      </c>
      <c r="B8560" s="134">
        <v>300</v>
      </c>
      <c r="C8560" s="491">
        <v>7</v>
      </c>
      <c r="D8560" s="491">
        <v>6</v>
      </c>
      <c r="E8560" s="491">
        <v>0</v>
      </c>
      <c r="F8560" s="491">
        <v>0</v>
      </c>
      <c r="G8560" s="491">
        <f t="shared" si="134"/>
        <v>13</v>
      </c>
    </row>
    <row r="8561" spans="1:7" ht="12.75">
      <c r="A8561" s="134" t="s">
        <v>986</v>
      </c>
      <c r="B8561" s="134">
        <v>320</v>
      </c>
      <c r="C8561" s="491">
        <v>6</v>
      </c>
      <c r="D8561" s="491">
        <v>2</v>
      </c>
      <c r="E8561" s="491">
        <v>0</v>
      </c>
      <c r="F8561" s="491">
        <v>0</v>
      </c>
      <c r="G8561" s="491">
        <f t="shared" si="134"/>
        <v>8</v>
      </c>
    </row>
    <row r="8562" spans="1:7" ht="12.75">
      <c r="A8562" s="134" t="s">
        <v>986</v>
      </c>
      <c r="B8562" s="134">
        <v>324</v>
      </c>
      <c r="C8562" s="491">
        <v>1</v>
      </c>
      <c r="D8562" s="491">
        <v>0</v>
      </c>
      <c r="E8562" s="491">
        <v>0</v>
      </c>
      <c r="F8562" s="491">
        <v>0</v>
      </c>
      <c r="G8562" s="491">
        <f t="shared" si="134"/>
        <v>1</v>
      </c>
    </row>
    <row r="8563" spans="1:7" ht="12.75">
      <c r="A8563" s="134" t="s">
        <v>986</v>
      </c>
      <c r="B8563" s="134">
        <v>340</v>
      </c>
      <c r="C8563" s="491">
        <v>1</v>
      </c>
      <c r="D8563" s="491">
        <v>2</v>
      </c>
      <c r="E8563" s="491">
        <v>0</v>
      </c>
      <c r="F8563" s="491">
        <v>0</v>
      </c>
      <c r="G8563" s="491">
        <f t="shared" si="134"/>
        <v>3</v>
      </c>
    </row>
    <row r="8564" spans="1:7" ht="12.75">
      <c r="A8564" s="134" t="s">
        <v>986</v>
      </c>
      <c r="B8564" s="134">
        <v>350</v>
      </c>
      <c r="C8564" s="491">
        <v>7</v>
      </c>
      <c r="D8564" s="491">
        <v>14</v>
      </c>
      <c r="E8564" s="491">
        <v>0</v>
      </c>
      <c r="F8564" s="491">
        <v>0</v>
      </c>
      <c r="G8564" s="491">
        <f t="shared" si="134"/>
        <v>21</v>
      </c>
    </row>
    <row r="8565" spans="1:7" ht="12.75">
      <c r="A8565" s="134" t="s">
        <v>986</v>
      </c>
      <c r="B8565" s="134">
        <v>361</v>
      </c>
      <c r="C8565" s="491">
        <v>2</v>
      </c>
      <c r="D8565" s="491">
        <v>0</v>
      </c>
      <c r="E8565" s="491">
        <v>0</v>
      </c>
      <c r="F8565" s="491">
        <v>0</v>
      </c>
      <c r="G8565" s="491">
        <f t="shared" si="134"/>
        <v>2</v>
      </c>
    </row>
    <row r="8566" spans="1:7" ht="12.75">
      <c r="A8566" s="134" t="s">
        <v>986</v>
      </c>
      <c r="B8566" s="134">
        <v>370</v>
      </c>
      <c r="C8566" s="491">
        <v>9</v>
      </c>
      <c r="D8566" s="491">
        <v>0</v>
      </c>
      <c r="E8566" s="491">
        <v>0</v>
      </c>
      <c r="F8566" s="491">
        <v>0</v>
      </c>
      <c r="G8566" s="491">
        <f t="shared" si="134"/>
        <v>9</v>
      </c>
    </row>
    <row r="8567" spans="1:7" ht="12.75">
      <c r="A8567" s="134" t="s">
        <v>986</v>
      </c>
      <c r="B8567" s="134">
        <v>410</v>
      </c>
      <c r="C8567" s="491">
        <v>3</v>
      </c>
      <c r="D8567" s="491">
        <v>9</v>
      </c>
      <c r="E8567" s="491">
        <v>0</v>
      </c>
      <c r="F8567" s="491">
        <v>0</v>
      </c>
      <c r="G8567" s="491">
        <f t="shared" si="134"/>
        <v>12</v>
      </c>
    </row>
    <row r="8568" spans="1:7" ht="12.75">
      <c r="A8568" s="134" t="s">
        <v>986</v>
      </c>
      <c r="B8568" s="134">
        <v>420</v>
      </c>
      <c r="C8568" s="491">
        <v>2</v>
      </c>
      <c r="D8568" s="491">
        <v>1</v>
      </c>
      <c r="E8568" s="491">
        <v>0</v>
      </c>
      <c r="F8568" s="491">
        <v>0</v>
      </c>
      <c r="G8568" s="491">
        <f t="shared" si="134"/>
        <v>3</v>
      </c>
    </row>
    <row r="8569" spans="1:7" ht="12.75">
      <c r="A8569" s="134" t="s">
        <v>986</v>
      </c>
      <c r="B8569" s="134">
        <v>430</v>
      </c>
      <c r="C8569" s="491">
        <v>8</v>
      </c>
      <c r="D8569" s="491">
        <v>2</v>
      </c>
      <c r="E8569" s="491">
        <v>0</v>
      </c>
      <c r="F8569" s="491">
        <v>0</v>
      </c>
      <c r="G8569" s="491">
        <f t="shared" si="134"/>
        <v>10</v>
      </c>
    </row>
    <row r="8570" spans="1:7" ht="12.75">
      <c r="A8570" s="134" t="s">
        <v>986</v>
      </c>
      <c r="B8570" s="134">
        <v>501</v>
      </c>
      <c r="C8570" s="491">
        <v>10</v>
      </c>
      <c r="D8570" s="491">
        <v>8</v>
      </c>
      <c r="E8570" s="491">
        <v>2</v>
      </c>
      <c r="F8570" s="491">
        <v>1</v>
      </c>
      <c r="G8570" s="491">
        <f t="shared" si="134"/>
        <v>21</v>
      </c>
    </row>
    <row r="8571" spans="1:7" ht="12.75">
      <c r="A8571" s="134" t="s">
        <v>986</v>
      </c>
      <c r="B8571" s="134">
        <v>502</v>
      </c>
      <c r="C8571" s="491">
        <v>14</v>
      </c>
      <c r="D8571" s="491">
        <v>5</v>
      </c>
      <c r="E8571" s="491">
        <v>0</v>
      </c>
      <c r="F8571" s="491">
        <v>0</v>
      </c>
      <c r="G8571" s="491">
        <f t="shared" si="134"/>
        <v>19</v>
      </c>
    </row>
    <row r="8572" spans="1:7" ht="12.75">
      <c r="A8572" s="134" t="s">
        <v>986</v>
      </c>
      <c r="B8572" s="134">
        <v>650</v>
      </c>
      <c r="C8572" s="491">
        <v>0</v>
      </c>
      <c r="D8572" s="491">
        <v>4</v>
      </c>
      <c r="E8572" s="491">
        <v>0</v>
      </c>
      <c r="F8572" s="491">
        <v>0</v>
      </c>
      <c r="G8572" s="491">
        <f t="shared" si="134"/>
        <v>4</v>
      </c>
    </row>
    <row r="8573" spans="1:7" ht="12.75">
      <c r="A8573" s="134" t="s">
        <v>986</v>
      </c>
      <c r="B8573" s="134">
        <v>800</v>
      </c>
      <c r="C8573" s="491">
        <v>2</v>
      </c>
      <c r="D8573" s="491">
        <v>0</v>
      </c>
      <c r="E8573" s="491">
        <v>0</v>
      </c>
      <c r="F8573" s="491">
        <v>0</v>
      </c>
      <c r="G8573" s="491">
        <f t="shared" si="134"/>
        <v>2</v>
      </c>
    </row>
    <row r="8574" spans="1:7" ht="12.75">
      <c r="A8574" s="134" t="s">
        <v>986</v>
      </c>
      <c r="B8574" s="134">
        <v>811</v>
      </c>
      <c r="C8574" s="491">
        <v>10</v>
      </c>
      <c r="D8574" s="491">
        <v>59</v>
      </c>
      <c r="E8574" s="491">
        <v>0</v>
      </c>
      <c r="F8574" s="491">
        <v>16</v>
      </c>
      <c r="G8574" s="491">
        <f t="shared" si="134"/>
        <v>85</v>
      </c>
    </row>
    <row r="8575" spans="1:7" ht="12.75">
      <c r="A8575" s="134" t="s">
        <v>986</v>
      </c>
      <c r="B8575" s="134">
        <v>812</v>
      </c>
      <c r="C8575" s="491">
        <v>280</v>
      </c>
      <c r="D8575" s="491">
        <v>35</v>
      </c>
      <c r="E8575" s="491">
        <v>0</v>
      </c>
      <c r="F8575" s="491">
        <v>0</v>
      </c>
      <c r="G8575" s="491">
        <f t="shared" si="134"/>
        <v>315</v>
      </c>
    </row>
    <row r="8576" spans="1:7" ht="12.75">
      <c r="A8576" s="134" t="s">
        <v>987</v>
      </c>
      <c r="B8576" s="134">
        <v>100</v>
      </c>
      <c r="C8576" s="491">
        <v>1</v>
      </c>
      <c r="D8576" s="491">
        <v>0</v>
      </c>
      <c r="E8576" s="491">
        <v>0</v>
      </c>
      <c r="F8576" s="491">
        <v>0</v>
      </c>
      <c r="G8576" s="491">
        <f t="shared" si="134"/>
        <v>1</v>
      </c>
    </row>
    <row r="8577" spans="1:7" ht="12.75">
      <c r="A8577" s="134" t="s">
        <v>987</v>
      </c>
      <c r="B8577" s="134">
        <v>107</v>
      </c>
      <c r="C8577" s="491">
        <v>2</v>
      </c>
      <c r="D8577" s="491">
        <v>1</v>
      </c>
      <c r="E8577" s="491">
        <v>0</v>
      </c>
      <c r="F8577" s="491">
        <v>0</v>
      </c>
      <c r="G8577" s="491">
        <f t="shared" si="134"/>
        <v>3</v>
      </c>
    </row>
    <row r="8578" spans="1:7" ht="12.75">
      <c r="A8578" s="134" t="s">
        <v>988</v>
      </c>
      <c r="B8578" s="134">
        <v>100</v>
      </c>
      <c r="C8578" s="491">
        <v>32</v>
      </c>
      <c r="D8578" s="491">
        <v>0</v>
      </c>
      <c r="E8578" s="491">
        <v>0</v>
      </c>
      <c r="F8578" s="491">
        <v>0</v>
      </c>
      <c r="G8578" s="491">
        <f t="shared" si="134"/>
        <v>32</v>
      </c>
    </row>
    <row r="8579" spans="1:7" ht="12.75">
      <c r="A8579" s="134" t="s">
        <v>988</v>
      </c>
      <c r="B8579" s="134">
        <v>107</v>
      </c>
      <c r="C8579" s="491">
        <v>438</v>
      </c>
      <c r="D8579" s="491">
        <v>62</v>
      </c>
      <c r="E8579" s="491">
        <v>54</v>
      </c>
      <c r="F8579" s="491">
        <v>8</v>
      </c>
      <c r="G8579" s="491">
        <f t="shared" si="134"/>
        <v>562</v>
      </c>
    </row>
    <row r="8580" spans="1:7" ht="12.75">
      <c r="A8580" s="134" t="s">
        <v>989</v>
      </c>
      <c r="B8580" s="134">
        <v>100</v>
      </c>
      <c r="C8580" s="491">
        <v>4</v>
      </c>
      <c r="D8580" s="491">
        <v>0</v>
      </c>
      <c r="E8580" s="491">
        <v>3</v>
      </c>
      <c r="F8580" s="491">
        <v>1</v>
      </c>
      <c r="G8580" s="491">
        <f t="shared" si="134"/>
        <v>8</v>
      </c>
    </row>
    <row r="8581" spans="1:7" ht="12.75">
      <c r="A8581" s="134" t="s">
        <v>989</v>
      </c>
      <c r="B8581" s="134">
        <v>107</v>
      </c>
      <c r="C8581" s="491">
        <v>2</v>
      </c>
      <c r="D8581" s="491">
        <v>0</v>
      </c>
      <c r="E8581" s="491">
        <v>0</v>
      </c>
      <c r="F8581" s="491">
        <v>0</v>
      </c>
      <c r="G8581" s="491">
        <f t="shared" si="134"/>
        <v>2</v>
      </c>
    </row>
    <row r="8582" spans="1:7" ht="12.75">
      <c r="A8582" s="134" t="s">
        <v>990</v>
      </c>
      <c r="B8582" s="134">
        <v>100</v>
      </c>
      <c r="C8582" s="491">
        <v>386</v>
      </c>
      <c r="D8582" s="491">
        <v>42</v>
      </c>
      <c r="E8582" s="491">
        <v>58</v>
      </c>
      <c r="F8582" s="491">
        <v>16</v>
      </c>
      <c r="G8582" s="491">
        <f t="shared" si="134"/>
        <v>502</v>
      </c>
    </row>
    <row r="8583" spans="1:7" ht="12.75">
      <c r="A8583" s="134" t="s">
        <v>990</v>
      </c>
      <c r="B8583" s="134">
        <v>104</v>
      </c>
      <c r="C8583" s="491">
        <v>3</v>
      </c>
      <c r="D8583" s="491">
        <v>4</v>
      </c>
      <c r="E8583" s="491">
        <v>0</v>
      </c>
      <c r="F8583" s="491">
        <v>0</v>
      </c>
      <c r="G8583" s="491">
        <f t="shared" si="134"/>
        <v>7</v>
      </c>
    </row>
    <row r="8584" spans="1:7" ht="12.75">
      <c r="A8584" s="134" t="s">
        <v>990</v>
      </c>
      <c r="B8584" s="134">
        <v>106</v>
      </c>
      <c r="C8584" s="491">
        <v>0</v>
      </c>
      <c r="D8584" s="491">
        <v>2</v>
      </c>
      <c r="E8584" s="491">
        <v>0</v>
      </c>
      <c r="F8584" s="491">
        <v>0</v>
      </c>
      <c r="G8584" s="491">
        <f t="shared" si="134"/>
        <v>2</v>
      </c>
    </row>
    <row r="8585" spans="1:7" ht="12.75">
      <c r="A8585" s="134" t="s">
        <v>990</v>
      </c>
      <c r="B8585" s="134">
        <v>107</v>
      </c>
      <c r="C8585" s="491">
        <v>961</v>
      </c>
      <c r="D8585" s="491">
        <v>42</v>
      </c>
      <c r="E8585" s="491">
        <v>108</v>
      </c>
      <c r="F8585" s="491">
        <v>3</v>
      </c>
      <c r="G8585" s="491">
        <f t="shared" si="134"/>
        <v>1114</v>
      </c>
    </row>
    <row r="8586" spans="1:7" ht="12.75">
      <c r="A8586" s="134" t="s">
        <v>990</v>
      </c>
      <c r="B8586" s="134">
        <v>330</v>
      </c>
      <c r="C8586" s="491">
        <v>1</v>
      </c>
      <c r="D8586" s="491">
        <v>0</v>
      </c>
      <c r="E8586" s="491">
        <v>0</v>
      </c>
      <c r="F8586" s="491">
        <v>0</v>
      </c>
      <c r="G8586" s="491">
        <f t="shared" si="134"/>
        <v>1</v>
      </c>
    </row>
    <row r="8587" spans="1:7" ht="12.75">
      <c r="A8587" s="134" t="s">
        <v>990</v>
      </c>
      <c r="B8587" s="134">
        <v>502</v>
      </c>
      <c r="C8587" s="491">
        <v>1</v>
      </c>
      <c r="D8587" s="491">
        <v>0</v>
      </c>
      <c r="E8587" s="491">
        <v>0</v>
      </c>
      <c r="F8587" s="491">
        <v>0</v>
      </c>
      <c r="G8587" s="491">
        <f t="shared" si="134"/>
        <v>1</v>
      </c>
    </row>
    <row r="8588" spans="1:7" ht="12.75">
      <c r="A8588" s="134" t="s">
        <v>990</v>
      </c>
      <c r="B8588" s="134">
        <v>811</v>
      </c>
      <c r="C8588" s="491">
        <v>1</v>
      </c>
      <c r="D8588" s="491">
        <v>3</v>
      </c>
      <c r="E8588" s="491">
        <v>0</v>
      </c>
      <c r="F8588" s="491">
        <v>0</v>
      </c>
      <c r="G8588" s="491">
        <f t="shared" si="134"/>
        <v>4</v>
      </c>
    </row>
    <row r="8589" spans="1:7" ht="12.75">
      <c r="A8589" s="134" t="s">
        <v>991</v>
      </c>
      <c r="B8589" s="134">
        <v>100</v>
      </c>
      <c r="C8589" s="491">
        <v>1</v>
      </c>
      <c r="D8589" s="491">
        <v>1</v>
      </c>
      <c r="E8589" s="491">
        <v>0</v>
      </c>
      <c r="F8589" s="491">
        <v>1</v>
      </c>
      <c r="G8589" s="491">
        <f t="shared" ref="G8589:G8652" si="135">SUM(C8589:F8589)</f>
        <v>3</v>
      </c>
    </row>
    <row r="8590" spans="1:7" ht="12.75">
      <c r="A8590" s="134" t="s">
        <v>991</v>
      </c>
      <c r="B8590" s="134">
        <v>103</v>
      </c>
      <c r="C8590" s="491">
        <v>2</v>
      </c>
      <c r="D8590" s="491">
        <v>0</v>
      </c>
      <c r="E8590" s="491">
        <v>1</v>
      </c>
      <c r="F8590" s="491">
        <v>0</v>
      </c>
      <c r="G8590" s="491">
        <f t="shared" si="135"/>
        <v>3</v>
      </c>
    </row>
    <row r="8591" spans="1:7" ht="12.75">
      <c r="A8591" s="134" t="s">
        <v>991</v>
      </c>
      <c r="B8591" s="134">
        <v>107</v>
      </c>
      <c r="C8591" s="491">
        <v>1</v>
      </c>
      <c r="D8591" s="491">
        <v>2</v>
      </c>
      <c r="E8591" s="491">
        <v>0</v>
      </c>
      <c r="F8591" s="491">
        <v>0</v>
      </c>
      <c r="G8591" s="491">
        <f t="shared" si="135"/>
        <v>3</v>
      </c>
    </row>
    <row r="8592" spans="1:7" ht="12.75">
      <c r="A8592" s="134" t="s">
        <v>991</v>
      </c>
      <c r="B8592" s="134">
        <v>110</v>
      </c>
      <c r="C8592" s="491">
        <v>3</v>
      </c>
      <c r="D8592" s="491">
        <v>0</v>
      </c>
      <c r="E8592" s="491">
        <v>0</v>
      </c>
      <c r="F8592" s="491">
        <v>0</v>
      </c>
      <c r="G8592" s="491">
        <f t="shared" si="135"/>
        <v>3</v>
      </c>
    </row>
    <row r="8593" spans="1:7" ht="12.75">
      <c r="A8593" s="134" t="s">
        <v>991</v>
      </c>
      <c r="B8593" s="134">
        <v>120</v>
      </c>
      <c r="C8593" s="491">
        <v>0</v>
      </c>
      <c r="D8593" s="491">
        <v>1</v>
      </c>
      <c r="E8593" s="491">
        <v>0</v>
      </c>
      <c r="F8593" s="491">
        <v>0</v>
      </c>
      <c r="G8593" s="491">
        <f t="shared" si="135"/>
        <v>1</v>
      </c>
    </row>
    <row r="8594" spans="1:7" ht="12.75">
      <c r="A8594" s="134" t="s">
        <v>991</v>
      </c>
      <c r="B8594" s="134">
        <v>150</v>
      </c>
      <c r="C8594" s="491">
        <v>0</v>
      </c>
      <c r="D8594" s="491">
        <v>1</v>
      </c>
      <c r="E8594" s="491">
        <v>0</v>
      </c>
      <c r="F8594" s="491">
        <v>0</v>
      </c>
      <c r="G8594" s="491">
        <f t="shared" si="135"/>
        <v>1</v>
      </c>
    </row>
    <row r="8595" spans="1:7" ht="12.75">
      <c r="A8595" s="134" t="s">
        <v>991</v>
      </c>
      <c r="B8595" s="134">
        <v>191</v>
      </c>
      <c r="C8595" s="491">
        <v>495</v>
      </c>
      <c r="D8595" s="491">
        <v>11</v>
      </c>
      <c r="E8595" s="491">
        <v>0</v>
      </c>
      <c r="F8595" s="491">
        <v>0</v>
      </c>
      <c r="G8595" s="491">
        <f t="shared" si="135"/>
        <v>506</v>
      </c>
    </row>
    <row r="8596" spans="1:7" ht="12.75">
      <c r="A8596" s="134" t="s">
        <v>991</v>
      </c>
      <c r="B8596" s="134">
        <v>300</v>
      </c>
      <c r="C8596" s="491">
        <v>4</v>
      </c>
      <c r="D8596" s="491">
        <v>4</v>
      </c>
      <c r="E8596" s="491">
        <v>0</v>
      </c>
      <c r="F8596" s="491">
        <v>2</v>
      </c>
      <c r="G8596" s="491">
        <f t="shared" si="135"/>
        <v>10</v>
      </c>
    </row>
    <row r="8597" spans="1:7" ht="12.75">
      <c r="A8597" s="134" t="s">
        <v>991</v>
      </c>
      <c r="B8597" s="134">
        <v>302</v>
      </c>
      <c r="C8597" s="491">
        <v>1</v>
      </c>
      <c r="D8597" s="491">
        <v>0</v>
      </c>
      <c r="E8597" s="491">
        <v>0</v>
      </c>
      <c r="F8597" s="491">
        <v>0</v>
      </c>
      <c r="G8597" s="491">
        <f t="shared" si="135"/>
        <v>1</v>
      </c>
    </row>
    <row r="8598" spans="1:7" ht="12.75">
      <c r="A8598" s="134" t="s">
        <v>991</v>
      </c>
      <c r="B8598" s="134">
        <v>303</v>
      </c>
      <c r="C8598" s="491">
        <v>22</v>
      </c>
      <c r="D8598" s="491">
        <v>2</v>
      </c>
      <c r="E8598" s="491">
        <v>0</v>
      </c>
      <c r="F8598" s="491">
        <v>0</v>
      </c>
      <c r="G8598" s="491">
        <f t="shared" si="135"/>
        <v>24</v>
      </c>
    </row>
    <row r="8599" spans="1:7" ht="12.75">
      <c r="A8599" s="134" t="s">
        <v>991</v>
      </c>
      <c r="B8599" s="134">
        <v>304</v>
      </c>
      <c r="C8599" s="491">
        <v>1</v>
      </c>
      <c r="D8599" s="491">
        <v>1</v>
      </c>
      <c r="E8599" s="491">
        <v>0</v>
      </c>
      <c r="F8599" s="491">
        <v>0</v>
      </c>
      <c r="G8599" s="491">
        <f t="shared" si="135"/>
        <v>2</v>
      </c>
    </row>
    <row r="8600" spans="1:7" ht="12.75">
      <c r="A8600" s="134" t="s">
        <v>991</v>
      </c>
      <c r="B8600" s="134">
        <v>305</v>
      </c>
      <c r="C8600" s="491">
        <v>1</v>
      </c>
      <c r="D8600" s="491">
        <v>0</v>
      </c>
      <c r="E8600" s="491">
        <v>0</v>
      </c>
      <c r="F8600" s="491">
        <v>0</v>
      </c>
      <c r="G8600" s="491">
        <f t="shared" si="135"/>
        <v>1</v>
      </c>
    </row>
    <row r="8601" spans="1:7" ht="12.75">
      <c r="A8601" s="134" t="s">
        <v>991</v>
      </c>
      <c r="B8601" s="134">
        <v>315</v>
      </c>
      <c r="C8601" s="491">
        <v>0</v>
      </c>
      <c r="D8601" s="491">
        <v>1</v>
      </c>
      <c r="E8601" s="491">
        <v>0</v>
      </c>
      <c r="F8601" s="491">
        <v>0</v>
      </c>
      <c r="G8601" s="491">
        <f t="shared" si="135"/>
        <v>1</v>
      </c>
    </row>
    <row r="8602" spans="1:7" ht="12.75">
      <c r="A8602" s="134" t="s">
        <v>991</v>
      </c>
      <c r="B8602" s="134">
        <v>320</v>
      </c>
      <c r="C8602" s="491">
        <v>0</v>
      </c>
      <c r="D8602" s="491">
        <v>2</v>
      </c>
      <c r="E8602" s="491">
        <v>0</v>
      </c>
      <c r="F8602" s="491">
        <v>0</v>
      </c>
      <c r="G8602" s="491">
        <f t="shared" si="135"/>
        <v>2</v>
      </c>
    </row>
    <row r="8603" spans="1:7" ht="12.75">
      <c r="A8603" s="134" t="s">
        <v>991</v>
      </c>
      <c r="B8603" s="134">
        <v>340</v>
      </c>
      <c r="C8603" s="491">
        <v>2</v>
      </c>
      <c r="D8603" s="491">
        <v>0</v>
      </c>
      <c r="E8603" s="491">
        <v>0</v>
      </c>
      <c r="F8603" s="491">
        <v>0</v>
      </c>
      <c r="G8603" s="491">
        <f t="shared" si="135"/>
        <v>2</v>
      </c>
    </row>
    <row r="8604" spans="1:7" ht="12.75">
      <c r="A8604" s="134" t="s">
        <v>991</v>
      </c>
      <c r="B8604" s="134">
        <v>343</v>
      </c>
      <c r="C8604" s="491">
        <v>55</v>
      </c>
      <c r="D8604" s="491">
        <v>0</v>
      </c>
      <c r="E8604" s="491">
        <v>12</v>
      </c>
      <c r="F8604" s="491">
        <v>0</v>
      </c>
      <c r="G8604" s="491">
        <f t="shared" si="135"/>
        <v>67</v>
      </c>
    </row>
    <row r="8605" spans="1:7" ht="12.75">
      <c r="A8605" s="134" t="s">
        <v>991</v>
      </c>
      <c r="B8605" s="134">
        <v>350</v>
      </c>
      <c r="C8605" s="491">
        <v>3</v>
      </c>
      <c r="D8605" s="491">
        <v>0</v>
      </c>
      <c r="E8605" s="491">
        <v>0</v>
      </c>
      <c r="F8605" s="491">
        <v>0</v>
      </c>
      <c r="G8605" s="491">
        <f t="shared" si="135"/>
        <v>3</v>
      </c>
    </row>
    <row r="8606" spans="1:7" ht="12.75">
      <c r="A8606" s="134" t="s">
        <v>991</v>
      </c>
      <c r="B8606" s="134">
        <v>361</v>
      </c>
      <c r="C8606" s="491">
        <v>19</v>
      </c>
      <c r="D8606" s="491">
        <v>55</v>
      </c>
      <c r="E8606" s="491">
        <v>0</v>
      </c>
      <c r="F8606" s="491">
        <v>0</v>
      </c>
      <c r="G8606" s="491">
        <f t="shared" si="135"/>
        <v>74</v>
      </c>
    </row>
    <row r="8607" spans="1:7" ht="12.75">
      <c r="A8607" s="134" t="s">
        <v>991</v>
      </c>
      <c r="B8607" s="134">
        <v>370</v>
      </c>
      <c r="C8607" s="491">
        <v>78</v>
      </c>
      <c r="D8607" s="491">
        <v>24</v>
      </c>
      <c r="E8607" s="491">
        <v>2</v>
      </c>
      <c r="F8607" s="491">
        <v>0</v>
      </c>
      <c r="G8607" s="491">
        <f t="shared" si="135"/>
        <v>104</v>
      </c>
    </row>
    <row r="8608" spans="1:7" ht="12.75">
      <c r="A8608" s="134" t="s">
        <v>991</v>
      </c>
      <c r="B8608" s="134">
        <v>400</v>
      </c>
      <c r="C8608" s="491">
        <v>4</v>
      </c>
      <c r="D8608" s="491">
        <v>4</v>
      </c>
      <c r="E8608" s="491">
        <v>0</v>
      </c>
      <c r="F8608" s="491">
        <v>0</v>
      </c>
      <c r="G8608" s="491">
        <f t="shared" si="135"/>
        <v>8</v>
      </c>
    </row>
    <row r="8609" spans="1:7" ht="12.75">
      <c r="A8609" s="134" t="s">
        <v>991</v>
      </c>
      <c r="B8609" s="134">
        <v>410</v>
      </c>
      <c r="C8609" s="491">
        <v>1</v>
      </c>
      <c r="D8609" s="491">
        <v>0</v>
      </c>
      <c r="E8609" s="491">
        <v>0</v>
      </c>
      <c r="F8609" s="491">
        <v>0</v>
      </c>
      <c r="G8609" s="491">
        <f t="shared" si="135"/>
        <v>1</v>
      </c>
    </row>
    <row r="8610" spans="1:7" ht="12.75">
      <c r="A8610" s="134" t="s">
        <v>991</v>
      </c>
      <c r="B8610" s="134">
        <v>501</v>
      </c>
      <c r="C8610" s="491">
        <v>0</v>
      </c>
      <c r="D8610" s="491">
        <v>1</v>
      </c>
      <c r="E8610" s="491">
        <v>0</v>
      </c>
      <c r="F8610" s="491">
        <v>0</v>
      </c>
      <c r="G8610" s="491">
        <f t="shared" si="135"/>
        <v>1</v>
      </c>
    </row>
    <row r="8611" spans="1:7" ht="12.75">
      <c r="A8611" s="134" t="s">
        <v>991</v>
      </c>
      <c r="B8611" s="134">
        <v>656</v>
      </c>
      <c r="C8611" s="491">
        <v>1</v>
      </c>
      <c r="D8611" s="491">
        <v>0</v>
      </c>
      <c r="E8611" s="491">
        <v>0</v>
      </c>
      <c r="F8611" s="491">
        <v>0</v>
      </c>
      <c r="G8611" s="491">
        <f t="shared" si="135"/>
        <v>1</v>
      </c>
    </row>
    <row r="8612" spans="1:7" ht="12.75">
      <c r="A8612" s="134" t="s">
        <v>991</v>
      </c>
      <c r="B8612" s="134">
        <v>800</v>
      </c>
      <c r="C8612" s="491">
        <v>25</v>
      </c>
      <c r="D8612" s="491">
        <v>28</v>
      </c>
      <c r="E8612" s="491">
        <v>0</v>
      </c>
      <c r="F8612" s="491">
        <v>0</v>
      </c>
      <c r="G8612" s="491">
        <f t="shared" si="135"/>
        <v>53</v>
      </c>
    </row>
    <row r="8613" spans="1:7" ht="12.75">
      <c r="A8613" s="134" t="s">
        <v>991</v>
      </c>
      <c r="B8613" s="134">
        <v>811</v>
      </c>
      <c r="C8613" s="491">
        <v>1</v>
      </c>
      <c r="D8613" s="491">
        <v>86</v>
      </c>
      <c r="E8613" s="491">
        <v>1</v>
      </c>
      <c r="F8613" s="491">
        <v>8</v>
      </c>
      <c r="G8613" s="491">
        <f t="shared" si="135"/>
        <v>96</v>
      </c>
    </row>
    <row r="8614" spans="1:7" ht="12.75">
      <c r="A8614" s="134" t="s">
        <v>991</v>
      </c>
      <c r="B8614" s="134">
        <v>812</v>
      </c>
      <c r="C8614" s="491">
        <v>26</v>
      </c>
      <c r="D8614" s="491">
        <v>7</v>
      </c>
      <c r="E8614" s="491">
        <v>0</v>
      </c>
      <c r="F8614" s="491">
        <v>0</v>
      </c>
      <c r="G8614" s="491">
        <f t="shared" si="135"/>
        <v>33</v>
      </c>
    </row>
    <row r="8615" spans="1:7" ht="12.75">
      <c r="A8615" s="134" t="s">
        <v>992</v>
      </c>
      <c r="B8615" s="134">
        <v>191</v>
      </c>
      <c r="C8615" s="491">
        <v>8</v>
      </c>
      <c r="D8615" s="491">
        <v>0</v>
      </c>
      <c r="E8615" s="491">
        <v>0</v>
      </c>
      <c r="F8615" s="491">
        <v>0</v>
      </c>
      <c r="G8615" s="491">
        <f t="shared" si="135"/>
        <v>8</v>
      </c>
    </row>
    <row r="8616" spans="1:7" ht="12.75">
      <c r="A8616" s="134" t="s">
        <v>992</v>
      </c>
      <c r="B8616" s="134">
        <v>211</v>
      </c>
      <c r="C8616" s="491">
        <v>0</v>
      </c>
      <c r="D8616" s="491">
        <v>0</v>
      </c>
      <c r="E8616" s="491">
        <v>1</v>
      </c>
      <c r="F8616" s="491">
        <v>0</v>
      </c>
      <c r="G8616" s="491">
        <f t="shared" si="135"/>
        <v>1</v>
      </c>
    </row>
    <row r="8617" spans="1:7" ht="12.75">
      <c r="A8617" s="134" t="s">
        <v>992</v>
      </c>
      <c r="B8617" s="134">
        <v>251</v>
      </c>
      <c r="C8617" s="491">
        <v>1</v>
      </c>
      <c r="D8617" s="491">
        <v>0</v>
      </c>
      <c r="E8617" s="491">
        <v>1</v>
      </c>
      <c r="F8617" s="491">
        <v>0</v>
      </c>
      <c r="G8617" s="491">
        <f t="shared" si="135"/>
        <v>2</v>
      </c>
    </row>
    <row r="8618" spans="1:7" ht="12.75">
      <c r="A8618" s="134" t="s">
        <v>992</v>
      </c>
      <c r="B8618" s="134">
        <v>253</v>
      </c>
      <c r="C8618" s="491">
        <v>1</v>
      </c>
      <c r="D8618" s="491">
        <v>0</v>
      </c>
      <c r="E8618" s="491">
        <v>1</v>
      </c>
      <c r="F8618" s="491">
        <v>0</v>
      </c>
      <c r="G8618" s="491">
        <f t="shared" si="135"/>
        <v>2</v>
      </c>
    </row>
    <row r="8619" spans="1:7" ht="12.75">
      <c r="A8619" s="134" t="s">
        <v>992</v>
      </c>
      <c r="B8619" s="134">
        <v>255</v>
      </c>
      <c r="C8619" s="491">
        <v>1</v>
      </c>
      <c r="D8619" s="491">
        <v>2</v>
      </c>
      <c r="E8619" s="491">
        <v>0</v>
      </c>
      <c r="F8619" s="491">
        <v>0</v>
      </c>
      <c r="G8619" s="491">
        <f t="shared" si="135"/>
        <v>3</v>
      </c>
    </row>
    <row r="8620" spans="1:7" ht="12.75">
      <c r="A8620" s="134" t="s">
        <v>992</v>
      </c>
      <c r="B8620" s="134">
        <v>258</v>
      </c>
      <c r="C8620" s="491">
        <v>2</v>
      </c>
      <c r="D8620" s="491">
        <v>0</v>
      </c>
      <c r="E8620" s="491">
        <v>4</v>
      </c>
      <c r="F8620" s="491">
        <v>0</v>
      </c>
      <c r="G8620" s="491">
        <f t="shared" si="135"/>
        <v>6</v>
      </c>
    </row>
    <row r="8621" spans="1:7" ht="12.75">
      <c r="A8621" s="134" t="s">
        <v>992</v>
      </c>
      <c r="B8621" s="134">
        <v>259</v>
      </c>
      <c r="C8621" s="491">
        <v>20</v>
      </c>
      <c r="D8621" s="491">
        <v>1</v>
      </c>
      <c r="E8621" s="491">
        <v>8</v>
      </c>
      <c r="F8621" s="491">
        <v>0</v>
      </c>
      <c r="G8621" s="491">
        <f t="shared" si="135"/>
        <v>29</v>
      </c>
    </row>
    <row r="8622" spans="1:7" ht="12.75">
      <c r="A8622" s="134" t="s">
        <v>992</v>
      </c>
      <c r="B8622" s="134">
        <v>260</v>
      </c>
      <c r="C8622" s="491">
        <v>1</v>
      </c>
      <c r="D8622" s="491">
        <v>0</v>
      </c>
      <c r="E8622" s="491">
        <v>0</v>
      </c>
      <c r="F8622" s="491">
        <v>0</v>
      </c>
      <c r="G8622" s="491">
        <f t="shared" si="135"/>
        <v>1</v>
      </c>
    </row>
    <row r="8623" spans="1:7" ht="12.75">
      <c r="A8623" s="134" t="s">
        <v>992</v>
      </c>
      <c r="B8623" s="134">
        <v>262</v>
      </c>
      <c r="C8623" s="491">
        <v>0</v>
      </c>
      <c r="D8623" s="491">
        <v>0</v>
      </c>
      <c r="E8623" s="491">
        <v>1</v>
      </c>
      <c r="F8623" s="491">
        <v>0</v>
      </c>
      <c r="G8623" s="491">
        <f t="shared" si="135"/>
        <v>1</v>
      </c>
    </row>
    <row r="8624" spans="1:7" ht="12.75">
      <c r="A8624" s="134" t="s">
        <v>992</v>
      </c>
      <c r="B8624" s="134">
        <v>290</v>
      </c>
      <c r="C8624" s="491">
        <v>3</v>
      </c>
      <c r="D8624" s="491">
        <v>0</v>
      </c>
      <c r="E8624" s="491">
        <v>0</v>
      </c>
      <c r="F8624" s="491">
        <v>0</v>
      </c>
      <c r="G8624" s="491">
        <f t="shared" si="135"/>
        <v>3</v>
      </c>
    </row>
    <row r="8625" spans="1:7" ht="12.75">
      <c r="A8625" s="134" t="s">
        <v>992</v>
      </c>
      <c r="B8625" s="134">
        <v>311</v>
      </c>
      <c r="C8625" s="491">
        <v>0</v>
      </c>
      <c r="D8625" s="491">
        <v>1</v>
      </c>
      <c r="E8625" s="491">
        <v>0</v>
      </c>
      <c r="F8625" s="491">
        <v>0</v>
      </c>
      <c r="G8625" s="491">
        <f t="shared" si="135"/>
        <v>1</v>
      </c>
    </row>
    <row r="8626" spans="1:7" ht="12.75">
      <c r="A8626" s="134" t="s">
        <v>992</v>
      </c>
      <c r="B8626" s="134">
        <v>343</v>
      </c>
      <c r="C8626" s="491">
        <v>3</v>
      </c>
      <c r="D8626" s="491">
        <v>0</v>
      </c>
      <c r="E8626" s="491">
        <v>2</v>
      </c>
      <c r="F8626" s="491">
        <v>0</v>
      </c>
      <c r="G8626" s="491">
        <f t="shared" si="135"/>
        <v>5</v>
      </c>
    </row>
    <row r="8627" spans="1:7" ht="12.75">
      <c r="A8627" s="134" t="s">
        <v>992</v>
      </c>
      <c r="B8627" s="134">
        <v>361</v>
      </c>
      <c r="C8627" s="491">
        <v>1</v>
      </c>
      <c r="D8627" s="491">
        <v>0</v>
      </c>
      <c r="E8627" s="491">
        <v>0</v>
      </c>
      <c r="F8627" s="491">
        <v>0</v>
      </c>
      <c r="G8627" s="491">
        <f t="shared" si="135"/>
        <v>1</v>
      </c>
    </row>
    <row r="8628" spans="1:7" ht="12.75">
      <c r="A8628" s="134" t="s">
        <v>992</v>
      </c>
      <c r="B8628" s="134">
        <v>420</v>
      </c>
      <c r="C8628" s="491">
        <v>443</v>
      </c>
      <c r="D8628" s="491">
        <v>61</v>
      </c>
      <c r="E8628" s="491">
        <v>28</v>
      </c>
      <c r="F8628" s="491">
        <v>9</v>
      </c>
      <c r="G8628" s="491">
        <f t="shared" si="135"/>
        <v>541</v>
      </c>
    </row>
    <row r="8629" spans="1:7" ht="12.75">
      <c r="A8629" s="134" t="s">
        <v>992</v>
      </c>
      <c r="B8629" s="134">
        <v>812</v>
      </c>
      <c r="C8629" s="491">
        <v>13</v>
      </c>
      <c r="D8629" s="491">
        <v>0</v>
      </c>
      <c r="E8629" s="491">
        <v>0</v>
      </c>
      <c r="F8629" s="491">
        <v>0</v>
      </c>
      <c r="G8629" s="491">
        <f t="shared" si="135"/>
        <v>13</v>
      </c>
    </row>
    <row r="8630" spans="1:7" ht="12.75">
      <c r="A8630" s="134" t="s">
        <v>993</v>
      </c>
      <c r="B8630" s="134">
        <v>101</v>
      </c>
      <c r="C8630" s="491">
        <v>1</v>
      </c>
      <c r="D8630" s="491">
        <v>0</v>
      </c>
      <c r="E8630" s="491">
        <v>1</v>
      </c>
      <c r="F8630" s="491">
        <v>0</v>
      </c>
      <c r="G8630" s="491">
        <f t="shared" si="135"/>
        <v>2</v>
      </c>
    </row>
    <row r="8631" spans="1:7" ht="12.75">
      <c r="A8631" s="134" t="s">
        <v>993</v>
      </c>
      <c r="B8631" s="134">
        <v>103</v>
      </c>
      <c r="C8631" s="491">
        <v>1</v>
      </c>
      <c r="D8631" s="491">
        <v>0</v>
      </c>
      <c r="E8631" s="491">
        <v>0</v>
      </c>
      <c r="F8631" s="491">
        <v>0</v>
      </c>
      <c r="G8631" s="491">
        <f t="shared" si="135"/>
        <v>1</v>
      </c>
    </row>
    <row r="8632" spans="1:7" ht="12.75">
      <c r="A8632" s="134" t="s">
        <v>993</v>
      </c>
      <c r="B8632" s="134">
        <v>107</v>
      </c>
      <c r="C8632" s="491">
        <v>2</v>
      </c>
      <c r="D8632" s="491">
        <v>0</v>
      </c>
      <c r="E8632" s="491">
        <v>0</v>
      </c>
      <c r="F8632" s="491">
        <v>0</v>
      </c>
      <c r="G8632" s="491">
        <f t="shared" si="135"/>
        <v>2</v>
      </c>
    </row>
    <row r="8633" spans="1:7" ht="12.75">
      <c r="A8633" s="134" t="s">
        <v>993</v>
      </c>
      <c r="B8633" s="134">
        <v>110</v>
      </c>
      <c r="C8633" s="491">
        <v>4</v>
      </c>
      <c r="D8633" s="491">
        <v>1</v>
      </c>
      <c r="E8633" s="491">
        <v>0</v>
      </c>
      <c r="F8633" s="491">
        <v>0</v>
      </c>
      <c r="G8633" s="491">
        <f t="shared" si="135"/>
        <v>5</v>
      </c>
    </row>
    <row r="8634" spans="1:7" ht="12.75">
      <c r="A8634" s="134" t="s">
        <v>993</v>
      </c>
      <c r="B8634" s="134">
        <v>120</v>
      </c>
      <c r="C8634" s="491">
        <v>1</v>
      </c>
      <c r="D8634" s="491">
        <v>0</v>
      </c>
      <c r="E8634" s="491">
        <v>0</v>
      </c>
      <c r="F8634" s="491">
        <v>0</v>
      </c>
      <c r="G8634" s="491">
        <f t="shared" si="135"/>
        <v>1</v>
      </c>
    </row>
    <row r="8635" spans="1:7" ht="12.75">
      <c r="A8635" s="134" t="s">
        <v>993</v>
      </c>
      <c r="B8635" s="134">
        <v>191</v>
      </c>
      <c r="C8635" s="491">
        <v>61</v>
      </c>
      <c r="D8635" s="491">
        <v>6</v>
      </c>
      <c r="E8635" s="491">
        <v>8</v>
      </c>
      <c r="F8635" s="491">
        <v>19</v>
      </c>
      <c r="G8635" s="491">
        <f t="shared" si="135"/>
        <v>94</v>
      </c>
    </row>
    <row r="8636" spans="1:7" ht="12.75">
      <c r="A8636" s="134" t="s">
        <v>993</v>
      </c>
      <c r="B8636" s="134">
        <v>300</v>
      </c>
      <c r="C8636" s="491">
        <v>3</v>
      </c>
      <c r="D8636" s="491">
        <v>6</v>
      </c>
      <c r="E8636" s="491">
        <v>1</v>
      </c>
      <c r="F8636" s="491">
        <v>0</v>
      </c>
      <c r="G8636" s="491">
        <f t="shared" si="135"/>
        <v>10</v>
      </c>
    </row>
    <row r="8637" spans="1:7" ht="12.75">
      <c r="A8637" s="134" t="s">
        <v>993</v>
      </c>
      <c r="B8637" s="134">
        <v>303</v>
      </c>
      <c r="C8637" s="491">
        <v>45</v>
      </c>
      <c r="D8637" s="491">
        <v>2</v>
      </c>
      <c r="E8637" s="491">
        <v>1</v>
      </c>
      <c r="F8637" s="491">
        <v>0</v>
      </c>
      <c r="G8637" s="491">
        <f t="shared" si="135"/>
        <v>48</v>
      </c>
    </row>
    <row r="8638" spans="1:7" ht="12.75">
      <c r="A8638" s="134" t="s">
        <v>993</v>
      </c>
      <c r="B8638" s="134">
        <v>305</v>
      </c>
      <c r="C8638" s="491">
        <v>1</v>
      </c>
      <c r="D8638" s="491">
        <v>0</v>
      </c>
      <c r="E8638" s="491">
        <v>0</v>
      </c>
      <c r="F8638" s="491">
        <v>0</v>
      </c>
      <c r="G8638" s="491">
        <f t="shared" si="135"/>
        <v>1</v>
      </c>
    </row>
    <row r="8639" spans="1:7" ht="12.75">
      <c r="A8639" s="134" t="s">
        <v>993</v>
      </c>
      <c r="B8639" s="134">
        <v>340</v>
      </c>
      <c r="C8639" s="491">
        <v>0</v>
      </c>
      <c r="D8639" s="491">
        <v>1</v>
      </c>
      <c r="E8639" s="491">
        <v>0</v>
      </c>
      <c r="F8639" s="491">
        <v>0</v>
      </c>
      <c r="G8639" s="491">
        <f t="shared" si="135"/>
        <v>1</v>
      </c>
    </row>
    <row r="8640" spans="1:7" ht="12.75">
      <c r="A8640" s="134" t="s">
        <v>993</v>
      </c>
      <c r="B8640" s="134">
        <v>350</v>
      </c>
      <c r="C8640" s="491">
        <v>26</v>
      </c>
      <c r="D8640" s="491">
        <v>44</v>
      </c>
      <c r="E8640" s="491">
        <v>2</v>
      </c>
      <c r="F8640" s="491">
        <v>3</v>
      </c>
      <c r="G8640" s="491">
        <f t="shared" si="135"/>
        <v>75</v>
      </c>
    </row>
    <row r="8641" spans="1:7" ht="12.75">
      <c r="A8641" s="134" t="s">
        <v>993</v>
      </c>
      <c r="B8641" s="134">
        <v>361</v>
      </c>
      <c r="C8641" s="491">
        <v>4</v>
      </c>
      <c r="D8641" s="491">
        <v>0</v>
      </c>
      <c r="E8641" s="491">
        <v>0</v>
      </c>
      <c r="F8641" s="491">
        <v>0</v>
      </c>
      <c r="G8641" s="491">
        <f t="shared" si="135"/>
        <v>4</v>
      </c>
    </row>
    <row r="8642" spans="1:7" ht="12.75">
      <c r="A8642" s="134" t="s">
        <v>993</v>
      </c>
      <c r="B8642" s="134">
        <v>370</v>
      </c>
      <c r="C8642" s="491">
        <v>146</v>
      </c>
      <c r="D8642" s="491">
        <v>14</v>
      </c>
      <c r="E8642" s="491">
        <v>2</v>
      </c>
      <c r="F8642" s="491">
        <v>0</v>
      </c>
      <c r="G8642" s="491">
        <f t="shared" si="135"/>
        <v>162</v>
      </c>
    </row>
    <row r="8643" spans="1:7" ht="12.75">
      <c r="A8643" s="134" t="s">
        <v>993</v>
      </c>
      <c r="B8643" s="134">
        <v>800</v>
      </c>
      <c r="C8643" s="491">
        <v>54</v>
      </c>
      <c r="D8643" s="491">
        <v>3</v>
      </c>
      <c r="E8643" s="491">
        <v>2</v>
      </c>
      <c r="F8643" s="491">
        <v>0</v>
      </c>
      <c r="G8643" s="491">
        <f t="shared" si="135"/>
        <v>59</v>
      </c>
    </row>
    <row r="8644" spans="1:7" ht="12.75">
      <c r="A8644" s="134" t="s">
        <v>993</v>
      </c>
      <c r="B8644" s="134">
        <v>811</v>
      </c>
      <c r="C8644" s="491">
        <v>1</v>
      </c>
      <c r="D8644" s="491">
        <v>12</v>
      </c>
      <c r="E8644" s="491">
        <v>0</v>
      </c>
      <c r="F8644" s="491">
        <v>13</v>
      </c>
      <c r="G8644" s="491">
        <f t="shared" si="135"/>
        <v>26</v>
      </c>
    </row>
    <row r="8645" spans="1:7" ht="12.75">
      <c r="A8645" s="134" t="s">
        <v>993</v>
      </c>
      <c r="B8645" s="134">
        <v>812</v>
      </c>
      <c r="C8645" s="491">
        <v>95</v>
      </c>
      <c r="D8645" s="491">
        <v>132</v>
      </c>
      <c r="E8645" s="491">
        <v>0</v>
      </c>
      <c r="F8645" s="491">
        <v>0</v>
      </c>
      <c r="G8645" s="491">
        <f t="shared" si="135"/>
        <v>227</v>
      </c>
    </row>
    <row r="8646" spans="1:7" ht="12.75">
      <c r="A8646" s="134" t="s">
        <v>994</v>
      </c>
      <c r="B8646" s="134">
        <v>110</v>
      </c>
      <c r="C8646" s="491">
        <v>0</v>
      </c>
      <c r="D8646" s="491">
        <v>1</v>
      </c>
      <c r="E8646" s="491">
        <v>0</v>
      </c>
      <c r="F8646" s="491">
        <v>0</v>
      </c>
      <c r="G8646" s="491">
        <f t="shared" si="135"/>
        <v>1</v>
      </c>
    </row>
    <row r="8647" spans="1:7" ht="12.75">
      <c r="A8647" s="134" t="s">
        <v>994</v>
      </c>
      <c r="B8647" s="134">
        <v>191</v>
      </c>
      <c r="C8647" s="491">
        <v>2</v>
      </c>
      <c r="D8647" s="491">
        <v>0</v>
      </c>
      <c r="E8647" s="491">
        <v>0</v>
      </c>
      <c r="F8647" s="491">
        <v>0</v>
      </c>
      <c r="G8647" s="491">
        <f t="shared" si="135"/>
        <v>2</v>
      </c>
    </row>
    <row r="8648" spans="1:7" ht="12.75">
      <c r="A8648" s="134" t="s">
        <v>994</v>
      </c>
      <c r="B8648" s="134">
        <v>290</v>
      </c>
      <c r="C8648" s="491">
        <v>1</v>
      </c>
      <c r="D8648" s="491">
        <v>0</v>
      </c>
      <c r="E8648" s="491">
        <v>0</v>
      </c>
      <c r="F8648" s="491">
        <v>0</v>
      </c>
      <c r="G8648" s="491">
        <f t="shared" si="135"/>
        <v>1</v>
      </c>
    </row>
    <row r="8649" spans="1:7" ht="12.75">
      <c r="A8649" s="134" t="s">
        <v>994</v>
      </c>
      <c r="B8649" s="134">
        <v>420</v>
      </c>
      <c r="C8649" s="491">
        <v>4</v>
      </c>
      <c r="D8649" s="491">
        <v>50</v>
      </c>
      <c r="E8649" s="491">
        <v>0</v>
      </c>
      <c r="F8649" s="491">
        <v>0</v>
      </c>
      <c r="G8649" s="491">
        <f t="shared" si="135"/>
        <v>54</v>
      </c>
    </row>
    <row r="8650" spans="1:7" ht="12.75">
      <c r="A8650" s="134" t="s">
        <v>994</v>
      </c>
      <c r="B8650" s="134">
        <v>812</v>
      </c>
      <c r="C8650" s="491">
        <v>0</v>
      </c>
      <c r="D8650" s="491">
        <v>2</v>
      </c>
      <c r="E8650" s="491">
        <v>0</v>
      </c>
      <c r="F8650" s="491">
        <v>0</v>
      </c>
      <c r="G8650" s="491">
        <f t="shared" si="135"/>
        <v>2</v>
      </c>
    </row>
    <row r="8651" spans="1:7" ht="12.75">
      <c r="A8651" s="134" t="s">
        <v>995</v>
      </c>
      <c r="B8651" s="134">
        <v>100</v>
      </c>
      <c r="C8651" s="491">
        <v>1</v>
      </c>
      <c r="D8651" s="491">
        <v>0</v>
      </c>
      <c r="E8651" s="491">
        <v>0</v>
      </c>
      <c r="F8651" s="491">
        <v>0</v>
      </c>
      <c r="G8651" s="491">
        <f t="shared" si="135"/>
        <v>1</v>
      </c>
    </row>
    <row r="8652" spans="1:7" ht="12.75">
      <c r="A8652" s="134" t="s">
        <v>995</v>
      </c>
      <c r="B8652" s="134">
        <v>101</v>
      </c>
      <c r="C8652" s="491">
        <v>1</v>
      </c>
      <c r="D8652" s="491">
        <v>0</v>
      </c>
      <c r="E8652" s="491">
        <v>0</v>
      </c>
      <c r="F8652" s="491">
        <v>0</v>
      </c>
      <c r="G8652" s="491">
        <f t="shared" si="135"/>
        <v>1</v>
      </c>
    </row>
    <row r="8653" spans="1:7" ht="12.75">
      <c r="A8653" s="134" t="s">
        <v>995</v>
      </c>
      <c r="B8653" s="134">
        <v>103</v>
      </c>
      <c r="C8653" s="491">
        <v>3</v>
      </c>
      <c r="D8653" s="491">
        <v>0</v>
      </c>
      <c r="E8653" s="491">
        <v>0</v>
      </c>
      <c r="F8653" s="491">
        <v>0</v>
      </c>
      <c r="G8653" s="491">
        <f t="shared" ref="G8653:G8716" si="136">SUM(C8653:F8653)</f>
        <v>3</v>
      </c>
    </row>
    <row r="8654" spans="1:7" ht="12.75">
      <c r="A8654" s="134" t="s">
        <v>995</v>
      </c>
      <c r="B8654" s="134">
        <v>104</v>
      </c>
      <c r="C8654" s="491">
        <v>6</v>
      </c>
      <c r="D8654" s="491">
        <v>1</v>
      </c>
      <c r="E8654" s="491">
        <v>0</v>
      </c>
      <c r="F8654" s="491">
        <v>0</v>
      </c>
      <c r="G8654" s="491">
        <f t="shared" si="136"/>
        <v>7</v>
      </c>
    </row>
    <row r="8655" spans="1:7" ht="12.75">
      <c r="A8655" s="134" t="s">
        <v>995</v>
      </c>
      <c r="B8655" s="134">
        <v>107</v>
      </c>
      <c r="C8655" s="491">
        <v>3</v>
      </c>
      <c r="D8655" s="491">
        <v>101</v>
      </c>
      <c r="E8655" s="491">
        <v>0</v>
      </c>
      <c r="F8655" s="491">
        <v>0</v>
      </c>
      <c r="G8655" s="491">
        <f t="shared" si="136"/>
        <v>104</v>
      </c>
    </row>
    <row r="8656" spans="1:7" ht="12.75">
      <c r="A8656" s="134" t="s">
        <v>995</v>
      </c>
      <c r="B8656" s="134">
        <v>110</v>
      </c>
      <c r="C8656" s="491">
        <v>15</v>
      </c>
      <c r="D8656" s="491">
        <v>7</v>
      </c>
      <c r="E8656" s="491">
        <v>0</v>
      </c>
      <c r="F8656" s="491">
        <v>0</v>
      </c>
      <c r="G8656" s="491">
        <f t="shared" si="136"/>
        <v>22</v>
      </c>
    </row>
    <row r="8657" spans="1:7" ht="12.75">
      <c r="A8657" s="134" t="s">
        <v>995</v>
      </c>
      <c r="B8657" s="134">
        <v>120</v>
      </c>
      <c r="C8657" s="491">
        <v>1</v>
      </c>
      <c r="D8657" s="491">
        <v>1</v>
      </c>
      <c r="E8657" s="491">
        <v>0</v>
      </c>
      <c r="F8657" s="491">
        <v>0</v>
      </c>
      <c r="G8657" s="491">
        <f t="shared" si="136"/>
        <v>2</v>
      </c>
    </row>
    <row r="8658" spans="1:7" ht="12.75">
      <c r="A8658" s="134" t="s">
        <v>995</v>
      </c>
      <c r="B8658" s="134">
        <v>130</v>
      </c>
      <c r="C8658" s="491">
        <v>1</v>
      </c>
      <c r="D8658" s="491">
        <v>2</v>
      </c>
      <c r="E8658" s="491">
        <v>0</v>
      </c>
      <c r="F8658" s="491">
        <v>0</v>
      </c>
      <c r="G8658" s="491">
        <f t="shared" si="136"/>
        <v>3</v>
      </c>
    </row>
    <row r="8659" spans="1:7" ht="12.75">
      <c r="A8659" s="134" t="s">
        <v>995</v>
      </c>
      <c r="B8659" s="134">
        <v>160</v>
      </c>
      <c r="C8659" s="491">
        <v>1</v>
      </c>
      <c r="D8659" s="491">
        <v>0</v>
      </c>
      <c r="E8659" s="491">
        <v>0</v>
      </c>
      <c r="F8659" s="491">
        <v>0</v>
      </c>
      <c r="G8659" s="491">
        <f t="shared" si="136"/>
        <v>1</v>
      </c>
    </row>
    <row r="8660" spans="1:7" ht="12.75">
      <c r="A8660" s="134" t="s">
        <v>995</v>
      </c>
      <c r="B8660" s="134">
        <v>190</v>
      </c>
      <c r="C8660" s="491">
        <v>1</v>
      </c>
      <c r="D8660" s="491">
        <v>0</v>
      </c>
      <c r="E8660" s="491">
        <v>0</v>
      </c>
      <c r="F8660" s="491">
        <v>0</v>
      </c>
      <c r="G8660" s="491">
        <f t="shared" si="136"/>
        <v>1</v>
      </c>
    </row>
    <row r="8661" spans="1:7" ht="12.75">
      <c r="A8661" s="134" t="s">
        <v>995</v>
      </c>
      <c r="B8661" s="134">
        <v>191</v>
      </c>
      <c r="C8661" s="491">
        <v>392</v>
      </c>
      <c r="D8661" s="491">
        <v>23</v>
      </c>
      <c r="E8661" s="491">
        <v>7</v>
      </c>
      <c r="F8661" s="491">
        <v>43</v>
      </c>
      <c r="G8661" s="491">
        <f t="shared" si="136"/>
        <v>465</v>
      </c>
    </row>
    <row r="8662" spans="1:7" ht="12.75">
      <c r="A8662" s="134" t="s">
        <v>995</v>
      </c>
      <c r="B8662" s="134">
        <v>260</v>
      </c>
      <c r="C8662" s="491">
        <v>1</v>
      </c>
      <c r="D8662" s="491">
        <v>0</v>
      </c>
      <c r="E8662" s="491">
        <v>0</v>
      </c>
      <c r="F8662" s="491">
        <v>0</v>
      </c>
      <c r="G8662" s="491">
        <f t="shared" si="136"/>
        <v>1</v>
      </c>
    </row>
    <row r="8663" spans="1:7" ht="12.75">
      <c r="A8663" s="134" t="s">
        <v>995</v>
      </c>
      <c r="B8663" s="134">
        <v>300</v>
      </c>
      <c r="C8663" s="491">
        <v>16</v>
      </c>
      <c r="D8663" s="491">
        <v>20</v>
      </c>
      <c r="E8663" s="491">
        <v>2</v>
      </c>
      <c r="F8663" s="491">
        <v>1</v>
      </c>
      <c r="G8663" s="491">
        <f t="shared" si="136"/>
        <v>39</v>
      </c>
    </row>
    <row r="8664" spans="1:7" ht="12.75">
      <c r="A8664" s="134" t="s">
        <v>995</v>
      </c>
      <c r="B8664" s="134">
        <v>301</v>
      </c>
      <c r="C8664" s="491">
        <v>2</v>
      </c>
      <c r="D8664" s="491">
        <v>7</v>
      </c>
      <c r="E8664" s="491">
        <v>0</v>
      </c>
      <c r="F8664" s="491">
        <v>0</v>
      </c>
      <c r="G8664" s="491">
        <f t="shared" si="136"/>
        <v>9</v>
      </c>
    </row>
    <row r="8665" spans="1:7" ht="12.75">
      <c r="A8665" s="134" t="s">
        <v>995</v>
      </c>
      <c r="B8665" s="134">
        <v>303</v>
      </c>
      <c r="C8665" s="491">
        <v>54</v>
      </c>
      <c r="D8665" s="491">
        <v>9</v>
      </c>
      <c r="E8665" s="491">
        <v>4</v>
      </c>
      <c r="F8665" s="491">
        <v>0</v>
      </c>
      <c r="G8665" s="491">
        <f t="shared" si="136"/>
        <v>67</v>
      </c>
    </row>
    <row r="8666" spans="1:7" ht="12.75">
      <c r="A8666" s="134" t="s">
        <v>995</v>
      </c>
      <c r="B8666" s="134">
        <v>305</v>
      </c>
      <c r="C8666" s="491">
        <v>1</v>
      </c>
      <c r="D8666" s="491">
        <v>0</v>
      </c>
      <c r="E8666" s="491">
        <v>0</v>
      </c>
      <c r="F8666" s="491">
        <v>0</v>
      </c>
      <c r="G8666" s="491">
        <f t="shared" si="136"/>
        <v>1</v>
      </c>
    </row>
    <row r="8667" spans="1:7" ht="12.75">
      <c r="A8667" s="134" t="s">
        <v>995</v>
      </c>
      <c r="B8667" s="134">
        <v>307</v>
      </c>
      <c r="C8667" s="491">
        <v>2</v>
      </c>
      <c r="D8667" s="491">
        <v>7</v>
      </c>
      <c r="E8667" s="491">
        <v>0</v>
      </c>
      <c r="F8667" s="491">
        <v>0</v>
      </c>
      <c r="G8667" s="491">
        <f t="shared" si="136"/>
        <v>9</v>
      </c>
    </row>
    <row r="8668" spans="1:7" ht="12.75">
      <c r="A8668" s="134" t="s">
        <v>995</v>
      </c>
      <c r="B8668" s="134">
        <v>313</v>
      </c>
      <c r="C8668" s="491">
        <v>4</v>
      </c>
      <c r="D8668" s="491">
        <v>1</v>
      </c>
      <c r="E8668" s="491">
        <v>0</v>
      </c>
      <c r="F8668" s="491">
        <v>0</v>
      </c>
      <c r="G8668" s="491">
        <f t="shared" si="136"/>
        <v>5</v>
      </c>
    </row>
    <row r="8669" spans="1:7" ht="12.75">
      <c r="A8669" s="134" t="s">
        <v>995</v>
      </c>
      <c r="B8669" s="134">
        <v>315</v>
      </c>
      <c r="C8669" s="491">
        <v>3</v>
      </c>
      <c r="D8669" s="491">
        <v>0</v>
      </c>
      <c r="E8669" s="491">
        <v>0</v>
      </c>
      <c r="F8669" s="491">
        <v>0</v>
      </c>
      <c r="G8669" s="491">
        <f t="shared" si="136"/>
        <v>3</v>
      </c>
    </row>
    <row r="8670" spans="1:7" ht="12.75">
      <c r="A8670" s="134" t="s">
        <v>995</v>
      </c>
      <c r="B8670" s="134">
        <v>320</v>
      </c>
      <c r="C8670" s="491">
        <v>9</v>
      </c>
      <c r="D8670" s="491">
        <v>14</v>
      </c>
      <c r="E8670" s="491">
        <v>0</v>
      </c>
      <c r="F8670" s="491">
        <v>0</v>
      </c>
      <c r="G8670" s="491">
        <f t="shared" si="136"/>
        <v>23</v>
      </c>
    </row>
    <row r="8671" spans="1:7" ht="12.75">
      <c r="A8671" s="134" t="s">
        <v>995</v>
      </c>
      <c r="B8671" s="134">
        <v>330</v>
      </c>
      <c r="C8671" s="491">
        <v>2</v>
      </c>
      <c r="D8671" s="491">
        <v>3</v>
      </c>
      <c r="E8671" s="491">
        <v>0</v>
      </c>
      <c r="F8671" s="491">
        <v>0</v>
      </c>
      <c r="G8671" s="491">
        <f t="shared" si="136"/>
        <v>5</v>
      </c>
    </row>
    <row r="8672" spans="1:7" ht="12.75">
      <c r="A8672" s="134" t="s">
        <v>995</v>
      </c>
      <c r="B8672" s="134">
        <v>340</v>
      </c>
      <c r="C8672" s="491">
        <v>116</v>
      </c>
      <c r="D8672" s="491">
        <v>5</v>
      </c>
      <c r="E8672" s="491">
        <v>0</v>
      </c>
      <c r="F8672" s="491">
        <v>0</v>
      </c>
      <c r="G8672" s="491">
        <f t="shared" si="136"/>
        <v>121</v>
      </c>
    </row>
    <row r="8673" spans="1:7" ht="12.75">
      <c r="A8673" s="134" t="s">
        <v>995</v>
      </c>
      <c r="B8673" s="134">
        <v>343</v>
      </c>
      <c r="C8673" s="491">
        <v>42</v>
      </c>
      <c r="D8673" s="491">
        <v>0</v>
      </c>
      <c r="E8673" s="491">
        <v>1</v>
      </c>
      <c r="F8673" s="491">
        <v>0</v>
      </c>
      <c r="G8673" s="491">
        <f t="shared" si="136"/>
        <v>43</v>
      </c>
    </row>
    <row r="8674" spans="1:7" ht="12.75">
      <c r="A8674" s="134" t="s">
        <v>995</v>
      </c>
      <c r="B8674" s="134">
        <v>350</v>
      </c>
      <c r="C8674" s="491">
        <v>8</v>
      </c>
      <c r="D8674" s="491">
        <v>2</v>
      </c>
      <c r="E8674" s="491">
        <v>0</v>
      </c>
      <c r="F8674" s="491">
        <v>1</v>
      </c>
      <c r="G8674" s="491">
        <f t="shared" si="136"/>
        <v>11</v>
      </c>
    </row>
    <row r="8675" spans="1:7" ht="12.75">
      <c r="A8675" s="134" t="s">
        <v>995</v>
      </c>
      <c r="B8675" s="134">
        <v>361</v>
      </c>
      <c r="C8675" s="491">
        <v>4</v>
      </c>
      <c r="D8675" s="491">
        <v>0</v>
      </c>
      <c r="E8675" s="491">
        <v>0</v>
      </c>
      <c r="F8675" s="491">
        <v>0</v>
      </c>
      <c r="G8675" s="491">
        <f t="shared" si="136"/>
        <v>4</v>
      </c>
    </row>
    <row r="8676" spans="1:7" ht="12.75">
      <c r="A8676" s="134" t="s">
        <v>995</v>
      </c>
      <c r="B8676" s="134">
        <v>370</v>
      </c>
      <c r="C8676" s="491">
        <v>1185</v>
      </c>
      <c r="D8676" s="491">
        <v>152</v>
      </c>
      <c r="E8676" s="491">
        <v>4</v>
      </c>
      <c r="F8676" s="491">
        <v>0</v>
      </c>
      <c r="G8676" s="491">
        <f t="shared" si="136"/>
        <v>1341</v>
      </c>
    </row>
    <row r="8677" spans="1:7" ht="12.75">
      <c r="A8677" s="134" t="s">
        <v>995</v>
      </c>
      <c r="B8677" s="134">
        <v>410</v>
      </c>
      <c r="C8677" s="491">
        <v>3</v>
      </c>
      <c r="D8677" s="491">
        <v>0</v>
      </c>
      <c r="E8677" s="491">
        <v>0</v>
      </c>
      <c r="F8677" s="491">
        <v>0</v>
      </c>
      <c r="G8677" s="491">
        <f t="shared" si="136"/>
        <v>3</v>
      </c>
    </row>
    <row r="8678" spans="1:7" ht="12.75">
      <c r="A8678" s="134" t="s">
        <v>995</v>
      </c>
      <c r="B8678" s="134">
        <v>430</v>
      </c>
      <c r="C8678" s="491">
        <v>1</v>
      </c>
      <c r="D8678" s="491">
        <v>0</v>
      </c>
      <c r="E8678" s="491">
        <v>0</v>
      </c>
      <c r="F8678" s="491">
        <v>0</v>
      </c>
      <c r="G8678" s="491">
        <f t="shared" si="136"/>
        <v>1</v>
      </c>
    </row>
    <row r="8679" spans="1:7" ht="12.75">
      <c r="A8679" s="134" t="s">
        <v>995</v>
      </c>
      <c r="B8679" s="134">
        <v>503</v>
      </c>
      <c r="C8679" s="491">
        <v>0</v>
      </c>
      <c r="D8679" s="491">
        <v>1</v>
      </c>
      <c r="E8679" s="491">
        <v>0</v>
      </c>
      <c r="F8679" s="491">
        <v>0</v>
      </c>
      <c r="G8679" s="491">
        <f t="shared" si="136"/>
        <v>1</v>
      </c>
    </row>
    <row r="8680" spans="1:7" ht="12.75">
      <c r="A8680" s="134" t="s">
        <v>995</v>
      </c>
      <c r="B8680" s="134">
        <v>656</v>
      </c>
      <c r="C8680" s="491">
        <v>2</v>
      </c>
      <c r="D8680" s="491">
        <v>0</v>
      </c>
      <c r="E8680" s="491">
        <v>0</v>
      </c>
      <c r="F8680" s="491">
        <v>0</v>
      </c>
      <c r="G8680" s="491">
        <f t="shared" si="136"/>
        <v>2</v>
      </c>
    </row>
    <row r="8681" spans="1:7" ht="12.75">
      <c r="A8681" s="134" t="s">
        <v>995</v>
      </c>
      <c r="B8681" s="134">
        <v>658</v>
      </c>
      <c r="C8681" s="491">
        <v>0</v>
      </c>
      <c r="D8681" s="491">
        <v>1</v>
      </c>
      <c r="E8681" s="491">
        <v>0</v>
      </c>
      <c r="F8681" s="491">
        <v>0</v>
      </c>
      <c r="G8681" s="491">
        <f t="shared" si="136"/>
        <v>1</v>
      </c>
    </row>
    <row r="8682" spans="1:7" ht="12.75">
      <c r="A8682" s="134" t="s">
        <v>995</v>
      </c>
      <c r="B8682" s="134">
        <v>800</v>
      </c>
      <c r="C8682" s="491">
        <v>307</v>
      </c>
      <c r="D8682" s="491">
        <v>73</v>
      </c>
      <c r="E8682" s="491">
        <v>0</v>
      </c>
      <c r="F8682" s="491">
        <v>0</v>
      </c>
      <c r="G8682" s="491">
        <f t="shared" si="136"/>
        <v>380</v>
      </c>
    </row>
    <row r="8683" spans="1:7" ht="12.75">
      <c r="A8683" s="134" t="s">
        <v>995</v>
      </c>
      <c r="B8683" s="134">
        <v>811</v>
      </c>
      <c r="C8683" s="491">
        <v>0</v>
      </c>
      <c r="D8683" s="491">
        <v>0</v>
      </c>
      <c r="E8683" s="491">
        <v>0</v>
      </c>
      <c r="F8683" s="491">
        <v>1</v>
      </c>
      <c r="G8683" s="491">
        <f t="shared" si="136"/>
        <v>1</v>
      </c>
    </row>
    <row r="8684" spans="1:7" ht="12.75">
      <c r="A8684" s="134" t="s">
        <v>995</v>
      </c>
      <c r="B8684" s="134">
        <v>812</v>
      </c>
      <c r="C8684" s="491">
        <v>83</v>
      </c>
      <c r="D8684" s="491">
        <v>371</v>
      </c>
      <c r="E8684" s="491">
        <v>0</v>
      </c>
      <c r="F8684" s="491">
        <v>3</v>
      </c>
      <c r="G8684" s="491">
        <f t="shared" si="136"/>
        <v>457</v>
      </c>
    </row>
    <row r="8685" spans="1:7" ht="12.75">
      <c r="A8685" s="134" t="s">
        <v>996</v>
      </c>
      <c r="B8685" s="134">
        <v>191</v>
      </c>
      <c r="C8685" s="491">
        <v>5</v>
      </c>
      <c r="D8685" s="491">
        <v>0</v>
      </c>
      <c r="E8685" s="491">
        <v>0</v>
      </c>
      <c r="F8685" s="491">
        <v>0</v>
      </c>
      <c r="G8685" s="491">
        <f t="shared" si="136"/>
        <v>5</v>
      </c>
    </row>
    <row r="8686" spans="1:7" ht="12.75">
      <c r="A8686" s="134" t="s">
        <v>996</v>
      </c>
      <c r="B8686" s="134">
        <v>252</v>
      </c>
      <c r="C8686" s="491">
        <v>0</v>
      </c>
      <c r="D8686" s="491">
        <v>1</v>
      </c>
      <c r="E8686" s="491">
        <v>0</v>
      </c>
      <c r="F8686" s="491">
        <v>0</v>
      </c>
      <c r="G8686" s="491">
        <f t="shared" si="136"/>
        <v>1</v>
      </c>
    </row>
    <row r="8687" spans="1:7" ht="12.75">
      <c r="A8687" s="134" t="s">
        <v>996</v>
      </c>
      <c r="B8687" s="134">
        <v>260</v>
      </c>
      <c r="C8687" s="491">
        <v>1</v>
      </c>
      <c r="D8687" s="491">
        <v>2</v>
      </c>
      <c r="E8687" s="491">
        <v>0</v>
      </c>
      <c r="F8687" s="491">
        <v>0</v>
      </c>
      <c r="G8687" s="491">
        <f t="shared" si="136"/>
        <v>3</v>
      </c>
    </row>
    <row r="8688" spans="1:7" ht="12.75">
      <c r="A8688" s="134" t="s">
        <v>996</v>
      </c>
      <c r="B8688" s="134">
        <v>303</v>
      </c>
      <c r="C8688" s="491">
        <v>0</v>
      </c>
      <c r="D8688" s="491">
        <v>1</v>
      </c>
      <c r="E8688" s="491">
        <v>0</v>
      </c>
      <c r="F8688" s="491">
        <v>0</v>
      </c>
      <c r="G8688" s="491">
        <f t="shared" si="136"/>
        <v>1</v>
      </c>
    </row>
    <row r="8689" spans="1:7" ht="12.75">
      <c r="A8689" s="134" t="s">
        <v>996</v>
      </c>
      <c r="B8689" s="134">
        <v>323</v>
      </c>
      <c r="C8689" s="491">
        <v>1</v>
      </c>
      <c r="D8689" s="491">
        <v>0</v>
      </c>
      <c r="E8689" s="491">
        <v>0</v>
      </c>
      <c r="F8689" s="491">
        <v>0</v>
      </c>
      <c r="G8689" s="491">
        <f t="shared" si="136"/>
        <v>1</v>
      </c>
    </row>
    <row r="8690" spans="1:7" ht="12.75">
      <c r="A8690" s="134" t="s">
        <v>996</v>
      </c>
      <c r="B8690" s="134">
        <v>343</v>
      </c>
      <c r="C8690" s="491">
        <v>3</v>
      </c>
      <c r="D8690" s="491">
        <v>0</v>
      </c>
      <c r="E8690" s="491">
        <v>0</v>
      </c>
      <c r="F8690" s="491">
        <v>0</v>
      </c>
      <c r="G8690" s="491">
        <f t="shared" si="136"/>
        <v>3</v>
      </c>
    </row>
    <row r="8691" spans="1:7" ht="12.75">
      <c r="A8691" s="134" t="s">
        <v>996</v>
      </c>
      <c r="B8691" s="134">
        <v>370</v>
      </c>
      <c r="C8691" s="491">
        <v>1</v>
      </c>
      <c r="D8691" s="491">
        <v>0</v>
      </c>
      <c r="E8691" s="491">
        <v>0</v>
      </c>
      <c r="F8691" s="491">
        <v>0</v>
      </c>
      <c r="G8691" s="491">
        <f t="shared" si="136"/>
        <v>1</v>
      </c>
    </row>
    <row r="8692" spans="1:7" ht="12.75">
      <c r="A8692" s="134" t="s">
        <v>996</v>
      </c>
      <c r="B8692" s="134">
        <v>420</v>
      </c>
      <c r="C8692" s="491">
        <v>1</v>
      </c>
      <c r="D8692" s="491">
        <v>0</v>
      </c>
      <c r="E8692" s="491">
        <v>0</v>
      </c>
      <c r="F8692" s="491">
        <v>0</v>
      </c>
      <c r="G8692" s="491">
        <f t="shared" si="136"/>
        <v>1</v>
      </c>
    </row>
    <row r="8693" spans="1:7" ht="12.75">
      <c r="A8693" s="134" t="s">
        <v>996</v>
      </c>
      <c r="B8693" s="134">
        <v>812</v>
      </c>
      <c r="C8693" s="491">
        <v>1</v>
      </c>
      <c r="D8693" s="491">
        <v>6</v>
      </c>
      <c r="E8693" s="491">
        <v>0</v>
      </c>
      <c r="F8693" s="491">
        <v>0</v>
      </c>
      <c r="G8693" s="491">
        <f t="shared" si="136"/>
        <v>7</v>
      </c>
    </row>
    <row r="8694" spans="1:7" ht="12.75">
      <c r="A8694" s="134" t="s">
        <v>997</v>
      </c>
      <c r="B8694" s="134">
        <v>100</v>
      </c>
      <c r="C8694" s="491">
        <v>20</v>
      </c>
      <c r="D8694" s="491">
        <v>1</v>
      </c>
      <c r="E8694" s="491">
        <v>3</v>
      </c>
      <c r="F8694" s="491">
        <v>1</v>
      </c>
      <c r="G8694" s="491">
        <f t="shared" si="136"/>
        <v>25</v>
      </c>
    </row>
    <row r="8695" spans="1:7" ht="12.75">
      <c r="A8695" s="134" t="s">
        <v>997</v>
      </c>
      <c r="B8695" s="134">
        <v>101</v>
      </c>
      <c r="C8695" s="491">
        <v>6</v>
      </c>
      <c r="D8695" s="491">
        <v>1</v>
      </c>
      <c r="E8695" s="491">
        <v>0</v>
      </c>
      <c r="F8695" s="491">
        <v>0</v>
      </c>
      <c r="G8695" s="491">
        <f t="shared" si="136"/>
        <v>7</v>
      </c>
    </row>
    <row r="8696" spans="1:7" ht="12.75">
      <c r="A8696" s="134" t="s">
        <v>997</v>
      </c>
      <c r="B8696" s="134">
        <v>102</v>
      </c>
      <c r="C8696" s="491">
        <v>0</v>
      </c>
      <c r="D8696" s="491">
        <v>1</v>
      </c>
      <c r="E8696" s="491">
        <v>0</v>
      </c>
      <c r="F8696" s="491">
        <v>0</v>
      </c>
      <c r="G8696" s="491">
        <f t="shared" si="136"/>
        <v>1</v>
      </c>
    </row>
    <row r="8697" spans="1:7" ht="12.75">
      <c r="A8697" s="134" t="s">
        <v>997</v>
      </c>
      <c r="B8697" s="134">
        <v>103</v>
      </c>
      <c r="C8697" s="491">
        <v>23</v>
      </c>
      <c r="D8697" s="491">
        <v>0</v>
      </c>
      <c r="E8697" s="491">
        <v>0</v>
      </c>
      <c r="F8697" s="491">
        <v>0</v>
      </c>
      <c r="G8697" s="491">
        <f t="shared" si="136"/>
        <v>23</v>
      </c>
    </row>
    <row r="8698" spans="1:7" ht="12.75">
      <c r="A8698" s="134" t="s">
        <v>997</v>
      </c>
      <c r="B8698" s="134">
        <v>104</v>
      </c>
      <c r="C8698" s="491">
        <v>7</v>
      </c>
      <c r="D8698" s="491">
        <v>0</v>
      </c>
      <c r="E8698" s="491">
        <v>0</v>
      </c>
      <c r="F8698" s="491">
        <v>0</v>
      </c>
      <c r="G8698" s="491">
        <f t="shared" si="136"/>
        <v>7</v>
      </c>
    </row>
    <row r="8699" spans="1:7" ht="12.75">
      <c r="A8699" s="134" t="s">
        <v>997</v>
      </c>
      <c r="B8699" s="134">
        <v>107</v>
      </c>
      <c r="C8699" s="491">
        <v>0</v>
      </c>
      <c r="D8699" s="491">
        <v>2</v>
      </c>
      <c r="E8699" s="491">
        <v>0</v>
      </c>
      <c r="F8699" s="491">
        <v>0</v>
      </c>
      <c r="G8699" s="491">
        <f t="shared" si="136"/>
        <v>2</v>
      </c>
    </row>
    <row r="8700" spans="1:7" ht="12.75">
      <c r="A8700" s="134" t="s">
        <v>997</v>
      </c>
      <c r="B8700" s="134">
        <v>108</v>
      </c>
      <c r="C8700" s="491">
        <v>1</v>
      </c>
      <c r="D8700" s="491">
        <v>0</v>
      </c>
      <c r="E8700" s="491">
        <v>0</v>
      </c>
      <c r="F8700" s="491">
        <v>0</v>
      </c>
      <c r="G8700" s="491">
        <f t="shared" si="136"/>
        <v>1</v>
      </c>
    </row>
    <row r="8701" spans="1:7" ht="12.75">
      <c r="A8701" s="134" t="s">
        <v>997</v>
      </c>
      <c r="B8701" s="134">
        <v>110</v>
      </c>
      <c r="C8701" s="491">
        <v>16</v>
      </c>
      <c r="D8701" s="491">
        <v>2</v>
      </c>
      <c r="E8701" s="491">
        <v>0</v>
      </c>
      <c r="F8701" s="491">
        <v>1</v>
      </c>
      <c r="G8701" s="491">
        <f t="shared" si="136"/>
        <v>19</v>
      </c>
    </row>
    <row r="8702" spans="1:7" ht="12.75">
      <c r="A8702" s="134" t="s">
        <v>997</v>
      </c>
      <c r="B8702" s="134">
        <v>120</v>
      </c>
      <c r="C8702" s="491">
        <v>3</v>
      </c>
      <c r="D8702" s="491">
        <v>7</v>
      </c>
      <c r="E8702" s="491">
        <v>0</v>
      </c>
      <c r="F8702" s="491">
        <v>0</v>
      </c>
      <c r="G8702" s="491">
        <f t="shared" si="136"/>
        <v>10</v>
      </c>
    </row>
    <row r="8703" spans="1:7" ht="12.75">
      <c r="A8703" s="134" t="s">
        <v>997</v>
      </c>
      <c r="B8703" s="134">
        <v>130</v>
      </c>
      <c r="C8703" s="491">
        <v>1</v>
      </c>
      <c r="D8703" s="491">
        <v>0</v>
      </c>
      <c r="E8703" s="491">
        <v>0</v>
      </c>
      <c r="F8703" s="491">
        <v>0</v>
      </c>
      <c r="G8703" s="491">
        <f t="shared" si="136"/>
        <v>1</v>
      </c>
    </row>
    <row r="8704" spans="1:7" ht="12.75">
      <c r="A8704" s="134" t="s">
        <v>997</v>
      </c>
      <c r="B8704" s="134">
        <v>140</v>
      </c>
      <c r="C8704" s="491">
        <v>2</v>
      </c>
      <c r="D8704" s="491">
        <v>0</v>
      </c>
      <c r="E8704" s="491">
        <v>0</v>
      </c>
      <c r="F8704" s="491">
        <v>0</v>
      </c>
      <c r="G8704" s="491">
        <f t="shared" si="136"/>
        <v>2</v>
      </c>
    </row>
    <row r="8705" spans="1:7" ht="12.75">
      <c r="A8705" s="134" t="s">
        <v>997</v>
      </c>
      <c r="B8705" s="134">
        <v>143</v>
      </c>
      <c r="C8705" s="491">
        <v>1</v>
      </c>
      <c r="D8705" s="491">
        <v>0</v>
      </c>
      <c r="E8705" s="491">
        <v>0</v>
      </c>
      <c r="F8705" s="491">
        <v>0</v>
      </c>
      <c r="G8705" s="491">
        <f t="shared" si="136"/>
        <v>1</v>
      </c>
    </row>
    <row r="8706" spans="1:7" ht="12.75">
      <c r="A8706" s="134" t="s">
        <v>997</v>
      </c>
      <c r="B8706" s="134">
        <v>160</v>
      </c>
      <c r="C8706" s="491">
        <v>3</v>
      </c>
      <c r="D8706" s="491">
        <v>1</v>
      </c>
      <c r="E8706" s="491">
        <v>0</v>
      </c>
      <c r="F8706" s="491">
        <v>0</v>
      </c>
      <c r="G8706" s="491">
        <f t="shared" si="136"/>
        <v>4</v>
      </c>
    </row>
    <row r="8707" spans="1:7" ht="12.75">
      <c r="A8707" s="134" t="s">
        <v>997</v>
      </c>
      <c r="B8707" s="134">
        <v>191</v>
      </c>
      <c r="C8707" s="491">
        <v>15</v>
      </c>
      <c r="D8707" s="491">
        <v>2</v>
      </c>
      <c r="E8707" s="491">
        <v>0</v>
      </c>
      <c r="F8707" s="491">
        <v>0</v>
      </c>
      <c r="G8707" s="491">
        <f t="shared" si="136"/>
        <v>17</v>
      </c>
    </row>
    <row r="8708" spans="1:7" ht="12.75">
      <c r="A8708" s="134" t="s">
        <v>997</v>
      </c>
      <c r="B8708" s="134">
        <v>260</v>
      </c>
      <c r="C8708" s="491">
        <v>8</v>
      </c>
      <c r="D8708" s="491">
        <v>0</v>
      </c>
      <c r="E8708" s="491">
        <v>0</v>
      </c>
      <c r="F8708" s="491">
        <v>0</v>
      </c>
      <c r="G8708" s="491">
        <f t="shared" si="136"/>
        <v>8</v>
      </c>
    </row>
    <row r="8709" spans="1:7" ht="12.75">
      <c r="A8709" s="134" t="s">
        <v>997</v>
      </c>
      <c r="B8709" s="134">
        <v>290</v>
      </c>
      <c r="C8709" s="491">
        <v>25</v>
      </c>
      <c r="D8709" s="491">
        <v>1</v>
      </c>
      <c r="E8709" s="491">
        <v>0</v>
      </c>
      <c r="F8709" s="491">
        <v>0</v>
      </c>
      <c r="G8709" s="491">
        <f t="shared" si="136"/>
        <v>26</v>
      </c>
    </row>
    <row r="8710" spans="1:7" ht="12.75">
      <c r="A8710" s="134" t="s">
        <v>997</v>
      </c>
      <c r="B8710" s="134">
        <v>300</v>
      </c>
      <c r="C8710" s="491">
        <v>300</v>
      </c>
      <c r="D8710" s="491">
        <v>53</v>
      </c>
      <c r="E8710" s="491">
        <v>3</v>
      </c>
      <c r="F8710" s="491">
        <v>0</v>
      </c>
      <c r="G8710" s="491">
        <f t="shared" si="136"/>
        <v>356</v>
      </c>
    </row>
    <row r="8711" spans="1:7" ht="12.75">
      <c r="A8711" s="134" t="s">
        <v>997</v>
      </c>
      <c r="B8711" s="134">
        <v>301</v>
      </c>
      <c r="C8711" s="491">
        <v>87</v>
      </c>
      <c r="D8711" s="491">
        <v>5</v>
      </c>
      <c r="E8711" s="491">
        <v>40</v>
      </c>
      <c r="F8711" s="491">
        <v>1</v>
      </c>
      <c r="G8711" s="491">
        <f t="shared" si="136"/>
        <v>133</v>
      </c>
    </row>
    <row r="8712" spans="1:7" ht="12.75">
      <c r="A8712" s="134" t="s">
        <v>997</v>
      </c>
      <c r="B8712" s="134">
        <v>302</v>
      </c>
      <c r="C8712" s="491">
        <v>2</v>
      </c>
      <c r="D8712" s="491">
        <v>0</v>
      </c>
      <c r="E8712" s="491">
        <v>0</v>
      </c>
      <c r="F8712" s="491">
        <v>0</v>
      </c>
      <c r="G8712" s="491">
        <f t="shared" si="136"/>
        <v>2</v>
      </c>
    </row>
    <row r="8713" spans="1:7" ht="12.75">
      <c r="A8713" s="134" t="s">
        <v>997</v>
      </c>
      <c r="B8713" s="134">
        <v>303</v>
      </c>
      <c r="C8713" s="491">
        <v>3593</v>
      </c>
      <c r="D8713" s="491">
        <v>104</v>
      </c>
      <c r="E8713" s="491">
        <v>148</v>
      </c>
      <c r="F8713" s="491">
        <v>1</v>
      </c>
      <c r="G8713" s="491">
        <f t="shared" si="136"/>
        <v>3846</v>
      </c>
    </row>
    <row r="8714" spans="1:7" ht="12.75">
      <c r="A8714" s="134" t="s">
        <v>997</v>
      </c>
      <c r="B8714" s="134">
        <v>305</v>
      </c>
      <c r="C8714" s="491">
        <v>116</v>
      </c>
      <c r="D8714" s="491">
        <v>0</v>
      </c>
      <c r="E8714" s="491">
        <v>0</v>
      </c>
      <c r="F8714" s="491">
        <v>0</v>
      </c>
      <c r="G8714" s="491">
        <f t="shared" si="136"/>
        <v>116</v>
      </c>
    </row>
    <row r="8715" spans="1:7" ht="12.75">
      <c r="A8715" s="134" t="s">
        <v>997</v>
      </c>
      <c r="B8715" s="134">
        <v>307</v>
      </c>
      <c r="C8715" s="491">
        <v>2</v>
      </c>
      <c r="D8715" s="491">
        <v>0</v>
      </c>
      <c r="E8715" s="491">
        <v>1</v>
      </c>
      <c r="F8715" s="491">
        <v>0</v>
      </c>
      <c r="G8715" s="491">
        <f t="shared" si="136"/>
        <v>3</v>
      </c>
    </row>
    <row r="8716" spans="1:7" ht="12.75">
      <c r="A8716" s="134" t="s">
        <v>997</v>
      </c>
      <c r="B8716" s="134">
        <v>308</v>
      </c>
      <c r="C8716" s="491">
        <v>12</v>
      </c>
      <c r="D8716" s="491">
        <v>1</v>
      </c>
      <c r="E8716" s="491">
        <v>0</v>
      </c>
      <c r="F8716" s="491">
        <v>0</v>
      </c>
      <c r="G8716" s="491">
        <f t="shared" si="136"/>
        <v>13</v>
      </c>
    </row>
    <row r="8717" spans="1:7" ht="12.75">
      <c r="A8717" s="134" t="s">
        <v>997</v>
      </c>
      <c r="B8717" s="134">
        <v>309</v>
      </c>
      <c r="C8717" s="491">
        <v>0</v>
      </c>
      <c r="D8717" s="491">
        <v>0</v>
      </c>
      <c r="E8717" s="491">
        <v>5</v>
      </c>
      <c r="F8717" s="491">
        <v>0</v>
      </c>
      <c r="G8717" s="491">
        <f t="shared" ref="G8717:G8780" si="137">SUM(C8717:F8717)</f>
        <v>5</v>
      </c>
    </row>
    <row r="8718" spans="1:7" ht="12.75">
      <c r="A8718" s="134" t="s">
        <v>997</v>
      </c>
      <c r="B8718" s="134">
        <v>311</v>
      </c>
      <c r="C8718" s="491">
        <v>2</v>
      </c>
      <c r="D8718" s="491">
        <v>0</v>
      </c>
      <c r="E8718" s="491">
        <v>0</v>
      </c>
      <c r="F8718" s="491">
        <v>0</v>
      </c>
      <c r="G8718" s="491">
        <f t="shared" si="137"/>
        <v>2</v>
      </c>
    </row>
    <row r="8719" spans="1:7" ht="12.75">
      <c r="A8719" s="134" t="s">
        <v>997</v>
      </c>
      <c r="B8719" s="134">
        <v>313</v>
      </c>
      <c r="C8719" s="491">
        <v>2</v>
      </c>
      <c r="D8719" s="491">
        <v>0</v>
      </c>
      <c r="E8719" s="491">
        <v>0</v>
      </c>
      <c r="F8719" s="491">
        <v>0</v>
      </c>
      <c r="G8719" s="491">
        <f t="shared" si="137"/>
        <v>2</v>
      </c>
    </row>
    <row r="8720" spans="1:7" ht="12.75">
      <c r="A8720" s="134" t="s">
        <v>997</v>
      </c>
      <c r="B8720" s="134">
        <v>314</v>
      </c>
      <c r="C8720" s="491">
        <v>0</v>
      </c>
      <c r="D8720" s="491">
        <v>1</v>
      </c>
      <c r="E8720" s="491">
        <v>0</v>
      </c>
      <c r="F8720" s="491">
        <v>0</v>
      </c>
      <c r="G8720" s="491">
        <f t="shared" si="137"/>
        <v>1</v>
      </c>
    </row>
    <row r="8721" spans="1:7" ht="12.75">
      <c r="A8721" s="134" t="s">
        <v>997</v>
      </c>
      <c r="B8721" s="134">
        <v>315</v>
      </c>
      <c r="C8721" s="491">
        <v>9</v>
      </c>
      <c r="D8721" s="491">
        <v>0</v>
      </c>
      <c r="E8721" s="491">
        <v>0</v>
      </c>
      <c r="F8721" s="491">
        <v>0</v>
      </c>
      <c r="G8721" s="491">
        <f t="shared" si="137"/>
        <v>9</v>
      </c>
    </row>
    <row r="8722" spans="1:7" ht="12.75">
      <c r="A8722" s="134" t="s">
        <v>997</v>
      </c>
      <c r="B8722" s="134">
        <v>320</v>
      </c>
      <c r="C8722" s="491">
        <v>5</v>
      </c>
      <c r="D8722" s="491">
        <v>0</v>
      </c>
      <c r="E8722" s="491">
        <v>0</v>
      </c>
      <c r="F8722" s="491">
        <v>0</v>
      </c>
      <c r="G8722" s="491">
        <f t="shared" si="137"/>
        <v>5</v>
      </c>
    </row>
    <row r="8723" spans="1:7" ht="12.75">
      <c r="A8723" s="134" t="s">
        <v>997</v>
      </c>
      <c r="B8723" s="134">
        <v>330</v>
      </c>
      <c r="C8723" s="491">
        <v>4</v>
      </c>
      <c r="D8723" s="491">
        <v>1</v>
      </c>
      <c r="E8723" s="491">
        <v>0</v>
      </c>
      <c r="F8723" s="491">
        <v>0</v>
      </c>
      <c r="G8723" s="491">
        <f t="shared" si="137"/>
        <v>5</v>
      </c>
    </row>
    <row r="8724" spans="1:7" ht="12.75">
      <c r="A8724" s="134" t="s">
        <v>997</v>
      </c>
      <c r="B8724" s="134">
        <v>340</v>
      </c>
      <c r="C8724" s="491">
        <v>300</v>
      </c>
      <c r="D8724" s="491">
        <v>5</v>
      </c>
      <c r="E8724" s="491">
        <v>2</v>
      </c>
      <c r="F8724" s="491">
        <v>0</v>
      </c>
      <c r="G8724" s="491">
        <f t="shared" si="137"/>
        <v>307</v>
      </c>
    </row>
    <row r="8725" spans="1:7" ht="12.75">
      <c r="A8725" s="134" t="s">
        <v>997</v>
      </c>
      <c r="B8725" s="134">
        <v>341</v>
      </c>
      <c r="C8725" s="491">
        <v>27</v>
      </c>
      <c r="D8725" s="491">
        <v>0</v>
      </c>
      <c r="E8725" s="491">
        <v>0</v>
      </c>
      <c r="F8725" s="491">
        <v>0</v>
      </c>
      <c r="G8725" s="491">
        <f t="shared" si="137"/>
        <v>27</v>
      </c>
    </row>
    <row r="8726" spans="1:7" ht="12.75">
      <c r="A8726" s="134" t="s">
        <v>997</v>
      </c>
      <c r="B8726" s="134">
        <v>343</v>
      </c>
      <c r="C8726" s="491">
        <v>186</v>
      </c>
      <c r="D8726" s="491">
        <v>0</v>
      </c>
      <c r="E8726" s="491">
        <v>119</v>
      </c>
      <c r="F8726" s="491">
        <v>1</v>
      </c>
      <c r="G8726" s="491">
        <f t="shared" si="137"/>
        <v>306</v>
      </c>
    </row>
    <row r="8727" spans="1:7" ht="12.75">
      <c r="A8727" s="134" t="s">
        <v>997</v>
      </c>
      <c r="B8727" s="134">
        <v>350</v>
      </c>
      <c r="C8727" s="491">
        <v>54</v>
      </c>
      <c r="D8727" s="491">
        <v>32</v>
      </c>
      <c r="E8727" s="491">
        <v>2</v>
      </c>
      <c r="F8727" s="491">
        <v>2</v>
      </c>
      <c r="G8727" s="491">
        <f t="shared" si="137"/>
        <v>90</v>
      </c>
    </row>
    <row r="8728" spans="1:7" ht="12.75">
      <c r="A8728" s="134" t="s">
        <v>997</v>
      </c>
      <c r="B8728" s="134">
        <v>361</v>
      </c>
      <c r="C8728" s="491">
        <v>142</v>
      </c>
      <c r="D8728" s="491">
        <v>46</v>
      </c>
      <c r="E8728" s="491">
        <v>9</v>
      </c>
      <c r="F8728" s="491">
        <v>0</v>
      </c>
      <c r="G8728" s="491">
        <f t="shared" si="137"/>
        <v>197</v>
      </c>
    </row>
    <row r="8729" spans="1:7" ht="12.75">
      <c r="A8729" s="134" t="s">
        <v>997</v>
      </c>
      <c r="B8729" s="134">
        <v>370</v>
      </c>
      <c r="C8729" s="491">
        <v>19896</v>
      </c>
      <c r="D8729" s="491">
        <v>177</v>
      </c>
      <c r="E8729" s="491">
        <v>51</v>
      </c>
      <c r="F8729" s="491">
        <v>1</v>
      </c>
      <c r="G8729" s="491">
        <f t="shared" si="137"/>
        <v>20125</v>
      </c>
    </row>
    <row r="8730" spans="1:7" ht="12.75">
      <c r="A8730" s="134" t="s">
        <v>997</v>
      </c>
      <c r="B8730" s="134">
        <v>400</v>
      </c>
      <c r="C8730" s="491">
        <v>1</v>
      </c>
      <c r="D8730" s="491">
        <v>0</v>
      </c>
      <c r="E8730" s="491">
        <v>0</v>
      </c>
      <c r="F8730" s="491">
        <v>0</v>
      </c>
      <c r="G8730" s="491">
        <f t="shared" si="137"/>
        <v>1</v>
      </c>
    </row>
    <row r="8731" spans="1:7" ht="12.75">
      <c r="A8731" s="134" t="s">
        <v>997</v>
      </c>
      <c r="B8731" s="134">
        <v>410</v>
      </c>
      <c r="C8731" s="491">
        <v>27</v>
      </c>
      <c r="D8731" s="491">
        <v>2</v>
      </c>
      <c r="E8731" s="491">
        <v>0</v>
      </c>
      <c r="F8731" s="491">
        <v>0</v>
      </c>
      <c r="G8731" s="491">
        <f t="shared" si="137"/>
        <v>29</v>
      </c>
    </row>
    <row r="8732" spans="1:7" ht="12.75">
      <c r="A8732" s="134" t="s">
        <v>997</v>
      </c>
      <c r="B8732" s="134">
        <v>420</v>
      </c>
      <c r="C8732" s="491">
        <v>0</v>
      </c>
      <c r="D8732" s="491">
        <v>1</v>
      </c>
      <c r="E8732" s="491">
        <v>0</v>
      </c>
      <c r="F8732" s="491">
        <v>0</v>
      </c>
      <c r="G8732" s="491">
        <f t="shared" si="137"/>
        <v>1</v>
      </c>
    </row>
    <row r="8733" spans="1:7" ht="12.75">
      <c r="A8733" s="134" t="s">
        <v>997</v>
      </c>
      <c r="B8733" s="134">
        <v>430</v>
      </c>
      <c r="C8733" s="491">
        <v>7</v>
      </c>
      <c r="D8733" s="491">
        <v>0</v>
      </c>
      <c r="E8733" s="491">
        <v>0</v>
      </c>
      <c r="F8733" s="491">
        <v>0</v>
      </c>
      <c r="G8733" s="491">
        <f t="shared" si="137"/>
        <v>7</v>
      </c>
    </row>
    <row r="8734" spans="1:7" ht="12.75">
      <c r="A8734" s="134" t="s">
        <v>997</v>
      </c>
      <c r="B8734" s="134">
        <v>502</v>
      </c>
      <c r="C8734" s="491">
        <v>11</v>
      </c>
      <c r="D8734" s="491">
        <v>1</v>
      </c>
      <c r="E8734" s="491">
        <v>0</v>
      </c>
      <c r="F8734" s="491">
        <v>0</v>
      </c>
      <c r="G8734" s="491">
        <f t="shared" si="137"/>
        <v>12</v>
      </c>
    </row>
    <row r="8735" spans="1:7" ht="12.75">
      <c r="A8735" s="134" t="s">
        <v>997</v>
      </c>
      <c r="B8735" s="134">
        <v>650</v>
      </c>
      <c r="C8735" s="491">
        <v>6</v>
      </c>
      <c r="D8735" s="491">
        <v>0</v>
      </c>
      <c r="E8735" s="491">
        <v>0</v>
      </c>
      <c r="F8735" s="491">
        <v>0</v>
      </c>
      <c r="G8735" s="491">
        <f t="shared" si="137"/>
        <v>6</v>
      </c>
    </row>
    <row r="8736" spans="1:7" ht="12.75">
      <c r="A8736" s="134" t="s">
        <v>997</v>
      </c>
      <c r="B8736" s="134">
        <v>654</v>
      </c>
      <c r="C8736" s="491">
        <v>2</v>
      </c>
      <c r="D8736" s="491">
        <v>2</v>
      </c>
      <c r="E8736" s="491">
        <v>0</v>
      </c>
      <c r="F8736" s="491">
        <v>0</v>
      </c>
      <c r="G8736" s="491">
        <f t="shared" si="137"/>
        <v>4</v>
      </c>
    </row>
    <row r="8737" spans="1:7" ht="12.75">
      <c r="A8737" s="134" t="s">
        <v>997</v>
      </c>
      <c r="B8737" s="134">
        <v>722</v>
      </c>
      <c r="C8737" s="491">
        <v>1</v>
      </c>
      <c r="D8737" s="491">
        <v>0</v>
      </c>
      <c r="E8737" s="491">
        <v>0</v>
      </c>
      <c r="F8737" s="491">
        <v>0</v>
      </c>
      <c r="G8737" s="491">
        <f t="shared" si="137"/>
        <v>1</v>
      </c>
    </row>
    <row r="8738" spans="1:7" ht="12.75">
      <c r="A8738" s="134" t="s">
        <v>997</v>
      </c>
      <c r="B8738" s="134">
        <v>800</v>
      </c>
      <c r="C8738" s="491">
        <v>8878</v>
      </c>
      <c r="D8738" s="491">
        <v>262</v>
      </c>
      <c r="E8738" s="491">
        <v>11</v>
      </c>
      <c r="F8738" s="491">
        <v>0</v>
      </c>
      <c r="G8738" s="491">
        <f t="shared" si="137"/>
        <v>9151</v>
      </c>
    </row>
    <row r="8739" spans="1:7" ht="12.75">
      <c r="A8739" s="134" t="s">
        <v>997</v>
      </c>
      <c r="B8739" s="134">
        <v>811</v>
      </c>
      <c r="C8739" s="491">
        <v>0</v>
      </c>
      <c r="D8739" s="491">
        <v>0</v>
      </c>
      <c r="E8739" s="491">
        <v>0</v>
      </c>
      <c r="F8739" s="491">
        <v>6</v>
      </c>
      <c r="G8739" s="491">
        <f t="shared" si="137"/>
        <v>6</v>
      </c>
    </row>
    <row r="8740" spans="1:7" ht="12.75">
      <c r="A8740" s="134" t="s">
        <v>997</v>
      </c>
      <c r="B8740" s="134">
        <v>812</v>
      </c>
      <c r="C8740" s="491">
        <v>17</v>
      </c>
      <c r="D8740" s="491">
        <v>55</v>
      </c>
      <c r="E8740" s="491">
        <v>0</v>
      </c>
      <c r="F8740" s="491">
        <v>0</v>
      </c>
      <c r="G8740" s="491">
        <f t="shared" si="137"/>
        <v>72</v>
      </c>
    </row>
    <row r="8741" spans="1:7" ht="12.75">
      <c r="A8741" s="134" t="s">
        <v>998</v>
      </c>
      <c r="B8741" s="134">
        <v>110</v>
      </c>
      <c r="C8741" s="491">
        <v>11</v>
      </c>
      <c r="D8741" s="491">
        <v>0</v>
      </c>
      <c r="E8741" s="491">
        <v>2</v>
      </c>
      <c r="F8741" s="491">
        <v>0</v>
      </c>
      <c r="G8741" s="491">
        <f t="shared" si="137"/>
        <v>13</v>
      </c>
    </row>
    <row r="8742" spans="1:7" ht="12.75">
      <c r="A8742" s="134" t="s">
        <v>998</v>
      </c>
      <c r="B8742" s="134">
        <v>171</v>
      </c>
      <c r="C8742" s="491">
        <v>1</v>
      </c>
      <c r="D8742" s="491">
        <v>0</v>
      </c>
      <c r="E8742" s="491">
        <v>0</v>
      </c>
      <c r="F8742" s="491">
        <v>0</v>
      </c>
      <c r="G8742" s="491">
        <f t="shared" si="137"/>
        <v>1</v>
      </c>
    </row>
    <row r="8743" spans="1:7" ht="12.75">
      <c r="A8743" s="134" t="s">
        <v>998</v>
      </c>
      <c r="B8743" s="134">
        <v>191</v>
      </c>
      <c r="C8743" s="491">
        <v>2</v>
      </c>
      <c r="D8743" s="491">
        <v>0</v>
      </c>
      <c r="E8743" s="491">
        <v>0</v>
      </c>
      <c r="F8743" s="491">
        <v>0</v>
      </c>
      <c r="G8743" s="491">
        <f t="shared" si="137"/>
        <v>2</v>
      </c>
    </row>
    <row r="8744" spans="1:7" ht="12.75">
      <c r="A8744" s="134" t="s">
        <v>998</v>
      </c>
      <c r="B8744" s="134">
        <v>251</v>
      </c>
      <c r="C8744" s="491">
        <v>0</v>
      </c>
      <c r="D8744" s="491">
        <v>1</v>
      </c>
      <c r="E8744" s="491">
        <v>0</v>
      </c>
      <c r="F8744" s="491">
        <v>0</v>
      </c>
      <c r="G8744" s="491">
        <f t="shared" si="137"/>
        <v>1</v>
      </c>
    </row>
    <row r="8745" spans="1:7" ht="12.75">
      <c r="A8745" s="134" t="s">
        <v>998</v>
      </c>
      <c r="B8745" s="134">
        <v>252</v>
      </c>
      <c r="C8745" s="491">
        <v>6</v>
      </c>
      <c r="D8745" s="491">
        <v>1</v>
      </c>
      <c r="E8745" s="491">
        <v>1</v>
      </c>
      <c r="F8745" s="491">
        <v>1</v>
      </c>
      <c r="G8745" s="491">
        <f t="shared" si="137"/>
        <v>9</v>
      </c>
    </row>
    <row r="8746" spans="1:7" ht="12.75">
      <c r="A8746" s="134" t="s">
        <v>998</v>
      </c>
      <c r="B8746" s="134">
        <v>253</v>
      </c>
      <c r="C8746" s="491">
        <v>128</v>
      </c>
      <c r="D8746" s="491">
        <v>0</v>
      </c>
      <c r="E8746" s="491">
        <v>120</v>
      </c>
      <c r="F8746" s="491">
        <v>2</v>
      </c>
      <c r="G8746" s="491">
        <f t="shared" si="137"/>
        <v>250</v>
      </c>
    </row>
    <row r="8747" spans="1:7" ht="12.75">
      <c r="A8747" s="134" t="s">
        <v>998</v>
      </c>
      <c r="B8747" s="134">
        <v>258</v>
      </c>
      <c r="C8747" s="491">
        <v>1</v>
      </c>
      <c r="D8747" s="491">
        <v>0</v>
      </c>
      <c r="E8747" s="491">
        <v>0</v>
      </c>
      <c r="F8747" s="491">
        <v>1</v>
      </c>
      <c r="G8747" s="491">
        <f t="shared" si="137"/>
        <v>2</v>
      </c>
    </row>
    <row r="8748" spans="1:7" ht="12.75">
      <c r="A8748" s="134" t="s">
        <v>998</v>
      </c>
      <c r="B8748" s="134">
        <v>260</v>
      </c>
      <c r="C8748" s="491">
        <v>368</v>
      </c>
      <c r="D8748" s="491">
        <v>8</v>
      </c>
      <c r="E8748" s="491">
        <v>61</v>
      </c>
      <c r="F8748" s="491">
        <v>6</v>
      </c>
      <c r="G8748" s="491">
        <f t="shared" si="137"/>
        <v>443</v>
      </c>
    </row>
    <row r="8749" spans="1:7" ht="12.75">
      <c r="A8749" s="134" t="s">
        <v>998</v>
      </c>
      <c r="B8749" s="134">
        <v>264</v>
      </c>
      <c r="C8749" s="491">
        <v>88</v>
      </c>
      <c r="D8749" s="491">
        <v>0</v>
      </c>
      <c r="E8749" s="491">
        <v>53</v>
      </c>
      <c r="F8749" s="491">
        <v>0</v>
      </c>
      <c r="G8749" s="491">
        <f t="shared" si="137"/>
        <v>141</v>
      </c>
    </row>
    <row r="8750" spans="1:7" ht="12.75">
      <c r="A8750" s="134" t="s">
        <v>998</v>
      </c>
      <c r="B8750" s="134">
        <v>290</v>
      </c>
      <c r="C8750" s="491">
        <v>549</v>
      </c>
      <c r="D8750" s="491">
        <v>13</v>
      </c>
      <c r="E8750" s="491">
        <v>0</v>
      </c>
      <c r="F8750" s="491">
        <v>0</v>
      </c>
      <c r="G8750" s="491">
        <f t="shared" si="137"/>
        <v>562</v>
      </c>
    </row>
    <row r="8751" spans="1:7" ht="12.75">
      <c r="A8751" s="134" t="s">
        <v>998</v>
      </c>
      <c r="B8751" s="134">
        <v>300</v>
      </c>
      <c r="C8751" s="491">
        <v>0</v>
      </c>
      <c r="D8751" s="491">
        <v>2</v>
      </c>
      <c r="E8751" s="491">
        <v>0</v>
      </c>
      <c r="F8751" s="491">
        <v>0</v>
      </c>
      <c r="G8751" s="491">
        <f t="shared" si="137"/>
        <v>2</v>
      </c>
    </row>
    <row r="8752" spans="1:7" ht="12.75">
      <c r="A8752" s="134" t="s">
        <v>998</v>
      </c>
      <c r="B8752" s="134">
        <v>303</v>
      </c>
      <c r="C8752" s="491">
        <v>192</v>
      </c>
      <c r="D8752" s="491">
        <v>2</v>
      </c>
      <c r="E8752" s="491">
        <v>0</v>
      </c>
      <c r="F8752" s="491">
        <v>0</v>
      </c>
      <c r="G8752" s="491">
        <f t="shared" si="137"/>
        <v>194</v>
      </c>
    </row>
    <row r="8753" spans="1:7" ht="12.75">
      <c r="A8753" s="134" t="s">
        <v>998</v>
      </c>
      <c r="B8753" s="134">
        <v>308</v>
      </c>
      <c r="C8753" s="491">
        <v>61</v>
      </c>
      <c r="D8753" s="491">
        <v>3</v>
      </c>
      <c r="E8753" s="491">
        <v>0</v>
      </c>
      <c r="F8753" s="491">
        <v>0</v>
      </c>
      <c r="G8753" s="491">
        <f t="shared" si="137"/>
        <v>64</v>
      </c>
    </row>
    <row r="8754" spans="1:7" ht="12.75">
      <c r="A8754" s="134" t="s">
        <v>998</v>
      </c>
      <c r="B8754" s="134">
        <v>309</v>
      </c>
      <c r="C8754" s="491">
        <v>0</v>
      </c>
      <c r="D8754" s="491">
        <v>0</v>
      </c>
      <c r="E8754" s="491">
        <v>6</v>
      </c>
      <c r="F8754" s="491">
        <v>0</v>
      </c>
      <c r="G8754" s="491">
        <f t="shared" si="137"/>
        <v>6</v>
      </c>
    </row>
    <row r="8755" spans="1:7" ht="12.75">
      <c r="A8755" s="134" t="s">
        <v>998</v>
      </c>
      <c r="B8755" s="134">
        <v>321</v>
      </c>
      <c r="C8755" s="491">
        <v>38</v>
      </c>
      <c r="D8755" s="491">
        <v>10</v>
      </c>
      <c r="E8755" s="491">
        <v>22</v>
      </c>
      <c r="F8755" s="491">
        <v>2</v>
      </c>
      <c r="G8755" s="491">
        <f t="shared" si="137"/>
        <v>72</v>
      </c>
    </row>
    <row r="8756" spans="1:7" ht="12.75">
      <c r="A8756" s="134" t="s">
        <v>998</v>
      </c>
      <c r="B8756" s="134">
        <v>330</v>
      </c>
      <c r="C8756" s="491">
        <v>1</v>
      </c>
      <c r="D8756" s="491">
        <v>0</v>
      </c>
      <c r="E8756" s="491">
        <v>0</v>
      </c>
      <c r="F8756" s="491">
        <v>0</v>
      </c>
      <c r="G8756" s="491">
        <f t="shared" si="137"/>
        <v>1</v>
      </c>
    </row>
    <row r="8757" spans="1:7" ht="12.75">
      <c r="A8757" s="134" t="s">
        <v>998</v>
      </c>
      <c r="B8757" s="134">
        <v>340</v>
      </c>
      <c r="C8757" s="491">
        <v>10</v>
      </c>
      <c r="D8757" s="491">
        <v>0</v>
      </c>
      <c r="E8757" s="491">
        <v>0</v>
      </c>
      <c r="F8757" s="491">
        <v>0</v>
      </c>
      <c r="G8757" s="491">
        <f t="shared" si="137"/>
        <v>10</v>
      </c>
    </row>
    <row r="8758" spans="1:7" ht="12.75">
      <c r="A8758" s="134" t="s">
        <v>998</v>
      </c>
      <c r="B8758" s="134">
        <v>343</v>
      </c>
      <c r="C8758" s="491">
        <v>17</v>
      </c>
      <c r="D8758" s="491">
        <v>0</v>
      </c>
      <c r="E8758" s="491">
        <v>20</v>
      </c>
      <c r="F8758" s="491">
        <v>2</v>
      </c>
      <c r="G8758" s="491">
        <f t="shared" si="137"/>
        <v>39</v>
      </c>
    </row>
    <row r="8759" spans="1:7" ht="12.75">
      <c r="A8759" s="134" t="s">
        <v>998</v>
      </c>
      <c r="B8759" s="134">
        <v>370</v>
      </c>
      <c r="C8759" s="491">
        <v>17</v>
      </c>
      <c r="D8759" s="491">
        <v>0</v>
      </c>
      <c r="E8759" s="491">
        <v>0</v>
      </c>
      <c r="F8759" s="491">
        <v>1</v>
      </c>
      <c r="G8759" s="491">
        <f t="shared" si="137"/>
        <v>18</v>
      </c>
    </row>
    <row r="8760" spans="1:7" ht="12.75">
      <c r="A8760" s="134" t="s">
        <v>998</v>
      </c>
      <c r="B8760" s="134">
        <v>420</v>
      </c>
      <c r="C8760" s="491">
        <v>890</v>
      </c>
      <c r="D8760" s="491">
        <v>235</v>
      </c>
      <c r="E8760" s="491">
        <v>92</v>
      </c>
      <c r="F8760" s="491">
        <v>15</v>
      </c>
      <c r="G8760" s="491">
        <f t="shared" si="137"/>
        <v>1232</v>
      </c>
    </row>
    <row r="8761" spans="1:7" ht="12.75">
      <c r="A8761" s="134" t="s">
        <v>998</v>
      </c>
      <c r="B8761" s="134">
        <v>421</v>
      </c>
      <c r="C8761" s="491">
        <v>0</v>
      </c>
      <c r="D8761" s="491">
        <v>2</v>
      </c>
      <c r="E8761" s="491">
        <v>0</v>
      </c>
      <c r="F8761" s="491">
        <v>0</v>
      </c>
      <c r="G8761" s="491">
        <f t="shared" si="137"/>
        <v>2</v>
      </c>
    </row>
    <row r="8762" spans="1:7" ht="12.75">
      <c r="A8762" s="134" t="s">
        <v>998</v>
      </c>
      <c r="B8762" s="134">
        <v>800</v>
      </c>
      <c r="C8762" s="491">
        <v>92</v>
      </c>
      <c r="D8762" s="491">
        <v>0</v>
      </c>
      <c r="E8762" s="491">
        <v>0</v>
      </c>
      <c r="F8762" s="491">
        <v>0</v>
      </c>
      <c r="G8762" s="491">
        <f t="shared" si="137"/>
        <v>92</v>
      </c>
    </row>
    <row r="8763" spans="1:7" ht="12.75">
      <c r="A8763" s="134" t="s">
        <v>998</v>
      </c>
      <c r="B8763" s="134">
        <v>812</v>
      </c>
      <c r="C8763" s="491">
        <v>1</v>
      </c>
      <c r="D8763" s="491">
        <v>9</v>
      </c>
      <c r="E8763" s="491">
        <v>0</v>
      </c>
      <c r="F8763" s="491">
        <v>0</v>
      </c>
      <c r="G8763" s="491">
        <f t="shared" si="137"/>
        <v>10</v>
      </c>
    </row>
    <row r="8764" spans="1:7" ht="12.75">
      <c r="A8764" s="134" t="s">
        <v>999</v>
      </c>
      <c r="B8764" s="134">
        <v>100</v>
      </c>
      <c r="C8764" s="491">
        <v>5</v>
      </c>
      <c r="D8764" s="491">
        <v>4</v>
      </c>
      <c r="E8764" s="491">
        <v>3</v>
      </c>
      <c r="F8764" s="491">
        <v>7</v>
      </c>
      <c r="G8764" s="491">
        <f t="shared" si="137"/>
        <v>19</v>
      </c>
    </row>
    <row r="8765" spans="1:7" ht="12.75">
      <c r="A8765" s="134" t="s">
        <v>999</v>
      </c>
      <c r="B8765" s="134">
        <v>101</v>
      </c>
      <c r="C8765" s="491">
        <v>1</v>
      </c>
      <c r="D8765" s="491">
        <v>2</v>
      </c>
      <c r="E8765" s="491">
        <v>0</v>
      </c>
      <c r="F8765" s="491">
        <v>0</v>
      </c>
      <c r="G8765" s="491">
        <f t="shared" si="137"/>
        <v>3</v>
      </c>
    </row>
    <row r="8766" spans="1:7" ht="12.75">
      <c r="A8766" s="134" t="s">
        <v>999</v>
      </c>
      <c r="B8766" s="134">
        <v>102</v>
      </c>
      <c r="C8766" s="491">
        <v>0</v>
      </c>
      <c r="D8766" s="491">
        <v>2</v>
      </c>
      <c r="E8766" s="491">
        <v>0</v>
      </c>
      <c r="F8766" s="491">
        <v>0</v>
      </c>
      <c r="G8766" s="491">
        <f t="shared" si="137"/>
        <v>2</v>
      </c>
    </row>
    <row r="8767" spans="1:7" ht="12.75">
      <c r="A8767" s="134" t="s">
        <v>999</v>
      </c>
      <c r="B8767" s="134">
        <v>103</v>
      </c>
      <c r="C8767" s="491">
        <v>1</v>
      </c>
      <c r="D8767" s="491">
        <v>0</v>
      </c>
      <c r="E8767" s="491">
        <v>0</v>
      </c>
      <c r="F8767" s="491">
        <v>0</v>
      </c>
      <c r="G8767" s="491">
        <f t="shared" si="137"/>
        <v>1</v>
      </c>
    </row>
    <row r="8768" spans="1:7" ht="12.75">
      <c r="A8768" s="134" t="s">
        <v>999</v>
      </c>
      <c r="B8768" s="134">
        <v>106</v>
      </c>
      <c r="C8768" s="491">
        <v>2</v>
      </c>
      <c r="D8768" s="491">
        <v>0</v>
      </c>
      <c r="E8768" s="491">
        <v>0</v>
      </c>
      <c r="F8768" s="491">
        <v>0</v>
      </c>
      <c r="G8768" s="491">
        <f t="shared" si="137"/>
        <v>2</v>
      </c>
    </row>
    <row r="8769" spans="1:7" ht="12.75">
      <c r="A8769" s="134" t="s">
        <v>999</v>
      </c>
      <c r="B8769" s="134">
        <v>107</v>
      </c>
      <c r="C8769" s="491">
        <v>2</v>
      </c>
      <c r="D8769" s="491">
        <v>4</v>
      </c>
      <c r="E8769" s="491">
        <v>0</v>
      </c>
      <c r="F8769" s="491">
        <v>0</v>
      </c>
      <c r="G8769" s="491">
        <f t="shared" si="137"/>
        <v>6</v>
      </c>
    </row>
    <row r="8770" spans="1:7" ht="12.75">
      <c r="A8770" s="134" t="s">
        <v>999</v>
      </c>
      <c r="B8770" s="134">
        <v>110</v>
      </c>
      <c r="C8770" s="491">
        <v>41</v>
      </c>
      <c r="D8770" s="491">
        <v>10</v>
      </c>
      <c r="E8770" s="491">
        <v>0</v>
      </c>
      <c r="F8770" s="491">
        <v>0</v>
      </c>
      <c r="G8770" s="491">
        <f t="shared" si="137"/>
        <v>51</v>
      </c>
    </row>
    <row r="8771" spans="1:7" ht="12.75">
      <c r="A8771" s="134" t="s">
        <v>999</v>
      </c>
      <c r="B8771" s="134">
        <v>120</v>
      </c>
      <c r="C8771" s="491">
        <v>10</v>
      </c>
      <c r="D8771" s="491">
        <v>0</v>
      </c>
      <c r="E8771" s="491">
        <v>0</v>
      </c>
      <c r="F8771" s="491">
        <v>0</v>
      </c>
      <c r="G8771" s="491">
        <f t="shared" si="137"/>
        <v>10</v>
      </c>
    </row>
    <row r="8772" spans="1:7" ht="12.75">
      <c r="A8772" s="134" t="s">
        <v>999</v>
      </c>
      <c r="B8772" s="134">
        <v>191</v>
      </c>
      <c r="C8772" s="491">
        <v>29</v>
      </c>
      <c r="D8772" s="491">
        <v>1</v>
      </c>
      <c r="E8772" s="491">
        <v>4</v>
      </c>
      <c r="F8772" s="491">
        <v>1</v>
      </c>
      <c r="G8772" s="491">
        <f t="shared" si="137"/>
        <v>35</v>
      </c>
    </row>
    <row r="8773" spans="1:7" ht="12.75">
      <c r="A8773" s="134" t="s">
        <v>999</v>
      </c>
      <c r="B8773" s="134">
        <v>300</v>
      </c>
      <c r="C8773" s="491">
        <v>37</v>
      </c>
      <c r="D8773" s="491">
        <v>15</v>
      </c>
      <c r="E8773" s="491">
        <v>2</v>
      </c>
      <c r="F8773" s="491">
        <v>0</v>
      </c>
      <c r="G8773" s="491">
        <f t="shared" si="137"/>
        <v>54</v>
      </c>
    </row>
    <row r="8774" spans="1:7" ht="12.75">
      <c r="A8774" s="134" t="s">
        <v>999</v>
      </c>
      <c r="B8774" s="134">
        <v>301</v>
      </c>
      <c r="C8774" s="491">
        <v>1</v>
      </c>
      <c r="D8774" s="491">
        <v>1</v>
      </c>
      <c r="E8774" s="491">
        <v>0</v>
      </c>
      <c r="F8774" s="491">
        <v>0</v>
      </c>
      <c r="G8774" s="491">
        <f t="shared" si="137"/>
        <v>2</v>
      </c>
    </row>
    <row r="8775" spans="1:7" ht="12.75">
      <c r="A8775" s="134" t="s">
        <v>999</v>
      </c>
      <c r="B8775" s="134">
        <v>303</v>
      </c>
      <c r="C8775" s="491">
        <v>85</v>
      </c>
      <c r="D8775" s="491">
        <v>1</v>
      </c>
      <c r="E8775" s="491">
        <v>2</v>
      </c>
      <c r="F8775" s="491">
        <v>0</v>
      </c>
      <c r="G8775" s="491">
        <f t="shared" si="137"/>
        <v>88</v>
      </c>
    </row>
    <row r="8776" spans="1:7" ht="12.75">
      <c r="A8776" s="134" t="s">
        <v>999</v>
      </c>
      <c r="B8776" s="134">
        <v>305</v>
      </c>
      <c r="C8776" s="491">
        <v>4</v>
      </c>
      <c r="D8776" s="491">
        <v>0</v>
      </c>
      <c r="E8776" s="491">
        <v>0</v>
      </c>
      <c r="F8776" s="491">
        <v>0</v>
      </c>
      <c r="G8776" s="491">
        <f t="shared" si="137"/>
        <v>4</v>
      </c>
    </row>
    <row r="8777" spans="1:7" ht="12.75">
      <c r="A8777" s="134" t="s">
        <v>999</v>
      </c>
      <c r="B8777" s="134">
        <v>307</v>
      </c>
      <c r="C8777" s="491">
        <v>14</v>
      </c>
      <c r="D8777" s="491">
        <v>1</v>
      </c>
      <c r="E8777" s="491">
        <v>0</v>
      </c>
      <c r="F8777" s="491">
        <v>0</v>
      </c>
      <c r="G8777" s="491">
        <f t="shared" si="137"/>
        <v>15</v>
      </c>
    </row>
    <row r="8778" spans="1:7" ht="12.75">
      <c r="A8778" s="134" t="s">
        <v>999</v>
      </c>
      <c r="B8778" s="134">
        <v>308</v>
      </c>
      <c r="C8778" s="491">
        <v>1</v>
      </c>
      <c r="D8778" s="491">
        <v>0</v>
      </c>
      <c r="E8778" s="491">
        <v>0</v>
      </c>
      <c r="F8778" s="491">
        <v>0</v>
      </c>
      <c r="G8778" s="491">
        <f t="shared" si="137"/>
        <v>1</v>
      </c>
    </row>
    <row r="8779" spans="1:7" ht="12.75">
      <c r="A8779" s="134" t="s">
        <v>999</v>
      </c>
      <c r="B8779" s="134">
        <v>314</v>
      </c>
      <c r="C8779" s="491">
        <v>1</v>
      </c>
      <c r="D8779" s="491">
        <v>0</v>
      </c>
      <c r="E8779" s="491">
        <v>0</v>
      </c>
      <c r="F8779" s="491">
        <v>0</v>
      </c>
      <c r="G8779" s="491">
        <f t="shared" si="137"/>
        <v>1</v>
      </c>
    </row>
    <row r="8780" spans="1:7" ht="12.75">
      <c r="A8780" s="134" t="s">
        <v>999</v>
      </c>
      <c r="B8780" s="134">
        <v>320</v>
      </c>
      <c r="C8780" s="491">
        <v>3</v>
      </c>
      <c r="D8780" s="491">
        <v>2</v>
      </c>
      <c r="E8780" s="491">
        <v>0</v>
      </c>
      <c r="F8780" s="491">
        <v>0</v>
      </c>
      <c r="G8780" s="491">
        <f t="shared" si="137"/>
        <v>5</v>
      </c>
    </row>
    <row r="8781" spans="1:7" ht="12.75">
      <c r="A8781" s="134" t="s">
        <v>999</v>
      </c>
      <c r="B8781" s="134">
        <v>322</v>
      </c>
      <c r="C8781" s="491">
        <v>26</v>
      </c>
      <c r="D8781" s="491">
        <v>1</v>
      </c>
      <c r="E8781" s="491">
        <v>0</v>
      </c>
      <c r="F8781" s="491">
        <v>0</v>
      </c>
      <c r="G8781" s="491">
        <f t="shared" ref="G8781:G8844" si="138">SUM(C8781:F8781)</f>
        <v>27</v>
      </c>
    </row>
    <row r="8782" spans="1:7" ht="12.75">
      <c r="A8782" s="134" t="s">
        <v>999</v>
      </c>
      <c r="B8782" s="134">
        <v>330</v>
      </c>
      <c r="C8782" s="491">
        <v>0</v>
      </c>
      <c r="D8782" s="491">
        <v>1</v>
      </c>
      <c r="E8782" s="491">
        <v>0</v>
      </c>
      <c r="F8782" s="491">
        <v>0</v>
      </c>
      <c r="G8782" s="491">
        <f t="shared" si="138"/>
        <v>1</v>
      </c>
    </row>
    <row r="8783" spans="1:7" ht="12.75">
      <c r="A8783" s="134" t="s">
        <v>999</v>
      </c>
      <c r="B8783" s="134">
        <v>340</v>
      </c>
      <c r="C8783" s="491">
        <v>15</v>
      </c>
      <c r="D8783" s="491">
        <v>3</v>
      </c>
      <c r="E8783" s="491">
        <v>2</v>
      </c>
      <c r="F8783" s="491">
        <v>0</v>
      </c>
      <c r="G8783" s="491">
        <f t="shared" si="138"/>
        <v>20</v>
      </c>
    </row>
    <row r="8784" spans="1:7" ht="12.75">
      <c r="A8784" s="134" t="s">
        <v>999</v>
      </c>
      <c r="B8784" s="134">
        <v>341</v>
      </c>
      <c r="C8784" s="491">
        <v>1</v>
      </c>
      <c r="D8784" s="491">
        <v>0</v>
      </c>
      <c r="E8784" s="491">
        <v>0</v>
      </c>
      <c r="F8784" s="491">
        <v>0</v>
      </c>
      <c r="G8784" s="491">
        <f t="shared" si="138"/>
        <v>1</v>
      </c>
    </row>
    <row r="8785" spans="1:7" ht="12.75">
      <c r="A8785" s="134" t="s">
        <v>999</v>
      </c>
      <c r="B8785" s="134">
        <v>343</v>
      </c>
      <c r="C8785" s="491">
        <v>26</v>
      </c>
      <c r="D8785" s="491">
        <v>0</v>
      </c>
      <c r="E8785" s="491">
        <v>1</v>
      </c>
      <c r="F8785" s="491">
        <v>0</v>
      </c>
      <c r="G8785" s="491">
        <f t="shared" si="138"/>
        <v>27</v>
      </c>
    </row>
    <row r="8786" spans="1:7" ht="12.75">
      <c r="A8786" s="134" t="s">
        <v>999</v>
      </c>
      <c r="B8786" s="134">
        <v>350</v>
      </c>
      <c r="C8786" s="491">
        <v>29</v>
      </c>
      <c r="D8786" s="491">
        <v>9</v>
      </c>
      <c r="E8786" s="491">
        <v>0</v>
      </c>
      <c r="F8786" s="491">
        <v>0</v>
      </c>
      <c r="G8786" s="491">
        <f t="shared" si="138"/>
        <v>38</v>
      </c>
    </row>
    <row r="8787" spans="1:7" ht="12.75">
      <c r="A8787" s="134" t="s">
        <v>999</v>
      </c>
      <c r="B8787" s="134">
        <v>361</v>
      </c>
      <c r="C8787" s="491">
        <v>48</v>
      </c>
      <c r="D8787" s="491">
        <v>34</v>
      </c>
      <c r="E8787" s="491">
        <v>0</v>
      </c>
      <c r="F8787" s="491">
        <v>0</v>
      </c>
      <c r="G8787" s="491">
        <f t="shared" si="138"/>
        <v>82</v>
      </c>
    </row>
    <row r="8788" spans="1:7" ht="12.75">
      <c r="A8788" s="134" t="s">
        <v>999</v>
      </c>
      <c r="B8788" s="134">
        <v>370</v>
      </c>
      <c r="C8788" s="491">
        <v>568</v>
      </c>
      <c r="D8788" s="491">
        <v>21</v>
      </c>
      <c r="E8788" s="491">
        <v>10</v>
      </c>
      <c r="F8788" s="491">
        <v>0</v>
      </c>
      <c r="G8788" s="491">
        <f t="shared" si="138"/>
        <v>599</v>
      </c>
    </row>
    <row r="8789" spans="1:7" ht="12.75">
      <c r="A8789" s="134" t="s">
        <v>999</v>
      </c>
      <c r="B8789" s="134">
        <v>410</v>
      </c>
      <c r="C8789" s="491">
        <v>1</v>
      </c>
      <c r="D8789" s="491">
        <v>0</v>
      </c>
      <c r="E8789" s="491">
        <v>0</v>
      </c>
      <c r="F8789" s="491">
        <v>0</v>
      </c>
      <c r="G8789" s="491">
        <f t="shared" si="138"/>
        <v>1</v>
      </c>
    </row>
    <row r="8790" spans="1:7" ht="12.75">
      <c r="A8790" s="134" t="s">
        <v>999</v>
      </c>
      <c r="B8790" s="134">
        <v>430</v>
      </c>
      <c r="C8790" s="491">
        <v>2</v>
      </c>
      <c r="D8790" s="491">
        <v>0</v>
      </c>
      <c r="E8790" s="491">
        <v>0</v>
      </c>
      <c r="F8790" s="491">
        <v>0</v>
      </c>
      <c r="G8790" s="491">
        <f t="shared" si="138"/>
        <v>2</v>
      </c>
    </row>
    <row r="8791" spans="1:7" ht="12.75">
      <c r="A8791" s="134" t="s">
        <v>999</v>
      </c>
      <c r="B8791" s="134">
        <v>800</v>
      </c>
      <c r="C8791" s="491">
        <v>344</v>
      </c>
      <c r="D8791" s="491">
        <v>10</v>
      </c>
      <c r="E8791" s="491">
        <v>0</v>
      </c>
      <c r="F8791" s="491">
        <v>0</v>
      </c>
      <c r="G8791" s="491">
        <f t="shared" si="138"/>
        <v>354</v>
      </c>
    </row>
    <row r="8792" spans="1:7" ht="12.75">
      <c r="A8792" s="134" t="s">
        <v>999</v>
      </c>
      <c r="B8792" s="134">
        <v>811</v>
      </c>
      <c r="C8792" s="491">
        <v>0</v>
      </c>
      <c r="D8792" s="491">
        <v>1</v>
      </c>
      <c r="E8792" s="491">
        <v>0</v>
      </c>
      <c r="F8792" s="491">
        <v>0</v>
      </c>
      <c r="G8792" s="491">
        <f t="shared" si="138"/>
        <v>1</v>
      </c>
    </row>
    <row r="8793" spans="1:7" ht="12.75">
      <c r="A8793" s="134" t="s">
        <v>999</v>
      </c>
      <c r="B8793" s="134">
        <v>812</v>
      </c>
      <c r="C8793" s="491">
        <v>2</v>
      </c>
      <c r="D8793" s="491">
        <v>24</v>
      </c>
      <c r="E8793" s="491">
        <v>0</v>
      </c>
      <c r="F8793" s="491">
        <v>0</v>
      </c>
      <c r="G8793" s="491">
        <f t="shared" si="138"/>
        <v>26</v>
      </c>
    </row>
    <row r="8794" spans="1:7" ht="12.75">
      <c r="A8794" s="134" t="s">
        <v>1000</v>
      </c>
      <c r="B8794" s="134">
        <v>108</v>
      </c>
      <c r="C8794" s="491">
        <v>1</v>
      </c>
      <c r="D8794" s="491">
        <v>0</v>
      </c>
      <c r="E8794" s="491">
        <v>0</v>
      </c>
      <c r="F8794" s="491">
        <v>0</v>
      </c>
      <c r="G8794" s="491">
        <f t="shared" si="138"/>
        <v>1</v>
      </c>
    </row>
    <row r="8795" spans="1:7" ht="12.75">
      <c r="A8795" s="134" t="s">
        <v>1000</v>
      </c>
      <c r="B8795" s="134">
        <v>110</v>
      </c>
      <c r="C8795" s="491">
        <v>4</v>
      </c>
      <c r="D8795" s="491">
        <v>0</v>
      </c>
      <c r="E8795" s="491">
        <v>0</v>
      </c>
      <c r="F8795" s="491">
        <v>0</v>
      </c>
      <c r="G8795" s="491">
        <f t="shared" si="138"/>
        <v>4</v>
      </c>
    </row>
    <row r="8796" spans="1:7" ht="12.75">
      <c r="A8796" s="134" t="s">
        <v>1000</v>
      </c>
      <c r="B8796" s="134">
        <v>150</v>
      </c>
      <c r="C8796" s="491">
        <v>1</v>
      </c>
      <c r="D8796" s="491">
        <v>0</v>
      </c>
      <c r="E8796" s="491">
        <v>0</v>
      </c>
      <c r="F8796" s="491">
        <v>0</v>
      </c>
      <c r="G8796" s="491">
        <f t="shared" si="138"/>
        <v>1</v>
      </c>
    </row>
    <row r="8797" spans="1:7" ht="12.75">
      <c r="A8797" s="134" t="s">
        <v>1000</v>
      </c>
      <c r="B8797" s="134">
        <v>251</v>
      </c>
      <c r="C8797" s="491">
        <v>1</v>
      </c>
      <c r="D8797" s="491">
        <v>0</v>
      </c>
      <c r="E8797" s="491">
        <v>0</v>
      </c>
      <c r="F8797" s="491">
        <v>0</v>
      </c>
      <c r="G8797" s="491">
        <f t="shared" si="138"/>
        <v>1</v>
      </c>
    </row>
    <row r="8798" spans="1:7" ht="12.75">
      <c r="A8798" s="134" t="s">
        <v>1000</v>
      </c>
      <c r="B8798" s="134">
        <v>260</v>
      </c>
      <c r="C8798" s="491">
        <v>1</v>
      </c>
      <c r="D8798" s="491">
        <v>0</v>
      </c>
      <c r="E8798" s="491">
        <v>0</v>
      </c>
      <c r="F8798" s="491">
        <v>0</v>
      </c>
      <c r="G8798" s="491">
        <f t="shared" si="138"/>
        <v>1</v>
      </c>
    </row>
    <row r="8799" spans="1:7" ht="12.75">
      <c r="A8799" s="134" t="s">
        <v>1000</v>
      </c>
      <c r="B8799" s="134">
        <v>300</v>
      </c>
      <c r="C8799" s="491">
        <v>1</v>
      </c>
      <c r="D8799" s="491">
        <v>0</v>
      </c>
      <c r="E8799" s="491">
        <v>0</v>
      </c>
      <c r="F8799" s="491">
        <v>0</v>
      </c>
      <c r="G8799" s="491">
        <f t="shared" si="138"/>
        <v>1</v>
      </c>
    </row>
    <row r="8800" spans="1:7" ht="12.75">
      <c r="A8800" s="134" t="s">
        <v>1000</v>
      </c>
      <c r="B8800" s="134">
        <v>303</v>
      </c>
      <c r="C8800" s="491">
        <v>2</v>
      </c>
      <c r="D8800" s="491">
        <v>0</v>
      </c>
      <c r="E8800" s="491">
        <v>0</v>
      </c>
      <c r="F8800" s="491">
        <v>0</v>
      </c>
      <c r="G8800" s="491">
        <f t="shared" si="138"/>
        <v>2</v>
      </c>
    </row>
    <row r="8801" spans="1:7" ht="12.75">
      <c r="A8801" s="134" t="s">
        <v>1000</v>
      </c>
      <c r="B8801" s="134">
        <v>340</v>
      </c>
      <c r="C8801" s="491">
        <v>1</v>
      </c>
      <c r="D8801" s="491">
        <v>0</v>
      </c>
      <c r="E8801" s="491">
        <v>0</v>
      </c>
      <c r="F8801" s="491">
        <v>0</v>
      </c>
      <c r="G8801" s="491">
        <f t="shared" si="138"/>
        <v>1</v>
      </c>
    </row>
    <row r="8802" spans="1:7" ht="12.75">
      <c r="A8802" s="134" t="s">
        <v>1000</v>
      </c>
      <c r="B8802" s="134">
        <v>420</v>
      </c>
      <c r="C8802" s="491">
        <v>32</v>
      </c>
      <c r="D8802" s="491">
        <v>5</v>
      </c>
      <c r="E8802" s="491">
        <v>0</v>
      </c>
      <c r="F8802" s="491">
        <v>0</v>
      </c>
      <c r="G8802" s="491">
        <f t="shared" si="138"/>
        <v>37</v>
      </c>
    </row>
    <row r="8803" spans="1:7" ht="12.75">
      <c r="A8803" s="134" t="s">
        <v>1001</v>
      </c>
      <c r="B8803" s="134">
        <v>120</v>
      </c>
      <c r="C8803" s="491">
        <v>2</v>
      </c>
      <c r="D8803" s="491">
        <v>1</v>
      </c>
      <c r="E8803" s="491">
        <v>0</v>
      </c>
      <c r="F8803" s="491">
        <v>0</v>
      </c>
      <c r="G8803" s="491">
        <f t="shared" si="138"/>
        <v>3</v>
      </c>
    </row>
    <row r="8804" spans="1:7" ht="12.75">
      <c r="A8804" s="134" t="s">
        <v>1001</v>
      </c>
      <c r="B8804" s="134">
        <v>140</v>
      </c>
      <c r="C8804" s="491">
        <v>1</v>
      </c>
      <c r="D8804" s="491">
        <v>0</v>
      </c>
      <c r="E8804" s="491">
        <v>0</v>
      </c>
      <c r="F8804" s="491">
        <v>0</v>
      </c>
      <c r="G8804" s="491">
        <f t="shared" si="138"/>
        <v>1</v>
      </c>
    </row>
    <row r="8805" spans="1:7" ht="12.75">
      <c r="A8805" s="134" t="s">
        <v>1001</v>
      </c>
      <c r="B8805" s="134">
        <v>260</v>
      </c>
      <c r="C8805" s="491">
        <v>1</v>
      </c>
      <c r="D8805" s="491">
        <v>0</v>
      </c>
      <c r="E8805" s="491">
        <v>0</v>
      </c>
      <c r="F8805" s="491">
        <v>0</v>
      </c>
      <c r="G8805" s="491">
        <f t="shared" si="138"/>
        <v>1</v>
      </c>
    </row>
    <row r="8806" spans="1:7" ht="12.75">
      <c r="A8806" s="134" t="s">
        <v>1001</v>
      </c>
      <c r="B8806" s="134">
        <v>300</v>
      </c>
      <c r="C8806" s="491">
        <v>0</v>
      </c>
      <c r="D8806" s="491">
        <v>1</v>
      </c>
      <c r="E8806" s="491">
        <v>0</v>
      </c>
      <c r="F8806" s="491">
        <v>0</v>
      </c>
      <c r="G8806" s="491">
        <f t="shared" si="138"/>
        <v>1</v>
      </c>
    </row>
    <row r="8807" spans="1:7" ht="12.75">
      <c r="A8807" s="134" t="s">
        <v>1001</v>
      </c>
      <c r="B8807" s="134">
        <v>303</v>
      </c>
      <c r="C8807" s="491">
        <v>4</v>
      </c>
      <c r="D8807" s="491">
        <v>0</v>
      </c>
      <c r="E8807" s="491">
        <v>0</v>
      </c>
      <c r="F8807" s="491">
        <v>0</v>
      </c>
      <c r="G8807" s="491">
        <f t="shared" si="138"/>
        <v>4</v>
      </c>
    </row>
    <row r="8808" spans="1:7" ht="12.75">
      <c r="A8808" s="134" t="s">
        <v>1001</v>
      </c>
      <c r="B8808" s="134">
        <v>340</v>
      </c>
      <c r="C8808" s="491">
        <v>1</v>
      </c>
      <c r="D8808" s="491">
        <v>0</v>
      </c>
      <c r="E8808" s="491">
        <v>0</v>
      </c>
      <c r="F8808" s="491">
        <v>0</v>
      </c>
      <c r="G8808" s="491">
        <f t="shared" si="138"/>
        <v>1</v>
      </c>
    </row>
    <row r="8809" spans="1:7" ht="12.75">
      <c r="A8809" s="134" t="s">
        <v>1001</v>
      </c>
      <c r="B8809" s="134">
        <v>361</v>
      </c>
      <c r="C8809" s="491">
        <v>1</v>
      </c>
      <c r="D8809" s="491">
        <v>0</v>
      </c>
      <c r="E8809" s="491">
        <v>0</v>
      </c>
      <c r="F8809" s="491">
        <v>0</v>
      </c>
      <c r="G8809" s="491">
        <f t="shared" si="138"/>
        <v>1</v>
      </c>
    </row>
    <row r="8810" spans="1:7" ht="12.75">
      <c r="A8810" s="134" t="s">
        <v>1001</v>
      </c>
      <c r="B8810" s="134">
        <v>370</v>
      </c>
      <c r="C8810" s="491">
        <v>35</v>
      </c>
      <c r="D8810" s="491">
        <v>6</v>
      </c>
      <c r="E8810" s="491">
        <v>0</v>
      </c>
      <c r="F8810" s="491">
        <v>0</v>
      </c>
      <c r="G8810" s="491">
        <f t="shared" si="138"/>
        <v>41</v>
      </c>
    </row>
    <row r="8811" spans="1:7" ht="12.75">
      <c r="A8811" s="134" t="s">
        <v>1001</v>
      </c>
      <c r="B8811" s="134">
        <v>800</v>
      </c>
      <c r="C8811" s="491">
        <v>2</v>
      </c>
      <c r="D8811" s="491">
        <v>3</v>
      </c>
      <c r="E8811" s="491">
        <v>0</v>
      </c>
      <c r="F8811" s="491">
        <v>0</v>
      </c>
      <c r="G8811" s="491">
        <f t="shared" si="138"/>
        <v>5</v>
      </c>
    </row>
    <row r="8812" spans="1:7" ht="12.75">
      <c r="A8812" s="134" t="s">
        <v>1001</v>
      </c>
      <c r="B8812" s="134">
        <v>811</v>
      </c>
      <c r="C8812" s="491">
        <v>0</v>
      </c>
      <c r="D8812" s="491">
        <v>2</v>
      </c>
      <c r="E8812" s="491">
        <v>0</v>
      </c>
      <c r="F8812" s="491">
        <v>1</v>
      </c>
      <c r="G8812" s="491">
        <f t="shared" si="138"/>
        <v>3</v>
      </c>
    </row>
    <row r="8813" spans="1:7" ht="12.75">
      <c r="A8813" s="134" t="s">
        <v>1001</v>
      </c>
      <c r="B8813" s="134">
        <v>812</v>
      </c>
      <c r="C8813" s="491">
        <v>45</v>
      </c>
      <c r="D8813" s="491">
        <v>31</v>
      </c>
      <c r="E8813" s="491">
        <v>0</v>
      </c>
      <c r="F8813" s="491">
        <v>0</v>
      </c>
      <c r="G8813" s="491">
        <f t="shared" si="138"/>
        <v>76</v>
      </c>
    </row>
    <row r="8814" spans="1:7" ht="12.75">
      <c r="A8814" s="134" t="s">
        <v>1002</v>
      </c>
      <c r="B8814" s="134">
        <v>300</v>
      </c>
      <c r="C8814" s="491">
        <v>0</v>
      </c>
      <c r="D8814" s="491">
        <v>1</v>
      </c>
      <c r="E8814" s="491">
        <v>0</v>
      </c>
      <c r="F8814" s="491">
        <v>0</v>
      </c>
      <c r="G8814" s="491">
        <f t="shared" si="138"/>
        <v>1</v>
      </c>
    </row>
    <row r="8815" spans="1:7" ht="12.75">
      <c r="A8815" s="134" t="s">
        <v>1002</v>
      </c>
      <c r="B8815" s="134">
        <v>301</v>
      </c>
      <c r="C8815" s="491">
        <v>2</v>
      </c>
      <c r="D8815" s="491">
        <v>0</v>
      </c>
      <c r="E8815" s="491">
        <v>0</v>
      </c>
      <c r="F8815" s="491">
        <v>0</v>
      </c>
      <c r="G8815" s="491">
        <f t="shared" si="138"/>
        <v>2</v>
      </c>
    </row>
    <row r="8816" spans="1:7" ht="12.75">
      <c r="A8816" s="134" t="s">
        <v>1002</v>
      </c>
      <c r="B8816" s="134">
        <v>370</v>
      </c>
      <c r="C8816" s="491">
        <v>82</v>
      </c>
      <c r="D8816" s="491">
        <v>2</v>
      </c>
      <c r="E8816" s="491">
        <v>0</v>
      </c>
      <c r="F8816" s="491">
        <v>0</v>
      </c>
      <c r="G8816" s="491">
        <f t="shared" si="138"/>
        <v>84</v>
      </c>
    </row>
    <row r="8817" spans="1:7" ht="12.75">
      <c r="A8817" s="134" t="s">
        <v>1002</v>
      </c>
      <c r="B8817" s="134">
        <v>800</v>
      </c>
      <c r="C8817" s="491">
        <v>25</v>
      </c>
      <c r="D8817" s="491">
        <v>2</v>
      </c>
      <c r="E8817" s="491">
        <v>0</v>
      </c>
      <c r="F8817" s="491">
        <v>0</v>
      </c>
      <c r="G8817" s="491">
        <f t="shared" si="138"/>
        <v>27</v>
      </c>
    </row>
    <row r="8818" spans="1:7" ht="12.75">
      <c r="A8818" s="134" t="s">
        <v>1003</v>
      </c>
      <c r="B8818" s="134">
        <v>260</v>
      </c>
      <c r="C8818" s="491">
        <v>1</v>
      </c>
      <c r="D8818" s="491">
        <v>0</v>
      </c>
      <c r="E8818" s="491">
        <v>0</v>
      </c>
      <c r="F8818" s="491">
        <v>0</v>
      </c>
      <c r="G8818" s="491">
        <f t="shared" si="138"/>
        <v>1</v>
      </c>
    </row>
    <row r="8819" spans="1:7" ht="12.75">
      <c r="A8819" s="134" t="s">
        <v>1003</v>
      </c>
      <c r="B8819" s="134">
        <v>340</v>
      </c>
      <c r="C8819" s="491">
        <v>1</v>
      </c>
      <c r="D8819" s="491">
        <v>0</v>
      </c>
      <c r="E8819" s="491">
        <v>0</v>
      </c>
      <c r="F8819" s="491">
        <v>0</v>
      </c>
      <c r="G8819" s="491">
        <f t="shared" si="138"/>
        <v>1</v>
      </c>
    </row>
    <row r="8820" spans="1:7" ht="12.75">
      <c r="A8820" s="134" t="s">
        <v>1003</v>
      </c>
      <c r="B8820" s="134">
        <v>370</v>
      </c>
      <c r="C8820" s="491">
        <v>20</v>
      </c>
      <c r="D8820" s="491">
        <v>0</v>
      </c>
      <c r="E8820" s="491">
        <v>0</v>
      </c>
      <c r="F8820" s="491">
        <v>0</v>
      </c>
      <c r="G8820" s="491">
        <f t="shared" si="138"/>
        <v>20</v>
      </c>
    </row>
    <row r="8821" spans="1:7" ht="12.75">
      <c r="A8821" s="134" t="s">
        <v>1003</v>
      </c>
      <c r="B8821" s="134">
        <v>420</v>
      </c>
      <c r="C8821" s="491">
        <v>1</v>
      </c>
      <c r="D8821" s="491">
        <v>0</v>
      </c>
      <c r="E8821" s="491">
        <v>0</v>
      </c>
      <c r="F8821" s="491">
        <v>0</v>
      </c>
      <c r="G8821" s="491">
        <f t="shared" si="138"/>
        <v>1</v>
      </c>
    </row>
    <row r="8822" spans="1:7" ht="12.75">
      <c r="A8822" s="134" t="s">
        <v>1003</v>
      </c>
      <c r="B8822" s="134">
        <v>800</v>
      </c>
      <c r="C8822" s="491">
        <v>11</v>
      </c>
      <c r="D8822" s="491">
        <v>0</v>
      </c>
      <c r="E8822" s="491">
        <v>0</v>
      </c>
      <c r="F8822" s="491">
        <v>0</v>
      </c>
      <c r="G8822" s="491">
        <f t="shared" si="138"/>
        <v>11</v>
      </c>
    </row>
    <row r="8823" spans="1:7" ht="12.75">
      <c r="A8823" s="134" t="s">
        <v>1004</v>
      </c>
      <c r="B8823" s="134">
        <v>107</v>
      </c>
      <c r="C8823" s="491">
        <v>0</v>
      </c>
      <c r="D8823" s="491">
        <v>1</v>
      </c>
      <c r="E8823" s="491">
        <v>0</v>
      </c>
      <c r="F8823" s="491">
        <v>0</v>
      </c>
      <c r="G8823" s="491">
        <f t="shared" si="138"/>
        <v>1</v>
      </c>
    </row>
    <row r="8824" spans="1:7" ht="12.75">
      <c r="A8824" s="134" t="s">
        <v>1004</v>
      </c>
      <c r="B8824" s="134">
        <v>811</v>
      </c>
      <c r="C8824" s="491">
        <v>0</v>
      </c>
      <c r="D8824" s="491">
        <v>11</v>
      </c>
      <c r="E8824" s="491">
        <v>0</v>
      </c>
      <c r="F8824" s="491">
        <v>0</v>
      </c>
      <c r="G8824" s="491">
        <f t="shared" si="138"/>
        <v>11</v>
      </c>
    </row>
    <row r="8825" spans="1:7" ht="12.75">
      <c r="A8825" s="134" t="s">
        <v>1005</v>
      </c>
      <c r="B8825" s="134">
        <v>101</v>
      </c>
      <c r="C8825" s="491">
        <v>28</v>
      </c>
      <c r="D8825" s="491">
        <v>8</v>
      </c>
      <c r="E8825" s="491">
        <v>0</v>
      </c>
      <c r="F8825" s="491">
        <v>0</v>
      </c>
      <c r="G8825" s="491">
        <f t="shared" si="138"/>
        <v>36</v>
      </c>
    </row>
    <row r="8826" spans="1:7" ht="12.75">
      <c r="A8826" s="134" t="s">
        <v>1005</v>
      </c>
      <c r="B8826" s="134">
        <v>103</v>
      </c>
      <c r="C8826" s="491">
        <v>2</v>
      </c>
      <c r="D8826" s="491">
        <v>0</v>
      </c>
      <c r="E8826" s="491">
        <v>0</v>
      </c>
      <c r="F8826" s="491">
        <v>0</v>
      </c>
      <c r="G8826" s="491">
        <f t="shared" si="138"/>
        <v>2</v>
      </c>
    </row>
    <row r="8827" spans="1:7" ht="12.75">
      <c r="A8827" s="134" t="s">
        <v>1005</v>
      </c>
      <c r="B8827" s="134">
        <v>190</v>
      </c>
      <c r="C8827" s="491">
        <v>1</v>
      </c>
      <c r="D8827" s="491">
        <v>0</v>
      </c>
      <c r="E8827" s="491">
        <v>0</v>
      </c>
      <c r="F8827" s="491">
        <v>0</v>
      </c>
      <c r="G8827" s="491">
        <f t="shared" si="138"/>
        <v>1</v>
      </c>
    </row>
    <row r="8828" spans="1:7" ht="12.75">
      <c r="A8828" s="134" t="s">
        <v>1005</v>
      </c>
      <c r="B8828" s="134">
        <v>191</v>
      </c>
      <c r="C8828" s="491">
        <v>0</v>
      </c>
      <c r="D8828" s="491">
        <v>1</v>
      </c>
      <c r="E8828" s="491">
        <v>0</v>
      </c>
      <c r="F8828" s="491">
        <v>0</v>
      </c>
      <c r="G8828" s="491">
        <f t="shared" si="138"/>
        <v>1</v>
      </c>
    </row>
    <row r="8829" spans="1:7" ht="12.75">
      <c r="A8829" s="134" t="s">
        <v>1005</v>
      </c>
      <c r="B8829" s="134">
        <v>300</v>
      </c>
      <c r="C8829" s="491">
        <v>0</v>
      </c>
      <c r="D8829" s="491">
        <v>1</v>
      </c>
      <c r="E8829" s="491">
        <v>0</v>
      </c>
      <c r="F8829" s="491">
        <v>0</v>
      </c>
      <c r="G8829" s="491">
        <f t="shared" si="138"/>
        <v>1</v>
      </c>
    </row>
    <row r="8830" spans="1:7" ht="12.75">
      <c r="A8830" s="134" t="s">
        <v>1005</v>
      </c>
      <c r="B8830" s="134">
        <v>340</v>
      </c>
      <c r="C8830" s="491">
        <v>1</v>
      </c>
      <c r="D8830" s="491">
        <v>0</v>
      </c>
      <c r="E8830" s="491">
        <v>0</v>
      </c>
      <c r="F8830" s="491">
        <v>0</v>
      </c>
      <c r="G8830" s="491">
        <f t="shared" si="138"/>
        <v>1</v>
      </c>
    </row>
    <row r="8831" spans="1:7" ht="12.75">
      <c r="A8831" s="134" t="s">
        <v>1005</v>
      </c>
      <c r="B8831" s="134">
        <v>361</v>
      </c>
      <c r="C8831" s="491">
        <v>8</v>
      </c>
      <c r="D8831" s="491">
        <v>0</v>
      </c>
      <c r="E8831" s="491">
        <v>0</v>
      </c>
      <c r="F8831" s="491">
        <v>0</v>
      </c>
      <c r="G8831" s="491">
        <f t="shared" si="138"/>
        <v>8</v>
      </c>
    </row>
    <row r="8832" spans="1:7" ht="12.75">
      <c r="A8832" s="134" t="s">
        <v>1005</v>
      </c>
      <c r="B8832" s="134">
        <v>370</v>
      </c>
      <c r="C8832" s="491">
        <v>2</v>
      </c>
      <c r="D8832" s="491">
        <v>0</v>
      </c>
      <c r="E8832" s="491">
        <v>0</v>
      </c>
      <c r="F8832" s="491">
        <v>0</v>
      </c>
      <c r="G8832" s="491">
        <f t="shared" si="138"/>
        <v>2</v>
      </c>
    </row>
    <row r="8833" spans="1:7" ht="12.75">
      <c r="A8833" s="134" t="s">
        <v>1005</v>
      </c>
      <c r="B8833" s="134">
        <v>800</v>
      </c>
      <c r="C8833" s="491">
        <v>3</v>
      </c>
      <c r="D8833" s="491">
        <v>1</v>
      </c>
      <c r="E8833" s="491">
        <v>0</v>
      </c>
      <c r="F8833" s="491">
        <v>0</v>
      </c>
      <c r="G8833" s="491">
        <f t="shared" si="138"/>
        <v>4</v>
      </c>
    </row>
    <row r="8834" spans="1:7" ht="12.75">
      <c r="A8834" s="134" t="s">
        <v>1005</v>
      </c>
      <c r="B8834" s="134">
        <v>811</v>
      </c>
      <c r="C8834" s="491">
        <v>0</v>
      </c>
      <c r="D8834" s="491">
        <v>1</v>
      </c>
      <c r="E8834" s="491">
        <v>0</v>
      </c>
      <c r="F8834" s="491">
        <v>0</v>
      </c>
      <c r="G8834" s="491">
        <f t="shared" si="138"/>
        <v>1</v>
      </c>
    </row>
    <row r="8835" spans="1:7" ht="12.75">
      <c r="A8835" s="134" t="s">
        <v>1005</v>
      </c>
      <c r="B8835" s="134">
        <v>812</v>
      </c>
      <c r="C8835" s="491">
        <v>76</v>
      </c>
      <c r="D8835" s="491">
        <v>8</v>
      </c>
      <c r="E8835" s="491">
        <v>0</v>
      </c>
      <c r="F8835" s="491">
        <v>0</v>
      </c>
      <c r="G8835" s="491">
        <f t="shared" si="138"/>
        <v>84</v>
      </c>
    </row>
    <row r="8836" spans="1:7" ht="12.75">
      <c r="A8836" s="134" t="s">
        <v>1006</v>
      </c>
      <c r="B8836" s="134">
        <v>100</v>
      </c>
      <c r="C8836" s="491">
        <v>6</v>
      </c>
      <c r="D8836" s="491">
        <v>12</v>
      </c>
      <c r="E8836" s="491">
        <v>3</v>
      </c>
      <c r="F8836" s="491">
        <v>4</v>
      </c>
      <c r="G8836" s="491">
        <f t="shared" si="138"/>
        <v>25</v>
      </c>
    </row>
    <row r="8837" spans="1:7" ht="12.75">
      <c r="A8837" s="134" t="s">
        <v>1006</v>
      </c>
      <c r="B8837" s="134">
        <v>301</v>
      </c>
      <c r="C8837" s="491">
        <v>1</v>
      </c>
      <c r="D8837" s="491">
        <v>0</v>
      </c>
      <c r="E8837" s="491">
        <v>0</v>
      </c>
      <c r="F8837" s="491">
        <v>0</v>
      </c>
      <c r="G8837" s="491">
        <f t="shared" si="138"/>
        <v>1</v>
      </c>
    </row>
    <row r="8838" spans="1:7" ht="12.75">
      <c r="A8838" s="134" t="s">
        <v>1006</v>
      </c>
      <c r="B8838" s="134">
        <v>306</v>
      </c>
      <c r="C8838" s="491">
        <v>1</v>
      </c>
      <c r="D8838" s="491">
        <v>0</v>
      </c>
      <c r="E8838" s="491">
        <v>0</v>
      </c>
      <c r="F8838" s="491">
        <v>0</v>
      </c>
      <c r="G8838" s="491">
        <f t="shared" si="138"/>
        <v>1</v>
      </c>
    </row>
    <row r="8839" spans="1:7" ht="12.75">
      <c r="A8839" s="134" t="s">
        <v>1006</v>
      </c>
      <c r="B8839" s="134">
        <v>315</v>
      </c>
      <c r="C8839" s="491">
        <v>0</v>
      </c>
      <c r="D8839" s="491">
        <v>1</v>
      </c>
      <c r="E8839" s="491">
        <v>0</v>
      </c>
      <c r="F8839" s="491">
        <v>0</v>
      </c>
      <c r="G8839" s="491">
        <f t="shared" si="138"/>
        <v>1</v>
      </c>
    </row>
    <row r="8840" spans="1:7" ht="12.75">
      <c r="A8840" s="134" t="s">
        <v>1006</v>
      </c>
      <c r="B8840" s="134">
        <v>320</v>
      </c>
      <c r="C8840" s="491">
        <v>0</v>
      </c>
      <c r="D8840" s="491">
        <v>1</v>
      </c>
      <c r="E8840" s="491">
        <v>0</v>
      </c>
      <c r="F8840" s="491">
        <v>0</v>
      </c>
      <c r="G8840" s="491">
        <f t="shared" si="138"/>
        <v>1</v>
      </c>
    </row>
    <row r="8841" spans="1:7" ht="12.75">
      <c r="A8841" s="134" t="s">
        <v>1006</v>
      </c>
      <c r="B8841" s="134">
        <v>370</v>
      </c>
      <c r="C8841" s="491">
        <v>23</v>
      </c>
      <c r="D8841" s="491">
        <v>0</v>
      </c>
      <c r="E8841" s="491">
        <v>0</v>
      </c>
      <c r="F8841" s="491">
        <v>0</v>
      </c>
      <c r="G8841" s="491">
        <f t="shared" si="138"/>
        <v>23</v>
      </c>
    </row>
    <row r="8842" spans="1:7" ht="12.75">
      <c r="A8842" s="134" t="s">
        <v>1006</v>
      </c>
      <c r="B8842" s="134">
        <v>800</v>
      </c>
      <c r="C8842" s="491">
        <v>19</v>
      </c>
      <c r="D8842" s="491">
        <v>0</v>
      </c>
      <c r="E8842" s="491">
        <v>0</v>
      </c>
      <c r="F8842" s="491">
        <v>0</v>
      </c>
      <c r="G8842" s="491">
        <f t="shared" si="138"/>
        <v>19</v>
      </c>
    </row>
    <row r="8843" spans="1:7" ht="12.75">
      <c r="A8843" s="134" t="s">
        <v>1006</v>
      </c>
      <c r="B8843" s="134">
        <v>811</v>
      </c>
      <c r="C8843" s="491">
        <v>0</v>
      </c>
      <c r="D8843" s="491">
        <v>1</v>
      </c>
      <c r="E8843" s="491">
        <v>0</v>
      </c>
      <c r="F8843" s="491">
        <v>0</v>
      </c>
      <c r="G8843" s="491">
        <f t="shared" si="138"/>
        <v>1</v>
      </c>
    </row>
    <row r="8844" spans="1:7" ht="12.75">
      <c r="A8844" s="134" t="s">
        <v>1006</v>
      </c>
      <c r="B8844" s="134">
        <v>812</v>
      </c>
      <c r="C8844" s="491">
        <v>249</v>
      </c>
      <c r="D8844" s="491">
        <v>30</v>
      </c>
      <c r="E8844" s="491">
        <v>0</v>
      </c>
      <c r="F8844" s="491">
        <v>0</v>
      </c>
      <c r="G8844" s="491">
        <f t="shared" si="138"/>
        <v>279</v>
      </c>
    </row>
    <row r="8845" spans="1:7" ht="12.75">
      <c r="A8845" s="134" t="s">
        <v>1007</v>
      </c>
      <c r="B8845" s="134">
        <v>101</v>
      </c>
      <c r="C8845" s="491">
        <v>0</v>
      </c>
      <c r="D8845" s="491">
        <v>1</v>
      </c>
      <c r="E8845" s="491">
        <v>0</v>
      </c>
      <c r="F8845" s="491">
        <v>0</v>
      </c>
      <c r="G8845" s="491">
        <f t="shared" ref="G8845:G8875" si="139">SUM(C8845:F8845)</f>
        <v>1</v>
      </c>
    </row>
    <row r="8846" spans="1:7" ht="12.75">
      <c r="A8846" s="134" t="s">
        <v>1007</v>
      </c>
      <c r="B8846" s="134">
        <v>104</v>
      </c>
      <c r="C8846" s="491">
        <v>3</v>
      </c>
      <c r="D8846" s="491">
        <v>0</v>
      </c>
      <c r="E8846" s="491">
        <v>0</v>
      </c>
      <c r="F8846" s="491">
        <v>0</v>
      </c>
      <c r="G8846" s="491">
        <f t="shared" si="139"/>
        <v>3</v>
      </c>
    </row>
    <row r="8847" spans="1:7" ht="12.75">
      <c r="A8847" s="134" t="s">
        <v>1007</v>
      </c>
      <c r="B8847" s="134">
        <v>120</v>
      </c>
      <c r="C8847" s="491">
        <v>3</v>
      </c>
      <c r="D8847" s="491">
        <v>1</v>
      </c>
      <c r="E8847" s="491">
        <v>4</v>
      </c>
      <c r="F8847" s="491">
        <v>0</v>
      </c>
      <c r="G8847" s="491">
        <f t="shared" si="139"/>
        <v>8</v>
      </c>
    </row>
    <row r="8848" spans="1:7" ht="12.75">
      <c r="A8848" s="134" t="s">
        <v>1007</v>
      </c>
      <c r="B8848" s="134">
        <v>140</v>
      </c>
      <c r="C8848" s="491">
        <v>3</v>
      </c>
      <c r="D8848" s="491">
        <v>0</v>
      </c>
      <c r="E8848" s="491">
        <v>0</v>
      </c>
      <c r="F8848" s="491">
        <v>0</v>
      </c>
      <c r="G8848" s="491">
        <f t="shared" si="139"/>
        <v>3</v>
      </c>
    </row>
    <row r="8849" spans="1:7" ht="12.75">
      <c r="A8849" s="134" t="s">
        <v>1007</v>
      </c>
      <c r="B8849" s="134">
        <v>144</v>
      </c>
      <c r="C8849" s="491">
        <v>0</v>
      </c>
      <c r="D8849" s="491">
        <v>0</v>
      </c>
      <c r="E8849" s="491">
        <v>0</v>
      </c>
      <c r="F8849" s="491">
        <v>1</v>
      </c>
      <c r="G8849" s="491">
        <f t="shared" si="139"/>
        <v>1</v>
      </c>
    </row>
    <row r="8850" spans="1:7" ht="12.75">
      <c r="A8850" s="134" t="s">
        <v>1007</v>
      </c>
      <c r="B8850" s="134">
        <v>300</v>
      </c>
      <c r="C8850" s="491">
        <v>0</v>
      </c>
      <c r="D8850" s="491">
        <v>1</v>
      </c>
      <c r="E8850" s="491">
        <v>0</v>
      </c>
      <c r="F8850" s="491">
        <v>0</v>
      </c>
      <c r="G8850" s="491">
        <f t="shared" si="139"/>
        <v>1</v>
      </c>
    </row>
    <row r="8851" spans="1:7" ht="12.75">
      <c r="A8851" s="134" t="s">
        <v>1007</v>
      </c>
      <c r="B8851" s="134">
        <v>301</v>
      </c>
      <c r="C8851" s="491">
        <v>2</v>
      </c>
      <c r="D8851" s="491">
        <v>14</v>
      </c>
      <c r="E8851" s="491">
        <v>0</v>
      </c>
      <c r="F8851" s="491">
        <v>1</v>
      </c>
      <c r="G8851" s="491">
        <f t="shared" si="139"/>
        <v>17</v>
      </c>
    </row>
    <row r="8852" spans="1:7" ht="12.75">
      <c r="A8852" s="134" t="s">
        <v>1007</v>
      </c>
      <c r="B8852" s="134">
        <v>303</v>
      </c>
      <c r="C8852" s="491">
        <v>1</v>
      </c>
      <c r="D8852" s="491">
        <v>0</v>
      </c>
      <c r="E8852" s="491">
        <v>0</v>
      </c>
      <c r="F8852" s="491">
        <v>0</v>
      </c>
      <c r="G8852" s="491">
        <f t="shared" si="139"/>
        <v>1</v>
      </c>
    </row>
    <row r="8853" spans="1:7" ht="12.75">
      <c r="A8853" s="134" t="s">
        <v>1007</v>
      </c>
      <c r="B8853" s="134">
        <v>314</v>
      </c>
      <c r="C8853" s="491">
        <v>1</v>
      </c>
      <c r="D8853" s="491">
        <v>0</v>
      </c>
      <c r="E8853" s="491">
        <v>0</v>
      </c>
      <c r="F8853" s="491">
        <v>0</v>
      </c>
      <c r="G8853" s="491">
        <f t="shared" si="139"/>
        <v>1</v>
      </c>
    </row>
    <row r="8854" spans="1:7" ht="12.75">
      <c r="A8854" s="134" t="s">
        <v>1007</v>
      </c>
      <c r="B8854" s="134">
        <v>315</v>
      </c>
      <c r="C8854" s="491">
        <v>2</v>
      </c>
      <c r="D8854" s="491">
        <v>0</v>
      </c>
      <c r="E8854" s="491">
        <v>0</v>
      </c>
      <c r="F8854" s="491">
        <v>0</v>
      </c>
      <c r="G8854" s="491">
        <f t="shared" si="139"/>
        <v>2</v>
      </c>
    </row>
    <row r="8855" spans="1:7" ht="12.75">
      <c r="A8855" s="134" t="s">
        <v>1007</v>
      </c>
      <c r="B8855" s="134">
        <v>340</v>
      </c>
      <c r="C8855" s="491">
        <v>1</v>
      </c>
      <c r="D8855" s="491">
        <v>1</v>
      </c>
      <c r="E8855" s="491">
        <v>0</v>
      </c>
      <c r="F8855" s="491">
        <v>0</v>
      </c>
      <c r="G8855" s="491">
        <f t="shared" si="139"/>
        <v>2</v>
      </c>
    </row>
    <row r="8856" spans="1:7" ht="12.75">
      <c r="A8856" s="134" t="s">
        <v>1007</v>
      </c>
      <c r="B8856" s="134">
        <v>400</v>
      </c>
      <c r="C8856" s="491">
        <v>9</v>
      </c>
      <c r="D8856" s="491">
        <v>0</v>
      </c>
      <c r="E8856" s="491">
        <v>0</v>
      </c>
      <c r="F8856" s="491">
        <v>0</v>
      </c>
      <c r="G8856" s="491">
        <f t="shared" si="139"/>
        <v>9</v>
      </c>
    </row>
    <row r="8857" spans="1:7" ht="12.75">
      <c r="A8857" s="134" t="s">
        <v>1007</v>
      </c>
      <c r="B8857" s="134">
        <v>656</v>
      </c>
      <c r="C8857" s="491">
        <v>2</v>
      </c>
      <c r="D8857" s="491">
        <v>1</v>
      </c>
      <c r="E8857" s="491">
        <v>0</v>
      </c>
      <c r="F8857" s="491">
        <v>0</v>
      </c>
      <c r="G8857" s="491">
        <f t="shared" si="139"/>
        <v>3</v>
      </c>
    </row>
    <row r="8858" spans="1:7" ht="12.75">
      <c r="A8858" s="134" t="s">
        <v>1007</v>
      </c>
      <c r="B8858" s="134">
        <v>800</v>
      </c>
      <c r="C8858" s="491">
        <v>66</v>
      </c>
      <c r="D8858" s="491">
        <v>11</v>
      </c>
      <c r="E8858" s="491">
        <v>31</v>
      </c>
      <c r="F8858" s="491">
        <v>4</v>
      </c>
      <c r="G8858" s="491">
        <f t="shared" si="139"/>
        <v>112</v>
      </c>
    </row>
    <row r="8859" spans="1:7" ht="12.75">
      <c r="A8859" s="134" t="s">
        <v>1007</v>
      </c>
      <c r="B8859" s="134">
        <v>812</v>
      </c>
      <c r="C8859" s="491">
        <v>14</v>
      </c>
      <c r="D8859" s="491">
        <v>46</v>
      </c>
      <c r="E8859" s="491">
        <v>0</v>
      </c>
      <c r="F8859" s="491">
        <v>0</v>
      </c>
      <c r="G8859" s="491">
        <f t="shared" si="139"/>
        <v>60</v>
      </c>
    </row>
    <row r="8860" spans="1:7" ht="12.75">
      <c r="A8860" s="134" t="s">
        <v>1008</v>
      </c>
      <c r="B8860" s="134">
        <v>110</v>
      </c>
      <c r="C8860" s="491">
        <v>3</v>
      </c>
      <c r="D8860" s="491">
        <v>9</v>
      </c>
      <c r="E8860" s="491">
        <v>0</v>
      </c>
      <c r="F8860" s="491">
        <v>0</v>
      </c>
      <c r="G8860" s="491">
        <f t="shared" si="139"/>
        <v>12</v>
      </c>
    </row>
    <row r="8861" spans="1:7" ht="12.75">
      <c r="A8861" s="134" t="s">
        <v>1008</v>
      </c>
      <c r="B8861" s="134">
        <v>130</v>
      </c>
      <c r="C8861" s="491">
        <v>2</v>
      </c>
      <c r="D8861" s="491">
        <v>0</v>
      </c>
      <c r="E8861" s="491">
        <v>0</v>
      </c>
      <c r="F8861" s="491">
        <v>0</v>
      </c>
      <c r="G8861" s="491">
        <f t="shared" si="139"/>
        <v>2</v>
      </c>
    </row>
    <row r="8862" spans="1:7" ht="12.75">
      <c r="A8862" s="134" t="s">
        <v>1008</v>
      </c>
      <c r="B8862" s="134">
        <v>140</v>
      </c>
      <c r="C8862" s="491">
        <v>1</v>
      </c>
      <c r="D8862" s="491">
        <v>1</v>
      </c>
      <c r="E8862" s="491">
        <v>0</v>
      </c>
      <c r="F8862" s="491">
        <v>0</v>
      </c>
      <c r="G8862" s="491">
        <f t="shared" si="139"/>
        <v>2</v>
      </c>
    </row>
    <row r="8863" spans="1:7" ht="12.75">
      <c r="A8863" s="134" t="s">
        <v>1008</v>
      </c>
      <c r="B8863" s="134">
        <v>143</v>
      </c>
      <c r="C8863" s="491">
        <v>0</v>
      </c>
      <c r="D8863" s="491">
        <v>1</v>
      </c>
      <c r="E8863" s="491">
        <v>0</v>
      </c>
      <c r="F8863" s="491">
        <v>0</v>
      </c>
      <c r="G8863" s="491">
        <f t="shared" si="139"/>
        <v>1</v>
      </c>
    </row>
    <row r="8864" spans="1:7" ht="12.75">
      <c r="A8864" s="134" t="s">
        <v>1008</v>
      </c>
      <c r="B8864" s="134">
        <v>501</v>
      </c>
      <c r="C8864" s="491">
        <v>1</v>
      </c>
      <c r="D8864" s="491">
        <v>0</v>
      </c>
      <c r="E8864" s="491">
        <v>0</v>
      </c>
      <c r="F8864" s="491">
        <v>0</v>
      </c>
      <c r="G8864" s="491">
        <f t="shared" si="139"/>
        <v>1</v>
      </c>
    </row>
    <row r="8865" spans="1:7" ht="12.75">
      <c r="A8865" s="134" t="s">
        <v>1009</v>
      </c>
      <c r="B8865" s="134">
        <v>130</v>
      </c>
      <c r="C8865" s="491">
        <v>0</v>
      </c>
      <c r="D8865" s="491">
        <v>2</v>
      </c>
      <c r="E8865" s="491">
        <v>0</v>
      </c>
      <c r="F8865" s="491">
        <v>0</v>
      </c>
      <c r="G8865" s="491">
        <f t="shared" si="139"/>
        <v>2</v>
      </c>
    </row>
    <row r="8866" spans="1:7" ht="12.75">
      <c r="A8866" s="134" t="s">
        <v>1009</v>
      </c>
      <c r="B8866" s="134">
        <v>150</v>
      </c>
      <c r="C8866" s="491">
        <v>14</v>
      </c>
      <c r="D8866" s="491">
        <v>11</v>
      </c>
      <c r="E8866" s="491">
        <v>0</v>
      </c>
      <c r="F8866" s="491">
        <v>13</v>
      </c>
      <c r="G8866" s="491">
        <f t="shared" si="139"/>
        <v>38</v>
      </c>
    </row>
    <row r="8867" spans="1:7" ht="12.75">
      <c r="A8867" s="134" t="s">
        <v>1009</v>
      </c>
      <c r="B8867" s="134">
        <v>180</v>
      </c>
      <c r="C8867" s="491">
        <v>0</v>
      </c>
      <c r="D8867" s="491">
        <v>1</v>
      </c>
      <c r="E8867" s="491">
        <v>0</v>
      </c>
      <c r="F8867" s="491">
        <v>0</v>
      </c>
      <c r="G8867" s="491">
        <f t="shared" si="139"/>
        <v>1</v>
      </c>
    </row>
    <row r="8868" spans="1:7" ht="12.75">
      <c r="A8868" s="134" t="s">
        <v>1009</v>
      </c>
      <c r="B8868" s="134">
        <v>400</v>
      </c>
      <c r="C8868" s="491">
        <v>0</v>
      </c>
      <c r="D8868" s="491">
        <v>2</v>
      </c>
      <c r="E8868" s="491">
        <v>0</v>
      </c>
      <c r="F8868" s="491">
        <v>0</v>
      </c>
      <c r="G8868" s="491">
        <f t="shared" si="139"/>
        <v>2</v>
      </c>
    </row>
    <row r="8869" spans="1:7" ht="12.75">
      <c r="A8869" s="134" t="s">
        <v>1009</v>
      </c>
      <c r="B8869" s="134">
        <v>421</v>
      </c>
      <c r="C8869" s="491">
        <v>1</v>
      </c>
      <c r="D8869" s="491">
        <v>1</v>
      </c>
      <c r="E8869" s="491">
        <v>0</v>
      </c>
      <c r="F8869" s="491">
        <v>0</v>
      </c>
      <c r="G8869" s="491">
        <f t="shared" si="139"/>
        <v>2</v>
      </c>
    </row>
    <row r="8870" spans="1:7" ht="12.75">
      <c r="A8870" s="134" t="s">
        <v>1009</v>
      </c>
      <c r="B8870" s="134">
        <v>430</v>
      </c>
      <c r="C8870" s="491">
        <v>1</v>
      </c>
      <c r="D8870" s="491">
        <v>0</v>
      </c>
      <c r="E8870" s="491">
        <v>0</v>
      </c>
      <c r="F8870" s="491">
        <v>0</v>
      </c>
      <c r="G8870" s="491">
        <f t="shared" si="139"/>
        <v>1</v>
      </c>
    </row>
    <row r="8871" spans="1:7" ht="12.75">
      <c r="A8871" s="134" t="s">
        <v>1009</v>
      </c>
      <c r="B8871" s="134">
        <v>812</v>
      </c>
      <c r="C8871" s="491">
        <v>183</v>
      </c>
      <c r="D8871" s="491">
        <v>1</v>
      </c>
      <c r="E8871" s="491">
        <v>0</v>
      </c>
      <c r="F8871" s="491">
        <v>0</v>
      </c>
      <c r="G8871" s="491">
        <f t="shared" si="139"/>
        <v>184</v>
      </c>
    </row>
    <row r="8872" spans="1:7" ht="12.75">
      <c r="A8872" s="134" t="s">
        <v>1066</v>
      </c>
      <c r="B8872" s="134">
        <v>100</v>
      </c>
      <c r="C8872" s="491">
        <v>3</v>
      </c>
      <c r="D8872" s="491">
        <v>0</v>
      </c>
      <c r="E8872" s="491">
        <v>0</v>
      </c>
      <c r="F8872" s="491">
        <v>0</v>
      </c>
      <c r="G8872" s="491">
        <f t="shared" si="139"/>
        <v>3</v>
      </c>
    </row>
    <row r="8873" spans="1:7" ht="12.75">
      <c r="A8873" s="134" t="s">
        <v>1066</v>
      </c>
      <c r="B8873" s="134">
        <v>502</v>
      </c>
      <c r="C8873" s="491">
        <v>1</v>
      </c>
      <c r="D8873" s="491">
        <v>6</v>
      </c>
      <c r="E8873" s="491">
        <v>0</v>
      </c>
      <c r="F8873" s="491">
        <v>0</v>
      </c>
      <c r="G8873" s="491">
        <f t="shared" si="139"/>
        <v>7</v>
      </c>
    </row>
    <row r="8874" spans="1:7" ht="12.75">
      <c r="A8874" s="134" t="s">
        <v>1066</v>
      </c>
      <c r="B8874" s="134">
        <v>811</v>
      </c>
      <c r="C8874" s="491">
        <v>1</v>
      </c>
      <c r="D8874" s="491">
        <v>1</v>
      </c>
      <c r="E8874" s="491">
        <v>0</v>
      </c>
      <c r="F8874" s="491">
        <v>0</v>
      </c>
      <c r="G8874" s="491">
        <f t="shared" si="139"/>
        <v>2</v>
      </c>
    </row>
    <row r="8875" spans="1:7" ht="12.75">
      <c r="A8875" s="134" t="s">
        <v>1066</v>
      </c>
      <c r="B8875" s="134">
        <v>812</v>
      </c>
      <c r="C8875" s="491">
        <v>73</v>
      </c>
      <c r="D8875" s="491">
        <v>3</v>
      </c>
      <c r="E8875" s="491">
        <v>0</v>
      </c>
      <c r="F8875" s="491">
        <v>0</v>
      </c>
      <c r="G8875" s="491">
        <f t="shared" si="139"/>
        <v>76</v>
      </c>
    </row>
  </sheetData>
  <autoFilter ref="A2:G7884"/>
  <sortState ref="A2:L1021">
    <sortCondition ref="A2:A1021"/>
    <sortCondition ref="B2:B1021"/>
  </sortState>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ignoredErrors>
    <ignoredError sqref="G3:G8875"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G62"/>
  <sheetViews>
    <sheetView workbookViewId="0">
      <pane xSplit="1" ySplit="2" topLeftCell="B3" activePane="bottomRight" state="frozen"/>
      <selection pane="topRight" activeCell="B1" sqref="B1"/>
      <selection pane="bottomLeft" activeCell="A3" sqref="A3"/>
      <selection pane="bottomRight"/>
    </sheetView>
  </sheetViews>
  <sheetFormatPr defaultColWidth="9.140625" defaultRowHeight="12.75"/>
  <cols>
    <col min="1" max="1" width="10.5703125" style="69" customWidth="1"/>
    <col min="2" max="2" width="37.140625" style="69" customWidth="1"/>
    <col min="3" max="3" width="21.42578125" style="72" customWidth="1"/>
    <col min="4" max="6" width="26.140625" style="72" customWidth="1"/>
    <col min="7" max="7" width="32.28515625" style="72" customWidth="1"/>
    <col min="8" max="10" width="9.140625" style="72"/>
    <col min="11" max="12" width="9.140625" style="72" customWidth="1"/>
    <col min="13" max="16384" width="9.140625" style="72"/>
  </cols>
  <sheetData>
    <row r="1" spans="1:7" s="69" customFormat="1">
      <c r="A1" s="64" t="s">
        <v>545</v>
      </c>
      <c r="C1" s="71"/>
    </row>
    <row r="2" spans="1:7" s="70" customFormat="1" ht="38.25" customHeight="1">
      <c r="A2" s="493" t="s">
        <v>208</v>
      </c>
      <c r="B2" s="493" t="s">
        <v>549</v>
      </c>
      <c r="C2" s="166" t="s">
        <v>573</v>
      </c>
      <c r="D2" s="166" t="s">
        <v>574</v>
      </c>
      <c r="E2" s="492" t="s">
        <v>575</v>
      </c>
      <c r="F2" s="492" t="s">
        <v>576</v>
      </c>
      <c r="G2" s="492" t="s">
        <v>577</v>
      </c>
    </row>
    <row r="3" spans="1:7" s="69" customFormat="1">
      <c r="A3" s="167">
        <f>Mandatory!A3</f>
        <v>100</v>
      </c>
      <c r="B3" s="167" t="str">
        <f>+VLOOKUP(A3,'201314 RC list'!A:B,2,FALSE)</f>
        <v>General Surgery</v>
      </c>
      <c r="C3" s="168"/>
      <c r="D3" s="168"/>
      <c r="E3" s="168"/>
      <c r="F3" s="168"/>
      <c r="G3" s="168"/>
    </row>
    <row r="4" spans="1:7" s="69" customFormat="1">
      <c r="A4" s="167">
        <f>Mandatory!A4</f>
        <v>101</v>
      </c>
      <c r="B4" s="167" t="s">
        <v>7</v>
      </c>
      <c r="C4" s="168"/>
      <c r="D4" s="168"/>
      <c r="E4" s="168"/>
      <c r="F4" s="168"/>
      <c r="G4" s="168"/>
    </row>
    <row r="5" spans="1:7" s="69" customFormat="1">
      <c r="A5" s="167">
        <f>Mandatory!A5</f>
        <v>103</v>
      </c>
      <c r="B5" s="167" t="s">
        <v>8</v>
      </c>
      <c r="C5" s="168"/>
      <c r="D5" s="168"/>
      <c r="E5" s="168"/>
      <c r="F5" s="168"/>
      <c r="G5" s="168"/>
    </row>
    <row r="6" spans="1:7" s="69" customFormat="1">
      <c r="A6" s="167">
        <f>Mandatory!A6</f>
        <v>104</v>
      </c>
      <c r="B6" s="167" t="s">
        <v>11</v>
      </c>
      <c r="C6" s="168"/>
      <c r="D6" s="168"/>
      <c r="E6" s="168"/>
      <c r="F6" s="168"/>
      <c r="G6" s="168"/>
    </row>
    <row r="7" spans="1:7" s="69" customFormat="1">
      <c r="A7" s="167">
        <f>Mandatory!A7</f>
        <v>105</v>
      </c>
      <c r="B7" s="167" t="s">
        <v>12</v>
      </c>
      <c r="C7" s="168"/>
      <c r="D7" s="168"/>
      <c r="E7" s="168"/>
      <c r="F7" s="168"/>
      <c r="G7" s="168"/>
    </row>
    <row r="8" spans="1:7" s="69" customFormat="1">
      <c r="A8" s="167">
        <f>Mandatory!A8</f>
        <v>106</v>
      </c>
      <c r="B8" s="167" t="s">
        <v>19</v>
      </c>
      <c r="C8" s="168"/>
      <c r="D8" s="168"/>
      <c r="E8" s="168"/>
      <c r="F8" s="168"/>
      <c r="G8" s="168"/>
    </row>
    <row r="9" spans="1:7" s="69" customFormat="1">
      <c r="A9" s="167">
        <f>Mandatory!A9</f>
        <v>107</v>
      </c>
      <c r="B9" s="167" t="s">
        <v>38</v>
      </c>
      <c r="C9" s="168"/>
      <c r="D9" s="168"/>
      <c r="E9" s="168"/>
      <c r="F9" s="168"/>
      <c r="G9" s="168"/>
    </row>
    <row r="10" spans="1:7" s="69" customFormat="1">
      <c r="A10" s="167">
        <f>Mandatory!A10</f>
        <v>108</v>
      </c>
      <c r="B10" s="167" t="s">
        <v>43</v>
      </c>
      <c r="C10" s="168"/>
      <c r="D10" s="168"/>
      <c r="E10" s="168"/>
      <c r="F10" s="168"/>
      <c r="G10" s="168"/>
    </row>
    <row r="11" spans="1:7" s="69" customFormat="1">
      <c r="A11" s="167">
        <f>Mandatory!A11</f>
        <v>110</v>
      </c>
      <c r="B11" s="167" t="s">
        <v>44</v>
      </c>
      <c r="C11" s="168"/>
      <c r="D11" s="168"/>
      <c r="E11" s="168"/>
      <c r="F11" s="168"/>
      <c r="G11" s="168"/>
    </row>
    <row r="12" spans="1:7" s="69" customFormat="1">
      <c r="A12" s="167">
        <f>Mandatory!A12</f>
        <v>120</v>
      </c>
      <c r="B12" s="167" t="s">
        <v>45</v>
      </c>
      <c r="C12" s="168"/>
      <c r="D12" s="168"/>
      <c r="E12" s="168"/>
      <c r="F12" s="168"/>
      <c r="G12" s="168"/>
    </row>
    <row r="13" spans="1:7" s="69" customFormat="1">
      <c r="A13" s="167">
        <f>Mandatory!A13</f>
        <v>130</v>
      </c>
      <c r="B13" s="167" t="s">
        <v>47</v>
      </c>
      <c r="C13" s="168"/>
      <c r="D13" s="168"/>
      <c r="E13" s="168"/>
      <c r="F13" s="168"/>
      <c r="G13" s="168"/>
    </row>
    <row r="14" spans="1:7" s="69" customFormat="1">
      <c r="A14" s="167">
        <f>Mandatory!A14</f>
        <v>140</v>
      </c>
      <c r="B14" s="167" t="s">
        <v>62</v>
      </c>
      <c r="C14" s="168"/>
      <c r="D14" s="168"/>
      <c r="E14" s="168"/>
      <c r="F14" s="168"/>
      <c r="G14" s="168"/>
    </row>
    <row r="15" spans="1:7" s="69" customFormat="1">
      <c r="A15" s="167">
        <f>Mandatory!A15</f>
        <v>143</v>
      </c>
      <c r="B15" s="167" t="s">
        <v>26</v>
      </c>
      <c r="C15" s="168"/>
      <c r="D15" s="168"/>
      <c r="E15" s="168"/>
      <c r="F15" s="168"/>
      <c r="G15" s="168"/>
    </row>
    <row r="16" spans="1:7" s="69" customFormat="1">
      <c r="A16" s="167">
        <f>Mandatory!A16</f>
        <v>144</v>
      </c>
      <c r="B16" s="167" t="s">
        <v>27</v>
      </c>
      <c r="C16" s="168"/>
      <c r="D16" s="168"/>
      <c r="E16" s="168"/>
      <c r="F16" s="168"/>
      <c r="G16" s="168"/>
    </row>
    <row r="17" spans="1:7" s="69" customFormat="1">
      <c r="A17" s="167">
        <f>Mandatory!A17</f>
        <v>150</v>
      </c>
      <c r="B17" s="167" t="s">
        <v>64</v>
      </c>
      <c r="C17" s="168"/>
      <c r="D17" s="168"/>
      <c r="E17" s="168"/>
      <c r="F17" s="168"/>
      <c r="G17" s="168"/>
    </row>
    <row r="18" spans="1:7" s="69" customFormat="1">
      <c r="A18" s="167">
        <f>Mandatory!A18</f>
        <v>160</v>
      </c>
      <c r="B18" s="167" t="s">
        <v>29</v>
      </c>
      <c r="C18" s="168"/>
      <c r="D18" s="168"/>
      <c r="E18" s="168"/>
      <c r="F18" s="168"/>
      <c r="G18" s="168"/>
    </row>
    <row r="19" spans="1:7" s="69" customFormat="1">
      <c r="A19" s="167">
        <f>Mandatory!A19</f>
        <v>170</v>
      </c>
      <c r="B19" s="167" t="s">
        <v>30</v>
      </c>
      <c r="C19" s="168"/>
      <c r="D19" s="168"/>
      <c r="E19" s="168"/>
      <c r="F19" s="168"/>
      <c r="G19" s="168"/>
    </row>
    <row r="20" spans="1:7" s="69" customFormat="1">
      <c r="A20" s="167">
        <f>Mandatory!A20</f>
        <v>171</v>
      </c>
      <c r="B20" s="167" t="s">
        <v>34</v>
      </c>
      <c r="C20" s="168"/>
      <c r="D20" s="168"/>
      <c r="E20" s="168"/>
      <c r="F20" s="168"/>
      <c r="G20" s="168"/>
    </row>
    <row r="21" spans="1:7" s="69" customFormat="1">
      <c r="A21" s="167">
        <f>Mandatory!A21</f>
        <v>172</v>
      </c>
      <c r="B21" s="167" t="str">
        <f>+VLOOKUP(A21,'201314 RC list'!A:B,2,FALSE)</f>
        <v>Cardiac Surgery</v>
      </c>
      <c r="C21" s="168"/>
      <c r="D21" s="168"/>
      <c r="E21" s="168"/>
      <c r="F21" s="168"/>
      <c r="G21" s="168"/>
    </row>
    <row r="22" spans="1:7">
      <c r="A22" s="167">
        <f>Mandatory!A22</f>
        <v>173</v>
      </c>
      <c r="B22" s="167" t="str">
        <f>+VLOOKUP(A22,'201314 RC list'!A:B,2,FALSE)</f>
        <v>Thoracic Surgery</v>
      </c>
      <c r="C22" s="169"/>
      <c r="D22" s="169"/>
      <c r="E22" s="169"/>
      <c r="F22" s="169"/>
      <c r="G22" s="169"/>
    </row>
    <row r="23" spans="1:7">
      <c r="A23" s="167">
        <f>Mandatory!A23</f>
        <v>190</v>
      </c>
      <c r="B23" s="167" t="str">
        <f>+VLOOKUP(A23,'201314 RC list'!A:B,2,FALSE)</f>
        <v>Anaesthetics</v>
      </c>
      <c r="C23" s="169"/>
      <c r="D23" s="169"/>
      <c r="E23" s="169"/>
      <c r="F23" s="169"/>
      <c r="G23" s="169"/>
    </row>
    <row r="24" spans="1:7">
      <c r="A24" s="167">
        <f>Mandatory!A24</f>
        <v>191</v>
      </c>
      <c r="B24" s="167" t="str">
        <f>+VLOOKUP(A24,'201314 RC list'!A:B,2,FALSE)</f>
        <v>Pain Management</v>
      </c>
      <c r="C24" s="169"/>
      <c r="D24" s="169"/>
      <c r="E24" s="169"/>
      <c r="F24" s="169"/>
      <c r="G24" s="169"/>
    </row>
    <row r="25" spans="1:7">
      <c r="A25" s="167">
        <f>Mandatory!A25</f>
        <v>211</v>
      </c>
      <c r="B25" s="167" t="str">
        <f>+VLOOKUP(A25,'201314 RC list'!A:B,2,FALSE)</f>
        <v>Paediatric Urology</v>
      </c>
      <c r="C25" s="169"/>
      <c r="D25" s="169"/>
      <c r="E25" s="169"/>
      <c r="F25" s="169"/>
      <c r="G25" s="169"/>
    </row>
    <row r="26" spans="1:7">
      <c r="A26" s="167">
        <f>Mandatory!A26</f>
        <v>214</v>
      </c>
      <c r="B26" s="167" t="str">
        <f>+VLOOKUP(A26,'201314 RC list'!A:B,2,FALSE)</f>
        <v>Paediatric Trauma and Orthopaedics</v>
      </c>
      <c r="C26" s="169"/>
      <c r="D26" s="169"/>
      <c r="E26" s="169"/>
      <c r="F26" s="169"/>
      <c r="G26" s="169"/>
    </row>
    <row r="27" spans="1:7">
      <c r="A27" s="167">
        <f>Mandatory!A27</f>
        <v>215</v>
      </c>
      <c r="B27" s="167" t="str">
        <f>+VLOOKUP(A27,'201314 RC list'!A:B,2,FALSE)</f>
        <v>Paediatric Ear Nose and Throat</v>
      </c>
      <c r="C27" s="169"/>
      <c r="D27" s="169"/>
      <c r="E27" s="169"/>
      <c r="F27" s="169"/>
      <c r="G27" s="169"/>
    </row>
    <row r="28" spans="1:7">
      <c r="A28" s="167">
        <f>Mandatory!A28</f>
        <v>216</v>
      </c>
      <c r="B28" s="167" t="str">
        <f>+VLOOKUP(A28,'201314 RC list'!A:B,2,FALSE)</f>
        <v>Paediatric Ophthalmology</v>
      </c>
      <c r="C28" s="169"/>
      <c r="D28" s="169"/>
      <c r="E28" s="169"/>
      <c r="F28" s="169"/>
      <c r="G28" s="169"/>
    </row>
    <row r="29" spans="1:7">
      <c r="A29" s="167">
        <f>Mandatory!A29</f>
        <v>217</v>
      </c>
      <c r="B29" s="167" t="str">
        <f>+VLOOKUP(A29,'201314 RC list'!A:B,2,FALSE)</f>
        <v>Paediatric Maxillo-Facial Surgery</v>
      </c>
      <c r="C29" s="169"/>
      <c r="D29" s="169"/>
      <c r="E29" s="169"/>
      <c r="F29" s="169"/>
      <c r="G29" s="169"/>
    </row>
    <row r="30" spans="1:7">
      <c r="A30" s="167">
        <f>Mandatory!A30</f>
        <v>218</v>
      </c>
      <c r="B30" s="167" t="str">
        <f>+VLOOKUP(A30,'201314 RC list'!A:B,2,FALSE)</f>
        <v>Paediatric Neurosurgery</v>
      </c>
      <c r="C30" s="169"/>
      <c r="D30" s="169"/>
      <c r="E30" s="169"/>
      <c r="F30" s="169"/>
      <c r="G30" s="169"/>
    </row>
    <row r="31" spans="1:7">
      <c r="A31" s="167">
        <f>Mandatory!A31</f>
        <v>219</v>
      </c>
      <c r="B31" s="167" t="str">
        <f>+VLOOKUP(A31,'201314 RC list'!A:B,2,FALSE)</f>
        <v>Paediatric Plastic Surgery</v>
      </c>
      <c r="C31" s="169"/>
      <c r="D31" s="169"/>
      <c r="E31" s="169"/>
      <c r="F31" s="169"/>
      <c r="G31" s="169"/>
    </row>
    <row r="32" spans="1:7">
      <c r="A32" s="167">
        <f>Mandatory!A32</f>
        <v>223</v>
      </c>
      <c r="B32" s="167" t="str">
        <f>+VLOOKUP(A32,'201314 RC list'!A:B,2,FALSE)</f>
        <v>Paediatric Epilepsy</v>
      </c>
      <c r="C32" s="169"/>
      <c r="D32" s="169"/>
      <c r="E32" s="169"/>
      <c r="F32" s="169"/>
      <c r="G32" s="169"/>
    </row>
    <row r="33" spans="1:7">
      <c r="A33" s="167">
        <f>Mandatory!A33</f>
        <v>251</v>
      </c>
      <c r="B33" s="167" t="str">
        <f>+VLOOKUP(A33,'201314 RC list'!A:B,2,FALSE)</f>
        <v>Paediatric Gastroenterology</v>
      </c>
      <c r="C33" s="169"/>
      <c r="D33" s="169"/>
      <c r="E33" s="169"/>
      <c r="F33" s="169"/>
      <c r="G33" s="169"/>
    </row>
    <row r="34" spans="1:7">
      <c r="A34" s="167">
        <f>Mandatory!A34</f>
        <v>252</v>
      </c>
      <c r="B34" s="167" t="str">
        <f>+VLOOKUP(A34,'201314 RC list'!A:B,2,FALSE)</f>
        <v>Paediatric Endocrinology</v>
      </c>
      <c r="C34" s="169"/>
      <c r="D34" s="169"/>
      <c r="E34" s="169"/>
      <c r="F34" s="169"/>
      <c r="G34" s="169"/>
    </row>
    <row r="35" spans="1:7">
      <c r="A35" s="167">
        <f>Mandatory!A35</f>
        <v>253</v>
      </c>
      <c r="B35" s="167" t="str">
        <f>+VLOOKUP(A35,'201314 RC list'!A:B,2,FALSE)</f>
        <v>Paediatric Clinical Haematology</v>
      </c>
      <c r="C35" s="169"/>
      <c r="D35" s="169"/>
      <c r="E35" s="169"/>
      <c r="F35" s="169"/>
      <c r="G35" s="169"/>
    </row>
    <row r="36" spans="1:7">
      <c r="A36" s="167">
        <f>Mandatory!A36</f>
        <v>257</v>
      </c>
      <c r="B36" s="167" t="str">
        <f>+VLOOKUP(A36,'201314 RC list'!A:B,2,FALSE)</f>
        <v>Paediatric Dermatology</v>
      </c>
      <c r="C36" s="169"/>
      <c r="D36" s="169"/>
      <c r="E36" s="169"/>
      <c r="F36" s="169"/>
      <c r="G36" s="169"/>
    </row>
    <row r="37" spans="1:7">
      <c r="A37" s="167">
        <f>Mandatory!A37</f>
        <v>258</v>
      </c>
      <c r="B37" s="167" t="str">
        <f>+VLOOKUP(A37,'201314 RC list'!A:B,2,FALSE)</f>
        <v>Paediatric Respiratory Medicine</v>
      </c>
      <c r="C37" s="169"/>
      <c r="D37" s="169"/>
      <c r="E37" s="169"/>
      <c r="F37" s="169"/>
      <c r="G37" s="169"/>
    </row>
    <row r="38" spans="1:7">
      <c r="A38" s="167">
        <f>Mandatory!A38</f>
        <v>263</v>
      </c>
      <c r="B38" s="167" t="str">
        <f>+VLOOKUP(A38,'201314 RC list'!A:B,2,FALSE)</f>
        <v>Paediatric Diabetic Medicine</v>
      </c>
      <c r="C38" s="169"/>
      <c r="D38" s="169"/>
      <c r="E38" s="169"/>
      <c r="F38" s="169"/>
      <c r="G38" s="169"/>
    </row>
    <row r="39" spans="1:7">
      <c r="A39" s="167">
        <f>Mandatory!A39</f>
        <v>300</v>
      </c>
      <c r="B39" s="167" t="str">
        <f>+VLOOKUP(A39,'201314 RC list'!A:B,2,FALSE)</f>
        <v>General Medicine</v>
      </c>
      <c r="C39" s="169"/>
      <c r="D39" s="169"/>
      <c r="E39" s="169"/>
      <c r="F39" s="169"/>
      <c r="G39" s="169"/>
    </row>
    <row r="40" spans="1:7">
      <c r="A40" s="167">
        <f>Mandatory!A40</f>
        <v>301</v>
      </c>
      <c r="B40" s="167" t="str">
        <f>+VLOOKUP(A40,'201314 RC list'!A:B,2,FALSE)</f>
        <v>Gastroenterology</v>
      </c>
      <c r="C40" s="169"/>
      <c r="D40" s="169"/>
      <c r="E40" s="169"/>
      <c r="F40" s="169"/>
      <c r="G40" s="169"/>
    </row>
    <row r="41" spans="1:7">
      <c r="A41" s="167">
        <f>Mandatory!A41</f>
        <v>302</v>
      </c>
      <c r="B41" s="167" t="str">
        <f>+VLOOKUP(A41,'201314 RC list'!A:B,2,FALSE)</f>
        <v>Endocrinology</v>
      </c>
      <c r="C41" s="169"/>
      <c r="D41" s="169"/>
      <c r="E41" s="169"/>
      <c r="F41" s="169"/>
      <c r="G41" s="169"/>
    </row>
    <row r="42" spans="1:7">
      <c r="A42" s="167">
        <f>Mandatory!A42</f>
        <v>303</v>
      </c>
      <c r="B42" s="167" t="str">
        <f>+VLOOKUP(A42,'201314 RC list'!A:B,2,FALSE)</f>
        <v>Clinical Haematology</v>
      </c>
      <c r="C42" s="169"/>
      <c r="D42" s="169"/>
      <c r="E42" s="169"/>
      <c r="F42" s="169"/>
      <c r="G42" s="169"/>
    </row>
    <row r="43" spans="1:7">
      <c r="A43" s="167">
        <f>Mandatory!A43</f>
        <v>306</v>
      </c>
      <c r="B43" s="167" t="str">
        <f>+VLOOKUP(A43,'201314 RC list'!A:B,2,FALSE)</f>
        <v>Hepatology</v>
      </c>
      <c r="C43" s="169"/>
      <c r="D43" s="169"/>
      <c r="E43" s="169"/>
      <c r="F43" s="169"/>
      <c r="G43" s="169"/>
    </row>
    <row r="44" spans="1:7">
      <c r="A44" s="167">
        <f>Mandatory!A44</f>
        <v>307</v>
      </c>
      <c r="B44" s="167" t="str">
        <f>+VLOOKUP(A44,'201314 RC list'!A:B,2,FALSE)</f>
        <v>Diabetic Medicine</v>
      </c>
      <c r="C44" s="169"/>
      <c r="D44" s="169"/>
      <c r="E44" s="169"/>
      <c r="F44" s="169"/>
      <c r="G44" s="169"/>
    </row>
    <row r="45" spans="1:7">
      <c r="A45" s="167">
        <f>Mandatory!A45</f>
        <v>320</v>
      </c>
      <c r="B45" s="167" t="str">
        <f>+VLOOKUP(A45,'201314 RC list'!A:B,2,FALSE)</f>
        <v>Cardiology</v>
      </c>
      <c r="C45" s="169"/>
      <c r="D45" s="169"/>
      <c r="E45" s="169"/>
      <c r="F45" s="169"/>
      <c r="G45" s="169"/>
    </row>
    <row r="46" spans="1:7">
      <c r="A46" s="167">
        <f>Mandatory!A46</f>
        <v>321</v>
      </c>
      <c r="B46" s="167" t="str">
        <f>+VLOOKUP(A46,'201314 RC list'!A:B,2,FALSE)</f>
        <v>Paediatric Cardiology</v>
      </c>
      <c r="C46" s="169"/>
      <c r="D46" s="169"/>
      <c r="E46" s="169"/>
      <c r="F46" s="169"/>
      <c r="G46" s="169"/>
    </row>
    <row r="47" spans="1:7">
      <c r="A47" s="167">
        <f>Mandatory!A47</f>
        <v>329</v>
      </c>
      <c r="B47" s="167" t="str">
        <f>+VLOOKUP(A47,'201314 RC list'!A:B,2,FALSE)</f>
        <v>Transient Ischaemic Attack</v>
      </c>
      <c r="C47" s="169"/>
      <c r="D47" s="169"/>
      <c r="E47" s="169"/>
      <c r="F47" s="169"/>
      <c r="G47" s="169"/>
    </row>
    <row r="48" spans="1:7">
      <c r="A48" s="167">
        <f>Mandatory!A48</f>
        <v>330</v>
      </c>
      <c r="B48" s="167" t="str">
        <f>+VLOOKUP(A48,'201314 RC list'!A:B,2,FALSE)</f>
        <v>Dermatology</v>
      </c>
      <c r="C48" s="169"/>
      <c r="D48" s="169"/>
      <c r="E48" s="169"/>
      <c r="F48" s="169"/>
      <c r="G48" s="169"/>
    </row>
    <row r="49" spans="1:7">
      <c r="A49" s="167">
        <f>Mandatory!A49</f>
        <v>340</v>
      </c>
      <c r="B49" s="167" t="str">
        <f>+VLOOKUP(A49,'201314 RC list'!A:B,2,FALSE)</f>
        <v>Respiratory Medicine</v>
      </c>
      <c r="C49" s="169"/>
      <c r="D49" s="169"/>
      <c r="E49" s="169"/>
      <c r="F49" s="169"/>
      <c r="G49" s="169"/>
    </row>
    <row r="50" spans="1:7">
      <c r="A50" s="167">
        <f>Mandatory!A50</f>
        <v>341</v>
      </c>
      <c r="B50" s="167" t="str">
        <f>+VLOOKUP(A50,'201314 RC list'!A:B,2,FALSE)</f>
        <v>Respiratory Physiology</v>
      </c>
      <c r="C50" s="169"/>
      <c r="D50" s="169"/>
      <c r="E50" s="169"/>
      <c r="F50" s="169"/>
      <c r="G50" s="169"/>
    </row>
    <row r="51" spans="1:7">
      <c r="A51" s="167">
        <f>Mandatory!A51</f>
        <v>350</v>
      </c>
      <c r="B51" s="167" t="str">
        <f>+VLOOKUP(A51,'201314 RC list'!A:B,2,FALSE)</f>
        <v>Infectious Diseases</v>
      </c>
      <c r="C51" s="169"/>
      <c r="D51" s="169"/>
      <c r="E51" s="169"/>
      <c r="F51" s="169"/>
      <c r="G51" s="169"/>
    </row>
    <row r="52" spans="1:7">
      <c r="A52" s="167">
        <f>Mandatory!A52</f>
        <v>361</v>
      </c>
      <c r="B52" s="167" t="str">
        <f>+VLOOKUP(A52,'201314 RC list'!A:B,2,FALSE)</f>
        <v>Nephrology</v>
      </c>
      <c r="C52" s="169"/>
      <c r="D52" s="169"/>
      <c r="E52" s="169"/>
      <c r="F52" s="169"/>
      <c r="G52" s="169"/>
    </row>
    <row r="53" spans="1:7">
      <c r="A53" s="167">
        <f>Mandatory!A53</f>
        <v>370</v>
      </c>
      <c r="B53" s="167" t="str">
        <f>+VLOOKUP(A53,'201314 RC list'!A:B,2,FALSE)</f>
        <v>Medical Oncology</v>
      </c>
      <c r="C53" s="169"/>
      <c r="D53" s="169"/>
      <c r="E53" s="169"/>
      <c r="F53" s="169"/>
      <c r="G53" s="169"/>
    </row>
    <row r="54" spans="1:7">
      <c r="A54" s="167">
        <f>Mandatory!A54</f>
        <v>400</v>
      </c>
      <c r="B54" s="167" t="str">
        <f>+VLOOKUP(A54,'201314 RC list'!A:B,2,FALSE)</f>
        <v>Neurology</v>
      </c>
      <c r="C54" s="169"/>
      <c r="D54" s="169"/>
      <c r="E54" s="169"/>
      <c r="F54" s="169"/>
      <c r="G54" s="169"/>
    </row>
    <row r="55" spans="1:7">
      <c r="A55" s="167">
        <f>Mandatory!A55</f>
        <v>410</v>
      </c>
      <c r="B55" s="167" t="str">
        <f>+VLOOKUP(A55,'201314 RC list'!A:B,2,FALSE)</f>
        <v>Rheumatology</v>
      </c>
      <c r="C55" s="169"/>
      <c r="D55" s="169"/>
      <c r="E55" s="169"/>
      <c r="F55" s="169"/>
      <c r="G55" s="169"/>
    </row>
    <row r="56" spans="1:7">
      <c r="A56" s="167">
        <f>Mandatory!A56</f>
        <v>420</v>
      </c>
      <c r="B56" s="167" t="str">
        <f>+VLOOKUP(A56,'201314 RC list'!A:B,2,FALSE)</f>
        <v>Paediatrics</v>
      </c>
      <c r="C56" s="169"/>
      <c r="D56" s="169"/>
      <c r="E56" s="169"/>
      <c r="F56" s="169"/>
      <c r="G56" s="169"/>
    </row>
    <row r="57" spans="1:7">
      <c r="A57" s="167">
        <f>Mandatory!A57</f>
        <v>421</v>
      </c>
      <c r="B57" s="167" t="str">
        <f>+VLOOKUP(A57,'201314 RC list'!A:B,2,FALSE)</f>
        <v>Paediatric Neurology</v>
      </c>
      <c r="C57" s="169"/>
      <c r="D57" s="169"/>
      <c r="E57" s="169"/>
      <c r="F57" s="169"/>
      <c r="G57" s="169"/>
    </row>
    <row r="58" spans="1:7">
      <c r="A58" s="167">
        <f>Mandatory!A58</f>
        <v>430</v>
      </c>
      <c r="B58" s="167" t="str">
        <f>+VLOOKUP(A58,'201314 RC list'!A:B,2,FALSE)</f>
        <v>Geriatric Medicine</v>
      </c>
      <c r="C58" s="169"/>
      <c r="D58" s="169"/>
      <c r="E58" s="169"/>
      <c r="F58" s="169"/>
      <c r="G58" s="169"/>
    </row>
    <row r="59" spans="1:7">
      <c r="A59" s="167">
        <f>Mandatory!A59</f>
        <v>502</v>
      </c>
      <c r="B59" s="167" t="str">
        <f>+VLOOKUP(A59,'201314 RC list'!A:B,2,FALSE)</f>
        <v>Gynaecology</v>
      </c>
      <c r="C59" s="169"/>
      <c r="D59" s="169"/>
      <c r="E59" s="169"/>
      <c r="F59" s="169"/>
      <c r="G59" s="169"/>
    </row>
    <row r="60" spans="1:7">
      <c r="A60" s="167">
        <f>Mandatory!A60</f>
        <v>503</v>
      </c>
      <c r="B60" s="167" t="str">
        <f>+VLOOKUP(A60,'201314 RC list'!A:B,2,FALSE)</f>
        <v>Gynaecological Oncology</v>
      </c>
      <c r="C60" s="169"/>
      <c r="D60" s="169"/>
      <c r="E60" s="169"/>
      <c r="F60" s="169"/>
      <c r="G60" s="169"/>
    </row>
    <row r="61" spans="1:7">
      <c r="A61" s="167">
        <f>Mandatory!A61</f>
        <v>800</v>
      </c>
      <c r="B61" s="167" t="str">
        <f>+VLOOKUP(A61,'201314 RC list'!A:B,2,FALSE)</f>
        <v>Clinical Oncology (previously Radiotherapy)</v>
      </c>
      <c r="C61" s="169"/>
      <c r="D61" s="169"/>
      <c r="E61" s="169"/>
      <c r="F61" s="169"/>
      <c r="G61" s="169"/>
    </row>
    <row r="62" spans="1:7">
      <c r="A62" s="167">
        <f>Mandatory!A62</f>
        <v>812</v>
      </c>
      <c r="B62" s="167" t="str">
        <f>+VLOOKUP(A62,'201314 RC list'!A:B,2,FALSE)</f>
        <v>Diagnostic Imaging</v>
      </c>
      <c r="C62" s="169"/>
      <c r="D62" s="169"/>
      <c r="E62" s="169"/>
      <c r="F62" s="169"/>
      <c r="G62" s="169"/>
    </row>
  </sheetData>
  <hyperlinks>
    <hyperlink ref="A1" location="Navigation!A1" display="Home"/>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F60"/>
  <sheetViews>
    <sheetView workbookViewId="0"/>
  </sheetViews>
  <sheetFormatPr defaultColWidth="9.140625" defaultRowHeight="15"/>
  <cols>
    <col min="1" max="1" width="9.140625" style="91"/>
    <col min="2" max="2" width="30.140625" style="91" customWidth="1"/>
    <col min="3" max="3" width="15" style="91" customWidth="1"/>
    <col min="4" max="4" width="15.5703125" style="91" customWidth="1"/>
    <col min="5" max="5" width="18.85546875" style="91" customWidth="1"/>
    <col min="6" max="6" width="16.85546875" style="91" customWidth="1"/>
    <col min="7" max="16384" width="9.140625" style="91"/>
  </cols>
  <sheetData>
    <row r="1" spans="1:6">
      <c r="A1" s="456" t="s">
        <v>300</v>
      </c>
      <c r="B1" s="29"/>
    </row>
    <row r="2" spans="1:6" ht="16.5" customHeight="1" thickBot="1">
      <c r="A2" s="457" t="s">
        <v>545</v>
      </c>
      <c r="B2" s="30"/>
      <c r="C2" s="30"/>
      <c r="D2" s="30"/>
      <c r="E2" s="30"/>
      <c r="F2" s="30"/>
    </row>
    <row r="3" spans="1:6" ht="15.75" thickBot="1">
      <c r="A3" s="425"/>
      <c r="B3" s="425"/>
      <c r="C3" s="575" t="s">
        <v>49</v>
      </c>
      <c r="D3" s="576"/>
      <c r="E3" s="576"/>
      <c r="F3" s="577"/>
    </row>
    <row r="4" spans="1:6" ht="51.75" thickBot="1">
      <c r="A4" s="427" t="s">
        <v>50</v>
      </c>
      <c r="B4" s="428" t="s">
        <v>51</v>
      </c>
      <c r="C4" s="429" t="s">
        <v>1614</v>
      </c>
      <c r="D4" s="430" t="s">
        <v>1615</v>
      </c>
      <c r="E4" s="430" t="s">
        <v>1616</v>
      </c>
      <c r="F4" s="431" t="s">
        <v>1617</v>
      </c>
    </row>
    <row r="5" spans="1:6">
      <c r="A5" s="432">
        <v>100</v>
      </c>
      <c r="B5" s="433" t="s">
        <v>1</v>
      </c>
      <c r="C5" s="434">
        <v>140</v>
      </c>
      <c r="D5" s="435">
        <v>150</v>
      </c>
      <c r="E5" s="436">
        <v>81</v>
      </c>
      <c r="F5" s="437">
        <v>95</v>
      </c>
    </row>
    <row r="6" spans="1:6">
      <c r="A6" s="438">
        <v>101</v>
      </c>
      <c r="B6" s="439" t="s">
        <v>2</v>
      </c>
      <c r="C6" s="440">
        <v>127</v>
      </c>
      <c r="D6" s="441">
        <v>155</v>
      </c>
      <c r="E6" s="441">
        <v>70</v>
      </c>
      <c r="F6" s="442">
        <v>106</v>
      </c>
    </row>
    <row r="7" spans="1:6">
      <c r="A7" s="438">
        <v>103</v>
      </c>
      <c r="B7" s="439" t="s">
        <v>3</v>
      </c>
      <c r="C7" s="440">
        <v>148</v>
      </c>
      <c r="D7" s="441">
        <v>148</v>
      </c>
      <c r="E7" s="441">
        <v>85</v>
      </c>
      <c r="F7" s="442">
        <v>98</v>
      </c>
    </row>
    <row r="8" spans="1:6">
      <c r="A8" s="438">
        <v>104</v>
      </c>
      <c r="B8" s="439" t="s">
        <v>4</v>
      </c>
      <c r="C8" s="440">
        <v>118</v>
      </c>
      <c r="D8" s="441">
        <v>118</v>
      </c>
      <c r="E8" s="441">
        <v>71</v>
      </c>
      <c r="F8" s="442">
        <v>108</v>
      </c>
    </row>
    <row r="9" spans="1:6">
      <c r="A9" s="438">
        <v>105</v>
      </c>
      <c r="B9" s="439" t="s">
        <v>56</v>
      </c>
      <c r="C9" s="440">
        <v>155</v>
      </c>
      <c r="D9" s="441">
        <v>228</v>
      </c>
      <c r="E9" s="441">
        <v>101</v>
      </c>
      <c r="F9" s="442">
        <v>158</v>
      </c>
    </row>
    <row r="10" spans="1:6">
      <c r="A10" s="438">
        <v>106</v>
      </c>
      <c r="B10" s="439" t="s">
        <v>5</v>
      </c>
      <c r="C10" s="440">
        <v>118</v>
      </c>
      <c r="D10" s="441">
        <v>134</v>
      </c>
      <c r="E10" s="441">
        <v>75</v>
      </c>
      <c r="F10" s="442">
        <v>97</v>
      </c>
    </row>
    <row r="11" spans="1:6">
      <c r="A11" s="438">
        <v>107</v>
      </c>
      <c r="B11" s="439" t="s">
        <v>6</v>
      </c>
      <c r="C11" s="440">
        <v>154</v>
      </c>
      <c r="D11" s="441">
        <v>154</v>
      </c>
      <c r="E11" s="441">
        <v>92</v>
      </c>
      <c r="F11" s="442">
        <v>92</v>
      </c>
    </row>
    <row r="12" spans="1:6">
      <c r="A12" s="438">
        <v>108</v>
      </c>
      <c r="B12" s="439" t="s">
        <v>57</v>
      </c>
      <c r="C12" s="440">
        <v>161</v>
      </c>
      <c r="D12" s="441">
        <v>161</v>
      </c>
      <c r="E12" s="441">
        <v>98</v>
      </c>
      <c r="F12" s="442">
        <v>98</v>
      </c>
    </row>
    <row r="13" spans="1:6">
      <c r="A13" s="438">
        <v>110</v>
      </c>
      <c r="B13" s="439" t="s">
        <v>7</v>
      </c>
      <c r="C13" s="440">
        <v>119</v>
      </c>
      <c r="D13" s="441">
        <v>124</v>
      </c>
      <c r="E13" s="441">
        <v>70</v>
      </c>
      <c r="F13" s="442">
        <v>70</v>
      </c>
    </row>
    <row r="14" spans="1:6">
      <c r="A14" s="438">
        <v>120</v>
      </c>
      <c r="B14" s="439" t="s">
        <v>8</v>
      </c>
      <c r="C14" s="440">
        <v>103</v>
      </c>
      <c r="D14" s="441">
        <v>136</v>
      </c>
      <c r="E14" s="441">
        <v>62</v>
      </c>
      <c r="F14" s="442">
        <v>81</v>
      </c>
    </row>
    <row r="15" spans="1:6">
      <c r="A15" s="438">
        <v>130</v>
      </c>
      <c r="B15" s="439" t="s">
        <v>9</v>
      </c>
      <c r="C15" s="440">
        <v>104</v>
      </c>
      <c r="D15" s="441">
        <v>106</v>
      </c>
      <c r="E15" s="441">
        <v>59</v>
      </c>
      <c r="F15" s="442">
        <v>86</v>
      </c>
    </row>
    <row r="16" spans="1:6">
      <c r="A16" s="438">
        <v>140</v>
      </c>
      <c r="B16" s="439" t="s">
        <v>10</v>
      </c>
      <c r="C16" s="440">
        <v>118</v>
      </c>
      <c r="D16" s="441">
        <v>147</v>
      </c>
      <c r="E16" s="441">
        <v>75</v>
      </c>
      <c r="F16" s="442">
        <v>106</v>
      </c>
    </row>
    <row r="17" spans="1:6">
      <c r="A17" s="438">
        <v>143</v>
      </c>
      <c r="B17" s="439" t="s">
        <v>11</v>
      </c>
      <c r="C17" s="440">
        <v>180</v>
      </c>
      <c r="D17" s="441">
        <v>247</v>
      </c>
      <c r="E17" s="441">
        <v>80</v>
      </c>
      <c r="F17" s="442">
        <v>113</v>
      </c>
    </row>
    <row r="18" spans="1:6">
      <c r="A18" s="438">
        <v>144</v>
      </c>
      <c r="B18" s="439" t="s">
        <v>12</v>
      </c>
      <c r="C18" s="440">
        <v>113</v>
      </c>
      <c r="D18" s="441">
        <v>178</v>
      </c>
      <c r="E18" s="441">
        <v>74</v>
      </c>
      <c r="F18" s="442">
        <v>74</v>
      </c>
    </row>
    <row r="19" spans="1:6">
      <c r="A19" s="438">
        <v>160</v>
      </c>
      <c r="B19" s="439" t="s">
        <v>13</v>
      </c>
      <c r="C19" s="440">
        <v>110</v>
      </c>
      <c r="D19" s="441">
        <v>124</v>
      </c>
      <c r="E19" s="441">
        <v>63</v>
      </c>
      <c r="F19" s="442">
        <v>80</v>
      </c>
    </row>
    <row r="20" spans="1:6">
      <c r="A20" s="438">
        <v>170</v>
      </c>
      <c r="B20" s="439" t="s">
        <v>14</v>
      </c>
      <c r="C20" s="440">
        <v>234</v>
      </c>
      <c r="D20" s="441">
        <v>234</v>
      </c>
      <c r="E20" s="441">
        <v>156</v>
      </c>
      <c r="F20" s="442">
        <v>156</v>
      </c>
    </row>
    <row r="21" spans="1:6">
      <c r="A21" s="438">
        <v>171</v>
      </c>
      <c r="B21" s="439" t="s">
        <v>15</v>
      </c>
      <c r="C21" s="440">
        <v>177</v>
      </c>
      <c r="D21" s="441">
        <v>288</v>
      </c>
      <c r="E21" s="441">
        <v>108</v>
      </c>
      <c r="F21" s="442">
        <v>176</v>
      </c>
    </row>
    <row r="22" spans="1:6">
      <c r="A22" s="438">
        <v>172</v>
      </c>
      <c r="B22" s="439" t="s">
        <v>16</v>
      </c>
      <c r="C22" s="440">
        <v>268</v>
      </c>
      <c r="D22" s="441">
        <v>268</v>
      </c>
      <c r="E22" s="441">
        <v>151</v>
      </c>
      <c r="F22" s="442">
        <v>229</v>
      </c>
    </row>
    <row r="23" spans="1:6">
      <c r="A23" s="438">
        <v>173</v>
      </c>
      <c r="B23" s="439" t="s">
        <v>17</v>
      </c>
      <c r="C23" s="440">
        <v>227</v>
      </c>
      <c r="D23" s="441">
        <v>227</v>
      </c>
      <c r="E23" s="441">
        <v>146</v>
      </c>
      <c r="F23" s="442">
        <v>155</v>
      </c>
    </row>
    <row r="24" spans="1:6">
      <c r="A24" s="438">
        <v>190</v>
      </c>
      <c r="B24" s="439" t="s">
        <v>18</v>
      </c>
      <c r="C24" s="440">
        <v>125</v>
      </c>
      <c r="D24" s="441">
        <v>125</v>
      </c>
      <c r="E24" s="441">
        <v>65</v>
      </c>
      <c r="F24" s="442">
        <v>95</v>
      </c>
    </row>
    <row r="25" spans="1:6">
      <c r="A25" s="438">
        <v>191</v>
      </c>
      <c r="B25" s="439" t="s">
        <v>19</v>
      </c>
      <c r="C25" s="440">
        <v>168</v>
      </c>
      <c r="D25" s="441">
        <v>168</v>
      </c>
      <c r="E25" s="441">
        <v>89</v>
      </c>
      <c r="F25" s="442">
        <v>123</v>
      </c>
    </row>
    <row r="26" spans="1:6">
      <c r="A26" s="438">
        <v>211</v>
      </c>
      <c r="B26" s="439" t="s">
        <v>20</v>
      </c>
      <c r="C26" s="440">
        <v>162</v>
      </c>
      <c r="D26" s="441">
        <v>162</v>
      </c>
      <c r="E26" s="441">
        <v>94</v>
      </c>
      <c r="F26" s="442">
        <v>106</v>
      </c>
    </row>
    <row r="27" spans="1:6">
      <c r="A27" s="438">
        <v>214</v>
      </c>
      <c r="B27" s="439" t="s">
        <v>58</v>
      </c>
      <c r="C27" s="440">
        <v>139</v>
      </c>
      <c r="D27" s="441">
        <v>139</v>
      </c>
      <c r="E27" s="441">
        <v>92</v>
      </c>
      <c r="F27" s="442">
        <v>100</v>
      </c>
    </row>
    <row r="28" spans="1:6">
      <c r="A28" s="438">
        <v>215</v>
      </c>
      <c r="B28" s="439" t="s">
        <v>59</v>
      </c>
      <c r="C28" s="440">
        <v>103</v>
      </c>
      <c r="D28" s="441">
        <v>136</v>
      </c>
      <c r="E28" s="441">
        <v>65</v>
      </c>
      <c r="F28" s="442">
        <v>81</v>
      </c>
    </row>
    <row r="29" spans="1:6">
      <c r="A29" s="438">
        <v>216</v>
      </c>
      <c r="B29" s="439" t="s">
        <v>21</v>
      </c>
      <c r="C29" s="440">
        <v>149</v>
      </c>
      <c r="D29" s="441">
        <v>149</v>
      </c>
      <c r="E29" s="441">
        <v>100</v>
      </c>
      <c r="F29" s="442">
        <v>108</v>
      </c>
    </row>
    <row r="30" spans="1:6">
      <c r="A30" s="438">
        <v>217</v>
      </c>
      <c r="B30" s="439" t="s">
        <v>22</v>
      </c>
      <c r="C30" s="440">
        <v>188</v>
      </c>
      <c r="D30" s="441">
        <v>375</v>
      </c>
      <c r="E30" s="441">
        <v>133</v>
      </c>
      <c r="F30" s="442">
        <v>264</v>
      </c>
    </row>
    <row r="31" spans="1:6">
      <c r="A31" s="438">
        <v>219</v>
      </c>
      <c r="B31" s="439" t="s">
        <v>23</v>
      </c>
      <c r="C31" s="440">
        <v>134</v>
      </c>
      <c r="D31" s="441">
        <v>267</v>
      </c>
      <c r="E31" s="441">
        <v>99</v>
      </c>
      <c r="F31" s="442">
        <v>115</v>
      </c>
    </row>
    <row r="32" spans="1:6">
      <c r="A32" s="438">
        <v>223</v>
      </c>
      <c r="B32" s="439" t="s">
        <v>60</v>
      </c>
      <c r="C32" s="440">
        <v>212</v>
      </c>
      <c r="D32" s="441">
        <v>212</v>
      </c>
      <c r="E32" s="441">
        <v>170</v>
      </c>
      <c r="F32" s="442">
        <v>170</v>
      </c>
    </row>
    <row r="33" spans="1:6">
      <c r="A33" s="438">
        <v>251</v>
      </c>
      <c r="B33" s="439" t="s">
        <v>38</v>
      </c>
      <c r="C33" s="440">
        <v>243</v>
      </c>
      <c r="D33" s="441">
        <v>258</v>
      </c>
      <c r="E33" s="441">
        <v>155</v>
      </c>
      <c r="F33" s="442">
        <v>155</v>
      </c>
    </row>
    <row r="34" spans="1:6">
      <c r="A34" s="438">
        <v>252</v>
      </c>
      <c r="B34" s="439" t="s">
        <v>39</v>
      </c>
      <c r="C34" s="440">
        <v>373</v>
      </c>
      <c r="D34" s="441">
        <v>373</v>
      </c>
      <c r="E34" s="441">
        <v>176</v>
      </c>
      <c r="F34" s="442">
        <v>188</v>
      </c>
    </row>
    <row r="35" spans="1:6">
      <c r="A35" s="438">
        <v>253</v>
      </c>
      <c r="B35" s="439" t="s">
        <v>40</v>
      </c>
      <c r="C35" s="440">
        <v>417</v>
      </c>
      <c r="D35" s="441">
        <v>417</v>
      </c>
      <c r="E35" s="441">
        <v>203</v>
      </c>
      <c r="F35" s="442">
        <v>212</v>
      </c>
    </row>
    <row r="36" spans="1:6">
      <c r="A36" s="438">
        <v>257</v>
      </c>
      <c r="B36" s="439" t="s">
        <v>41</v>
      </c>
      <c r="C36" s="440">
        <v>133</v>
      </c>
      <c r="D36" s="441">
        <v>133</v>
      </c>
      <c r="E36" s="441">
        <v>90</v>
      </c>
      <c r="F36" s="442">
        <v>110</v>
      </c>
    </row>
    <row r="37" spans="1:6">
      <c r="A37" s="438">
        <v>258</v>
      </c>
      <c r="B37" s="439" t="s">
        <v>42</v>
      </c>
      <c r="C37" s="440">
        <v>287</v>
      </c>
      <c r="D37" s="441">
        <v>287</v>
      </c>
      <c r="E37" s="441">
        <v>151</v>
      </c>
      <c r="F37" s="442">
        <v>165</v>
      </c>
    </row>
    <row r="38" spans="1:6">
      <c r="A38" s="438">
        <v>263</v>
      </c>
      <c r="B38" s="439" t="s">
        <v>61</v>
      </c>
      <c r="C38" s="440">
        <v>222</v>
      </c>
      <c r="D38" s="441">
        <v>224</v>
      </c>
      <c r="E38" s="441">
        <v>126</v>
      </c>
      <c r="F38" s="442">
        <v>126</v>
      </c>
    </row>
    <row r="39" spans="1:6">
      <c r="A39" s="438">
        <v>300</v>
      </c>
      <c r="B39" s="439" t="s">
        <v>43</v>
      </c>
      <c r="C39" s="440">
        <v>178</v>
      </c>
      <c r="D39" s="441">
        <v>233</v>
      </c>
      <c r="E39" s="441">
        <v>101</v>
      </c>
      <c r="F39" s="442">
        <v>201</v>
      </c>
    </row>
    <row r="40" spans="1:6">
      <c r="A40" s="438">
        <v>301</v>
      </c>
      <c r="B40" s="439" t="s">
        <v>44</v>
      </c>
      <c r="C40" s="440">
        <v>178</v>
      </c>
      <c r="D40" s="441">
        <v>233</v>
      </c>
      <c r="E40" s="441">
        <v>101</v>
      </c>
      <c r="F40" s="442">
        <v>201</v>
      </c>
    </row>
    <row r="41" spans="1:6">
      <c r="A41" s="438">
        <v>302</v>
      </c>
      <c r="B41" s="439" t="s">
        <v>45</v>
      </c>
      <c r="C41" s="440">
        <v>187</v>
      </c>
      <c r="D41" s="441">
        <v>187</v>
      </c>
      <c r="E41" s="441">
        <v>93</v>
      </c>
      <c r="F41" s="442">
        <v>140</v>
      </c>
    </row>
    <row r="42" spans="1:6">
      <c r="A42" s="438">
        <v>303</v>
      </c>
      <c r="B42" s="439" t="s">
        <v>46</v>
      </c>
      <c r="C42" s="440">
        <v>243</v>
      </c>
      <c r="D42" s="441">
        <v>244</v>
      </c>
      <c r="E42" s="441">
        <v>111</v>
      </c>
      <c r="F42" s="442">
        <v>171</v>
      </c>
    </row>
    <row r="43" spans="1:6">
      <c r="A43" s="438">
        <v>306</v>
      </c>
      <c r="B43" s="439" t="s">
        <v>47</v>
      </c>
      <c r="C43" s="440">
        <v>178</v>
      </c>
      <c r="D43" s="441">
        <v>233</v>
      </c>
      <c r="E43" s="441">
        <v>101</v>
      </c>
      <c r="F43" s="442">
        <v>201</v>
      </c>
    </row>
    <row r="44" spans="1:6">
      <c r="A44" s="438">
        <v>307</v>
      </c>
      <c r="B44" s="439" t="s">
        <v>48</v>
      </c>
      <c r="C44" s="440">
        <v>222</v>
      </c>
      <c r="D44" s="441">
        <v>224</v>
      </c>
      <c r="E44" s="441">
        <v>99</v>
      </c>
      <c r="F44" s="442">
        <v>99</v>
      </c>
    </row>
    <row r="45" spans="1:6">
      <c r="A45" s="438">
        <v>320</v>
      </c>
      <c r="B45" s="439" t="s">
        <v>24</v>
      </c>
      <c r="C45" s="440">
        <v>164</v>
      </c>
      <c r="D45" s="441">
        <v>189</v>
      </c>
      <c r="E45" s="441">
        <v>92</v>
      </c>
      <c r="F45" s="442">
        <v>131</v>
      </c>
    </row>
    <row r="46" spans="1:6">
      <c r="A46" s="438">
        <v>321</v>
      </c>
      <c r="B46" s="439" t="s">
        <v>25</v>
      </c>
      <c r="C46" s="440">
        <v>217</v>
      </c>
      <c r="D46" s="441">
        <v>217</v>
      </c>
      <c r="E46" s="441">
        <v>144</v>
      </c>
      <c r="F46" s="442">
        <v>160</v>
      </c>
    </row>
    <row r="47" spans="1:6">
      <c r="A47" s="438">
        <v>329</v>
      </c>
      <c r="B47" s="439" t="s">
        <v>62</v>
      </c>
      <c r="C47" s="440">
        <v>317</v>
      </c>
      <c r="D47" s="441">
        <v>317</v>
      </c>
      <c r="E47" s="441" t="s">
        <v>63</v>
      </c>
      <c r="F47" s="442" t="s">
        <v>63</v>
      </c>
    </row>
    <row r="48" spans="1:6">
      <c r="A48" s="438">
        <v>330</v>
      </c>
      <c r="B48" s="439" t="s">
        <v>26</v>
      </c>
      <c r="C48" s="440">
        <v>104</v>
      </c>
      <c r="D48" s="441">
        <v>133</v>
      </c>
      <c r="E48" s="441">
        <v>68</v>
      </c>
      <c r="F48" s="442">
        <v>81</v>
      </c>
    </row>
    <row r="49" spans="1:6">
      <c r="A49" s="438">
        <v>340</v>
      </c>
      <c r="B49" s="439" t="s">
        <v>27</v>
      </c>
      <c r="C49" s="440">
        <v>186</v>
      </c>
      <c r="D49" s="441">
        <v>241</v>
      </c>
      <c r="E49" s="441">
        <v>102</v>
      </c>
      <c r="F49" s="442">
        <v>143</v>
      </c>
    </row>
    <row r="50" spans="1:6">
      <c r="A50" s="438">
        <v>341</v>
      </c>
      <c r="B50" s="439" t="s">
        <v>64</v>
      </c>
      <c r="C50" s="440">
        <v>167</v>
      </c>
      <c r="D50" s="441">
        <v>335</v>
      </c>
      <c r="E50" s="441">
        <v>119</v>
      </c>
      <c r="F50" s="442">
        <v>238</v>
      </c>
    </row>
    <row r="51" spans="1:6">
      <c r="A51" s="438">
        <v>350</v>
      </c>
      <c r="B51" s="439" t="s">
        <v>28</v>
      </c>
      <c r="C51" s="440">
        <v>263</v>
      </c>
      <c r="D51" s="441">
        <v>263</v>
      </c>
      <c r="E51" s="441">
        <v>209</v>
      </c>
      <c r="F51" s="442">
        <v>210</v>
      </c>
    </row>
    <row r="52" spans="1:6">
      <c r="A52" s="438">
        <v>361</v>
      </c>
      <c r="B52" s="439" t="s">
        <v>29</v>
      </c>
      <c r="C52" s="440">
        <v>182</v>
      </c>
      <c r="D52" s="441">
        <v>248</v>
      </c>
      <c r="E52" s="441">
        <v>130</v>
      </c>
      <c r="F52" s="442">
        <v>243</v>
      </c>
    </row>
    <row r="53" spans="1:6">
      <c r="A53" s="438">
        <v>370</v>
      </c>
      <c r="B53" s="439" t="s">
        <v>30</v>
      </c>
      <c r="C53" s="440">
        <v>210</v>
      </c>
      <c r="D53" s="441">
        <v>220</v>
      </c>
      <c r="E53" s="441">
        <v>91</v>
      </c>
      <c r="F53" s="442">
        <v>103</v>
      </c>
    </row>
    <row r="54" spans="1:6">
      <c r="A54" s="438">
        <v>410</v>
      </c>
      <c r="B54" s="439" t="s">
        <v>31</v>
      </c>
      <c r="C54" s="440">
        <v>214</v>
      </c>
      <c r="D54" s="441">
        <v>214</v>
      </c>
      <c r="E54" s="441">
        <v>99</v>
      </c>
      <c r="F54" s="442">
        <v>99</v>
      </c>
    </row>
    <row r="55" spans="1:6">
      <c r="A55" s="438">
        <v>420</v>
      </c>
      <c r="B55" s="439" t="s">
        <v>32</v>
      </c>
      <c r="C55" s="440">
        <v>212</v>
      </c>
      <c r="D55" s="441">
        <v>212</v>
      </c>
      <c r="E55" s="441">
        <v>123</v>
      </c>
      <c r="F55" s="442">
        <v>160</v>
      </c>
    </row>
    <row r="56" spans="1:6">
      <c r="A56" s="438">
        <v>430</v>
      </c>
      <c r="B56" s="439" t="s">
        <v>33</v>
      </c>
      <c r="C56" s="440">
        <v>253</v>
      </c>
      <c r="D56" s="441">
        <v>253</v>
      </c>
      <c r="E56" s="441">
        <v>134</v>
      </c>
      <c r="F56" s="442">
        <v>134</v>
      </c>
    </row>
    <row r="57" spans="1:6">
      <c r="A57" s="438">
        <v>502</v>
      </c>
      <c r="B57" s="439" t="s">
        <v>34</v>
      </c>
      <c r="C57" s="440">
        <v>131</v>
      </c>
      <c r="D57" s="441">
        <v>131</v>
      </c>
      <c r="E57" s="441">
        <v>80</v>
      </c>
      <c r="F57" s="442">
        <v>99</v>
      </c>
    </row>
    <row r="58" spans="1:6">
      <c r="A58" s="438">
        <v>503</v>
      </c>
      <c r="B58" s="439" t="s">
        <v>35</v>
      </c>
      <c r="C58" s="440">
        <v>152</v>
      </c>
      <c r="D58" s="441">
        <v>287</v>
      </c>
      <c r="E58" s="441">
        <v>88</v>
      </c>
      <c r="F58" s="442">
        <v>130</v>
      </c>
    </row>
    <row r="59" spans="1:6">
      <c r="A59" s="438">
        <v>800</v>
      </c>
      <c r="B59" s="439" t="s">
        <v>36</v>
      </c>
      <c r="C59" s="440">
        <v>210</v>
      </c>
      <c r="D59" s="441">
        <v>220</v>
      </c>
      <c r="E59" s="441">
        <v>91</v>
      </c>
      <c r="F59" s="442">
        <v>103</v>
      </c>
    </row>
    <row r="60" spans="1:6" ht="15.75" thickBot="1">
      <c r="A60" s="443">
        <v>812</v>
      </c>
      <c r="B60" s="444" t="s">
        <v>37</v>
      </c>
      <c r="C60" s="445">
        <v>0</v>
      </c>
      <c r="D60" s="446">
        <v>0</v>
      </c>
      <c r="E60" s="446">
        <v>0</v>
      </c>
      <c r="F60" s="447">
        <v>0</v>
      </c>
    </row>
  </sheetData>
  <mergeCells count="1">
    <mergeCell ref="C3:F3"/>
  </mergeCells>
  <hyperlinks>
    <hyperlink ref="A2"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60"/>
  <sheetViews>
    <sheetView workbookViewId="0"/>
  </sheetViews>
  <sheetFormatPr defaultColWidth="9.140625" defaultRowHeight="11.25"/>
  <cols>
    <col min="1" max="1" width="8.42578125" style="60" customWidth="1"/>
    <col min="2" max="2" width="28.5703125" style="60" bestFit="1" customWidth="1"/>
    <col min="3" max="3" width="15.7109375" style="60" customWidth="1"/>
    <col min="4" max="4" width="14.7109375" style="60" customWidth="1"/>
    <col min="5" max="5" width="18.85546875" style="60" customWidth="1"/>
    <col min="6" max="6" width="18.7109375" style="60" customWidth="1"/>
    <col min="7" max="16384" width="9.140625" style="60"/>
  </cols>
  <sheetData>
    <row r="1" spans="1:6" s="59" customFormat="1" ht="18" customHeight="1">
      <c r="A1" s="458" t="s">
        <v>541</v>
      </c>
    </row>
    <row r="2" spans="1:6" ht="16.5" customHeight="1" thickBot="1">
      <c r="A2" s="457" t="s">
        <v>545</v>
      </c>
    </row>
    <row r="3" spans="1:6" ht="24" customHeight="1" thickBot="1">
      <c r="A3" s="425"/>
      <c r="B3" s="425"/>
      <c r="C3" s="575" t="s">
        <v>49</v>
      </c>
      <c r="D3" s="576"/>
      <c r="E3" s="576"/>
      <c r="F3" s="577"/>
    </row>
    <row r="4" spans="1:6" s="61" customFormat="1" ht="51.75" thickBot="1">
      <c r="A4" s="427" t="s">
        <v>50</v>
      </c>
      <c r="B4" s="428" t="s">
        <v>51</v>
      </c>
      <c r="C4" s="429" t="s">
        <v>1614</v>
      </c>
      <c r="D4" s="430" t="s">
        <v>1615</v>
      </c>
      <c r="E4" s="430" t="s">
        <v>1616</v>
      </c>
      <c r="F4" s="431" t="s">
        <v>1617</v>
      </c>
    </row>
    <row r="5" spans="1:6" ht="12.75">
      <c r="A5" s="432">
        <v>100</v>
      </c>
      <c r="B5" s="433" t="s">
        <v>1</v>
      </c>
      <c r="C5" s="434">
        <v>142.13721259790117</v>
      </c>
      <c r="D5" s="435">
        <v>221.25579263013145</v>
      </c>
      <c r="E5" s="436">
        <v>87.262244578609668</v>
      </c>
      <c r="F5" s="437">
        <v>126.84477526724348</v>
      </c>
    </row>
    <row r="6" spans="1:6" ht="12.75">
      <c r="A6" s="438">
        <v>101</v>
      </c>
      <c r="B6" s="439" t="s">
        <v>2</v>
      </c>
      <c r="C6" s="440">
        <v>131.00911897744473</v>
      </c>
      <c r="D6" s="441">
        <v>200.76404429671214</v>
      </c>
      <c r="E6" s="441">
        <v>74.736332523606606</v>
      </c>
      <c r="F6" s="442">
        <v>103.93260220729132</v>
      </c>
    </row>
    <row r="7" spans="1:6" ht="12.75">
      <c r="A7" s="438">
        <v>103</v>
      </c>
      <c r="B7" s="439" t="s">
        <v>3</v>
      </c>
      <c r="C7" s="440">
        <v>165.54197211409431</v>
      </c>
      <c r="D7" s="441">
        <v>165.54197211409431</v>
      </c>
      <c r="E7" s="441">
        <v>94.853729439538526</v>
      </c>
      <c r="F7" s="442">
        <v>94.853729439538526</v>
      </c>
    </row>
    <row r="8" spans="1:6" ht="12.75">
      <c r="A8" s="438">
        <v>104</v>
      </c>
      <c r="B8" s="439" t="s">
        <v>4</v>
      </c>
      <c r="C8" s="440">
        <v>119.13122995459804</v>
      </c>
      <c r="D8" s="441">
        <v>127.40909014730801</v>
      </c>
      <c r="E8" s="441">
        <v>74.31427968125513</v>
      </c>
      <c r="F8" s="442">
        <v>100.27517215378803</v>
      </c>
    </row>
    <row r="9" spans="1:6" ht="12.75">
      <c r="A9" s="438">
        <v>105</v>
      </c>
      <c r="B9" s="439" t="s">
        <v>56</v>
      </c>
      <c r="C9" s="440">
        <v>184.94509598026326</v>
      </c>
      <c r="D9" s="441">
        <v>205.40735742345004</v>
      </c>
      <c r="E9" s="441">
        <v>118.60646743116072</v>
      </c>
      <c r="F9" s="442">
        <v>139.09334812496974</v>
      </c>
    </row>
    <row r="10" spans="1:6" ht="12.75">
      <c r="A10" s="438">
        <v>106</v>
      </c>
      <c r="B10" s="439" t="s">
        <v>5</v>
      </c>
      <c r="C10" s="440">
        <v>112.05820421770494</v>
      </c>
      <c r="D10" s="441">
        <v>142.53198958318177</v>
      </c>
      <c r="E10" s="441">
        <v>79.894043135639947</v>
      </c>
      <c r="F10" s="442">
        <v>99.348685922667286</v>
      </c>
    </row>
    <row r="11" spans="1:6" ht="12.75">
      <c r="A11" s="438">
        <v>107</v>
      </c>
      <c r="B11" s="439" t="s">
        <v>6</v>
      </c>
      <c r="C11" s="440">
        <v>163.00387962312047</v>
      </c>
      <c r="D11" s="441">
        <v>174.83448777067187</v>
      </c>
      <c r="E11" s="441">
        <v>103.31191497615302</v>
      </c>
      <c r="F11" s="442">
        <v>117.99397029839876</v>
      </c>
    </row>
    <row r="12" spans="1:6" ht="12.75">
      <c r="A12" s="438">
        <v>108</v>
      </c>
      <c r="B12" s="439" t="s">
        <v>57</v>
      </c>
      <c r="C12" s="440">
        <v>159.805945687964</v>
      </c>
      <c r="D12" s="441">
        <v>159.805945687964</v>
      </c>
      <c r="E12" s="441">
        <v>97.273184331804174</v>
      </c>
      <c r="F12" s="442">
        <v>97.273184331804174</v>
      </c>
    </row>
    <row r="13" spans="1:6" ht="12.75">
      <c r="A13" s="438">
        <v>110</v>
      </c>
      <c r="B13" s="439" t="s">
        <v>7</v>
      </c>
      <c r="C13" s="440">
        <v>127.91380148798578</v>
      </c>
      <c r="D13" s="441">
        <v>129.46247085650671</v>
      </c>
      <c r="E13" s="441">
        <v>75.343238386070013</v>
      </c>
      <c r="F13" s="442">
        <v>84.414700798698192</v>
      </c>
    </row>
    <row r="14" spans="1:6" ht="12.75">
      <c r="A14" s="438">
        <v>120</v>
      </c>
      <c r="B14" s="439" t="s">
        <v>8</v>
      </c>
      <c r="C14" s="440">
        <v>105.88554271684976</v>
      </c>
      <c r="D14" s="441">
        <v>165.32800386763492</v>
      </c>
      <c r="E14" s="441">
        <v>65.290580208896841</v>
      </c>
      <c r="F14" s="442">
        <v>90.510990015854375</v>
      </c>
    </row>
    <row r="15" spans="1:6" ht="12.75">
      <c r="A15" s="438">
        <v>130</v>
      </c>
      <c r="B15" s="439" t="s">
        <v>9</v>
      </c>
      <c r="C15" s="440">
        <v>111.3687943959391</v>
      </c>
      <c r="D15" s="441">
        <v>124.01140095469607</v>
      </c>
      <c r="E15" s="441">
        <v>62.959257556396366</v>
      </c>
      <c r="F15" s="442">
        <v>93.15196438077345</v>
      </c>
    </row>
    <row r="16" spans="1:6" ht="12.75">
      <c r="A16" s="438">
        <v>140</v>
      </c>
      <c r="B16" s="439" t="s">
        <v>10</v>
      </c>
      <c r="C16" s="440">
        <v>117.48402580162389</v>
      </c>
      <c r="D16" s="441">
        <v>182.48697479218325</v>
      </c>
      <c r="E16" s="441">
        <v>73.330768391520806</v>
      </c>
      <c r="F16" s="442">
        <v>126.60635151682185</v>
      </c>
    </row>
    <row r="17" spans="1:6" ht="12.75">
      <c r="A17" s="438">
        <v>143</v>
      </c>
      <c r="B17" s="439" t="s">
        <v>11</v>
      </c>
      <c r="C17" s="440">
        <v>152.95223084304277</v>
      </c>
      <c r="D17" s="441">
        <v>204.06478274953756</v>
      </c>
      <c r="E17" s="441">
        <v>77.093928194378137</v>
      </c>
      <c r="F17" s="442">
        <v>105.42935010113213</v>
      </c>
    </row>
    <row r="18" spans="1:6" ht="12.75">
      <c r="A18" s="438">
        <v>144</v>
      </c>
      <c r="B18" s="439" t="s">
        <v>12</v>
      </c>
      <c r="C18" s="440">
        <v>106.85508951442804</v>
      </c>
      <c r="D18" s="441">
        <v>172.7037579102624</v>
      </c>
      <c r="E18" s="441">
        <v>72.63316299132795</v>
      </c>
      <c r="F18" s="442">
        <v>81.759369239255307</v>
      </c>
    </row>
    <row r="19" spans="1:6" ht="12.75">
      <c r="A19" s="438">
        <v>160</v>
      </c>
      <c r="B19" s="439" t="s">
        <v>13</v>
      </c>
      <c r="C19" s="440">
        <v>112.85890498720801</v>
      </c>
      <c r="D19" s="441">
        <v>150.02166519174483</v>
      </c>
      <c r="E19" s="441">
        <v>65.14259674194733</v>
      </c>
      <c r="F19" s="442">
        <v>99.626884384809401</v>
      </c>
    </row>
    <row r="20" spans="1:6" ht="12.75">
      <c r="A20" s="438">
        <v>170</v>
      </c>
      <c r="B20" s="439" t="s">
        <v>14</v>
      </c>
      <c r="C20" s="440">
        <v>257.05432676502005</v>
      </c>
      <c r="D20" s="441">
        <v>257.05432676502005</v>
      </c>
      <c r="E20" s="441">
        <v>175.43729216549639</v>
      </c>
      <c r="F20" s="442">
        <v>178.23150196791855</v>
      </c>
    </row>
    <row r="21" spans="1:6" ht="12.75">
      <c r="A21" s="438">
        <v>171</v>
      </c>
      <c r="B21" s="439" t="s">
        <v>15</v>
      </c>
      <c r="C21" s="440">
        <v>167.30007292772615</v>
      </c>
      <c r="D21" s="441">
        <v>167.30007292772615</v>
      </c>
      <c r="E21" s="441">
        <v>109.12570681591005</v>
      </c>
      <c r="F21" s="442">
        <v>111.25569300431189</v>
      </c>
    </row>
    <row r="22" spans="1:6" ht="12.75">
      <c r="A22" s="438">
        <v>172</v>
      </c>
      <c r="B22" s="439" t="s">
        <v>16</v>
      </c>
      <c r="C22" s="440">
        <v>276.58709582852185</v>
      </c>
      <c r="D22" s="441">
        <v>276.58709582852185</v>
      </c>
      <c r="E22" s="441">
        <v>180.10750425684625</v>
      </c>
      <c r="F22" s="442">
        <v>180.10750425684625</v>
      </c>
    </row>
    <row r="23" spans="1:6" ht="12.75">
      <c r="A23" s="438">
        <v>173</v>
      </c>
      <c r="B23" s="439" t="s">
        <v>17</v>
      </c>
      <c r="C23" s="440">
        <v>271.5433037152502</v>
      </c>
      <c r="D23" s="441">
        <v>273.60470150244106</v>
      </c>
      <c r="E23" s="441">
        <v>166.99185646460316</v>
      </c>
      <c r="F23" s="442">
        <v>167.96300849699213</v>
      </c>
    </row>
    <row r="24" spans="1:6" ht="12.75">
      <c r="A24" s="438">
        <v>190</v>
      </c>
      <c r="B24" s="439" t="s">
        <v>18</v>
      </c>
      <c r="C24" s="440">
        <v>93.352886484870595</v>
      </c>
      <c r="D24" s="441">
        <v>93.352886484870595</v>
      </c>
      <c r="E24" s="441">
        <v>59.991031778081421</v>
      </c>
      <c r="F24" s="442">
        <v>83.186269790423978</v>
      </c>
    </row>
    <row r="25" spans="1:6" ht="12.75">
      <c r="A25" s="438">
        <v>191</v>
      </c>
      <c r="B25" s="439" t="s">
        <v>19</v>
      </c>
      <c r="C25" s="440">
        <v>162.45640728742131</v>
      </c>
      <c r="D25" s="441">
        <v>162.45640728742131</v>
      </c>
      <c r="E25" s="441">
        <v>91.213684933267288</v>
      </c>
      <c r="F25" s="442">
        <v>91.213684933267288</v>
      </c>
    </row>
    <row r="26" spans="1:6" ht="12.75">
      <c r="A26" s="438">
        <v>211</v>
      </c>
      <c r="B26" s="439" t="s">
        <v>20</v>
      </c>
      <c r="C26" s="440">
        <v>170.8902902595903</v>
      </c>
      <c r="D26" s="441">
        <v>299.97278285998857</v>
      </c>
      <c r="E26" s="441">
        <v>142.06684611357159</v>
      </c>
      <c r="F26" s="442">
        <v>204.71980593849548</v>
      </c>
    </row>
    <row r="27" spans="1:6" ht="12.75">
      <c r="A27" s="438">
        <v>214</v>
      </c>
      <c r="B27" s="439" t="s">
        <v>58</v>
      </c>
      <c r="C27" s="440">
        <v>144.01728251064748</v>
      </c>
      <c r="D27" s="441">
        <v>144.01728251064748</v>
      </c>
      <c r="E27" s="441">
        <v>92.488314240729693</v>
      </c>
      <c r="F27" s="442">
        <v>107.82378758052576</v>
      </c>
    </row>
    <row r="28" spans="1:6" ht="12.75">
      <c r="A28" s="438">
        <v>215</v>
      </c>
      <c r="B28" s="439" t="s">
        <v>59</v>
      </c>
      <c r="C28" s="440">
        <v>105.88554271684976</v>
      </c>
      <c r="D28" s="441">
        <v>165.32800386763492</v>
      </c>
      <c r="E28" s="441">
        <v>65.290580208896841</v>
      </c>
      <c r="F28" s="442">
        <v>90.510990015854375</v>
      </c>
    </row>
    <row r="29" spans="1:6" ht="12.75">
      <c r="A29" s="438">
        <v>216</v>
      </c>
      <c r="B29" s="439" t="s">
        <v>21</v>
      </c>
      <c r="C29" s="440">
        <v>134.11275840262138</v>
      </c>
      <c r="D29" s="441">
        <v>163.53522167468603</v>
      </c>
      <c r="E29" s="441">
        <v>80.586110844261711</v>
      </c>
      <c r="F29" s="442">
        <v>133.77184682374534</v>
      </c>
    </row>
    <row r="30" spans="1:6" ht="12.75">
      <c r="A30" s="438">
        <v>217</v>
      </c>
      <c r="B30" s="439" t="s">
        <v>22</v>
      </c>
      <c r="C30" s="440">
        <v>126.82598732288648</v>
      </c>
      <c r="D30" s="441">
        <v>209.66579321959395</v>
      </c>
      <c r="E30" s="441">
        <v>126.82598732288648</v>
      </c>
      <c r="F30" s="442">
        <v>185.53206535979029</v>
      </c>
    </row>
    <row r="31" spans="1:6" ht="12.75">
      <c r="A31" s="438">
        <v>219</v>
      </c>
      <c r="B31" s="439" t="s">
        <v>23</v>
      </c>
      <c r="C31" s="440">
        <v>135.79455719430786</v>
      </c>
      <c r="D31" s="441">
        <v>191.19149417717065</v>
      </c>
      <c r="E31" s="441">
        <v>103.54392175147757</v>
      </c>
      <c r="F31" s="442">
        <v>103.54392175147757</v>
      </c>
    </row>
    <row r="32" spans="1:6" ht="12.75">
      <c r="A32" s="438">
        <v>223</v>
      </c>
      <c r="B32" s="439" t="s">
        <v>60</v>
      </c>
      <c r="C32" s="440">
        <v>210.42770488104574</v>
      </c>
      <c r="D32" s="441">
        <v>210.42770488104574</v>
      </c>
      <c r="E32" s="441">
        <v>167</v>
      </c>
      <c r="F32" s="442">
        <v>167</v>
      </c>
    </row>
    <row r="33" spans="1:6" ht="12.75">
      <c r="A33" s="438">
        <v>251</v>
      </c>
      <c r="B33" s="439" t="s">
        <v>38</v>
      </c>
      <c r="C33" s="440">
        <v>253.15944325564755</v>
      </c>
      <c r="D33" s="441">
        <v>253.15944325564755</v>
      </c>
      <c r="E33" s="441">
        <v>147.10018272844619</v>
      </c>
      <c r="F33" s="442">
        <v>147.10018272844619</v>
      </c>
    </row>
    <row r="34" spans="1:6" ht="12.75">
      <c r="A34" s="438">
        <v>252</v>
      </c>
      <c r="B34" s="439" t="s">
        <v>39</v>
      </c>
      <c r="C34" s="440">
        <v>380.08943460751425</v>
      </c>
      <c r="D34" s="441">
        <v>380.08943460751425</v>
      </c>
      <c r="E34" s="441">
        <v>183.49583390393013</v>
      </c>
      <c r="F34" s="442">
        <v>197.38483284429159</v>
      </c>
    </row>
    <row r="35" spans="1:6" ht="12.75">
      <c r="A35" s="438">
        <v>253</v>
      </c>
      <c r="B35" s="439" t="s">
        <v>40</v>
      </c>
      <c r="C35" s="440">
        <v>418.59281267838236</v>
      </c>
      <c r="D35" s="441">
        <v>456.11103869113566</v>
      </c>
      <c r="E35" s="441">
        <v>203.63524591108279</v>
      </c>
      <c r="F35" s="442">
        <v>212.98627951299147</v>
      </c>
    </row>
    <row r="36" spans="1:6" ht="12.75">
      <c r="A36" s="438">
        <v>257</v>
      </c>
      <c r="B36" s="439" t="s">
        <v>41</v>
      </c>
      <c r="C36" s="440">
        <v>128.17509408472185</v>
      </c>
      <c r="D36" s="441">
        <v>198.29872545724365</v>
      </c>
      <c r="E36" s="441">
        <v>92.873762010498027</v>
      </c>
      <c r="F36" s="442">
        <v>162.06743640494037</v>
      </c>
    </row>
    <row r="37" spans="1:6" ht="12.75">
      <c r="A37" s="438">
        <v>258</v>
      </c>
      <c r="B37" s="439" t="s">
        <v>42</v>
      </c>
      <c r="C37" s="440">
        <v>280.76603300229306</v>
      </c>
      <c r="D37" s="441">
        <v>290.12165169212847</v>
      </c>
      <c r="E37" s="441">
        <v>148.4398244600136</v>
      </c>
      <c r="F37" s="442">
        <v>171.16034224827675</v>
      </c>
    </row>
    <row r="38" spans="1:6" ht="12.75">
      <c r="A38" s="438">
        <v>263</v>
      </c>
      <c r="B38" s="439" t="s">
        <v>61</v>
      </c>
      <c r="C38" s="440">
        <v>200.51370545538029</v>
      </c>
      <c r="D38" s="441">
        <v>204.36355049009515</v>
      </c>
      <c r="E38" s="441">
        <v>93.30837892031191</v>
      </c>
      <c r="F38" s="442">
        <v>109.48176806898577</v>
      </c>
    </row>
    <row r="39" spans="1:6" ht="12.75">
      <c r="A39" s="438">
        <v>300</v>
      </c>
      <c r="B39" s="439" t="s">
        <v>43</v>
      </c>
      <c r="C39" s="440">
        <v>180.25354504904192</v>
      </c>
      <c r="D39" s="441">
        <v>255.33165714951829</v>
      </c>
      <c r="E39" s="441">
        <v>106.48736623293232</v>
      </c>
      <c r="F39" s="442">
        <v>137.74083212237301</v>
      </c>
    </row>
    <row r="40" spans="1:6" ht="12.75">
      <c r="A40" s="438">
        <v>301</v>
      </c>
      <c r="B40" s="439" t="s">
        <v>44</v>
      </c>
      <c r="C40" s="440">
        <v>180.25354504904192</v>
      </c>
      <c r="D40" s="441">
        <v>255.33165714951829</v>
      </c>
      <c r="E40" s="441">
        <v>106.48736623293232</v>
      </c>
      <c r="F40" s="442">
        <v>137.74083212237301</v>
      </c>
    </row>
    <row r="41" spans="1:6" ht="12.75">
      <c r="A41" s="438">
        <v>302</v>
      </c>
      <c r="B41" s="439" t="s">
        <v>45</v>
      </c>
      <c r="C41" s="440">
        <v>186.89353989489726</v>
      </c>
      <c r="D41" s="441">
        <v>186.89353989489726</v>
      </c>
      <c r="E41" s="441">
        <v>94.722516710909403</v>
      </c>
      <c r="F41" s="442">
        <v>104.59753474249229</v>
      </c>
    </row>
    <row r="42" spans="1:6" ht="12.75">
      <c r="A42" s="438">
        <v>303</v>
      </c>
      <c r="B42" s="439" t="s">
        <v>46</v>
      </c>
      <c r="C42" s="440">
        <v>284.15984692212743</v>
      </c>
      <c r="D42" s="441">
        <v>456.11103869113566</v>
      </c>
      <c r="E42" s="441">
        <v>118.90969423352311</v>
      </c>
      <c r="F42" s="442">
        <v>212.98627951299147</v>
      </c>
    </row>
    <row r="43" spans="1:6" ht="12.75">
      <c r="A43" s="438">
        <v>306</v>
      </c>
      <c r="B43" s="439" t="s">
        <v>47</v>
      </c>
      <c r="C43" s="440">
        <v>180.25354504904192</v>
      </c>
      <c r="D43" s="441">
        <v>255.33165714951829</v>
      </c>
      <c r="E43" s="441">
        <v>106.48736623293232</v>
      </c>
      <c r="F43" s="442">
        <v>137.74083212237301</v>
      </c>
    </row>
    <row r="44" spans="1:6" ht="12.75">
      <c r="A44" s="438">
        <v>307</v>
      </c>
      <c r="B44" s="439" t="s">
        <v>48</v>
      </c>
      <c r="C44" s="440">
        <v>200.51370545538029</v>
      </c>
      <c r="D44" s="441">
        <v>204.36355049009515</v>
      </c>
      <c r="E44" s="441">
        <v>93.30837892031191</v>
      </c>
      <c r="F44" s="442">
        <v>109.48176806898577</v>
      </c>
    </row>
    <row r="45" spans="1:6" ht="12.75">
      <c r="A45" s="438">
        <v>320</v>
      </c>
      <c r="B45" s="439" t="s">
        <v>24</v>
      </c>
      <c r="C45" s="440">
        <v>163.77308690542904</v>
      </c>
      <c r="D45" s="441">
        <v>227.2121416078767</v>
      </c>
      <c r="E45" s="441">
        <v>95.039933837925645</v>
      </c>
      <c r="F45" s="442">
        <v>146.0246689188977</v>
      </c>
    </row>
    <row r="46" spans="1:6" ht="12.75">
      <c r="A46" s="438">
        <v>321</v>
      </c>
      <c r="B46" s="439" t="s">
        <v>25</v>
      </c>
      <c r="C46" s="440">
        <v>225.93492014909421</v>
      </c>
      <c r="D46" s="441">
        <v>228.84377818418469</v>
      </c>
      <c r="E46" s="441">
        <v>123.37164157584282</v>
      </c>
      <c r="F46" s="442">
        <v>164.42487332601181</v>
      </c>
    </row>
    <row r="47" spans="1:6" ht="12.75">
      <c r="A47" s="438">
        <v>329</v>
      </c>
      <c r="B47" s="439" t="s">
        <v>62</v>
      </c>
      <c r="C47" s="440">
        <v>302</v>
      </c>
      <c r="D47" s="441">
        <v>302</v>
      </c>
      <c r="E47" s="441">
        <v>143.63212653181637</v>
      </c>
      <c r="F47" s="442">
        <v>287.26425306363274</v>
      </c>
    </row>
    <row r="48" spans="1:6" ht="12.75">
      <c r="A48" s="438">
        <v>330</v>
      </c>
      <c r="B48" s="439" t="s">
        <v>26</v>
      </c>
      <c r="C48" s="440">
        <v>106.09932185848382</v>
      </c>
      <c r="D48" s="441">
        <v>121.36916930558991</v>
      </c>
      <c r="E48" s="441">
        <v>69.086528099491787</v>
      </c>
      <c r="F48" s="442">
        <v>75.929964032700454</v>
      </c>
    </row>
    <row r="49" spans="1:6" ht="12.75">
      <c r="A49" s="438">
        <v>340</v>
      </c>
      <c r="B49" s="439" t="s">
        <v>27</v>
      </c>
      <c r="C49" s="440">
        <v>179.5264567405186</v>
      </c>
      <c r="D49" s="441">
        <v>273.6658041548323</v>
      </c>
      <c r="E49" s="441">
        <v>104.11550081812261</v>
      </c>
      <c r="F49" s="442">
        <v>171.16034224827675</v>
      </c>
    </row>
    <row r="50" spans="1:6" ht="12.75">
      <c r="A50" s="438">
        <v>341</v>
      </c>
      <c r="B50" s="439" t="s">
        <v>64</v>
      </c>
      <c r="C50" s="440">
        <v>164.73113070785851</v>
      </c>
      <c r="D50" s="441">
        <v>329.46226141571702</v>
      </c>
      <c r="E50" s="441">
        <v>134.9387086665669</v>
      </c>
      <c r="F50" s="442">
        <v>269.87741733313379</v>
      </c>
    </row>
    <row r="51" spans="1:6" ht="12.75">
      <c r="A51" s="438">
        <v>350</v>
      </c>
      <c r="B51" s="439" t="s">
        <v>28</v>
      </c>
      <c r="C51" s="440">
        <v>318.25292797346424</v>
      </c>
      <c r="D51" s="441">
        <v>322.65423795980325</v>
      </c>
      <c r="E51" s="441">
        <v>206.03648059749133</v>
      </c>
      <c r="F51" s="442">
        <v>206.03648059749133</v>
      </c>
    </row>
    <row r="52" spans="1:6" ht="12.75">
      <c r="A52" s="438">
        <v>361</v>
      </c>
      <c r="B52" s="439" t="s">
        <v>29</v>
      </c>
      <c r="C52" s="440">
        <v>265.54974657818212</v>
      </c>
      <c r="D52" s="441">
        <v>309.08927352476786</v>
      </c>
      <c r="E52" s="441">
        <v>127.03040023826152</v>
      </c>
      <c r="F52" s="442">
        <v>238.14290221006664</v>
      </c>
    </row>
    <row r="53" spans="1:6" ht="12.75">
      <c r="A53" s="438">
        <v>370</v>
      </c>
      <c r="B53" s="439" t="s">
        <v>30</v>
      </c>
      <c r="C53" s="440">
        <v>206.38609434978764</v>
      </c>
      <c r="D53" s="441">
        <v>212.56308125364137</v>
      </c>
      <c r="E53" s="441">
        <v>92.087156709831817</v>
      </c>
      <c r="F53" s="442">
        <v>101.07911872390315</v>
      </c>
    </row>
    <row r="54" spans="1:6" ht="12.75">
      <c r="A54" s="438">
        <v>410</v>
      </c>
      <c r="B54" s="439" t="s">
        <v>31</v>
      </c>
      <c r="C54" s="440">
        <v>222.46033554889169</v>
      </c>
      <c r="D54" s="441">
        <v>242.52718371842172</v>
      </c>
      <c r="E54" s="441">
        <v>102.0822106650581</v>
      </c>
      <c r="F54" s="442">
        <v>162.56069013404988</v>
      </c>
    </row>
    <row r="55" spans="1:6" ht="12.75">
      <c r="A55" s="438">
        <v>420</v>
      </c>
      <c r="B55" s="439" t="s">
        <v>32</v>
      </c>
      <c r="C55" s="440">
        <v>218.97678794297926</v>
      </c>
      <c r="D55" s="441">
        <v>232.14836075459402</v>
      </c>
      <c r="E55" s="441">
        <v>133.18895279836445</v>
      </c>
      <c r="F55" s="442">
        <v>154.00748123285911</v>
      </c>
    </row>
    <row r="56" spans="1:6" ht="12.75">
      <c r="A56" s="438">
        <v>430</v>
      </c>
      <c r="B56" s="439" t="s">
        <v>33</v>
      </c>
      <c r="C56" s="440">
        <v>241.23203318906411</v>
      </c>
      <c r="D56" s="441">
        <v>241.23203318906411</v>
      </c>
      <c r="E56" s="441">
        <v>135.66166572337823</v>
      </c>
      <c r="F56" s="442">
        <v>135.66166572337823</v>
      </c>
    </row>
    <row r="57" spans="1:6" ht="12.75">
      <c r="A57" s="438">
        <v>502</v>
      </c>
      <c r="B57" s="439" t="s">
        <v>34</v>
      </c>
      <c r="C57" s="440">
        <v>136.25979364623063</v>
      </c>
      <c r="D57" s="441">
        <v>148.48240525245265</v>
      </c>
      <c r="E57" s="441">
        <v>87.949369991044534</v>
      </c>
      <c r="F57" s="442">
        <v>103.96053920273418</v>
      </c>
    </row>
    <row r="58" spans="1:6" ht="12.75">
      <c r="A58" s="438">
        <v>503</v>
      </c>
      <c r="B58" s="439" t="s">
        <v>35</v>
      </c>
      <c r="C58" s="440">
        <v>157.79951240570455</v>
      </c>
      <c r="D58" s="441">
        <v>200.1092678811969</v>
      </c>
      <c r="E58" s="441">
        <v>94.235090741805791</v>
      </c>
      <c r="F58" s="442">
        <v>106.90083808031201</v>
      </c>
    </row>
    <row r="59" spans="1:6" ht="12.75">
      <c r="A59" s="438">
        <v>800</v>
      </c>
      <c r="B59" s="439" t="s">
        <v>36</v>
      </c>
      <c r="C59" s="440">
        <v>206.38609434978764</v>
      </c>
      <c r="D59" s="441">
        <v>212.56308125364137</v>
      </c>
      <c r="E59" s="441">
        <v>92.087156709831817</v>
      </c>
      <c r="F59" s="442">
        <v>101.07911872390315</v>
      </c>
    </row>
    <row r="60" spans="1:6" ht="13.5" thickBot="1">
      <c r="A60" s="443">
        <v>812</v>
      </c>
      <c r="B60" s="444" t="s">
        <v>37</v>
      </c>
      <c r="C60" s="445">
        <v>0</v>
      </c>
      <c r="D60" s="446">
        <v>0</v>
      </c>
      <c r="E60" s="446">
        <v>0</v>
      </c>
      <c r="F60" s="447">
        <v>0</v>
      </c>
    </row>
  </sheetData>
  <mergeCells count="1">
    <mergeCell ref="C3:F3"/>
  </mergeCells>
  <hyperlinks>
    <hyperlink ref="A2" location="Navigation!A1" display="Home"/>
  </hyperlinks>
  <pageMargins left="0.70866141732283472" right="0.70866141732283472" top="0.74803149606299213" bottom="0.74803149606299213" header="0.31496062992125984" footer="0.31496062992125984"/>
  <pageSetup paperSize="9" fitToHeight="0" orientation="portrait" cellComments="atEnd"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62"/>
  <sheetViews>
    <sheetView workbookViewId="0">
      <pane xSplit="2" ySplit="2" topLeftCell="C3" activePane="bottomRight" state="frozen"/>
      <selection pane="topRight" activeCell="C1" sqref="C1"/>
      <selection pane="bottomLeft" activeCell="A3" sqref="A3"/>
      <selection pane="bottomRight"/>
    </sheetView>
  </sheetViews>
  <sheetFormatPr defaultRowHeight="15"/>
  <cols>
    <col min="1" max="1" width="15.7109375" customWidth="1"/>
    <col min="2" max="2" width="36.7109375" bestFit="1" customWidth="1"/>
    <col min="3" max="3" width="15.85546875" customWidth="1"/>
    <col min="4" max="4" width="13.85546875" customWidth="1"/>
    <col min="5" max="5" width="13.28515625" customWidth="1"/>
    <col min="6" max="6" width="16.7109375" customWidth="1"/>
    <col min="7" max="7" width="14.28515625" customWidth="1"/>
    <col min="8" max="8" width="14.42578125" customWidth="1"/>
    <col min="9" max="9" width="13.85546875" customWidth="1"/>
    <col min="10" max="10" width="14.28515625" customWidth="1"/>
  </cols>
  <sheetData>
    <row r="1" spans="1:10" s="89" customFormat="1" ht="33" customHeight="1" thickBot="1">
      <c r="A1" s="455"/>
      <c r="B1" s="455"/>
      <c r="C1" s="578" t="s">
        <v>1608</v>
      </c>
      <c r="D1" s="578"/>
      <c r="E1" s="578"/>
      <c r="F1" s="578"/>
      <c r="G1" s="578" t="s">
        <v>579</v>
      </c>
      <c r="H1" s="578"/>
      <c r="I1" s="578"/>
      <c r="J1" s="578"/>
    </row>
    <row r="2" spans="1:10" ht="64.5" thickBot="1">
      <c r="A2" s="459" t="s">
        <v>50</v>
      </c>
      <c r="B2" s="460" t="s">
        <v>51</v>
      </c>
      <c r="C2" s="459" t="s">
        <v>1618</v>
      </c>
      <c r="D2" s="461" t="s">
        <v>1619</v>
      </c>
      <c r="E2" s="461" t="s">
        <v>1620</v>
      </c>
      <c r="F2" s="460" t="s">
        <v>1621</v>
      </c>
      <c r="G2" s="459" t="s">
        <v>1609</v>
      </c>
      <c r="H2" s="461" t="s">
        <v>1610</v>
      </c>
      <c r="I2" s="461" t="s">
        <v>1611</v>
      </c>
      <c r="J2" s="460" t="s">
        <v>1612</v>
      </c>
    </row>
    <row r="3" spans="1:10">
      <c r="A3" s="462">
        <f>Mandatory!A3</f>
        <v>100</v>
      </c>
      <c r="B3" s="463" t="str">
        <f>INDEX('201314 RC list'!B:B,MATCH(A3,'201314 RC list'!A:A,0))</f>
        <v>General Surgery</v>
      </c>
      <c r="C3" s="464">
        <f>VLOOKUP($A3,'OPATT prices'!$A:$J,3,FALSE)</f>
        <v>137.65403054037597</v>
      </c>
      <c r="D3" s="465">
        <f>VLOOKUP($A3,'OPATT prices'!$A:$J,4,FALSE)</f>
        <v>171.32716248991088</v>
      </c>
      <c r="E3" s="465">
        <f>VLOOKUP($A3,'OPATT prices'!$A:$J,5,FALSE)</f>
        <v>84.299600346291157</v>
      </c>
      <c r="F3" s="463">
        <f>VLOOKUP($A3,'OPATT prices'!$A:$J,6,FALSE)</f>
        <v>130.35318110510772</v>
      </c>
      <c r="G3" s="464">
        <f>+IFERROR(VLOOKUP($A3,PRICES!$A:$BN,59,FALSE),"")</f>
        <v>657468</v>
      </c>
      <c r="H3" s="465">
        <f>+IFERROR(VLOOKUP($A3,PRICES!$A:$BN,60,FALSE),"")</f>
        <v>9575</v>
      </c>
      <c r="I3" s="465">
        <f>+IFERROR(VLOOKUP($A3,PRICES!$A:$BN,61,FALSE),"")</f>
        <v>908710</v>
      </c>
      <c r="J3" s="463">
        <f>+IFERROR(VLOOKUP($A3,PRICES!$A:$BN,62,FALSE),"")</f>
        <v>12498</v>
      </c>
    </row>
    <row r="4" spans="1:10">
      <c r="A4" s="466">
        <f>Mandatory!A4</f>
        <v>101</v>
      </c>
      <c r="B4" s="467" t="str">
        <f>INDEX('201314 RC list'!B:B,MATCH(A4,'201314 RC list'!A:A,0))</f>
        <v>Urology</v>
      </c>
      <c r="C4" s="468">
        <f>VLOOKUP($A4,'OPATT prices'!$A:$J,3,FALSE)</f>
        <v>113.5602240150768</v>
      </c>
      <c r="D4" s="469">
        <f>VLOOKUP($A4,'OPATT prices'!$A:$J,4,FALSE)</f>
        <v>179.2280126861549</v>
      </c>
      <c r="E4" s="469">
        <f>VLOOKUP($A4,'OPATT prices'!$A:$J,5,FALSE)</f>
        <v>69.712743857061653</v>
      </c>
      <c r="F4" s="467">
        <f>VLOOKUP($A4,'OPATT prices'!$A:$J,6,FALSE)</f>
        <v>112.72405176857377</v>
      </c>
      <c r="G4" s="468">
        <f>+IFERROR(VLOOKUP($A4,PRICES!$A:$BN,59,FALSE),"")</f>
        <v>551537</v>
      </c>
      <c r="H4" s="469">
        <f>+IFERROR(VLOOKUP($A4,PRICES!$A:$BN,60,FALSE),"")</f>
        <v>6807</v>
      </c>
      <c r="I4" s="469">
        <f>+IFERROR(VLOOKUP($A4,PRICES!$A:$BN,61,FALSE),"")</f>
        <v>1092671</v>
      </c>
      <c r="J4" s="467">
        <f>+IFERROR(VLOOKUP($A4,PRICES!$A:$BN,62,FALSE),"")</f>
        <v>20413</v>
      </c>
    </row>
    <row r="5" spans="1:10">
      <c r="A5" s="466">
        <f>Mandatory!A5</f>
        <v>103</v>
      </c>
      <c r="B5" s="467" t="str">
        <f>INDEX('201314 RC list'!B:B,MATCH(A5,'201314 RC list'!A:A,0))</f>
        <v>Breast Surgery</v>
      </c>
      <c r="C5" s="468">
        <f>VLOOKUP($A5,'OPATT prices'!$A:$J,3,FALSE)</f>
        <v>152.5277344334134</v>
      </c>
      <c r="D5" s="469">
        <f>VLOOKUP($A5,'OPATT prices'!$A:$J,4,FALSE)</f>
        <v>163.88147003290931</v>
      </c>
      <c r="E5" s="469">
        <f>VLOOKUP($A5,'OPATT prices'!$A:$J,5,FALSE)</f>
        <v>89.265338148243842</v>
      </c>
      <c r="F5" s="467">
        <f>VLOOKUP($A5,'OPATT prices'!$A:$J,6,FALSE)</f>
        <v>108.4500475401785</v>
      </c>
      <c r="G5" s="468">
        <f>+IFERROR(VLOOKUP($A5,PRICES!$A:$BN,59,FALSE),"")</f>
        <v>351185</v>
      </c>
      <c r="H5" s="469">
        <f>+IFERROR(VLOOKUP($A5,PRICES!$A:$BN,60,FALSE),"")</f>
        <v>59739</v>
      </c>
      <c r="I5" s="469">
        <f>+IFERROR(VLOOKUP($A5,PRICES!$A:$BN,61,FALSE),"")</f>
        <v>449529</v>
      </c>
      <c r="J5" s="467">
        <f>+IFERROR(VLOOKUP($A5,PRICES!$A:$BN,62,FALSE),"")</f>
        <v>37980</v>
      </c>
    </row>
    <row r="6" spans="1:10">
      <c r="A6" s="466">
        <f>Mandatory!A6</f>
        <v>104</v>
      </c>
      <c r="B6" s="467" t="str">
        <f>INDEX('201314 RC list'!B:B,MATCH(A6,'201314 RC list'!A:A,0))</f>
        <v>Colorectal Surgery</v>
      </c>
      <c r="C6" s="468">
        <f>VLOOKUP($A6,'OPATT prices'!$A:$J,3,FALSE)</f>
        <v>119.28310636873965</v>
      </c>
      <c r="D6" s="469">
        <f>VLOOKUP($A6,'OPATT prices'!$A:$J,4,FALSE)</f>
        <v>219.46503432853004</v>
      </c>
      <c r="E6" s="469">
        <f>VLOOKUP($A6,'OPATT prices'!$A:$J,5,FALSE)</f>
        <v>80.343757145115475</v>
      </c>
      <c r="F6" s="467">
        <f>VLOOKUP($A6,'OPATT prices'!$A:$J,6,FALSE)</f>
        <v>160.68751429023095</v>
      </c>
      <c r="G6" s="468">
        <f>+IFERROR(VLOOKUP($A6,PRICES!$A:$BN,59,FALSE),"")</f>
        <v>195049</v>
      </c>
      <c r="H6" s="469">
        <f>+IFERROR(VLOOKUP($A6,PRICES!$A:$BN,60,FALSE),"")</f>
        <v>3058</v>
      </c>
      <c r="I6" s="469">
        <f>+IFERROR(VLOOKUP($A6,PRICES!$A:$BN,61,FALSE),"")</f>
        <v>261043</v>
      </c>
      <c r="J6" s="467">
        <f>+IFERROR(VLOOKUP($A6,PRICES!$A:$BN,62,FALSE),"")</f>
        <v>9234</v>
      </c>
    </row>
    <row r="7" spans="1:10">
      <c r="A7" s="466">
        <f>Mandatory!A7</f>
        <v>105</v>
      </c>
      <c r="B7" s="467" t="str">
        <f>INDEX('201314 RC list'!B:B,MATCH(A7,'201314 RC list'!A:A,0))</f>
        <v>Hepatobiliary &amp; Pancreatic Surgery</v>
      </c>
      <c r="C7" s="468">
        <f>VLOOKUP($A7,'OPATT prices'!$A:$J,3,FALSE)</f>
        <v>158.34815904926745</v>
      </c>
      <c r="D7" s="469">
        <f>VLOOKUP($A7,'OPATT prices'!$A:$J,4,FALSE)</f>
        <v>233.89364027657237</v>
      </c>
      <c r="E7" s="469">
        <f>VLOOKUP($A7,'OPATT prices'!$A:$J,5,FALSE)</f>
        <v>106.60115119204995</v>
      </c>
      <c r="F7" s="467">
        <f>VLOOKUP($A7,'OPATT prices'!$A:$J,6,FALSE)</f>
        <v>164.51488655310146</v>
      </c>
      <c r="G7" s="468">
        <f>+IFERROR(VLOOKUP($A7,PRICES!$A:$BN,59,FALSE),"")</f>
        <v>12389</v>
      </c>
      <c r="H7" s="469">
        <f>+IFERROR(VLOOKUP($A7,PRICES!$A:$BN,60,FALSE),"")</f>
        <v>1595</v>
      </c>
      <c r="I7" s="469">
        <f>+IFERROR(VLOOKUP($A7,PRICES!$A:$BN,61,FALSE),"")</f>
        <v>28799</v>
      </c>
      <c r="J7" s="467">
        <f>+IFERROR(VLOOKUP($A7,PRICES!$A:$BN,62,FALSE),"")</f>
        <v>4088</v>
      </c>
    </row>
    <row r="8" spans="1:10">
      <c r="A8" s="466">
        <f>Mandatory!A8</f>
        <v>106</v>
      </c>
      <c r="B8" s="467" t="str">
        <f>INDEX('201314 RC list'!B:B,MATCH(A8,'201314 RC list'!A:A,0))</f>
        <v>Upper Gastrointestinal Surgery</v>
      </c>
      <c r="C8" s="468">
        <f>VLOOKUP($A8,'OPATT prices'!$A:$J,3,FALSE)</f>
        <v>136.70959556771825</v>
      </c>
      <c r="D8" s="469">
        <f>VLOOKUP($A8,'OPATT prices'!$A:$J,4,FALSE)</f>
        <v>225.2225048237016</v>
      </c>
      <c r="E8" s="469">
        <f>VLOOKUP($A8,'OPATT prices'!$A:$J,5,FALSE)</f>
        <v>89.244587616768058</v>
      </c>
      <c r="F8" s="467">
        <f>VLOOKUP($A8,'OPATT prices'!$A:$J,6,FALSE)</f>
        <v>126.15270071124384</v>
      </c>
      <c r="G8" s="468">
        <f>+IFERROR(VLOOKUP($A8,PRICES!$A:$BN,59,FALSE),"")</f>
        <v>56998</v>
      </c>
      <c r="H8" s="469">
        <f>+IFERROR(VLOOKUP($A8,PRICES!$A:$BN,60,FALSE),"")</f>
        <v>869</v>
      </c>
      <c r="I8" s="469">
        <f>+IFERROR(VLOOKUP($A8,PRICES!$A:$BN,61,FALSE),"")</f>
        <v>71619</v>
      </c>
      <c r="J8" s="467">
        <f>+IFERROR(VLOOKUP($A8,PRICES!$A:$BN,62,FALSE),"")</f>
        <v>2028</v>
      </c>
    </row>
    <row r="9" spans="1:10">
      <c r="A9" s="466">
        <f>Mandatory!A9</f>
        <v>107</v>
      </c>
      <c r="B9" s="467" t="str">
        <f>INDEX('201314 RC list'!B:B,MATCH(A9,'201314 RC list'!A:A,0))</f>
        <v>Vascular Surgery</v>
      </c>
      <c r="C9" s="470">
        <f>VLOOKUP($A9,'OPATT prices'!$A:$J,3,FALSE)</f>
        <v>155.7736083522941</v>
      </c>
      <c r="D9" s="471">
        <f>VLOOKUP($A9,'OPATT prices'!$A:$J,4,FALSE)</f>
        <v>243.42973284357078</v>
      </c>
      <c r="E9" s="471">
        <f>VLOOKUP($A9,'OPATT prices'!$A:$J,5,FALSE)</f>
        <v>105.68520757061287</v>
      </c>
      <c r="F9" s="472">
        <f>VLOOKUP($A9,'OPATT prices'!$A:$J,6,FALSE)</f>
        <v>170.81431822783577</v>
      </c>
      <c r="G9" s="470">
        <f>+IFERROR(VLOOKUP($A9,PRICES!$A:$BN,59,FALSE),"")</f>
        <v>161188</v>
      </c>
      <c r="H9" s="471">
        <f>+IFERROR(VLOOKUP($A9,PRICES!$A:$BN,60,FALSE),"")</f>
        <v>3277</v>
      </c>
      <c r="I9" s="471">
        <f>+IFERROR(VLOOKUP($A9,PRICES!$A:$BN,61,FALSE),"")</f>
        <v>204153</v>
      </c>
      <c r="J9" s="472">
        <f>+IFERROR(VLOOKUP($A9,PRICES!$A:$BN,62,FALSE),"")</f>
        <v>5003</v>
      </c>
    </row>
    <row r="10" spans="1:10">
      <c r="A10" s="466">
        <f>Mandatory!A10</f>
        <v>108</v>
      </c>
      <c r="B10" s="467" t="str">
        <f>INDEX('201314 RC list'!B:B,MATCH(A10,'201314 RC list'!A:A,0))</f>
        <v>Spinal Surgery Service</v>
      </c>
      <c r="C10" s="470">
        <f>VLOOKUP($A10,'OPATT prices'!$A:$J,3,FALSE)</f>
        <v>166.72823004593124</v>
      </c>
      <c r="D10" s="471">
        <f>VLOOKUP($A10,'OPATT prices'!$A:$J,4,FALSE)</f>
        <v>166.72823004593124</v>
      </c>
      <c r="E10" s="471">
        <f>VLOOKUP($A10,'OPATT prices'!$A:$J,5,FALSE)</f>
        <v>103.0838930269433</v>
      </c>
      <c r="F10" s="472">
        <f>VLOOKUP($A10,'OPATT prices'!$A:$J,6,FALSE)</f>
        <v>103.0838930269433</v>
      </c>
      <c r="G10" s="470">
        <f>+IFERROR(VLOOKUP($A10,PRICES!$A:$BN,59,FALSE),"")</f>
        <v>14517</v>
      </c>
      <c r="H10" s="471">
        <f>+IFERROR(VLOOKUP($A10,PRICES!$A:$BN,60,FALSE),"")</f>
        <v>258</v>
      </c>
      <c r="I10" s="471">
        <f>+IFERROR(VLOOKUP($A10,PRICES!$A:$BN,61,FALSE),"")</f>
        <v>33756</v>
      </c>
      <c r="J10" s="472">
        <f>+IFERROR(VLOOKUP($A10,PRICES!$A:$BN,62,FALSE),"")</f>
        <v>872</v>
      </c>
    </row>
    <row r="11" spans="1:10">
      <c r="A11" s="466">
        <f>Mandatory!A11</f>
        <v>110</v>
      </c>
      <c r="B11" s="467" t="str">
        <f>INDEX('201314 RC list'!B:B,MATCH(A11,'201314 RC list'!A:A,0))</f>
        <v>Trauma &amp; Orthopaedics</v>
      </c>
      <c r="C11" s="468">
        <f>VLOOKUP($A11,'OPATT prices'!$A:$J,3,FALSE)</f>
        <v>126.06545864241775</v>
      </c>
      <c r="D11" s="469">
        <f>VLOOKUP($A11,'OPATT prices'!$A:$J,4,FALSE)</f>
        <v>135.3918246038883</v>
      </c>
      <c r="E11" s="469">
        <f>VLOOKUP($A11,'OPATT prices'!$A:$J,5,FALSE)</f>
        <v>79.285631123580103</v>
      </c>
      <c r="F11" s="467">
        <f>VLOOKUP($A11,'OPATT prices'!$A:$J,6,FALSE)</f>
        <v>83.625035998850521</v>
      </c>
      <c r="G11" s="468">
        <f>+IFERROR(VLOOKUP($A11,PRICES!$A:$BN,59,FALSE),"")</f>
        <v>2077780</v>
      </c>
      <c r="H11" s="469">
        <f>+IFERROR(VLOOKUP($A11,PRICES!$A:$BN,60,FALSE),"")</f>
        <v>43770</v>
      </c>
      <c r="I11" s="469">
        <f>+IFERROR(VLOOKUP($A11,PRICES!$A:$BN,61,FALSE),"")</f>
        <v>3655213</v>
      </c>
      <c r="J11" s="467">
        <f>+IFERROR(VLOOKUP($A11,PRICES!$A:$BN,62,FALSE),"")</f>
        <v>78786</v>
      </c>
    </row>
    <row r="12" spans="1:10">
      <c r="A12" s="466">
        <f>Mandatory!A12</f>
        <v>120</v>
      </c>
      <c r="B12" s="467" t="str">
        <f>INDEX('201314 RC list'!B:B,MATCH(A12,'201314 RC list'!A:A,0))</f>
        <v>ENT</v>
      </c>
      <c r="C12" s="468">
        <f>VLOOKUP($A12,'OPATT prices'!$A:$J,3,FALSE)</f>
        <v>101.10354322096782</v>
      </c>
      <c r="D12" s="469">
        <f>VLOOKUP($A12,'OPATT prices'!$A:$J,4,FALSE)</f>
        <v>138.11457382366746</v>
      </c>
      <c r="E12" s="469">
        <f>VLOOKUP($A12,'OPATT prices'!$A:$J,5,FALSE)</f>
        <v>64.795903797893828</v>
      </c>
      <c r="F12" s="467">
        <f>VLOOKUP($A12,'OPATT prices'!$A:$J,6,FALSE)</f>
        <v>93.968703065219415</v>
      </c>
      <c r="G12" s="468">
        <f>+IFERROR(VLOOKUP($A12,PRICES!$A:$BN,59,FALSE),"")</f>
        <v>621493</v>
      </c>
      <c r="H12" s="469">
        <f>+IFERROR(VLOOKUP($A12,PRICES!$A:$BN,60,FALSE),"")</f>
        <v>8832</v>
      </c>
      <c r="I12" s="469">
        <f>+IFERROR(VLOOKUP($A12,PRICES!$A:$BN,61,FALSE),"")</f>
        <v>899844</v>
      </c>
      <c r="J12" s="467">
        <f>+IFERROR(VLOOKUP($A12,PRICES!$A:$BN,62,FALSE),"")</f>
        <v>19259</v>
      </c>
    </row>
    <row r="13" spans="1:10">
      <c r="A13" s="466">
        <f>Mandatory!A13</f>
        <v>130</v>
      </c>
      <c r="B13" s="467" t="str">
        <f>INDEX('201314 RC list'!B:B,MATCH(A13,'201314 RC list'!A:A,0))</f>
        <v>Ophthalmology</v>
      </c>
      <c r="C13" s="468">
        <f>VLOOKUP($A13,'OPATT prices'!$A:$J,3,FALSE)</f>
        <v>105.16656659360872</v>
      </c>
      <c r="D13" s="469">
        <f>VLOOKUP($A13,'OPATT prices'!$A:$J,4,FALSE)</f>
        <v>137.25301855901805</v>
      </c>
      <c r="E13" s="469">
        <f>VLOOKUP($A13,'OPATT prices'!$A:$J,5,FALSE)</f>
        <v>62.455878074526559</v>
      </c>
      <c r="F13" s="467">
        <f>VLOOKUP($A13,'OPATT prices'!$A:$J,6,FALSE)</f>
        <v>81.966653523413328</v>
      </c>
      <c r="G13" s="468">
        <f>+IFERROR(VLOOKUP($A13,PRICES!$A:$BN,59,FALSE),"")</f>
        <v>1321856</v>
      </c>
      <c r="H13" s="469">
        <f>+IFERROR(VLOOKUP($A13,PRICES!$A:$BN,60,FALSE),"")</f>
        <v>51082</v>
      </c>
      <c r="I13" s="469">
        <f>+IFERROR(VLOOKUP($A13,PRICES!$A:$BN,61,FALSE),"")</f>
        <v>3456443</v>
      </c>
      <c r="J13" s="467">
        <f>+IFERROR(VLOOKUP($A13,PRICES!$A:$BN,62,FALSE),"")</f>
        <v>158104</v>
      </c>
    </row>
    <row r="14" spans="1:10">
      <c r="A14" s="466">
        <f>Mandatory!A14</f>
        <v>140</v>
      </c>
      <c r="B14" s="467" t="str">
        <f>INDEX('201314 RC list'!B:B,MATCH(A14,'201314 RC list'!A:A,0))</f>
        <v>Oral Surgery</v>
      </c>
      <c r="C14" s="468">
        <f>VLOOKUP($A14,'OPATT prices'!$A:$J,3,FALSE)</f>
        <v>116.80530271950623</v>
      </c>
      <c r="D14" s="469">
        <f>VLOOKUP($A14,'OPATT prices'!$A:$J,4,FALSE)</f>
        <v>188.47446271962946</v>
      </c>
      <c r="E14" s="469">
        <f>VLOOKUP($A14,'OPATT prices'!$A:$J,5,FALSE)</f>
        <v>75.727360600333682</v>
      </c>
      <c r="F14" s="467">
        <f>VLOOKUP($A14,'OPATT prices'!$A:$J,6,FALSE)</f>
        <v>128.16525647214468</v>
      </c>
      <c r="G14" s="468">
        <f>+IFERROR(VLOOKUP($A14,PRICES!$A:$BN,59,FALSE),"")</f>
        <v>373923</v>
      </c>
      <c r="H14" s="469">
        <f>+IFERROR(VLOOKUP($A14,PRICES!$A:$BN,60,FALSE),"")</f>
        <v>4792</v>
      </c>
      <c r="I14" s="469">
        <f>+IFERROR(VLOOKUP($A14,PRICES!$A:$BN,61,FALSE),"")</f>
        <v>396505</v>
      </c>
      <c r="J14" s="467">
        <f>+IFERROR(VLOOKUP($A14,PRICES!$A:$BN,62,FALSE),"")</f>
        <v>8705</v>
      </c>
    </row>
    <row r="15" spans="1:10">
      <c r="A15" s="466">
        <f>Mandatory!A15</f>
        <v>143</v>
      </c>
      <c r="B15" s="467" t="str">
        <f>INDEX('201314 RC list'!B:B,MATCH(A15,'201314 RC list'!A:A,0))</f>
        <v>Orthodontics</v>
      </c>
      <c r="C15" s="468">
        <f>VLOOKUP($A15,'OPATT prices'!$A:$J,3,FALSE)</f>
        <v>148.5458143614452</v>
      </c>
      <c r="D15" s="469">
        <f>VLOOKUP($A15,'OPATT prices'!$A:$J,4,FALSE)</f>
        <v>167.36616126756869</v>
      </c>
      <c r="E15" s="469">
        <f>VLOOKUP($A15,'OPATT prices'!$A:$J,5,FALSE)</f>
        <v>77.324162376421711</v>
      </c>
      <c r="F15" s="467">
        <f>VLOOKUP($A15,'OPATT prices'!$A:$J,6,FALSE)</f>
        <v>94.00692742234223</v>
      </c>
      <c r="G15" s="468">
        <f>+IFERROR(VLOOKUP($A15,PRICES!$A:$BN,59,FALSE),"")</f>
        <v>59900</v>
      </c>
      <c r="H15" s="469">
        <f>+IFERROR(VLOOKUP($A15,PRICES!$A:$BN,60,FALSE),"")</f>
        <v>1601</v>
      </c>
      <c r="I15" s="469">
        <f>+IFERROR(VLOOKUP($A15,PRICES!$A:$BN,61,FALSE),"")</f>
        <v>264666</v>
      </c>
      <c r="J15" s="467">
        <f>+IFERROR(VLOOKUP($A15,PRICES!$A:$BN,62,FALSE),"")</f>
        <v>7363</v>
      </c>
    </row>
    <row r="16" spans="1:10">
      <c r="A16" s="466">
        <f>Mandatory!A16</f>
        <v>144</v>
      </c>
      <c r="B16" s="467" t="str">
        <f>INDEX('201314 RC list'!B:B,MATCH(A16,'201314 RC list'!A:A,0))</f>
        <v>Maxillo-Facial Surgery</v>
      </c>
      <c r="C16" s="468">
        <f>VLOOKUP($A16,'OPATT prices'!$A:$J,3,FALSE)</f>
        <v>109.19418552640656</v>
      </c>
      <c r="D16" s="469">
        <f>VLOOKUP($A16,'OPATT prices'!$A:$J,4,FALSE)</f>
        <v>140.04323485393812</v>
      </c>
      <c r="E16" s="469">
        <f>VLOOKUP($A16,'OPATT prices'!$A:$J,5,FALSE)</f>
        <v>78.434922526973438</v>
      </c>
      <c r="F16" s="467">
        <f>VLOOKUP($A16,'OPATT prices'!$A:$J,6,FALSE)</f>
        <v>78.434922526973438</v>
      </c>
      <c r="G16" s="468">
        <f>+IFERROR(VLOOKUP($A16,PRICES!$A:$BN,59,FALSE),"")</f>
        <v>159842</v>
      </c>
      <c r="H16" s="469">
        <f>+IFERROR(VLOOKUP($A16,PRICES!$A:$BN,60,FALSE),"")</f>
        <v>1406</v>
      </c>
      <c r="I16" s="469">
        <f>+IFERROR(VLOOKUP($A16,PRICES!$A:$BN,61,FALSE),"")</f>
        <v>188376</v>
      </c>
      <c r="J16" s="467">
        <f>+IFERROR(VLOOKUP($A16,PRICES!$A:$BN,62,FALSE),"")</f>
        <v>5827</v>
      </c>
    </row>
    <row r="17" spans="1:10">
      <c r="A17" s="466">
        <f>Mandatory!A17</f>
        <v>150</v>
      </c>
      <c r="B17" s="467" t="str">
        <f>INDEX('201314 RC list'!B:B,MATCH(A17,'201314 RC list'!A:A,0))</f>
        <v>Neurosurgery</v>
      </c>
      <c r="C17" s="468">
        <f>VLOOKUP($A17,'OPATT prices'!$A:$J,3,FALSE)</f>
        <v>183.89557235404652</v>
      </c>
      <c r="D17" s="469">
        <f>VLOOKUP($A17,'OPATT prices'!$A:$J,4,FALSE)</f>
        <v>226.78134031413373</v>
      </c>
      <c r="E17" s="469">
        <f>VLOOKUP($A17,'OPATT prices'!$A:$J,5,FALSE)</f>
        <v>125.14764923771139</v>
      </c>
      <c r="F17" s="467">
        <f>VLOOKUP($A17,'OPATT prices'!$A:$J,6,FALSE)</f>
        <v>164.48648787116974</v>
      </c>
      <c r="G17" s="468">
        <f>+IFERROR(VLOOKUP($A17,PRICES!$A:$BN,59,FALSE),"")</f>
        <v>95890</v>
      </c>
      <c r="H17" s="469">
        <f>+IFERROR(VLOOKUP($A17,PRICES!$A:$BN,60,FALSE),"")</f>
        <v>4955</v>
      </c>
      <c r="I17" s="469">
        <f>+IFERROR(VLOOKUP($A17,PRICES!$A:$BN,61,FALSE),"")</f>
        <v>150093</v>
      </c>
      <c r="J17" s="467">
        <f>+IFERROR(VLOOKUP($A17,PRICES!$A:$BN,62,FALSE),"")</f>
        <v>4685</v>
      </c>
    </row>
    <row r="18" spans="1:10">
      <c r="A18" s="466">
        <f>Mandatory!A18</f>
        <v>160</v>
      </c>
      <c r="B18" s="467" t="str">
        <f>INDEX('201314 RC list'!B:B,MATCH(A18,'201314 RC list'!A:A,0))</f>
        <v>Plastic Surgery</v>
      </c>
      <c r="C18" s="468">
        <f>VLOOKUP($A18,'OPATT prices'!$A:$J,3,FALSE)</f>
        <v>104.43133111258076</v>
      </c>
      <c r="D18" s="469">
        <f>VLOOKUP($A18,'OPATT prices'!$A:$J,4,FALSE)</f>
        <v>153.25003947348156</v>
      </c>
      <c r="E18" s="469">
        <f>VLOOKUP($A18,'OPATT prices'!$A:$J,5,FALSE)</f>
        <v>64.429389942718657</v>
      </c>
      <c r="F18" s="467">
        <f>VLOOKUP($A18,'OPATT prices'!$A:$J,6,FALSE)</f>
        <v>111.90880974679708</v>
      </c>
      <c r="G18" s="468">
        <f>+IFERROR(VLOOKUP($A18,PRICES!$A:$BN,59,FALSE),"")</f>
        <v>229186</v>
      </c>
      <c r="H18" s="469">
        <f>+IFERROR(VLOOKUP($A18,PRICES!$A:$BN,60,FALSE),"")</f>
        <v>12223</v>
      </c>
      <c r="I18" s="469">
        <f>+IFERROR(VLOOKUP($A18,PRICES!$A:$BN,61,FALSE),"")</f>
        <v>467890</v>
      </c>
      <c r="J18" s="467">
        <f>+IFERROR(VLOOKUP($A18,PRICES!$A:$BN,62,FALSE),"")</f>
        <v>15370</v>
      </c>
    </row>
    <row r="19" spans="1:10">
      <c r="A19" s="466">
        <f>Mandatory!A19</f>
        <v>170</v>
      </c>
      <c r="B19" s="467" t="str">
        <f>INDEX('201314 RC list'!B:B,MATCH(A19,'201314 RC list'!A:A,0))</f>
        <v>Cardiothoracic Surgery</v>
      </c>
      <c r="C19" s="468">
        <f>VLOOKUP($A19,'OPATT prices'!$A:$J,3,FALSE)</f>
        <v>260.24230968900321</v>
      </c>
      <c r="D19" s="469">
        <f>VLOOKUP($A19,'OPATT prices'!$A:$J,4,FALSE)</f>
        <v>520.48461937800641</v>
      </c>
      <c r="E19" s="469">
        <f>VLOOKUP($A19,'OPATT prices'!$A:$J,5,FALSE)</f>
        <v>204.53744132828871</v>
      </c>
      <c r="F19" s="467">
        <f>VLOOKUP($A19,'OPATT prices'!$A:$J,6,FALSE)</f>
        <v>409.07488265657742</v>
      </c>
      <c r="G19" s="468">
        <f>+IFERROR(VLOOKUP($A19,PRICES!$A:$BN,59,FALSE),"")</f>
        <v>23738</v>
      </c>
      <c r="H19" s="469">
        <f>+IFERROR(VLOOKUP($A19,PRICES!$A:$BN,60,FALSE),"")</f>
        <v>243</v>
      </c>
      <c r="I19" s="469">
        <f>+IFERROR(VLOOKUP($A19,PRICES!$A:$BN,61,FALSE),"")</f>
        <v>37877</v>
      </c>
      <c r="J19" s="467">
        <f>+IFERROR(VLOOKUP($A19,PRICES!$A:$BN,62,FALSE),"")</f>
        <v>487</v>
      </c>
    </row>
    <row r="20" spans="1:10">
      <c r="A20" s="466">
        <f>Mandatory!A20</f>
        <v>171</v>
      </c>
      <c r="B20" s="467" t="str">
        <f>INDEX('201314 RC list'!B:B,MATCH(A20,'201314 RC list'!A:A,0))</f>
        <v>Paediatric Surgery</v>
      </c>
      <c r="C20" s="468">
        <f>VLOOKUP($A20,'OPATT prices'!$A:$J,3,FALSE)</f>
        <v>151.31419495327381</v>
      </c>
      <c r="D20" s="469">
        <f>VLOOKUP($A20,'OPATT prices'!$A:$J,4,FALSE)</f>
        <v>170.89079286655041</v>
      </c>
      <c r="E20" s="469">
        <f>VLOOKUP($A20,'OPATT prices'!$A:$J,5,FALSE)</f>
        <v>103.59659066174052</v>
      </c>
      <c r="F20" s="467">
        <f>VLOOKUP($A20,'OPATT prices'!$A:$J,6,FALSE)</f>
        <v>136.65388630805941</v>
      </c>
      <c r="G20" s="468">
        <f>+IFERROR(VLOOKUP($A20,PRICES!$A:$BN,59,FALSE),"")</f>
        <v>53905</v>
      </c>
      <c r="H20" s="469">
        <f>+IFERROR(VLOOKUP($A20,PRICES!$A:$BN,60,FALSE),"")</f>
        <v>967</v>
      </c>
      <c r="I20" s="469">
        <f>+IFERROR(VLOOKUP($A20,PRICES!$A:$BN,61,FALSE),"")</f>
        <v>69188</v>
      </c>
      <c r="J20" s="467">
        <f>+IFERROR(VLOOKUP($A20,PRICES!$A:$BN,62,FALSE),"")</f>
        <v>1627</v>
      </c>
    </row>
    <row r="21" spans="1:10">
      <c r="A21" s="466">
        <f>Mandatory!A21</f>
        <v>172</v>
      </c>
      <c r="B21" s="467" t="str">
        <f>INDEX('201314 RC list'!B:B,MATCH(A21,'201314 RC list'!A:A,0))</f>
        <v>Cardiac Surgery</v>
      </c>
      <c r="C21" s="468">
        <f>VLOOKUP($A21,'OPATT prices'!$A:$J,3,FALSE)</f>
        <v>286.21823194022642</v>
      </c>
      <c r="D21" s="469">
        <f>VLOOKUP($A21,'OPATT prices'!$A:$J,4,FALSE)</f>
        <v>286.21823194022642</v>
      </c>
      <c r="E21" s="469">
        <f>VLOOKUP($A21,'OPATT prices'!$A:$J,5,FALSE)</f>
        <v>202.19550910194545</v>
      </c>
      <c r="F21" s="467">
        <f>VLOOKUP($A21,'OPATT prices'!$A:$J,6,FALSE)</f>
        <v>202.19550910194545</v>
      </c>
      <c r="G21" s="468">
        <f>+IFERROR(VLOOKUP($A21,PRICES!$A:$BN,59,FALSE),"")</f>
        <v>15076</v>
      </c>
      <c r="H21" s="469">
        <f>+IFERROR(VLOOKUP($A21,PRICES!$A:$BN,60,FALSE),"")</f>
        <v>1245</v>
      </c>
      <c r="I21" s="469">
        <f>+IFERROR(VLOOKUP($A21,PRICES!$A:$BN,61,FALSE),"")</f>
        <v>24908</v>
      </c>
      <c r="J21" s="467">
        <f>+IFERROR(VLOOKUP($A21,PRICES!$A:$BN,62,FALSE),"")</f>
        <v>2704</v>
      </c>
    </row>
    <row r="22" spans="1:10">
      <c r="A22" s="466">
        <f>Mandatory!A22</f>
        <v>173</v>
      </c>
      <c r="B22" s="467" t="str">
        <f>INDEX('201314 RC list'!B:B,MATCH(A22,'201314 RC list'!A:A,0))</f>
        <v>Thoracic Surgery</v>
      </c>
      <c r="C22" s="468">
        <f>VLOOKUP($A22,'OPATT prices'!$A:$J,3,FALSE)</f>
        <v>230.60337263095258</v>
      </c>
      <c r="D22" s="469">
        <f>VLOOKUP($A22,'OPATT prices'!$A:$J,4,FALSE)</f>
        <v>231.68318822590211</v>
      </c>
      <c r="E22" s="469">
        <f>VLOOKUP($A22,'OPATT prices'!$A:$J,5,FALSE)</f>
        <v>150.20372887210135</v>
      </c>
      <c r="F22" s="467">
        <f>VLOOKUP($A22,'OPATT prices'!$A:$J,6,FALSE)</f>
        <v>150.92523099953422</v>
      </c>
      <c r="G22" s="468">
        <f>+IFERROR(VLOOKUP($A22,PRICES!$A:$BN,59,FALSE),"")</f>
        <v>8947</v>
      </c>
      <c r="H22" s="469">
        <f>+IFERROR(VLOOKUP($A22,PRICES!$A:$BN,60,FALSE),"")</f>
        <v>219</v>
      </c>
      <c r="I22" s="469">
        <f>+IFERROR(VLOOKUP($A22,PRICES!$A:$BN,61,FALSE),"")</f>
        <v>20935</v>
      </c>
      <c r="J22" s="467">
        <f>+IFERROR(VLOOKUP($A22,PRICES!$A:$BN,62,FALSE),"")</f>
        <v>225</v>
      </c>
    </row>
    <row r="23" spans="1:10">
      <c r="A23" s="466">
        <f>Mandatory!A23</f>
        <v>190</v>
      </c>
      <c r="B23" s="467" t="str">
        <f>INDEX('201314 RC list'!B:B,MATCH(A23,'201314 RC list'!A:A,0))</f>
        <v>Anaesthetics</v>
      </c>
      <c r="C23" s="468">
        <f>VLOOKUP($A23,'OPATT prices'!$A:$J,3,FALSE)</f>
        <v>117.26660424869779</v>
      </c>
      <c r="D23" s="469">
        <f>VLOOKUP($A23,'OPATT prices'!$A:$J,4,FALSE)</f>
        <v>219.22160951645816</v>
      </c>
      <c r="E23" s="469">
        <f>VLOOKUP($A23,'OPATT prices'!$A:$J,5,FALSE)</f>
        <v>67.698791299930079</v>
      </c>
      <c r="F23" s="467">
        <f>VLOOKUP($A23,'OPATT prices'!$A:$J,6,FALSE)</f>
        <v>92.547968039257654</v>
      </c>
      <c r="G23" s="468">
        <f>+IFERROR(VLOOKUP($A23,PRICES!$A:$BN,59,FALSE),"")</f>
        <v>87983</v>
      </c>
      <c r="H23" s="469">
        <f>+IFERROR(VLOOKUP($A23,PRICES!$A:$BN,60,FALSE),"")</f>
        <v>330</v>
      </c>
      <c r="I23" s="469">
        <f>+IFERROR(VLOOKUP($A23,PRICES!$A:$BN,61,FALSE),"")</f>
        <v>142753</v>
      </c>
      <c r="J23" s="467">
        <f>+IFERROR(VLOOKUP($A23,PRICES!$A:$BN,62,FALSE),"")</f>
        <v>2008</v>
      </c>
    </row>
    <row r="24" spans="1:10">
      <c r="A24" s="466">
        <f>Mandatory!A24</f>
        <v>191</v>
      </c>
      <c r="B24" s="467" t="str">
        <f>INDEX('201314 RC list'!B:B,MATCH(A24,'201314 RC list'!A:A,0))</f>
        <v>Pain Management</v>
      </c>
      <c r="C24" s="468">
        <f>VLOOKUP($A24,'OPATT prices'!$A:$J,3,FALSE)</f>
        <v>157.49247230382991</v>
      </c>
      <c r="D24" s="469">
        <f>VLOOKUP($A24,'OPATT prices'!$A:$J,4,FALSE)</f>
        <v>166.06856575736936</v>
      </c>
      <c r="E24" s="469">
        <f>VLOOKUP($A24,'OPATT prices'!$A:$J,5,FALSE)</f>
        <v>91.879095860175312</v>
      </c>
      <c r="F24" s="467">
        <f>VLOOKUP($A24,'OPATT prices'!$A:$J,6,FALSE)</f>
        <v>118.93710587472907</v>
      </c>
      <c r="G24" s="468">
        <f>+IFERROR(VLOOKUP($A24,PRICES!$A:$BN,59,FALSE),"")</f>
        <v>191748</v>
      </c>
      <c r="H24" s="469">
        <f>+IFERROR(VLOOKUP($A24,PRICES!$A:$BN,60,FALSE),"")</f>
        <v>5677</v>
      </c>
      <c r="I24" s="469">
        <f>+IFERROR(VLOOKUP($A24,PRICES!$A:$BN,61,FALSE),"")</f>
        <v>345050</v>
      </c>
      <c r="J24" s="467">
        <f>+IFERROR(VLOOKUP($A24,PRICES!$A:$BN,62,FALSE),"")</f>
        <v>5322</v>
      </c>
    </row>
    <row r="25" spans="1:10">
      <c r="A25" s="466">
        <f>Mandatory!A25</f>
        <v>211</v>
      </c>
      <c r="B25" s="467" t="str">
        <f>INDEX('201314 RC list'!B:B,MATCH(A25,'201314 RC list'!A:A,0))</f>
        <v>Paediatric Urology</v>
      </c>
      <c r="C25" s="468">
        <f>VLOOKUP($A25,'OPATT prices'!$A:$J,3,FALSE)</f>
        <v>142.90146319221569</v>
      </c>
      <c r="D25" s="469">
        <f>VLOOKUP($A25,'OPATT prices'!$A:$J,4,FALSE)</f>
        <v>179.2280126861549</v>
      </c>
      <c r="E25" s="469">
        <f>VLOOKUP($A25,'OPATT prices'!$A:$J,5,FALSE)</f>
        <v>91.595419642209322</v>
      </c>
      <c r="F25" s="467">
        <f>VLOOKUP($A25,'OPATT prices'!$A:$J,6,FALSE)</f>
        <v>112.72405176857377</v>
      </c>
      <c r="G25" s="468">
        <f>+IFERROR(VLOOKUP($A25,PRICES!$A:$BN,59,FALSE),"")</f>
        <v>17256</v>
      </c>
      <c r="H25" s="469">
        <f>+IFERROR(VLOOKUP($A25,PRICES!$A:$BN,60,FALSE),"")</f>
        <v>291</v>
      </c>
      <c r="I25" s="469">
        <f>+IFERROR(VLOOKUP($A25,PRICES!$A:$BN,61,FALSE),"")</f>
        <v>28440</v>
      </c>
      <c r="J25" s="467">
        <f>+IFERROR(VLOOKUP($A25,PRICES!$A:$BN,62,FALSE),"")</f>
        <v>630</v>
      </c>
    </row>
    <row r="26" spans="1:10">
      <c r="A26" s="466">
        <f>Mandatory!A26</f>
        <v>214</v>
      </c>
      <c r="B26" s="467" t="str">
        <f>INDEX('201314 RC list'!B:B,MATCH(A26,'201314 RC list'!A:A,0))</f>
        <v>Paediatric Trauma and Orthopaedics</v>
      </c>
      <c r="C26" s="468">
        <f>VLOOKUP($A26,'OPATT prices'!$A:$J,3,FALSE)</f>
        <v>143.79408182388079</v>
      </c>
      <c r="D26" s="469">
        <f>VLOOKUP($A26,'OPATT prices'!$A:$J,4,FALSE)</f>
        <v>210.71434061736619</v>
      </c>
      <c r="E26" s="469">
        <f>VLOOKUP($A26,'OPATT prices'!$A:$J,5,FALSE)</f>
        <v>101.20699483437907</v>
      </c>
      <c r="F26" s="467">
        <f>VLOOKUP($A26,'OPATT prices'!$A:$J,6,FALSE)</f>
        <v>172.87798651756981</v>
      </c>
      <c r="G26" s="468">
        <f>+IFERROR(VLOOKUP($A26,PRICES!$A:$BN,59,FALSE),"")</f>
        <v>82660</v>
      </c>
      <c r="H26" s="469">
        <f>+IFERROR(VLOOKUP($A26,PRICES!$A:$BN,60,FALSE),"")</f>
        <v>1887</v>
      </c>
      <c r="I26" s="469">
        <f>+IFERROR(VLOOKUP($A26,PRICES!$A:$BN,61,FALSE),"")</f>
        <v>125104</v>
      </c>
      <c r="J26" s="467">
        <f>+IFERROR(VLOOKUP($A26,PRICES!$A:$BN,62,FALSE),"")</f>
        <v>2815</v>
      </c>
    </row>
    <row r="27" spans="1:10">
      <c r="A27" s="466">
        <f>Mandatory!A27</f>
        <v>215</v>
      </c>
      <c r="B27" s="467" t="str">
        <f>INDEX('201314 RC list'!B:B,MATCH(A27,'201314 RC list'!A:A,0))</f>
        <v>Paediatric Ear Nose and Throat</v>
      </c>
      <c r="C27" s="470">
        <f>VLOOKUP($A27,'OPATT prices'!$A:$J,3,FALSE)</f>
        <v>117.66385384940904</v>
      </c>
      <c r="D27" s="471">
        <f>VLOOKUP($A27,'OPATT prices'!$A:$J,4,FALSE)</f>
        <v>138.11457382366746</v>
      </c>
      <c r="E27" s="471">
        <f>VLOOKUP($A27,'OPATT prices'!$A:$J,5,FALSE)</f>
        <v>74.853845213095596</v>
      </c>
      <c r="F27" s="472">
        <f>VLOOKUP($A27,'OPATT prices'!$A:$J,6,FALSE)</f>
        <v>93.968703065219415</v>
      </c>
      <c r="G27" s="470">
        <f>+IFERROR(VLOOKUP($A27,PRICES!$A:$BN,59,FALSE),"")</f>
        <v>40507</v>
      </c>
      <c r="H27" s="471">
        <f>+IFERROR(VLOOKUP($A27,PRICES!$A:$BN,60,FALSE),"")</f>
        <v>1946</v>
      </c>
      <c r="I27" s="471">
        <f>+IFERROR(VLOOKUP($A27,PRICES!$A:$BN,61,FALSE),"")</f>
        <v>57841</v>
      </c>
      <c r="J27" s="472">
        <f>+IFERROR(VLOOKUP($A27,PRICES!$A:$BN,62,FALSE),"")</f>
        <v>3093</v>
      </c>
    </row>
    <row r="28" spans="1:10">
      <c r="A28" s="466">
        <f>Mandatory!A28</f>
        <v>216</v>
      </c>
      <c r="B28" s="467" t="str">
        <f>INDEX('201314 RC list'!B:B,MATCH(A28,'201314 RC list'!A:A,0))</f>
        <v>Paediatric Ophthalmology</v>
      </c>
      <c r="C28" s="470">
        <f>VLOOKUP($A28,'OPATT prices'!$A:$J,3,FALSE)</f>
        <v>118.6899056600854</v>
      </c>
      <c r="D28" s="471">
        <f>VLOOKUP($A28,'OPATT prices'!$A:$J,4,FALSE)</f>
        <v>137.25301855901805</v>
      </c>
      <c r="E28" s="471">
        <f>VLOOKUP($A28,'OPATT prices'!$A:$J,5,FALSE)</f>
        <v>81.858684888923094</v>
      </c>
      <c r="F28" s="472">
        <f>VLOOKUP($A28,'OPATT prices'!$A:$J,6,FALSE)</f>
        <v>86.857506809991136</v>
      </c>
      <c r="G28" s="470">
        <f>+IFERROR(VLOOKUP($A28,PRICES!$A:$BN,59,FALSE),"")</f>
        <v>54731</v>
      </c>
      <c r="H28" s="471">
        <f>+IFERROR(VLOOKUP($A28,PRICES!$A:$BN,60,FALSE),"")</f>
        <v>2317</v>
      </c>
      <c r="I28" s="471">
        <f>+IFERROR(VLOOKUP($A28,PRICES!$A:$BN,61,FALSE),"")</f>
        <v>138647</v>
      </c>
      <c r="J28" s="472">
        <f>+IFERROR(VLOOKUP($A28,PRICES!$A:$BN,62,FALSE),"")</f>
        <v>4763</v>
      </c>
    </row>
    <row r="29" spans="1:10">
      <c r="A29" s="466">
        <f>Mandatory!A29</f>
        <v>217</v>
      </c>
      <c r="B29" s="467" t="str">
        <f>INDEX('201314 RC list'!B:B,MATCH(A29,'201314 RC list'!A:A,0))</f>
        <v>Paediatric Maxillo-Facial Surgery</v>
      </c>
      <c r="C29" s="470">
        <f>VLOOKUP($A29,'OPATT prices'!$A:$J,3,FALSE)</f>
        <v>109.19418552640656</v>
      </c>
      <c r="D29" s="471">
        <f>VLOOKUP($A29,'OPATT prices'!$A:$J,4,FALSE)</f>
        <v>217.77313557705392</v>
      </c>
      <c r="E29" s="471">
        <f>VLOOKUP($A29,'OPATT prices'!$A:$J,5,FALSE)</f>
        <v>106.22789387065517</v>
      </c>
      <c r="F29" s="472">
        <f>VLOOKUP($A29,'OPATT prices'!$A:$J,6,FALSE)</f>
        <v>212.45578774131033</v>
      </c>
      <c r="G29" s="470">
        <f>+IFERROR(VLOOKUP($A29,PRICES!$A:$BN,59,FALSE),"")</f>
        <v>3128</v>
      </c>
      <c r="H29" s="471">
        <f>+IFERROR(VLOOKUP($A29,PRICES!$A:$BN,60,FALSE),"")</f>
        <v>78</v>
      </c>
      <c r="I29" s="471">
        <f>+IFERROR(VLOOKUP($A29,PRICES!$A:$BN,61,FALSE),"")</f>
        <v>3531</v>
      </c>
      <c r="J29" s="472">
        <f>+IFERROR(VLOOKUP($A29,PRICES!$A:$BN,62,FALSE),"")</f>
        <v>252</v>
      </c>
    </row>
    <row r="30" spans="1:10">
      <c r="A30" s="466">
        <f>Mandatory!A30</f>
        <v>218</v>
      </c>
      <c r="B30" s="467" t="str">
        <f>INDEX('201314 RC list'!B:B,MATCH(A30,'201314 RC list'!A:A,0))</f>
        <v>Paediatric Neurosurgery</v>
      </c>
      <c r="C30" s="470">
        <f>VLOOKUP($A30,'OPATT prices'!$A:$J,3,FALSE)</f>
        <v>274.83310934748772</v>
      </c>
      <c r="D30" s="471">
        <f>VLOOKUP($A30,'OPATT prices'!$A:$J,4,FALSE)</f>
        <v>274.83310934748772</v>
      </c>
      <c r="E30" s="471">
        <f>VLOOKUP($A30,'OPATT prices'!$A:$J,5,FALSE)</f>
        <v>145.81602674933578</v>
      </c>
      <c r="F30" s="472">
        <f>VLOOKUP($A30,'OPATT prices'!$A:$J,6,FALSE)</f>
        <v>164.48648787116974</v>
      </c>
      <c r="G30" s="470">
        <f>+IFERROR(VLOOKUP($A30,PRICES!$A:$BN,59,FALSE),"")</f>
        <v>3482</v>
      </c>
      <c r="H30" s="471">
        <f>+IFERROR(VLOOKUP($A30,PRICES!$A:$BN,60,FALSE),"")</f>
        <v>54</v>
      </c>
      <c r="I30" s="471">
        <f>+IFERROR(VLOOKUP($A30,PRICES!$A:$BN,61,FALSE),"")</f>
        <v>12512</v>
      </c>
      <c r="J30" s="472">
        <f>+IFERROR(VLOOKUP($A30,PRICES!$A:$BN,62,FALSE),"")</f>
        <v>237</v>
      </c>
    </row>
    <row r="31" spans="1:10">
      <c r="A31" s="466">
        <f>Mandatory!A31</f>
        <v>219</v>
      </c>
      <c r="B31" s="467" t="str">
        <f>INDEX('201314 RC list'!B:B,MATCH(A31,'201314 RC list'!A:A,0))</f>
        <v>Paediatric Plastic Surgery</v>
      </c>
      <c r="C31" s="470">
        <f>VLOOKUP($A31,'OPATT prices'!$A:$J,3,FALSE)</f>
        <v>170.60070516180392</v>
      </c>
      <c r="D31" s="471">
        <f>VLOOKUP($A31,'OPATT prices'!$A:$J,4,FALSE)</f>
        <v>252.69175363542283</v>
      </c>
      <c r="E31" s="471">
        <f>VLOOKUP($A31,'OPATT prices'!$A:$J,5,FALSE)</f>
        <v>111.53654864217725</v>
      </c>
      <c r="F31" s="472">
        <f>VLOOKUP($A31,'OPATT prices'!$A:$J,6,FALSE)</f>
        <v>113.72581536349293</v>
      </c>
      <c r="G31" s="470">
        <f>+IFERROR(VLOOKUP($A31,PRICES!$A:$BN,59,FALSE),"")</f>
        <v>14657</v>
      </c>
      <c r="H31" s="471">
        <f>+IFERROR(VLOOKUP($A31,PRICES!$A:$BN,60,FALSE),"")</f>
        <v>392</v>
      </c>
      <c r="I31" s="471">
        <f>+IFERROR(VLOOKUP($A31,PRICES!$A:$BN,61,FALSE),"")</f>
        <v>38224</v>
      </c>
      <c r="J31" s="472">
        <f>+IFERROR(VLOOKUP($A31,PRICES!$A:$BN,62,FALSE),"")</f>
        <v>1128</v>
      </c>
    </row>
    <row r="32" spans="1:10">
      <c r="A32" s="466">
        <f>Mandatory!A32</f>
        <v>223</v>
      </c>
      <c r="B32" s="467" t="str">
        <f>INDEX('201314 RC list'!B:B,MATCH(A32,'201314 RC list'!A:A,0))</f>
        <v>Paediatric Epilepsy</v>
      </c>
      <c r="C32" s="470">
        <f>VLOOKUP($A32,'OPATT prices'!$A:$J,3,FALSE)</f>
        <v>281.55409058673774</v>
      </c>
      <c r="D32" s="471">
        <f>VLOOKUP($A32,'OPATT prices'!$A:$J,4,FALSE)</f>
        <v>281.55409058673774</v>
      </c>
      <c r="E32" s="471">
        <f>VLOOKUP($A32,'OPATT prices'!$A:$J,5,FALSE)</f>
        <v>132.63920914646988</v>
      </c>
      <c r="F32" s="472">
        <f>VLOOKUP($A32,'OPATT prices'!$A:$J,6,FALSE)</f>
        <v>132.63920914646988</v>
      </c>
      <c r="G32" s="470">
        <f>+IFERROR(VLOOKUP($A32,PRICES!$A:$BN,59,FALSE),"")</f>
        <v>638</v>
      </c>
      <c r="H32" s="471">
        <f>+IFERROR(VLOOKUP($A32,PRICES!$A:$BN,60,FALSE),"")</f>
        <v>36</v>
      </c>
      <c r="I32" s="471">
        <f>+IFERROR(VLOOKUP($A32,PRICES!$A:$BN,61,FALSE),"")</f>
        <v>2476</v>
      </c>
      <c r="J32" s="472">
        <f>+IFERROR(VLOOKUP($A32,PRICES!$A:$BN,62,FALSE),"")</f>
        <v>236</v>
      </c>
    </row>
    <row r="33" spans="1:10">
      <c r="A33" s="466">
        <f>Mandatory!A33</f>
        <v>251</v>
      </c>
      <c r="B33" s="467" t="str">
        <f>INDEX('201314 RC list'!B:B,MATCH(A33,'201314 RC list'!A:A,0))</f>
        <v>Paediatric Gastroenterology</v>
      </c>
      <c r="C33" s="470">
        <f>VLOOKUP($A33,'OPATT prices'!$A:$J,3,FALSE)</f>
        <v>245.37567994096503</v>
      </c>
      <c r="D33" s="471">
        <f>VLOOKUP($A33,'OPATT prices'!$A:$J,4,FALSE)</f>
        <v>245.37567994096503</v>
      </c>
      <c r="E33" s="471">
        <f>VLOOKUP($A33,'OPATT prices'!$A:$J,5,FALSE)</f>
        <v>160.794675806968</v>
      </c>
      <c r="F33" s="472">
        <f>VLOOKUP($A33,'OPATT prices'!$A:$J,6,FALSE)</f>
        <v>160.794675806968</v>
      </c>
      <c r="G33" s="470">
        <f>+IFERROR(VLOOKUP($A33,PRICES!$A:$BN,59,FALSE),"")</f>
        <v>18341</v>
      </c>
      <c r="H33" s="471">
        <f>+IFERROR(VLOOKUP($A33,PRICES!$A:$BN,60,FALSE),"")</f>
        <v>1516</v>
      </c>
      <c r="I33" s="471">
        <f>+IFERROR(VLOOKUP($A33,PRICES!$A:$BN,61,FALSE),"")</f>
        <v>46186</v>
      </c>
      <c r="J33" s="472">
        <f>+IFERROR(VLOOKUP($A33,PRICES!$A:$BN,62,FALSE),"")</f>
        <v>5595</v>
      </c>
    </row>
    <row r="34" spans="1:10">
      <c r="A34" s="466">
        <f>Mandatory!A34</f>
        <v>252</v>
      </c>
      <c r="B34" s="467" t="str">
        <f>INDEX('201314 RC list'!B:B,MATCH(A34,'201314 RC list'!A:A,0))</f>
        <v>Paediatric Endocrinology</v>
      </c>
      <c r="C34" s="470">
        <f>VLOOKUP($A34,'OPATT prices'!$A:$J,3,FALSE)</f>
        <v>329.43664554845651</v>
      </c>
      <c r="D34" s="471">
        <f>VLOOKUP($A34,'OPATT prices'!$A:$J,4,FALSE)</f>
        <v>329.43664554845651</v>
      </c>
      <c r="E34" s="471">
        <f>VLOOKUP($A34,'OPATT prices'!$A:$J,5,FALSE)</f>
        <v>156.04512139651365</v>
      </c>
      <c r="F34" s="472">
        <f>VLOOKUP($A34,'OPATT prices'!$A:$J,6,FALSE)</f>
        <v>163.3476358971553</v>
      </c>
      <c r="G34" s="470">
        <f>+IFERROR(VLOOKUP($A34,PRICES!$A:$BN,59,FALSE),"")</f>
        <v>9785</v>
      </c>
      <c r="H34" s="471">
        <f>+IFERROR(VLOOKUP($A34,PRICES!$A:$BN,60,FALSE),"")</f>
        <v>1261</v>
      </c>
      <c r="I34" s="471">
        <f>+IFERROR(VLOOKUP($A34,PRICES!$A:$BN,61,FALSE),"")</f>
        <v>37255</v>
      </c>
      <c r="J34" s="472">
        <f>+IFERROR(VLOOKUP($A34,PRICES!$A:$BN,62,FALSE),"")</f>
        <v>5278</v>
      </c>
    </row>
    <row r="35" spans="1:10">
      <c r="A35" s="466">
        <f>Mandatory!A35</f>
        <v>253</v>
      </c>
      <c r="B35" s="467" t="str">
        <f>INDEX('201314 RC list'!B:B,MATCH(A35,'201314 RC list'!A:A,0))</f>
        <v>Paediatric Clinical Haematology</v>
      </c>
      <c r="C35" s="470">
        <f>VLOOKUP($A35,'OPATT prices'!$A:$J,3,FALSE)</f>
        <v>378.27537944370931</v>
      </c>
      <c r="D35" s="471">
        <f>VLOOKUP($A35,'OPATT prices'!$A:$J,4,FALSE)</f>
        <v>419.00484544679773</v>
      </c>
      <c r="E35" s="471">
        <f>VLOOKUP($A35,'OPATT prices'!$A:$J,5,FALSE)</f>
        <v>187.80867457056428</v>
      </c>
      <c r="F35" s="472">
        <f>VLOOKUP($A35,'OPATT prices'!$A:$J,6,FALSE)</f>
        <v>199.99782233315855</v>
      </c>
      <c r="G35" s="470">
        <f>+IFERROR(VLOOKUP($A35,PRICES!$A:$BN,59,FALSE),"")</f>
        <v>5342</v>
      </c>
      <c r="H35" s="471">
        <f>+IFERROR(VLOOKUP($A35,PRICES!$A:$BN,60,FALSE),"")</f>
        <v>409</v>
      </c>
      <c r="I35" s="471">
        <f>+IFERROR(VLOOKUP($A35,PRICES!$A:$BN,61,FALSE),"")</f>
        <v>33596</v>
      </c>
      <c r="J35" s="472">
        <f>+IFERROR(VLOOKUP($A35,PRICES!$A:$BN,62,FALSE),"")</f>
        <v>3026</v>
      </c>
    </row>
    <row r="36" spans="1:10">
      <c r="A36" s="466">
        <f>Mandatory!A36</f>
        <v>257</v>
      </c>
      <c r="B36" s="467" t="str">
        <f>INDEX('201314 RC list'!B:B,MATCH(A36,'201314 RC list'!A:A,0))</f>
        <v>Paediatric Dermatology</v>
      </c>
      <c r="C36" s="470">
        <f>VLOOKUP($A36,'OPATT prices'!$A:$J,3,FALSE)</f>
        <v>151.60892179097345</v>
      </c>
      <c r="D36" s="471">
        <f>VLOOKUP($A36,'OPATT prices'!$A:$J,4,FALSE)</f>
        <v>151.60892179097345</v>
      </c>
      <c r="E36" s="471">
        <f>VLOOKUP($A36,'OPATT prices'!$A:$J,5,FALSE)</f>
        <v>97.694015840586857</v>
      </c>
      <c r="F36" s="472">
        <f>VLOOKUP($A36,'OPATT prices'!$A:$J,6,FALSE)</f>
        <v>110.60295332312306</v>
      </c>
      <c r="G36" s="470">
        <f>+IFERROR(VLOOKUP($A36,PRICES!$A:$BN,59,FALSE),"")</f>
        <v>24472</v>
      </c>
      <c r="H36" s="471">
        <f>+IFERROR(VLOOKUP($A36,PRICES!$A:$BN,60,FALSE),"")</f>
        <v>574</v>
      </c>
      <c r="I36" s="471">
        <f>+IFERROR(VLOOKUP($A36,PRICES!$A:$BN,61,FALSE),"")</f>
        <v>42237</v>
      </c>
      <c r="J36" s="472">
        <f>+IFERROR(VLOOKUP($A36,PRICES!$A:$BN,62,FALSE),"")</f>
        <v>758</v>
      </c>
    </row>
    <row r="37" spans="1:10">
      <c r="A37" s="466">
        <f>Mandatory!A37</f>
        <v>258</v>
      </c>
      <c r="B37" s="467" t="str">
        <f>INDEX('201314 RC list'!B:B,MATCH(A37,'201314 RC list'!A:A,0))</f>
        <v>Paediatric Respiratory Medicine</v>
      </c>
      <c r="C37" s="470">
        <f>VLOOKUP($A37,'OPATT prices'!$A:$J,3,FALSE)</f>
        <v>291.16088115179463</v>
      </c>
      <c r="D37" s="471">
        <f>VLOOKUP($A37,'OPATT prices'!$A:$J,4,FALSE)</f>
        <v>292.06636084544647</v>
      </c>
      <c r="E37" s="471">
        <f>VLOOKUP($A37,'OPATT prices'!$A:$J,5,FALSE)</f>
        <v>154.75265378371361</v>
      </c>
      <c r="F37" s="472">
        <f>VLOOKUP($A37,'OPATT prices'!$A:$J,6,FALSE)</f>
        <v>154.75265378371361</v>
      </c>
      <c r="G37" s="470">
        <f>+IFERROR(VLOOKUP($A37,PRICES!$A:$BN,59,FALSE),"")</f>
        <v>11935</v>
      </c>
      <c r="H37" s="471">
        <f>+IFERROR(VLOOKUP($A37,PRICES!$A:$BN,60,FALSE),"")</f>
        <v>697</v>
      </c>
      <c r="I37" s="471">
        <f>+IFERROR(VLOOKUP($A37,PRICES!$A:$BN,61,FALSE),"")</f>
        <v>37066</v>
      </c>
      <c r="J37" s="472">
        <f>+IFERROR(VLOOKUP($A37,PRICES!$A:$BN,62,FALSE),"")</f>
        <v>2357</v>
      </c>
    </row>
    <row r="38" spans="1:10">
      <c r="A38" s="466">
        <f>Mandatory!A38</f>
        <v>263</v>
      </c>
      <c r="B38" s="467" t="str">
        <f>INDEX('201314 RC list'!B:B,MATCH(A38,'201314 RC list'!A:A,0))</f>
        <v>Paediatric Diabetic Medicine</v>
      </c>
      <c r="C38" s="470">
        <f>VLOOKUP($A38,'OPATT prices'!$A:$J,3,FALSE)</f>
        <v>194.87042806595824</v>
      </c>
      <c r="D38" s="471">
        <f>VLOOKUP($A38,'OPATT prices'!$A:$J,4,FALSE)</f>
        <v>245.82353356132933</v>
      </c>
      <c r="E38" s="471">
        <f>VLOOKUP($A38,'OPATT prices'!$A:$J,5,FALSE)</f>
        <v>93.957238182218504</v>
      </c>
      <c r="F38" s="472">
        <f>VLOOKUP($A38,'OPATT prices'!$A:$J,6,FALSE)</f>
        <v>110.89756987745422</v>
      </c>
      <c r="G38" s="470">
        <f>+IFERROR(VLOOKUP($A38,PRICES!$A:$BN,59,FALSE),"")</f>
        <v>2216</v>
      </c>
      <c r="H38" s="471">
        <f>+IFERROR(VLOOKUP($A38,PRICES!$A:$BN,60,FALSE),"")</f>
        <v>334</v>
      </c>
      <c r="I38" s="471">
        <f>+IFERROR(VLOOKUP($A38,PRICES!$A:$BN,61,FALSE),"")</f>
        <v>42150</v>
      </c>
      <c r="J38" s="472">
        <f>+IFERROR(VLOOKUP($A38,PRICES!$A:$BN,62,FALSE),"")</f>
        <v>9782</v>
      </c>
    </row>
    <row r="39" spans="1:10">
      <c r="A39" s="466">
        <f>Mandatory!A39</f>
        <v>300</v>
      </c>
      <c r="B39" s="467" t="str">
        <f>INDEX('201314 RC list'!B:B,MATCH(A39,'201314 RC list'!A:A,0))</f>
        <v>General Medicine</v>
      </c>
      <c r="C39" s="470">
        <f>VLOOKUP($A39,'OPATT prices'!$A:$J,3,FALSE)</f>
        <v>184.41301801331772</v>
      </c>
      <c r="D39" s="471">
        <f>VLOOKUP($A39,'OPATT prices'!$A:$J,4,FALSE)</f>
        <v>238.06502720645597</v>
      </c>
      <c r="E39" s="471">
        <f>VLOOKUP($A39,'OPATT prices'!$A:$J,5,FALSE)</f>
        <v>107.62543344664786</v>
      </c>
      <c r="F39" s="472">
        <f>VLOOKUP($A39,'OPATT prices'!$A:$J,6,FALSE)</f>
        <v>147.58534726129741</v>
      </c>
      <c r="G39" s="470">
        <f>+IFERROR(VLOOKUP($A39,PRICES!$A:$BN,59,FALSE),"")</f>
        <v>317480</v>
      </c>
      <c r="H39" s="471">
        <f>+IFERROR(VLOOKUP($A39,PRICES!$A:$BN,60,FALSE),"")</f>
        <v>8611</v>
      </c>
      <c r="I39" s="471">
        <f>+IFERROR(VLOOKUP($A39,PRICES!$A:$BN,61,FALSE),"")</f>
        <v>526950</v>
      </c>
      <c r="J39" s="472">
        <f>+IFERROR(VLOOKUP($A39,PRICES!$A:$BN,62,FALSE),"")</f>
        <v>10391</v>
      </c>
    </row>
    <row r="40" spans="1:10">
      <c r="A40" s="466">
        <f>Mandatory!A40</f>
        <v>301</v>
      </c>
      <c r="B40" s="467" t="str">
        <f>INDEX('201314 RC list'!B:B,MATCH(A40,'201314 RC list'!A:A,0))</f>
        <v>Gastroenterology</v>
      </c>
      <c r="C40" s="470">
        <f>VLOOKUP($A40,'OPATT prices'!$A:$J,3,FALSE)</f>
        <v>152.47060112770473</v>
      </c>
      <c r="D40" s="471">
        <f>VLOOKUP($A40,'OPATT prices'!$A:$J,4,FALSE)</f>
        <v>198.73349423710494</v>
      </c>
      <c r="E40" s="471">
        <f>VLOOKUP($A40,'OPATT prices'!$A:$J,5,FALSE)</f>
        <v>88.634242359429493</v>
      </c>
      <c r="F40" s="472">
        <f>VLOOKUP($A40,'OPATT prices'!$A:$J,6,FALSE)</f>
        <v>128.8315557661731</v>
      </c>
      <c r="G40" s="470">
        <f>+IFERROR(VLOOKUP($A40,PRICES!$A:$BN,59,FALSE),"")</f>
        <v>407741</v>
      </c>
      <c r="H40" s="471">
        <f>+IFERROR(VLOOKUP($A40,PRICES!$A:$BN,60,FALSE),"")</f>
        <v>4167</v>
      </c>
      <c r="I40" s="471">
        <f>+IFERROR(VLOOKUP($A40,PRICES!$A:$BN,61,FALSE),"")</f>
        <v>730613</v>
      </c>
      <c r="J40" s="472">
        <f>+IFERROR(VLOOKUP($A40,PRICES!$A:$BN,62,FALSE),"")</f>
        <v>13158</v>
      </c>
    </row>
    <row r="41" spans="1:10">
      <c r="A41" s="466">
        <f>Mandatory!A41</f>
        <v>302</v>
      </c>
      <c r="B41" s="467" t="str">
        <f>INDEX('201314 RC list'!B:B,MATCH(A41,'201314 RC list'!A:A,0))</f>
        <v>Endocrinology</v>
      </c>
      <c r="C41" s="470">
        <f>VLOOKUP($A41,'OPATT prices'!$A:$J,3,FALSE)</f>
        <v>187.32139991599436</v>
      </c>
      <c r="D41" s="471">
        <f>VLOOKUP($A41,'OPATT prices'!$A:$J,4,FALSE)</f>
        <v>216.09875833062887</v>
      </c>
      <c r="E41" s="471">
        <f>VLOOKUP($A41,'OPATT prices'!$A:$J,5,FALSE)</f>
        <v>97.948202546327153</v>
      </c>
      <c r="F41" s="472">
        <f>VLOOKUP($A41,'OPATT prices'!$A:$J,6,FALSE)</f>
        <v>126.71733541393121</v>
      </c>
      <c r="G41" s="470">
        <f>+IFERROR(VLOOKUP($A41,PRICES!$A:$BN,59,FALSE),"")</f>
        <v>109353</v>
      </c>
      <c r="H41" s="471">
        <f>+IFERROR(VLOOKUP($A41,PRICES!$A:$BN,60,FALSE),"")</f>
        <v>2862</v>
      </c>
      <c r="I41" s="471">
        <f>+IFERROR(VLOOKUP($A41,PRICES!$A:$BN,61,FALSE),"")</f>
        <v>353384</v>
      </c>
      <c r="J41" s="472">
        <f>+IFERROR(VLOOKUP($A41,PRICES!$A:$BN,62,FALSE),"")</f>
        <v>8880</v>
      </c>
    </row>
    <row r="42" spans="1:10">
      <c r="A42" s="466">
        <f>Mandatory!A42</f>
        <v>303</v>
      </c>
      <c r="B42" s="467" t="str">
        <f>INDEX('201314 RC list'!B:B,MATCH(A42,'201314 RC list'!A:A,0))</f>
        <v>Clinical Haematology</v>
      </c>
      <c r="C42" s="470">
        <f>VLOOKUP($A42,'OPATT prices'!$A:$J,3,FALSE)</f>
        <v>255.70399934938632</v>
      </c>
      <c r="D42" s="471">
        <f>VLOOKUP($A42,'OPATT prices'!$A:$J,4,FALSE)</f>
        <v>419.00484544679773</v>
      </c>
      <c r="E42" s="471">
        <f>VLOOKUP($A42,'OPATT prices'!$A:$J,5,FALSE)</f>
        <v>115.47132521261173</v>
      </c>
      <c r="F42" s="472">
        <f>VLOOKUP($A42,'OPATT prices'!$A:$J,6,FALSE)</f>
        <v>199.99782233315855</v>
      </c>
      <c r="G42" s="470">
        <f>+IFERROR(VLOOKUP($A42,PRICES!$A:$BN,59,FALSE),"")</f>
        <v>169691</v>
      </c>
      <c r="H42" s="471">
        <f>+IFERROR(VLOOKUP($A42,PRICES!$A:$BN,60,FALSE),"")</f>
        <v>4882</v>
      </c>
      <c r="I42" s="471">
        <f>+IFERROR(VLOOKUP($A42,PRICES!$A:$BN,61,FALSE),"")</f>
        <v>1074499</v>
      </c>
      <c r="J42" s="472">
        <f>+IFERROR(VLOOKUP($A42,PRICES!$A:$BN,62,FALSE),"")</f>
        <v>43124</v>
      </c>
    </row>
    <row r="43" spans="1:10">
      <c r="A43" s="466">
        <f>Mandatory!A43</f>
        <v>306</v>
      </c>
      <c r="B43" s="467" t="str">
        <f>INDEX('201314 RC list'!B:B,MATCH(A43,'201314 RC list'!A:A,0))</f>
        <v>Hepatology</v>
      </c>
      <c r="C43" s="470">
        <f>VLOOKUP($A43,'OPATT prices'!$A:$J,3,FALSE)</f>
        <v>232.82266997256258</v>
      </c>
      <c r="D43" s="471">
        <f>VLOOKUP($A43,'OPATT prices'!$A:$J,4,FALSE)</f>
        <v>361.59786018281727</v>
      </c>
      <c r="E43" s="471">
        <f>VLOOKUP($A43,'OPATT prices'!$A:$J,5,FALSE)</f>
        <v>128.73385927314317</v>
      </c>
      <c r="F43" s="472">
        <f>VLOOKUP($A43,'OPATT prices'!$A:$J,6,FALSE)</f>
        <v>172.62365206578784</v>
      </c>
      <c r="G43" s="470">
        <f>+IFERROR(VLOOKUP($A43,PRICES!$A:$BN,59,FALSE),"")</f>
        <v>31501</v>
      </c>
      <c r="H43" s="471">
        <f>+IFERROR(VLOOKUP($A43,PRICES!$A:$BN,60,FALSE),"")</f>
        <v>2609</v>
      </c>
      <c r="I43" s="471">
        <f>+IFERROR(VLOOKUP($A43,PRICES!$A:$BN,61,FALSE),"")</f>
        <v>130053</v>
      </c>
      <c r="J43" s="472">
        <f>+IFERROR(VLOOKUP($A43,PRICES!$A:$BN,62,FALSE),"")</f>
        <v>14735</v>
      </c>
    </row>
    <row r="44" spans="1:10">
      <c r="A44" s="466">
        <f>Mandatory!A44</f>
        <v>307</v>
      </c>
      <c r="B44" s="467" t="str">
        <f>INDEX('201314 RC list'!B:B,MATCH(A44,'201314 RC list'!A:A,0))</f>
        <v>Diabetic Medicine</v>
      </c>
      <c r="C44" s="470">
        <f>VLOOKUP($A44,'OPATT prices'!$A:$J,3,FALSE)</f>
        <v>194.87042806595824</v>
      </c>
      <c r="D44" s="471">
        <f>VLOOKUP($A44,'OPATT prices'!$A:$J,4,FALSE)</f>
        <v>245.82353356132933</v>
      </c>
      <c r="E44" s="471">
        <f>VLOOKUP($A44,'OPATT prices'!$A:$J,5,FALSE)</f>
        <v>93.957238182218504</v>
      </c>
      <c r="F44" s="472">
        <f>VLOOKUP($A44,'OPATT prices'!$A:$J,6,FALSE)</f>
        <v>110.89756987745422</v>
      </c>
      <c r="G44" s="470">
        <f>+IFERROR(VLOOKUP($A44,PRICES!$A:$BN,59,FALSE),"")</f>
        <v>107398</v>
      </c>
      <c r="H44" s="471">
        <f>+IFERROR(VLOOKUP($A44,PRICES!$A:$BN,60,FALSE),"")</f>
        <v>11057</v>
      </c>
      <c r="I44" s="471">
        <f>+IFERROR(VLOOKUP($A44,PRICES!$A:$BN,61,FALSE),"")</f>
        <v>552027</v>
      </c>
      <c r="J44" s="472">
        <f>+IFERROR(VLOOKUP($A44,PRICES!$A:$BN,62,FALSE),"")</f>
        <v>63227</v>
      </c>
    </row>
    <row r="45" spans="1:10">
      <c r="A45" s="466">
        <f>Mandatory!A45</f>
        <v>320</v>
      </c>
      <c r="B45" s="467" t="str">
        <f>INDEX('201314 RC list'!B:B,MATCH(A45,'201314 RC list'!A:A,0))</f>
        <v>Cardiology</v>
      </c>
      <c r="C45" s="470">
        <f>VLOOKUP($A45,'OPATT prices'!$A:$J,3,FALSE)</f>
        <v>145.52626008117355</v>
      </c>
      <c r="D45" s="471">
        <f>VLOOKUP($A45,'OPATT prices'!$A:$J,4,FALSE)</f>
        <v>216.38284339831881</v>
      </c>
      <c r="E45" s="471">
        <f>VLOOKUP($A45,'OPATT prices'!$A:$J,5,FALSE)</f>
        <v>91.644354542475895</v>
      </c>
      <c r="F45" s="472">
        <f>VLOOKUP($A45,'OPATT prices'!$A:$J,6,FALSE)</f>
        <v>125.1551306784786</v>
      </c>
      <c r="G45" s="470">
        <f>+IFERROR(VLOOKUP($A45,PRICES!$A:$BN,59,FALSE),"")</f>
        <v>733196</v>
      </c>
      <c r="H45" s="471">
        <f>+IFERROR(VLOOKUP($A45,PRICES!$A:$BN,60,FALSE),"")</f>
        <v>15319</v>
      </c>
      <c r="I45" s="471">
        <f>+IFERROR(VLOOKUP($A45,PRICES!$A:$BN,61,FALSE),"")</f>
        <v>1064036</v>
      </c>
      <c r="J45" s="472">
        <f>+IFERROR(VLOOKUP($A45,PRICES!$A:$BN,62,FALSE),"")</f>
        <v>33868</v>
      </c>
    </row>
    <row r="46" spans="1:10">
      <c r="A46" s="466">
        <f>Mandatory!A46</f>
        <v>321</v>
      </c>
      <c r="B46" s="467" t="str">
        <f>INDEX('201314 RC list'!B:B,MATCH(A46,'201314 RC list'!A:A,0))</f>
        <v>Paediatric Cardiology</v>
      </c>
      <c r="C46" s="470">
        <f>VLOOKUP($A46,'OPATT prices'!$A:$J,3,FALSE)</f>
        <v>217.12575290445835</v>
      </c>
      <c r="D46" s="471">
        <f>VLOOKUP($A46,'OPATT prices'!$A:$J,4,FALSE)</f>
        <v>217.12575290445835</v>
      </c>
      <c r="E46" s="471">
        <f>VLOOKUP($A46,'OPATT prices'!$A:$J,5,FALSE)</f>
        <v>118.66676524791544</v>
      </c>
      <c r="F46" s="472">
        <f>VLOOKUP($A46,'OPATT prices'!$A:$J,6,FALSE)</f>
        <v>154.99543363066013</v>
      </c>
      <c r="G46" s="470">
        <f>+IFERROR(VLOOKUP($A46,PRICES!$A:$BN,59,FALSE),"")</f>
        <v>29219</v>
      </c>
      <c r="H46" s="471">
        <f>+IFERROR(VLOOKUP($A46,PRICES!$A:$BN,60,FALSE),"")</f>
        <v>1564</v>
      </c>
      <c r="I46" s="471">
        <f>+IFERROR(VLOOKUP($A46,PRICES!$A:$BN,61,FALSE),"")</f>
        <v>77767</v>
      </c>
      <c r="J46" s="472">
        <f>+IFERROR(VLOOKUP($A46,PRICES!$A:$BN,62,FALSE),"")</f>
        <v>3558</v>
      </c>
    </row>
    <row r="47" spans="1:10">
      <c r="A47" s="466">
        <f>Mandatory!A47</f>
        <v>329</v>
      </c>
      <c r="B47" s="467" t="str">
        <f>INDEX('201314 RC list'!B:B,MATCH(A47,'201314 RC list'!A:A,0))</f>
        <v>Transient Ischaemic Attack</v>
      </c>
      <c r="C47" s="470">
        <f>VLOOKUP($A47,'OPATT prices'!$A:$J,3,FALSE)</f>
        <v>167.62071693040625</v>
      </c>
      <c r="D47" s="471">
        <f>VLOOKUP($A47,'OPATT prices'!$A:$J,4,FALSE)</f>
        <v>204.35456111872625</v>
      </c>
      <c r="E47" s="473">
        <f>VLOOKUP($A47,'OPATT prices'!$A:$J,5,FALSE)</f>
        <v>90.100201151558053</v>
      </c>
      <c r="F47" s="474">
        <f>VLOOKUP($A47,'OPATT prices'!$A:$J,6,FALSE)</f>
        <v>105.91930627242296</v>
      </c>
      <c r="G47" s="470">
        <f>+IFERROR(VLOOKUP($A47,PRICES!$A:$BN,59,FALSE),"")</f>
        <v>31858</v>
      </c>
      <c r="H47" s="471">
        <f>+IFERROR(VLOOKUP($A47,PRICES!$A:$BN,60,FALSE),"")</f>
        <v>2855</v>
      </c>
      <c r="I47" s="473">
        <f>+IFERROR(VLOOKUP($A47,PRICES!$A:$BN,61,FALSE),"")</f>
        <v>10818</v>
      </c>
      <c r="J47" s="474">
        <f>+IFERROR(VLOOKUP($A47,PRICES!$A:$BN,62,FALSE),"")</f>
        <v>116</v>
      </c>
    </row>
    <row r="48" spans="1:10">
      <c r="A48" s="466">
        <f>Mandatory!A48</f>
        <v>330</v>
      </c>
      <c r="B48" s="467" t="str">
        <f>INDEX('201314 RC list'!B:B,MATCH(A48,'201314 RC list'!A:A,0))</f>
        <v>Dermatology</v>
      </c>
      <c r="C48" s="470">
        <f>VLOOKUP($A48,'OPATT prices'!$A:$J,3,FALSE)</f>
        <v>105.24520820450327</v>
      </c>
      <c r="D48" s="471">
        <f>VLOOKUP($A48,'OPATT prices'!$A:$J,4,FALSE)</f>
        <v>125.69109284131483</v>
      </c>
      <c r="E48" s="471">
        <f>VLOOKUP($A48,'OPATT prices'!$A:$J,5,FALSE)</f>
        <v>71.370032020810484</v>
      </c>
      <c r="F48" s="472">
        <f>VLOOKUP($A48,'OPATT prices'!$A:$J,6,FALSE)</f>
        <v>83.42389918767762</v>
      </c>
      <c r="G48" s="470">
        <f>+IFERROR(VLOOKUP($A48,PRICES!$A:$BN,59,FALSE),"")</f>
        <v>712861</v>
      </c>
      <c r="H48" s="471">
        <f>+IFERROR(VLOOKUP($A48,PRICES!$A:$BN,60,FALSE),"")</f>
        <v>8011</v>
      </c>
      <c r="I48" s="471">
        <f>+IFERROR(VLOOKUP($A48,PRICES!$A:$BN,61,FALSE),"")</f>
        <v>1324331</v>
      </c>
      <c r="J48" s="472">
        <f>+IFERROR(VLOOKUP($A48,PRICES!$A:$BN,62,FALSE),"")</f>
        <v>17182</v>
      </c>
    </row>
    <row r="49" spans="1:10">
      <c r="A49" s="466">
        <f>Mandatory!A49</f>
        <v>340</v>
      </c>
      <c r="B49" s="467" t="str">
        <f>INDEX('201314 RC list'!B:B,MATCH(A49,'201314 RC list'!A:A,0))</f>
        <v>Respiratory Medicine</v>
      </c>
      <c r="C49" s="470">
        <f>VLOOKUP($A49,'OPATT prices'!$A:$J,3,FALSE)</f>
        <v>176.89021521737206</v>
      </c>
      <c r="D49" s="471">
        <f>VLOOKUP($A49,'OPATT prices'!$A:$J,4,FALSE)</f>
        <v>234.81538206121036</v>
      </c>
      <c r="E49" s="471">
        <f>VLOOKUP($A49,'OPATT prices'!$A:$J,5,FALSE)</f>
        <v>100.57085771103016</v>
      </c>
      <c r="F49" s="472">
        <f>VLOOKUP($A49,'OPATT prices'!$A:$J,6,FALSE)</f>
        <v>144.14582207724501</v>
      </c>
      <c r="G49" s="470">
        <f>+IFERROR(VLOOKUP($A49,PRICES!$A:$BN,59,FALSE),"")</f>
        <v>334650</v>
      </c>
      <c r="H49" s="471">
        <f>+IFERROR(VLOOKUP($A49,PRICES!$A:$BN,60,FALSE),"")</f>
        <v>13097</v>
      </c>
      <c r="I49" s="471">
        <f>+IFERROR(VLOOKUP($A49,PRICES!$A:$BN,61,FALSE),"")</f>
        <v>727250</v>
      </c>
      <c r="J49" s="472">
        <f>+IFERROR(VLOOKUP($A49,PRICES!$A:$BN,62,FALSE),"")</f>
        <v>34868</v>
      </c>
    </row>
    <row r="50" spans="1:10">
      <c r="A50" s="466">
        <f>Mandatory!A50</f>
        <v>341</v>
      </c>
      <c r="B50" s="467" t="str">
        <f>INDEX('201314 RC list'!B:B,MATCH(A50,'201314 RC list'!A:A,0))</f>
        <v>Respiratory Physiology</v>
      </c>
      <c r="C50" s="470">
        <f>VLOOKUP($A50,'OPATT prices'!$A:$J,3,FALSE)</f>
        <v>132.80901455491801</v>
      </c>
      <c r="D50" s="471">
        <f>VLOOKUP($A50,'OPATT prices'!$A:$J,4,FALSE)</f>
        <v>132.80901455491801</v>
      </c>
      <c r="E50" s="471">
        <f>VLOOKUP($A50,'OPATT prices'!$A:$J,5,FALSE)</f>
        <v>106.16038046048436</v>
      </c>
      <c r="F50" s="472">
        <f>VLOOKUP($A50,'OPATT prices'!$A:$J,6,FALSE)</f>
        <v>106.16038046048436</v>
      </c>
      <c r="G50" s="470">
        <f>+IFERROR(VLOOKUP($A50,PRICES!$A:$BN,59,FALSE),"")</f>
        <v>28948</v>
      </c>
      <c r="H50" s="471">
        <f>+IFERROR(VLOOKUP($A50,PRICES!$A:$BN,60,FALSE),"")</f>
        <v>256</v>
      </c>
      <c r="I50" s="471">
        <f>+IFERROR(VLOOKUP($A50,PRICES!$A:$BN,61,FALSE),"")</f>
        <v>69514</v>
      </c>
      <c r="J50" s="472">
        <f>+IFERROR(VLOOKUP($A50,PRICES!$A:$BN,62,FALSE),"")</f>
        <v>196</v>
      </c>
    </row>
    <row r="51" spans="1:10">
      <c r="A51" s="466">
        <f>Mandatory!A51</f>
        <v>350</v>
      </c>
      <c r="B51" s="467" t="str">
        <f>INDEX('201314 RC list'!B:B,MATCH(A51,'201314 RC list'!A:A,0))</f>
        <v>Infectious Diseases</v>
      </c>
      <c r="C51" s="470">
        <f>VLOOKUP($A51,'OPATT prices'!$A:$J,3,FALSE)</f>
        <v>272.46014082417759</v>
      </c>
      <c r="D51" s="471">
        <f>VLOOKUP($A51,'OPATT prices'!$A:$J,4,FALSE)</f>
        <v>272.46014082417759</v>
      </c>
      <c r="E51" s="471">
        <f>VLOOKUP($A51,'OPATT prices'!$A:$J,5,FALSE)</f>
        <v>167.15701880554462</v>
      </c>
      <c r="F51" s="472">
        <f>VLOOKUP($A51,'OPATT prices'!$A:$J,6,FALSE)</f>
        <v>167.15701880554462</v>
      </c>
      <c r="G51" s="470">
        <f>+IFERROR(VLOOKUP($A51,PRICES!$A:$BN,59,FALSE),"")</f>
        <v>20491</v>
      </c>
      <c r="H51" s="471">
        <f>+IFERROR(VLOOKUP($A51,PRICES!$A:$BN,60,FALSE),"")</f>
        <v>1607</v>
      </c>
      <c r="I51" s="471">
        <f>+IFERROR(VLOOKUP($A51,PRICES!$A:$BN,61,FALSE),"")</f>
        <v>70510</v>
      </c>
      <c r="J51" s="472">
        <f>+IFERROR(VLOOKUP($A51,PRICES!$A:$BN,62,FALSE),"")</f>
        <v>4937</v>
      </c>
    </row>
    <row r="52" spans="1:10">
      <c r="A52" s="466">
        <f>Mandatory!A52</f>
        <v>361</v>
      </c>
      <c r="B52" s="467" t="str">
        <f>INDEX('201314 RC list'!B:B,MATCH(A52,'201314 RC list'!A:A,0))</f>
        <v>Nephrology</v>
      </c>
      <c r="C52" s="470">
        <f>VLOOKUP($A52,'OPATT prices'!$A:$J,3,FALSE)</f>
        <v>229.73237683895294</v>
      </c>
      <c r="D52" s="471">
        <f>VLOOKUP($A52,'OPATT prices'!$A:$J,4,FALSE)</f>
        <v>302.68364860939977</v>
      </c>
      <c r="E52" s="471">
        <f>VLOOKUP($A52,'OPATT prices'!$A:$J,5,FALSE)</f>
        <v>107.23294081476385</v>
      </c>
      <c r="F52" s="472">
        <f>VLOOKUP($A52,'OPATT prices'!$A:$J,6,FALSE)</f>
        <v>144.71891797902319</v>
      </c>
      <c r="G52" s="470">
        <f>+IFERROR(VLOOKUP($A52,PRICES!$A:$BN,59,FALSE),"")</f>
        <v>85441</v>
      </c>
      <c r="H52" s="471">
        <f>+IFERROR(VLOOKUP($A52,PRICES!$A:$BN,60,FALSE),"")</f>
        <v>2826</v>
      </c>
      <c r="I52" s="471">
        <f>+IFERROR(VLOOKUP($A52,PRICES!$A:$BN,61,FALSE),"")</f>
        <v>655290</v>
      </c>
      <c r="J52" s="472">
        <f>+IFERROR(VLOOKUP($A52,PRICES!$A:$BN,62,FALSE),"")</f>
        <v>24412</v>
      </c>
    </row>
    <row r="53" spans="1:10">
      <c r="A53" s="466">
        <f>Mandatory!A53</f>
        <v>370</v>
      </c>
      <c r="B53" s="467" t="str">
        <f>INDEX('201314 RC list'!B:B,MATCH(A53,'201314 RC list'!A:A,0))</f>
        <v>Medical Oncology</v>
      </c>
      <c r="C53" s="470">
        <f>VLOOKUP($A53,'OPATT prices'!$A:$J,3,FALSE)</f>
        <v>222.59950340390469</v>
      </c>
      <c r="D53" s="471">
        <f>VLOOKUP($A53,'OPATT prices'!$A:$J,4,FALSE)</f>
        <v>260.3998683723259</v>
      </c>
      <c r="E53" s="471">
        <f>VLOOKUP($A53,'OPATT prices'!$A:$J,5,FALSE)</f>
        <v>104.6882785818609</v>
      </c>
      <c r="F53" s="472">
        <f>VLOOKUP($A53,'OPATT prices'!$A:$J,6,FALSE)</f>
        <v>137.34094755742314</v>
      </c>
      <c r="G53" s="470">
        <f>+IFERROR(VLOOKUP($A53,PRICES!$A:$BN,59,FALSE),"")</f>
        <v>88223</v>
      </c>
      <c r="H53" s="471">
        <f>+IFERROR(VLOOKUP($A53,PRICES!$A:$BN,60,FALSE),"")</f>
        <v>6719</v>
      </c>
      <c r="I53" s="471">
        <f>+IFERROR(VLOOKUP($A53,PRICES!$A:$BN,61,FALSE),"")</f>
        <v>692420</v>
      </c>
      <c r="J53" s="472">
        <f>+IFERROR(VLOOKUP($A53,PRICES!$A:$BN,62,FALSE),"")</f>
        <v>43661</v>
      </c>
    </row>
    <row r="54" spans="1:10">
      <c r="A54" s="466">
        <f>Mandatory!A54</f>
        <v>400</v>
      </c>
      <c r="B54" s="467" t="str">
        <f>INDEX('201314 RC list'!B:B,MATCH(A54,'201314 RC list'!A:A,0))</f>
        <v>Neurology</v>
      </c>
      <c r="C54" s="470">
        <f>VLOOKUP($A54,'OPATT prices'!$A:$J,3,FALSE)</f>
        <v>188.77907077191475</v>
      </c>
      <c r="D54" s="471">
        <f>VLOOKUP($A54,'OPATT prices'!$A:$J,4,FALSE)</f>
        <v>267.2023457423885</v>
      </c>
      <c r="E54" s="471">
        <f>VLOOKUP($A54,'OPATT prices'!$A:$J,5,FALSE)</f>
        <v>115.02339876601268</v>
      </c>
      <c r="F54" s="472">
        <f>VLOOKUP($A54,'OPATT prices'!$A:$J,6,FALSE)</f>
        <v>179.53111263009441</v>
      </c>
      <c r="G54" s="470">
        <f>+IFERROR(VLOOKUP($A54,PRICES!$A:$BN,59,FALSE),"")</f>
        <v>421554</v>
      </c>
      <c r="H54" s="471">
        <f>+IFERROR(VLOOKUP($A54,PRICES!$A:$BN,60,FALSE),"")</f>
        <v>3311</v>
      </c>
      <c r="I54" s="471">
        <f>+IFERROR(VLOOKUP($A54,PRICES!$A:$BN,61,FALSE),"")</f>
        <v>631138</v>
      </c>
      <c r="J54" s="472">
        <f>+IFERROR(VLOOKUP($A54,PRICES!$A:$BN,62,FALSE),"")</f>
        <v>7997</v>
      </c>
    </row>
    <row r="55" spans="1:10">
      <c r="A55" s="466">
        <f>Mandatory!A55</f>
        <v>410</v>
      </c>
      <c r="B55" s="467" t="str">
        <f>INDEX('201314 RC list'!B:B,MATCH(A55,'201314 RC list'!A:A,0))</f>
        <v>Rheumatology</v>
      </c>
      <c r="C55" s="470">
        <f>VLOOKUP($A55,'OPATT prices'!$A:$J,3,FALSE)</f>
        <v>192.08504325630952</v>
      </c>
      <c r="D55" s="471">
        <f>VLOOKUP($A55,'OPATT prices'!$A:$J,4,FALSE)</f>
        <v>199.54884532679918</v>
      </c>
      <c r="E55" s="471">
        <f>VLOOKUP($A55,'OPATT prices'!$A:$J,5,FALSE)</f>
        <v>94.828495887058764</v>
      </c>
      <c r="F55" s="472">
        <f>VLOOKUP($A55,'OPATT prices'!$A:$J,6,FALSE)</f>
        <v>102.93491456631732</v>
      </c>
      <c r="G55" s="470">
        <f>+IFERROR(VLOOKUP($A55,PRICES!$A:$BN,59,FALSE),"")</f>
        <v>368674</v>
      </c>
      <c r="H55" s="471">
        <f>+IFERROR(VLOOKUP($A55,PRICES!$A:$BN,60,FALSE),"")</f>
        <v>3223</v>
      </c>
      <c r="I55" s="471">
        <f>+IFERROR(VLOOKUP($A55,PRICES!$A:$BN,61,FALSE),"")</f>
        <v>1294230</v>
      </c>
      <c r="J55" s="472">
        <f>+IFERROR(VLOOKUP($A55,PRICES!$A:$BN,62,FALSE),"")</f>
        <v>7540</v>
      </c>
    </row>
    <row r="56" spans="1:10">
      <c r="A56" s="466">
        <f>Mandatory!A56</f>
        <v>420</v>
      </c>
      <c r="B56" s="467" t="str">
        <f>INDEX('201314 RC list'!B:B,MATCH(A56,'201314 RC list'!A:A,0))</f>
        <v>Paediatrics</v>
      </c>
      <c r="C56" s="470">
        <f>VLOOKUP($A56,'OPATT prices'!$A:$J,3,FALSE)</f>
        <v>215.7319727076578</v>
      </c>
      <c r="D56" s="471">
        <f>VLOOKUP($A56,'OPATT prices'!$A:$J,4,FALSE)</f>
        <v>259.74382388091158</v>
      </c>
      <c r="E56" s="471">
        <f>VLOOKUP($A56,'OPATT prices'!$A:$J,5,FALSE)</f>
        <v>131.77131952331911</v>
      </c>
      <c r="F56" s="472">
        <f>VLOOKUP($A56,'OPATT prices'!$A:$J,6,FALSE)</f>
        <v>150.83140715451509</v>
      </c>
      <c r="G56" s="470">
        <f>+IFERROR(VLOOKUP($A56,PRICES!$A:$BN,59,FALSE),"")</f>
        <v>577402</v>
      </c>
      <c r="H56" s="471">
        <f>+IFERROR(VLOOKUP($A56,PRICES!$A:$BN,60,FALSE),"")</f>
        <v>9164</v>
      </c>
      <c r="I56" s="471">
        <f>+IFERROR(VLOOKUP($A56,PRICES!$A:$BN,61,FALSE),"")</f>
        <v>793601</v>
      </c>
      <c r="J56" s="472">
        <f>+IFERROR(VLOOKUP($A56,PRICES!$A:$BN,62,FALSE),"")</f>
        <v>23065</v>
      </c>
    </row>
    <row r="57" spans="1:10">
      <c r="A57" s="466">
        <f>Mandatory!A57</f>
        <v>421</v>
      </c>
      <c r="B57" s="467" t="str">
        <f>INDEX('201314 RC list'!B:B,MATCH(A57,'201314 RC list'!A:A,0))</f>
        <v>Paediatric Neurology</v>
      </c>
      <c r="C57" s="470">
        <f>VLOOKUP($A57,'OPATT prices'!$A:$J,3,FALSE)</f>
        <v>319.87968604816973</v>
      </c>
      <c r="D57" s="471">
        <f>VLOOKUP($A57,'OPATT prices'!$A:$J,4,FALSE)</f>
        <v>397.59494455032853</v>
      </c>
      <c r="E57" s="471">
        <f>VLOOKUP($A57,'OPATT prices'!$A:$J,5,FALSE)</f>
        <v>204.64979740721756</v>
      </c>
      <c r="F57" s="472">
        <f>VLOOKUP($A57,'OPATT prices'!$A:$J,6,FALSE)</f>
        <v>211.52877855231463</v>
      </c>
      <c r="G57" s="470">
        <f>+IFERROR(VLOOKUP($A57,PRICES!$A:$BN,59,FALSE),"")</f>
        <v>17172</v>
      </c>
      <c r="H57" s="471">
        <f>+IFERROR(VLOOKUP($A57,PRICES!$A:$BN,60,FALSE),"")</f>
        <v>1234</v>
      </c>
      <c r="I57" s="471">
        <f>+IFERROR(VLOOKUP($A57,PRICES!$A:$BN,61,FALSE),"")</f>
        <v>35815</v>
      </c>
      <c r="J57" s="472">
        <f>+IFERROR(VLOOKUP($A57,PRICES!$A:$BN,62,FALSE),"")</f>
        <v>3526</v>
      </c>
    </row>
    <row r="58" spans="1:10">
      <c r="A58" s="466">
        <f>Mandatory!A58</f>
        <v>430</v>
      </c>
      <c r="B58" s="467" t="str">
        <f>INDEX('201314 RC list'!B:B,MATCH(A58,'201314 RC list'!A:A,0))</f>
        <v>Geriatric Medicine</v>
      </c>
      <c r="C58" s="470">
        <f>VLOOKUP($A58,'OPATT prices'!$A:$J,3,FALSE)</f>
        <v>228.8797123863657</v>
      </c>
      <c r="D58" s="471">
        <f>VLOOKUP($A58,'OPATT prices'!$A:$J,4,FALSE)</f>
        <v>228.8797123863657</v>
      </c>
      <c r="E58" s="471">
        <f>VLOOKUP($A58,'OPATT prices'!$A:$J,5,FALSE)</f>
        <v>133.50140740454171</v>
      </c>
      <c r="F58" s="472">
        <f>VLOOKUP($A58,'OPATT prices'!$A:$J,6,FALSE)</f>
        <v>133.50140740454171</v>
      </c>
      <c r="G58" s="470">
        <f>+IFERROR(VLOOKUP($A58,PRICES!$A:$BN,59,FALSE),"")</f>
        <v>167266</v>
      </c>
      <c r="H58" s="471">
        <f>+IFERROR(VLOOKUP($A58,PRICES!$A:$BN,60,FALSE),"")</f>
        <v>4259</v>
      </c>
      <c r="I58" s="471">
        <f>+IFERROR(VLOOKUP($A58,PRICES!$A:$BN,61,FALSE),"")</f>
        <v>236482</v>
      </c>
      <c r="J58" s="472">
        <f>+IFERROR(VLOOKUP($A58,PRICES!$A:$BN,62,FALSE),"")</f>
        <v>4383</v>
      </c>
    </row>
    <row r="59" spans="1:10">
      <c r="A59" s="466">
        <f>Mandatory!A59</f>
        <v>502</v>
      </c>
      <c r="B59" s="467" t="str">
        <f>INDEX('201314 RC list'!B:B,MATCH(A59,'201314 RC list'!A:A,0))</f>
        <v>Gynaecology</v>
      </c>
      <c r="C59" s="470">
        <f>VLOOKUP($A59,'OPATT prices'!$A:$J,3,FALSE)</f>
        <v>135.30079569920184</v>
      </c>
      <c r="D59" s="471">
        <f>VLOOKUP($A59,'OPATT prices'!$A:$J,4,FALSE)</f>
        <v>154.27186285603122</v>
      </c>
      <c r="E59" s="471">
        <f>VLOOKUP($A59,'OPATT prices'!$A:$J,5,FALSE)</f>
        <v>88.902552296199758</v>
      </c>
      <c r="F59" s="472">
        <f>VLOOKUP($A59,'OPATT prices'!$A:$J,6,FALSE)</f>
        <v>120.19183871010053</v>
      </c>
      <c r="G59" s="470">
        <f>+IFERROR(VLOOKUP($A59,PRICES!$A:$BN,59,FALSE),"")</f>
        <v>855866</v>
      </c>
      <c r="H59" s="471">
        <f>+IFERROR(VLOOKUP($A59,PRICES!$A:$BN,60,FALSE),"")</f>
        <v>37410</v>
      </c>
      <c r="I59" s="471">
        <f>+IFERROR(VLOOKUP($A59,PRICES!$A:$BN,61,FALSE),"")</f>
        <v>1033736</v>
      </c>
      <c r="J59" s="472">
        <f>+IFERROR(VLOOKUP($A59,PRICES!$A:$BN,62,FALSE),"")</f>
        <v>34062</v>
      </c>
    </row>
    <row r="60" spans="1:10">
      <c r="A60" s="466">
        <f>Mandatory!A60</f>
        <v>503</v>
      </c>
      <c r="B60" s="467" t="str">
        <f>INDEX('201314 RC list'!B:B,MATCH(A60,'201314 RC list'!A:A,0))</f>
        <v>Gynaecological Oncology</v>
      </c>
      <c r="C60" s="470">
        <f>VLOOKUP($A60,'OPATT prices'!$A:$J,3,FALSE)</f>
        <v>147.62960537407812</v>
      </c>
      <c r="D60" s="471">
        <f>VLOOKUP($A60,'OPATT prices'!$A:$J,4,FALSE)</f>
        <v>238.88499996765822</v>
      </c>
      <c r="E60" s="471">
        <f>VLOOKUP($A60,'OPATT prices'!$A:$J,5,FALSE)</f>
        <v>90.426441243025124</v>
      </c>
      <c r="F60" s="472">
        <f>VLOOKUP($A60,'OPATT prices'!$A:$J,6,FALSE)</f>
        <v>157.51136264964018</v>
      </c>
      <c r="G60" s="470">
        <f>+IFERROR(VLOOKUP($A60,PRICES!$A:$BN,59,FALSE),"")</f>
        <v>32362</v>
      </c>
      <c r="H60" s="471">
        <f>+IFERROR(VLOOKUP($A60,PRICES!$A:$BN,60,FALSE),"")</f>
        <v>1878</v>
      </c>
      <c r="I60" s="471">
        <f>+IFERROR(VLOOKUP($A60,PRICES!$A:$BN,61,FALSE),"")</f>
        <v>65241</v>
      </c>
      <c r="J60" s="472">
        <f>+IFERROR(VLOOKUP($A60,PRICES!$A:$BN,62,FALSE),"")</f>
        <v>6496</v>
      </c>
    </row>
    <row r="61" spans="1:10">
      <c r="A61" s="466">
        <f>Mandatory!A61</f>
        <v>800</v>
      </c>
      <c r="B61" s="467" t="str">
        <f>INDEX('201314 RC list'!B:B,MATCH(A61,'201314 RC list'!A:A,0))</f>
        <v>Clinical Oncology (previously Radiotherapy)</v>
      </c>
      <c r="C61" s="470">
        <f>VLOOKUP($A61,'OPATT prices'!$A:$J,3,FALSE)</f>
        <v>201.70076893134805</v>
      </c>
      <c r="D61" s="471">
        <f>VLOOKUP($A61,'OPATT prices'!$A:$J,4,FALSE)</f>
        <v>218.88060230791385</v>
      </c>
      <c r="E61" s="471">
        <f>VLOOKUP($A61,'OPATT prices'!$A:$J,5,FALSE)</f>
        <v>93.669844455404885</v>
      </c>
      <c r="F61" s="472">
        <f>VLOOKUP($A61,'OPATT prices'!$A:$J,6,FALSE)</f>
        <v>117.73271054762449</v>
      </c>
      <c r="G61" s="470">
        <f>+IFERROR(VLOOKUP($A61,PRICES!$A:$BN,59,FALSE),"")</f>
        <v>156343</v>
      </c>
      <c r="H61" s="471">
        <f>+IFERROR(VLOOKUP($A61,PRICES!$A:$BN,60,FALSE),"")</f>
        <v>13120</v>
      </c>
      <c r="I61" s="471">
        <f>+IFERROR(VLOOKUP($A61,PRICES!$A:$BN,61,FALSE),"")</f>
        <v>983690</v>
      </c>
      <c r="J61" s="472">
        <f>+IFERROR(VLOOKUP($A61,PRICES!$A:$BN,62,FALSE),"")</f>
        <v>67882</v>
      </c>
    </row>
    <row r="62" spans="1:10" ht="15.75" thickBot="1">
      <c r="A62" s="475">
        <f>Mandatory!A62</f>
        <v>812</v>
      </c>
      <c r="B62" s="476" t="str">
        <f>INDEX('201314 RC list'!B:B,MATCH(A62,'201314 RC list'!A:A,0))</f>
        <v>Diagnostic Imaging</v>
      </c>
      <c r="C62" s="477">
        <f>VLOOKUP($A62,'OPATT prices'!$A:$J,3,FALSE)</f>
        <v>0</v>
      </c>
      <c r="D62" s="478">
        <f>VLOOKUP($A62,'OPATT prices'!$A:$J,4,FALSE)</f>
        <v>0</v>
      </c>
      <c r="E62" s="478">
        <f>VLOOKUP($A62,'OPATT prices'!$A:$J,5,FALSE)</f>
        <v>0</v>
      </c>
      <c r="F62" s="479">
        <f>VLOOKUP($A62,'OPATT prices'!$A:$J,6,FALSE)</f>
        <v>0</v>
      </c>
      <c r="G62" s="477">
        <f>+IFERROR(VLOOKUP($A62,PRICES!$A:$BN,59,FALSE),"")</f>
        <v>175243</v>
      </c>
      <c r="H62" s="478">
        <f>+IFERROR(VLOOKUP($A62,PRICES!$A:$BN,60,FALSE),"")</f>
        <v>178</v>
      </c>
      <c r="I62" s="478">
        <f>+IFERROR(VLOOKUP($A62,PRICES!$A:$BN,61,FALSE),"")</f>
        <v>43383</v>
      </c>
      <c r="J62" s="479">
        <f>+IFERROR(VLOOKUP($A62,PRICES!$A:$BN,62,FALSE),"")</f>
        <v>1</v>
      </c>
    </row>
  </sheetData>
  <mergeCells count="2">
    <mergeCell ref="C1:F1"/>
    <mergeCell ref="G1:J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M96"/>
  <sheetViews>
    <sheetView workbookViewId="0"/>
  </sheetViews>
  <sheetFormatPr defaultColWidth="9.140625" defaultRowHeight="15"/>
  <cols>
    <col min="1" max="1" width="10.85546875" style="82" customWidth="1"/>
    <col min="2" max="2" width="29.140625" style="82" customWidth="1"/>
    <col min="3" max="3" width="16.28515625" style="82" bestFit="1" customWidth="1"/>
    <col min="4" max="4" width="15.85546875" style="82" bestFit="1" customWidth="1"/>
    <col min="5" max="5" width="20.7109375" style="82" customWidth="1"/>
    <col min="6" max="6" width="19.28515625" style="82" bestFit="1" customWidth="1"/>
    <col min="7" max="16384" width="9.140625" style="82"/>
  </cols>
  <sheetData>
    <row r="1" spans="1:13">
      <c r="A1" s="182" t="s">
        <v>545</v>
      </c>
      <c r="B1" s="89"/>
      <c r="C1" s="89"/>
      <c r="D1" s="89"/>
      <c r="E1" s="89"/>
      <c r="F1" s="89"/>
      <c r="G1" s="89"/>
      <c r="H1" s="89"/>
      <c r="I1" s="89"/>
      <c r="J1" s="89"/>
      <c r="K1" s="89"/>
      <c r="L1" s="89"/>
      <c r="M1" s="89"/>
    </row>
    <row r="2" spans="1:13" ht="26.25">
      <c r="A2" s="89"/>
      <c r="B2" s="88" t="s">
        <v>566</v>
      </c>
      <c r="C2" s="87"/>
      <c r="D2" s="87"/>
      <c r="E2" s="87"/>
      <c r="F2" s="87"/>
      <c r="G2" s="87"/>
      <c r="H2" s="87"/>
      <c r="I2" s="87"/>
      <c r="J2" s="87"/>
      <c r="K2" s="87"/>
      <c r="L2" s="87"/>
      <c r="M2" s="87"/>
    </row>
    <row r="3" spans="1:13" ht="15.75" customHeight="1">
      <c r="A3" s="89"/>
      <c r="B3" s="88"/>
      <c r="C3" s="87"/>
      <c r="D3" s="87"/>
      <c r="E3" s="87"/>
      <c r="F3" s="87"/>
      <c r="G3" s="87"/>
      <c r="H3" s="87"/>
      <c r="I3" s="87"/>
      <c r="J3" s="87"/>
      <c r="K3" s="87"/>
      <c r="L3" s="87"/>
      <c r="M3" s="87"/>
    </row>
    <row r="4" spans="1:13">
      <c r="A4" s="133"/>
      <c r="B4" s="133"/>
      <c r="C4" s="579" t="s">
        <v>464</v>
      </c>
      <c r="D4" s="579"/>
      <c r="E4" s="579"/>
      <c r="F4" s="579"/>
      <c r="G4" s="89"/>
      <c r="H4" s="89"/>
      <c r="I4" s="89"/>
      <c r="J4" s="89"/>
      <c r="K4" s="89"/>
      <c r="L4" s="89"/>
      <c r="M4" s="89"/>
    </row>
    <row r="5" spans="1:13" ht="47.25" customHeight="1">
      <c r="A5" s="171" t="s">
        <v>1116</v>
      </c>
      <c r="B5" s="173" t="s">
        <v>1117</v>
      </c>
      <c r="C5" s="172" t="s">
        <v>560</v>
      </c>
      <c r="D5" s="172" t="s">
        <v>561</v>
      </c>
      <c r="E5" s="172" t="s">
        <v>552</v>
      </c>
      <c r="F5" s="172" t="s">
        <v>553</v>
      </c>
      <c r="G5" s="89"/>
      <c r="H5" s="89"/>
      <c r="I5" s="89"/>
      <c r="J5" s="89"/>
      <c r="K5" s="89"/>
      <c r="L5" s="89"/>
      <c r="M5" s="89"/>
    </row>
    <row r="6" spans="1:13">
      <c r="A6" s="133">
        <v>360</v>
      </c>
      <c r="B6" s="133" t="s">
        <v>271</v>
      </c>
      <c r="C6" s="170">
        <f>VLOOKUP($A6,'Further adjustment'!$A:$BC,53,FALSE)</f>
        <v>122.46601450998699</v>
      </c>
      <c r="D6" s="170">
        <f>VLOOKUP($A6,'Further adjustment'!$A:$BC,52,FALSE)</f>
        <v>122.46601450998699</v>
      </c>
      <c r="E6" s="170">
        <f>VLOOKUP($A6,'Further adjustment'!$A:$BC,55,FALSE)</f>
        <v>75.765266743786697</v>
      </c>
      <c r="F6" s="170">
        <f>VLOOKUP($A6,'Further adjustment'!$A:$BC,54,FALSE)</f>
        <v>79.144019349745292</v>
      </c>
      <c r="G6" s="89"/>
      <c r="H6" s="89"/>
      <c r="I6" s="89"/>
      <c r="J6" s="89"/>
      <c r="K6" s="89"/>
      <c r="L6" s="89"/>
      <c r="M6" s="89"/>
    </row>
    <row r="7" spans="1:13">
      <c r="A7" s="133">
        <v>130</v>
      </c>
      <c r="B7" s="133" t="s">
        <v>9</v>
      </c>
      <c r="C7" s="170">
        <f>VLOOKUP($A7,'Further adjustment'!$A:$BC,53,FALSE)</f>
        <v>116.53681243510574</v>
      </c>
      <c r="D7" s="170">
        <f>VLOOKUP($A7,'Further adjustment'!$A:$BC,52,FALSE)</f>
        <v>152.09234073194932</v>
      </c>
      <c r="E7" s="170">
        <f>VLOOKUP($A7,'Further adjustment'!$A:$BC,55,FALSE)</f>
        <v>69.208391833943026</v>
      </c>
      <c r="F7" s="170">
        <f>VLOOKUP($A7,'Further adjustment'!$A:$BC,54,FALSE)</f>
        <v>90.828604916838941</v>
      </c>
      <c r="G7" s="89"/>
      <c r="H7" s="89"/>
      <c r="I7" s="89"/>
      <c r="J7" s="89"/>
      <c r="K7" s="89"/>
      <c r="L7" s="89"/>
      <c r="M7" s="89"/>
    </row>
    <row r="8" spans="1:13">
      <c r="A8" s="89"/>
      <c r="B8" s="89"/>
      <c r="C8" s="89"/>
      <c r="D8" s="89"/>
      <c r="E8" s="89"/>
      <c r="F8" s="89"/>
      <c r="G8" s="89"/>
      <c r="H8" s="89"/>
      <c r="I8" s="89"/>
      <c r="J8" s="89"/>
      <c r="K8" s="89"/>
      <c r="L8" s="89"/>
      <c r="M8" s="89"/>
    </row>
    <row r="9" spans="1:13">
      <c r="A9" s="89"/>
      <c r="B9" s="89"/>
      <c r="C9" s="89"/>
      <c r="D9" s="90"/>
      <c r="E9" s="90"/>
      <c r="F9" s="90"/>
      <c r="G9" s="90"/>
      <c r="H9" s="89"/>
      <c r="I9" s="90"/>
      <c r="J9" s="90"/>
      <c r="K9" s="90"/>
      <c r="L9" s="90"/>
      <c r="M9" s="90"/>
    </row>
    <row r="10" spans="1:13">
      <c r="A10" s="89"/>
      <c r="B10" s="89"/>
      <c r="C10" s="89"/>
      <c r="D10" s="90"/>
      <c r="E10" s="90"/>
      <c r="F10" s="90"/>
      <c r="G10" s="90"/>
      <c r="H10" s="89"/>
      <c r="I10" s="90"/>
      <c r="J10" s="90"/>
      <c r="K10" s="90"/>
      <c r="L10" s="90"/>
      <c r="M10" s="90"/>
    </row>
    <row r="11" spans="1:13">
      <c r="A11" s="89"/>
      <c r="B11" s="89"/>
      <c r="C11" s="89"/>
      <c r="D11" s="90"/>
      <c r="E11" s="90"/>
      <c r="F11" s="90"/>
      <c r="G11" s="90"/>
      <c r="H11" s="89"/>
      <c r="I11" s="90"/>
      <c r="J11" s="90"/>
      <c r="K11" s="90"/>
      <c r="L11" s="90"/>
      <c r="M11" s="90"/>
    </row>
    <row r="12" spans="1:13">
      <c r="A12" s="89"/>
      <c r="B12" s="89"/>
      <c r="C12" s="89"/>
      <c r="D12" s="90"/>
      <c r="E12" s="90"/>
      <c r="F12" s="90"/>
      <c r="G12" s="90"/>
      <c r="H12" s="89"/>
      <c r="I12" s="90"/>
      <c r="J12" s="90"/>
      <c r="K12" s="90"/>
      <c r="L12" s="90"/>
      <c r="M12" s="90"/>
    </row>
    <row r="13" spans="1:13">
      <c r="A13" s="89"/>
      <c r="B13" s="89"/>
      <c r="C13" s="89"/>
      <c r="D13" s="90"/>
      <c r="E13" s="90"/>
      <c r="F13" s="90"/>
      <c r="G13" s="90"/>
      <c r="H13" s="89"/>
      <c r="I13" s="90"/>
      <c r="J13" s="90"/>
      <c r="K13" s="90"/>
      <c r="L13" s="90"/>
      <c r="M13" s="90"/>
    </row>
    <row r="14" spans="1:13">
      <c r="A14" s="89"/>
      <c r="B14" s="89"/>
      <c r="C14" s="89"/>
      <c r="D14" s="90"/>
      <c r="E14" s="90"/>
      <c r="F14" s="90"/>
      <c r="G14" s="90"/>
      <c r="H14" s="89"/>
      <c r="I14" s="90"/>
      <c r="J14" s="90"/>
      <c r="K14" s="90"/>
      <c r="L14" s="90"/>
      <c r="M14" s="90"/>
    </row>
    <row r="15" spans="1:13">
      <c r="A15" s="89"/>
      <c r="B15" s="89"/>
      <c r="C15" s="89"/>
      <c r="D15" s="90"/>
      <c r="E15" s="90"/>
      <c r="F15" s="90"/>
      <c r="G15" s="90"/>
      <c r="H15" s="89"/>
      <c r="I15" s="90"/>
      <c r="J15" s="90"/>
      <c r="K15" s="90"/>
      <c r="L15" s="90"/>
      <c r="M15" s="90"/>
    </row>
    <row r="16" spans="1:13">
      <c r="A16" s="89"/>
      <c r="B16" s="89"/>
      <c r="C16" s="89"/>
      <c r="D16" s="90"/>
      <c r="E16" s="90"/>
      <c r="F16" s="90"/>
      <c r="G16" s="90"/>
      <c r="H16" s="89"/>
      <c r="I16" s="90"/>
      <c r="J16" s="90"/>
      <c r="K16" s="90"/>
      <c r="L16" s="90"/>
      <c r="M16" s="90"/>
    </row>
    <row r="17" spans="2:13">
      <c r="B17" s="89"/>
      <c r="C17" s="89"/>
      <c r="D17" s="90"/>
      <c r="E17" s="90"/>
      <c r="F17" s="90"/>
      <c r="G17" s="90"/>
      <c r="H17" s="89"/>
      <c r="I17" s="90"/>
      <c r="J17" s="90"/>
      <c r="K17" s="90"/>
      <c r="L17" s="90"/>
      <c r="M17" s="90"/>
    </row>
    <row r="18" spans="2:13">
      <c r="B18" s="89"/>
      <c r="C18" s="89"/>
      <c r="D18" s="90"/>
      <c r="E18" s="90"/>
      <c r="F18" s="90"/>
      <c r="G18" s="90"/>
      <c r="H18" s="89"/>
      <c r="I18" s="90"/>
      <c r="J18" s="90"/>
      <c r="K18" s="90"/>
      <c r="L18" s="90"/>
      <c r="M18" s="90"/>
    </row>
    <row r="19" spans="2:13">
      <c r="B19" s="89"/>
      <c r="C19" s="89"/>
      <c r="D19" s="90"/>
      <c r="E19" s="90"/>
      <c r="F19" s="90"/>
      <c r="G19" s="90"/>
      <c r="H19" s="89"/>
      <c r="I19" s="90"/>
      <c r="J19" s="90"/>
      <c r="K19" s="90"/>
      <c r="L19" s="90"/>
      <c r="M19" s="90"/>
    </row>
    <row r="20" spans="2:13">
      <c r="B20" s="89"/>
      <c r="C20" s="89"/>
      <c r="D20" s="90"/>
      <c r="E20" s="90"/>
      <c r="F20" s="90"/>
      <c r="G20" s="90"/>
      <c r="H20" s="89"/>
      <c r="I20" s="90"/>
      <c r="J20" s="90"/>
      <c r="K20" s="90"/>
      <c r="L20" s="90"/>
      <c r="M20" s="90"/>
    </row>
    <row r="21" spans="2:13">
      <c r="B21" s="89"/>
      <c r="C21" s="89"/>
      <c r="D21" s="90"/>
      <c r="E21" s="90"/>
      <c r="F21" s="90"/>
      <c r="G21" s="90"/>
      <c r="H21" s="89"/>
      <c r="I21" s="90"/>
      <c r="J21" s="90"/>
      <c r="K21" s="90"/>
      <c r="L21" s="90"/>
      <c r="M21" s="90"/>
    </row>
    <row r="22" spans="2:13">
      <c r="B22" s="89"/>
      <c r="C22" s="89"/>
      <c r="D22" s="90"/>
      <c r="E22" s="90"/>
      <c r="F22" s="90"/>
      <c r="G22" s="90"/>
      <c r="H22" s="89"/>
      <c r="I22" s="90"/>
      <c r="J22" s="90"/>
      <c r="K22" s="90"/>
      <c r="L22" s="90"/>
      <c r="M22" s="90"/>
    </row>
    <row r="23" spans="2:13">
      <c r="B23" s="89"/>
      <c r="C23" s="89"/>
      <c r="D23" s="90"/>
      <c r="E23" s="90"/>
      <c r="F23" s="90"/>
      <c r="G23" s="90"/>
      <c r="H23" s="89"/>
      <c r="I23" s="90"/>
      <c r="J23" s="90"/>
      <c r="K23" s="90"/>
      <c r="L23" s="90"/>
      <c r="M23" s="90"/>
    </row>
    <row r="24" spans="2:13">
      <c r="B24" s="89"/>
      <c r="C24" s="89"/>
      <c r="D24" s="90"/>
      <c r="E24" s="90"/>
      <c r="F24" s="90"/>
      <c r="G24" s="90"/>
      <c r="H24" s="89"/>
      <c r="I24" s="90"/>
      <c r="J24" s="90"/>
      <c r="K24" s="90"/>
      <c r="L24" s="90"/>
      <c r="M24" s="90"/>
    </row>
    <row r="25" spans="2:13">
      <c r="B25" s="89"/>
      <c r="C25" s="89"/>
      <c r="D25" s="90"/>
      <c r="E25" s="90"/>
      <c r="F25" s="90"/>
      <c r="G25" s="90"/>
      <c r="H25" s="89"/>
      <c r="I25" s="90"/>
      <c r="J25" s="90"/>
      <c r="K25" s="90"/>
      <c r="L25" s="90"/>
      <c r="M25" s="90"/>
    </row>
    <row r="26" spans="2:13">
      <c r="B26" s="89"/>
      <c r="C26" s="89"/>
      <c r="D26" s="90"/>
      <c r="E26" s="90"/>
      <c r="F26" s="90"/>
      <c r="G26" s="90"/>
      <c r="H26" s="89"/>
      <c r="I26" s="90"/>
      <c r="J26" s="90"/>
      <c r="K26" s="90"/>
      <c r="L26" s="90"/>
      <c r="M26" s="90"/>
    </row>
    <row r="27" spans="2:13">
      <c r="B27" s="89"/>
      <c r="C27" s="89"/>
      <c r="D27" s="90"/>
      <c r="E27" s="90"/>
      <c r="F27" s="90"/>
      <c r="G27" s="90"/>
      <c r="H27" s="89"/>
      <c r="I27" s="90"/>
      <c r="J27" s="90"/>
      <c r="K27" s="90"/>
      <c r="L27" s="90"/>
      <c r="M27" s="90"/>
    </row>
    <row r="28" spans="2:13">
      <c r="B28" s="89"/>
      <c r="C28" s="89"/>
      <c r="D28" s="90"/>
      <c r="E28" s="90"/>
      <c r="F28" s="90"/>
      <c r="G28" s="90"/>
      <c r="H28" s="89"/>
      <c r="I28" s="90"/>
      <c r="J28" s="90"/>
      <c r="K28" s="90"/>
      <c r="L28" s="90"/>
      <c r="M28" s="90"/>
    </row>
    <row r="29" spans="2:13">
      <c r="B29" s="89"/>
      <c r="C29" s="89"/>
      <c r="D29" s="90"/>
      <c r="E29" s="90"/>
      <c r="F29" s="90"/>
      <c r="G29" s="90"/>
      <c r="H29" s="89"/>
      <c r="I29" s="90"/>
      <c r="J29" s="90"/>
      <c r="K29" s="90"/>
      <c r="L29" s="90"/>
      <c r="M29" s="90"/>
    </row>
    <row r="30" spans="2:13">
      <c r="B30" s="89"/>
      <c r="C30" s="89"/>
      <c r="D30" s="90"/>
      <c r="E30" s="90"/>
      <c r="F30" s="90"/>
      <c r="G30" s="90"/>
      <c r="H30" s="89"/>
      <c r="I30" s="90"/>
      <c r="J30" s="90"/>
      <c r="K30" s="90"/>
      <c r="L30" s="90"/>
      <c r="M30" s="90"/>
    </row>
    <row r="31" spans="2:13">
      <c r="B31" s="89"/>
      <c r="C31" s="89"/>
      <c r="D31" s="90"/>
      <c r="E31" s="90"/>
      <c r="F31" s="90"/>
      <c r="G31" s="90"/>
      <c r="H31" s="89"/>
      <c r="I31" s="90"/>
      <c r="J31" s="90"/>
      <c r="K31" s="90"/>
      <c r="L31" s="90"/>
      <c r="M31" s="90"/>
    </row>
    <row r="32" spans="2:13">
      <c r="B32" s="89"/>
      <c r="C32" s="89"/>
      <c r="D32" s="90"/>
      <c r="E32" s="90"/>
      <c r="F32" s="90"/>
      <c r="G32" s="90"/>
      <c r="H32" s="89"/>
      <c r="I32" s="90"/>
      <c r="J32" s="90"/>
      <c r="K32" s="90"/>
      <c r="L32" s="90"/>
      <c r="M32" s="90"/>
    </row>
    <row r="33" spans="2:13">
      <c r="B33" s="89"/>
      <c r="C33" s="89"/>
      <c r="D33" s="90"/>
      <c r="E33" s="90"/>
      <c r="F33" s="90"/>
      <c r="G33" s="90"/>
      <c r="H33" s="89"/>
      <c r="I33" s="90"/>
      <c r="J33" s="90"/>
      <c r="K33" s="90"/>
      <c r="L33" s="90"/>
      <c r="M33" s="90"/>
    </row>
    <row r="34" spans="2:13">
      <c r="B34" s="89"/>
      <c r="C34" s="89"/>
      <c r="D34" s="90"/>
      <c r="E34" s="90"/>
      <c r="F34" s="90"/>
      <c r="G34" s="90"/>
      <c r="H34" s="89"/>
      <c r="I34" s="90"/>
      <c r="J34" s="90"/>
      <c r="K34" s="90"/>
      <c r="L34" s="90"/>
      <c r="M34" s="90"/>
    </row>
    <row r="35" spans="2:13">
      <c r="B35" s="89"/>
      <c r="C35" s="89"/>
      <c r="D35" s="90"/>
      <c r="E35" s="90"/>
      <c r="F35" s="90"/>
      <c r="G35" s="90"/>
      <c r="H35" s="89"/>
      <c r="I35" s="90"/>
      <c r="J35" s="90"/>
      <c r="K35" s="90"/>
      <c r="L35" s="90"/>
      <c r="M35" s="90"/>
    </row>
    <row r="36" spans="2:13">
      <c r="B36" s="89"/>
      <c r="C36" s="89"/>
      <c r="D36" s="90"/>
      <c r="E36" s="90"/>
      <c r="F36" s="90"/>
      <c r="G36" s="90"/>
      <c r="H36" s="89"/>
      <c r="I36" s="90"/>
      <c r="J36" s="90"/>
      <c r="K36" s="90"/>
      <c r="L36" s="90"/>
      <c r="M36" s="90"/>
    </row>
    <row r="37" spans="2:13">
      <c r="B37" s="89"/>
      <c r="C37" s="89"/>
      <c r="D37" s="90"/>
      <c r="E37" s="90"/>
      <c r="F37" s="90"/>
      <c r="G37" s="90"/>
      <c r="H37" s="89"/>
      <c r="I37" s="90"/>
      <c r="J37" s="90"/>
      <c r="K37" s="90"/>
      <c r="L37" s="90"/>
      <c r="M37" s="90"/>
    </row>
    <row r="38" spans="2:13">
      <c r="B38" s="89"/>
      <c r="C38" s="89"/>
      <c r="D38" s="90"/>
      <c r="E38" s="90"/>
      <c r="F38" s="90"/>
      <c r="G38" s="90"/>
      <c r="H38" s="89"/>
      <c r="I38" s="90"/>
      <c r="J38" s="90"/>
      <c r="K38" s="90"/>
      <c r="L38" s="90"/>
      <c r="M38" s="90"/>
    </row>
    <row r="39" spans="2:13">
      <c r="B39" s="89"/>
      <c r="C39" s="89"/>
      <c r="D39" s="90"/>
      <c r="E39" s="90"/>
      <c r="F39" s="90"/>
      <c r="G39" s="90"/>
      <c r="H39" s="89"/>
      <c r="I39" s="90"/>
      <c r="J39" s="90"/>
      <c r="K39" s="90"/>
      <c r="L39" s="90"/>
      <c r="M39" s="90"/>
    </row>
    <row r="40" spans="2:13">
      <c r="B40" s="89"/>
      <c r="C40" s="89"/>
      <c r="D40" s="90"/>
      <c r="E40" s="90"/>
      <c r="F40" s="90"/>
      <c r="G40" s="90"/>
      <c r="H40" s="89"/>
      <c r="I40" s="90"/>
      <c r="J40" s="90"/>
      <c r="K40" s="90"/>
      <c r="L40" s="90"/>
      <c r="M40" s="90"/>
    </row>
    <row r="41" spans="2:13">
      <c r="B41" s="89"/>
      <c r="C41" s="89"/>
      <c r="D41" s="90"/>
      <c r="E41" s="90"/>
      <c r="F41" s="90"/>
      <c r="G41" s="90"/>
      <c r="H41" s="89"/>
      <c r="I41" s="90"/>
      <c r="J41" s="90"/>
      <c r="K41" s="90"/>
      <c r="L41" s="90"/>
      <c r="M41" s="90"/>
    </row>
    <row r="42" spans="2:13">
      <c r="B42" s="89"/>
      <c r="C42" s="89"/>
      <c r="D42" s="90"/>
      <c r="E42" s="90"/>
      <c r="F42" s="90"/>
      <c r="G42" s="90"/>
      <c r="H42" s="89"/>
      <c r="I42" s="90"/>
      <c r="J42" s="90"/>
      <c r="K42" s="90"/>
      <c r="L42" s="90"/>
      <c r="M42" s="90"/>
    </row>
    <row r="43" spans="2:13">
      <c r="B43" s="89"/>
      <c r="C43" s="89"/>
      <c r="D43" s="90"/>
      <c r="E43" s="90"/>
      <c r="F43" s="90"/>
      <c r="G43" s="90"/>
      <c r="H43" s="89"/>
      <c r="I43" s="90"/>
      <c r="J43" s="90"/>
      <c r="K43" s="90"/>
      <c r="L43" s="90"/>
      <c r="M43" s="90"/>
    </row>
    <row r="44" spans="2:13">
      <c r="B44" s="89"/>
      <c r="C44" s="89"/>
      <c r="D44" s="90"/>
      <c r="E44" s="90"/>
      <c r="F44" s="90"/>
      <c r="G44" s="90"/>
      <c r="H44" s="89"/>
      <c r="I44" s="90"/>
      <c r="J44" s="90"/>
      <c r="K44" s="90"/>
      <c r="L44" s="90"/>
      <c r="M44" s="90"/>
    </row>
    <row r="45" spans="2:13">
      <c r="B45" s="89"/>
      <c r="C45" s="89"/>
      <c r="D45" s="90"/>
      <c r="E45" s="90"/>
      <c r="F45" s="90"/>
      <c r="G45" s="90"/>
      <c r="H45" s="89"/>
      <c r="I45" s="90"/>
      <c r="J45" s="90"/>
      <c r="K45" s="90"/>
      <c r="L45" s="90"/>
      <c r="M45" s="90"/>
    </row>
    <row r="46" spans="2:13">
      <c r="B46" s="89"/>
      <c r="C46" s="89"/>
      <c r="D46" s="90"/>
      <c r="E46" s="90"/>
      <c r="F46" s="90"/>
      <c r="G46" s="90"/>
      <c r="H46" s="89"/>
      <c r="I46" s="90"/>
      <c r="J46" s="90"/>
      <c r="K46" s="90"/>
      <c r="L46" s="90"/>
      <c r="M46" s="90"/>
    </row>
    <row r="47" spans="2:13">
      <c r="B47" s="89"/>
      <c r="C47" s="89"/>
      <c r="D47" s="90"/>
      <c r="E47" s="90"/>
      <c r="F47" s="90"/>
      <c r="G47" s="90"/>
      <c r="H47" s="89"/>
      <c r="I47" s="90"/>
      <c r="J47" s="90"/>
      <c r="K47" s="90"/>
      <c r="L47" s="90"/>
      <c r="M47" s="90"/>
    </row>
    <row r="48" spans="2:13">
      <c r="B48" s="89"/>
      <c r="C48" s="89"/>
      <c r="D48" s="90"/>
      <c r="E48" s="90"/>
      <c r="F48" s="90"/>
      <c r="G48" s="90"/>
      <c r="H48" s="89"/>
      <c r="I48" s="90"/>
      <c r="J48" s="90"/>
      <c r="K48" s="90"/>
      <c r="L48" s="90"/>
      <c r="M48" s="90"/>
    </row>
    <row r="49" spans="2:13">
      <c r="B49" s="89"/>
      <c r="C49" s="89"/>
      <c r="D49" s="90"/>
      <c r="E49" s="90"/>
      <c r="F49" s="90"/>
      <c r="G49" s="90"/>
      <c r="H49" s="89"/>
      <c r="I49" s="90"/>
      <c r="J49" s="90"/>
      <c r="K49" s="90"/>
      <c r="L49" s="90"/>
      <c r="M49" s="90"/>
    </row>
    <row r="50" spans="2:13">
      <c r="B50" s="89"/>
      <c r="C50" s="89"/>
      <c r="D50" s="90"/>
      <c r="E50" s="90"/>
      <c r="F50" s="90"/>
      <c r="G50" s="90"/>
      <c r="H50" s="89"/>
      <c r="I50" s="90"/>
      <c r="J50" s="90"/>
      <c r="K50" s="90"/>
      <c r="L50" s="90"/>
      <c r="M50" s="90"/>
    </row>
    <row r="51" spans="2:13">
      <c r="B51" s="89"/>
      <c r="C51" s="89"/>
      <c r="D51" s="90"/>
      <c r="E51" s="90"/>
      <c r="F51" s="90"/>
      <c r="G51" s="90"/>
      <c r="H51" s="89"/>
      <c r="I51" s="90"/>
      <c r="J51" s="90"/>
      <c r="K51" s="90"/>
      <c r="L51" s="90"/>
      <c r="M51" s="90"/>
    </row>
    <row r="52" spans="2:13">
      <c r="B52" s="89"/>
      <c r="C52" s="89"/>
      <c r="D52" s="90"/>
      <c r="E52" s="90"/>
      <c r="F52" s="90"/>
      <c r="G52" s="90"/>
      <c r="H52" s="89"/>
      <c r="I52" s="90"/>
      <c r="J52" s="90"/>
      <c r="K52" s="90"/>
      <c r="L52" s="90"/>
      <c r="M52" s="90"/>
    </row>
    <row r="53" spans="2:13">
      <c r="B53" s="89"/>
      <c r="C53" s="89"/>
      <c r="D53" s="90"/>
      <c r="E53" s="90"/>
      <c r="F53" s="90"/>
      <c r="G53" s="90"/>
      <c r="H53" s="89"/>
      <c r="I53" s="90"/>
      <c r="J53" s="90"/>
      <c r="K53" s="90"/>
      <c r="L53" s="90"/>
      <c r="M53" s="90"/>
    </row>
    <row r="54" spans="2:13">
      <c r="B54" s="89"/>
      <c r="C54" s="89"/>
      <c r="D54" s="90"/>
      <c r="E54" s="90"/>
      <c r="F54" s="90"/>
      <c r="G54" s="90"/>
      <c r="H54" s="89"/>
      <c r="I54" s="90"/>
      <c r="J54" s="90"/>
      <c r="K54" s="90"/>
      <c r="L54" s="90"/>
      <c r="M54" s="90"/>
    </row>
    <row r="55" spans="2:13">
      <c r="B55" s="89"/>
      <c r="C55" s="89"/>
      <c r="D55" s="90"/>
      <c r="E55" s="90"/>
      <c r="F55" s="90"/>
      <c r="G55" s="90"/>
      <c r="H55" s="89"/>
      <c r="I55" s="90"/>
      <c r="J55" s="90"/>
      <c r="K55" s="90"/>
      <c r="L55" s="90"/>
      <c r="M55" s="90"/>
    </row>
    <row r="56" spans="2:13">
      <c r="B56" s="89"/>
      <c r="C56" s="89"/>
      <c r="D56" s="90"/>
      <c r="E56" s="90"/>
      <c r="F56" s="90"/>
      <c r="G56" s="90"/>
      <c r="H56" s="89"/>
      <c r="I56" s="90"/>
      <c r="J56" s="90"/>
      <c r="K56" s="90"/>
      <c r="L56" s="90"/>
      <c r="M56" s="90"/>
    </row>
    <row r="57" spans="2:13">
      <c r="B57" s="89"/>
      <c r="C57" s="89"/>
      <c r="D57" s="90"/>
      <c r="E57" s="90"/>
      <c r="F57" s="90"/>
      <c r="G57" s="90"/>
      <c r="H57" s="89"/>
      <c r="I57" s="90"/>
      <c r="J57" s="90"/>
      <c r="K57" s="90"/>
      <c r="L57" s="90"/>
      <c r="M57" s="90"/>
    </row>
    <row r="58" spans="2:13">
      <c r="B58" s="89"/>
      <c r="C58" s="89"/>
      <c r="D58" s="90"/>
      <c r="E58" s="90"/>
      <c r="F58" s="90"/>
      <c r="G58" s="90"/>
      <c r="H58" s="89"/>
      <c r="I58" s="90"/>
      <c r="J58" s="90"/>
      <c r="K58" s="90"/>
      <c r="L58" s="90"/>
      <c r="M58" s="90"/>
    </row>
    <row r="59" spans="2:13">
      <c r="B59" s="89"/>
      <c r="C59" s="89"/>
      <c r="D59" s="90"/>
      <c r="E59" s="90"/>
      <c r="F59" s="90"/>
      <c r="G59" s="90"/>
      <c r="H59" s="89"/>
      <c r="I59" s="90"/>
      <c r="J59" s="90"/>
      <c r="K59" s="90"/>
      <c r="L59" s="90"/>
      <c r="M59" s="90"/>
    </row>
    <row r="60" spans="2:13">
      <c r="B60" s="89"/>
      <c r="C60" s="89"/>
      <c r="D60" s="90"/>
      <c r="E60" s="90"/>
      <c r="F60" s="90"/>
      <c r="G60" s="90"/>
      <c r="H60" s="89"/>
      <c r="I60" s="90"/>
      <c r="J60" s="90"/>
      <c r="K60" s="90"/>
      <c r="L60" s="90"/>
      <c r="M60" s="90"/>
    </row>
    <row r="61" spans="2:13">
      <c r="B61" s="89"/>
      <c r="C61" s="89"/>
      <c r="D61" s="90"/>
      <c r="E61" s="90"/>
      <c r="F61" s="90"/>
      <c r="G61" s="90"/>
      <c r="H61" s="89"/>
      <c r="I61" s="90"/>
      <c r="J61" s="90"/>
      <c r="K61" s="90"/>
      <c r="L61" s="90"/>
      <c r="M61" s="90"/>
    </row>
    <row r="62" spans="2:13">
      <c r="B62" s="89"/>
      <c r="C62" s="89"/>
      <c r="D62" s="90"/>
      <c r="E62" s="90"/>
      <c r="F62" s="90"/>
      <c r="G62" s="90"/>
      <c r="H62" s="89"/>
      <c r="I62" s="90"/>
      <c r="J62" s="90"/>
      <c r="K62" s="90"/>
      <c r="L62" s="90"/>
      <c r="M62" s="90"/>
    </row>
    <row r="63" spans="2:13">
      <c r="B63" s="89"/>
      <c r="C63" s="89"/>
      <c r="D63" s="90"/>
      <c r="E63" s="90"/>
      <c r="F63" s="90"/>
      <c r="G63" s="90"/>
      <c r="H63" s="89"/>
      <c r="I63" s="90"/>
      <c r="J63" s="90"/>
      <c r="K63" s="90"/>
      <c r="L63" s="90"/>
      <c r="M63" s="90"/>
    </row>
    <row r="64" spans="2:13">
      <c r="B64" s="89"/>
      <c r="C64" s="89"/>
      <c r="D64" s="90"/>
      <c r="E64" s="90"/>
      <c r="F64" s="90"/>
      <c r="G64" s="90"/>
      <c r="H64" s="89"/>
      <c r="I64" s="90"/>
      <c r="J64" s="90"/>
      <c r="K64" s="90"/>
      <c r="L64" s="90"/>
      <c r="M64" s="90"/>
    </row>
    <row r="65" spans="2:13">
      <c r="B65" s="89"/>
      <c r="C65" s="89"/>
      <c r="D65" s="90"/>
      <c r="E65" s="90"/>
      <c r="F65" s="90"/>
      <c r="G65" s="90"/>
      <c r="H65" s="89"/>
      <c r="I65" s="90"/>
      <c r="J65" s="90"/>
      <c r="K65" s="90"/>
      <c r="L65" s="90"/>
      <c r="M65" s="90"/>
    </row>
    <row r="66" spans="2:13">
      <c r="B66" s="89"/>
      <c r="C66" s="89"/>
      <c r="D66" s="90"/>
      <c r="E66" s="90"/>
      <c r="F66" s="90"/>
      <c r="G66" s="90"/>
      <c r="H66" s="89"/>
      <c r="I66" s="90"/>
      <c r="J66" s="90"/>
      <c r="K66" s="90"/>
      <c r="L66" s="90"/>
      <c r="M66" s="90"/>
    </row>
    <row r="67" spans="2:13">
      <c r="B67" s="89"/>
      <c r="C67" s="89"/>
      <c r="D67" s="90"/>
      <c r="E67" s="90"/>
      <c r="F67" s="90"/>
      <c r="G67" s="90"/>
      <c r="H67" s="89"/>
      <c r="I67" s="90"/>
      <c r="J67" s="90"/>
      <c r="K67" s="90"/>
      <c r="L67" s="90"/>
      <c r="M67" s="90"/>
    </row>
    <row r="68" spans="2:13">
      <c r="B68" s="89"/>
      <c r="C68" s="89"/>
      <c r="D68" s="90"/>
      <c r="E68" s="90"/>
      <c r="F68" s="90"/>
      <c r="G68" s="90"/>
      <c r="H68" s="89"/>
      <c r="I68" s="90"/>
      <c r="J68" s="90"/>
      <c r="K68" s="90"/>
      <c r="L68" s="90"/>
      <c r="M68" s="90"/>
    </row>
    <row r="69" spans="2:13">
      <c r="B69" s="89"/>
      <c r="C69" s="89"/>
      <c r="D69" s="90"/>
      <c r="E69" s="90"/>
      <c r="F69" s="90"/>
      <c r="G69" s="90"/>
      <c r="H69" s="89"/>
      <c r="I69" s="90"/>
      <c r="J69" s="90"/>
      <c r="K69" s="90"/>
      <c r="L69" s="90"/>
      <c r="M69" s="90"/>
    </row>
    <row r="70" spans="2:13">
      <c r="B70" s="89"/>
      <c r="C70" s="89"/>
      <c r="D70" s="90"/>
      <c r="E70" s="90"/>
      <c r="F70" s="90"/>
      <c r="G70" s="90"/>
      <c r="H70" s="89"/>
      <c r="I70" s="90"/>
      <c r="J70" s="90"/>
      <c r="K70" s="90"/>
      <c r="L70" s="90"/>
      <c r="M70" s="90"/>
    </row>
    <row r="71" spans="2:13">
      <c r="B71" s="89"/>
      <c r="C71" s="89"/>
      <c r="D71" s="90"/>
      <c r="E71" s="90"/>
      <c r="F71" s="90"/>
      <c r="G71" s="90"/>
      <c r="H71" s="89"/>
      <c r="I71" s="90"/>
      <c r="J71" s="90"/>
      <c r="K71" s="90"/>
      <c r="L71" s="90"/>
      <c r="M71" s="90"/>
    </row>
    <row r="72" spans="2:13">
      <c r="B72" s="89"/>
      <c r="C72" s="89"/>
      <c r="D72" s="90"/>
      <c r="E72" s="90"/>
      <c r="F72" s="90"/>
      <c r="G72" s="90"/>
      <c r="H72" s="89"/>
      <c r="I72" s="90"/>
      <c r="J72" s="90"/>
      <c r="K72" s="90"/>
      <c r="L72" s="90"/>
      <c r="M72" s="90"/>
    </row>
    <row r="73" spans="2:13">
      <c r="B73" s="89"/>
      <c r="C73" s="89"/>
      <c r="D73" s="90"/>
      <c r="E73" s="90"/>
      <c r="F73" s="90"/>
      <c r="G73" s="90"/>
      <c r="H73" s="89"/>
      <c r="I73" s="90"/>
      <c r="J73" s="90"/>
      <c r="K73" s="90"/>
      <c r="L73" s="90"/>
      <c r="M73" s="90"/>
    </row>
    <row r="74" spans="2:13">
      <c r="B74" s="89"/>
      <c r="C74" s="89"/>
      <c r="D74" s="90"/>
      <c r="E74" s="90"/>
      <c r="F74" s="90"/>
      <c r="G74" s="90"/>
      <c r="H74" s="89"/>
      <c r="I74" s="90"/>
      <c r="J74" s="90"/>
      <c r="K74" s="90"/>
      <c r="L74" s="90"/>
      <c r="M74" s="90"/>
    </row>
    <row r="75" spans="2:13">
      <c r="B75" s="89"/>
      <c r="C75" s="89"/>
      <c r="D75" s="90"/>
      <c r="E75" s="90"/>
      <c r="F75" s="90"/>
      <c r="G75" s="90"/>
      <c r="H75" s="89"/>
      <c r="I75" s="90"/>
      <c r="J75" s="90"/>
      <c r="K75" s="90"/>
      <c r="L75" s="90"/>
      <c r="M75" s="90"/>
    </row>
    <row r="76" spans="2:13">
      <c r="B76" s="89"/>
      <c r="C76" s="89"/>
      <c r="D76" s="90"/>
      <c r="E76" s="90"/>
      <c r="F76" s="90"/>
      <c r="G76" s="90"/>
      <c r="H76" s="89"/>
      <c r="I76" s="90"/>
      <c r="J76" s="90"/>
      <c r="K76" s="90"/>
      <c r="L76" s="90"/>
      <c r="M76" s="90"/>
    </row>
    <row r="77" spans="2:13">
      <c r="B77" s="89"/>
      <c r="C77" s="89"/>
      <c r="D77" s="90"/>
      <c r="E77" s="90"/>
      <c r="F77" s="90"/>
      <c r="G77" s="90"/>
      <c r="H77" s="89"/>
      <c r="I77" s="90"/>
      <c r="J77" s="90"/>
      <c r="K77" s="90"/>
      <c r="L77" s="90"/>
      <c r="M77" s="90"/>
    </row>
    <row r="78" spans="2:13">
      <c r="B78" s="89"/>
      <c r="C78" s="89"/>
      <c r="D78" s="90"/>
      <c r="E78" s="90"/>
      <c r="F78" s="90"/>
      <c r="G78" s="90"/>
      <c r="H78" s="89"/>
      <c r="I78" s="90"/>
      <c r="J78" s="90"/>
      <c r="K78" s="90"/>
      <c r="L78" s="90"/>
      <c r="M78" s="90"/>
    </row>
    <row r="79" spans="2:13">
      <c r="B79" s="89"/>
      <c r="C79" s="89"/>
      <c r="D79" s="90"/>
      <c r="E79" s="90"/>
      <c r="F79" s="90"/>
      <c r="G79" s="90"/>
      <c r="H79" s="89"/>
      <c r="I79" s="90"/>
      <c r="J79" s="90"/>
      <c r="K79" s="90"/>
      <c r="L79" s="90"/>
      <c r="M79" s="90"/>
    </row>
    <row r="80" spans="2:13">
      <c r="B80" s="89"/>
      <c r="C80" s="89"/>
      <c r="D80" s="90"/>
      <c r="E80" s="90"/>
      <c r="F80" s="90"/>
      <c r="G80" s="90"/>
      <c r="H80" s="89"/>
      <c r="I80" s="90"/>
      <c r="J80" s="90"/>
      <c r="K80" s="90"/>
      <c r="L80" s="90"/>
      <c r="M80" s="90"/>
    </row>
    <row r="81" spans="2:13">
      <c r="B81" s="89"/>
      <c r="C81" s="89"/>
      <c r="D81" s="90"/>
      <c r="E81" s="90"/>
      <c r="F81" s="90"/>
      <c r="G81" s="90"/>
      <c r="H81" s="89"/>
      <c r="I81" s="90"/>
      <c r="J81" s="90"/>
      <c r="K81" s="90"/>
      <c r="L81" s="90"/>
      <c r="M81" s="90"/>
    </row>
    <row r="82" spans="2:13">
      <c r="B82" s="89"/>
      <c r="C82" s="89"/>
      <c r="D82" s="90"/>
      <c r="E82" s="90"/>
      <c r="F82" s="90"/>
      <c r="G82" s="90"/>
      <c r="H82" s="89"/>
      <c r="I82" s="90"/>
      <c r="J82" s="90"/>
      <c r="K82" s="90"/>
      <c r="L82" s="90"/>
      <c r="M82" s="90"/>
    </row>
    <row r="83" spans="2:13">
      <c r="B83" s="89"/>
      <c r="C83" s="89"/>
      <c r="D83" s="90"/>
      <c r="E83" s="90"/>
      <c r="F83" s="90"/>
      <c r="G83" s="90"/>
      <c r="H83" s="89"/>
      <c r="I83" s="90"/>
      <c r="J83" s="90"/>
      <c r="K83" s="90"/>
      <c r="L83" s="90"/>
      <c r="M83" s="90"/>
    </row>
    <row r="84" spans="2:13">
      <c r="B84" s="89"/>
      <c r="C84" s="89"/>
      <c r="D84" s="89"/>
      <c r="E84" s="89"/>
      <c r="F84" s="89"/>
      <c r="G84" s="89"/>
      <c r="H84" s="89"/>
      <c r="I84" s="89"/>
      <c r="J84" s="89"/>
      <c r="K84" s="89"/>
      <c r="L84" s="89"/>
      <c r="M84" s="89"/>
    </row>
    <row r="85" spans="2:13">
      <c r="B85" s="89"/>
      <c r="C85" s="89"/>
      <c r="D85" s="89"/>
      <c r="E85" s="89"/>
      <c r="F85" s="89"/>
      <c r="G85" s="89"/>
      <c r="H85" s="89"/>
      <c r="I85" s="89"/>
      <c r="J85" s="89"/>
      <c r="K85" s="89"/>
      <c r="L85" s="89"/>
      <c r="M85" s="89"/>
    </row>
    <row r="86" spans="2:13">
      <c r="B86" s="89"/>
      <c r="C86" s="89"/>
      <c r="D86" s="89"/>
      <c r="E86" s="89"/>
      <c r="F86" s="89"/>
      <c r="G86" s="89"/>
      <c r="H86" s="89"/>
      <c r="I86" s="89"/>
      <c r="J86" s="89"/>
      <c r="K86" s="89"/>
      <c r="L86" s="89"/>
      <c r="M86" s="89"/>
    </row>
    <row r="87" spans="2:13">
      <c r="B87" s="89"/>
      <c r="C87" s="89"/>
      <c r="D87" s="89"/>
      <c r="E87" s="89"/>
      <c r="F87" s="89"/>
      <c r="G87" s="89"/>
      <c r="H87" s="89"/>
      <c r="I87" s="89"/>
      <c r="J87" s="89"/>
      <c r="K87" s="89"/>
      <c r="L87" s="89"/>
      <c r="M87" s="89"/>
    </row>
    <row r="88" spans="2:13">
      <c r="B88" s="89"/>
      <c r="C88" s="89"/>
      <c r="D88" s="89"/>
      <c r="E88" s="89"/>
      <c r="F88" s="89"/>
      <c r="G88" s="89"/>
      <c r="H88" s="89"/>
      <c r="I88" s="89"/>
      <c r="J88" s="89"/>
      <c r="K88" s="89"/>
      <c r="L88" s="89"/>
      <c r="M88" s="89"/>
    </row>
    <row r="89" spans="2:13">
      <c r="B89" s="89"/>
      <c r="C89" s="89"/>
      <c r="D89" s="89"/>
      <c r="E89" s="89"/>
      <c r="F89" s="89"/>
      <c r="G89" s="89"/>
      <c r="H89" s="89"/>
      <c r="I89" s="89"/>
      <c r="J89" s="89"/>
      <c r="K89" s="89"/>
      <c r="L89" s="89"/>
      <c r="M89" s="89"/>
    </row>
    <row r="90" spans="2:13">
      <c r="B90" s="89"/>
      <c r="C90" s="89"/>
      <c r="D90" s="89"/>
      <c r="E90" s="89"/>
      <c r="F90" s="89"/>
      <c r="G90" s="89"/>
      <c r="H90" s="89"/>
      <c r="I90" s="89"/>
      <c r="J90" s="89"/>
      <c r="K90" s="89"/>
      <c r="L90" s="89"/>
      <c r="M90" s="89"/>
    </row>
    <row r="91" spans="2:13">
      <c r="B91" s="89"/>
      <c r="C91" s="89"/>
      <c r="D91" s="89"/>
      <c r="E91" s="89"/>
      <c r="F91" s="89"/>
      <c r="G91" s="89"/>
      <c r="H91" s="89"/>
      <c r="I91" s="89"/>
      <c r="J91" s="89"/>
      <c r="K91" s="89"/>
      <c r="L91" s="89"/>
      <c r="M91" s="89"/>
    </row>
    <row r="92" spans="2:13">
      <c r="B92" s="89"/>
      <c r="C92" s="89"/>
      <c r="D92" s="89"/>
      <c r="E92" s="89"/>
      <c r="F92" s="89"/>
      <c r="G92" s="89"/>
      <c r="H92" s="89"/>
      <c r="I92" s="89"/>
      <c r="J92" s="89"/>
      <c r="K92" s="89"/>
      <c r="L92" s="89"/>
      <c r="M92" s="89"/>
    </row>
    <row r="93" spans="2:13">
      <c r="B93" s="89"/>
      <c r="C93" s="89"/>
      <c r="D93" s="89"/>
      <c r="E93" s="89"/>
      <c r="F93" s="89"/>
      <c r="G93" s="89"/>
      <c r="H93" s="89"/>
      <c r="I93" s="89"/>
      <c r="J93" s="89"/>
      <c r="K93" s="89"/>
      <c r="L93" s="89"/>
      <c r="M93" s="89"/>
    </row>
    <row r="94" spans="2:13">
      <c r="B94" s="89"/>
      <c r="C94" s="89"/>
      <c r="D94" s="89"/>
      <c r="E94" s="89"/>
      <c r="F94" s="89"/>
      <c r="G94" s="89"/>
      <c r="H94" s="89"/>
      <c r="I94" s="89"/>
      <c r="J94" s="89"/>
      <c r="K94" s="89"/>
      <c r="L94" s="89"/>
      <c r="M94" s="89"/>
    </row>
    <row r="95" spans="2:13">
      <c r="B95" s="89"/>
      <c r="C95" s="89"/>
      <c r="D95" s="89"/>
      <c r="E95" s="89"/>
      <c r="F95" s="89"/>
      <c r="G95" s="89"/>
      <c r="H95" s="89"/>
      <c r="I95" s="89"/>
      <c r="J95" s="89"/>
      <c r="K95" s="89"/>
      <c r="L95" s="89"/>
      <c r="M95" s="89"/>
    </row>
    <row r="96" spans="2:13">
      <c r="B96" s="89"/>
      <c r="C96" s="89"/>
      <c r="D96" s="89"/>
      <c r="E96" s="89"/>
      <c r="F96" s="89"/>
      <c r="G96" s="89"/>
      <c r="H96" s="89"/>
      <c r="I96" s="89"/>
      <c r="J96" s="89"/>
      <c r="K96" s="89"/>
      <c r="L96" s="89"/>
      <c r="M96" s="89"/>
    </row>
  </sheetData>
  <mergeCells count="1">
    <mergeCell ref="C4:F4"/>
  </mergeCells>
  <hyperlinks>
    <hyperlink ref="A1" location="Navigation!A1" display="Hom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249977111117893"/>
  </sheetPr>
  <dimension ref="A1:G140"/>
  <sheetViews>
    <sheetView workbookViewId="0">
      <pane xSplit="1" ySplit="2" topLeftCell="B99" activePane="bottomRight" state="frozen"/>
      <selection pane="topRight" activeCell="B1" sqref="B1"/>
      <selection pane="bottomLeft" activeCell="A3" sqref="A3"/>
      <selection pane="bottomRight"/>
    </sheetView>
  </sheetViews>
  <sheetFormatPr defaultRowHeight="11.25"/>
  <cols>
    <col min="1" max="1" width="11.140625" style="3" customWidth="1"/>
    <col min="2" max="2" width="20.42578125" style="4" customWidth="1"/>
    <col min="3" max="4" width="21" style="4" customWidth="1"/>
    <col min="5" max="5" width="21.28515625" style="4" customWidth="1"/>
    <col min="6" max="6" width="19.7109375" style="4" customWidth="1"/>
    <col min="7" max="7" width="10.85546875" style="3" bestFit="1" customWidth="1"/>
    <col min="8" max="251" width="9.140625" style="3"/>
    <col min="252" max="252" width="3.7109375" style="3" bestFit="1" customWidth="1"/>
    <col min="253" max="253" width="18.28515625" style="3" bestFit="1" customWidth="1"/>
    <col min="254" max="254" width="18.140625" style="3" bestFit="1" customWidth="1"/>
    <col min="255" max="255" width="18.28515625" style="3" bestFit="1" customWidth="1"/>
    <col min="256" max="256" width="18.140625" style="3" bestFit="1" customWidth="1"/>
    <col min="257" max="257" width="16.28515625" style="3" bestFit="1" customWidth="1"/>
    <col min="258" max="258" width="17" style="3" bestFit="1" customWidth="1"/>
    <col min="259" max="259" width="16.85546875" style="3" bestFit="1" customWidth="1"/>
    <col min="260" max="260" width="17" style="3" bestFit="1" customWidth="1"/>
    <col min="261" max="261" width="16.85546875" style="3" bestFit="1" customWidth="1"/>
    <col min="262" max="262" width="15.140625" style="3" bestFit="1" customWidth="1"/>
    <col min="263" max="507" width="9.140625" style="3"/>
    <col min="508" max="508" width="3.7109375" style="3" bestFit="1" customWidth="1"/>
    <col min="509" max="509" width="18.28515625" style="3" bestFit="1" customWidth="1"/>
    <col min="510" max="510" width="18.140625" style="3" bestFit="1" customWidth="1"/>
    <col min="511" max="511" width="18.28515625" style="3" bestFit="1" customWidth="1"/>
    <col min="512" max="512" width="18.140625" style="3" bestFit="1" customWidth="1"/>
    <col min="513" max="513" width="16.28515625" style="3" bestFit="1" customWidth="1"/>
    <col min="514" max="514" width="17" style="3" bestFit="1" customWidth="1"/>
    <col min="515" max="515" width="16.85546875" style="3" bestFit="1" customWidth="1"/>
    <col min="516" max="516" width="17" style="3" bestFit="1" customWidth="1"/>
    <col min="517" max="517" width="16.85546875" style="3" bestFit="1" customWidth="1"/>
    <col min="518" max="518" width="15.140625" style="3" bestFit="1" customWidth="1"/>
    <col min="519" max="763" width="9.140625" style="3"/>
    <col min="764" max="764" width="3.7109375" style="3" bestFit="1" customWidth="1"/>
    <col min="765" max="765" width="18.28515625" style="3" bestFit="1" customWidth="1"/>
    <col min="766" max="766" width="18.140625" style="3" bestFit="1" customWidth="1"/>
    <col min="767" max="767" width="18.28515625" style="3" bestFit="1" customWidth="1"/>
    <col min="768" max="768" width="18.140625" style="3" bestFit="1" customWidth="1"/>
    <col min="769" max="769" width="16.28515625" style="3" bestFit="1" customWidth="1"/>
    <col min="770" max="770" width="17" style="3" bestFit="1" customWidth="1"/>
    <col min="771" max="771" width="16.85546875" style="3" bestFit="1" customWidth="1"/>
    <col min="772" max="772" width="17" style="3" bestFit="1" customWidth="1"/>
    <col min="773" max="773" width="16.85546875" style="3" bestFit="1" customWidth="1"/>
    <col min="774" max="774" width="15.140625" style="3" bestFit="1" customWidth="1"/>
    <col min="775" max="1019" width="9.140625" style="3"/>
    <col min="1020" max="1020" width="3.7109375" style="3" bestFit="1" customWidth="1"/>
    <col min="1021" max="1021" width="18.28515625" style="3" bestFit="1" customWidth="1"/>
    <col min="1022" max="1022" width="18.140625" style="3" bestFit="1" customWidth="1"/>
    <col min="1023" max="1023" width="18.28515625" style="3" bestFit="1" customWidth="1"/>
    <col min="1024" max="1024" width="18.140625" style="3" bestFit="1" customWidth="1"/>
    <col min="1025" max="1025" width="16.28515625" style="3" bestFit="1" customWidth="1"/>
    <col min="1026" max="1026" width="17" style="3" bestFit="1" customWidth="1"/>
    <col min="1027" max="1027" width="16.85546875" style="3" bestFit="1" customWidth="1"/>
    <col min="1028" max="1028" width="17" style="3" bestFit="1" customWidth="1"/>
    <col min="1029" max="1029" width="16.85546875" style="3" bestFit="1" customWidth="1"/>
    <col min="1030" max="1030" width="15.140625" style="3" bestFit="1" customWidth="1"/>
    <col min="1031" max="1275" width="9.140625" style="3"/>
    <col min="1276" max="1276" width="3.7109375" style="3" bestFit="1" customWidth="1"/>
    <col min="1277" max="1277" width="18.28515625" style="3" bestFit="1" customWidth="1"/>
    <col min="1278" max="1278" width="18.140625" style="3" bestFit="1" customWidth="1"/>
    <col min="1279" max="1279" width="18.28515625" style="3" bestFit="1" customWidth="1"/>
    <col min="1280" max="1280" width="18.140625" style="3" bestFit="1" customWidth="1"/>
    <col min="1281" max="1281" width="16.28515625" style="3" bestFit="1" customWidth="1"/>
    <col min="1282" max="1282" width="17" style="3" bestFit="1" customWidth="1"/>
    <col min="1283" max="1283" width="16.85546875" style="3" bestFit="1" customWidth="1"/>
    <col min="1284" max="1284" width="17" style="3" bestFit="1" customWidth="1"/>
    <col min="1285" max="1285" width="16.85546875" style="3" bestFit="1" customWidth="1"/>
    <col min="1286" max="1286" width="15.140625" style="3" bestFit="1" customWidth="1"/>
    <col min="1287" max="1531" width="9.140625" style="3"/>
    <col min="1532" max="1532" width="3.7109375" style="3" bestFit="1" customWidth="1"/>
    <col min="1533" max="1533" width="18.28515625" style="3" bestFit="1" customWidth="1"/>
    <col min="1534" max="1534" width="18.140625" style="3" bestFit="1" customWidth="1"/>
    <col min="1535" max="1535" width="18.28515625" style="3" bestFit="1" customWidth="1"/>
    <col min="1536" max="1536" width="18.140625" style="3" bestFit="1" customWidth="1"/>
    <col min="1537" max="1537" width="16.28515625" style="3" bestFit="1" customWidth="1"/>
    <col min="1538" max="1538" width="17" style="3" bestFit="1" customWidth="1"/>
    <col min="1539" max="1539" width="16.85546875" style="3" bestFit="1" customWidth="1"/>
    <col min="1540" max="1540" width="17" style="3" bestFit="1" customWidth="1"/>
    <col min="1541" max="1541" width="16.85546875" style="3" bestFit="1" customWidth="1"/>
    <col min="1542" max="1542" width="15.140625" style="3" bestFit="1" customWidth="1"/>
    <col min="1543" max="1787" width="9.140625" style="3"/>
    <col min="1788" max="1788" width="3.7109375" style="3" bestFit="1" customWidth="1"/>
    <col min="1789" max="1789" width="18.28515625" style="3" bestFit="1" customWidth="1"/>
    <col min="1790" max="1790" width="18.140625" style="3" bestFit="1" customWidth="1"/>
    <col min="1791" max="1791" width="18.28515625" style="3" bestFit="1" customWidth="1"/>
    <col min="1792" max="1792" width="18.140625" style="3" bestFit="1" customWidth="1"/>
    <col min="1793" max="1793" width="16.28515625" style="3" bestFit="1" customWidth="1"/>
    <col min="1794" max="1794" width="17" style="3" bestFit="1" customWidth="1"/>
    <col min="1795" max="1795" width="16.85546875" style="3" bestFit="1" customWidth="1"/>
    <col min="1796" max="1796" width="17" style="3" bestFit="1" customWidth="1"/>
    <col min="1797" max="1797" width="16.85546875" style="3" bestFit="1" customWidth="1"/>
    <col min="1798" max="1798" width="15.140625" style="3" bestFit="1" customWidth="1"/>
    <col min="1799" max="2043" width="9.140625" style="3"/>
    <col min="2044" max="2044" width="3.7109375" style="3" bestFit="1" customWidth="1"/>
    <col min="2045" max="2045" width="18.28515625" style="3" bestFit="1" customWidth="1"/>
    <col min="2046" max="2046" width="18.140625" style="3" bestFit="1" customWidth="1"/>
    <col min="2047" max="2047" width="18.28515625" style="3" bestFit="1" customWidth="1"/>
    <col min="2048" max="2048" width="18.140625" style="3" bestFit="1" customWidth="1"/>
    <col min="2049" max="2049" width="16.28515625" style="3" bestFit="1" customWidth="1"/>
    <col min="2050" max="2050" width="17" style="3" bestFit="1" customWidth="1"/>
    <col min="2051" max="2051" width="16.85546875" style="3" bestFit="1" customWidth="1"/>
    <col min="2052" max="2052" width="17" style="3" bestFit="1" customWidth="1"/>
    <col min="2053" max="2053" width="16.85546875" style="3" bestFit="1" customWidth="1"/>
    <col min="2054" max="2054" width="15.140625" style="3" bestFit="1" customWidth="1"/>
    <col min="2055" max="2299" width="9.140625" style="3"/>
    <col min="2300" max="2300" width="3.7109375" style="3" bestFit="1" customWidth="1"/>
    <col min="2301" max="2301" width="18.28515625" style="3" bestFit="1" customWidth="1"/>
    <col min="2302" max="2302" width="18.140625" style="3" bestFit="1" customWidth="1"/>
    <col min="2303" max="2303" width="18.28515625" style="3" bestFit="1" customWidth="1"/>
    <col min="2304" max="2304" width="18.140625" style="3" bestFit="1" customWidth="1"/>
    <col min="2305" max="2305" width="16.28515625" style="3" bestFit="1" customWidth="1"/>
    <col min="2306" max="2306" width="17" style="3" bestFit="1" customWidth="1"/>
    <col min="2307" max="2307" width="16.85546875" style="3" bestFit="1" customWidth="1"/>
    <col min="2308" max="2308" width="17" style="3" bestFit="1" customWidth="1"/>
    <col min="2309" max="2309" width="16.85546875" style="3" bestFit="1" customWidth="1"/>
    <col min="2310" max="2310" width="15.140625" style="3" bestFit="1" customWidth="1"/>
    <col min="2311" max="2555" width="9.140625" style="3"/>
    <col min="2556" max="2556" width="3.7109375" style="3" bestFit="1" customWidth="1"/>
    <col min="2557" max="2557" width="18.28515625" style="3" bestFit="1" customWidth="1"/>
    <col min="2558" max="2558" width="18.140625" style="3" bestFit="1" customWidth="1"/>
    <col min="2559" max="2559" width="18.28515625" style="3" bestFit="1" customWidth="1"/>
    <col min="2560" max="2560" width="18.140625" style="3" bestFit="1" customWidth="1"/>
    <col min="2561" max="2561" width="16.28515625" style="3" bestFit="1" customWidth="1"/>
    <col min="2562" max="2562" width="17" style="3" bestFit="1" customWidth="1"/>
    <col min="2563" max="2563" width="16.85546875" style="3" bestFit="1" customWidth="1"/>
    <col min="2564" max="2564" width="17" style="3" bestFit="1" customWidth="1"/>
    <col min="2565" max="2565" width="16.85546875" style="3" bestFit="1" customWidth="1"/>
    <col min="2566" max="2566" width="15.140625" style="3" bestFit="1" customWidth="1"/>
    <col min="2567" max="2811" width="9.140625" style="3"/>
    <col min="2812" max="2812" width="3.7109375" style="3" bestFit="1" customWidth="1"/>
    <col min="2813" max="2813" width="18.28515625" style="3" bestFit="1" customWidth="1"/>
    <col min="2814" max="2814" width="18.140625" style="3" bestFit="1" customWidth="1"/>
    <col min="2815" max="2815" width="18.28515625" style="3" bestFit="1" customWidth="1"/>
    <col min="2816" max="2816" width="18.140625" style="3" bestFit="1" customWidth="1"/>
    <col min="2817" max="2817" width="16.28515625" style="3" bestFit="1" customWidth="1"/>
    <col min="2818" max="2818" width="17" style="3" bestFit="1" customWidth="1"/>
    <col min="2819" max="2819" width="16.85546875" style="3" bestFit="1" customWidth="1"/>
    <col min="2820" max="2820" width="17" style="3" bestFit="1" customWidth="1"/>
    <col min="2821" max="2821" width="16.85546875" style="3" bestFit="1" customWidth="1"/>
    <col min="2822" max="2822" width="15.140625" style="3" bestFit="1" customWidth="1"/>
    <col min="2823" max="3067" width="9.140625" style="3"/>
    <col min="3068" max="3068" width="3.7109375" style="3" bestFit="1" customWidth="1"/>
    <col min="3069" max="3069" width="18.28515625" style="3" bestFit="1" customWidth="1"/>
    <col min="3070" max="3070" width="18.140625" style="3" bestFit="1" customWidth="1"/>
    <col min="3071" max="3071" width="18.28515625" style="3" bestFit="1" customWidth="1"/>
    <col min="3072" max="3072" width="18.140625" style="3" bestFit="1" customWidth="1"/>
    <col min="3073" max="3073" width="16.28515625" style="3" bestFit="1" customWidth="1"/>
    <col min="3074" max="3074" width="17" style="3" bestFit="1" customWidth="1"/>
    <col min="3075" max="3075" width="16.85546875" style="3" bestFit="1" customWidth="1"/>
    <col min="3076" max="3076" width="17" style="3" bestFit="1" customWidth="1"/>
    <col min="3077" max="3077" width="16.85546875" style="3" bestFit="1" customWidth="1"/>
    <col min="3078" max="3078" width="15.140625" style="3" bestFit="1" customWidth="1"/>
    <col min="3079" max="3323" width="9.140625" style="3"/>
    <col min="3324" max="3324" width="3.7109375" style="3" bestFit="1" customWidth="1"/>
    <col min="3325" max="3325" width="18.28515625" style="3" bestFit="1" customWidth="1"/>
    <col min="3326" max="3326" width="18.140625" style="3" bestFit="1" customWidth="1"/>
    <col min="3327" max="3327" width="18.28515625" style="3" bestFit="1" customWidth="1"/>
    <col min="3328" max="3328" width="18.140625" style="3" bestFit="1" customWidth="1"/>
    <col min="3329" max="3329" width="16.28515625" style="3" bestFit="1" customWidth="1"/>
    <col min="3330" max="3330" width="17" style="3" bestFit="1" customWidth="1"/>
    <col min="3331" max="3331" width="16.85546875" style="3" bestFit="1" customWidth="1"/>
    <col min="3332" max="3332" width="17" style="3" bestFit="1" customWidth="1"/>
    <col min="3333" max="3333" width="16.85546875" style="3" bestFit="1" customWidth="1"/>
    <col min="3334" max="3334" width="15.140625" style="3" bestFit="1" customWidth="1"/>
    <col min="3335" max="3579" width="9.140625" style="3"/>
    <col min="3580" max="3580" width="3.7109375" style="3" bestFit="1" customWidth="1"/>
    <col min="3581" max="3581" width="18.28515625" style="3" bestFit="1" customWidth="1"/>
    <col min="3582" max="3582" width="18.140625" style="3" bestFit="1" customWidth="1"/>
    <col min="3583" max="3583" width="18.28515625" style="3" bestFit="1" customWidth="1"/>
    <col min="3584" max="3584" width="18.140625" style="3" bestFit="1" customWidth="1"/>
    <col min="3585" max="3585" width="16.28515625" style="3" bestFit="1" customWidth="1"/>
    <col min="3586" max="3586" width="17" style="3" bestFit="1" customWidth="1"/>
    <col min="3587" max="3587" width="16.85546875" style="3" bestFit="1" customWidth="1"/>
    <col min="3588" max="3588" width="17" style="3" bestFit="1" customWidth="1"/>
    <col min="3589" max="3589" width="16.85546875" style="3" bestFit="1" customWidth="1"/>
    <col min="3590" max="3590" width="15.140625" style="3" bestFit="1" customWidth="1"/>
    <col min="3591" max="3835" width="9.140625" style="3"/>
    <col min="3836" max="3836" width="3.7109375" style="3" bestFit="1" customWidth="1"/>
    <col min="3837" max="3837" width="18.28515625" style="3" bestFit="1" customWidth="1"/>
    <col min="3838" max="3838" width="18.140625" style="3" bestFit="1" customWidth="1"/>
    <col min="3839" max="3839" width="18.28515625" style="3" bestFit="1" customWidth="1"/>
    <col min="3840" max="3840" width="18.140625" style="3" bestFit="1" customWidth="1"/>
    <col min="3841" max="3841" width="16.28515625" style="3" bestFit="1" customWidth="1"/>
    <col min="3842" max="3842" width="17" style="3" bestFit="1" customWidth="1"/>
    <col min="3843" max="3843" width="16.85546875" style="3" bestFit="1" customWidth="1"/>
    <col min="3844" max="3844" width="17" style="3" bestFit="1" customWidth="1"/>
    <col min="3845" max="3845" width="16.85546875" style="3" bestFit="1" customWidth="1"/>
    <col min="3846" max="3846" width="15.140625" style="3" bestFit="1" customWidth="1"/>
    <col min="3847" max="4091" width="9.140625" style="3"/>
    <col min="4092" max="4092" width="3.7109375" style="3" bestFit="1" customWidth="1"/>
    <col min="4093" max="4093" width="18.28515625" style="3" bestFit="1" customWidth="1"/>
    <col min="4094" max="4094" width="18.140625" style="3" bestFit="1" customWidth="1"/>
    <col min="4095" max="4095" width="18.28515625" style="3" bestFit="1" customWidth="1"/>
    <col min="4096" max="4096" width="18.140625" style="3" bestFit="1" customWidth="1"/>
    <col min="4097" max="4097" width="16.28515625" style="3" bestFit="1" customWidth="1"/>
    <col min="4098" max="4098" width="17" style="3" bestFit="1" customWidth="1"/>
    <col min="4099" max="4099" width="16.85546875" style="3" bestFit="1" customWidth="1"/>
    <col min="4100" max="4100" width="17" style="3" bestFit="1" customWidth="1"/>
    <col min="4101" max="4101" width="16.85546875" style="3" bestFit="1" customWidth="1"/>
    <col min="4102" max="4102" width="15.140625" style="3" bestFit="1" customWidth="1"/>
    <col min="4103" max="4347" width="9.140625" style="3"/>
    <col min="4348" max="4348" width="3.7109375" style="3" bestFit="1" customWidth="1"/>
    <col min="4349" max="4349" width="18.28515625" style="3" bestFit="1" customWidth="1"/>
    <col min="4350" max="4350" width="18.140625" style="3" bestFit="1" customWidth="1"/>
    <col min="4351" max="4351" width="18.28515625" style="3" bestFit="1" customWidth="1"/>
    <col min="4352" max="4352" width="18.140625" style="3" bestFit="1" customWidth="1"/>
    <col min="4353" max="4353" width="16.28515625" style="3" bestFit="1" customWidth="1"/>
    <col min="4354" max="4354" width="17" style="3" bestFit="1" customWidth="1"/>
    <col min="4355" max="4355" width="16.85546875" style="3" bestFit="1" customWidth="1"/>
    <col min="4356" max="4356" width="17" style="3" bestFit="1" customWidth="1"/>
    <col min="4357" max="4357" width="16.85546875" style="3" bestFit="1" customWidth="1"/>
    <col min="4358" max="4358" width="15.140625" style="3" bestFit="1" customWidth="1"/>
    <col min="4359" max="4603" width="9.140625" style="3"/>
    <col min="4604" max="4604" width="3.7109375" style="3" bestFit="1" customWidth="1"/>
    <col min="4605" max="4605" width="18.28515625" style="3" bestFit="1" customWidth="1"/>
    <col min="4606" max="4606" width="18.140625" style="3" bestFit="1" customWidth="1"/>
    <col min="4607" max="4607" width="18.28515625" style="3" bestFit="1" customWidth="1"/>
    <col min="4608" max="4608" width="18.140625" style="3" bestFit="1" customWidth="1"/>
    <col min="4609" max="4609" width="16.28515625" style="3" bestFit="1" customWidth="1"/>
    <col min="4610" max="4610" width="17" style="3" bestFit="1" customWidth="1"/>
    <col min="4611" max="4611" width="16.85546875" style="3" bestFit="1" customWidth="1"/>
    <col min="4612" max="4612" width="17" style="3" bestFit="1" customWidth="1"/>
    <col min="4613" max="4613" width="16.85546875" style="3" bestFit="1" customWidth="1"/>
    <col min="4614" max="4614" width="15.140625" style="3" bestFit="1" customWidth="1"/>
    <col min="4615" max="4859" width="9.140625" style="3"/>
    <col min="4860" max="4860" width="3.7109375" style="3" bestFit="1" customWidth="1"/>
    <col min="4861" max="4861" width="18.28515625" style="3" bestFit="1" customWidth="1"/>
    <col min="4862" max="4862" width="18.140625" style="3" bestFit="1" customWidth="1"/>
    <col min="4863" max="4863" width="18.28515625" style="3" bestFit="1" customWidth="1"/>
    <col min="4864" max="4864" width="18.140625" style="3" bestFit="1" customWidth="1"/>
    <col min="4865" max="4865" width="16.28515625" style="3" bestFit="1" customWidth="1"/>
    <col min="4866" max="4866" width="17" style="3" bestFit="1" customWidth="1"/>
    <col min="4867" max="4867" width="16.85546875" style="3" bestFit="1" customWidth="1"/>
    <col min="4868" max="4868" width="17" style="3" bestFit="1" customWidth="1"/>
    <col min="4869" max="4869" width="16.85546875" style="3" bestFit="1" customWidth="1"/>
    <col min="4870" max="4870" width="15.140625" style="3" bestFit="1" customWidth="1"/>
    <col min="4871" max="5115" width="9.140625" style="3"/>
    <col min="5116" max="5116" width="3.7109375" style="3" bestFit="1" customWidth="1"/>
    <col min="5117" max="5117" width="18.28515625" style="3" bestFit="1" customWidth="1"/>
    <col min="5118" max="5118" width="18.140625" style="3" bestFit="1" customWidth="1"/>
    <col min="5119" max="5119" width="18.28515625" style="3" bestFit="1" customWidth="1"/>
    <col min="5120" max="5120" width="18.140625" style="3" bestFit="1" customWidth="1"/>
    <col min="5121" max="5121" width="16.28515625" style="3" bestFit="1" customWidth="1"/>
    <col min="5122" max="5122" width="17" style="3" bestFit="1" customWidth="1"/>
    <col min="5123" max="5123" width="16.85546875" style="3" bestFit="1" customWidth="1"/>
    <col min="5124" max="5124" width="17" style="3" bestFit="1" customWidth="1"/>
    <col min="5125" max="5125" width="16.85546875" style="3" bestFit="1" customWidth="1"/>
    <col min="5126" max="5126" width="15.140625" style="3" bestFit="1" customWidth="1"/>
    <col min="5127" max="5371" width="9.140625" style="3"/>
    <col min="5372" max="5372" width="3.7109375" style="3" bestFit="1" customWidth="1"/>
    <col min="5373" max="5373" width="18.28515625" style="3" bestFit="1" customWidth="1"/>
    <col min="5374" max="5374" width="18.140625" style="3" bestFit="1" customWidth="1"/>
    <col min="5375" max="5375" width="18.28515625" style="3" bestFit="1" customWidth="1"/>
    <col min="5376" max="5376" width="18.140625" style="3" bestFit="1" customWidth="1"/>
    <col min="5377" max="5377" width="16.28515625" style="3" bestFit="1" customWidth="1"/>
    <col min="5378" max="5378" width="17" style="3" bestFit="1" customWidth="1"/>
    <col min="5379" max="5379" width="16.85546875" style="3" bestFit="1" customWidth="1"/>
    <col min="5380" max="5380" width="17" style="3" bestFit="1" customWidth="1"/>
    <col min="5381" max="5381" width="16.85546875" style="3" bestFit="1" customWidth="1"/>
    <col min="5382" max="5382" width="15.140625" style="3" bestFit="1" customWidth="1"/>
    <col min="5383" max="5627" width="9.140625" style="3"/>
    <col min="5628" max="5628" width="3.7109375" style="3" bestFit="1" customWidth="1"/>
    <col min="5629" max="5629" width="18.28515625" style="3" bestFit="1" customWidth="1"/>
    <col min="5630" max="5630" width="18.140625" style="3" bestFit="1" customWidth="1"/>
    <col min="5631" max="5631" width="18.28515625" style="3" bestFit="1" customWidth="1"/>
    <col min="5632" max="5632" width="18.140625" style="3" bestFit="1" customWidth="1"/>
    <col min="5633" max="5633" width="16.28515625" style="3" bestFit="1" customWidth="1"/>
    <col min="5634" max="5634" width="17" style="3" bestFit="1" customWidth="1"/>
    <col min="5635" max="5635" width="16.85546875" style="3" bestFit="1" customWidth="1"/>
    <col min="5636" max="5636" width="17" style="3" bestFit="1" customWidth="1"/>
    <col min="5637" max="5637" width="16.85546875" style="3" bestFit="1" customWidth="1"/>
    <col min="5638" max="5638" width="15.140625" style="3" bestFit="1" customWidth="1"/>
    <col min="5639" max="5883" width="9.140625" style="3"/>
    <col min="5884" max="5884" width="3.7109375" style="3" bestFit="1" customWidth="1"/>
    <col min="5885" max="5885" width="18.28515625" style="3" bestFit="1" customWidth="1"/>
    <col min="5886" max="5886" width="18.140625" style="3" bestFit="1" customWidth="1"/>
    <col min="5887" max="5887" width="18.28515625" style="3" bestFit="1" customWidth="1"/>
    <col min="5888" max="5888" width="18.140625" style="3" bestFit="1" customWidth="1"/>
    <col min="5889" max="5889" width="16.28515625" style="3" bestFit="1" customWidth="1"/>
    <col min="5890" max="5890" width="17" style="3" bestFit="1" customWidth="1"/>
    <col min="5891" max="5891" width="16.85546875" style="3" bestFit="1" customWidth="1"/>
    <col min="5892" max="5892" width="17" style="3" bestFit="1" customWidth="1"/>
    <col min="5893" max="5893" width="16.85546875" style="3" bestFit="1" customWidth="1"/>
    <col min="5894" max="5894" width="15.140625" style="3" bestFit="1" customWidth="1"/>
    <col min="5895" max="6139" width="9.140625" style="3"/>
    <col min="6140" max="6140" width="3.7109375" style="3" bestFit="1" customWidth="1"/>
    <col min="6141" max="6141" width="18.28515625" style="3" bestFit="1" customWidth="1"/>
    <col min="6142" max="6142" width="18.140625" style="3" bestFit="1" customWidth="1"/>
    <col min="6143" max="6143" width="18.28515625" style="3" bestFit="1" customWidth="1"/>
    <col min="6144" max="6144" width="18.140625" style="3" bestFit="1" customWidth="1"/>
    <col min="6145" max="6145" width="16.28515625" style="3" bestFit="1" customWidth="1"/>
    <col min="6146" max="6146" width="17" style="3" bestFit="1" customWidth="1"/>
    <col min="6147" max="6147" width="16.85546875" style="3" bestFit="1" customWidth="1"/>
    <col min="6148" max="6148" width="17" style="3" bestFit="1" customWidth="1"/>
    <col min="6149" max="6149" width="16.85546875" style="3" bestFit="1" customWidth="1"/>
    <col min="6150" max="6150" width="15.140625" style="3" bestFit="1" customWidth="1"/>
    <col min="6151" max="6395" width="9.140625" style="3"/>
    <col min="6396" max="6396" width="3.7109375" style="3" bestFit="1" customWidth="1"/>
    <col min="6397" max="6397" width="18.28515625" style="3" bestFit="1" customWidth="1"/>
    <col min="6398" max="6398" width="18.140625" style="3" bestFit="1" customWidth="1"/>
    <col min="6399" max="6399" width="18.28515625" style="3" bestFit="1" customWidth="1"/>
    <col min="6400" max="6400" width="18.140625" style="3" bestFit="1" customWidth="1"/>
    <col min="6401" max="6401" width="16.28515625" style="3" bestFit="1" customWidth="1"/>
    <col min="6402" max="6402" width="17" style="3" bestFit="1" customWidth="1"/>
    <col min="6403" max="6403" width="16.85546875" style="3" bestFit="1" customWidth="1"/>
    <col min="6404" max="6404" width="17" style="3" bestFit="1" customWidth="1"/>
    <col min="6405" max="6405" width="16.85546875" style="3" bestFit="1" customWidth="1"/>
    <col min="6406" max="6406" width="15.140625" style="3" bestFit="1" customWidth="1"/>
    <col min="6407" max="6651" width="9.140625" style="3"/>
    <col min="6652" max="6652" width="3.7109375" style="3" bestFit="1" customWidth="1"/>
    <col min="6653" max="6653" width="18.28515625" style="3" bestFit="1" customWidth="1"/>
    <col min="6654" max="6654" width="18.140625" style="3" bestFit="1" customWidth="1"/>
    <col min="6655" max="6655" width="18.28515625" style="3" bestFit="1" customWidth="1"/>
    <col min="6656" max="6656" width="18.140625" style="3" bestFit="1" customWidth="1"/>
    <col min="6657" max="6657" width="16.28515625" style="3" bestFit="1" customWidth="1"/>
    <col min="6658" max="6658" width="17" style="3" bestFit="1" customWidth="1"/>
    <col min="6659" max="6659" width="16.85546875" style="3" bestFit="1" customWidth="1"/>
    <col min="6660" max="6660" width="17" style="3" bestFit="1" customWidth="1"/>
    <col min="6661" max="6661" width="16.85546875" style="3" bestFit="1" customWidth="1"/>
    <col min="6662" max="6662" width="15.140625" style="3" bestFit="1" customWidth="1"/>
    <col min="6663" max="6907" width="9.140625" style="3"/>
    <col min="6908" max="6908" width="3.7109375" style="3" bestFit="1" customWidth="1"/>
    <col min="6909" max="6909" width="18.28515625" style="3" bestFit="1" customWidth="1"/>
    <col min="6910" max="6910" width="18.140625" style="3" bestFit="1" customWidth="1"/>
    <col min="6911" max="6911" width="18.28515625" style="3" bestFit="1" customWidth="1"/>
    <col min="6912" max="6912" width="18.140625" style="3" bestFit="1" customWidth="1"/>
    <col min="6913" max="6913" width="16.28515625" style="3" bestFit="1" customWidth="1"/>
    <col min="6914" max="6914" width="17" style="3" bestFit="1" customWidth="1"/>
    <col min="6915" max="6915" width="16.85546875" style="3" bestFit="1" customWidth="1"/>
    <col min="6916" max="6916" width="17" style="3" bestFit="1" customWidth="1"/>
    <col min="6917" max="6917" width="16.85546875" style="3" bestFit="1" customWidth="1"/>
    <col min="6918" max="6918" width="15.140625" style="3" bestFit="1" customWidth="1"/>
    <col min="6919" max="7163" width="9.140625" style="3"/>
    <col min="7164" max="7164" width="3.7109375" style="3" bestFit="1" customWidth="1"/>
    <col min="7165" max="7165" width="18.28515625" style="3" bestFit="1" customWidth="1"/>
    <col min="7166" max="7166" width="18.140625" style="3" bestFit="1" customWidth="1"/>
    <col min="7167" max="7167" width="18.28515625" style="3" bestFit="1" customWidth="1"/>
    <col min="7168" max="7168" width="18.140625" style="3" bestFit="1" customWidth="1"/>
    <col min="7169" max="7169" width="16.28515625" style="3" bestFit="1" customWidth="1"/>
    <col min="7170" max="7170" width="17" style="3" bestFit="1" customWidth="1"/>
    <col min="7171" max="7171" width="16.85546875" style="3" bestFit="1" customWidth="1"/>
    <col min="7172" max="7172" width="17" style="3" bestFit="1" customWidth="1"/>
    <col min="7173" max="7173" width="16.85546875" style="3" bestFit="1" customWidth="1"/>
    <col min="7174" max="7174" width="15.140625" style="3" bestFit="1" customWidth="1"/>
    <col min="7175" max="7419" width="9.140625" style="3"/>
    <col min="7420" max="7420" width="3.7109375" style="3" bestFit="1" customWidth="1"/>
    <col min="7421" max="7421" width="18.28515625" style="3" bestFit="1" customWidth="1"/>
    <col min="7422" max="7422" width="18.140625" style="3" bestFit="1" customWidth="1"/>
    <col min="7423" max="7423" width="18.28515625" style="3" bestFit="1" customWidth="1"/>
    <col min="7424" max="7424" width="18.140625" style="3" bestFit="1" customWidth="1"/>
    <col min="7425" max="7425" width="16.28515625" style="3" bestFit="1" customWidth="1"/>
    <col min="7426" max="7426" width="17" style="3" bestFit="1" customWidth="1"/>
    <col min="7427" max="7427" width="16.85546875" style="3" bestFit="1" customWidth="1"/>
    <col min="7428" max="7428" width="17" style="3" bestFit="1" customWidth="1"/>
    <col min="7429" max="7429" width="16.85546875" style="3" bestFit="1" customWidth="1"/>
    <col min="7430" max="7430" width="15.140625" style="3" bestFit="1" customWidth="1"/>
    <col min="7431" max="7675" width="9.140625" style="3"/>
    <col min="7676" max="7676" width="3.7109375" style="3" bestFit="1" customWidth="1"/>
    <col min="7677" max="7677" width="18.28515625" style="3" bestFit="1" customWidth="1"/>
    <col min="7678" max="7678" width="18.140625" style="3" bestFit="1" customWidth="1"/>
    <col min="7679" max="7679" width="18.28515625" style="3" bestFit="1" customWidth="1"/>
    <col min="7680" max="7680" width="18.140625" style="3" bestFit="1" customWidth="1"/>
    <col min="7681" max="7681" width="16.28515625" style="3" bestFit="1" customWidth="1"/>
    <col min="7682" max="7682" width="17" style="3" bestFit="1" customWidth="1"/>
    <col min="7683" max="7683" width="16.85546875" style="3" bestFit="1" customWidth="1"/>
    <col min="7684" max="7684" width="17" style="3" bestFit="1" customWidth="1"/>
    <col min="7685" max="7685" width="16.85546875" style="3" bestFit="1" customWidth="1"/>
    <col min="7686" max="7686" width="15.140625" style="3" bestFit="1" customWidth="1"/>
    <col min="7687" max="7931" width="9.140625" style="3"/>
    <col min="7932" max="7932" width="3.7109375" style="3" bestFit="1" customWidth="1"/>
    <col min="7933" max="7933" width="18.28515625" style="3" bestFit="1" customWidth="1"/>
    <col min="7934" max="7934" width="18.140625" style="3" bestFit="1" customWidth="1"/>
    <col min="7935" max="7935" width="18.28515625" style="3" bestFit="1" customWidth="1"/>
    <col min="7936" max="7936" width="18.140625" style="3" bestFit="1" customWidth="1"/>
    <col min="7937" max="7937" width="16.28515625" style="3" bestFit="1" customWidth="1"/>
    <col min="7938" max="7938" width="17" style="3" bestFit="1" customWidth="1"/>
    <col min="7939" max="7939" width="16.85546875" style="3" bestFit="1" customWidth="1"/>
    <col min="7940" max="7940" width="17" style="3" bestFit="1" customWidth="1"/>
    <col min="7941" max="7941" width="16.85546875" style="3" bestFit="1" customWidth="1"/>
    <col min="7942" max="7942" width="15.140625" style="3" bestFit="1" customWidth="1"/>
    <col min="7943" max="8187" width="9.140625" style="3"/>
    <col min="8188" max="8188" width="3.7109375" style="3" bestFit="1" customWidth="1"/>
    <col min="8189" max="8189" width="18.28515625" style="3" bestFit="1" customWidth="1"/>
    <col min="8190" max="8190" width="18.140625" style="3" bestFit="1" customWidth="1"/>
    <col min="8191" max="8191" width="18.28515625" style="3" bestFit="1" customWidth="1"/>
    <col min="8192" max="8192" width="18.140625" style="3" bestFit="1" customWidth="1"/>
    <col min="8193" max="8193" width="16.28515625" style="3" bestFit="1" customWidth="1"/>
    <col min="8194" max="8194" width="17" style="3" bestFit="1" customWidth="1"/>
    <col min="8195" max="8195" width="16.85546875" style="3" bestFit="1" customWidth="1"/>
    <col min="8196" max="8196" width="17" style="3" bestFit="1" customWidth="1"/>
    <col min="8197" max="8197" width="16.85546875" style="3" bestFit="1" customWidth="1"/>
    <col min="8198" max="8198" width="15.140625" style="3" bestFit="1" customWidth="1"/>
    <col min="8199" max="8443" width="9.140625" style="3"/>
    <col min="8444" max="8444" width="3.7109375" style="3" bestFit="1" customWidth="1"/>
    <col min="8445" max="8445" width="18.28515625" style="3" bestFit="1" customWidth="1"/>
    <col min="8446" max="8446" width="18.140625" style="3" bestFit="1" customWidth="1"/>
    <col min="8447" max="8447" width="18.28515625" style="3" bestFit="1" customWidth="1"/>
    <col min="8448" max="8448" width="18.140625" style="3" bestFit="1" customWidth="1"/>
    <col min="8449" max="8449" width="16.28515625" style="3" bestFit="1" customWidth="1"/>
    <col min="8450" max="8450" width="17" style="3" bestFit="1" customWidth="1"/>
    <col min="8451" max="8451" width="16.85546875" style="3" bestFit="1" customWidth="1"/>
    <col min="8452" max="8452" width="17" style="3" bestFit="1" customWidth="1"/>
    <col min="8453" max="8453" width="16.85546875" style="3" bestFit="1" customWidth="1"/>
    <col min="8454" max="8454" width="15.140625" style="3" bestFit="1" customWidth="1"/>
    <col min="8455" max="8699" width="9.140625" style="3"/>
    <col min="8700" max="8700" width="3.7109375" style="3" bestFit="1" customWidth="1"/>
    <col min="8701" max="8701" width="18.28515625" style="3" bestFit="1" customWidth="1"/>
    <col min="8702" max="8702" width="18.140625" style="3" bestFit="1" customWidth="1"/>
    <col min="8703" max="8703" width="18.28515625" style="3" bestFit="1" customWidth="1"/>
    <col min="8704" max="8704" width="18.140625" style="3" bestFit="1" customWidth="1"/>
    <col min="8705" max="8705" width="16.28515625" style="3" bestFit="1" customWidth="1"/>
    <col min="8706" max="8706" width="17" style="3" bestFit="1" customWidth="1"/>
    <col min="8707" max="8707" width="16.85546875" style="3" bestFit="1" customWidth="1"/>
    <col min="8708" max="8708" width="17" style="3" bestFit="1" customWidth="1"/>
    <col min="8709" max="8709" width="16.85546875" style="3" bestFit="1" customWidth="1"/>
    <col min="8710" max="8710" width="15.140625" style="3" bestFit="1" customWidth="1"/>
    <col min="8711" max="8955" width="9.140625" style="3"/>
    <col min="8956" max="8956" width="3.7109375" style="3" bestFit="1" customWidth="1"/>
    <col min="8957" max="8957" width="18.28515625" style="3" bestFit="1" customWidth="1"/>
    <col min="8958" max="8958" width="18.140625" style="3" bestFit="1" customWidth="1"/>
    <col min="8959" max="8959" width="18.28515625" style="3" bestFit="1" customWidth="1"/>
    <col min="8960" max="8960" width="18.140625" style="3" bestFit="1" customWidth="1"/>
    <col min="8961" max="8961" width="16.28515625" style="3" bestFit="1" customWidth="1"/>
    <col min="8962" max="8962" width="17" style="3" bestFit="1" customWidth="1"/>
    <col min="8963" max="8963" width="16.85546875" style="3" bestFit="1" customWidth="1"/>
    <col min="8964" max="8964" width="17" style="3" bestFit="1" customWidth="1"/>
    <col min="8965" max="8965" width="16.85546875" style="3" bestFit="1" customWidth="1"/>
    <col min="8966" max="8966" width="15.140625" style="3" bestFit="1" customWidth="1"/>
    <col min="8967" max="9211" width="9.140625" style="3"/>
    <col min="9212" max="9212" width="3.7109375" style="3" bestFit="1" customWidth="1"/>
    <col min="9213" max="9213" width="18.28515625" style="3" bestFit="1" customWidth="1"/>
    <col min="9214" max="9214" width="18.140625" style="3" bestFit="1" customWidth="1"/>
    <col min="9215" max="9215" width="18.28515625" style="3" bestFit="1" customWidth="1"/>
    <col min="9216" max="9216" width="18.140625" style="3" bestFit="1" customWidth="1"/>
    <col min="9217" max="9217" width="16.28515625" style="3" bestFit="1" customWidth="1"/>
    <col min="9218" max="9218" width="17" style="3" bestFit="1" customWidth="1"/>
    <col min="9219" max="9219" width="16.85546875" style="3" bestFit="1" customWidth="1"/>
    <col min="9220" max="9220" width="17" style="3" bestFit="1" customWidth="1"/>
    <col min="9221" max="9221" width="16.85546875" style="3" bestFit="1" customWidth="1"/>
    <col min="9222" max="9222" width="15.140625" style="3" bestFit="1" customWidth="1"/>
    <col min="9223" max="9467" width="9.140625" style="3"/>
    <col min="9468" max="9468" width="3.7109375" style="3" bestFit="1" customWidth="1"/>
    <col min="9469" max="9469" width="18.28515625" style="3" bestFit="1" customWidth="1"/>
    <col min="9470" max="9470" width="18.140625" style="3" bestFit="1" customWidth="1"/>
    <col min="9471" max="9471" width="18.28515625" style="3" bestFit="1" customWidth="1"/>
    <col min="9472" max="9472" width="18.140625" style="3" bestFit="1" customWidth="1"/>
    <col min="9473" max="9473" width="16.28515625" style="3" bestFit="1" customWidth="1"/>
    <col min="9474" max="9474" width="17" style="3" bestFit="1" customWidth="1"/>
    <col min="9475" max="9475" width="16.85546875" style="3" bestFit="1" customWidth="1"/>
    <col min="9476" max="9476" width="17" style="3" bestFit="1" customWidth="1"/>
    <col min="9477" max="9477" width="16.85546875" style="3" bestFit="1" customWidth="1"/>
    <col min="9478" max="9478" width="15.140625" style="3" bestFit="1" customWidth="1"/>
    <col min="9479" max="9723" width="9.140625" style="3"/>
    <col min="9724" max="9724" width="3.7109375" style="3" bestFit="1" customWidth="1"/>
    <col min="9725" max="9725" width="18.28515625" style="3" bestFit="1" customWidth="1"/>
    <col min="9726" max="9726" width="18.140625" style="3" bestFit="1" customWidth="1"/>
    <col min="9727" max="9727" width="18.28515625" style="3" bestFit="1" customWidth="1"/>
    <col min="9728" max="9728" width="18.140625" style="3" bestFit="1" customWidth="1"/>
    <col min="9729" max="9729" width="16.28515625" style="3" bestFit="1" customWidth="1"/>
    <col min="9730" max="9730" width="17" style="3" bestFit="1" customWidth="1"/>
    <col min="9731" max="9731" width="16.85546875" style="3" bestFit="1" customWidth="1"/>
    <col min="9732" max="9732" width="17" style="3" bestFit="1" customWidth="1"/>
    <col min="9733" max="9733" width="16.85546875" style="3" bestFit="1" customWidth="1"/>
    <col min="9734" max="9734" width="15.140625" style="3" bestFit="1" customWidth="1"/>
    <col min="9735" max="9979" width="9.140625" style="3"/>
    <col min="9980" max="9980" width="3.7109375" style="3" bestFit="1" customWidth="1"/>
    <col min="9981" max="9981" width="18.28515625" style="3" bestFit="1" customWidth="1"/>
    <col min="9982" max="9982" width="18.140625" style="3" bestFit="1" customWidth="1"/>
    <col min="9983" max="9983" width="18.28515625" style="3" bestFit="1" customWidth="1"/>
    <col min="9984" max="9984" width="18.140625" style="3" bestFit="1" customWidth="1"/>
    <col min="9985" max="9985" width="16.28515625" style="3" bestFit="1" customWidth="1"/>
    <col min="9986" max="9986" width="17" style="3" bestFit="1" customWidth="1"/>
    <col min="9987" max="9987" width="16.85546875" style="3" bestFit="1" customWidth="1"/>
    <col min="9988" max="9988" width="17" style="3" bestFit="1" customWidth="1"/>
    <col min="9989" max="9989" width="16.85546875" style="3" bestFit="1" customWidth="1"/>
    <col min="9990" max="9990" width="15.140625" style="3" bestFit="1" customWidth="1"/>
    <col min="9991" max="10235" width="9.140625" style="3"/>
    <col min="10236" max="10236" width="3.7109375" style="3" bestFit="1" customWidth="1"/>
    <col min="10237" max="10237" width="18.28515625" style="3" bestFit="1" customWidth="1"/>
    <col min="10238" max="10238" width="18.140625" style="3" bestFit="1" customWidth="1"/>
    <col min="10239" max="10239" width="18.28515625" style="3" bestFit="1" customWidth="1"/>
    <col min="10240" max="10240" width="18.140625" style="3" bestFit="1" customWidth="1"/>
    <col min="10241" max="10241" width="16.28515625" style="3" bestFit="1" customWidth="1"/>
    <col min="10242" max="10242" width="17" style="3" bestFit="1" customWidth="1"/>
    <col min="10243" max="10243" width="16.85546875" style="3" bestFit="1" customWidth="1"/>
    <col min="10244" max="10244" width="17" style="3" bestFit="1" customWidth="1"/>
    <col min="10245" max="10245" width="16.85546875" style="3" bestFit="1" customWidth="1"/>
    <col min="10246" max="10246" width="15.140625" style="3" bestFit="1" customWidth="1"/>
    <col min="10247" max="10491" width="9.140625" style="3"/>
    <col min="10492" max="10492" width="3.7109375" style="3" bestFit="1" customWidth="1"/>
    <col min="10493" max="10493" width="18.28515625" style="3" bestFit="1" customWidth="1"/>
    <col min="10494" max="10494" width="18.140625" style="3" bestFit="1" customWidth="1"/>
    <col min="10495" max="10495" width="18.28515625" style="3" bestFit="1" customWidth="1"/>
    <col min="10496" max="10496" width="18.140625" style="3" bestFit="1" customWidth="1"/>
    <col min="10497" max="10497" width="16.28515625" style="3" bestFit="1" customWidth="1"/>
    <col min="10498" max="10498" width="17" style="3" bestFit="1" customWidth="1"/>
    <col min="10499" max="10499" width="16.85546875" style="3" bestFit="1" customWidth="1"/>
    <col min="10500" max="10500" width="17" style="3" bestFit="1" customWidth="1"/>
    <col min="10501" max="10501" width="16.85546875" style="3" bestFit="1" customWidth="1"/>
    <col min="10502" max="10502" width="15.140625" style="3" bestFit="1" customWidth="1"/>
    <col min="10503" max="10747" width="9.140625" style="3"/>
    <col min="10748" max="10748" width="3.7109375" style="3" bestFit="1" customWidth="1"/>
    <col min="10749" max="10749" width="18.28515625" style="3" bestFit="1" customWidth="1"/>
    <col min="10750" max="10750" width="18.140625" style="3" bestFit="1" customWidth="1"/>
    <col min="10751" max="10751" width="18.28515625" style="3" bestFit="1" customWidth="1"/>
    <col min="10752" max="10752" width="18.140625" style="3" bestFit="1" customWidth="1"/>
    <col min="10753" max="10753" width="16.28515625" style="3" bestFit="1" customWidth="1"/>
    <col min="10754" max="10754" width="17" style="3" bestFit="1" customWidth="1"/>
    <col min="10755" max="10755" width="16.85546875" style="3" bestFit="1" customWidth="1"/>
    <col min="10756" max="10756" width="17" style="3" bestFit="1" customWidth="1"/>
    <col min="10757" max="10757" width="16.85546875" style="3" bestFit="1" customWidth="1"/>
    <col min="10758" max="10758" width="15.140625" style="3" bestFit="1" customWidth="1"/>
    <col min="10759" max="11003" width="9.140625" style="3"/>
    <col min="11004" max="11004" width="3.7109375" style="3" bestFit="1" customWidth="1"/>
    <col min="11005" max="11005" width="18.28515625" style="3" bestFit="1" customWidth="1"/>
    <col min="11006" max="11006" width="18.140625" style="3" bestFit="1" customWidth="1"/>
    <col min="11007" max="11007" width="18.28515625" style="3" bestFit="1" customWidth="1"/>
    <col min="11008" max="11008" width="18.140625" style="3" bestFit="1" customWidth="1"/>
    <col min="11009" max="11009" width="16.28515625" style="3" bestFit="1" customWidth="1"/>
    <col min="11010" max="11010" width="17" style="3" bestFit="1" customWidth="1"/>
    <col min="11011" max="11011" width="16.85546875" style="3" bestFit="1" customWidth="1"/>
    <col min="11012" max="11012" width="17" style="3" bestFit="1" customWidth="1"/>
    <col min="11013" max="11013" width="16.85546875" style="3" bestFit="1" customWidth="1"/>
    <col min="11014" max="11014" width="15.140625" style="3" bestFit="1" customWidth="1"/>
    <col min="11015" max="11259" width="9.140625" style="3"/>
    <col min="11260" max="11260" width="3.7109375" style="3" bestFit="1" customWidth="1"/>
    <col min="11261" max="11261" width="18.28515625" style="3" bestFit="1" customWidth="1"/>
    <col min="11262" max="11262" width="18.140625" style="3" bestFit="1" customWidth="1"/>
    <col min="11263" max="11263" width="18.28515625" style="3" bestFit="1" customWidth="1"/>
    <col min="11264" max="11264" width="18.140625" style="3" bestFit="1" customWidth="1"/>
    <col min="11265" max="11265" width="16.28515625" style="3" bestFit="1" customWidth="1"/>
    <col min="11266" max="11266" width="17" style="3" bestFit="1" customWidth="1"/>
    <col min="11267" max="11267" width="16.85546875" style="3" bestFit="1" customWidth="1"/>
    <col min="11268" max="11268" width="17" style="3" bestFit="1" customWidth="1"/>
    <col min="11269" max="11269" width="16.85546875" style="3" bestFit="1" customWidth="1"/>
    <col min="11270" max="11270" width="15.140625" style="3" bestFit="1" customWidth="1"/>
    <col min="11271" max="11515" width="9.140625" style="3"/>
    <col min="11516" max="11516" width="3.7109375" style="3" bestFit="1" customWidth="1"/>
    <col min="11517" max="11517" width="18.28515625" style="3" bestFit="1" customWidth="1"/>
    <col min="11518" max="11518" width="18.140625" style="3" bestFit="1" customWidth="1"/>
    <col min="11519" max="11519" width="18.28515625" style="3" bestFit="1" customWidth="1"/>
    <col min="11520" max="11520" width="18.140625" style="3" bestFit="1" customWidth="1"/>
    <col min="11521" max="11521" width="16.28515625" style="3" bestFit="1" customWidth="1"/>
    <col min="11522" max="11522" width="17" style="3" bestFit="1" customWidth="1"/>
    <col min="11523" max="11523" width="16.85546875" style="3" bestFit="1" customWidth="1"/>
    <col min="11524" max="11524" width="17" style="3" bestFit="1" customWidth="1"/>
    <col min="11525" max="11525" width="16.85546875" style="3" bestFit="1" customWidth="1"/>
    <col min="11526" max="11526" width="15.140625" style="3" bestFit="1" customWidth="1"/>
    <col min="11527" max="11771" width="9.140625" style="3"/>
    <col min="11772" max="11772" width="3.7109375" style="3" bestFit="1" customWidth="1"/>
    <col min="11773" max="11773" width="18.28515625" style="3" bestFit="1" customWidth="1"/>
    <col min="11774" max="11774" width="18.140625" style="3" bestFit="1" customWidth="1"/>
    <col min="11775" max="11775" width="18.28515625" style="3" bestFit="1" customWidth="1"/>
    <col min="11776" max="11776" width="18.140625" style="3" bestFit="1" customWidth="1"/>
    <col min="11777" max="11777" width="16.28515625" style="3" bestFit="1" customWidth="1"/>
    <col min="11778" max="11778" width="17" style="3" bestFit="1" customWidth="1"/>
    <col min="11779" max="11779" width="16.85546875" style="3" bestFit="1" customWidth="1"/>
    <col min="11780" max="11780" width="17" style="3" bestFit="1" customWidth="1"/>
    <col min="11781" max="11781" width="16.85546875" style="3" bestFit="1" customWidth="1"/>
    <col min="11782" max="11782" width="15.140625" style="3" bestFit="1" customWidth="1"/>
    <col min="11783" max="12027" width="9.140625" style="3"/>
    <col min="12028" max="12028" width="3.7109375" style="3" bestFit="1" customWidth="1"/>
    <col min="12029" max="12029" width="18.28515625" style="3" bestFit="1" customWidth="1"/>
    <col min="12030" max="12030" width="18.140625" style="3" bestFit="1" customWidth="1"/>
    <col min="12031" max="12031" width="18.28515625" style="3" bestFit="1" customWidth="1"/>
    <col min="12032" max="12032" width="18.140625" style="3" bestFit="1" customWidth="1"/>
    <col min="12033" max="12033" width="16.28515625" style="3" bestFit="1" customWidth="1"/>
    <col min="12034" max="12034" width="17" style="3" bestFit="1" customWidth="1"/>
    <col min="12035" max="12035" width="16.85546875" style="3" bestFit="1" customWidth="1"/>
    <col min="12036" max="12036" width="17" style="3" bestFit="1" customWidth="1"/>
    <col min="12037" max="12037" width="16.85546875" style="3" bestFit="1" customWidth="1"/>
    <col min="12038" max="12038" width="15.140625" style="3" bestFit="1" customWidth="1"/>
    <col min="12039" max="12283" width="9.140625" style="3"/>
    <col min="12284" max="12284" width="3.7109375" style="3" bestFit="1" customWidth="1"/>
    <col min="12285" max="12285" width="18.28515625" style="3" bestFit="1" customWidth="1"/>
    <col min="12286" max="12286" width="18.140625" style="3" bestFit="1" customWidth="1"/>
    <col min="12287" max="12287" width="18.28515625" style="3" bestFit="1" customWidth="1"/>
    <col min="12288" max="12288" width="18.140625" style="3" bestFit="1" customWidth="1"/>
    <col min="12289" max="12289" width="16.28515625" style="3" bestFit="1" customWidth="1"/>
    <col min="12290" max="12290" width="17" style="3" bestFit="1" customWidth="1"/>
    <col min="12291" max="12291" width="16.85546875" style="3" bestFit="1" customWidth="1"/>
    <col min="12292" max="12292" width="17" style="3" bestFit="1" customWidth="1"/>
    <col min="12293" max="12293" width="16.85546875" style="3" bestFit="1" customWidth="1"/>
    <col min="12294" max="12294" width="15.140625" style="3" bestFit="1" customWidth="1"/>
    <col min="12295" max="12539" width="9.140625" style="3"/>
    <col min="12540" max="12540" width="3.7109375" style="3" bestFit="1" customWidth="1"/>
    <col min="12541" max="12541" width="18.28515625" style="3" bestFit="1" customWidth="1"/>
    <col min="12542" max="12542" width="18.140625" style="3" bestFit="1" customWidth="1"/>
    <col min="12543" max="12543" width="18.28515625" style="3" bestFit="1" customWidth="1"/>
    <col min="12544" max="12544" width="18.140625" style="3" bestFit="1" customWidth="1"/>
    <col min="12545" max="12545" width="16.28515625" style="3" bestFit="1" customWidth="1"/>
    <col min="12546" max="12546" width="17" style="3" bestFit="1" customWidth="1"/>
    <col min="12547" max="12547" width="16.85546875" style="3" bestFit="1" customWidth="1"/>
    <col min="12548" max="12548" width="17" style="3" bestFit="1" customWidth="1"/>
    <col min="12549" max="12549" width="16.85546875" style="3" bestFit="1" customWidth="1"/>
    <col min="12550" max="12550" width="15.140625" style="3" bestFit="1" customWidth="1"/>
    <col min="12551" max="12795" width="9.140625" style="3"/>
    <col min="12796" max="12796" width="3.7109375" style="3" bestFit="1" customWidth="1"/>
    <col min="12797" max="12797" width="18.28515625" style="3" bestFit="1" customWidth="1"/>
    <col min="12798" max="12798" width="18.140625" style="3" bestFit="1" customWidth="1"/>
    <col min="12799" max="12799" width="18.28515625" style="3" bestFit="1" customWidth="1"/>
    <col min="12800" max="12800" width="18.140625" style="3" bestFit="1" customWidth="1"/>
    <col min="12801" max="12801" width="16.28515625" style="3" bestFit="1" customWidth="1"/>
    <col min="12802" max="12802" width="17" style="3" bestFit="1" customWidth="1"/>
    <col min="12803" max="12803" width="16.85546875" style="3" bestFit="1" customWidth="1"/>
    <col min="12804" max="12804" width="17" style="3" bestFit="1" customWidth="1"/>
    <col min="12805" max="12805" width="16.85546875" style="3" bestFit="1" customWidth="1"/>
    <col min="12806" max="12806" width="15.140625" style="3" bestFit="1" customWidth="1"/>
    <col min="12807" max="13051" width="9.140625" style="3"/>
    <col min="13052" max="13052" width="3.7109375" style="3" bestFit="1" customWidth="1"/>
    <col min="13053" max="13053" width="18.28515625" style="3" bestFit="1" customWidth="1"/>
    <col min="13054" max="13054" width="18.140625" style="3" bestFit="1" customWidth="1"/>
    <col min="13055" max="13055" width="18.28515625" style="3" bestFit="1" customWidth="1"/>
    <col min="13056" max="13056" width="18.140625" style="3" bestFit="1" customWidth="1"/>
    <col min="13057" max="13057" width="16.28515625" style="3" bestFit="1" customWidth="1"/>
    <col min="13058" max="13058" width="17" style="3" bestFit="1" customWidth="1"/>
    <col min="13059" max="13059" width="16.85546875" style="3" bestFit="1" customWidth="1"/>
    <col min="13060" max="13060" width="17" style="3" bestFit="1" customWidth="1"/>
    <col min="13061" max="13061" width="16.85546875" style="3" bestFit="1" customWidth="1"/>
    <col min="13062" max="13062" width="15.140625" style="3" bestFit="1" customWidth="1"/>
    <col min="13063" max="13307" width="9.140625" style="3"/>
    <col min="13308" max="13308" width="3.7109375" style="3" bestFit="1" customWidth="1"/>
    <col min="13309" max="13309" width="18.28515625" style="3" bestFit="1" customWidth="1"/>
    <col min="13310" max="13310" width="18.140625" style="3" bestFit="1" customWidth="1"/>
    <col min="13311" max="13311" width="18.28515625" style="3" bestFit="1" customWidth="1"/>
    <col min="13312" max="13312" width="18.140625" style="3" bestFit="1" customWidth="1"/>
    <col min="13313" max="13313" width="16.28515625" style="3" bestFit="1" customWidth="1"/>
    <col min="13314" max="13314" width="17" style="3" bestFit="1" customWidth="1"/>
    <col min="13315" max="13315" width="16.85546875" style="3" bestFit="1" customWidth="1"/>
    <col min="13316" max="13316" width="17" style="3" bestFit="1" customWidth="1"/>
    <col min="13317" max="13317" width="16.85546875" style="3" bestFit="1" customWidth="1"/>
    <col min="13318" max="13318" width="15.140625" style="3" bestFit="1" customWidth="1"/>
    <col min="13319" max="13563" width="9.140625" style="3"/>
    <col min="13564" max="13564" width="3.7109375" style="3" bestFit="1" customWidth="1"/>
    <col min="13565" max="13565" width="18.28515625" style="3" bestFit="1" customWidth="1"/>
    <col min="13566" max="13566" width="18.140625" style="3" bestFit="1" customWidth="1"/>
    <col min="13567" max="13567" width="18.28515625" style="3" bestFit="1" customWidth="1"/>
    <col min="13568" max="13568" width="18.140625" style="3" bestFit="1" customWidth="1"/>
    <col min="13569" max="13569" width="16.28515625" style="3" bestFit="1" customWidth="1"/>
    <col min="13570" max="13570" width="17" style="3" bestFit="1" customWidth="1"/>
    <col min="13571" max="13571" width="16.85546875" style="3" bestFit="1" customWidth="1"/>
    <col min="13572" max="13572" width="17" style="3" bestFit="1" customWidth="1"/>
    <col min="13573" max="13573" width="16.85546875" style="3" bestFit="1" customWidth="1"/>
    <col min="13574" max="13574" width="15.140625" style="3" bestFit="1" customWidth="1"/>
    <col min="13575" max="13819" width="9.140625" style="3"/>
    <col min="13820" max="13820" width="3.7109375" style="3" bestFit="1" customWidth="1"/>
    <col min="13821" max="13821" width="18.28515625" style="3" bestFit="1" customWidth="1"/>
    <col min="13822" max="13822" width="18.140625" style="3" bestFit="1" customWidth="1"/>
    <col min="13823" max="13823" width="18.28515625" style="3" bestFit="1" customWidth="1"/>
    <col min="13824" max="13824" width="18.140625" style="3" bestFit="1" customWidth="1"/>
    <col min="13825" max="13825" width="16.28515625" style="3" bestFit="1" customWidth="1"/>
    <col min="13826" max="13826" width="17" style="3" bestFit="1" customWidth="1"/>
    <col min="13827" max="13827" width="16.85546875" style="3" bestFit="1" customWidth="1"/>
    <col min="13828" max="13828" width="17" style="3" bestFit="1" customWidth="1"/>
    <col min="13829" max="13829" width="16.85546875" style="3" bestFit="1" customWidth="1"/>
    <col min="13830" max="13830" width="15.140625" style="3" bestFit="1" customWidth="1"/>
    <col min="13831" max="14075" width="9.140625" style="3"/>
    <col min="14076" max="14076" width="3.7109375" style="3" bestFit="1" customWidth="1"/>
    <col min="14077" max="14077" width="18.28515625" style="3" bestFit="1" customWidth="1"/>
    <col min="14078" max="14078" width="18.140625" style="3" bestFit="1" customWidth="1"/>
    <col min="14079" max="14079" width="18.28515625" style="3" bestFit="1" customWidth="1"/>
    <col min="14080" max="14080" width="18.140625" style="3" bestFit="1" customWidth="1"/>
    <col min="14081" max="14081" width="16.28515625" style="3" bestFit="1" customWidth="1"/>
    <col min="14082" max="14082" width="17" style="3" bestFit="1" customWidth="1"/>
    <col min="14083" max="14083" width="16.85546875" style="3" bestFit="1" customWidth="1"/>
    <col min="14084" max="14084" width="17" style="3" bestFit="1" customWidth="1"/>
    <col min="14085" max="14085" width="16.85546875" style="3" bestFit="1" customWidth="1"/>
    <col min="14086" max="14086" width="15.140625" style="3" bestFit="1" customWidth="1"/>
    <col min="14087" max="14331" width="9.140625" style="3"/>
    <col min="14332" max="14332" width="3.7109375" style="3" bestFit="1" customWidth="1"/>
    <col min="14333" max="14333" width="18.28515625" style="3" bestFit="1" customWidth="1"/>
    <col min="14334" max="14334" width="18.140625" style="3" bestFit="1" customWidth="1"/>
    <col min="14335" max="14335" width="18.28515625" style="3" bestFit="1" customWidth="1"/>
    <col min="14336" max="14336" width="18.140625" style="3" bestFit="1" customWidth="1"/>
    <col min="14337" max="14337" width="16.28515625" style="3" bestFit="1" customWidth="1"/>
    <col min="14338" max="14338" width="17" style="3" bestFit="1" customWidth="1"/>
    <col min="14339" max="14339" width="16.85546875" style="3" bestFit="1" customWidth="1"/>
    <col min="14340" max="14340" width="17" style="3" bestFit="1" customWidth="1"/>
    <col min="14341" max="14341" width="16.85546875" style="3" bestFit="1" customWidth="1"/>
    <col min="14342" max="14342" width="15.140625" style="3" bestFit="1" customWidth="1"/>
    <col min="14343" max="14587" width="9.140625" style="3"/>
    <col min="14588" max="14588" width="3.7109375" style="3" bestFit="1" customWidth="1"/>
    <col min="14589" max="14589" width="18.28515625" style="3" bestFit="1" customWidth="1"/>
    <col min="14590" max="14590" width="18.140625" style="3" bestFit="1" customWidth="1"/>
    <col min="14591" max="14591" width="18.28515625" style="3" bestFit="1" customWidth="1"/>
    <col min="14592" max="14592" width="18.140625" style="3" bestFit="1" customWidth="1"/>
    <col min="14593" max="14593" width="16.28515625" style="3" bestFit="1" customWidth="1"/>
    <col min="14594" max="14594" width="17" style="3" bestFit="1" customWidth="1"/>
    <col min="14595" max="14595" width="16.85546875" style="3" bestFit="1" customWidth="1"/>
    <col min="14596" max="14596" width="17" style="3" bestFit="1" customWidth="1"/>
    <col min="14597" max="14597" width="16.85546875" style="3" bestFit="1" customWidth="1"/>
    <col min="14598" max="14598" width="15.140625" style="3" bestFit="1" customWidth="1"/>
    <col min="14599" max="14843" width="9.140625" style="3"/>
    <col min="14844" max="14844" width="3.7109375" style="3" bestFit="1" customWidth="1"/>
    <col min="14845" max="14845" width="18.28515625" style="3" bestFit="1" customWidth="1"/>
    <col min="14846" max="14846" width="18.140625" style="3" bestFit="1" customWidth="1"/>
    <col min="14847" max="14847" width="18.28515625" style="3" bestFit="1" customWidth="1"/>
    <col min="14848" max="14848" width="18.140625" style="3" bestFit="1" customWidth="1"/>
    <col min="14849" max="14849" width="16.28515625" style="3" bestFit="1" customWidth="1"/>
    <col min="14850" max="14850" width="17" style="3" bestFit="1" customWidth="1"/>
    <col min="14851" max="14851" width="16.85546875" style="3" bestFit="1" customWidth="1"/>
    <col min="14852" max="14852" width="17" style="3" bestFit="1" customWidth="1"/>
    <col min="14853" max="14853" width="16.85546875" style="3" bestFit="1" customWidth="1"/>
    <col min="14854" max="14854" width="15.140625" style="3" bestFit="1" customWidth="1"/>
    <col min="14855" max="15099" width="9.140625" style="3"/>
    <col min="15100" max="15100" width="3.7109375" style="3" bestFit="1" customWidth="1"/>
    <col min="15101" max="15101" width="18.28515625" style="3" bestFit="1" customWidth="1"/>
    <col min="15102" max="15102" width="18.140625" style="3" bestFit="1" customWidth="1"/>
    <col min="15103" max="15103" width="18.28515625" style="3" bestFit="1" customWidth="1"/>
    <col min="15104" max="15104" width="18.140625" style="3" bestFit="1" customWidth="1"/>
    <col min="15105" max="15105" width="16.28515625" style="3" bestFit="1" customWidth="1"/>
    <col min="15106" max="15106" width="17" style="3" bestFit="1" customWidth="1"/>
    <col min="15107" max="15107" width="16.85546875" style="3" bestFit="1" customWidth="1"/>
    <col min="15108" max="15108" width="17" style="3" bestFit="1" customWidth="1"/>
    <col min="15109" max="15109" width="16.85546875" style="3" bestFit="1" customWidth="1"/>
    <col min="15110" max="15110" width="15.140625" style="3" bestFit="1" customWidth="1"/>
    <col min="15111" max="15355" width="9.140625" style="3"/>
    <col min="15356" max="15356" width="3.7109375" style="3" bestFit="1" customWidth="1"/>
    <col min="15357" max="15357" width="18.28515625" style="3" bestFit="1" customWidth="1"/>
    <col min="15358" max="15358" width="18.140625" style="3" bestFit="1" customWidth="1"/>
    <col min="15359" max="15359" width="18.28515625" style="3" bestFit="1" customWidth="1"/>
    <col min="15360" max="15360" width="18.140625" style="3" bestFit="1" customWidth="1"/>
    <col min="15361" max="15361" width="16.28515625" style="3" bestFit="1" customWidth="1"/>
    <col min="15362" max="15362" width="17" style="3" bestFit="1" customWidth="1"/>
    <col min="15363" max="15363" width="16.85546875" style="3" bestFit="1" customWidth="1"/>
    <col min="15364" max="15364" width="17" style="3" bestFit="1" customWidth="1"/>
    <col min="15365" max="15365" width="16.85546875" style="3" bestFit="1" customWidth="1"/>
    <col min="15366" max="15366" width="15.140625" style="3" bestFit="1" customWidth="1"/>
    <col min="15367" max="15611" width="9.140625" style="3"/>
    <col min="15612" max="15612" width="3.7109375" style="3" bestFit="1" customWidth="1"/>
    <col min="15613" max="15613" width="18.28515625" style="3" bestFit="1" customWidth="1"/>
    <col min="15614" max="15614" width="18.140625" style="3" bestFit="1" customWidth="1"/>
    <col min="15615" max="15615" width="18.28515625" style="3" bestFit="1" customWidth="1"/>
    <col min="15616" max="15616" width="18.140625" style="3" bestFit="1" customWidth="1"/>
    <col min="15617" max="15617" width="16.28515625" style="3" bestFit="1" customWidth="1"/>
    <col min="15618" max="15618" width="17" style="3" bestFit="1" customWidth="1"/>
    <col min="15619" max="15619" width="16.85546875" style="3" bestFit="1" customWidth="1"/>
    <col min="15620" max="15620" width="17" style="3" bestFit="1" customWidth="1"/>
    <col min="15621" max="15621" width="16.85546875" style="3" bestFit="1" customWidth="1"/>
    <col min="15622" max="15622" width="15.140625" style="3" bestFit="1" customWidth="1"/>
    <col min="15623" max="15867" width="9.140625" style="3"/>
    <col min="15868" max="15868" width="3.7109375" style="3" bestFit="1" customWidth="1"/>
    <col min="15869" max="15869" width="18.28515625" style="3" bestFit="1" customWidth="1"/>
    <col min="15870" max="15870" width="18.140625" style="3" bestFit="1" customWidth="1"/>
    <col min="15871" max="15871" width="18.28515625" style="3" bestFit="1" customWidth="1"/>
    <col min="15872" max="15872" width="18.140625" style="3" bestFit="1" customWidth="1"/>
    <col min="15873" max="15873" width="16.28515625" style="3" bestFit="1" customWidth="1"/>
    <col min="15874" max="15874" width="17" style="3" bestFit="1" customWidth="1"/>
    <col min="15875" max="15875" width="16.85546875" style="3" bestFit="1" customWidth="1"/>
    <col min="15876" max="15876" width="17" style="3" bestFit="1" customWidth="1"/>
    <col min="15877" max="15877" width="16.85546875" style="3" bestFit="1" customWidth="1"/>
    <col min="15878" max="15878" width="15.140625" style="3" bestFit="1" customWidth="1"/>
    <col min="15879" max="16123" width="9.140625" style="3"/>
    <col min="16124" max="16124" width="3.7109375" style="3" bestFit="1" customWidth="1"/>
    <col min="16125" max="16125" width="18.28515625" style="3" bestFit="1" customWidth="1"/>
    <col min="16126" max="16126" width="18.140625" style="3" bestFit="1" customWidth="1"/>
    <col min="16127" max="16127" width="18.28515625" style="3" bestFit="1" customWidth="1"/>
    <col min="16128" max="16128" width="18.140625" style="3" bestFit="1" customWidth="1"/>
    <col min="16129" max="16129" width="16.28515625" style="3" bestFit="1" customWidth="1"/>
    <col min="16130" max="16130" width="17" style="3" bestFit="1" customWidth="1"/>
    <col min="16131" max="16131" width="16.85546875" style="3" bestFit="1" customWidth="1"/>
    <col min="16132" max="16132" width="17" style="3" bestFit="1" customWidth="1"/>
    <col min="16133" max="16133" width="16.85546875" style="3" bestFit="1" customWidth="1"/>
    <col min="16134" max="16134" width="15.140625" style="3" bestFit="1" customWidth="1"/>
    <col min="16135" max="16384" width="9.140625" style="3"/>
  </cols>
  <sheetData>
    <row r="1" spans="1:7">
      <c r="A1" s="64" t="s">
        <v>545</v>
      </c>
    </row>
    <row r="2" spans="1:7" ht="28.5" customHeight="1">
      <c r="A2" s="175" t="s">
        <v>208</v>
      </c>
      <c r="B2" s="176" t="s">
        <v>215</v>
      </c>
      <c r="C2" s="176" t="s">
        <v>216</v>
      </c>
      <c r="D2" s="176" t="s">
        <v>217</v>
      </c>
      <c r="E2" s="176" t="s">
        <v>218</v>
      </c>
      <c r="F2" s="176" t="s">
        <v>219</v>
      </c>
      <c r="G2" s="176" t="s">
        <v>220</v>
      </c>
    </row>
    <row r="3" spans="1:7" ht="12.75">
      <c r="A3" s="163">
        <v>100</v>
      </c>
      <c r="B3" s="174">
        <f>SUMIF('Mapping HRGs to TFCs'!B:B,A3,'Mapping HRGs to TFCs'!C:C)</f>
        <v>56506</v>
      </c>
      <c r="C3" s="174">
        <f>SUMIF('Mapping HRGs to TFCs'!B:B,A3,'Mapping HRGs to TFCs'!D:D)</f>
        <v>76494</v>
      </c>
      <c r="D3" s="174">
        <f>SUMIF('Mapping HRGs to TFCs'!B:B,A3,'Mapping HRGs to TFCs'!E:E)</f>
        <v>1848</v>
      </c>
      <c r="E3" s="174">
        <f>SUMIF('Mapping HRGs to TFCs'!B:B,A3,'Mapping HRGs to TFCs'!F:F)</f>
        <v>2384</v>
      </c>
      <c r="F3" s="174">
        <f>SUMIF('Mapping HRGs to TFCs'!B:B,A3,'Mapping HRGs to TFCs'!G:G)</f>
        <v>137232</v>
      </c>
      <c r="G3" s="177" t="str">
        <f>IF(ISERROR(VLOOKUP($A3,Mandatory!A:A,1,0)),"No","Yes")</f>
        <v>Yes</v>
      </c>
    </row>
    <row r="4" spans="1:7" ht="12.75">
      <c r="A4" s="163">
        <v>101</v>
      </c>
      <c r="B4" s="174">
        <f>SUMIF('Mapping HRGs to TFCs'!B:B,A4,'Mapping HRGs to TFCs'!C:C)</f>
        <v>277906</v>
      </c>
      <c r="C4" s="174">
        <f>SUMIF('Mapping HRGs to TFCs'!B:B,A4,'Mapping HRGs to TFCs'!D:D)</f>
        <v>127030</v>
      </c>
      <c r="D4" s="174">
        <f>SUMIF('Mapping HRGs to TFCs'!B:B,A4,'Mapping HRGs to TFCs'!E:E)</f>
        <v>4111</v>
      </c>
      <c r="E4" s="174">
        <f>SUMIF('Mapping HRGs to TFCs'!B:B,A4,'Mapping HRGs to TFCs'!F:F)</f>
        <v>4455</v>
      </c>
      <c r="F4" s="174">
        <f>SUMIF('Mapping HRGs to TFCs'!B:B,A4,'Mapping HRGs to TFCs'!G:G)</f>
        <v>413502</v>
      </c>
      <c r="G4" s="177" t="str">
        <f>IF(ISERROR(VLOOKUP($A4,Mandatory!A:A,1,0)),"No","Yes")</f>
        <v>Yes</v>
      </c>
    </row>
    <row r="5" spans="1:7" ht="12.75">
      <c r="A5" s="163">
        <v>102</v>
      </c>
      <c r="B5" s="174">
        <f>SUMIF('Mapping HRGs to TFCs'!B:B,A5,'Mapping HRGs to TFCs'!C:C)</f>
        <v>7899</v>
      </c>
      <c r="C5" s="174">
        <f>SUMIF('Mapping HRGs to TFCs'!B:B,A5,'Mapping HRGs to TFCs'!D:D)</f>
        <v>729</v>
      </c>
      <c r="D5" s="174">
        <f>SUMIF('Mapping HRGs to TFCs'!B:B,A5,'Mapping HRGs to TFCs'!E:E)</f>
        <v>471</v>
      </c>
      <c r="E5" s="174">
        <f>SUMIF('Mapping HRGs to TFCs'!B:B,A5,'Mapping HRGs to TFCs'!F:F)</f>
        <v>72</v>
      </c>
      <c r="F5" s="174">
        <f>SUMIF('Mapping HRGs to TFCs'!B:B,A5,'Mapping HRGs to TFCs'!G:G)</f>
        <v>9171</v>
      </c>
      <c r="G5" s="177" t="str">
        <f>IF(ISERROR(VLOOKUP($A5,Mandatory!A:A,1,0)),"No","Yes")</f>
        <v>No</v>
      </c>
    </row>
    <row r="6" spans="1:7" ht="12.75">
      <c r="A6" s="163">
        <v>103</v>
      </c>
      <c r="B6" s="174">
        <f>SUMIF('Mapping HRGs to TFCs'!B:B,A6,'Mapping HRGs to TFCs'!C:C)</f>
        <v>42613</v>
      </c>
      <c r="C6" s="174">
        <f>SUMIF('Mapping HRGs to TFCs'!B:B,A6,'Mapping HRGs to TFCs'!D:D)</f>
        <v>44247</v>
      </c>
      <c r="D6" s="174">
        <f>SUMIF('Mapping HRGs to TFCs'!B:B,A6,'Mapping HRGs to TFCs'!E:E)</f>
        <v>4736</v>
      </c>
      <c r="E6" s="174">
        <f>SUMIF('Mapping HRGs to TFCs'!B:B,A6,'Mapping HRGs to TFCs'!F:F)</f>
        <v>11672</v>
      </c>
      <c r="F6" s="174">
        <f>SUMIF('Mapping HRGs to TFCs'!B:B,A6,'Mapping HRGs to TFCs'!G:G)</f>
        <v>103268</v>
      </c>
      <c r="G6" s="177" t="str">
        <f>IF(ISERROR(VLOOKUP($A6,Mandatory!A:A,1,0)),"No","Yes")</f>
        <v>Yes</v>
      </c>
    </row>
    <row r="7" spans="1:7" ht="12.75">
      <c r="A7" s="163">
        <v>104</v>
      </c>
      <c r="B7" s="174">
        <f>SUMIF('Mapping HRGs to TFCs'!B:B,A7,'Mapping HRGs to TFCs'!C:C)</f>
        <v>18924</v>
      </c>
      <c r="C7" s="174">
        <f>SUMIF('Mapping HRGs to TFCs'!B:B,A7,'Mapping HRGs to TFCs'!D:D)</f>
        <v>62195</v>
      </c>
      <c r="D7" s="174">
        <f>SUMIF('Mapping HRGs to TFCs'!B:B,A7,'Mapping HRGs to TFCs'!E:E)</f>
        <v>788</v>
      </c>
      <c r="E7" s="174">
        <f>SUMIF('Mapping HRGs to TFCs'!B:B,A7,'Mapping HRGs to TFCs'!F:F)</f>
        <v>607</v>
      </c>
      <c r="F7" s="174">
        <f>SUMIF('Mapping HRGs to TFCs'!B:B,A7,'Mapping HRGs to TFCs'!G:G)</f>
        <v>82514</v>
      </c>
      <c r="G7" s="177" t="str">
        <f>IF(ISERROR(VLOOKUP($A7,Mandatory!A:A,1,0)),"No","Yes")</f>
        <v>Yes</v>
      </c>
    </row>
    <row r="8" spans="1:7" ht="12.75">
      <c r="A8" s="163">
        <v>105</v>
      </c>
      <c r="B8" s="174">
        <f>SUMIF('Mapping HRGs to TFCs'!B:B,A8,'Mapping HRGs to TFCs'!C:C)</f>
        <v>442</v>
      </c>
      <c r="C8" s="174">
        <f>SUMIF('Mapping HRGs to TFCs'!B:B,A8,'Mapping HRGs to TFCs'!D:D)</f>
        <v>41</v>
      </c>
      <c r="D8" s="174">
        <f>SUMIF('Mapping HRGs to TFCs'!B:B,A8,'Mapping HRGs to TFCs'!E:E)</f>
        <v>432</v>
      </c>
      <c r="E8" s="174">
        <f>SUMIF('Mapping HRGs to TFCs'!B:B,A8,'Mapping HRGs to TFCs'!F:F)</f>
        <v>8</v>
      </c>
      <c r="F8" s="174">
        <f>SUMIF('Mapping HRGs to TFCs'!B:B,A8,'Mapping HRGs to TFCs'!G:G)</f>
        <v>923</v>
      </c>
      <c r="G8" s="177" t="str">
        <f>IF(ISERROR(VLOOKUP($A8,Mandatory!A:A,1,0)),"No","Yes")</f>
        <v>Yes</v>
      </c>
    </row>
    <row r="9" spans="1:7" ht="12.75">
      <c r="A9" s="163">
        <v>106</v>
      </c>
      <c r="B9" s="174">
        <f>SUMIF('Mapping HRGs to TFCs'!B:B,A9,'Mapping HRGs to TFCs'!C:C)</f>
        <v>2486</v>
      </c>
      <c r="C9" s="174">
        <f>SUMIF('Mapping HRGs to TFCs'!B:B,A9,'Mapping HRGs to TFCs'!D:D)</f>
        <v>2632</v>
      </c>
      <c r="D9" s="174">
        <f>SUMIF('Mapping HRGs to TFCs'!B:B,A9,'Mapping HRGs to TFCs'!E:E)</f>
        <v>51</v>
      </c>
      <c r="E9" s="174">
        <f>SUMIF('Mapping HRGs to TFCs'!B:B,A9,'Mapping HRGs to TFCs'!F:F)</f>
        <v>6</v>
      </c>
      <c r="F9" s="174">
        <f>SUMIF('Mapping HRGs to TFCs'!B:B,A9,'Mapping HRGs to TFCs'!G:G)</f>
        <v>5175</v>
      </c>
      <c r="G9" s="177" t="str">
        <f>IF(ISERROR(VLOOKUP($A9,Mandatory!A:A,1,0)),"No","Yes")</f>
        <v>Yes</v>
      </c>
    </row>
    <row r="10" spans="1:7" ht="12.75">
      <c r="A10" s="163">
        <v>107</v>
      </c>
      <c r="B10" s="174">
        <f>SUMIF('Mapping HRGs to TFCs'!B:B,A10,'Mapping HRGs to TFCs'!C:C)</f>
        <v>18491</v>
      </c>
      <c r="C10" s="174">
        <f>SUMIF('Mapping HRGs to TFCs'!B:B,A10,'Mapping HRGs to TFCs'!D:D)</f>
        <v>6952</v>
      </c>
      <c r="D10" s="174">
        <f>SUMIF('Mapping HRGs to TFCs'!B:B,A10,'Mapping HRGs to TFCs'!E:E)</f>
        <v>1082</v>
      </c>
      <c r="E10" s="174">
        <f>SUMIF('Mapping HRGs to TFCs'!B:B,A10,'Mapping HRGs to TFCs'!F:F)</f>
        <v>406</v>
      </c>
      <c r="F10" s="174">
        <f>SUMIF('Mapping HRGs to TFCs'!B:B,A10,'Mapping HRGs to TFCs'!G:G)</f>
        <v>26931</v>
      </c>
      <c r="G10" s="177" t="str">
        <f>IF(ISERROR(VLOOKUP($A10,Mandatory!A:A,1,0)),"No","Yes")</f>
        <v>Yes</v>
      </c>
    </row>
    <row r="11" spans="1:7" ht="12.75">
      <c r="A11" s="163">
        <v>108</v>
      </c>
      <c r="B11" s="174">
        <f>SUMIF('Mapping HRGs to TFCs'!B:B,A11,'Mapping HRGs to TFCs'!C:C)</f>
        <v>125</v>
      </c>
      <c r="C11" s="174">
        <f>SUMIF('Mapping HRGs to TFCs'!B:B,A11,'Mapping HRGs to TFCs'!D:D)</f>
        <v>4</v>
      </c>
      <c r="D11" s="174">
        <f>SUMIF('Mapping HRGs to TFCs'!B:B,A11,'Mapping HRGs to TFCs'!E:E)</f>
        <v>1</v>
      </c>
      <c r="E11" s="174">
        <f>SUMIF('Mapping HRGs to TFCs'!B:B,A11,'Mapping HRGs to TFCs'!F:F)</f>
        <v>0</v>
      </c>
      <c r="F11" s="174">
        <f>SUMIF('Mapping HRGs to TFCs'!B:B,A11,'Mapping HRGs to TFCs'!G:G)</f>
        <v>130</v>
      </c>
      <c r="G11" s="177" t="str">
        <f>IF(ISERROR(VLOOKUP($A11,Mandatory!A:A,1,0)),"No","Yes")</f>
        <v>Yes</v>
      </c>
    </row>
    <row r="12" spans="1:7" ht="12.75">
      <c r="A12" s="163">
        <v>110</v>
      </c>
      <c r="B12" s="174">
        <f>SUMIF('Mapping HRGs to TFCs'!B:B,A12,'Mapping HRGs to TFCs'!C:C)</f>
        <v>161796</v>
      </c>
      <c r="C12" s="174">
        <f>SUMIF('Mapping HRGs to TFCs'!B:B,A12,'Mapping HRGs to TFCs'!D:D)</f>
        <v>70128</v>
      </c>
      <c r="D12" s="174">
        <f>SUMIF('Mapping HRGs to TFCs'!B:B,A12,'Mapping HRGs to TFCs'!E:E)</f>
        <v>9714</v>
      </c>
      <c r="E12" s="174">
        <f>SUMIF('Mapping HRGs to TFCs'!B:B,A12,'Mapping HRGs to TFCs'!F:F)</f>
        <v>3276</v>
      </c>
      <c r="F12" s="174">
        <f>SUMIF('Mapping HRGs to TFCs'!B:B,A12,'Mapping HRGs to TFCs'!G:G)</f>
        <v>244914</v>
      </c>
      <c r="G12" s="177" t="str">
        <f>IF(ISERROR(VLOOKUP($A12,Mandatory!A:A,1,0)),"No","Yes")</f>
        <v>Yes</v>
      </c>
    </row>
    <row r="13" spans="1:7" ht="12.75">
      <c r="A13" s="163">
        <v>120</v>
      </c>
      <c r="B13" s="174">
        <f>SUMIF('Mapping HRGs to TFCs'!B:B,A13,'Mapping HRGs to TFCs'!C:C)</f>
        <v>536551</v>
      </c>
      <c r="C13" s="174">
        <f>SUMIF('Mapping HRGs to TFCs'!B:B,A13,'Mapping HRGs to TFCs'!D:D)</f>
        <v>464576</v>
      </c>
      <c r="D13" s="174">
        <f>SUMIF('Mapping HRGs to TFCs'!B:B,A13,'Mapping HRGs to TFCs'!E:E)</f>
        <v>13915</v>
      </c>
      <c r="E13" s="174">
        <f>SUMIF('Mapping HRGs to TFCs'!B:B,A13,'Mapping HRGs to TFCs'!F:F)</f>
        <v>12951</v>
      </c>
      <c r="F13" s="174">
        <f>SUMIF('Mapping HRGs to TFCs'!B:B,A13,'Mapping HRGs to TFCs'!G:G)</f>
        <v>1027993</v>
      </c>
      <c r="G13" s="177" t="str">
        <f>IF(ISERROR(VLOOKUP($A13,Mandatory!A:A,1,0)),"No","Yes")</f>
        <v>Yes</v>
      </c>
    </row>
    <row r="14" spans="1:7" ht="12.75">
      <c r="A14" s="163">
        <v>130</v>
      </c>
      <c r="B14" s="174">
        <f>SUMIF('Mapping HRGs to TFCs'!B:B,A14,'Mapping HRGs to TFCs'!C:C)</f>
        <v>990317</v>
      </c>
      <c r="C14" s="174">
        <f>SUMIF('Mapping HRGs to TFCs'!B:B,A14,'Mapping HRGs to TFCs'!D:D)</f>
        <v>233770</v>
      </c>
      <c r="D14" s="174">
        <f>SUMIF('Mapping HRGs to TFCs'!B:B,A14,'Mapping HRGs to TFCs'!E:E)</f>
        <v>64826</v>
      </c>
      <c r="E14" s="174">
        <f>SUMIF('Mapping HRGs to TFCs'!B:B,A14,'Mapping HRGs to TFCs'!F:F)</f>
        <v>13216</v>
      </c>
      <c r="F14" s="174">
        <f>SUMIF('Mapping HRGs to TFCs'!B:B,A14,'Mapping HRGs to TFCs'!G:G)</f>
        <v>1302129</v>
      </c>
      <c r="G14" s="177" t="str">
        <f>IF(ISERROR(VLOOKUP($A14,Mandatory!A:A,1,0)),"No","Yes")</f>
        <v>Yes</v>
      </c>
    </row>
    <row r="15" spans="1:7" ht="12.75">
      <c r="A15" s="163">
        <v>140</v>
      </c>
      <c r="B15" s="174">
        <f>SUMIF('Mapping HRGs to TFCs'!B:B,A15,'Mapping HRGs to TFCs'!C:C)</f>
        <v>122397</v>
      </c>
      <c r="C15" s="174">
        <f>SUMIF('Mapping HRGs to TFCs'!B:B,A15,'Mapping HRGs to TFCs'!D:D)</f>
        <v>52942</v>
      </c>
      <c r="D15" s="174">
        <f>SUMIF('Mapping HRGs to TFCs'!B:B,A15,'Mapping HRGs to TFCs'!E:E)</f>
        <v>1611</v>
      </c>
      <c r="E15" s="174">
        <f>SUMIF('Mapping HRGs to TFCs'!B:B,A15,'Mapping HRGs to TFCs'!F:F)</f>
        <v>546</v>
      </c>
      <c r="F15" s="174">
        <f>SUMIF('Mapping HRGs to TFCs'!B:B,A15,'Mapping HRGs to TFCs'!G:G)</f>
        <v>177496</v>
      </c>
      <c r="G15" s="177" t="str">
        <f>IF(ISERROR(VLOOKUP($A15,Mandatory!A:A,1,0)),"No","Yes")</f>
        <v>Yes</v>
      </c>
    </row>
    <row r="16" spans="1:7" ht="12.75">
      <c r="A16" s="163">
        <v>141</v>
      </c>
      <c r="B16" s="174">
        <f>SUMIF('Mapping HRGs to TFCs'!B:B,A16,'Mapping HRGs to TFCs'!C:C)</f>
        <v>90289</v>
      </c>
      <c r="C16" s="174">
        <f>SUMIF('Mapping HRGs to TFCs'!B:B,A16,'Mapping HRGs to TFCs'!D:D)</f>
        <v>10195</v>
      </c>
      <c r="D16" s="174">
        <f>SUMIF('Mapping HRGs to TFCs'!B:B,A16,'Mapping HRGs to TFCs'!E:E)</f>
        <v>100</v>
      </c>
      <c r="E16" s="174">
        <f>SUMIF('Mapping HRGs to TFCs'!B:B,A16,'Mapping HRGs to TFCs'!F:F)</f>
        <v>384</v>
      </c>
      <c r="F16" s="174">
        <f>SUMIF('Mapping HRGs to TFCs'!B:B,A16,'Mapping HRGs to TFCs'!G:G)</f>
        <v>100968</v>
      </c>
      <c r="G16" s="177" t="str">
        <f>IF(ISERROR(VLOOKUP($A16,Mandatory!A:A,1,0)),"No","Yes")</f>
        <v>No</v>
      </c>
    </row>
    <row r="17" spans="1:7" ht="12.75">
      <c r="A17" s="163">
        <v>142</v>
      </c>
      <c r="B17" s="174">
        <f>SUMIF('Mapping HRGs to TFCs'!B:B,A17,'Mapping HRGs to TFCs'!C:C)</f>
        <v>25271</v>
      </c>
      <c r="C17" s="174">
        <f>SUMIF('Mapping HRGs to TFCs'!B:B,A17,'Mapping HRGs to TFCs'!D:D)</f>
        <v>6601</v>
      </c>
      <c r="D17" s="174">
        <f>SUMIF('Mapping HRGs to TFCs'!B:B,A17,'Mapping HRGs to TFCs'!E:E)</f>
        <v>209</v>
      </c>
      <c r="E17" s="174">
        <f>SUMIF('Mapping HRGs to TFCs'!B:B,A17,'Mapping HRGs to TFCs'!F:F)</f>
        <v>99</v>
      </c>
      <c r="F17" s="174">
        <f>SUMIF('Mapping HRGs to TFCs'!B:B,A17,'Mapping HRGs to TFCs'!G:G)</f>
        <v>32180</v>
      </c>
      <c r="G17" s="177" t="str">
        <f>IF(ISERROR(VLOOKUP($A17,Mandatory!A:A,1,0)),"No","Yes")</f>
        <v>No</v>
      </c>
    </row>
    <row r="18" spans="1:7" ht="12.75">
      <c r="A18" s="163">
        <v>143</v>
      </c>
      <c r="B18" s="174">
        <f>SUMIF('Mapping HRGs to TFCs'!B:B,A18,'Mapping HRGs to TFCs'!C:C)</f>
        <v>487208</v>
      </c>
      <c r="C18" s="174">
        <f>SUMIF('Mapping HRGs to TFCs'!B:B,A18,'Mapping HRGs to TFCs'!D:D)</f>
        <v>14452</v>
      </c>
      <c r="D18" s="174">
        <f>SUMIF('Mapping HRGs to TFCs'!B:B,A18,'Mapping HRGs to TFCs'!E:E)</f>
        <v>3003</v>
      </c>
      <c r="E18" s="174">
        <f>SUMIF('Mapping HRGs to TFCs'!B:B,A18,'Mapping HRGs to TFCs'!F:F)</f>
        <v>346</v>
      </c>
      <c r="F18" s="174">
        <f>SUMIF('Mapping HRGs to TFCs'!B:B,A18,'Mapping HRGs to TFCs'!G:G)</f>
        <v>505009</v>
      </c>
      <c r="G18" s="177" t="str">
        <f>IF(ISERROR(VLOOKUP($A18,Mandatory!A:A,1,0)),"No","Yes")</f>
        <v>Yes</v>
      </c>
    </row>
    <row r="19" spans="1:7" ht="12.75">
      <c r="A19" s="163">
        <v>144</v>
      </c>
      <c r="B19" s="174">
        <f>SUMIF('Mapping HRGs to TFCs'!B:B,A19,'Mapping HRGs to TFCs'!C:C)</f>
        <v>51487</v>
      </c>
      <c r="C19" s="174">
        <f>SUMIF('Mapping HRGs to TFCs'!B:B,A19,'Mapping HRGs to TFCs'!D:D)</f>
        <v>17262</v>
      </c>
      <c r="D19" s="174">
        <f>SUMIF('Mapping HRGs to TFCs'!B:B,A19,'Mapping HRGs to TFCs'!E:E)</f>
        <v>1507</v>
      </c>
      <c r="E19" s="174">
        <f>SUMIF('Mapping HRGs to TFCs'!B:B,A19,'Mapping HRGs to TFCs'!F:F)</f>
        <v>212</v>
      </c>
      <c r="F19" s="174">
        <f>SUMIF('Mapping HRGs to TFCs'!B:B,A19,'Mapping HRGs to TFCs'!G:G)</f>
        <v>70468</v>
      </c>
      <c r="G19" s="177" t="str">
        <f>IF(ISERROR(VLOOKUP($A19,Mandatory!A:A,1,0)),"No","Yes")</f>
        <v>Yes</v>
      </c>
    </row>
    <row r="20" spans="1:7" ht="12.75">
      <c r="A20" s="163">
        <v>150</v>
      </c>
      <c r="B20" s="174">
        <f>SUMIF('Mapping HRGs to TFCs'!B:B,A20,'Mapping HRGs to TFCs'!C:C)</f>
        <v>3457</v>
      </c>
      <c r="C20" s="174">
        <f>SUMIF('Mapping HRGs to TFCs'!B:B,A20,'Mapping HRGs to TFCs'!D:D)</f>
        <v>655</v>
      </c>
      <c r="D20" s="174">
        <f>SUMIF('Mapping HRGs to TFCs'!B:B,A20,'Mapping HRGs to TFCs'!E:E)</f>
        <v>28</v>
      </c>
      <c r="E20" s="174">
        <f>SUMIF('Mapping HRGs to TFCs'!B:B,A20,'Mapping HRGs to TFCs'!F:F)</f>
        <v>24</v>
      </c>
      <c r="F20" s="174">
        <f>SUMIF('Mapping HRGs to TFCs'!B:B,A20,'Mapping HRGs to TFCs'!G:G)</f>
        <v>4164</v>
      </c>
      <c r="G20" s="177" t="str">
        <f>IF(ISERROR(VLOOKUP($A20,Mandatory!A:A,1,0)),"No","Yes")</f>
        <v>Yes</v>
      </c>
    </row>
    <row r="21" spans="1:7" ht="12.75">
      <c r="A21" s="163">
        <v>160</v>
      </c>
      <c r="B21" s="174">
        <f>SUMIF('Mapping HRGs to TFCs'!B:B,A21,'Mapping HRGs to TFCs'!C:C)</f>
        <v>135800</v>
      </c>
      <c r="C21" s="174">
        <f>SUMIF('Mapping HRGs to TFCs'!B:B,A21,'Mapping HRGs to TFCs'!D:D)</f>
        <v>29621</v>
      </c>
      <c r="D21" s="174">
        <f>SUMIF('Mapping HRGs to TFCs'!B:B,A21,'Mapping HRGs to TFCs'!E:E)</f>
        <v>15674</v>
      </c>
      <c r="E21" s="174">
        <f>SUMIF('Mapping HRGs to TFCs'!B:B,A21,'Mapping HRGs to TFCs'!F:F)</f>
        <v>4340</v>
      </c>
      <c r="F21" s="174">
        <f>SUMIF('Mapping HRGs to TFCs'!B:B,A21,'Mapping HRGs to TFCs'!G:G)</f>
        <v>185435</v>
      </c>
      <c r="G21" s="177" t="str">
        <f>IF(ISERROR(VLOOKUP($A21,Mandatory!A:A,1,0)),"No","Yes")</f>
        <v>Yes</v>
      </c>
    </row>
    <row r="22" spans="1:7" ht="12.75">
      <c r="A22" s="163">
        <v>161</v>
      </c>
      <c r="B22" s="174">
        <f>SUMIF('Mapping HRGs to TFCs'!B:B,A22,'Mapping HRGs to TFCs'!C:C)</f>
        <v>5577</v>
      </c>
      <c r="C22" s="174">
        <f>SUMIF('Mapping HRGs to TFCs'!B:B,A22,'Mapping HRGs to TFCs'!D:D)</f>
        <v>931</v>
      </c>
      <c r="D22" s="174">
        <f>SUMIF('Mapping HRGs to TFCs'!B:B,A22,'Mapping HRGs to TFCs'!E:E)</f>
        <v>2488</v>
      </c>
      <c r="E22" s="174">
        <f>SUMIF('Mapping HRGs to TFCs'!B:B,A22,'Mapping HRGs to TFCs'!F:F)</f>
        <v>586</v>
      </c>
      <c r="F22" s="174">
        <f>SUMIF('Mapping HRGs to TFCs'!B:B,A22,'Mapping HRGs to TFCs'!G:G)</f>
        <v>9582</v>
      </c>
      <c r="G22" s="177" t="str">
        <f>IF(ISERROR(VLOOKUP($A22,Mandatory!A:A,1,0)),"No","Yes")</f>
        <v>No</v>
      </c>
    </row>
    <row r="23" spans="1:7" ht="12.75">
      <c r="A23" s="163">
        <v>170</v>
      </c>
      <c r="B23" s="174">
        <f>SUMIF('Mapping HRGs to TFCs'!B:B,A23,'Mapping HRGs to TFCs'!C:C)</f>
        <v>925</v>
      </c>
      <c r="C23" s="174">
        <f>SUMIF('Mapping HRGs to TFCs'!B:B,A23,'Mapping HRGs to TFCs'!D:D)</f>
        <v>354</v>
      </c>
      <c r="D23" s="174">
        <f>SUMIF('Mapping HRGs to TFCs'!B:B,A23,'Mapping HRGs to TFCs'!E:E)</f>
        <v>5</v>
      </c>
      <c r="E23" s="174">
        <f>SUMIF('Mapping HRGs to TFCs'!B:B,A23,'Mapping HRGs to TFCs'!F:F)</f>
        <v>5</v>
      </c>
      <c r="F23" s="174">
        <f>SUMIF('Mapping HRGs to TFCs'!B:B,A23,'Mapping HRGs to TFCs'!G:G)</f>
        <v>1289</v>
      </c>
      <c r="G23" s="177" t="str">
        <f>IF(ISERROR(VLOOKUP($A23,Mandatory!A:A,1,0)),"No","Yes")</f>
        <v>Yes</v>
      </c>
    </row>
    <row r="24" spans="1:7" ht="12.75">
      <c r="A24" s="163">
        <v>171</v>
      </c>
      <c r="B24" s="174">
        <f>SUMIF('Mapping HRGs to TFCs'!B:B,A24,'Mapping HRGs to TFCs'!C:C)</f>
        <v>694</v>
      </c>
      <c r="C24" s="174">
        <f>SUMIF('Mapping HRGs to TFCs'!B:B,A24,'Mapping HRGs to TFCs'!D:D)</f>
        <v>2046</v>
      </c>
      <c r="D24" s="174">
        <f>SUMIF('Mapping HRGs to TFCs'!B:B,A24,'Mapping HRGs to TFCs'!E:E)</f>
        <v>152</v>
      </c>
      <c r="E24" s="174">
        <f>SUMIF('Mapping HRGs to TFCs'!B:B,A24,'Mapping HRGs to TFCs'!F:F)</f>
        <v>59</v>
      </c>
      <c r="F24" s="174">
        <f>SUMIF('Mapping HRGs to TFCs'!B:B,A24,'Mapping HRGs to TFCs'!G:G)</f>
        <v>2951</v>
      </c>
      <c r="G24" s="177" t="str">
        <f>IF(ISERROR(VLOOKUP($A24,Mandatory!A:A,1,0)),"No","Yes")</f>
        <v>Yes</v>
      </c>
    </row>
    <row r="25" spans="1:7" ht="12.75">
      <c r="A25" s="163">
        <v>172</v>
      </c>
      <c r="B25" s="174">
        <f>SUMIF('Mapping HRGs to TFCs'!B:B,A25,'Mapping HRGs to TFCs'!C:C)</f>
        <v>2530</v>
      </c>
      <c r="C25" s="174">
        <f>SUMIF('Mapping HRGs to TFCs'!B:B,A25,'Mapping HRGs to TFCs'!D:D)</f>
        <v>1978</v>
      </c>
      <c r="D25" s="174">
        <f>SUMIF('Mapping HRGs to TFCs'!B:B,A25,'Mapping HRGs to TFCs'!E:E)</f>
        <v>563</v>
      </c>
      <c r="E25" s="174">
        <f>SUMIF('Mapping HRGs to TFCs'!B:B,A25,'Mapping HRGs to TFCs'!F:F)</f>
        <v>6</v>
      </c>
      <c r="F25" s="174">
        <f>SUMIF('Mapping HRGs to TFCs'!B:B,A25,'Mapping HRGs to TFCs'!G:G)</f>
        <v>5077</v>
      </c>
      <c r="G25" s="177" t="str">
        <f>IF(ISERROR(VLOOKUP($A25,Mandatory!A:A,1,0)),"No","Yes")</f>
        <v>Yes</v>
      </c>
    </row>
    <row r="26" spans="1:7" ht="12.75">
      <c r="A26" s="163">
        <v>173</v>
      </c>
      <c r="B26" s="174">
        <f>SUMIF('Mapping HRGs to TFCs'!B:B,A26,'Mapping HRGs to TFCs'!C:C)</f>
        <v>1540</v>
      </c>
      <c r="C26" s="174">
        <f>SUMIF('Mapping HRGs to TFCs'!B:B,A26,'Mapping HRGs to TFCs'!D:D)</f>
        <v>1879</v>
      </c>
      <c r="D26" s="174">
        <f>SUMIF('Mapping HRGs to TFCs'!B:B,A26,'Mapping HRGs to TFCs'!E:E)</f>
        <v>111</v>
      </c>
      <c r="E26" s="174">
        <f>SUMIF('Mapping HRGs to TFCs'!B:B,A26,'Mapping HRGs to TFCs'!F:F)</f>
        <v>117</v>
      </c>
      <c r="F26" s="174">
        <f>SUMIF('Mapping HRGs to TFCs'!B:B,A26,'Mapping HRGs to TFCs'!G:G)</f>
        <v>3647</v>
      </c>
      <c r="G26" s="177" t="str">
        <f>IF(ISERROR(VLOOKUP($A26,Mandatory!A:A,1,0)),"No","Yes")</f>
        <v>Yes</v>
      </c>
    </row>
    <row r="27" spans="1:7" ht="12.75">
      <c r="A27" s="163">
        <v>174</v>
      </c>
      <c r="B27" s="174">
        <f>SUMIF('Mapping HRGs to TFCs'!B:B,A27,'Mapping HRGs to TFCs'!C:C)</f>
        <v>1437</v>
      </c>
      <c r="C27" s="174">
        <f>SUMIF('Mapping HRGs to TFCs'!B:B,A27,'Mapping HRGs to TFCs'!D:D)</f>
        <v>1</v>
      </c>
      <c r="D27" s="174">
        <f>SUMIF('Mapping HRGs to TFCs'!B:B,A27,'Mapping HRGs to TFCs'!E:E)</f>
        <v>21</v>
      </c>
      <c r="E27" s="174">
        <f>SUMIF('Mapping HRGs to TFCs'!B:B,A27,'Mapping HRGs to TFCs'!F:F)</f>
        <v>7</v>
      </c>
      <c r="F27" s="174">
        <f>SUMIF('Mapping HRGs to TFCs'!B:B,A27,'Mapping HRGs to TFCs'!G:G)</f>
        <v>1466</v>
      </c>
      <c r="G27" s="177" t="str">
        <f>IF(ISERROR(VLOOKUP($A27,Mandatory!A:A,1,0)),"No","Yes")</f>
        <v>No</v>
      </c>
    </row>
    <row r="28" spans="1:7" ht="12.75">
      <c r="A28" s="163">
        <v>180</v>
      </c>
      <c r="B28" s="174">
        <f>SUMIF('Mapping HRGs to TFCs'!B:B,A28,'Mapping HRGs to TFCs'!C:C)</f>
        <v>1361</v>
      </c>
      <c r="C28" s="174">
        <f>SUMIF('Mapping HRGs to TFCs'!B:B,A28,'Mapping HRGs to TFCs'!D:D)</f>
        <v>3111</v>
      </c>
      <c r="D28" s="174">
        <f>SUMIF('Mapping HRGs to TFCs'!B:B,A28,'Mapping HRGs to TFCs'!E:E)</f>
        <v>3</v>
      </c>
      <c r="E28" s="174">
        <f>SUMIF('Mapping HRGs to TFCs'!B:B,A28,'Mapping HRGs to TFCs'!F:F)</f>
        <v>9</v>
      </c>
      <c r="F28" s="174">
        <f>SUMIF('Mapping HRGs to TFCs'!B:B,A28,'Mapping HRGs to TFCs'!G:G)</f>
        <v>4484</v>
      </c>
      <c r="G28" s="177" t="str">
        <f>IF(ISERROR(VLOOKUP($A28,Mandatory!A:A,1,0)),"No","Yes")</f>
        <v>No</v>
      </c>
    </row>
    <row r="29" spans="1:7" ht="12.75">
      <c r="A29" s="163">
        <v>190</v>
      </c>
      <c r="B29" s="174">
        <f>SUMIF('Mapping HRGs to TFCs'!B:B,A29,'Mapping HRGs to TFCs'!C:C)</f>
        <v>10098</v>
      </c>
      <c r="C29" s="174">
        <f>SUMIF('Mapping HRGs to TFCs'!B:B,A29,'Mapping HRGs to TFCs'!D:D)</f>
        <v>3494</v>
      </c>
      <c r="D29" s="174">
        <f>SUMIF('Mapping HRGs to TFCs'!B:B,A29,'Mapping HRGs to TFCs'!E:E)</f>
        <v>3163</v>
      </c>
      <c r="E29" s="174">
        <f>SUMIF('Mapping HRGs to TFCs'!B:B,A29,'Mapping HRGs to TFCs'!F:F)</f>
        <v>170</v>
      </c>
      <c r="F29" s="174">
        <f>SUMIF('Mapping HRGs to TFCs'!B:B,A29,'Mapping HRGs to TFCs'!G:G)</f>
        <v>16925</v>
      </c>
      <c r="G29" s="177" t="str">
        <f>IF(ISERROR(VLOOKUP($A29,Mandatory!A:A,1,0)),"No","Yes")</f>
        <v>Yes</v>
      </c>
    </row>
    <row r="30" spans="1:7" ht="12.75">
      <c r="A30" s="163">
        <v>191</v>
      </c>
      <c r="B30" s="174">
        <f>SUMIF('Mapping HRGs to TFCs'!B:B,A30,'Mapping HRGs to TFCs'!C:C)</f>
        <v>87684</v>
      </c>
      <c r="C30" s="174">
        <f>SUMIF('Mapping HRGs to TFCs'!B:B,A30,'Mapping HRGs to TFCs'!D:D)</f>
        <v>7615</v>
      </c>
      <c r="D30" s="174">
        <f>SUMIF('Mapping HRGs to TFCs'!B:B,A30,'Mapping HRGs to TFCs'!E:E)</f>
        <v>958</v>
      </c>
      <c r="E30" s="174">
        <f>SUMIF('Mapping HRGs to TFCs'!B:B,A30,'Mapping HRGs to TFCs'!F:F)</f>
        <v>322</v>
      </c>
      <c r="F30" s="174">
        <f>SUMIF('Mapping HRGs to TFCs'!B:B,A30,'Mapping HRGs to TFCs'!G:G)</f>
        <v>96579</v>
      </c>
      <c r="G30" s="177" t="str">
        <f>IF(ISERROR(VLOOKUP($A30,Mandatory!A:A,1,0)),"No","Yes")</f>
        <v>Yes</v>
      </c>
    </row>
    <row r="31" spans="1:7" ht="12.75">
      <c r="A31" s="163">
        <v>192</v>
      </c>
      <c r="B31" s="174">
        <f>SUMIF('Mapping HRGs to TFCs'!B:B,A31,'Mapping HRGs to TFCs'!C:C)</f>
        <v>2</v>
      </c>
      <c r="C31" s="174">
        <f>SUMIF('Mapping HRGs to TFCs'!B:B,A31,'Mapping HRGs to TFCs'!D:D)</f>
        <v>2</v>
      </c>
      <c r="D31" s="174">
        <f>SUMIF('Mapping HRGs to TFCs'!B:B,A31,'Mapping HRGs to TFCs'!E:E)</f>
        <v>0</v>
      </c>
      <c r="E31" s="174">
        <f>SUMIF('Mapping HRGs to TFCs'!B:B,A31,'Mapping HRGs to TFCs'!F:F)</f>
        <v>0</v>
      </c>
      <c r="F31" s="174">
        <f>SUMIF('Mapping HRGs to TFCs'!B:B,A31,'Mapping HRGs to TFCs'!G:G)</f>
        <v>4</v>
      </c>
      <c r="G31" s="177" t="str">
        <f>IF(ISERROR(VLOOKUP($A31,Mandatory!A:A,1,0)),"No","Yes")</f>
        <v>No</v>
      </c>
    </row>
    <row r="32" spans="1:7" ht="12.75">
      <c r="A32" s="163">
        <v>211</v>
      </c>
      <c r="B32" s="174">
        <f>SUMIF('Mapping HRGs to TFCs'!B:B,A32,'Mapping HRGs to TFCs'!C:C)</f>
        <v>1522</v>
      </c>
      <c r="C32" s="174">
        <f>SUMIF('Mapping HRGs to TFCs'!B:B,A32,'Mapping HRGs to TFCs'!D:D)</f>
        <v>552</v>
      </c>
      <c r="D32" s="174">
        <f>SUMIF('Mapping HRGs to TFCs'!B:B,A32,'Mapping HRGs to TFCs'!E:E)</f>
        <v>11</v>
      </c>
      <c r="E32" s="174">
        <f>SUMIF('Mapping HRGs to TFCs'!B:B,A32,'Mapping HRGs to TFCs'!F:F)</f>
        <v>9</v>
      </c>
      <c r="F32" s="174">
        <f>SUMIF('Mapping HRGs to TFCs'!B:B,A32,'Mapping HRGs to TFCs'!G:G)</f>
        <v>2094</v>
      </c>
      <c r="G32" s="177" t="str">
        <f>IF(ISERROR(VLOOKUP($A32,Mandatory!A:A,1,0)),"No","Yes")</f>
        <v>Yes</v>
      </c>
    </row>
    <row r="33" spans="1:7" ht="12.75">
      <c r="A33" s="163">
        <v>212</v>
      </c>
      <c r="B33" s="174">
        <f>SUMIF('Mapping HRGs to TFCs'!B:B,A33,'Mapping HRGs to TFCs'!C:C)</f>
        <v>1</v>
      </c>
      <c r="C33" s="174">
        <f>SUMIF('Mapping HRGs to TFCs'!B:B,A33,'Mapping HRGs to TFCs'!D:D)</f>
        <v>1</v>
      </c>
      <c r="D33" s="174">
        <f>SUMIF('Mapping HRGs to TFCs'!B:B,A33,'Mapping HRGs to TFCs'!E:E)</f>
        <v>0</v>
      </c>
      <c r="E33" s="174">
        <f>SUMIF('Mapping HRGs to TFCs'!B:B,A33,'Mapping HRGs to TFCs'!F:F)</f>
        <v>0</v>
      </c>
      <c r="F33" s="174">
        <f>SUMIF('Mapping HRGs to TFCs'!B:B,A33,'Mapping HRGs to TFCs'!G:G)</f>
        <v>2</v>
      </c>
      <c r="G33" s="177" t="str">
        <f>IF(ISERROR(VLOOKUP($A33,Mandatory!A:A,1,0)),"No","Yes")</f>
        <v>No</v>
      </c>
    </row>
    <row r="34" spans="1:7" ht="12.75">
      <c r="A34" s="163">
        <v>213</v>
      </c>
      <c r="B34" s="174">
        <f>SUMIF('Mapping HRGs to TFCs'!B:B,A34,'Mapping HRGs to TFCs'!C:C)</f>
        <v>0</v>
      </c>
      <c r="C34" s="174">
        <f>SUMIF('Mapping HRGs to TFCs'!B:B,A34,'Mapping HRGs to TFCs'!D:D)</f>
        <v>0</v>
      </c>
      <c r="D34" s="174">
        <f>SUMIF('Mapping HRGs to TFCs'!B:B,A34,'Mapping HRGs to TFCs'!E:E)</f>
        <v>0</v>
      </c>
      <c r="E34" s="174">
        <f>SUMIF('Mapping HRGs to TFCs'!B:B,A34,'Mapping HRGs to TFCs'!F:F)</f>
        <v>0</v>
      </c>
      <c r="F34" s="174">
        <f>SUMIF('Mapping HRGs to TFCs'!B:B,A34,'Mapping HRGs to TFCs'!G:G)</f>
        <v>0</v>
      </c>
      <c r="G34" s="177" t="str">
        <f>IF(ISERROR(VLOOKUP($A34,Mandatory!A:A,1,0)),"No","Yes")</f>
        <v>No</v>
      </c>
    </row>
    <row r="35" spans="1:7" ht="12.75">
      <c r="A35" s="163">
        <v>214</v>
      </c>
      <c r="B35" s="174">
        <f>SUMIF('Mapping HRGs to TFCs'!B:B,A35,'Mapping HRGs to TFCs'!C:C)</f>
        <v>2294</v>
      </c>
      <c r="C35" s="174">
        <f>SUMIF('Mapping HRGs to TFCs'!B:B,A35,'Mapping HRGs to TFCs'!D:D)</f>
        <v>1049</v>
      </c>
      <c r="D35" s="174">
        <f>SUMIF('Mapping HRGs to TFCs'!B:B,A35,'Mapping HRGs to TFCs'!E:E)</f>
        <v>177</v>
      </c>
      <c r="E35" s="174">
        <f>SUMIF('Mapping HRGs to TFCs'!B:B,A35,'Mapping HRGs to TFCs'!F:F)</f>
        <v>14</v>
      </c>
      <c r="F35" s="174">
        <f>SUMIF('Mapping HRGs to TFCs'!B:B,A35,'Mapping HRGs to TFCs'!G:G)</f>
        <v>3534</v>
      </c>
      <c r="G35" s="177" t="str">
        <f>IF(ISERROR(VLOOKUP($A35,Mandatory!A:A,1,0)),"No","Yes")</f>
        <v>Yes</v>
      </c>
    </row>
    <row r="36" spans="1:7" ht="12.75">
      <c r="A36" s="163">
        <v>215</v>
      </c>
      <c r="B36" s="174">
        <f>SUMIF('Mapping HRGs to TFCs'!B:B,A36,'Mapping HRGs to TFCs'!C:C)</f>
        <v>13604</v>
      </c>
      <c r="C36" s="174">
        <f>SUMIF('Mapping HRGs to TFCs'!B:B,A36,'Mapping HRGs to TFCs'!D:D)</f>
        <v>10951</v>
      </c>
      <c r="D36" s="174">
        <f>SUMIF('Mapping HRGs to TFCs'!B:B,A36,'Mapping HRGs to TFCs'!E:E)</f>
        <v>111</v>
      </c>
      <c r="E36" s="174">
        <f>SUMIF('Mapping HRGs to TFCs'!B:B,A36,'Mapping HRGs to TFCs'!F:F)</f>
        <v>70</v>
      </c>
      <c r="F36" s="174">
        <f>SUMIF('Mapping HRGs to TFCs'!B:B,A36,'Mapping HRGs to TFCs'!G:G)</f>
        <v>24736</v>
      </c>
      <c r="G36" s="177" t="str">
        <f>IF(ISERROR(VLOOKUP($A36,Mandatory!A:A,1,0)),"No","Yes")</f>
        <v>Yes</v>
      </c>
    </row>
    <row r="37" spans="1:7" ht="12.75">
      <c r="A37" s="163">
        <v>216</v>
      </c>
      <c r="B37" s="174">
        <f>SUMIF('Mapping HRGs to TFCs'!B:B,A37,'Mapping HRGs to TFCs'!C:C)</f>
        <v>5275</v>
      </c>
      <c r="C37" s="174">
        <f>SUMIF('Mapping HRGs to TFCs'!B:B,A37,'Mapping HRGs to TFCs'!D:D)</f>
        <v>1639</v>
      </c>
      <c r="D37" s="174">
        <f>SUMIF('Mapping HRGs to TFCs'!B:B,A37,'Mapping HRGs to TFCs'!E:E)</f>
        <v>789</v>
      </c>
      <c r="E37" s="174">
        <f>SUMIF('Mapping HRGs to TFCs'!B:B,A37,'Mapping HRGs to TFCs'!F:F)</f>
        <v>348</v>
      </c>
      <c r="F37" s="174">
        <f>SUMIF('Mapping HRGs to TFCs'!B:B,A37,'Mapping HRGs to TFCs'!G:G)</f>
        <v>8051</v>
      </c>
      <c r="G37" s="177" t="str">
        <f>IF(ISERROR(VLOOKUP($A37,Mandatory!A:A,1,0)),"No","Yes")</f>
        <v>Yes</v>
      </c>
    </row>
    <row r="38" spans="1:7" ht="12.75">
      <c r="A38" s="163">
        <v>217</v>
      </c>
      <c r="B38" s="174">
        <f>SUMIF('Mapping HRGs to TFCs'!B:B,A38,'Mapping HRGs to TFCs'!C:C)</f>
        <v>434</v>
      </c>
      <c r="C38" s="174">
        <f>SUMIF('Mapping HRGs to TFCs'!B:B,A38,'Mapping HRGs to TFCs'!D:D)</f>
        <v>302</v>
      </c>
      <c r="D38" s="174">
        <f>SUMIF('Mapping HRGs to TFCs'!B:B,A38,'Mapping HRGs to TFCs'!E:E)</f>
        <v>31</v>
      </c>
      <c r="E38" s="174">
        <f>SUMIF('Mapping HRGs to TFCs'!B:B,A38,'Mapping HRGs to TFCs'!F:F)</f>
        <v>25</v>
      </c>
      <c r="F38" s="174">
        <f>SUMIF('Mapping HRGs to TFCs'!B:B,A38,'Mapping HRGs to TFCs'!G:G)</f>
        <v>792</v>
      </c>
      <c r="G38" s="177" t="str">
        <f>IF(ISERROR(VLOOKUP($A38,Mandatory!A:A,1,0)),"No","Yes")</f>
        <v>Yes</v>
      </c>
    </row>
    <row r="39" spans="1:7" ht="12.75">
      <c r="A39" s="163">
        <v>218</v>
      </c>
      <c r="B39" s="174">
        <f>SUMIF('Mapping HRGs to TFCs'!B:B,A39,'Mapping HRGs to TFCs'!C:C)</f>
        <v>3</v>
      </c>
      <c r="C39" s="174">
        <f>SUMIF('Mapping HRGs to TFCs'!B:B,A39,'Mapping HRGs to TFCs'!D:D)</f>
        <v>0</v>
      </c>
      <c r="D39" s="174">
        <f>SUMIF('Mapping HRGs to TFCs'!B:B,A39,'Mapping HRGs to TFCs'!E:E)</f>
        <v>0</v>
      </c>
      <c r="E39" s="174">
        <f>SUMIF('Mapping HRGs to TFCs'!B:B,A39,'Mapping HRGs to TFCs'!F:F)</f>
        <v>0</v>
      </c>
      <c r="F39" s="174">
        <f>SUMIF('Mapping HRGs to TFCs'!B:B,A39,'Mapping HRGs to TFCs'!G:G)</f>
        <v>3</v>
      </c>
      <c r="G39" s="177" t="str">
        <f>IF(ISERROR(VLOOKUP($A39,Mandatory!A:A,1,0)),"No","Yes")</f>
        <v>Yes</v>
      </c>
    </row>
    <row r="40" spans="1:7" ht="12.75">
      <c r="A40" s="163">
        <v>219</v>
      </c>
      <c r="B40" s="174">
        <f>SUMIF('Mapping HRGs to TFCs'!B:B,A40,'Mapping HRGs to TFCs'!C:C)</f>
        <v>4259</v>
      </c>
      <c r="C40" s="174">
        <f>SUMIF('Mapping HRGs to TFCs'!B:B,A40,'Mapping HRGs to TFCs'!D:D)</f>
        <v>2384</v>
      </c>
      <c r="D40" s="174">
        <f>SUMIF('Mapping HRGs to TFCs'!B:B,A40,'Mapping HRGs to TFCs'!E:E)</f>
        <v>477</v>
      </c>
      <c r="E40" s="174">
        <f>SUMIF('Mapping HRGs to TFCs'!B:B,A40,'Mapping HRGs to TFCs'!F:F)</f>
        <v>137</v>
      </c>
      <c r="F40" s="174">
        <f>SUMIF('Mapping HRGs to TFCs'!B:B,A40,'Mapping HRGs to TFCs'!G:G)</f>
        <v>7257</v>
      </c>
      <c r="G40" s="177" t="str">
        <f>IF(ISERROR(VLOOKUP($A40,Mandatory!A:A,1,0)),"No","Yes")</f>
        <v>Yes</v>
      </c>
    </row>
    <row r="41" spans="1:7" ht="12.75">
      <c r="A41" s="163">
        <v>220</v>
      </c>
      <c r="B41" s="174">
        <f>SUMIF('Mapping HRGs to TFCs'!B:B,A41,'Mapping HRGs to TFCs'!C:C)</f>
        <v>971</v>
      </c>
      <c r="C41" s="174">
        <f>SUMIF('Mapping HRGs to TFCs'!B:B,A41,'Mapping HRGs to TFCs'!D:D)</f>
        <v>439</v>
      </c>
      <c r="D41" s="174">
        <f>SUMIF('Mapping HRGs to TFCs'!B:B,A41,'Mapping HRGs to TFCs'!E:E)</f>
        <v>15</v>
      </c>
      <c r="E41" s="174">
        <f>SUMIF('Mapping HRGs to TFCs'!B:B,A41,'Mapping HRGs to TFCs'!F:F)</f>
        <v>6</v>
      </c>
      <c r="F41" s="174">
        <f>SUMIF('Mapping HRGs to TFCs'!B:B,A41,'Mapping HRGs to TFCs'!G:G)</f>
        <v>1431</v>
      </c>
      <c r="G41" s="177" t="str">
        <f>IF(ISERROR(VLOOKUP($A41,Mandatory!A:A,1,0)),"No","Yes")</f>
        <v>No</v>
      </c>
    </row>
    <row r="42" spans="1:7" ht="12.75">
      <c r="A42" s="163">
        <v>221</v>
      </c>
      <c r="B42" s="174">
        <f>SUMIF('Mapping HRGs to TFCs'!B:B,A42,'Mapping HRGs to TFCs'!C:C)</f>
        <v>64</v>
      </c>
      <c r="C42" s="174">
        <f>SUMIF('Mapping HRGs to TFCs'!B:B,A42,'Mapping HRGs to TFCs'!D:D)</f>
        <v>5</v>
      </c>
      <c r="D42" s="174">
        <f>SUMIF('Mapping HRGs to TFCs'!B:B,A42,'Mapping HRGs to TFCs'!E:E)</f>
        <v>7</v>
      </c>
      <c r="E42" s="174">
        <f>SUMIF('Mapping HRGs to TFCs'!B:B,A42,'Mapping HRGs to TFCs'!F:F)</f>
        <v>0</v>
      </c>
      <c r="F42" s="174">
        <f>SUMIF('Mapping HRGs to TFCs'!B:B,A42,'Mapping HRGs to TFCs'!G:G)</f>
        <v>76</v>
      </c>
      <c r="G42" s="177" t="str">
        <f>IF(ISERROR(VLOOKUP($A42,Mandatory!A:A,1,0)),"No","Yes")</f>
        <v>No</v>
      </c>
    </row>
    <row r="43" spans="1:7" ht="12.75">
      <c r="A43" s="163">
        <v>222</v>
      </c>
      <c r="B43" s="174">
        <f>SUMIF('Mapping HRGs to TFCs'!B:B,A43,'Mapping HRGs to TFCs'!C:C)</f>
        <v>0</v>
      </c>
      <c r="C43" s="174">
        <f>SUMIF('Mapping HRGs to TFCs'!B:B,A43,'Mapping HRGs to TFCs'!D:D)</f>
        <v>0</v>
      </c>
      <c r="D43" s="174">
        <f>SUMIF('Mapping HRGs to TFCs'!B:B,A43,'Mapping HRGs to TFCs'!E:E)</f>
        <v>0</v>
      </c>
      <c r="E43" s="174">
        <f>SUMIF('Mapping HRGs to TFCs'!B:B,A43,'Mapping HRGs to TFCs'!F:F)</f>
        <v>0</v>
      </c>
      <c r="F43" s="174">
        <f>SUMIF('Mapping HRGs to TFCs'!B:B,A43,'Mapping HRGs to TFCs'!G:G)</f>
        <v>0</v>
      </c>
      <c r="G43" s="177" t="str">
        <f>IF(ISERROR(VLOOKUP($A43,Mandatory!A:A,1,0)),"No","Yes")</f>
        <v>No</v>
      </c>
    </row>
    <row r="44" spans="1:7" ht="12.75">
      <c r="A44" s="163">
        <v>223</v>
      </c>
      <c r="B44" s="174">
        <f>SUMIF('Mapping HRGs to TFCs'!B:B,A44,'Mapping HRGs to TFCs'!C:C)</f>
        <v>0</v>
      </c>
      <c r="C44" s="174">
        <f>SUMIF('Mapping HRGs to TFCs'!B:B,A44,'Mapping HRGs to TFCs'!D:D)</f>
        <v>0</v>
      </c>
      <c r="D44" s="174">
        <f>SUMIF('Mapping HRGs to TFCs'!B:B,A44,'Mapping HRGs to TFCs'!E:E)</f>
        <v>0</v>
      </c>
      <c r="E44" s="174">
        <f>SUMIF('Mapping HRGs to TFCs'!B:B,A44,'Mapping HRGs to TFCs'!F:F)</f>
        <v>0</v>
      </c>
      <c r="F44" s="174">
        <f>SUMIF('Mapping HRGs to TFCs'!B:B,A44,'Mapping HRGs to TFCs'!G:G)</f>
        <v>0</v>
      </c>
      <c r="G44" s="177" t="str">
        <f>IF(ISERROR(VLOOKUP($A44,Mandatory!A:A,1,0)),"No","Yes")</f>
        <v>Yes</v>
      </c>
    </row>
    <row r="45" spans="1:7" ht="12.75">
      <c r="A45" s="163">
        <v>241</v>
      </c>
      <c r="B45" s="174">
        <f>SUMIF('Mapping HRGs to TFCs'!B:B,A45,'Mapping HRGs to TFCs'!C:C)</f>
        <v>0</v>
      </c>
      <c r="C45" s="174">
        <f>SUMIF('Mapping HRGs to TFCs'!B:B,A45,'Mapping HRGs to TFCs'!D:D)</f>
        <v>2</v>
      </c>
      <c r="D45" s="174">
        <f>SUMIF('Mapping HRGs to TFCs'!B:B,A45,'Mapping HRGs to TFCs'!E:E)</f>
        <v>0</v>
      </c>
      <c r="E45" s="174">
        <f>SUMIF('Mapping HRGs to TFCs'!B:B,A45,'Mapping HRGs to TFCs'!F:F)</f>
        <v>0</v>
      </c>
      <c r="F45" s="174">
        <f>SUMIF('Mapping HRGs to TFCs'!B:B,A45,'Mapping HRGs to TFCs'!G:G)</f>
        <v>2</v>
      </c>
      <c r="G45" s="177" t="str">
        <f>IF(ISERROR(VLOOKUP($A45,Mandatory!A:A,1,0)),"No","Yes")</f>
        <v>No</v>
      </c>
    </row>
    <row r="46" spans="1:7" ht="12.75">
      <c r="A46" s="163">
        <v>242</v>
      </c>
      <c r="B46" s="174">
        <f>SUMIF('Mapping HRGs to TFCs'!B:B,A46,'Mapping HRGs to TFCs'!C:C)</f>
        <v>13</v>
      </c>
      <c r="C46" s="174">
        <f>SUMIF('Mapping HRGs to TFCs'!B:B,A46,'Mapping HRGs to TFCs'!D:D)</f>
        <v>1</v>
      </c>
      <c r="D46" s="174">
        <f>SUMIF('Mapping HRGs to TFCs'!B:B,A46,'Mapping HRGs to TFCs'!E:E)</f>
        <v>0</v>
      </c>
      <c r="E46" s="174">
        <f>SUMIF('Mapping HRGs to TFCs'!B:B,A46,'Mapping HRGs to TFCs'!F:F)</f>
        <v>0</v>
      </c>
      <c r="F46" s="174">
        <f>SUMIF('Mapping HRGs to TFCs'!B:B,A46,'Mapping HRGs to TFCs'!G:G)</f>
        <v>14</v>
      </c>
      <c r="G46" s="177" t="str">
        <f>IF(ISERROR(VLOOKUP($A46,Mandatory!A:A,1,0)),"No","Yes")</f>
        <v>No</v>
      </c>
    </row>
    <row r="47" spans="1:7" ht="12.75">
      <c r="A47" s="163">
        <v>251</v>
      </c>
      <c r="B47" s="174">
        <f>SUMIF('Mapping HRGs to TFCs'!B:B,A47,'Mapping HRGs to TFCs'!C:C)</f>
        <v>55</v>
      </c>
      <c r="C47" s="174">
        <f>SUMIF('Mapping HRGs to TFCs'!B:B,A47,'Mapping HRGs to TFCs'!D:D)</f>
        <v>130</v>
      </c>
      <c r="D47" s="174">
        <f>SUMIF('Mapping HRGs to TFCs'!B:B,A47,'Mapping HRGs to TFCs'!E:E)</f>
        <v>8</v>
      </c>
      <c r="E47" s="174">
        <f>SUMIF('Mapping HRGs to TFCs'!B:B,A47,'Mapping HRGs to TFCs'!F:F)</f>
        <v>3</v>
      </c>
      <c r="F47" s="174">
        <f>SUMIF('Mapping HRGs to TFCs'!B:B,A47,'Mapping HRGs to TFCs'!G:G)</f>
        <v>196</v>
      </c>
      <c r="G47" s="177" t="str">
        <f>IF(ISERROR(VLOOKUP($A47,Mandatory!A:A,1,0)),"No","Yes")</f>
        <v>Yes</v>
      </c>
    </row>
    <row r="48" spans="1:7" ht="12.75">
      <c r="A48" s="163">
        <v>252</v>
      </c>
      <c r="B48" s="174">
        <f>SUMIF('Mapping HRGs to TFCs'!B:B,A48,'Mapping HRGs to TFCs'!C:C)</f>
        <v>38</v>
      </c>
      <c r="C48" s="174">
        <f>SUMIF('Mapping HRGs to TFCs'!B:B,A48,'Mapping HRGs to TFCs'!D:D)</f>
        <v>91</v>
      </c>
      <c r="D48" s="174">
        <f>SUMIF('Mapping HRGs to TFCs'!B:B,A48,'Mapping HRGs to TFCs'!E:E)</f>
        <v>5</v>
      </c>
      <c r="E48" s="174">
        <f>SUMIF('Mapping HRGs to TFCs'!B:B,A48,'Mapping HRGs to TFCs'!F:F)</f>
        <v>1</v>
      </c>
      <c r="F48" s="174">
        <f>SUMIF('Mapping HRGs to TFCs'!B:B,A48,'Mapping HRGs to TFCs'!G:G)</f>
        <v>135</v>
      </c>
      <c r="G48" s="177" t="str">
        <f>IF(ISERROR(VLOOKUP($A48,Mandatory!A:A,1,0)),"No","Yes")</f>
        <v>Yes</v>
      </c>
    </row>
    <row r="49" spans="1:7" ht="12.75">
      <c r="A49" s="163">
        <v>253</v>
      </c>
      <c r="B49" s="174">
        <f>SUMIF('Mapping HRGs to TFCs'!B:B,A49,'Mapping HRGs to TFCs'!C:C)</f>
        <v>591</v>
      </c>
      <c r="C49" s="174">
        <f>SUMIF('Mapping HRGs to TFCs'!B:B,A49,'Mapping HRGs to TFCs'!D:D)</f>
        <v>76</v>
      </c>
      <c r="D49" s="174">
        <f>SUMIF('Mapping HRGs to TFCs'!B:B,A49,'Mapping HRGs to TFCs'!E:E)</f>
        <v>276</v>
      </c>
      <c r="E49" s="174">
        <f>SUMIF('Mapping HRGs to TFCs'!B:B,A49,'Mapping HRGs to TFCs'!F:F)</f>
        <v>7</v>
      </c>
      <c r="F49" s="174">
        <f>SUMIF('Mapping HRGs to TFCs'!B:B,A49,'Mapping HRGs to TFCs'!G:G)</f>
        <v>950</v>
      </c>
      <c r="G49" s="177" t="str">
        <f>IF(ISERROR(VLOOKUP($A49,Mandatory!A:A,1,0)),"No","Yes")</f>
        <v>Yes</v>
      </c>
    </row>
    <row r="50" spans="1:7" ht="12.75">
      <c r="A50" s="163">
        <v>254</v>
      </c>
      <c r="B50" s="174">
        <f>SUMIF('Mapping HRGs to TFCs'!B:B,A50,'Mapping HRGs to TFCs'!C:C)</f>
        <v>3061</v>
      </c>
      <c r="C50" s="174">
        <f>SUMIF('Mapping HRGs to TFCs'!B:B,A50,'Mapping HRGs to TFCs'!D:D)</f>
        <v>2695</v>
      </c>
      <c r="D50" s="174">
        <f>SUMIF('Mapping HRGs to TFCs'!B:B,A50,'Mapping HRGs to TFCs'!E:E)</f>
        <v>625</v>
      </c>
      <c r="E50" s="174">
        <f>SUMIF('Mapping HRGs to TFCs'!B:B,A50,'Mapping HRGs to TFCs'!F:F)</f>
        <v>520</v>
      </c>
      <c r="F50" s="174">
        <f>SUMIF('Mapping HRGs to TFCs'!B:B,A50,'Mapping HRGs to TFCs'!G:G)</f>
        <v>6901</v>
      </c>
      <c r="G50" s="177" t="str">
        <f>IF(ISERROR(VLOOKUP($A50,Mandatory!A:A,1,0)),"No","Yes")</f>
        <v>No</v>
      </c>
    </row>
    <row r="51" spans="1:7" ht="12.75">
      <c r="A51" s="163">
        <v>255</v>
      </c>
      <c r="B51" s="174">
        <f>SUMIF('Mapping HRGs to TFCs'!B:B,A51,'Mapping HRGs to TFCs'!C:C)</f>
        <v>2095</v>
      </c>
      <c r="C51" s="174">
        <f>SUMIF('Mapping HRGs to TFCs'!B:B,A51,'Mapping HRGs to TFCs'!D:D)</f>
        <v>2050</v>
      </c>
      <c r="D51" s="174">
        <f>SUMIF('Mapping HRGs to TFCs'!B:B,A51,'Mapping HRGs to TFCs'!E:E)</f>
        <v>281</v>
      </c>
      <c r="E51" s="174">
        <f>SUMIF('Mapping HRGs to TFCs'!B:B,A51,'Mapping HRGs to TFCs'!F:F)</f>
        <v>634</v>
      </c>
      <c r="F51" s="174">
        <f>SUMIF('Mapping HRGs to TFCs'!B:B,A51,'Mapping HRGs to TFCs'!G:G)</f>
        <v>5060</v>
      </c>
      <c r="G51" s="177" t="str">
        <f>IF(ISERROR(VLOOKUP($A51,Mandatory!A:A,1,0)),"No","Yes")</f>
        <v>No</v>
      </c>
    </row>
    <row r="52" spans="1:7" ht="12.75">
      <c r="A52" s="163">
        <v>256</v>
      </c>
      <c r="B52" s="174">
        <f>SUMIF('Mapping HRGs to TFCs'!B:B,A52,'Mapping HRGs to TFCs'!C:C)</f>
        <v>1</v>
      </c>
      <c r="C52" s="174">
        <f>SUMIF('Mapping HRGs to TFCs'!B:B,A52,'Mapping HRGs to TFCs'!D:D)</f>
        <v>0</v>
      </c>
      <c r="D52" s="174">
        <f>SUMIF('Mapping HRGs to TFCs'!B:B,A52,'Mapping HRGs to TFCs'!E:E)</f>
        <v>0</v>
      </c>
      <c r="E52" s="174">
        <f>SUMIF('Mapping HRGs to TFCs'!B:B,A52,'Mapping HRGs to TFCs'!F:F)</f>
        <v>0</v>
      </c>
      <c r="F52" s="174">
        <f>SUMIF('Mapping HRGs to TFCs'!B:B,A52,'Mapping HRGs to TFCs'!G:G)</f>
        <v>1</v>
      </c>
      <c r="G52" s="177" t="str">
        <f>IF(ISERROR(VLOOKUP($A52,Mandatory!A:A,1,0)),"No","Yes")</f>
        <v>No</v>
      </c>
    </row>
    <row r="53" spans="1:7" ht="12.75">
      <c r="A53" s="163">
        <v>257</v>
      </c>
      <c r="B53" s="174">
        <f>SUMIF('Mapping HRGs to TFCs'!B:B,A53,'Mapping HRGs to TFCs'!C:C)</f>
        <v>10045</v>
      </c>
      <c r="C53" s="174">
        <f>SUMIF('Mapping HRGs to TFCs'!B:B,A53,'Mapping HRGs to TFCs'!D:D)</f>
        <v>1418</v>
      </c>
      <c r="D53" s="174">
        <f>SUMIF('Mapping HRGs to TFCs'!B:B,A53,'Mapping HRGs to TFCs'!E:E)</f>
        <v>35</v>
      </c>
      <c r="E53" s="174">
        <f>SUMIF('Mapping HRGs to TFCs'!B:B,A53,'Mapping HRGs to TFCs'!F:F)</f>
        <v>26</v>
      </c>
      <c r="F53" s="174">
        <f>SUMIF('Mapping HRGs to TFCs'!B:B,A53,'Mapping HRGs to TFCs'!G:G)</f>
        <v>11524</v>
      </c>
      <c r="G53" s="177" t="str">
        <f>IF(ISERROR(VLOOKUP($A53,Mandatory!A:A,1,0)),"No","Yes")</f>
        <v>Yes</v>
      </c>
    </row>
    <row r="54" spans="1:7" ht="12.75">
      <c r="A54" s="163">
        <v>258</v>
      </c>
      <c r="B54" s="174">
        <f>SUMIF('Mapping HRGs to TFCs'!B:B,A54,'Mapping HRGs to TFCs'!C:C)</f>
        <v>4345</v>
      </c>
      <c r="C54" s="174">
        <f>SUMIF('Mapping HRGs to TFCs'!B:B,A54,'Mapping HRGs to TFCs'!D:D)</f>
        <v>2111</v>
      </c>
      <c r="D54" s="174">
        <f>SUMIF('Mapping HRGs to TFCs'!B:B,A54,'Mapping HRGs to TFCs'!E:E)</f>
        <v>1305</v>
      </c>
      <c r="E54" s="174">
        <f>SUMIF('Mapping HRGs to TFCs'!B:B,A54,'Mapping HRGs to TFCs'!F:F)</f>
        <v>261</v>
      </c>
      <c r="F54" s="174">
        <f>SUMIF('Mapping HRGs to TFCs'!B:B,A54,'Mapping HRGs to TFCs'!G:G)</f>
        <v>8022</v>
      </c>
      <c r="G54" s="177" t="str">
        <f>IF(ISERROR(VLOOKUP($A54,Mandatory!A:A,1,0)),"No","Yes")</f>
        <v>Yes</v>
      </c>
    </row>
    <row r="55" spans="1:7" ht="12.75">
      <c r="A55" s="163">
        <v>259</v>
      </c>
      <c r="B55" s="174">
        <f>SUMIF('Mapping HRGs to TFCs'!B:B,A55,'Mapping HRGs to TFCs'!C:C)</f>
        <v>72</v>
      </c>
      <c r="C55" s="174">
        <f>SUMIF('Mapping HRGs to TFCs'!B:B,A55,'Mapping HRGs to TFCs'!D:D)</f>
        <v>4</v>
      </c>
      <c r="D55" s="174">
        <f>SUMIF('Mapping HRGs to TFCs'!B:B,A55,'Mapping HRGs to TFCs'!E:E)</f>
        <v>12</v>
      </c>
      <c r="E55" s="174">
        <f>SUMIF('Mapping HRGs to TFCs'!B:B,A55,'Mapping HRGs to TFCs'!F:F)</f>
        <v>0</v>
      </c>
      <c r="F55" s="174">
        <f>SUMIF('Mapping HRGs to TFCs'!B:B,A55,'Mapping HRGs to TFCs'!G:G)</f>
        <v>88</v>
      </c>
      <c r="G55" s="177" t="str">
        <f>IF(ISERROR(VLOOKUP($A55,Mandatory!A:A,1,0)),"No","Yes")</f>
        <v>No</v>
      </c>
    </row>
    <row r="56" spans="1:7" ht="12.75">
      <c r="A56" s="163">
        <v>260</v>
      </c>
      <c r="B56" s="174">
        <f>SUMIF('Mapping HRGs to TFCs'!B:B,A56,'Mapping HRGs to TFCs'!C:C)</f>
        <v>1409</v>
      </c>
      <c r="C56" s="174">
        <f>SUMIF('Mapping HRGs to TFCs'!B:B,A56,'Mapping HRGs to TFCs'!D:D)</f>
        <v>16</v>
      </c>
      <c r="D56" s="174">
        <f>SUMIF('Mapping HRGs to TFCs'!B:B,A56,'Mapping HRGs to TFCs'!E:E)</f>
        <v>200</v>
      </c>
      <c r="E56" s="174">
        <f>SUMIF('Mapping HRGs to TFCs'!B:B,A56,'Mapping HRGs to TFCs'!F:F)</f>
        <v>14</v>
      </c>
      <c r="F56" s="174">
        <f>SUMIF('Mapping HRGs to TFCs'!B:B,A56,'Mapping HRGs to TFCs'!G:G)</f>
        <v>1639</v>
      </c>
      <c r="G56" s="177" t="str">
        <f>IF(ISERROR(VLOOKUP($A56,Mandatory!A:A,1,0)),"No","Yes")</f>
        <v>No</v>
      </c>
    </row>
    <row r="57" spans="1:7" ht="12.75">
      <c r="A57" s="163">
        <v>261</v>
      </c>
      <c r="B57" s="174">
        <f>SUMIF('Mapping HRGs to TFCs'!B:B,A57,'Mapping HRGs to TFCs'!C:C)</f>
        <v>0</v>
      </c>
      <c r="C57" s="174">
        <f>SUMIF('Mapping HRGs to TFCs'!B:B,A57,'Mapping HRGs to TFCs'!D:D)</f>
        <v>0</v>
      </c>
      <c r="D57" s="174">
        <f>SUMIF('Mapping HRGs to TFCs'!B:B,A57,'Mapping HRGs to TFCs'!E:E)</f>
        <v>0</v>
      </c>
      <c r="E57" s="174">
        <f>SUMIF('Mapping HRGs to TFCs'!B:B,A57,'Mapping HRGs to TFCs'!F:F)</f>
        <v>0</v>
      </c>
      <c r="F57" s="174">
        <f>SUMIF('Mapping HRGs to TFCs'!B:B,A57,'Mapping HRGs to TFCs'!G:G)</f>
        <v>0</v>
      </c>
      <c r="G57" s="177" t="str">
        <f>IF(ISERROR(VLOOKUP($A57,Mandatory!A:A,1,0)),"No","Yes")</f>
        <v>No</v>
      </c>
    </row>
    <row r="58" spans="1:7" ht="12.75">
      <c r="A58" s="163">
        <v>262</v>
      </c>
      <c r="B58" s="174">
        <f>SUMIF('Mapping HRGs to TFCs'!B:B,A58,'Mapping HRGs to TFCs'!C:C)</f>
        <v>268</v>
      </c>
      <c r="C58" s="174">
        <f>SUMIF('Mapping HRGs to TFCs'!B:B,A58,'Mapping HRGs to TFCs'!D:D)</f>
        <v>152</v>
      </c>
      <c r="D58" s="174">
        <f>SUMIF('Mapping HRGs to TFCs'!B:B,A58,'Mapping HRGs to TFCs'!E:E)</f>
        <v>373</v>
      </c>
      <c r="E58" s="174">
        <f>SUMIF('Mapping HRGs to TFCs'!B:B,A58,'Mapping HRGs to TFCs'!F:F)</f>
        <v>53</v>
      </c>
      <c r="F58" s="174">
        <f>SUMIF('Mapping HRGs to TFCs'!B:B,A58,'Mapping HRGs to TFCs'!G:G)</f>
        <v>846</v>
      </c>
      <c r="G58" s="177" t="str">
        <f>IF(ISERROR(VLOOKUP($A58,Mandatory!A:A,1,0)),"No","Yes")</f>
        <v>No</v>
      </c>
    </row>
    <row r="59" spans="1:7" ht="12.75">
      <c r="A59" s="163">
        <v>263</v>
      </c>
      <c r="B59" s="174">
        <f>SUMIF('Mapping HRGs to TFCs'!B:B,A59,'Mapping HRGs to TFCs'!C:C)</f>
        <v>141</v>
      </c>
      <c r="C59" s="174">
        <f>SUMIF('Mapping HRGs to TFCs'!B:B,A59,'Mapping HRGs to TFCs'!D:D)</f>
        <v>4</v>
      </c>
      <c r="D59" s="174">
        <f>SUMIF('Mapping HRGs to TFCs'!B:B,A59,'Mapping HRGs to TFCs'!E:E)</f>
        <v>109</v>
      </c>
      <c r="E59" s="174">
        <f>SUMIF('Mapping HRGs to TFCs'!B:B,A59,'Mapping HRGs to TFCs'!F:F)</f>
        <v>2</v>
      </c>
      <c r="F59" s="174">
        <f>SUMIF('Mapping HRGs to TFCs'!B:B,A59,'Mapping HRGs to TFCs'!G:G)</f>
        <v>256</v>
      </c>
      <c r="G59" s="177" t="str">
        <f>IF(ISERROR(VLOOKUP($A59,Mandatory!A:A,1,0)),"No","Yes")</f>
        <v>Yes</v>
      </c>
    </row>
    <row r="60" spans="1:7" ht="12.75">
      <c r="A60" s="163">
        <v>280</v>
      </c>
      <c r="B60" s="174">
        <f>SUMIF('Mapping HRGs to TFCs'!B:B,A60,'Mapping HRGs to TFCs'!C:C)</f>
        <v>0</v>
      </c>
      <c r="C60" s="174">
        <f>SUMIF('Mapping HRGs to TFCs'!B:B,A60,'Mapping HRGs to TFCs'!D:D)</f>
        <v>0</v>
      </c>
      <c r="D60" s="174">
        <f>SUMIF('Mapping HRGs to TFCs'!B:B,A60,'Mapping HRGs to TFCs'!E:E)</f>
        <v>0</v>
      </c>
      <c r="E60" s="174">
        <f>SUMIF('Mapping HRGs to TFCs'!B:B,A60,'Mapping HRGs to TFCs'!F:F)</f>
        <v>0</v>
      </c>
      <c r="F60" s="174">
        <f>SUMIF('Mapping HRGs to TFCs'!B:B,A60,'Mapping HRGs to TFCs'!G:G)</f>
        <v>0</v>
      </c>
      <c r="G60" s="177" t="str">
        <f>IF(ISERROR(VLOOKUP($A60,Mandatory!A:A,1,0)),"No","Yes")</f>
        <v>No</v>
      </c>
    </row>
    <row r="61" spans="1:7" ht="12.75">
      <c r="A61" s="163">
        <v>290</v>
      </c>
      <c r="B61" s="174">
        <f>SUMIF('Mapping HRGs to TFCs'!B:B,A61,'Mapping HRGs to TFCs'!C:C)</f>
        <v>3534</v>
      </c>
      <c r="C61" s="174">
        <f>SUMIF('Mapping HRGs to TFCs'!B:B,A61,'Mapping HRGs to TFCs'!D:D)</f>
        <v>1255</v>
      </c>
      <c r="D61" s="174">
        <f>SUMIF('Mapping HRGs to TFCs'!B:B,A61,'Mapping HRGs to TFCs'!E:E)</f>
        <v>1</v>
      </c>
      <c r="E61" s="174">
        <f>SUMIF('Mapping HRGs to TFCs'!B:B,A61,'Mapping HRGs to TFCs'!F:F)</f>
        <v>3</v>
      </c>
      <c r="F61" s="174">
        <f>SUMIF('Mapping HRGs to TFCs'!B:B,A61,'Mapping HRGs to TFCs'!G:G)</f>
        <v>4793</v>
      </c>
      <c r="G61" s="177" t="str">
        <f>IF(ISERROR(VLOOKUP($A61,Mandatory!A:A,1,0)),"No","Yes")</f>
        <v>No</v>
      </c>
    </row>
    <row r="62" spans="1:7" ht="12.75">
      <c r="A62" s="163">
        <v>291</v>
      </c>
      <c r="B62" s="174">
        <f>SUMIF('Mapping HRGs to TFCs'!B:B,A62,'Mapping HRGs to TFCs'!C:C)</f>
        <v>21</v>
      </c>
      <c r="C62" s="174">
        <f>SUMIF('Mapping HRGs to TFCs'!B:B,A62,'Mapping HRGs to TFCs'!D:D)</f>
        <v>13</v>
      </c>
      <c r="D62" s="174">
        <f>SUMIF('Mapping HRGs to TFCs'!B:B,A62,'Mapping HRGs to TFCs'!E:E)</f>
        <v>3</v>
      </c>
      <c r="E62" s="174">
        <f>SUMIF('Mapping HRGs to TFCs'!B:B,A62,'Mapping HRGs to TFCs'!F:F)</f>
        <v>0</v>
      </c>
      <c r="F62" s="174">
        <f>SUMIF('Mapping HRGs to TFCs'!B:B,A62,'Mapping HRGs to TFCs'!G:G)</f>
        <v>37</v>
      </c>
      <c r="G62" s="177" t="str">
        <f>IF(ISERROR(VLOOKUP($A62,Mandatory!A:A,1,0)),"No","Yes")</f>
        <v>No</v>
      </c>
    </row>
    <row r="63" spans="1:7" ht="12.75">
      <c r="A63" s="163">
        <v>300</v>
      </c>
      <c r="B63" s="174">
        <f>SUMIF('Mapping HRGs to TFCs'!B:B,A63,'Mapping HRGs to TFCs'!C:C)</f>
        <v>24936</v>
      </c>
      <c r="C63" s="174">
        <f>SUMIF('Mapping HRGs to TFCs'!B:B,A63,'Mapping HRGs to TFCs'!D:D)</f>
        <v>23671</v>
      </c>
      <c r="D63" s="174">
        <f>SUMIF('Mapping HRGs to TFCs'!B:B,A63,'Mapping HRGs to TFCs'!E:E)</f>
        <v>460</v>
      </c>
      <c r="E63" s="174">
        <f>SUMIF('Mapping HRGs to TFCs'!B:B,A63,'Mapping HRGs to TFCs'!F:F)</f>
        <v>440</v>
      </c>
      <c r="F63" s="174">
        <f>SUMIF('Mapping HRGs to TFCs'!B:B,A63,'Mapping HRGs to TFCs'!G:G)</f>
        <v>49507</v>
      </c>
      <c r="G63" s="177" t="str">
        <f>IF(ISERROR(VLOOKUP($A63,Mandatory!A:A,1,0)),"No","Yes")</f>
        <v>Yes</v>
      </c>
    </row>
    <row r="64" spans="1:7" ht="12.75">
      <c r="A64" s="163">
        <v>301</v>
      </c>
      <c r="B64" s="174">
        <f>SUMIF('Mapping HRGs to TFCs'!B:B,A64,'Mapping HRGs to TFCs'!C:C)</f>
        <v>14100</v>
      </c>
      <c r="C64" s="174">
        <f>SUMIF('Mapping HRGs to TFCs'!B:B,A64,'Mapping HRGs to TFCs'!D:D)</f>
        <v>17766</v>
      </c>
      <c r="D64" s="174">
        <f>SUMIF('Mapping HRGs to TFCs'!B:B,A64,'Mapping HRGs to TFCs'!E:E)</f>
        <v>76</v>
      </c>
      <c r="E64" s="174">
        <f>SUMIF('Mapping HRGs to TFCs'!B:B,A64,'Mapping HRGs to TFCs'!F:F)</f>
        <v>124</v>
      </c>
      <c r="F64" s="174">
        <f>SUMIF('Mapping HRGs to TFCs'!B:B,A64,'Mapping HRGs to TFCs'!G:G)</f>
        <v>32066</v>
      </c>
      <c r="G64" s="177" t="str">
        <f>IF(ISERROR(VLOOKUP($A64,Mandatory!A:A,1,0)),"No","Yes")</f>
        <v>Yes</v>
      </c>
    </row>
    <row r="65" spans="1:7" ht="12.75">
      <c r="A65" s="163">
        <v>302</v>
      </c>
      <c r="B65" s="174">
        <f>SUMIF('Mapping HRGs to TFCs'!B:B,A65,'Mapping HRGs to TFCs'!C:C)</f>
        <v>1282</v>
      </c>
      <c r="C65" s="174">
        <f>SUMIF('Mapping HRGs to TFCs'!B:B,A65,'Mapping HRGs to TFCs'!D:D)</f>
        <v>1452</v>
      </c>
      <c r="D65" s="174">
        <f>SUMIF('Mapping HRGs to TFCs'!B:B,A65,'Mapping HRGs to TFCs'!E:E)</f>
        <v>106</v>
      </c>
      <c r="E65" s="174">
        <f>SUMIF('Mapping HRGs to TFCs'!B:B,A65,'Mapping HRGs to TFCs'!F:F)</f>
        <v>97</v>
      </c>
      <c r="F65" s="174">
        <f>SUMIF('Mapping HRGs to TFCs'!B:B,A65,'Mapping HRGs to TFCs'!G:G)</f>
        <v>2937</v>
      </c>
      <c r="G65" s="177" t="str">
        <f>IF(ISERROR(VLOOKUP($A65,Mandatory!A:A,1,0)),"No","Yes")</f>
        <v>Yes</v>
      </c>
    </row>
    <row r="66" spans="1:7" ht="12.75">
      <c r="A66" s="163">
        <v>303</v>
      </c>
      <c r="B66" s="174">
        <f>SUMIF('Mapping HRGs to TFCs'!B:B,A66,'Mapping HRGs to TFCs'!C:C)</f>
        <v>47939</v>
      </c>
      <c r="C66" s="174">
        <f>SUMIF('Mapping HRGs to TFCs'!B:B,A66,'Mapping HRGs to TFCs'!D:D)</f>
        <v>2083</v>
      </c>
      <c r="D66" s="174">
        <f>SUMIF('Mapping HRGs to TFCs'!B:B,A66,'Mapping HRGs to TFCs'!E:E)</f>
        <v>2821</v>
      </c>
      <c r="E66" s="174">
        <f>SUMIF('Mapping HRGs to TFCs'!B:B,A66,'Mapping HRGs to TFCs'!F:F)</f>
        <v>161</v>
      </c>
      <c r="F66" s="174">
        <f>SUMIF('Mapping HRGs to TFCs'!B:B,A66,'Mapping HRGs to TFCs'!G:G)</f>
        <v>53004</v>
      </c>
      <c r="G66" s="177" t="str">
        <f>IF(ISERROR(VLOOKUP($A66,Mandatory!A:A,1,0)),"No","Yes")</f>
        <v>Yes</v>
      </c>
    </row>
    <row r="67" spans="1:7" ht="12.75">
      <c r="A67" s="163">
        <v>304</v>
      </c>
      <c r="B67" s="174">
        <f>SUMIF('Mapping HRGs to TFCs'!B:B,A67,'Mapping HRGs to TFCs'!C:C)</f>
        <v>47862</v>
      </c>
      <c r="C67" s="174">
        <f>SUMIF('Mapping HRGs to TFCs'!B:B,A67,'Mapping HRGs to TFCs'!D:D)</f>
        <v>69754</v>
      </c>
      <c r="D67" s="174">
        <f>SUMIF('Mapping HRGs to TFCs'!B:B,A67,'Mapping HRGs to TFCs'!E:E)</f>
        <v>660</v>
      </c>
      <c r="E67" s="174">
        <f>SUMIF('Mapping HRGs to TFCs'!B:B,A67,'Mapping HRGs to TFCs'!F:F)</f>
        <v>838</v>
      </c>
      <c r="F67" s="174">
        <f>SUMIF('Mapping HRGs to TFCs'!B:B,A67,'Mapping HRGs to TFCs'!G:G)</f>
        <v>119114</v>
      </c>
      <c r="G67" s="177" t="str">
        <f>IF(ISERROR(VLOOKUP($A67,Mandatory!A:A,1,0)),"No","Yes")</f>
        <v>No</v>
      </c>
    </row>
    <row r="68" spans="1:7" ht="12.75">
      <c r="A68" s="163">
        <v>305</v>
      </c>
      <c r="B68" s="174">
        <f>SUMIF('Mapping HRGs to TFCs'!B:B,A68,'Mapping HRGs to TFCs'!C:C)</f>
        <v>1836</v>
      </c>
      <c r="C68" s="174">
        <f>SUMIF('Mapping HRGs to TFCs'!B:B,A68,'Mapping HRGs to TFCs'!D:D)</f>
        <v>260</v>
      </c>
      <c r="D68" s="174">
        <f>SUMIF('Mapping HRGs to TFCs'!B:B,A68,'Mapping HRGs to TFCs'!E:E)</f>
        <v>0</v>
      </c>
      <c r="E68" s="174">
        <f>SUMIF('Mapping HRGs to TFCs'!B:B,A68,'Mapping HRGs to TFCs'!F:F)</f>
        <v>0</v>
      </c>
      <c r="F68" s="174">
        <f>SUMIF('Mapping HRGs to TFCs'!B:B,A68,'Mapping HRGs to TFCs'!G:G)</f>
        <v>2096</v>
      </c>
      <c r="G68" s="177" t="str">
        <f>IF(ISERROR(VLOOKUP($A68,Mandatory!A:A,1,0)),"No","Yes")</f>
        <v>No</v>
      </c>
    </row>
    <row r="69" spans="1:7" ht="12.75">
      <c r="A69" s="163">
        <v>306</v>
      </c>
      <c r="B69" s="174">
        <f>SUMIF('Mapping HRGs to TFCs'!B:B,A69,'Mapping HRGs to TFCs'!C:C)</f>
        <v>580</v>
      </c>
      <c r="C69" s="174">
        <f>SUMIF('Mapping HRGs to TFCs'!B:B,A69,'Mapping HRGs to TFCs'!D:D)</f>
        <v>406</v>
      </c>
      <c r="D69" s="174">
        <f>SUMIF('Mapping HRGs to TFCs'!B:B,A69,'Mapping HRGs to TFCs'!E:E)</f>
        <v>175</v>
      </c>
      <c r="E69" s="174">
        <f>SUMIF('Mapping HRGs to TFCs'!B:B,A69,'Mapping HRGs to TFCs'!F:F)</f>
        <v>14</v>
      </c>
      <c r="F69" s="174">
        <f>SUMIF('Mapping HRGs to TFCs'!B:B,A69,'Mapping HRGs to TFCs'!G:G)</f>
        <v>1175</v>
      </c>
      <c r="G69" s="177" t="str">
        <f>IF(ISERROR(VLOOKUP($A69,Mandatory!A:A,1,0)),"No","Yes")</f>
        <v>Yes</v>
      </c>
    </row>
    <row r="70" spans="1:7" ht="12.75">
      <c r="A70" s="163">
        <v>307</v>
      </c>
      <c r="B70" s="174">
        <f>SUMIF('Mapping HRGs to TFCs'!B:B,A70,'Mapping HRGs to TFCs'!C:C)</f>
        <v>19870</v>
      </c>
      <c r="C70" s="174">
        <f>SUMIF('Mapping HRGs to TFCs'!B:B,A70,'Mapping HRGs to TFCs'!D:D)</f>
        <v>2429</v>
      </c>
      <c r="D70" s="174">
        <f>SUMIF('Mapping HRGs to TFCs'!B:B,A70,'Mapping HRGs to TFCs'!E:E)</f>
        <v>10890</v>
      </c>
      <c r="E70" s="174">
        <f>SUMIF('Mapping HRGs to TFCs'!B:B,A70,'Mapping HRGs to TFCs'!F:F)</f>
        <v>1291</v>
      </c>
      <c r="F70" s="174">
        <f>SUMIF('Mapping HRGs to TFCs'!B:B,A70,'Mapping HRGs to TFCs'!G:G)</f>
        <v>34480</v>
      </c>
      <c r="G70" s="177" t="str">
        <f>IF(ISERROR(VLOOKUP($A70,Mandatory!A:A,1,0)),"No","Yes")</f>
        <v>Yes</v>
      </c>
    </row>
    <row r="71" spans="1:7" ht="12.75">
      <c r="A71" s="163">
        <v>308</v>
      </c>
      <c r="B71" s="174">
        <f>SUMIF('Mapping HRGs to TFCs'!B:B,A71,'Mapping HRGs to TFCs'!C:C)</f>
        <v>862</v>
      </c>
      <c r="C71" s="174">
        <f>SUMIF('Mapping HRGs to TFCs'!B:B,A71,'Mapping HRGs to TFCs'!D:D)</f>
        <v>32</v>
      </c>
      <c r="D71" s="174">
        <f>SUMIF('Mapping HRGs to TFCs'!B:B,A71,'Mapping HRGs to TFCs'!E:E)</f>
        <v>36</v>
      </c>
      <c r="E71" s="174">
        <f>SUMIF('Mapping HRGs to TFCs'!B:B,A71,'Mapping HRGs to TFCs'!F:F)</f>
        <v>0</v>
      </c>
      <c r="F71" s="174">
        <f>SUMIF('Mapping HRGs to TFCs'!B:B,A71,'Mapping HRGs to TFCs'!G:G)</f>
        <v>930</v>
      </c>
      <c r="G71" s="177" t="str">
        <f>IF(ISERROR(VLOOKUP($A71,Mandatory!A:A,1,0)),"No","Yes")</f>
        <v>No</v>
      </c>
    </row>
    <row r="72" spans="1:7" ht="12.75">
      <c r="A72" s="163">
        <v>309</v>
      </c>
      <c r="B72" s="174">
        <f>SUMIF('Mapping HRGs to TFCs'!B:B,A72,'Mapping HRGs to TFCs'!C:C)</f>
        <v>29</v>
      </c>
      <c r="C72" s="174">
        <f>SUMIF('Mapping HRGs to TFCs'!B:B,A72,'Mapping HRGs to TFCs'!D:D)</f>
        <v>5</v>
      </c>
      <c r="D72" s="174">
        <f>SUMIF('Mapping HRGs to TFCs'!B:B,A72,'Mapping HRGs to TFCs'!E:E)</f>
        <v>337</v>
      </c>
      <c r="E72" s="174">
        <f>SUMIF('Mapping HRGs to TFCs'!B:B,A72,'Mapping HRGs to TFCs'!F:F)</f>
        <v>3</v>
      </c>
      <c r="F72" s="174">
        <f>SUMIF('Mapping HRGs to TFCs'!B:B,A72,'Mapping HRGs to TFCs'!G:G)</f>
        <v>374</v>
      </c>
      <c r="G72" s="177" t="str">
        <f>IF(ISERROR(VLOOKUP($A72,Mandatory!A:A,1,0)),"No","Yes")</f>
        <v>No</v>
      </c>
    </row>
    <row r="73" spans="1:7" ht="12.75">
      <c r="A73" s="163">
        <v>310</v>
      </c>
      <c r="B73" s="174">
        <f>SUMIF('Mapping HRGs to TFCs'!B:B,A73,'Mapping HRGs to TFCs'!C:C)</f>
        <v>27810</v>
      </c>
      <c r="C73" s="174">
        <f>SUMIF('Mapping HRGs to TFCs'!B:B,A73,'Mapping HRGs to TFCs'!D:D)</f>
        <v>25378</v>
      </c>
      <c r="D73" s="174">
        <f>SUMIF('Mapping HRGs to TFCs'!B:B,A73,'Mapping HRGs to TFCs'!E:E)</f>
        <v>553</v>
      </c>
      <c r="E73" s="174">
        <f>SUMIF('Mapping HRGs to TFCs'!B:B,A73,'Mapping HRGs to TFCs'!F:F)</f>
        <v>480</v>
      </c>
      <c r="F73" s="174">
        <f>SUMIF('Mapping HRGs to TFCs'!B:B,A73,'Mapping HRGs to TFCs'!G:G)</f>
        <v>54221</v>
      </c>
      <c r="G73" s="177" t="str">
        <f>IF(ISERROR(VLOOKUP($A73,Mandatory!A:A,1,0)),"No","Yes")</f>
        <v>No</v>
      </c>
    </row>
    <row r="74" spans="1:7" ht="12.75">
      <c r="A74" s="163">
        <v>311</v>
      </c>
      <c r="B74" s="174">
        <f>SUMIF('Mapping HRGs to TFCs'!B:B,A74,'Mapping HRGs to TFCs'!C:C)</f>
        <v>14</v>
      </c>
      <c r="C74" s="174">
        <f>SUMIF('Mapping HRGs to TFCs'!B:B,A74,'Mapping HRGs to TFCs'!D:D)</f>
        <v>61</v>
      </c>
      <c r="D74" s="174">
        <f>SUMIF('Mapping HRGs to TFCs'!B:B,A74,'Mapping HRGs to TFCs'!E:E)</f>
        <v>33</v>
      </c>
      <c r="E74" s="174">
        <f>SUMIF('Mapping HRGs to TFCs'!B:B,A74,'Mapping HRGs to TFCs'!F:F)</f>
        <v>19</v>
      </c>
      <c r="F74" s="174">
        <f>SUMIF('Mapping HRGs to TFCs'!B:B,A74,'Mapping HRGs to TFCs'!G:G)</f>
        <v>127</v>
      </c>
      <c r="G74" s="177" t="str">
        <f>IF(ISERROR(VLOOKUP($A74,Mandatory!A:A,1,0)),"No","Yes")</f>
        <v>No</v>
      </c>
    </row>
    <row r="75" spans="1:7" ht="12.75">
      <c r="A75" s="163">
        <v>313</v>
      </c>
      <c r="B75" s="174">
        <f>SUMIF('Mapping HRGs to TFCs'!B:B,A75,'Mapping HRGs to TFCs'!C:C)</f>
        <v>633</v>
      </c>
      <c r="C75" s="174">
        <f>SUMIF('Mapping HRGs to TFCs'!B:B,A75,'Mapping HRGs to TFCs'!D:D)</f>
        <v>1593</v>
      </c>
      <c r="D75" s="174">
        <f>SUMIF('Mapping HRGs to TFCs'!B:B,A75,'Mapping HRGs to TFCs'!E:E)</f>
        <v>86</v>
      </c>
      <c r="E75" s="174">
        <f>SUMIF('Mapping HRGs to TFCs'!B:B,A75,'Mapping HRGs to TFCs'!F:F)</f>
        <v>727</v>
      </c>
      <c r="F75" s="174">
        <f>SUMIF('Mapping HRGs to TFCs'!B:B,A75,'Mapping HRGs to TFCs'!G:G)</f>
        <v>3039</v>
      </c>
      <c r="G75" s="177" t="str">
        <f>IF(ISERROR(VLOOKUP($A75,Mandatory!A:A,1,0)),"No","Yes")</f>
        <v>No</v>
      </c>
    </row>
    <row r="76" spans="1:7" ht="12.75">
      <c r="A76" s="163">
        <v>314</v>
      </c>
      <c r="B76" s="174">
        <f>SUMIF('Mapping HRGs to TFCs'!B:B,A76,'Mapping HRGs to TFCs'!C:C)</f>
        <v>695</v>
      </c>
      <c r="C76" s="174">
        <f>SUMIF('Mapping HRGs to TFCs'!B:B,A76,'Mapping HRGs to TFCs'!D:D)</f>
        <v>653</v>
      </c>
      <c r="D76" s="174">
        <f>SUMIF('Mapping HRGs to TFCs'!B:B,A76,'Mapping HRGs to TFCs'!E:E)</f>
        <v>395</v>
      </c>
      <c r="E76" s="174">
        <f>SUMIF('Mapping HRGs to TFCs'!B:B,A76,'Mapping HRGs to TFCs'!F:F)</f>
        <v>124</v>
      </c>
      <c r="F76" s="174">
        <f>SUMIF('Mapping HRGs to TFCs'!B:B,A76,'Mapping HRGs to TFCs'!G:G)</f>
        <v>1867</v>
      </c>
      <c r="G76" s="177" t="str">
        <f>IF(ISERROR(VLOOKUP($A76,Mandatory!A:A,1,0)),"No","Yes")</f>
        <v>No</v>
      </c>
    </row>
    <row r="77" spans="1:7" ht="12.75">
      <c r="A77" s="163">
        <v>315</v>
      </c>
      <c r="B77" s="174">
        <f>SUMIF('Mapping HRGs to TFCs'!B:B,A77,'Mapping HRGs to TFCs'!C:C)</f>
        <v>138</v>
      </c>
      <c r="C77" s="174">
        <f>SUMIF('Mapping HRGs to TFCs'!B:B,A77,'Mapping HRGs to TFCs'!D:D)</f>
        <v>24</v>
      </c>
      <c r="D77" s="174">
        <f>SUMIF('Mapping HRGs to TFCs'!B:B,A77,'Mapping HRGs to TFCs'!E:E)</f>
        <v>4</v>
      </c>
      <c r="E77" s="174">
        <f>SUMIF('Mapping HRGs to TFCs'!B:B,A77,'Mapping HRGs to TFCs'!F:F)</f>
        <v>1</v>
      </c>
      <c r="F77" s="174">
        <f>SUMIF('Mapping HRGs to TFCs'!B:B,A77,'Mapping HRGs to TFCs'!G:G)</f>
        <v>167</v>
      </c>
      <c r="G77" s="177" t="str">
        <f>IF(ISERROR(VLOOKUP($A77,Mandatory!A:A,1,0)),"No","Yes")</f>
        <v>No</v>
      </c>
    </row>
    <row r="78" spans="1:7" ht="12.75">
      <c r="A78" s="163">
        <v>316</v>
      </c>
      <c r="B78" s="174">
        <f>SUMIF('Mapping HRGs to TFCs'!B:B,A78,'Mapping HRGs to TFCs'!C:C)</f>
        <v>64</v>
      </c>
      <c r="C78" s="174">
        <f>SUMIF('Mapping HRGs to TFCs'!B:B,A78,'Mapping HRGs to TFCs'!D:D)</f>
        <v>242</v>
      </c>
      <c r="D78" s="174">
        <f>SUMIF('Mapping HRGs to TFCs'!B:B,A78,'Mapping HRGs to TFCs'!E:E)</f>
        <v>10</v>
      </c>
      <c r="E78" s="174">
        <f>SUMIF('Mapping HRGs to TFCs'!B:B,A78,'Mapping HRGs to TFCs'!F:F)</f>
        <v>7</v>
      </c>
      <c r="F78" s="174">
        <f>SUMIF('Mapping HRGs to TFCs'!B:B,A78,'Mapping HRGs to TFCs'!G:G)</f>
        <v>323</v>
      </c>
      <c r="G78" s="177" t="str">
        <f>IF(ISERROR(VLOOKUP($A78,Mandatory!A:A,1,0)),"No","Yes")</f>
        <v>No</v>
      </c>
    </row>
    <row r="79" spans="1:7" ht="12.75">
      <c r="A79" s="163">
        <v>317</v>
      </c>
      <c r="B79" s="174">
        <f>SUMIF('Mapping HRGs to TFCs'!B:B,A79,'Mapping HRGs to TFCs'!C:C)</f>
        <v>1960</v>
      </c>
      <c r="C79" s="174">
        <f>SUMIF('Mapping HRGs to TFCs'!B:B,A79,'Mapping HRGs to TFCs'!D:D)</f>
        <v>3319</v>
      </c>
      <c r="D79" s="174">
        <f>SUMIF('Mapping HRGs to TFCs'!B:B,A79,'Mapping HRGs to TFCs'!E:E)</f>
        <v>391</v>
      </c>
      <c r="E79" s="174">
        <f>SUMIF('Mapping HRGs to TFCs'!B:B,A79,'Mapping HRGs to TFCs'!F:F)</f>
        <v>1777</v>
      </c>
      <c r="F79" s="174">
        <f>SUMIF('Mapping HRGs to TFCs'!B:B,A79,'Mapping HRGs to TFCs'!G:G)</f>
        <v>7447</v>
      </c>
      <c r="G79" s="177" t="str">
        <f>IF(ISERROR(VLOOKUP($A79,Mandatory!A:A,1,0)),"No","Yes")</f>
        <v>No</v>
      </c>
    </row>
    <row r="80" spans="1:7" ht="12.75">
      <c r="A80" s="163">
        <v>318</v>
      </c>
      <c r="B80" s="174">
        <f>SUMIF('Mapping HRGs to TFCs'!B:B,A80,'Mapping HRGs to TFCs'!C:C)</f>
        <v>39</v>
      </c>
      <c r="C80" s="174">
        <f>SUMIF('Mapping HRGs to TFCs'!B:B,A80,'Mapping HRGs to TFCs'!D:D)</f>
        <v>264</v>
      </c>
      <c r="D80" s="174">
        <f>SUMIF('Mapping HRGs to TFCs'!B:B,A80,'Mapping HRGs to TFCs'!E:E)</f>
        <v>0</v>
      </c>
      <c r="E80" s="174">
        <f>SUMIF('Mapping HRGs to TFCs'!B:B,A80,'Mapping HRGs to TFCs'!F:F)</f>
        <v>0</v>
      </c>
      <c r="F80" s="174">
        <f>SUMIF('Mapping HRGs to TFCs'!B:B,A80,'Mapping HRGs to TFCs'!G:G)</f>
        <v>303</v>
      </c>
      <c r="G80" s="177" t="str">
        <f>IF(ISERROR(VLOOKUP($A80,Mandatory!A:A,1,0)),"No","Yes")</f>
        <v>No</v>
      </c>
    </row>
    <row r="81" spans="1:7" ht="12.75">
      <c r="A81" s="163">
        <v>320</v>
      </c>
      <c r="B81" s="174">
        <f>SUMIF('Mapping HRGs to TFCs'!B:B,A81,'Mapping HRGs to TFCs'!C:C)</f>
        <v>249195</v>
      </c>
      <c r="C81" s="174">
        <f>SUMIF('Mapping HRGs to TFCs'!B:B,A81,'Mapping HRGs to TFCs'!D:D)</f>
        <v>248054</v>
      </c>
      <c r="D81" s="174">
        <f>SUMIF('Mapping HRGs to TFCs'!B:B,A81,'Mapping HRGs to TFCs'!E:E)</f>
        <v>4577</v>
      </c>
      <c r="E81" s="174">
        <f>SUMIF('Mapping HRGs to TFCs'!B:B,A81,'Mapping HRGs to TFCs'!F:F)</f>
        <v>3182</v>
      </c>
      <c r="F81" s="174">
        <f>SUMIF('Mapping HRGs to TFCs'!B:B,A81,'Mapping HRGs to TFCs'!G:G)</f>
        <v>505008</v>
      </c>
      <c r="G81" s="177" t="str">
        <f>IF(ISERROR(VLOOKUP($A81,Mandatory!A:A,1,0)),"No","Yes")</f>
        <v>Yes</v>
      </c>
    </row>
    <row r="82" spans="1:7" ht="12.75">
      <c r="A82" s="163">
        <v>321</v>
      </c>
      <c r="B82" s="174">
        <f>SUMIF('Mapping HRGs to TFCs'!B:B,A82,'Mapping HRGs to TFCs'!C:C)</f>
        <v>10344</v>
      </c>
      <c r="C82" s="174">
        <f>SUMIF('Mapping HRGs to TFCs'!B:B,A82,'Mapping HRGs to TFCs'!D:D)</f>
        <v>8274</v>
      </c>
      <c r="D82" s="174">
        <f>SUMIF('Mapping HRGs to TFCs'!B:B,A82,'Mapping HRGs to TFCs'!E:E)</f>
        <v>541</v>
      </c>
      <c r="E82" s="174">
        <f>SUMIF('Mapping HRGs to TFCs'!B:B,A82,'Mapping HRGs to TFCs'!F:F)</f>
        <v>625</v>
      </c>
      <c r="F82" s="174">
        <f>SUMIF('Mapping HRGs to TFCs'!B:B,A82,'Mapping HRGs to TFCs'!G:G)</f>
        <v>19784</v>
      </c>
      <c r="G82" s="177" t="str">
        <f>IF(ISERROR(VLOOKUP($A82,Mandatory!A:A,1,0)),"No","Yes")</f>
        <v>Yes</v>
      </c>
    </row>
    <row r="83" spans="1:7" ht="12.75">
      <c r="A83" s="163">
        <v>322</v>
      </c>
      <c r="B83" s="174">
        <f>SUMIF('Mapping HRGs to TFCs'!B:B,A83,'Mapping HRGs to TFCs'!C:C)</f>
        <v>75</v>
      </c>
      <c r="C83" s="174">
        <f>SUMIF('Mapping HRGs to TFCs'!B:B,A83,'Mapping HRGs to TFCs'!D:D)</f>
        <v>5</v>
      </c>
      <c r="D83" s="174">
        <f>SUMIF('Mapping HRGs to TFCs'!B:B,A83,'Mapping HRGs to TFCs'!E:E)</f>
        <v>0</v>
      </c>
      <c r="E83" s="174">
        <f>SUMIF('Mapping HRGs to TFCs'!B:B,A83,'Mapping HRGs to TFCs'!F:F)</f>
        <v>0</v>
      </c>
      <c r="F83" s="174">
        <f>SUMIF('Mapping HRGs to TFCs'!B:B,A83,'Mapping HRGs to TFCs'!G:G)</f>
        <v>80</v>
      </c>
      <c r="G83" s="177" t="str">
        <f>IF(ISERROR(VLOOKUP($A83,Mandatory!A:A,1,0)),"No","Yes")</f>
        <v>No</v>
      </c>
    </row>
    <row r="84" spans="1:7" ht="12.75">
      <c r="A84" s="163">
        <v>323</v>
      </c>
      <c r="B84" s="174">
        <f>SUMIF('Mapping HRGs to TFCs'!B:B,A84,'Mapping HRGs to TFCs'!C:C)</f>
        <v>970</v>
      </c>
      <c r="C84" s="174">
        <f>SUMIF('Mapping HRGs to TFCs'!B:B,A84,'Mapping HRGs to TFCs'!D:D)</f>
        <v>14</v>
      </c>
      <c r="D84" s="174">
        <f>SUMIF('Mapping HRGs to TFCs'!B:B,A84,'Mapping HRGs to TFCs'!E:E)</f>
        <v>3</v>
      </c>
      <c r="E84" s="174">
        <f>SUMIF('Mapping HRGs to TFCs'!B:B,A84,'Mapping HRGs to TFCs'!F:F)</f>
        <v>0</v>
      </c>
      <c r="F84" s="174">
        <f>SUMIF('Mapping HRGs to TFCs'!B:B,A84,'Mapping HRGs to TFCs'!G:G)</f>
        <v>987</v>
      </c>
      <c r="G84" s="177" t="str">
        <f>IF(ISERROR(VLOOKUP($A84,Mandatory!A:A,1,0)),"No","Yes")</f>
        <v>No</v>
      </c>
    </row>
    <row r="85" spans="1:7" ht="12.75">
      <c r="A85" s="163">
        <v>324</v>
      </c>
      <c r="B85" s="174">
        <f>SUMIF('Mapping HRGs to TFCs'!B:B,A85,'Mapping HRGs to TFCs'!C:C)</f>
        <v>144</v>
      </c>
      <c r="C85" s="174">
        <f>SUMIF('Mapping HRGs to TFCs'!B:B,A85,'Mapping HRGs to TFCs'!D:D)</f>
        <v>583</v>
      </c>
      <c r="D85" s="174">
        <f>SUMIF('Mapping HRGs to TFCs'!B:B,A85,'Mapping HRGs to TFCs'!E:E)</f>
        <v>9</v>
      </c>
      <c r="E85" s="174">
        <f>SUMIF('Mapping HRGs to TFCs'!B:B,A85,'Mapping HRGs to TFCs'!F:F)</f>
        <v>8</v>
      </c>
      <c r="F85" s="174">
        <f>SUMIF('Mapping HRGs to TFCs'!B:B,A85,'Mapping HRGs to TFCs'!G:G)</f>
        <v>744</v>
      </c>
      <c r="G85" s="177" t="str">
        <f>IF(ISERROR(VLOOKUP($A85,Mandatory!A:A,1,0)),"No","Yes")</f>
        <v>No</v>
      </c>
    </row>
    <row r="86" spans="1:7" ht="12.75">
      <c r="A86" s="163">
        <v>325</v>
      </c>
      <c r="B86" s="174">
        <f>SUMIF('Mapping HRGs to TFCs'!B:B,A86,'Mapping HRGs to TFCs'!C:C)</f>
        <v>14</v>
      </c>
      <c r="C86" s="174">
        <f>SUMIF('Mapping HRGs to TFCs'!B:B,A86,'Mapping HRGs to TFCs'!D:D)</f>
        <v>2</v>
      </c>
      <c r="D86" s="174">
        <f>SUMIF('Mapping HRGs to TFCs'!B:B,A86,'Mapping HRGs to TFCs'!E:E)</f>
        <v>0</v>
      </c>
      <c r="E86" s="174">
        <f>SUMIF('Mapping HRGs to TFCs'!B:B,A86,'Mapping HRGs to TFCs'!F:F)</f>
        <v>0</v>
      </c>
      <c r="F86" s="174">
        <f>SUMIF('Mapping HRGs to TFCs'!B:B,A86,'Mapping HRGs to TFCs'!G:G)</f>
        <v>16</v>
      </c>
      <c r="G86" s="177" t="str">
        <f>IF(ISERROR(VLOOKUP($A86,Mandatory!A:A,1,0)),"No","Yes")</f>
        <v>No</v>
      </c>
    </row>
    <row r="87" spans="1:7" ht="12.75">
      <c r="A87" s="163">
        <v>327</v>
      </c>
      <c r="B87" s="174">
        <f>SUMIF('Mapping HRGs to TFCs'!B:B,A87,'Mapping HRGs to TFCs'!C:C)</f>
        <v>46</v>
      </c>
      <c r="C87" s="174">
        <f>SUMIF('Mapping HRGs to TFCs'!B:B,A87,'Mapping HRGs to TFCs'!D:D)</f>
        <v>4</v>
      </c>
      <c r="D87" s="174">
        <f>SUMIF('Mapping HRGs to TFCs'!B:B,A87,'Mapping HRGs to TFCs'!E:E)</f>
        <v>0</v>
      </c>
      <c r="E87" s="174">
        <f>SUMIF('Mapping HRGs to TFCs'!B:B,A87,'Mapping HRGs to TFCs'!F:F)</f>
        <v>0</v>
      </c>
      <c r="F87" s="174">
        <f>SUMIF('Mapping HRGs to TFCs'!B:B,A87,'Mapping HRGs to TFCs'!G:G)</f>
        <v>50</v>
      </c>
      <c r="G87" s="177" t="str">
        <f>IF(ISERROR(VLOOKUP($A87,Mandatory!A:A,1,0)),"No","Yes")</f>
        <v>No</v>
      </c>
    </row>
    <row r="88" spans="1:7" ht="12.75">
      <c r="A88" s="163">
        <v>328</v>
      </c>
      <c r="B88" s="174">
        <f>SUMIF('Mapping HRGs to TFCs'!B:B,A88,'Mapping HRGs to TFCs'!C:C)</f>
        <v>252</v>
      </c>
      <c r="C88" s="174">
        <f>SUMIF('Mapping HRGs to TFCs'!B:B,A88,'Mapping HRGs to TFCs'!D:D)</f>
        <v>575</v>
      </c>
      <c r="D88" s="174">
        <f>SUMIF('Mapping HRGs to TFCs'!B:B,A88,'Mapping HRGs to TFCs'!E:E)</f>
        <v>2</v>
      </c>
      <c r="E88" s="174">
        <f>SUMIF('Mapping HRGs to TFCs'!B:B,A88,'Mapping HRGs to TFCs'!F:F)</f>
        <v>14</v>
      </c>
      <c r="F88" s="174">
        <f>SUMIF('Mapping HRGs to TFCs'!B:B,A88,'Mapping HRGs to TFCs'!G:G)</f>
        <v>843</v>
      </c>
      <c r="G88" s="177" t="str">
        <f>IF(ISERROR(VLOOKUP($A88,Mandatory!A:A,1,0)),"No","Yes")</f>
        <v>No</v>
      </c>
    </row>
    <row r="89" spans="1:7" ht="12.75">
      <c r="A89" s="163">
        <v>329</v>
      </c>
      <c r="B89" s="174">
        <f>SUMIF('Mapping HRGs to TFCs'!B:B,A89,'Mapping HRGs to TFCs'!C:C)</f>
        <v>93</v>
      </c>
      <c r="C89" s="174">
        <f>SUMIF('Mapping HRGs to TFCs'!B:B,A89,'Mapping HRGs to TFCs'!D:D)</f>
        <v>2896</v>
      </c>
      <c r="D89" s="174">
        <f>SUMIF('Mapping HRGs to TFCs'!B:B,A89,'Mapping HRGs to TFCs'!E:E)</f>
        <v>2</v>
      </c>
      <c r="E89" s="174">
        <f>SUMIF('Mapping HRGs to TFCs'!B:B,A89,'Mapping HRGs to TFCs'!F:F)</f>
        <v>135</v>
      </c>
      <c r="F89" s="174">
        <f>SUMIF('Mapping HRGs to TFCs'!B:B,A89,'Mapping HRGs to TFCs'!G:G)</f>
        <v>3126</v>
      </c>
      <c r="G89" s="177" t="str">
        <f>IF(ISERROR(VLOOKUP($A89,Mandatory!A:A,1,0)),"No","Yes")</f>
        <v>Yes</v>
      </c>
    </row>
    <row r="90" spans="1:7" ht="12.75">
      <c r="A90" s="163">
        <v>330</v>
      </c>
      <c r="B90" s="174">
        <f>SUMIF('Mapping HRGs to TFCs'!B:B,A90,'Mapping HRGs to TFCs'!C:C)</f>
        <v>865944</v>
      </c>
      <c r="C90" s="174">
        <f>SUMIF('Mapping HRGs to TFCs'!B:B,A90,'Mapping HRGs to TFCs'!D:D)</f>
        <v>161629</v>
      </c>
      <c r="D90" s="174">
        <f>SUMIF('Mapping HRGs to TFCs'!B:B,A90,'Mapping HRGs to TFCs'!E:E)</f>
        <v>5104</v>
      </c>
      <c r="E90" s="174">
        <f>SUMIF('Mapping HRGs to TFCs'!B:B,A90,'Mapping HRGs to TFCs'!F:F)</f>
        <v>2429</v>
      </c>
      <c r="F90" s="174">
        <f>SUMIF('Mapping HRGs to TFCs'!B:B,A90,'Mapping HRGs to TFCs'!G:G)</f>
        <v>1035106</v>
      </c>
      <c r="G90" s="177" t="str">
        <f>IF(ISERROR(VLOOKUP($A90,Mandatory!A:A,1,0)),"No","Yes")</f>
        <v>Yes</v>
      </c>
    </row>
    <row r="91" spans="1:7" ht="12.75">
      <c r="A91" s="163">
        <v>331</v>
      </c>
      <c r="B91" s="174">
        <f>SUMIF('Mapping HRGs to TFCs'!B:B,A91,'Mapping HRGs to TFCs'!C:C)</f>
        <v>73</v>
      </c>
      <c r="C91" s="174">
        <f>SUMIF('Mapping HRGs to TFCs'!B:B,A91,'Mapping HRGs to TFCs'!D:D)</f>
        <v>34</v>
      </c>
      <c r="D91" s="174">
        <f>SUMIF('Mapping HRGs to TFCs'!B:B,A91,'Mapping HRGs to TFCs'!E:E)</f>
        <v>0</v>
      </c>
      <c r="E91" s="174">
        <f>SUMIF('Mapping HRGs to TFCs'!B:B,A91,'Mapping HRGs to TFCs'!F:F)</f>
        <v>0</v>
      </c>
      <c r="F91" s="174">
        <f>SUMIF('Mapping HRGs to TFCs'!B:B,A91,'Mapping HRGs to TFCs'!G:G)</f>
        <v>107</v>
      </c>
      <c r="G91" s="177" t="str">
        <f>IF(ISERROR(VLOOKUP($A91,Mandatory!A:A,1,0)),"No","Yes")</f>
        <v>No</v>
      </c>
    </row>
    <row r="92" spans="1:7" ht="12.75">
      <c r="A92" s="163">
        <v>340</v>
      </c>
      <c r="B92" s="174">
        <f>SUMIF('Mapping HRGs to TFCs'!B:B,A92,'Mapping HRGs to TFCs'!C:C)</f>
        <v>125379</v>
      </c>
      <c r="C92" s="174">
        <f>SUMIF('Mapping HRGs to TFCs'!B:B,A92,'Mapping HRGs to TFCs'!D:D)</f>
        <v>83844</v>
      </c>
      <c r="D92" s="174">
        <f>SUMIF('Mapping HRGs to TFCs'!B:B,A92,'Mapping HRGs to TFCs'!E:E)</f>
        <v>6067</v>
      </c>
      <c r="E92" s="174">
        <f>SUMIF('Mapping HRGs to TFCs'!B:B,A92,'Mapping HRGs to TFCs'!F:F)</f>
        <v>4354</v>
      </c>
      <c r="F92" s="174">
        <f>SUMIF('Mapping HRGs to TFCs'!B:B,A92,'Mapping HRGs to TFCs'!G:G)</f>
        <v>219644</v>
      </c>
      <c r="G92" s="177" t="str">
        <f>IF(ISERROR(VLOOKUP($A92,Mandatory!A:A,1,0)),"No","Yes")</f>
        <v>Yes</v>
      </c>
    </row>
    <row r="93" spans="1:7" ht="12.75">
      <c r="A93" s="163">
        <v>341</v>
      </c>
      <c r="B93" s="174">
        <f>SUMIF('Mapping HRGs to TFCs'!B:B,A93,'Mapping HRGs to TFCs'!C:C)</f>
        <v>15116</v>
      </c>
      <c r="C93" s="174">
        <f>SUMIF('Mapping HRGs to TFCs'!B:B,A93,'Mapping HRGs to TFCs'!D:D)</f>
        <v>20845</v>
      </c>
      <c r="D93" s="174">
        <f>SUMIF('Mapping HRGs to TFCs'!B:B,A93,'Mapping HRGs to TFCs'!E:E)</f>
        <v>24</v>
      </c>
      <c r="E93" s="174">
        <f>SUMIF('Mapping HRGs to TFCs'!B:B,A93,'Mapping HRGs to TFCs'!F:F)</f>
        <v>17</v>
      </c>
      <c r="F93" s="174">
        <f>SUMIF('Mapping HRGs to TFCs'!B:B,A93,'Mapping HRGs to TFCs'!G:G)</f>
        <v>36002</v>
      </c>
      <c r="G93" s="177" t="str">
        <f>IF(ISERROR(VLOOKUP($A93,Mandatory!A:A,1,0)),"No","Yes")</f>
        <v>Yes</v>
      </c>
    </row>
    <row r="94" spans="1:7" ht="12.75">
      <c r="A94" s="163">
        <v>342</v>
      </c>
      <c r="B94" s="174">
        <f>SUMIF('Mapping HRGs to TFCs'!B:B,A94,'Mapping HRGs to TFCs'!C:C)</f>
        <v>2125</v>
      </c>
      <c r="C94" s="174">
        <f>SUMIF('Mapping HRGs to TFCs'!B:B,A94,'Mapping HRGs to TFCs'!D:D)</f>
        <v>680</v>
      </c>
      <c r="D94" s="174">
        <f>SUMIF('Mapping HRGs to TFCs'!B:B,A94,'Mapping HRGs to TFCs'!E:E)</f>
        <v>0</v>
      </c>
      <c r="E94" s="174">
        <f>SUMIF('Mapping HRGs to TFCs'!B:B,A94,'Mapping HRGs to TFCs'!F:F)</f>
        <v>0</v>
      </c>
      <c r="F94" s="174">
        <f>SUMIF('Mapping HRGs to TFCs'!B:B,A94,'Mapping HRGs to TFCs'!G:G)</f>
        <v>2805</v>
      </c>
      <c r="G94" s="177" t="str">
        <f>IF(ISERROR(VLOOKUP($A94,Mandatory!A:A,1,0)),"No","Yes")</f>
        <v>No</v>
      </c>
    </row>
    <row r="95" spans="1:7" ht="12.75">
      <c r="A95" s="163">
        <v>346</v>
      </c>
      <c r="B95" s="174">
        <f>SUMIF('Mapping HRGs to TFCs'!B:B,A95,'Mapping HRGs to TFCs'!C:C)</f>
        <v>0</v>
      </c>
      <c r="C95" s="174">
        <f>SUMIF('Mapping HRGs to TFCs'!B:B,A95,'Mapping HRGs to TFCs'!D:D)</f>
        <v>0</v>
      </c>
      <c r="D95" s="174">
        <f>SUMIF('Mapping HRGs to TFCs'!B:B,A95,'Mapping HRGs to TFCs'!E:E)</f>
        <v>0</v>
      </c>
      <c r="E95" s="174">
        <f>SUMIF('Mapping HRGs to TFCs'!B:B,A95,'Mapping HRGs to TFCs'!F:F)</f>
        <v>0</v>
      </c>
      <c r="F95" s="174">
        <f>SUMIF('Mapping HRGs to TFCs'!B:B,A95,'Mapping HRGs to TFCs'!G:G)</f>
        <v>0</v>
      </c>
      <c r="G95" s="177" t="str">
        <f>IF(ISERROR(VLOOKUP($A95,Mandatory!A:A,1,0)),"No","Yes")</f>
        <v>No</v>
      </c>
    </row>
    <row r="96" spans="1:7" ht="12.75">
      <c r="A96" s="163">
        <v>350</v>
      </c>
      <c r="B96" s="174">
        <f>SUMIF('Mapping HRGs to TFCs'!B:B,A96,'Mapping HRGs to TFCs'!C:C)</f>
        <v>1072</v>
      </c>
      <c r="C96" s="174">
        <f>SUMIF('Mapping HRGs to TFCs'!B:B,A96,'Mapping HRGs to TFCs'!D:D)</f>
        <v>502</v>
      </c>
      <c r="D96" s="174">
        <f>SUMIF('Mapping HRGs to TFCs'!B:B,A96,'Mapping HRGs to TFCs'!E:E)</f>
        <v>21</v>
      </c>
      <c r="E96" s="174">
        <f>SUMIF('Mapping HRGs to TFCs'!B:B,A96,'Mapping HRGs to TFCs'!F:F)</f>
        <v>61</v>
      </c>
      <c r="F96" s="174">
        <f>SUMIF('Mapping HRGs to TFCs'!B:B,A96,'Mapping HRGs to TFCs'!G:G)</f>
        <v>1656</v>
      </c>
      <c r="G96" s="177" t="str">
        <f>IF(ISERROR(VLOOKUP($A96,Mandatory!A:A,1,0)),"No","Yes")</f>
        <v>Yes</v>
      </c>
    </row>
    <row r="97" spans="1:7" ht="12.75">
      <c r="A97" s="163">
        <v>352</v>
      </c>
      <c r="B97" s="174">
        <f>SUMIF('Mapping HRGs to TFCs'!B:B,A97,'Mapping HRGs to TFCs'!C:C)</f>
        <v>18</v>
      </c>
      <c r="C97" s="174">
        <f>SUMIF('Mapping HRGs to TFCs'!B:B,A97,'Mapping HRGs to TFCs'!D:D)</f>
        <v>15</v>
      </c>
      <c r="D97" s="174">
        <f>SUMIF('Mapping HRGs to TFCs'!B:B,A97,'Mapping HRGs to TFCs'!E:E)</f>
        <v>27</v>
      </c>
      <c r="E97" s="174">
        <f>SUMIF('Mapping HRGs to TFCs'!B:B,A97,'Mapping HRGs to TFCs'!F:F)</f>
        <v>16</v>
      </c>
      <c r="F97" s="174">
        <f>SUMIF('Mapping HRGs to TFCs'!B:B,A97,'Mapping HRGs to TFCs'!G:G)</f>
        <v>76</v>
      </c>
      <c r="G97" s="177" t="str">
        <f>IF(ISERROR(VLOOKUP($A97,Mandatory!A:A,1,0)),"No","Yes")</f>
        <v>No</v>
      </c>
    </row>
    <row r="98" spans="1:7" ht="12.75">
      <c r="A98" s="163">
        <v>360</v>
      </c>
      <c r="B98" s="174">
        <f>SUMIF('Mapping HRGs to TFCs'!B:B,A98,'Mapping HRGs to TFCs'!C:C)</f>
        <v>589</v>
      </c>
      <c r="C98" s="174">
        <f>SUMIF('Mapping HRGs to TFCs'!B:B,A98,'Mapping HRGs to TFCs'!D:D)</f>
        <v>2316</v>
      </c>
      <c r="D98" s="174">
        <f>SUMIF('Mapping HRGs to TFCs'!B:B,A98,'Mapping HRGs to TFCs'!E:E)</f>
        <v>0</v>
      </c>
      <c r="E98" s="174">
        <f>SUMIF('Mapping HRGs to TFCs'!B:B,A98,'Mapping HRGs to TFCs'!F:F)</f>
        <v>0</v>
      </c>
      <c r="F98" s="174">
        <f>SUMIF('Mapping HRGs to TFCs'!B:B,A98,'Mapping HRGs to TFCs'!G:G)</f>
        <v>2905</v>
      </c>
      <c r="G98" s="177" t="str">
        <f>IF(ISERROR(VLOOKUP($A98,Mandatory!A:A,1,0)),"No","Yes")</f>
        <v>No</v>
      </c>
    </row>
    <row r="99" spans="1:7" ht="12.75">
      <c r="A99" s="163">
        <v>361</v>
      </c>
      <c r="B99" s="174">
        <f>SUMIF('Mapping HRGs to TFCs'!B:B,A99,'Mapping HRGs to TFCs'!C:C)</f>
        <v>19838</v>
      </c>
      <c r="C99" s="174">
        <f>SUMIF('Mapping HRGs to TFCs'!B:B,A99,'Mapping HRGs to TFCs'!D:D)</f>
        <v>1786</v>
      </c>
      <c r="D99" s="174">
        <f>SUMIF('Mapping HRGs to TFCs'!B:B,A99,'Mapping HRGs to TFCs'!E:E)</f>
        <v>1356</v>
      </c>
      <c r="E99" s="174">
        <f>SUMIF('Mapping HRGs to TFCs'!B:B,A99,'Mapping HRGs to TFCs'!F:F)</f>
        <v>127</v>
      </c>
      <c r="F99" s="174">
        <f>SUMIF('Mapping HRGs to TFCs'!B:B,A99,'Mapping HRGs to TFCs'!G:G)</f>
        <v>23107</v>
      </c>
      <c r="G99" s="177" t="str">
        <f>IF(ISERROR(VLOOKUP($A99,Mandatory!A:A,1,0)),"No","Yes")</f>
        <v>Yes</v>
      </c>
    </row>
    <row r="100" spans="1:7" ht="12.75">
      <c r="A100" s="163">
        <v>370</v>
      </c>
      <c r="B100" s="174">
        <f>SUMIF('Mapping HRGs to TFCs'!B:B,A100,'Mapping HRGs to TFCs'!C:C)</f>
        <v>152533</v>
      </c>
      <c r="C100" s="174">
        <f>SUMIF('Mapping HRGs to TFCs'!B:B,A100,'Mapping HRGs to TFCs'!D:D)</f>
        <v>4177</v>
      </c>
      <c r="D100" s="174">
        <f>SUMIF('Mapping HRGs to TFCs'!B:B,A100,'Mapping HRGs to TFCs'!E:E)</f>
        <v>1914</v>
      </c>
      <c r="E100" s="174">
        <f>SUMIF('Mapping HRGs to TFCs'!B:B,A100,'Mapping HRGs to TFCs'!F:F)</f>
        <v>56</v>
      </c>
      <c r="F100" s="174">
        <f>SUMIF('Mapping HRGs to TFCs'!B:B,A100,'Mapping HRGs to TFCs'!G:G)</f>
        <v>158680</v>
      </c>
      <c r="G100" s="177" t="str">
        <f>IF(ISERROR(VLOOKUP($A100,Mandatory!A:A,1,0)),"No","Yes")</f>
        <v>Yes</v>
      </c>
    </row>
    <row r="101" spans="1:7" ht="12.75">
      <c r="A101" s="163">
        <v>371</v>
      </c>
      <c r="B101" s="174">
        <f>SUMIF('Mapping HRGs to TFCs'!B:B,A101,'Mapping HRGs to TFCs'!C:C)</f>
        <v>161</v>
      </c>
      <c r="C101" s="174">
        <f>SUMIF('Mapping HRGs to TFCs'!B:B,A101,'Mapping HRGs to TFCs'!D:D)</f>
        <v>92</v>
      </c>
      <c r="D101" s="174">
        <f>SUMIF('Mapping HRGs to TFCs'!B:B,A101,'Mapping HRGs to TFCs'!E:E)</f>
        <v>0</v>
      </c>
      <c r="E101" s="174">
        <f>SUMIF('Mapping HRGs to TFCs'!B:B,A101,'Mapping HRGs to TFCs'!F:F)</f>
        <v>0</v>
      </c>
      <c r="F101" s="174">
        <f>SUMIF('Mapping HRGs to TFCs'!B:B,A101,'Mapping HRGs to TFCs'!G:G)</f>
        <v>253</v>
      </c>
      <c r="G101" s="177" t="str">
        <f>IF(ISERROR(VLOOKUP($A101,Mandatory!A:A,1,0)),"No","Yes")</f>
        <v>No</v>
      </c>
    </row>
    <row r="102" spans="1:7" ht="12.75">
      <c r="A102" s="163">
        <v>400</v>
      </c>
      <c r="B102" s="174">
        <f>SUMIF('Mapping HRGs to TFCs'!B:B,A102,'Mapping HRGs to TFCs'!C:C)</f>
        <v>8506</v>
      </c>
      <c r="C102" s="174">
        <f>SUMIF('Mapping HRGs to TFCs'!B:B,A102,'Mapping HRGs to TFCs'!D:D)</f>
        <v>15875</v>
      </c>
      <c r="D102" s="174">
        <f>SUMIF('Mapping HRGs to TFCs'!B:B,A102,'Mapping HRGs to TFCs'!E:E)</f>
        <v>223</v>
      </c>
      <c r="E102" s="174">
        <f>SUMIF('Mapping HRGs to TFCs'!B:B,A102,'Mapping HRGs to TFCs'!F:F)</f>
        <v>235</v>
      </c>
      <c r="F102" s="174">
        <f>SUMIF('Mapping HRGs to TFCs'!B:B,A102,'Mapping HRGs to TFCs'!G:G)</f>
        <v>24839</v>
      </c>
      <c r="G102" s="177" t="str">
        <f>IF(ISERROR(VLOOKUP($A102,Mandatory!A:A,1,0)),"No","Yes")</f>
        <v>Yes</v>
      </c>
    </row>
    <row r="103" spans="1:7" ht="12.75">
      <c r="A103" s="163">
        <v>401</v>
      </c>
      <c r="B103" s="174">
        <f>SUMIF('Mapping HRGs to TFCs'!B:B,A103,'Mapping HRGs to TFCs'!C:C)</f>
        <v>2509</v>
      </c>
      <c r="C103" s="174">
        <f>SUMIF('Mapping HRGs to TFCs'!B:B,A103,'Mapping HRGs to TFCs'!D:D)</f>
        <v>36371</v>
      </c>
      <c r="D103" s="174">
        <f>SUMIF('Mapping HRGs to TFCs'!B:B,A103,'Mapping HRGs to TFCs'!E:E)</f>
        <v>0</v>
      </c>
      <c r="E103" s="174">
        <f>SUMIF('Mapping HRGs to TFCs'!B:B,A103,'Mapping HRGs to TFCs'!F:F)</f>
        <v>93</v>
      </c>
      <c r="F103" s="174">
        <f>SUMIF('Mapping HRGs to TFCs'!B:B,A103,'Mapping HRGs to TFCs'!G:G)</f>
        <v>38973</v>
      </c>
      <c r="G103" s="177" t="str">
        <f>IF(ISERROR(VLOOKUP($A103,Mandatory!A:A,1,0)),"No","Yes")</f>
        <v>No</v>
      </c>
    </row>
    <row r="104" spans="1:7" ht="12.75">
      <c r="A104" s="163">
        <v>410</v>
      </c>
      <c r="B104" s="174">
        <f>SUMIF('Mapping HRGs to TFCs'!B:B,A104,'Mapping HRGs to TFCs'!C:C)</f>
        <v>23043</v>
      </c>
      <c r="C104" s="174">
        <f>SUMIF('Mapping HRGs to TFCs'!B:B,A104,'Mapping HRGs to TFCs'!D:D)</f>
        <v>7473</v>
      </c>
      <c r="D104" s="174">
        <f>SUMIF('Mapping HRGs to TFCs'!B:B,A104,'Mapping HRGs to TFCs'!E:E)</f>
        <v>342</v>
      </c>
      <c r="E104" s="174">
        <f>SUMIF('Mapping HRGs to TFCs'!B:B,A104,'Mapping HRGs to TFCs'!F:F)</f>
        <v>89</v>
      </c>
      <c r="F104" s="174">
        <f>SUMIF('Mapping HRGs to TFCs'!B:B,A104,'Mapping HRGs to TFCs'!G:G)</f>
        <v>30947</v>
      </c>
      <c r="G104" s="177" t="str">
        <f>IF(ISERROR(VLOOKUP($A104,Mandatory!A:A,1,0)),"No","Yes")</f>
        <v>Yes</v>
      </c>
    </row>
    <row r="105" spans="1:7" ht="12.75">
      <c r="A105" s="163">
        <v>420</v>
      </c>
      <c r="B105" s="174">
        <f>SUMIF('Mapping HRGs to TFCs'!B:B,A105,'Mapping HRGs to TFCs'!C:C)</f>
        <v>17441</v>
      </c>
      <c r="C105" s="174">
        <f>SUMIF('Mapping HRGs to TFCs'!B:B,A105,'Mapping HRGs to TFCs'!D:D)</f>
        <v>18720</v>
      </c>
      <c r="D105" s="174">
        <f>SUMIF('Mapping HRGs to TFCs'!B:B,A105,'Mapping HRGs to TFCs'!E:E)</f>
        <v>2094</v>
      </c>
      <c r="E105" s="174">
        <f>SUMIF('Mapping HRGs to TFCs'!B:B,A105,'Mapping HRGs to TFCs'!F:F)</f>
        <v>1394</v>
      </c>
      <c r="F105" s="174">
        <f>SUMIF('Mapping HRGs to TFCs'!B:B,A105,'Mapping HRGs to TFCs'!G:G)</f>
        <v>39649</v>
      </c>
      <c r="G105" s="177" t="str">
        <f>IF(ISERROR(VLOOKUP($A105,Mandatory!A:A,1,0)),"No","Yes")</f>
        <v>Yes</v>
      </c>
    </row>
    <row r="106" spans="1:7" ht="12.75">
      <c r="A106" s="163">
        <v>421</v>
      </c>
      <c r="B106" s="174">
        <f>SUMIF('Mapping HRGs to TFCs'!B:B,A106,'Mapping HRGs to TFCs'!C:C)</f>
        <v>100</v>
      </c>
      <c r="C106" s="174">
        <f>SUMIF('Mapping HRGs to TFCs'!B:B,A106,'Mapping HRGs to TFCs'!D:D)</f>
        <v>246</v>
      </c>
      <c r="D106" s="174">
        <f>SUMIF('Mapping HRGs to TFCs'!B:B,A106,'Mapping HRGs to TFCs'!E:E)</f>
        <v>29</v>
      </c>
      <c r="E106" s="174">
        <f>SUMIF('Mapping HRGs to TFCs'!B:B,A106,'Mapping HRGs to TFCs'!F:F)</f>
        <v>10</v>
      </c>
      <c r="F106" s="174">
        <f>SUMIF('Mapping HRGs to TFCs'!B:B,A106,'Mapping HRGs to TFCs'!G:G)</f>
        <v>385</v>
      </c>
      <c r="G106" s="177" t="str">
        <f>IF(ISERROR(VLOOKUP($A106,Mandatory!A:A,1,0)),"No","Yes")</f>
        <v>Yes</v>
      </c>
    </row>
    <row r="107" spans="1:7" ht="12.75">
      <c r="A107" s="163">
        <v>422</v>
      </c>
      <c r="B107" s="174">
        <f>SUMIF('Mapping HRGs to TFCs'!B:B,A107,'Mapping HRGs to TFCs'!C:C)</f>
        <v>216</v>
      </c>
      <c r="C107" s="174">
        <f>SUMIF('Mapping HRGs to TFCs'!B:B,A107,'Mapping HRGs to TFCs'!D:D)</f>
        <v>379</v>
      </c>
      <c r="D107" s="174">
        <f>SUMIF('Mapping HRGs to TFCs'!B:B,A107,'Mapping HRGs to TFCs'!E:E)</f>
        <v>0</v>
      </c>
      <c r="E107" s="174">
        <f>SUMIF('Mapping HRGs to TFCs'!B:B,A107,'Mapping HRGs to TFCs'!F:F)</f>
        <v>1</v>
      </c>
      <c r="F107" s="174">
        <f>SUMIF('Mapping HRGs to TFCs'!B:B,A107,'Mapping HRGs to TFCs'!G:G)</f>
        <v>596</v>
      </c>
      <c r="G107" s="177" t="str">
        <f>IF(ISERROR(VLOOKUP($A107,Mandatory!A:A,1,0)),"No","Yes")</f>
        <v>No</v>
      </c>
    </row>
    <row r="108" spans="1:7" ht="12.75">
      <c r="A108" s="163">
        <v>430</v>
      </c>
      <c r="B108" s="174">
        <f>SUMIF('Mapping HRGs to TFCs'!B:B,A108,'Mapping HRGs to TFCs'!C:C)</f>
        <v>3395</v>
      </c>
      <c r="C108" s="174">
        <f>SUMIF('Mapping HRGs to TFCs'!B:B,A108,'Mapping HRGs to TFCs'!D:D)</f>
        <v>7274</v>
      </c>
      <c r="D108" s="174">
        <f>SUMIF('Mapping HRGs to TFCs'!B:B,A108,'Mapping HRGs to TFCs'!E:E)</f>
        <v>48</v>
      </c>
      <c r="E108" s="174">
        <f>SUMIF('Mapping HRGs to TFCs'!B:B,A108,'Mapping HRGs to TFCs'!F:F)</f>
        <v>623</v>
      </c>
      <c r="F108" s="174">
        <f>SUMIF('Mapping HRGs to TFCs'!B:B,A108,'Mapping HRGs to TFCs'!G:G)</f>
        <v>11340</v>
      </c>
      <c r="G108" s="177" t="str">
        <f>IF(ISERROR(VLOOKUP($A108,Mandatory!A:A,1,0)),"No","Yes")</f>
        <v>Yes</v>
      </c>
    </row>
    <row r="109" spans="1:7" ht="12.75">
      <c r="A109" s="163">
        <v>450</v>
      </c>
      <c r="B109" s="174">
        <f>SUMIF('Mapping HRGs to TFCs'!B:B,A109,'Mapping HRGs to TFCs'!C:C)</f>
        <v>4828</v>
      </c>
      <c r="C109" s="174">
        <f>SUMIF('Mapping HRGs to TFCs'!B:B,A109,'Mapping HRGs to TFCs'!D:D)</f>
        <v>1572</v>
      </c>
      <c r="D109" s="174">
        <f>SUMIF('Mapping HRGs to TFCs'!B:B,A109,'Mapping HRGs to TFCs'!E:E)</f>
        <v>4</v>
      </c>
      <c r="E109" s="174">
        <f>SUMIF('Mapping HRGs to TFCs'!B:B,A109,'Mapping HRGs to TFCs'!F:F)</f>
        <v>11</v>
      </c>
      <c r="F109" s="174">
        <f>SUMIF('Mapping HRGs to TFCs'!B:B,A109,'Mapping HRGs to TFCs'!G:G)</f>
        <v>6415</v>
      </c>
      <c r="G109" s="177" t="str">
        <f>IF(ISERROR(VLOOKUP($A109,Mandatory!A:A,1,0)),"No","Yes")</f>
        <v>No</v>
      </c>
    </row>
    <row r="110" spans="1:7" ht="12.75">
      <c r="A110" s="163">
        <v>460</v>
      </c>
      <c r="B110" s="174">
        <f>SUMIF('Mapping HRGs to TFCs'!B:B,A110,'Mapping HRGs to TFCs'!C:C)</f>
        <v>26791</v>
      </c>
      <c r="C110" s="174">
        <f>SUMIF('Mapping HRGs to TFCs'!B:B,A110,'Mapping HRGs to TFCs'!D:D)</f>
        <v>3797</v>
      </c>
      <c r="D110" s="174">
        <f>SUMIF('Mapping HRGs to TFCs'!B:B,A110,'Mapping HRGs to TFCs'!E:E)</f>
        <v>160</v>
      </c>
      <c r="E110" s="174">
        <f>SUMIF('Mapping HRGs to TFCs'!B:B,A110,'Mapping HRGs to TFCs'!F:F)</f>
        <v>14</v>
      </c>
      <c r="F110" s="174">
        <f>SUMIF('Mapping HRGs to TFCs'!B:B,A110,'Mapping HRGs to TFCs'!G:G)</f>
        <v>30762</v>
      </c>
      <c r="G110" s="177" t="str">
        <f>IF(ISERROR(VLOOKUP($A110,Mandatory!A:A,1,0)),"No","Yes")</f>
        <v>No</v>
      </c>
    </row>
    <row r="111" spans="1:7" ht="12.75">
      <c r="A111" s="163">
        <v>501</v>
      </c>
      <c r="B111" s="174">
        <f>SUMIF('Mapping HRGs to TFCs'!B:B,A111,'Mapping HRGs to TFCs'!C:C)</f>
        <v>391964</v>
      </c>
      <c r="C111" s="174">
        <f>SUMIF('Mapping HRGs to TFCs'!B:B,A111,'Mapping HRGs to TFCs'!D:D)</f>
        <v>176771</v>
      </c>
      <c r="D111" s="174">
        <f>SUMIF('Mapping HRGs to TFCs'!B:B,A111,'Mapping HRGs to TFCs'!E:E)</f>
        <v>22474</v>
      </c>
      <c r="E111" s="174">
        <f>SUMIF('Mapping HRGs to TFCs'!B:B,A111,'Mapping HRGs to TFCs'!F:F)</f>
        <v>13387</v>
      </c>
      <c r="F111" s="174">
        <f>SUMIF('Mapping HRGs to TFCs'!B:B,A111,'Mapping HRGs to TFCs'!G:G)</f>
        <v>604596</v>
      </c>
      <c r="G111" s="177" t="str">
        <f>IF(ISERROR(VLOOKUP($A111,Mandatory!A:A,1,0)),"No","Yes")</f>
        <v>No</v>
      </c>
    </row>
    <row r="112" spans="1:7" ht="12.75">
      <c r="A112" s="163">
        <v>502</v>
      </c>
      <c r="B112" s="174">
        <f>SUMIF('Mapping HRGs to TFCs'!B:B,A112,'Mapping HRGs to TFCs'!C:C)</f>
        <v>381384</v>
      </c>
      <c r="C112" s="174">
        <f>SUMIF('Mapping HRGs to TFCs'!B:B,A112,'Mapping HRGs to TFCs'!D:D)</f>
        <v>504253</v>
      </c>
      <c r="D112" s="174">
        <f>SUMIF('Mapping HRGs to TFCs'!B:B,A112,'Mapping HRGs to TFCs'!E:E)</f>
        <v>21554</v>
      </c>
      <c r="E112" s="174">
        <f>SUMIF('Mapping HRGs to TFCs'!B:B,A112,'Mapping HRGs to TFCs'!F:F)</f>
        <v>29289</v>
      </c>
      <c r="F112" s="174">
        <f>SUMIF('Mapping HRGs to TFCs'!B:B,A112,'Mapping HRGs to TFCs'!G:G)</f>
        <v>936480</v>
      </c>
      <c r="G112" s="177" t="str">
        <f>IF(ISERROR(VLOOKUP($A112,Mandatory!A:A,1,0)),"No","Yes")</f>
        <v>Yes</v>
      </c>
    </row>
    <row r="113" spans="1:7" ht="12.75">
      <c r="A113" s="163">
        <v>503</v>
      </c>
      <c r="B113" s="174">
        <f>SUMIF('Mapping HRGs to TFCs'!B:B,A113,'Mapping HRGs to TFCs'!C:C)</f>
        <v>18699</v>
      </c>
      <c r="C113" s="174">
        <f>SUMIF('Mapping HRGs to TFCs'!B:B,A113,'Mapping HRGs to TFCs'!D:D)</f>
        <v>28961</v>
      </c>
      <c r="D113" s="174">
        <f>SUMIF('Mapping HRGs to TFCs'!B:B,A113,'Mapping HRGs to TFCs'!E:E)</f>
        <v>1137</v>
      </c>
      <c r="E113" s="174">
        <f>SUMIF('Mapping HRGs to TFCs'!B:B,A113,'Mapping HRGs to TFCs'!F:F)</f>
        <v>1497</v>
      </c>
      <c r="F113" s="174">
        <f>SUMIF('Mapping HRGs to TFCs'!B:B,A113,'Mapping HRGs to TFCs'!G:G)</f>
        <v>50294</v>
      </c>
      <c r="G113" s="177" t="str">
        <f>IF(ISERROR(VLOOKUP($A113,Mandatory!A:A,1,0)),"No","Yes")</f>
        <v>Yes</v>
      </c>
    </row>
    <row r="114" spans="1:7" ht="12.75">
      <c r="A114" s="163">
        <v>560</v>
      </c>
      <c r="B114" s="174">
        <f>SUMIF('Mapping HRGs to TFCs'!B:B,A114,'Mapping HRGs to TFCs'!C:C)</f>
        <v>173448</v>
      </c>
      <c r="C114" s="174">
        <f>SUMIF('Mapping HRGs to TFCs'!B:B,A114,'Mapping HRGs to TFCs'!D:D)</f>
        <v>62161</v>
      </c>
      <c r="D114" s="174">
        <f>SUMIF('Mapping HRGs to TFCs'!B:B,A114,'Mapping HRGs to TFCs'!E:E)</f>
        <v>16493</v>
      </c>
      <c r="E114" s="174">
        <f>SUMIF('Mapping HRGs to TFCs'!B:B,A114,'Mapping HRGs to TFCs'!F:F)</f>
        <v>6150</v>
      </c>
      <c r="F114" s="174">
        <f>SUMIF('Mapping HRGs to TFCs'!B:B,A114,'Mapping HRGs to TFCs'!G:G)</f>
        <v>258252</v>
      </c>
      <c r="G114" s="177" t="str">
        <f>IF(ISERROR(VLOOKUP($A114,Mandatory!A:A,1,0)),"No","Yes")</f>
        <v>No</v>
      </c>
    </row>
    <row r="115" spans="1:7" ht="12.75">
      <c r="A115" s="163">
        <v>650</v>
      </c>
      <c r="B115" s="174">
        <f>SUMIF('Mapping HRGs to TFCs'!B:B,A115,'Mapping HRGs to TFCs'!C:C)</f>
        <v>32532</v>
      </c>
      <c r="C115" s="174">
        <f>SUMIF('Mapping HRGs to TFCs'!B:B,A115,'Mapping HRGs to TFCs'!D:D)</f>
        <v>10258</v>
      </c>
      <c r="D115" s="174">
        <f>SUMIF('Mapping HRGs to TFCs'!B:B,A115,'Mapping HRGs to TFCs'!E:E)</f>
        <v>235</v>
      </c>
      <c r="E115" s="174">
        <f>SUMIF('Mapping HRGs to TFCs'!B:B,A115,'Mapping HRGs to TFCs'!F:F)</f>
        <v>77</v>
      </c>
      <c r="F115" s="174">
        <f>SUMIF('Mapping HRGs to TFCs'!B:B,A115,'Mapping HRGs to TFCs'!G:G)</f>
        <v>43102</v>
      </c>
      <c r="G115" s="177" t="str">
        <f>IF(ISERROR(VLOOKUP($A115,Mandatory!A:A,1,0)),"No","Yes")</f>
        <v>No</v>
      </c>
    </row>
    <row r="116" spans="1:7" ht="12.75">
      <c r="A116" s="163">
        <v>651</v>
      </c>
      <c r="B116" s="174">
        <f>SUMIF('Mapping HRGs to TFCs'!B:B,A116,'Mapping HRGs to TFCs'!C:C)</f>
        <v>1223</v>
      </c>
      <c r="C116" s="174">
        <f>SUMIF('Mapping HRGs to TFCs'!B:B,A116,'Mapping HRGs to TFCs'!D:D)</f>
        <v>615</v>
      </c>
      <c r="D116" s="174">
        <f>SUMIF('Mapping HRGs to TFCs'!B:B,A116,'Mapping HRGs to TFCs'!E:E)</f>
        <v>20</v>
      </c>
      <c r="E116" s="174">
        <f>SUMIF('Mapping HRGs to TFCs'!B:B,A116,'Mapping HRGs to TFCs'!F:F)</f>
        <v>11</v>
      </c>
      <c r="F116" s="174">
        <f>SUMIF('Mapping HRGs to TFCs'!B:B,A116,'Mapping HRGs to TFCs'!G:G)</f>
        <v>1869</v>
      </c>
      <c r="G116" s="177" t="str">
        <f>IF(ISERROR(VLOOKUP($A116,Mandatory!A:A,1,0)),"No","Yes")</f>
        <v>No</v>
      </c>
    </row>
    <row r="117" spans="1:7" ht="12.75">
      <c r="A117" s="163">
        <v>652</v>
      </c>
      <c r="B117" s="174">
        <f>SUMIF('Mapping HRGs to TFCs'!B:B,A117,'Mapping HRGs to TFCs'!C:C)</f>
        <v>766</v>
      </c>
      <c r="C117" s="174">
        <f>SUMIF('Mapping HRGs to TFCs'!B:B,A117,'Mapping HRGs to TFCs'!D:D)</f>
        <v>204</v>
      </c>
      <c r="D117" s="174">
        <f>SUMIF('Mapping HRGs to TFCs'!B:B,A117,'Mapping HRGs to TFCs'!E:E)</f>
        <v>59</v>
      </c>
      <c r="E117" s="174">
        <f>SUMIF('Mapping HRGs to TFCs'!B:B,A117,'Mapping HRGs to TFCs'!F:F)</f>
        <v>12</v>
      </c>
      <c r="F117" s="174">
        <f>SUMIF('Mapping HRGs to TFCs'!B:B,A117,'Mapping HRGs to TFCs'!G:G)</f>
        <v>1041</v>
      </c>
      <c r="G117" s="177" t="str">
        <f>IF(ISERROR(VLOOKUP($A117,Mandatory!A:A,1,0)),"No","Yes")</f>
        <v>No</v>
      </c>
    </row>
    <row r="118" spans="1:7" ht="12.75">
      <c r="A118" s="163">
        <v>653</v>
      </c>
      <c r="B118" s="174">
        <f>SUMIF('Mapping HRGs to TFCs'!B:B,A118,'Mapping HRGs to TFCs'!C:C)</f>
        <v>11219</v>
      </c>
      <c r="C118" s="174">
        <f>SUMIF('Mapping HRGs to TFCs'!B:B,A118,'Mapping HRGs to TFCs'!D:D)</f>
        <v>957</v>
      </c>
      <c r="D118" s="174">
        <f>SUMIF('Mapping HRGs to TFCs'!B:B,A118,'Mapping HRGs to TFCs'!E:E)</f>
        <v>6653</v>
      </c>
      <c r="E118" s="174">
        <f>SUMIF('Mapping HRGs to TFCs'!B:B,A118,'Mapping HRGs to TFCs'!F:F)</f>
        <v>94</v>
      </c>
      <c r="F118" s="174">
        <f>SUMIF('Mapping HRGs to TFCs'!B:B,A118,'Mapping HRGs to TFCs'!G:G)</f>
        <v>18923</v>
      </c>
      <c r="G118" s="177" t="str">
        <f>IF(ISERROR(VLOOKUP($A118,Mandatory!A:A,1,0)),"No","Yes")</f>
        <v>No</v>
      </c>
    </row>
    <row r="119" spans="1:7" ht="12.75">
      <c r="A119" s="163">
        <v>654</v>
      </c>
      <c r="B119" s="174">
        <f>SUMIF('Mapping HRGs to TFCs'!B:B,A119,'Mapping HRGs to TFCs'!C:C)</f>
        <v>170</v>
      </c>
      <c r="C119" s="174">
        <f>SUMIF('Mapping HRGs to TFCs'!B:B,A119,'Mapping HRGs to TFCs'!D:D)</f>
        <v>213</v>
      </c>
      <c r="D119" s="174">
        <f>SUMIF('Mapping HRGs to TFCs'!B:B,A119,'Mapping HRGs to TFCs'!E:E)</f>
        <v>2</v>
      </c>
      <c r="E119" s="174">
        <f>SUMIF('Mapping HRGs to TFCs'!B:B,A119,'Mapping HRGs to TFCs'!F:F)</f>
        <v>10</v>
      </c>
      <c r="F119" s="174">
        <f>SUMIF('Mapping HRGs to TFCs'!B:B,A119,'Mapping HRGs to TFCs'!G:G)</f>
        <v>395</v>
      </c>
      <c r="G119" s="177" t="str">
        <f>IF(ISERROR(VLOOKUP($A119,Mandatory!A:A,1,0)),"No","Yes")</f>
        <v>No</v>
      </c>
    </row>
    <row r="120" spans="1:7" ht="12.75">
      <c r="A120" s="163">
        <v>655</v>
      </c>
      <c r="B120" s="174">
        <f>SUMIF('Mapping HRGs to TFCs'!B:B,A120,'Mapping HRGs to TFCs'!C:C)</f>
        <v>6665</v>
      </c>
      <c r="C120" s="174">
        <f>SUMIF('Mapping HRGs to TFCs'!B:B,A120,'Mapping HRGs to TFCs'!D:D)</f>
        <v>2125</v>
      </c>
      <c r="D120" s="174">
        <f>SUMIF('Mapping HRGs to TFCs'!B:B,A120,'Mapping HRGs to TFCs'!E:E)</f>
        <v>33</v>
      </c>
      <c r="E120" s="174">
        <f>SUMIF('Mapping HRGs to TFCs'!B:B,A120,'Mapping HRGs to TFCs'!F:F)</f>
        <v>17</v>
      </c>
      <c r="F120" s="174">
        <f>SUMIF('Mapping HRGs to TFCs'!B:B,A120,'Mapping HRGs to TFCs'!G:G)</f>
        <v>8840</v>
      </c>
      <c r="G120" s="177" t="str">
        <f>IF(ISERROR(VLOOKUP($A120,Mandatory!A:A,1,0)),"No","Yes")</f>
        <v>No</v>
      </c>
    </row>
    <row r="121" spans="1:7" ht="12.75">
      <c r="A121" s="163">
        <v>656</v>
      </c>
      <c r="B121" s="174">
        <f>SUMIF('Mapping HRGs to TFCs'!B:B,A121,'Mapping HRGs to TFCs'!C:C)</f>
        <v>45</v>
      </c>
      <c r="C121" s="174">
        <f>SUMIF('Mapping HRGs to TFCs'!B:B,A121,'Mapping HRGs to TFCs'!D:D)</f>
        <v>13</v>
      </c>
      <c r="D121" s="174">
        <f>SUMIF('Mapping HRGs to TFCs'!B:B,A121,'Mapping HRGs to TFCs'!E:E)</f>
        <v>0</v>
      </c>
      <c r="E121" s="174">
        <f>SUMIF('Mapping HRGs to TFCs'!B:B,A121,'Mapping HRGs to TFCs'!F:F)</f>
        <v>0</v>
      </c>
      <c r="F121" s="174">
        <f>SUMIF('Mapping HRGs to TFCs'!B:B,A121,'Mapping HRGs to TFCs'!G:G)</f>
        <v>58</v>
      </c>
      <c r="G121" s="177" t="str">
        <f>IF(ISERROR(VLOOKUP($A121,Mandatory!A:A,1,0)),"No","Yes")</f>
        <v>No</v>
      </c>
    </row>
    <row r="122" spans="1:7" ht="12.75">
      <c r="A122" s="163">
        <v>657</v>
      </c>
      <c r="B122" s="174">
        <f>SUMIF('Mapping HRGs to TFCs'!B:B,A122,'Mapping HRGs to TFCs'!C:C)</f>
        <v>21</v>
      </c>
      <c r="C122" s="174">
        <f>SUMIF('Mapping HRGs to TFCs'!B:B,A122,'Mapping HRGs to TFCs'!D:D)</f>
        <v>1</v>
      </c>
      <c r="D122" s="174">
        <f>SUMIF('Mapping HRGs to TFCs'!B:B,A122,'Mapping HRGs to TFCs'!E:E)</f>
        <v>2</v>
      </c>
      <c r="E122" s="174">
        <f>SUMIF('Mapping HRGs to TFCs'!B:B,A122,'Mapping HRGs to TFCs'!F:F)</f>
        <v>0</v>
      </c>
      <c r="F122" s="174">
        <f>SUMIF('Mapping HRGs to TFCs'!B:B,A122,'Mapping HRGs to TFCs'!G:G)</f>
        <v>24</v>
      </c>
      <c r="G122" s="177" t="str">
        <f>IF(ISERROR(VLOOKUP($A122,Mandatory!A:A,1,0)),"No","Yes")</f>
        <v>No</v>
      </c>
    </row>
    <row r="123" spans="1:7" ht="12.75">
      <c r="A123" s="163">
        <v>658</v>
      </c>
      <c r="B123" s="174">
        <f>SUMIF('Mapping HRGs to TFCs'!B:B,A123,'Mapping HRGs to TFCs'!C:C)</f>
        <v>177</v>
      </c>
      <c r="C123" s="174">
        <f>SUMIF('Mapping HRGs to TFCs'!B:B,A123,'Mapping HRGs to TFCs'!D:D)</f>
        <v>28</v>
      </c>
      <c r="D123" s="174">
        <f>SUMIF('Mapping HRGs to TFCs'!B:B,A123,'Mapping HRGs to TFCs'!E:E)</f>
        <v>0</v>
      </c>
      <c r="E123" s="174">
        <f>SUMIF('Mapping HRGs to TFCs'!B:B,A123,'Mapping HRGs to TFCs'!F:F)</f>
        <v>0</v>
      </c>
      <c r="F123" s="174">
        <f>SUMIF('Mapping HRGs to TFCs'!B:B,A123,'Mapping HRGs to TFCs'!G:G)</f>
        <v>205</v>
      </c>
      <c r="G123" s="177" t="str">
        <f>IF(ISERROR(VLOOKUP($A123,Mandatory!A:A,1,0)),"No","Yes")</f>
        <v>No</v>
      </c>
    </row>
    <row r="124" spans="1:7" ht="12.75">
      <c r="A124" s="163">
        <v>662</v>
      </c>
      <c r="B124" s="174">
        <f>SUMIF('Mapping HRGs to TFCs'!B:B,A124,'Mapping HRGs to TFCs'!C:C)</f>
        <v>1586</v>
      </c>
      <c r="C124" s="174">
        <f>SUMIF('Mapping HRGs to TFCs'!B:B,A124,'Mapping HRGs to TFCs'!D:D)</f>
        <v>1315</v>
      </c>
      <c r="D124" s="174">
        <f>SUMIF('Mapping HRGs to TFCs'!B:B,A124,'Mapping HRGs to TFCs'!E:E)</f>
        <v>3</v>
      </c>
      <c r="E124" s="174">
        <f>SUMIF('Mapping HRGs to TFCs'!B:B,A124,'Mapping HRGs to TFCs'!F:F)</f>
        <v>0</v>
      </c>
      <c r="F124" s="174">
        <f>SUMIF('Mapping HRGs to TFCs'!B:B,A124,'Mapping HRGs to TFCs'!G:G)</f>
        <v>2904</v>
      </c>
      <c r="G124" s="177" t="str">
        <f>IF(ISERROR(VLOOKUP($A124,Mandatory!A:A,1,0)),"No","Yes")</f>
        <v>No</v>
      </c>
    </row>
    <row r="125" spans="1:7" ht="12.75">
      <c r="A125" s="163">
        <v>663</v>
      </c>
      <c r="B125" s="174">
        <f>SUMIF('Mapping HRGs to TFCs'!B:B,A125,'Mapping HRGs to TFCs'!C:C)</f>
        <v>0</v>
      </c>
      <c r="C125" s="174">
        <f>SUMIF('Mapping HRGs to TFCs'!B:B,A125,'Mapping HRGs to TFCs'!D:D)</f>
        <v>0</v>
      </c>
      <c r="D125" s="174">
        <f>SUMIF('Mapping HRGs to TFCs'!B:B,A125,'Mapping HRGs to TFCs'!E:E)</f>
        <v>0</v>
      </c>
      <c r="E125" s="174">
        <f>SUMIF('Mapping HRGs to TFCs'!B:B,A125,'Mapping HRGs to TFCs'!F:F)</f>
        <v>0</v>
      </c>
      <c r="F125" s="174">
        <f>SUMIF('Mapping HRGs to TFCs'!B:B,A125,'Mapping HRGs to TFCs'!G:G)</f>
        <v>0</v>
      </c>
      <c r="G125" s="177" t="str">
        <f>IF(ISERROR(VLOOKUP($A125,Mandatory!A:A,1,0)),"No","Yes")</f>
        <v>No</v>
      </c>
    </row>
    <row r="126" spans="1:7" ht="12.75">
      <c r="A126" s="163">
        <v>710</v>
      </c>
      <c r="B126" s="174">
        <f>SUMIF('Mapping HRGs to TFCs'!B:B,A126,'Mapping HRGs to TFCs'!C:C)</f>
        <v>1</v>
      </c>
      <c r="C126" s="174">
        <f>SUMIF('Mapping HRGs to TFCs'!B:B,A126,'Mapping HRGs to TFCs'!D:D)</f>
        <v>0</v>
      </c>
      <c r="D126" s="174">
        <f>SUMIF('Mapping HRGs to TFCs'!B:B,A126,'Mapping HRGs to TFCs'!E:E)</f>
        <v>0</v>
      </c>
      <c r="E126" s="174">
        <f>SUMIF('Mapping HRGs to TFCs'!B:B,A126,'Mapping HRGs to TFCs'!F:F)</f>
        <v>0</v>
      </c>
      <c r="F126" s="174">
        <f>SUMIF('Mapping HRGs to TFCs'!B:B,A126,'Mapping HRGs to TFCs'!G:G)</f>
        <v>1</v>
      </c>
      <c r="G126" s="177" t="str">
        <f>IF(ISERROR(VLOOKUP($A126,Mandatory!A:A,1,0)),"No","Yes")</f>
        <v>No</v>
      </c>
    </row>
    <row r="127" spans="1:7" ht="12.75">
      <c r="A127" s="163">
        <v>711</v>
      </c>
      <c r="B127" s="174">
        <f>SUMIF('Mapping HRGs to TFCs'!B:B,A127,'Mapping HRGs to TFCs'!C:C)</f>
        <v>4</v>
      </c>
      <c r="C127" s="174">
        <f>SUMIF('Mapping HRGs to TFCs'!B:B,A127,'Mapping HRGs to TFCs'!D:D)</f>
        <v>4</v>
      </c>
      <c r="D127" s="174">
        <f>SUMIF('Mapping HRGs to TFCs'!B:B,A127,'Mapping HRGs to TFCs'!E:E)</f>
        <v>0</v>
      </c>
      <c r="E127" s="174">
        <f>SUMIF('Mapping HRGs to TFCs'!B:B,A127,'Mapping HRGs to TFCs'!F:F)</f>
        <v>0</v>
      </c>
      <c r="F127" s="174">
        <f>SUMIF('Mapping HRGs to TFCs'!B:B,A127,'Mapping HRGs to TFCs'!G:G)</f>
        <v>8</v>
      </c>
      <c r="G127" s="177" t="str">
        <f>IF(ISERROR(VLOOKUP($A127,Mandatory!A:A,1,0)),"No","Yes")</f>
        <v>No</v>
      </c>
    </row>
    <row r="128" spans="1:7" ht="12.75">
      <c r="A128" s="163">
        <v>712</v>
      </c>
      <c r="B128" s="174">
        <f>SUMIF('Mapping HRGs to TFCs'!B:B,A128,'Mapping HRGs to TFCs'!C:C)</f>
        <v>0</v>
      </c>
      <c r="C128" s="174">
        <f>SUMIF('Mapping HRGs to TFCs'!B:B,A128,'Mapping HRGs to TFCs'!D:D)</f>
        <v>1</v>
      </c>
      <c r="D128" s="174">
        <f>SUMIF('Mapping HRGs to TFCs'!B:B,A128,'Mapping HRGs to TFCs'!E:E)</f>
        <v>0</v>
      </c>
      <c r="E128" s="174">
        <f>SUMIF('Mapping HRGs to TFCs'!B:B,A128,'Mapping HRGs to TFCs'!F:F)</f>
        <v>0</v>
      </c>
      <c r="F128" s="174">
        <f>SUMIF('Mapping HRGs to TFCs'!B:B,A128,'Mapping HRGs to TFCs'!G:G)</f>
        <v>1</v>
      </c>
      <c r="G128" s="177" t="str">
        <f>IF(ISERROR(VLOOKUP($A128,Mandatory!A:A,1,0)),"No","Yes")</f>
        <v>No</v>
      </c>
    </row>
    <row r="129" spans="1:7" ht="12.75">
      <c r="A129" s="163">
        <v>713</v>
      </c>
      <c r="B129" s="174">
        <f>SUMIF('Mapping HRGs to TFCs'!B:B,A129,'Mapping HRGs to TFCs'!C:C)</f>
        <v>2</v>
      </c>
      <c r="C129" s="174">
        <f>SUMIF('Mapping HRGs to TFCs'!B:B,A129,'Mapping HRGs to TFCs'!D:D)</f>
        <v>0</v>
      </c>
      <c r="D129" s="174">
        <f>SUMIF('Mapping HRGs to TFCs'!B:B,A129,'Mapping HRGs to TFCs'!E:E)</f>
        <v>0</v>
      </c>
      <c r="E129" s="174">
        <f>SUMIF('Mapping HRGs to TFCs'!B:B,A129,'Mapping HRGs to TFCs'!F:F)</f>
        <v>0</v>
      </c>
      <c r="F129" s="174">
        <f>SUMIF('Mapping HRGs to TFCs'!B:B,A129,'Mapping HRGs to TFCs'!G:G)</f>
        <v>2</v>
      </c>
      <c r="G129" s="177" t="str">
        <f>IF(ISERROR(VLOOKUP($A129,Mandatory!A:A,1,0)),"No","Yes")</f>
        <v>No</v>
      </c>
    </row>
    <row r="130" spans="1:7" ht="12.75">
      <c r="A130" s="163">
        <v>715</v>
      </c>
      <c r="B130" s="174">
        <f>SUMIF('Mapping HRGs to TFCs'!B:B,A130,'Mapping HRGs to TFCs'!C:C)</f>
        <v>0</v>
      </c>
      <c r="C130" s="174">
        <f>SUMIF('Mapping HRGs to TFCs'!B:B,A130,'Mapping HRGs to TFCs'!D:D)</f>
        <v>0</v>
      </c>
      <c r="D130" s="174">
        <f>SUMIF('Mapping HRGs to TFCs'!B:B,A130,'Mapping HRGs to TFCs'!E:E)</f>
        <v>0</v>
      </c>
      <c r="E130" s="174">
        <f>SUMIF('Mapping HRGs to TFCs'!B:B,A130,'Mapping HRGs to TFCs'!F:F)</f>
        <v>0</v>
      </c>
      <c r="F130" s="174">
        <f>SUMIF('Mapping HRGs to TFCs'!B:B,A130,'Mapping HRGs to TFCs'!G:G)</f>
        <v>0</v>
      </c>
      <c r="G130" s="177" t="str">
        <f>IF(ISERROR(VLOOKUP($A130,Mandatory!A:A,1,0)),"No","Yes")</f>
        <v>No</v>
      </c>
    </row>
    <row r="131" spans="1:7" ht="12.75">
      <c r="A131" s="163">
        <v>721</v>
      </c>
      <c r="B131" s="174">
        <f>SUMIF('Mapping HRGs to TFCs'!B:B,A131,'Mapping HRGs to TFCs'!C:C)</f>
        <v>3</v>
      </c>
      <c r="C131" s="174">
        <f>SUMIF('Mapping HRGs to TFCs'!B:B,A131,'Mapping HRGs to TFCs'!D:D)</f>
        <v>0</v>
      </c>
      <c r="D131" s="174">
        <f>SUMIF('Mapping HRGs to TFCs'!B:B,A131,'Mapping HRGs to TFCs'!E:E)</f>
        <v>0</v>
      </c>
      <c r="E131" s="174">
        <f>SUMIF('Mapping HRGs to TFCs'!B:B,A131,'Mapping HRGs to TFCs'!F:F)</f>
        <v>0</v>
      </c>
      <c r="F131" s="174">
        <f>SUMIF('Mapping HRGs to TFCs'!B:B,A131,'Mapping HRGs to TFCs'!G:G)</f>
        <v>3</v>
      </c>
      <c r="G131" s="177" t="str">
        <f>IF(ISERROR(VLOOKUP($A131,Mandatory!A:A,1,0)),"No","Yes")</f>
        <v>No</v>
      </c>
    </row>
    <row r="132" spans="1:7" ht="12.75">
      <c r="A132" s="163">
        <v>722</v>
      </c>
      <c r="B132" s="174">
        <f>SUMIF('Mapping HRGs to TFCs'!B:B,A132,'Mapping HRGs to TFCs'!C:C)</f>
        <v>77</v>
      </c>
      <c r="C132" s="174">
        <f>SUMIF('Mapping HRGs to TFCs'!B:B,A132,'Mapping HRGs to TFCs'!D:D)</f>
        <v>0</v>
      </c>
      <c r="D132" s="174">
        <f>SUMIF('Mapping HRGs to TFCs'!B:B,A132,'Mapping HRGs to TFCs'!E:E)</f>
        <v>0</v>
      </c>
      <c r="E132" s="174">
        <f>SUMIF('Mapping HRGs to TFCs'!B:B,A132,'Mapping HRGs to TFCs'!F:F)</f>
        <v>0</v>
      </c>
      <c r="F132" s="174">
        <f>SUMIF('Mapping HRGs to TFCs'!B:B,A132,'Mapping HRGs to TFCs'!G:G)</f>
        <v>77</v>
      </c>
      <c r="G132" s="177" t="str">
        <f>IF(ISERROR(VLOOKUP($A132,Mandatory!A:A,1,0)),"No","Yes")</f>
        <v>No</v>
      </c>
    </row>
    <row r="133" spans="1:7" ht="12.75">
      <c r="A133" s="163">
        <v>800</v>
      </c>
      <c r="B133" s="174">
        <f>SUMIF('Mapping HRGs to TFCs'!B:B,A133,'Mapping HRGs to TFCs'!C:C)</f>
        <v>787840</v>
      </c>
      <c r="C133" s="174">
        <f>SUMIF('Mapping HRGs to TFCs'!B:B,A133,'Mapping HRGs to TFCs'!D:D)</f>
        <v>25461</v>
      </c>
      <c r="D133" s="174">
        <f>SUMIF('Mapping HRGs to TFCs'!B:B,A133,'Mapping HRGs to TFCs'!E:E)</f>
        <v>5807</v>
      </c>
      <c r="E133" s="174">
        <f>SUMIF('Mapping HRGs to TFCs'!B:B,A133,'Mapping HRGs to TFCs'!F:F)</f>
        <v>169</v>
      </c>
      <c r="F133" s="174">
        <f>SUMIF('Mapping HRGs to TFCs'!B:B,A133,'Mapping HRGs to TFCs'!G:G)</f>
        <v>819277</v>
      </c>
      <c r="G133" s="177" t="str">
        <f>IF(ISERROR(VLOOKUP($A133,Mandatory!A:A,1,0)),"No","Yes")</f>
        <v>Yes</v>
      </c>
    </row>
    <row r="134" spans="1:7" ht="12.75">
      <c r="A134" s="163">
        <v>811</v>
      </c>
      <c r="B134" s="174">
        <f>SUMIF('Mapping HRGs to TFCs'!B:B,A134,'Mapping HRGs to TFCs'!C:C)</f>
        <v>2327</v>
      </c>
      <c r="C134" s="174">
        <f>SUMIF('Mapping HRGs to TFCs'!B:B,A134,'Mapping HRGs to TFCs'!D:D)</f>
        <v>12381</v>
      </c>
      <c r="D134" s="174">
        <f>SUMIF('Mapping HRGs to TFCs'!B:B,A134,'Mapping HRGs to TFCs'!E:E)</f>
        <v>54</v>
      </c>
      <c r="E134" s="174">
        <f>SUMIF('Mapping HRGs to TFCs'!B:B,A134,'Mapping HRGs to TFCs'!F:F)</f>
        <v>175</v>
      </c>
      <c r="F134" s="174">
        <f>SUMIF('Mapping HRGs to TFCs'!B:B,A134,'Mapping HRGs to TFCs'!G:G)</f>
        <v>14937</v>
      </c>
      <c r="G134" s="177" t="str">
        <f>IF(ISERROR(VLOOKUP($A134,Mandatory!A:A,1,0)),"No","Yes")</f>
        <v>No</v>
      </c>
    </row>
    <row r="135" spans="1:7" ht="12.75">
      <c r="A135" s="163">
        <v>812</v>
      </c>
      <c r="B135" s="174">
        <f>SUMIF('Mapping HRGs to TFCs'!B:B,A135,'Mapping HRGs to TFCs'!C:C)</f>
        <v>92204</v>
      </c>
      <c r="C135" s="174">
        <f>SUMIF('Mapping HRGs to TFCs'!B:B,A135,'Mapping HRGs to TFCs'!D:D)</f>
        <v>86183</v>
      </c>
      <c r="D135" s="174">
        <f>SUMIF('Mapping HRGs to TFCs'!B:B,A135,'Mapping HRGs to TFCs'!E:E)</f>
        <v>1</v>
      </c>
      <c r="E135" s="174">
        <f>SUMIF('Mapping HRGs to TFCs'!B:B,A135,'Mapping HRGs to TFCs'!F:F)</f>
        <v>324</v>
      </c>
      <c r="F135" s="174">
        <f>SUMIF('Mapping HRGs to TFCs'!B:B,A135,'Mapping HRGs to TFCs'!G:G)</f>
        <v>178712</v>
      </c>
      <c r="G135" s="177" t="str">
        <f>IF(ISERROR(VLOOKUP($A135,Mandatory!A:A,1,0)),"No","Yes")</f>
        <v>Yes</v>
      </c>
    </row>
    <row r="136" spans="1:7" ht="12.75">
      <c r="A136" s="163">
        <v>822</v>
      </c>
      <c r="B136" s="174">
        <f>SUMIF('Mapping HRGs to TFCs'!B:B,A136,'Mapping HRGs to TFCs'!C:C)</f>
        <v>96</v>
      </c>
      <c r="C136" s="174">
        <f>SUMIF('Mapping HRGs to TFCs'!B:B,A136,'Mapping HRGs to TFCs'!D:D)</f>
        <v>76</v>
      </c>
      <c r="D136" s="174">
        <f>SUMIF('Mapping HRGs to TFCs'!B:B,A136,'Mapping HRGs to TFCs'!E:E)</f>
        <v>1</v>
      </c>
      <c r="E136" s="174">
        <f>SUMIF('Mapping HRGs to TFCs'!B:B,A136,'Mapping HRGs to TFCs'!F:F)</f>
        <v>26</v>
      </c>
      <c r="F136" s="174">
        <f>SUMIF('Mapping HRGs to TFCs'!B:B,A136,'Mapping HRGs to TFCs'!G:G)</f>
        <v>199</v>
      </c>
      <c r="G136" s="177" t="str">
        <f>IF(ISERROR(VLOOKUP($A136,Mandatory!A:A,1,0)),"No","Yes")</f>
        <v>No</v>
      </c>
    </row>
    <row r="137" spans="1:7" ht="12.75">
      <c r="A137" s="163">
        <v>834</v>
      </c>
      <c r="B137" s="174">
        <f>SUMIF('Mapping HRGs to TFCs'!B:B,A137,'Mapping HRGs to TFCs'!C:C)</f>
        <v>1</v>
      </c>
      <c r="C137" s="174">
        <f>SUMIF('Mapping HRGs to TFCs'!B:B,A137,'Mapping HRGs to TFCs'!D:D)</f>
        <v>0</v>
      </c>
      <c r="D137" s="174">
        <f>SUMIF('Mapping HRGs to TFCs'!B:B,A137,'Mapping HRGs to TFCs'!E:E)</f>
        <v>0</v>
      </c>
      <c r="E137" s="174">
        <f>SUMIF('Mapping HRGs to TFCs'!B:B,A137,'Mapping HRGs to TFCs'!F:F)</f>
        <v>0</v>
      </c>
      <c r="F137" s="174">
        <f>SUMIF('Mapping HRGs to TFCs'!B:B,A137,'Mapping HRGs to TFCs'!G:G)</f>
        <v>1</v>
      </c>
      <c r="G137" s="177" t="str">
        <f>IF(ISERROR(VLOOKUP($A137,Mandatory!A:A,1,0)),"No","Yes")</f>
        <v>No</v>
      </c>
    </row>
    <row r="138" spans="1:7" ht="12.75">
      <c r="A138" s="163">
        <v>840</v>
      </c>
      <c r="B138" s="174">
        <f>SUMIF('Mapping HRGs to TFCs'!B:B,A138,'Mapping HRGs to TFCs'!C:C)</f>
        <v>45206</v>
      </c>
      <c r="C138" s="174">
        <f>SUMIF('Mapping HRGs to TFCs'!B:B,A138,'Mapping HRGs to TFCs'!D:D)</f>
        <v>45061</v>
      </c>
      <c r="D138" s="174">
        <f>SUMIF('Mapping HRGs to TFCs'!B:B,A138,'Mapping HRGs to TFCs'!E:E)</f>
        <v>20</v>
      </c>
      <c r="E138" s="174">
        <f>SUMIF('Mapping HRGs to TFCs'!B:B,A138,'Mapping HRGs to TFCs'!F:F)</f>
        <v>8</v>
      </c>
      <c r="F138" s="174">
        <f>SUMIF('Mapping HRGs to TFCs'!B:B,A138,'Mapping HRGs to TFCs'!G:G)</f>
        <v>90295</v>
      </c>
      <c r="G138" s="177" t="str">
        <f>IF(ISERROR(VLOOKUP($A138,Mandatory!A:A,1,0)),"No","Yes")</f>
        <v>No</v>
      </c>
    </row>
    <row r="139" spans="1:7" ht="12.75">
      <c r="A139" s="163">
        <v>920</v>
      </c>
      <c r="B139" s="174">
        <f>SUMIF('Mapping HRGs to TFCs'!B:B,A139,'Mapping HRGs to TFCs'!C:C)</f>
        <v>0</v>
      </c>
      <c r="C139" s="174">
        <f>SUMIF('Mapping HRGs to TFCs'!B:B,A139,'Mapping HRGs to TFCs'!D:D)</f>
        <v>0</v>
      </c>
      <c r="D139" s="174">
        <f>SUMIF('Mapping HRGs to TFCs'!B:B,A139,'Mapping HRGs to TFCs'!E:E)</f>
        <v>0</v>
      </c>
      <c r="E139" s="174">
        <f>SUMIF('Mapping HRGs to TFCs'!B:B,A139,'Mapping HRGs to TFCs'!F:F)</f>
        <v>0</v>
      </c>
      <c r="F139" s="174">
        <f>SUMIF('Mapping HRGs to TFCs'!B:B,A139,'Mapping HRGs to TFCs'!G:G)</f>
        <v>0</v>
      </c>
      <c r="G139" s="177" t="str">
        <f>IF(ISERROR(VLOOKUP($A139,Mandatory!A:A,1,0)),"No","Yes")</f>
        <v>No</v>
      </c>
    </row>
    <row r="140" spans="1:7" ht="12.75">
      <c r="A140" s="163">
        <v>999</v>
      </c>
      <c r="B140" s="174">
        <f>SUMIF('Mapping HRGs to TFCs'!B:B,A140,'Mapping HRGs to TFCs'!C:C)</f>
        <v>0</v>
      </c>
      <c r="C140" s="174">
        <f>SUMIF('Mapping HRGs to TFCs'!B:B,A140,'Mapping HRGs to TFCs'!D:D)</f>
        <v>0</v>
      </c>
      <c r="D140" s="174">
        <f>SUMIF('Mapping HRGs to TFCs'!B:B,A140,'Mapping HRGs to TFCs'!E:E)</f>
        <v>0</v>
      </c>
      <c r="E140" s="174">
        <f>SUMIF('Mapping HRGs to TFCs'!B:B,A140,'Mapping HRGs to TFCs'!F:F)</f>
        <v>0</v>
      </c>
      <c r="F140" s="174">
        <f>SUMIF('Mapping HRGs to TFCs'!B:B,A140,'Mapping HRGs to TFCs'!G:G)</f>
        <v>0</v>
      </c>
      <c r="G140" s="177" t="str">
        <f>IF(ISERROR(VLOOKUP($A140,Mandatory!A:A,1,0)),"No","Yes")</f>
        <v>No</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249977111117893"/>
  </sheetPr>
  <dimension ref="A2:I145"/>
  <sheetViews>
    <sheetView workbookViewId="0">
      <pane xSplit="1" ySplit="7" topLeftCell="B8" activePane="bottomRight" state="frozen"/>
      <selection pane="topRight" activeCell="B1" sqref="B1"/>
      <selection pane="bottomLeft" activeCell="A8" sqref="A8"/>
      <selection pane="bottomRight"/>
    </sheetView>
  </sheetViews>
  <sheetFormatPr defaultRowHeight="12.75"/>
  <cols>
    <col min="1" max="4" width="9.28515625" style="180" bestFit="1" customWidth="1"/>
    <col min="5" max="5" width="10.7109375" style="180" bestFit="1" customWidth="1"/>
    <col min="6" max="9" width="9.28515625" style="180" bestFit="1" customWidth="1"/>
    <col min="10" max="260" width="9.140625" style="180"/>
    <col min="261" max="261" width="10" style="180" bestFit="1" customWidth="1"/>
    <col min="262" max="516" width="9.140625" style="180"/>
    <col min="517" max="517" width="10" style="180" bestFit="1" customWidth="1"/>
    <col min="518" max="772" width="9.140625" style="180"/>
    <col min="773" max="773" width="10" style="180" bestFit="1" customWidth="1"/>
    <col min="774" max="1028" width="9.140625" style="180"/>
    <col min="1029" max="1029" width="10" style="180" bestFit="1" customWidth="1"/>
    <col min="1030" max="1284" width="9.140625" style="180"/>
    <col min="1285" max="1285" width="10" style="180" bestFit="1" customWidth="1"/>
    <col min="1286" max="1540" width="9.140625" style="180"/>
    <col min="1541" max="1541" width="10" style="180" bestFit="1" customWidth="1"/>
    <col min="1542" max="1796" width="9.140625" style="180"/>
    <col min="1797" max="1797" width="10" style="180" bestFit="1" customWidth="1"/>
    <col min="1798" max="2052" width="9.140625" style="180"/>
    <col min="2053" max="2053" width="10" style="180" bestFit="1" customWidth="1"/>
    <col min="2054" max="2308" width="9.140625" style="180"/>
    <col min="2309" max="2309" width="10" style="180" bestFit="1" customWidth="1"/>
    <col min="2310" max="2564" width="9.140625" style="180"/>
    <col min="2565" max="2565" width="10" style="180" bestFit="1" customWidth="1"/>
    <col min="2566" max="2820" width="9.140625" style="180"/>
    <col min="2821" max="2821" width="10" style="180" bestFit="1" customWidth="1"/>
    <col min="2822" max="3076" width="9.140625" style="180"/>
    <col min="3077" max="3077" width="10" style="180" bestFit="1" customWidth="1"/>
    <col min="3078" max="3332" width="9.140625" style="180"/>
    <col min="3333" max="3333" width="10" style="180" bestFit="1" customWidth="1"/>
    <col min="3334" max="3588" width="9.140625" style="180"/>
    <col min="3589" max="3589" width="10" style="180" bestFit="1" customWidth="1"/>
    <col min="3590" max="3844" width="9.140625" style="180"/>
    <col min="3845" max="3845" width="10" style="180" bestFit="1" customWidth="1"/>
    <col min="3846" max="4100" width="9.140625" style="180"/>
    <col min="4101" max="4101" width="10" style="180" bestFit="1" customWidth="1"/>
    <col min="4102" max="4356" width="9.140625" style="180"/>
    <col min="4357" max="4357" width="10" style="180" bestFit="1" customWidth="1"/>
    <col min="4358" max="4612" width="9.140625" style="180"/>
    <col min="4613" max="4613" width="10" style="180" bestFit="1" customWidth="1"/>
    <col min="4614" max="4868" width="9.140625" style="180"/>
    <col min="4869" max="4869" width="10" style="180" bestFit="1" customWidth="1"/>
    <col min="4870" max="5124" width="9.140625" style="180"/>
    <col min="5125" max="5125" width="10" style="180" bestFit="1" customWidth="1"/>
    <col min="5126" max="5380" width="9.140625" style="180"/>
    <col min="5381" max="5381" width="10" style="180" bestFit="1" customWidth="1"/>
    <col min="5382" max="5636" width="9.140625" style="180"/>
    <col min="5637" max="5637" width="10" style="180" bestFit="1" customWidth="1"/>
    <col min="5638" max="5892" width="9.140625" style="180"/>
    <col min="5893" max="5893" width="10" style="180" bestFit="1" customWidth="1"/>
    <col min="5894" max="6148" width="9.140625" style="180"/>
    <col min="6149" max="6149" width="10" style="180" bestFit="1" customWidth="1"/>
    <col min="6150" max="6404" width="9.140625" style="180"/>
    <col min="6405" max="6405" width="10" style="180" bestFit="1" customWidth="1"/>
    <col min="6406" max="6660" width="9.140625" style="180"/>
    <col min="6661" max="6661" width="10" style="180" bestFit="1" customWidth="1"/>
    <col min="6662" max="6916" width="9.140625" style="180"/>
    <col min="6917" max="6917" width="10" style="180" bestFit="1" customWidth="1"/>
    <col min="6918" max="7172" width="9.140625" style="180"/>
    <col min="7173" max="7173" width="10" style="180" bestFit="1" customWidth="1"/>
    <col min="7174" max="7428" width="9.140625" style="180"/>
    <col min="7429" max="7429" width="10" style="180" bestFit="1" customWidth="1"/>
    <col min="7430" max="7684" width="9.140625" style="180"/>
    <col min="7685" max="7685" width="10" style="180" bestFit="1" customWidth="1"/>
    <col min="7686" max="7940" width="9.140625" style="180"/>
    <col min="7941" max="7941" width="10" style="180" bestFit="1" customWidth="1"/>
    <col min="7942" max="8196" width="9.140625" style="180"/>
    <col min="8197" max="8197" width="10" style="180" bestFit="1" customWidth="1"/>
    <col min="8198" max="8452" width="9.140625" style="180"/>
    <col min="8453" max="8453" width="10" style="180" bestFit="1" customWidth="1"/>
    <col min="8454" max="8708" width="9.140625" style="180"/>
    <col min="8709" max="8709" width="10" style="180" bestFit="1" customWidth="1"/>
    <col min="8710" max="8964" width="9.140625" style="180"/>
    <col min="8965" max="8965" width="10" style="180" bestFit="1" customWidth="1"/>
    <col min="8966" max="9220" width="9.140625" style="180"/>
    <col min="9221" max="9221" width="10" style="180" bestFit="1" customWidth="1"/>
    <col min="9222" max="9476" width="9.140625" style="180"/>
    <col min="9477" max="9477" width="10" style="180" bestFit="1" customWidth="1"/>
    <col min="9478" max="9732" width="9.140625" style="180"/>
    <col min="9733" max="9733" width="10" style="180" bestFit="1" customWidth="1"/>
    <col min="9734" max="9988" width="9.140625" style="180"/>
    <col min="9989" max="9989" width="10" style="180" bestFit="1" customWidth="1"/>
    <col min="9990" max="10244" width="9.140625" style="180"/>
    <col min="10245" max="10245" width="10" style="180" bestFit="1" customWidth="1"/>
    <col min="10246" max="10500" width="9.140625" style="180"/>
    <col min="10501" max="10501" width="10" style="180" bestFit="1" customWidth="1"/>
    <col min="10502" max="10756" width="9.140625" style="180"/>
    <col min="10757" max="10757" width="10" style="180" bestFit="1" customWidth="1"/>
    <col min="10758" max="11012" width="9.140625" style="180"/>
    <col min="11013" max="11013" width="10" style="180" bestFit="1" customWidth="1"/>
    <col min="11014" max="11268" width="9.140625" style="180"/>
    <col min="11269" max="11269" width="10" style="180" bestFit="1" customWidth="1"/>
    <col min="11270" max="11524" width="9.140625" style="180"/>
    <col min="11525" max="11525" width="10" style="180" bestFit="1" customWidth="1"/>
    <col min="11526" max="11780" width="9.140625" style="180"/>
    <col min="11781" max="11781" width="10" style="180" bestFit="1" customWidth="1"/>
    <col min="11782" max="12036" width="9.140625" style="180"/>
    <col min="12037" max="12037" width="10" style="180" bestFit="1" customWidth="1"/>
    <col min="12038" max="12292" width="9.140625" style="180"/>
    <col min="12293" max="12293" width="10" style="180" bestFit="1" customWidth="1"/>
    <col min="12294" max="12548" width="9.140625" style="180"/>
    <col min="12549" max="12549" width="10" style="180" bestFit="1" customWidth="1"/>
    <col min="12550" max="12804" width="9.140625" style="180"/>
    <col min="12805" max="12805" width="10" style="180" bestFit="1" customWidth="1"/>
    <col min="12806" max="13060" width="9.140625" style="180"/>
    <col min="13061" max="13061" width="10" style="180" bestFit="1" customWidth="1"/>
    <col min="13062" max="13316" width="9.140625" style="180"/>
    <col min="13317" max="13317" width="10" style="180" bestFit="1" customWidth="1"/>
    <col min="13318" max="13572" width="9.140625" style="180"/>
    <col min="13573" max="13573" width="10" style="180" bestFit="1" customWidth="1"/>
    <col min="13574" max="13828" width="9.140625" style="180"/>
    <col min="13829" max="13829" width="10" style="180" bestFit="1" customWidth="1"/>
    <col min="13830" max="14084" width="9.140625" style="180"/>
    <col min="14085" max="14085" width="10" style="180" bestFit="1" customWidth="1"/>
    <col min="14086" max="14340" width="9.140625" style="180"/>
    <col min="14341" max="14341" width="10" style="180" bestFit="1" customWidth="1"/>
    <col min="14342" max="14596" width="9.140625" style="180"/>
    <col min="14597" max="14597" width="10" style="180" bestFit="1" customWidth="1"/>
    <col min="14598" max="14852" width="9.140625" style="180"/>
    <col min="14853" max="14853" width="10" style="180" bestFit="1" customWidth="1"/>
    <col min="14854" max="15108" width="9.140625" style="180"/>
    <col min="15109" max="15109" width="10" style="180" bestFit="1" customWidth="1"/>
    <col min="15110" max="15364" width="9.140625" style="180"/>
    <col min="15365" max="15365" width="10" style="180" bestFit="1" customWidth="1"/>
    <col min="15366" max="15620" width="9.140625" style="180"/>
    <col min="15621" max="15621" width="10" style="180" bestFit="1" customWidth="1"/>
    <col min="15622" max="15876" width="9.140625" style="180"/>
    <col min="15877" max="15877" width="10" style="180" bestFit="1" customWidth="1"/>
    <col min="15878" max="16132" width="9.140625" style="180"/>
    <col min="16133" max="16133" width="10" style="180" bestFit="1" customWidth="1"/>
    <col min="16134" max="16384" width="9.140625" style="180"/>
  </cols>
  <sheetData>
    <row r="2" spans="1:9">
      <c r="A2" s="179" t="s">
        <v>530</v>
      </c>
    </row>
    <row r="3" spans="1:9" ht="13.5" thickBot="1">
      <c r="A3" s="181"/>
    </row>
    <row r="4" spans="1:9" ht="13.5" thickBot="1">
      <c r="A4" s="182" t="s">
        <v>545</v>
      </c>
      <c r="E4" s="183">
        <f>SUM(B8:E145)</f>
        <v>10248604</v>
      </c>
    </row>
    <row r="5" spans="1:9" ht="13.5" thickBot="1"/>
    <row r="6" spans="1:9" ht="13.5" customHeight="1" thickBot="1">
      <c r="A6" s="184"/>
      <c r="B6" s="580" t="s">
        <v>221</v>
      </c>
      <c r="C6" s="580"/>
      <c r="D6" s="580"/>
      <c r="E6" s="580"/>
      <c r="F6" s="580" t="s">
        <v>222</v>
      </c>
      <c r="G6" s="580"/>
      <c r="H6" s="580"/>
      <c r="I6" s="580"/>
    </row>
    <row r="7" spans="1:9" ht="13.5" thickBot="1">
      <c r="A7" s="184" t="s">
        <v>0</v>
      </c>
      <c r="B7" s="185" t="s">
        <v>223</v>
      </c>
      <c r="C7" s="185" t="s">
        <v>224</v>
      </c>
      <c r="D7" s="185" t="s">
        <v>225</v>
      </c>
      <c r="E7" s="185" t="s">
        <v>226</v>
      </c>
      <c r="F7" s="185" t="s">
        <v>223</v>
      </c>
      <c r="G7" s="185" t="s">
        <v>224</v>
      </c>
      <c r="H7" s="185" t="s">
        <v>225</v>
      </c>
      <c r="I7" s="185" t="s">
        <v>226</v>
      </c>
    </row>
    <row r="8" spans="1:9">
      <c r="A8" s="186">
        <v>100</v>
      </c>
      <c r="B8" s="186">
        <f>IF(ISERROR(VLOOKUP(A8,'HRGs to TFCs'!A:G,5,FALSE)),0,VLOOKUP(A8,'HRGs to TFCs'!A:G,5,FALSE))</f>
        <v>2384</v>
      </c>
      <c r="C8" s="186">
        <f>IF(ISERROR(VLOOKUP(A8,'HRGs to TFCs'!A:G,3,FALSE)),0,VLOOKUP(A8,'HRGs to TFCs'!A:G,3,FALSE))</f>
        <v>76494</v>
      </c>
      <c r="D8" s="186">
        <f>IF(ISERROR(VLOOKUP(A8,'HRGs to TFCs'!A:G,4,FALSE)),0,VLOOKUP(A8,'HRGs to TFCs'!A:G,4,FALSE))</f>
        <v>1848</v>
      </c>
      <c r="E8" s="186">
        <f>IF(ISERROR(VLOOKUP(A8,'HRGs to TFCs'!A:G,2,FALSE)),0,VLOOKUP(A8,'HRGs to TFCs'!A:G,2,FALSE))</f>
        <v>56506</v>
      </c>
      <c r="F8" s="187">
        <f t="shared" ref="F8:I8" si="0">IF(ISERROR(B8/$E$4),0,B8/$E$4)</f>
        <v>2.3261704716076454E-4</v>
      </c>
      <c r="G8" s="187">
        <f t="shared" si="0"/>
        <v>7.4638458076826857E-3</v>
      </c>
      <c r="H8" s="187">
        <f t="shared" si="0"/>
        <v>1.8031724125549197E-4</v>
      </c>
      <c r="I8" s="187">
        <f t="shared" si="0"/>
        <v>5.5135314038868124E-3</v>
      </c>
    </row>
    <row r="9" spans="1:9">
      <c r="A9" s="188">
        <v>101</v>
      </c>
      <c r="B9" s="188">
        <f>IF(ISERROR(VLOOKUP(A9,'HRGs to TFCs'!A:G,5,FALSE)),0,VLOOKUP(A9,'HRGs to TFCs'!A:G,5,FALSE))</f>
        <v>4455</v>
      </c>
      <c r="C9" s="188">
        <f>IF(ISERROR(VLOOKUP(A9,'HRGs to TFCs'!A:G,3,FALSE)),0,VLOOKUP(A9,'HRGs to TFCs'!A:G,3,FALSE))</f>
        <v>127030</v>
      </c>
      <c r="D9" s="188">
        <f>IF(ISERROR(VLOOKUP(A9,'HRGs to TFCs'!A:G,4,FALSE)),0,VLOOKUP(A9,'HRGs to TFCs'!A:G,4,FALSE))</f>
        <v>4111</v>
      </c>
      <c r="E9" s="188">
        <f>IF(ISERROR(VLOOKUP(A9,'HRGs to TFCs'!A:G,2,FALSE)),0,VLOOKUP(A9,'HRGs to TFCs'!A:G,2,FALSE))</f>
        <v>277906</v>
      </c>
      <c r="F9" s="189">
        <f t="shared" ref="F9:F73" si="1">IF(ISERROR(B9/$E$4),0,B9/$E$4)</f>
        <v>4.3469334945520386E-4</v>
      </c>
      <c r="G9" s="189">
        <f t="shared" ref="G9:G73" si="2">IF(ISERROR(C9/$E$4),0,C9/$E$4)</f>
        <v>1.23948588510201E-2</v>
      </c>
      <c r="H9" s="189">
        <f t="shared" ref="H9:H73" si="3">IF(ISERROR(D9/$E$4),0,D9/$E$4)</f>
        <v>4.0112780238167069E-4</v>
      </c>
      <c r="I9" s="189">
        <f t="shared" ref="I9:I73" si="4">IF(ISERROR(E9/$E$4),0,E9/$E$4)</f>
        <v>2.7116473619236338E-2</v>
      </c>
    </row>
    <row r="10" spans="1:9">
      <c r="A10" s="188">
        <v>102</v>
      </c>
      <c r="B10" s="188">
        <f>IF(ISERROR(VLOOKUP(A10,'HRGs to TFCs'!A:G,5,FALSE)),0,VLOOKUP(A10,'HRGs to TFCs'!A:G,5,FALSE))</f>
        <v>72</v>
      </c>
      <c r="C10" s="188">
        <f>IF(ISERROR(VLOOKUP(A10,'HRGs to TFCs'!A:G,3,FALSE)),0,VLOOKUP(A10,'HRGs to TFCs'!A:G,3,FALSE))</f>
        <v>729</v>
      </c>
      <c r="D10" s="188">
        <f>IF(ISERROR(VLOOKUP(A10,'HRGs to TFCs'!A:G,4,FALSE)),0,VLOOKUP(A10,'HRGs to TFCs'!A:G,4,FALSE))</f>
        <v>471</v>
      </c>
      <c r="E10" s="188">
        <f>IF(ISERROR(VLOOKUP(A10,'HRGs to TFCs'!A:G,2,FALSE)),0,VLOOKUP(A10,'HRGs to TFCs'!A:G,2,FALSE))</f>
        <v>7899</v>
      </c>
      <c r="F10" s="189">
        <f t="shared" si="1"/>
        <v>7.0253470619022847E-6</v>
      </c>
      <c r="G10" s="189">
        <f t="shared" si="2"/>
        <v>7.1131639001760624E-5</v>
      </c>
      <c r="H10" s="189">
        <f t="shared" si="3"/>
        <v>4.595747869661078E-5</v>
      </c>
      <c r="I10" s="189">
        <f t="shared" si="4"/>
        <v>7.7073911724952974E-4</v>
      </c>
    </row>
    <row r="11" spans="1:9">
      <c r="A11" s="188">
        <v>103</v>
      </c>
      <c r="B11" s="188">
        <f>IF(ISERROR(VLOOKUP(A11,'HRGs to TFCs'!A:G,5,FALSE)),0,VLOOKUP(A11,'HRGs to TFCs'!A:G,5,FALSE))</f>
        <v>11672</v>
      </c>
      <c r="C11" s="188">
        <f>IF(ISERROR(VLOOKUP(A11,'HRGs to TFCs'!A:G,3,FALSE)),0,VLOOKUP(A11,'HRGs to TFCs'!A:G,3,FALSE))</f>
        <v>44247</v>
      </c>
      <c r="D11" s="188">
        <f>IF(ISERROR(VLOOKUP(A11,'HRGs to TFCs'!A:G,4,FALSE)),0,VLOOKUP(A11,'HRGs to TFCs'!A:G,4,FALSE))</f>
        <v>4736</v>
      </c>
      <c r="E11" s="188">
        <f>IF(ISERROR(VLOOKUP(A11,'HRGs to TFCs'!A:G,2,FALSE)),0,VLOOKUP(A11,'HRGs to TFCs'!A:G,2,FALSE))</f>
        <v>42613</v>
      </c>
      <c r="F11" s="189">
        <f t="shared" si="1"/>
        <v>1.1388868181461593E-3</v>
      </c>
      <c r="G11" s="189">
        <f t="shared" si="2"/>
        <v>4.3173684923331996E-3</v>
      </c>
      <c r="H11" s="189">
        <f t="shared" si="3"/>
        <v>4.621117178495725E-4</v>
      </c>
      <c r="I11" s="189">
        <f t="shared" si="4"/>
        <v>4.1579321437339176E-3</v>
      </c>
    </row>
    <row r="12" spans="1:9">
      <c r="A12" s="188">
        <v>104</v>
      </c>
      <c r="B12" s="188">
        <f>IF(ISERROR(VLOOKUP(A12,'HRGs to TFCs'!A:G,5,FALSE)),0,VLOOKUP(A12,'HRGs to TFCs'!A:G,5,FALSE))</f>
        <v>607</v>
      </c>
      <c r="C12" s="188">
        <f>IF(ISERROR(VLOOKUP(A12,'HRGs to TFCs'!A:G,3,FALSE)),0,VLOOKUP(A12,'HRGs to TFCs'!A:G,3,FALSE))</f>
        <v>62195</v>
      </c>
      <c r="D12" s="188">
        <f>IF(ISERROR(VLOOKUP(A12,'HRGs to TFCs'!A:G,4,FALSE)),0,VLOOKUP(A12,'HRGs to TFCs'!A:G,4,FALSE))</f>
        <v>788</v>
      </c>
      <c r="E12" s="188">
        <f>IF(ISERROR(VLOOKUP(A12,'HRGs to TFCs'!A:G,2,FALSE)),0,VLOOKUP(A12,'HRGs to TFCs'!A:G,2,FALSE))</f>
        <v>18924</v>
      </c>
      <c r="F12" s="189">
        <f t="shared" si="1"/>
        <v>5.9227578702426204E-5</v>
      </c>
      <c r="G12" s="189">
        <f t="shared" si="2"/>
        <v>6.0686313960418414E-3</v>
      </c>
      <c r="H12" s="189">
        <f t="shared" si="3"/>
        <v>7.6888520621930562E-5</v>
      </c>
      <c r="I12" s="189">
        <f t="shared" si="4"/>
        <v>1.8464953861033172E-3</v>
      </c>
    </row>
    <row r="13" spans="1:9">
      <c r="A13" s="188">
        <v>105</v>
      </c>
      <c r="B13" s="188">
        <f>IF(ISERROR(VLOOKUP(A13,'HRGs to TFCs'!A:G,5,FALSE)),0,VLOOKUP(A13,'HRGs to TFCs'!A:G,5,FALSE))</f>
        <v>8</v>
      </c>
      <c r="C13" s="188">
        <f>IF(ISERROR(VLOOKUP(A13,'HRGs to TFCs'!A:G,3,FALSE)),0,VLOOKUP(A13,'HRGs to TFCs'!A:G,3,FALSE))</f>
        <v>41</v>
      </c>
      <c r="D13" s="188">
        <f>IF(ISERROR(VLOOKUP(A13,'HRGs to TFCs'!A:G,4,FALSE)),0,VLOOKUP(A13,'HRGs to TFCs'!A:G,4,FALSE))</f>
        <v>432</v>
      </c>
      <c r="E13" s="188">
        <f>IF(ISERROR(VLOOKUP(A13,'HRGs to TFCs'!A:G,2,FALSE)),0,VLOOKUP(A13,'HRGs to TFCs'!A:G,2,FALSE))</f>
        <v>442</v>
      </c>
      <c r="F13" s="189">
        <f t="shared" si="1"/>
        <v>7.8059411798914267E-7</v>
      </c>
      <c r="G13" s="189">
        <f t="shared" si="2"/>
        <v>4.0005448546943565E-6</v>
      </c>
      <c r="H13" s="189">
        <f t="shared" si="3"/>
        <v>4.2152082371413705E-5</v>
      </c>
      <c r="I13" s="189">
        <f t="shared" si="4"/>
        <v>4.3127825018900137E-5</v>
      </c>
    </row>
    <row r="14" spans="1:9">
      <c r="A14" s="188">
        <v>106</v>
      </c>
      <c r="B14" s="188">
        <f>IF(ISERROR(VLOOKUP(A14,'HRGs to TFCs'!A:G,5,FALSE)),0,VLOOKUP(A14,'HRGs to TFCs'!A:G,5,FALSE))</f>
        <v>6</v>
      </c>
      <c r="C14" s="188">
        <f>IF(ISERROR(VLOOKUP(A14,'HRGs to TFCs'!A:G,3,FALSE)),0,VLOOKUP(A14,'HRGs to TFCs'!A:G,3,FALSE))</f>
        <v>2632</v>
      </c>
      <c r="D14" s="188">
        <f>IF(ISERROR(VLOOKUP(A14,'HRGs to TFCs'!A:G,4,FALSE)),0,VLOOKUP(A14,'HRGs to TFCs'!A:G,4,FALSE))</f>
        <v>51</v>
      </c>
      <c r="E14" s="188">
        <f>IF(ISERROR(VLOOKUP(A14,'HRGs to TFCs'!A:G,2,FALSE)),0,VLOOKUP(A14,'HRGs to TFCs'!A:G,2,FALSE))</f>
        <v>2486</v>
      </c>
      <c r="F14" s="189">
        <f t="shared" si="1"/>
        <v>5.8544558849185703E-7</v>
      </c>
      <c r="G14" s="189">
        <f t="shared" si="2"/>
        <v>2.5681546481842797E-4</v>
      </c>
      <c r="H14" s="189">
        <f t="shared" si="3"/>
        <v>4.9762875021807847E-6</v>
      </c>
      <c r="I14" s="189">
        <f t="shared" si="4"/>
        <v>2.425696221651261E-4</v>
      </c>
    </row>
    <row r="15" spans="1:9">
      <c r="A15" s="188">
        <v>107</v>
      </c>
      <c r="B15" s="188">
        <f>IF(ISERROR(VLOOKUP(A15,'HRGs to TFCs'!A:G,5,FALSE)),0,VLOOKUP(A15,'HRGs to TFCs'!A:G,5,FALSE))</f>
        <v>406</v>
      </c>
      <c r="C15" s="188">
        <f>IF(ISERROR(VLOOKUP(A15,'HRGs to TFCs'!A:G,3,FALSE)),0,VLOOKUP(A15,'HRGs to TFCs'!A:G,3,FALSE))</f>
        <v>6952</v>
      </c>
      <c r="D15" s="188">
        <f>IF(ISERROR(VLOOKUP(A15,'HRGs to TFCs'!A:G,4,FALSE)),0,VLOOKUP(A15,'HRGs to TFCs'!A:G,4,FALSE))</f>
        <v>1082</v>
      </c>
      <c r="E15" s="188">
        <f>IF(ISERROR(VLOOKUP(A15,'HRGs to TFCs'!A:G,2,FALSE)),0,VLOOKUP(A15,'HRGs to TFCs'!A:G,2,FALSE))</f>
        <v>18491</v>
      </c>
      <c r="F15" s="189">
        <f t="shared" si="1"/>
        <v>3.9615151487948995E-5</v>
      </c>
      <c r="G15" s="189">
        <f t="shared" si="2"/>
        <v>6.7833628853256501E-4</v>
      </c>
      <c r="H15" s="189">
        <f t="shared" si="3"/>
        <v>1.0557535445803155E-4</v>
      </c>
      <c r="I15" s="189">
        <f t="shared" si="4"/>
        <v>1.8042457294671548E-3</v>
      </c>
    </row>
    <row r="16" spans="1:9">
      <c r="A16" s="188">
        <v>108</v>
      </c>
      <c r="B16" s="188">
        <f>IF(ISERROR(VLOOKUP(A16,'HRGs to TFCs'!A:G,5,FALSE)),0,VLOOKUP(A16,'HRGs to TFCs'!A:G,5,FALSE))</f>
        <v>0</v>
      </c>
      <c r="C16" s="188">
        <f>IF(ISERROR(VLOOKUP(A16,'HRGs to TFCs'!A:G,3,FALSE)),0,VLOOKUP(A16,'HRGs to TFCs'!A:G,3,FALSE))</f>
        <v>4</v>
      </c>
      <c r="D16" s="188">
        <f>IF(ISERROR(VLOOKUP(A16,'HRGs to TFCs'!A:G,4,FALSE)),0,VLOOKUP(A16,'HRGs to TFCs'!A:G,4,FALSE))</f>
        <v>1</v>
      </c>
      <c r="E16" s="188">
        <f>IF(ISERROR(VLOOKUP(A16,'HRGs to TFCs'!A:G,2,FALSE)),0,VLOOKUP(A16,'HRGs to TFCs'!A:G,2,FALSE))</f>
        <v>125</v>
      </c>
      <c r="F16" s="189">
        <f t="shared" si="1"/>
        <v>0</v>
      </c>
      <c r="G16" s="189">
        <f t="shared" si="2"/>
        <v>3.9029705899457133E-7</v>
      </c>
      <c r="H16" s="189">
        <f t="shared" si="3"/>
        <v>9.7574264748642833E-8</v>
      </c>
      <c r="I16" s="189">
        <f t="shared" si="4"/>
        <v>1.2196783093580354E-5</v>
      </c>
    </row>
    <row r="17" spans="1:9">
      <c r="A17" s="188">
        <v>110</v>
      </c>
      <c r="B17" s="188">
        <f>IF(ISERROR(VLOOKUP(A17,'HRGs to TFCs'!A:G,5,FALSE)),0,VLOOKUP(A17,'HRGs to TFCs'!A:G,5,FALSE))</f>
        <v>3276</v>
      </c>
      <c r="C17" s="188">
        <f>IF(ISERROR(VLOOKUP(A17,'HRGs to TFCs'!A:G,3,FALSE)),0,VLOOKUP(A17,'HRGs to TFCs'!A:G,3,FALSE))</f>
        <v>70128</v>
      </c>
      <c r="D17" s="188">
        <f>IF(ISERROR(VLOOKUP(A17,'HRGs to TFCs'!A:G,4,FALSE)),0,VLOOKUP(A17,'HRGs to TFCs'!A:G,4,FALSE))</f>
        <v>9714</v>
      </c>
      <c r="E17" s="188">
        <f>IF(ISERROR(VLOOKUP(A17,'HRGs to TFCs'!A:G,2,FALSE)),0,VLOOKUP(A17,'HRGs to TFCs'!A:G,2,FALSE))</f>
        <v>161796</v>
      </c>
      <c r="F17" s="189">
        <f t="shared" si="1"/>
        <v>3.1965329131655393E-4</v>
      </c>
      <c r="G17" s="189">
        <f t="shared" si="2"/>
        <v>6.8426880382928251E-3</v>
      </c>
      <c r="H17" s="189">
        <f t="shared" si="3"/>
        <v>9.4783640776831659E-4</v>
      </c>
      <c r="I17" s="189">
        <f t="shared" si="4"/>
        <v>1.5787125739271417E-2</v>
      </c>
    </row>
    <row r="18" spans="1:9">
      <c r="A18" s="188">
        <v>120</v>
      </c>
      <c r="B18" s="188">
        <f>IF(ISERROR(VLOOKUP(A18,'HRGs to TFCs'!A:G,5,FALSE)),0,VLOOKUP(A18,'HRGs to TFCs'!A:G,5,FALSE))</f>
        <v>12951</v>
      </c>
      <c r="C18" s="188">
        <f>IF(ISERROR(VLOOKUP(A18,'HRGs to TFCs'!A:G,3,FALSE)),0,VLOOKUP(A18,'HRGs to TFCs'!A:G,3,FALSE))</f>
        <v>464576</v>
      </c>
      <c r="D18" s="188">
        <f>IF(ISERROR(VLOOKUP(A18,'HRGs to TFCs'!A:G,4,FALSE)),0,VLOOKUP(A18,'HRGs to TFCs'!A:G,4,FALSE))</f>
        <v>13915</v>
      </c>
      <c r="E18" s="188">
        <f>IF(ISERROR(VLOOKUP(A18,'HRGs to TFCs'!A:G,2,FALSE)),0,VLOOKUP(A18,'HRGs to TFCs'!A:G,2,FALSE))</f>
        <v>536551</v>
      </c>
      <c r="F18" s="189">
        <f t="shared" si="1"/>
        <v>1.2636843027596734E-3</v>
      </c>
      <c r="G18" s="189">
        <f t="shared" si="2"/>
        <v>4.5330661619865494E-2</v>
      </c>
      <c r="H18" s="189">
        <f t="shared" si="3"/>
        <v>1.3577458939773651E-3</v>
      </c>
      <c r="I18" s="189">
        <f t="shared" si="4"/>
        <v>5.2353569325149063E-2</v>
      </c>
    </row>
    <row r="19" spans="1:9">
      <c r="A19" s="188">
        <v>130</v>
      </c>
      <c r="B19" s="188">
        <f>IF(ISERROR(VLOOKUP(A19,'HRGs to TFCs'!A:G,5,FALSE)),0,VLOOKUP(A19,'HRGs to TFCs'!A:G,5,FALSE))</f>
        <v>13216</v>
      </c>
      <c r="C19" s="188">
        <f>IF(ISERROR(VLOOKUP(A19,'HRGs to TFCs'!A:G,3,FALSE)),0,VLOOKUP(A19,'HRGs to TFCs'!A:G,3,FALSE))</f>
        <v>233770</v>
      </c>
      <c r="D19" s="188">
        <f>IF(ISERROR(VLOOKUP(A19,'HRGs to TFCs'!A:G,4,FALSE)),0,VLOOKUP(A19,'HRGs to TFCs'!A:G,4,FALSE))</f>
        <v>64826</v>
      </c>
      <c r="E19" s="188">
        <f>IF(ISERROR(VLOOKUP(A19,'HRGs to TFCs'!A:G,2,FALSE)),0,VLOOKUP(A19,'HRGs to TFCs'!A:G,2,FALSE))</f>
        <v>990317</v>
      </c>
      <c r="F19" s="189">
        <f t="shared" si="1"/>
        <v>1.2895414829180638E-3</v>
      </c>
      <c r="G19" s="189">
        <f t="shared" si="2"/>
        <v>2.2809935870290236E-2</v>
      </c>
      <c r="H19" s="189">
        <f t="shared" si="3"/>
        <v>6.3253492865955208E-3</v>
      </c>
      <c r="I19" s="189">
        <f t="shared" si="4"/>
        <v>9.6629453143081731E-2</v>
      </c>
    </row>
    <row r="20" spans="1:9">
      <c r="A20" s="188">
        <v>140</v>
      </c>
      <c r="B20" s="188">
        <f>IF(ISERROR(VLOOKUP(A20,'HRGs to TFCs'!A:G,5,FALSE)),0,VLOOKUP(A20,'HRGs to TFCs'!A:G,5,FALSE))</f>
        <v>546</v>
      </c>
      <c r="C20" s="188">
        <f>IF(ISERROR(VLOOKUP(A20,'HRGs to TFCs'!A:G,3,FALSE)),0,VLOOKUP(A20,'HRGs to TFCs'!A:G,3,FALSE))</f>
        <v>52942</v>
      </c>
      <c r="D20" s="188">
        <f>IF(ISERROR(VLOOKUP(A20,'HRGs to TFCs'!A:G,4,FALSE)),0,VLOOKUP(A20,'HRGs to TFCs'!A:G,4,FALSE))</f>
        <v>1611</v>
      </c>
      <c r="E20" s="188">
        <f>IF(ISERROR(VLOOKUP(A20,'HRGs to TFCs'!A:G,2,FALSE)),0,VLOOKUP(A20,'HRGs to TFCs'!A:G,2,FALSE))</f>
        <v>122397</v>
      </c>
      <c r="F20" s="189">
        <f t="shared" si="1"/>
        <v>5.327554855275899E-5</v>
      </c>
      <c r="G20" s="189">
        <f t="shared" si="2"/>
        <v>5.1657767243226491E-3</v>
      </c>
      <c r="H20" s="189">
        <f t="shared" si="3"/>
        <v>1.5719214051006361E-4</v>
      </c>
      <c r="I20" s="189">
        <f t="shared" si="4"/>
        <v>1.1942797282439637E-2</v>
      </c>
    </row>
    <row r="21" spans="1:9">
      <c r="A21" s="188">
        <v>141</v>
      </c>
      <c r="B21" s="188">
        <f>IF(ISERROR(VLOOKUP(A21,'HRGs to TFCs'!A:G,5,FALSE)),0,VLOOKUP(A21,'HRGs to TFCs'!A:G,5,FALSE))</f>
        <v>384</v>
      </c>
      <c r="C21" s="188">
        <f>IF(ISERROR(VLOOKUP(A21,'HRGs to TFCs'!A:G,3,FALSE)),0,VLOOKUP(A21,'HRGs to TFCs'!A:G,3,FALSE))</f>
        <v>10195</v>
      </c>
      <c r="D21" s="188">
        <f>IF(ISERROR(VLOOKUP(A21,'HRGs to TFCs'!A:G,4,FALSE)),0,VLOOKUP(A21,'HRGs to TFCs'!A:G,4,FALSE))</f>
        <v>100</v>
      </c>
      <c r="E21" s="188">
        <f>IF(ISERROR(VLOOKUP(A21,'HRGs to TFCs'!A:G,2,FALSE)),0,VLOOKUP(A21,'HRGs to TFCs'!A:G,2,FALSE))</f>
        <v>90289</v>
      </c>
      <c r="F21" s="189">
        <f t="shared" si="1"/>
        <v>3.746851766347885E-5</v>
      </c>
      <c r="G21" s="189">
        <f t="shared" si="2"/>
        <v>9.947696291124138E-4</v>
      </c>
      <c r="H21" s="189">
        <f t="shared" si="3"/>
        <v>9.7574264748642837E-6</v>
      </c>
      <c r="I21" s="189">
        <f t="shared" si="4"/>
        <v>8.8098827898902138E-3</v>
      </c>
    </row>
    <row r="22" spans="1:9">
      <c r="A22" s="188">
        <v>142</v>
      </c>
      <c r="B22" s="188">
        <f>IF(ISERROR(VLOOKUP(A22,'HRGs to TFCs'!A:G,5,FALSE)),0,VLOOKUP(A22,'HRGs to TFCs'!A:G,5,FALSE))</f>
        <v>99</v>
      </c>
      <c r="C22" s="188">
        <f>IF(ISERROR(VLOOKUP(A22,'HRGs to TFCs'!A:G,3,FALSE)),0,VLOOKUP(A22,'HRGs to TFCs'!A:G,3,FALSE))</f>
        <v>6601</v>
      </c>
      <c r="D22" s="188">
        <f>IF(ISERROR(VLOOKUP(A22,'HRGs to TFCs'!A:G,4,FALSE)),0,VLOOKUP(A22,'HRGs to TFCs'!A:G,4,FALSE))</f>
        <v>209</v>
      </c>
      <c r="E22" s="188">
        <f>IF(ISERROR(VLOOKUP(A22,'HRGs to TFCs'!A:G,2,FALSE)),0,VLOOKUP(A22,'HRGs to TFCs'!A:G,2,FALSE))</f>
        <v>25271</v>
      </c>
      <c r="F22" s="189">
        <f t="shared" si="1"/>
        <v>9.6598522101156409E-6</v>
      </c>
      <c r="G22" s="189">
        <f t="shared" si="2"/>
        <v>6.440877216057914E-4</v>
      </c>
      <c r="H22" s="189">
        <f t="shared" si="3"/>
        <v>2.0393021332466354E-5</v>
      </c>
      <c r="I22" s="189">
        <f t="shared" si="4"/>
        <v>2.4657992444629532E-3</v>
      </c>
    </row>
    <row r="23" spans="1:9">
      <c r="A23" s="188">
        <v>143</v>
      </c>
      <c r="B23" s="188">
        <f>IF(ISERROR(VLOOKUP(A23,'HRGs to TFCs'!A:G,5,FALSE)),0,VLOOKUP(A23,'HRGs to TFCs'!A:G,5,FALSE))</f>
        <v>346</v>
      </c>
      <c r="C23" s="188">
        <f>IF(ISERROR(VLOOKUP(A23,'HRGs to TFCs'!A:G,3,FALSE)),0,VLOOKUP(A23,'HRGs to TFCs'!A:G,3,FALSE))</f>
        <v>14452</v>
      </c>
      <c r="D23" s="188">
        <f>IF(ISERROR(VLOOKUP(A23,'HRGs to TFCs'!A:G,4,FALSE)),0,VLOOKUP(A23,'HRGs to TFCs'!A:G,4,FALSE))</f>
        <v>3003</v>
      </c>
      <c r="E23" s="188">
        <f>IF(ISERROR(VLOOKUP(A23,'HRGs to TFCs'!A:G,2,FALSE)),0,VLOOKUP(A23,'HRGs to TFCs'!A:G,2,FALSE))</f>
        <v>487208</v>
      </c>
      <c r="F23" s="189">
        <f t="shared" si="1"/>
        <v>3.3760695603030426E-5</v>
      </c>
      <c r="G23" s="189">
        <f t="shared" si="2"/>
        <v>1.4101432741473864E-3</v>
      </c>
      <c r="H23" s="189">
        <f t="shared" si="3"/>
        <v>2.9301551704017444E-4</v>
      </c>
      <c r="I23" s="189">
        <f t="shared" si="4"/>
        <v>4.7538962379656782E-2</v>
      </c>
    </row>
    <row r="24" spans="1:9">
      <c r="A24" s="188">
        <v>144</v>
      </c>
      <c r="B24" s="188">
        <f>IF(ISERROR(VLOOKUP(A24,'HRGs to TFCs'!A:G,5,FALSE)),0,VLOOKUP(A24,'HRGs to TFCs'!A:G,5,FALSE))</f>
        <v>212</v>
      </c>
      <c r="C24" s="188">
        <f>IF(ISERROR(VLOOKUP(A24,'HRGs to TFCs'!A:G,3,FALSE)),0,VLOOKUP(A24,'HRGs to TFCs'!A:G,3,FALSE))</f>
        <v>17262</v>
      </c>
      <c r="D24" s="188">
        <f>IF(ISERROR(VLOOKUP(A24,'HRGs to TFCs'!A:G,4,FALSE)),0,VLOOKUP(A24,'HRGs to TFCs'!A:G,4,FALSE))</f>
        <v>1507</v>
      </c>
      <c r="E24" s="188">
        <f>IF(ISERROR(VLOOKUP(A24,'HRGs to TFCs'!A:G,2,FALSE)),0,VLOOKUP(A24,'HRGs to TFCs'!A:G,2,FALSE))</f>
        <v>51487</v>
      </c>
      <c r="F24" s="189">
        <f t="shared" si="1"/>
        <v>2.0685744126712281E-5</v>
      </c>
      <c r="G24" s="189">
        <f t="shared" si="2"/>
        <v>1.6843269580910727E-3</v>
      </c>
      <c r="H24" s="189">
        <f t="shared" si="3"/>
        <v>1.4704441697620477E-4</v>
      </c>
      <c r="I24" s="189">
        <f t="shared" si="4"/>
        <v>5.0238061691133739E-3</v>
      </c>
    </row>
    <row r="25" spans="1:9">
      <c r="A25" s="188">
        <v>150</v>
      </c>
      <c r="B25" s="188">
        <f>IF(ISERROR(VLOOKUP(A25,'HRGs to TFCs'!A:G,5,FALSE)),0,VLOOKUP(A25,'HRGs to TFCs'!A:G,5,FALSE))</f>
        <v>24</v>
      </c>
      <c r="C25" s="188">
        <f>IF(ISERROR(VLOOKUP(A25,'HRGs to TFCs'!A:G,3,FALSE)),0,VLOOKUP(A25,'HRGs to TFCs'!A:G,3,FALSE))</f>
        <v>655</v>
      </c>
      <c r="D25" s="188">
        <f>IF(ISERROR(VLOOKUP(A25,'HRGs to TFCs'!A:G,4,FALSE)),0,VLOOKUP(A25,'HRGs to TFCs'!A:G,4,FALSE))</f>
        <v>28</v>
      </c>
      <c r="E25" s="188">
        <f>IF(ISERROR(VLOOKUP(A25,'HRGs to TFCs'!A:G,2,FALSE)),0,VLOOKUP(A25,'HRGs to TFCs'!A:G,2,FALSE))</f>
        <v>3457</v>
      </c>
      <c r="F25" s="189">
        <f t="shared" si="1"/>
        <v>2.3417823539674281E-6</v>
      </c>
      <c r="G25" s="189">
        <f t="shared" si="2"/>
        <v>6.3911143410361066E-5</v>
      </c>
      <c r="H25" s="189">
        <f t="shared" si="3"/>
        <v>2.7320794129619994E-6</v>
      </c>
      <c r="I25" s="189">
        <f t="shared" si="4"/>
        <v>3.373142332360583E-4</v>
      </c>
    </row>
    <row r="26" spans="1:9">
      <c r="A26" s="188">
        <v>160</v>
      </c>
      <c r="B26" s="188">
        <f>IF(ISERROR(VLOOKUP(A26,'HRGs to TFCs'!A:G,5,FALSE)),0,VLOOKUP(A26,'HRGs to TFCs'!A:G,5,FALSE))</f>
        <v>4340</v>
      </c>
      <c r="C26" s="188">
        <f>IF(ISERROR(VLOOKUP(A26,'HRGs to TFCs'!A:G,3,FALSE)),0,VLOOKUP(A26,'HRGs to TFCs'!A:G,3,FALSE))</f>
        <v>29621</v>
      </c>
      <c r="D26" s="188">
        <f>IF(ISERROR(VLOOKUP(A26,'HRGs to TFCs'!A:G,4,FALSE)),0,VLOOKUP(A26,'HRGs to TFCs'!A:G,4,FALSE))</f>
        <v>15674</v>
      </c>
      <c r="E26" s="188">
        <f>IF(ISERROR(VLOOKUP(A26,'HRGs to TFCs'!A:G,2,FALSE)),0,VLOOKUP(A26,'HRGs to TFCs'!A:G,2,FALSE))</f>
        <v>135800</v>
      </c>
      <c r="F26" s="189">
        <f t="shared" si="1"/>
        <v>4.234723090091099E-4</v>
      </c>
      <c r="G26" s="189">
        <f t="shared" si="2"/>
        <v>2.8902472961195498E-3</v>
      </c>
      <c r="H26" s="189">
        <f t="shared" si="3"/>
        <v>1.5293790256702279E-3</v>
      </c>
      <c r="I26" s="189">
        <f t="shared" si="4"/>
        <v>1.3250585152865698E-2</v>
      </c>
    </row>
    <row r="27" spans="1:9">
      <c r="A27" s="188">
        <v>161</v>
      </c>
      <c r="B27" s="188">
        <f>IF(ISERROR(VLOOKUP(A27,'HRGs to TFCs'!A:G,5,FALSE)),0,VLOOKUP(A27,'HRGs to TFCs'!A:G,5,FALSE))</f>
        <v>586</v>
      </c>
      <c r="C27" s="188">
        <f>IF(ISERROR(VLOOKUP(A27,'HRGs to TFCs'!A:G,3,FALSE)),0,VLOOKUP(A27,'HRGs to TFCs'!A:G,3,FALSE))</f>
        <v>931</v>
      </c>
      <c r="D27" s="188">
        <f>IF(ISERROR(VLOOKUP(A27,'HRGs to TFCs'!A:G,4,FALSE)),0,VLOOKUP(A27,'HRGs to TFCs'!A:G,4,FALSE))</f>
        <v>2488</v>
      </c>
      <c r="E27" s="188">
        <f>IF(ISERROR(VLOOKUP(A27,'HRGs to TFCs'!A:G,2,FALSE)),0,VLOOKUP(A27,'HRGs to TFCs'!A:G,2,FALSE))</f>
        <v>5577</v>
      </c>
      <c r="F27" s="189">
        <f t="shared" si="1"/>
        <v>5.7178519142704703E-5</v>
      </c>
      <c r="G27" s="189">
        <f t="shared" si="2"/>
        <v>9.0841640480986477E-5</v>
      </c>
      <c r="H27" s="189">
        <f t="shared" si="3"/>
        <v>2.4276477069462338E-4</v>
      </c>
      <c r="I27" s="189">
        <f t="shared" si="4"/>
        <v>5.4417167450318115E-4</v>
      </c>
    </row>
    <row r="28" spans="1:9">
      <c r="A28" s="188">
        <v>170</v>
      </c>
      <c r="B28" s="188">
        <f>IF(ISERROR(VLOOKUP(A28,'HRGs to TFCs'!A:G,5,FALSE)),0,VLOOKUP(A28,'HRGs to TFCs'!A:G,5,FALSE))</f>
        <v>5</v>
      </c>
      <c r="C28" s="188">
        <f>IF(ISERROR(VLOOKUP(A28,'HRGs to TFCs'!A:G,3,FALSE)),0,VLOOKUP(A28,'HRGs to TFCs'!A:G,3,FALSE))</f>
        <v>354</v>
      </c>
      <c r="D28" s="188">
        <f>IF(ISERROR(VLOOKUP(A28,'HRGs to TFCs'!A:G,4,FALSE)),0,VLOOKUP(A28,'HRGs to TFCs'!A:G,4,FALSE))</f>
        <v>5</v>
      </c>
      <c r="E28" s="188">
        <f>IF(ISERROR(VLOOKUP(A28,'HRGs to TFCs'!A:G,2,FALSE)),0,VLOOKUP(A28,'HRGs to TFCs'!A:G,2,FALSE))</f>
        <v>925</v>
      </c>
      <c r="F28" s="189">
        <f t="shared" si="1"/>
        <v>4.8787132374321421E-7</v>
      </c>
      <c r="G28" s="189">
        <f t="shared" si="2"/>
        <v>3.4541289721019568E-5</v>
      </c>
      <c r="H28" s="189">
        <f t="shared" si="3"/>
        <v>4.8787132374321421E-7</v>
      </c>
      <c r="I28" s="189">
        <f t="shared" si="4"/>
        <v>9.0256194892494624E-5</v>
      </c>
    </row>
    <row r="29" spans="1:9">
      <c r="A29" s="188">
        <v>171</v>
      </c>
      <c r="B29" s="188">
        <f>IF(ISERROR(VLOOKUP(A29,'HRGs to TFCs'!A:G,5,FALSE)),0,VLOOKUP(A29,'HRGs to TFCs'!A:G,5,FALSE))</f>
        <v>59</v>
      </c>
      <c r="C29" s="188">
        <f>IF(ISERROR(VLOOKUP(A29,'HRGs to TFCs'!A:G,3,FALSE)),0,VLOOKUP(A29,'HRGs to TFCs'!A:G,3,FALSE))</f>
        <v>2046</v>
      </c>
      <c r="D29" s="188">
        <f>IF(ISERROR(VLOOKUP(A29,'HRGs to TFCs'!A:G,4,FALSE)),0,VLOOKUP(A29,'HRGs to TFCs'!A:G,4,FALSE))</f>
        <v>152</v>
      </c>
      <c r="E29" s="188">
        <f>IF(ISERROR(VLOOKUP(A29,'HRGs to TFCs'!A:G,2,FALSE)),0,VLOOKUP(A29,'HRGs to TFCs'!A:G,2,FALSE))</f>
        <v>694</v>
      </c>
      <c r="F29" s="189">
        <f t="shared" si="1"/>
        <v>5.7568816201699272E-6</v>
      </c>
      <c r="G29" s="189">
        <f t="shared" si="2"/>
        <v>1.9963694567572325E-4</v>
      </c>
      <c r="H29" s="189">
        <f t="shared" si="3"/>
        <v>1.4831288241793712E-5</v>
      </c>
      <c r="I29" s="189">
        <f t="shared" si="4"/>
        <v>6.7716539735558127E-5</v>
      </c>
    </row>
    <row r="30" spans="1:9">
      <c r="A30" s="188">
        <v>172</v>
      </c>
      <c r="B30" s="188">
        <f>IF(ISERROR(VLOOKUP(A30,'HRGs to TFCs'!A:G,5,FALSE)),0,VLOOKUP(A30,'HRGs to TFCs'!A:G,5,FALSE))</f>
        <v>6</v>
      </c>
      <c r="C30" s="188">
        <f>IF(ISERROR(VLOOKUP(A30,'HRGs to TFCs'!A:G,3,FALSE)),0,VLOOKUP(A30,'HRGs to TFCs'!A:G,3,FALSE))</f>
        <v>1978</v>
      </c>
      <c r="D30" s="188">
        <f>IF(ISERROR(VLOOKUP(A30,'HRGs to TFCs'!A:G,4,FALSE)),0,VLOOKUP(A30,'HRGs to TFCs'!A:G,4,FALSE))</f>
        <v>563</v>
      </c>
      <c r="E30" s="188">
        <f>IF(ISERROR(VLOOKUP(A30,'HRGs to TFCs'!A:G,2,FALSE)),0,VLOOKUP(A30,'HRGs to TFCs'!A:G,2,FALSE))</f>
        <v>2530</v>
      </c>
      <c r="F30" s="189">
        <f t="shared" si="1"/>
        <v>5.8544558849185703E-7</v>
      </c>
      <c r="G30" s="189">
        <f t="shared" si="2"/>
        <v>1.9300189567281553E-4</v>
      </c>
      <c r="H30" s="189">
        <f t="shared" si="3"/>
        <v>5.4934311053485919E-5</v>
      </c>
      <c r="I30" s="189">
        <f t="shared" si="4"/>
        <v>2.4686288981406638E-4</v>
      </c>
    </row>
    <row r="31" spans="1:9">
      <c r="A31" s="188">
        <v>173</v>
      </c>
      <c r="B31" s="188">
        <f>IF(ISERROR(VLOOKUP(A31,'HRGs to TFCs'!A:G,5,FALSE)),0,VLOOKUP(A31,'HRGs to TFCs'!A:G,5,FALSE))</f>
        <v>117</v>
      </c>
      <c r="C31" s="188">
        <f>IF(ISERROR(VLOOKUP(A31,'HRGs to TFCs'!A:G,3,FALSE)),0,VLOOKUP(A31,'HRGs to TFCs'!A:G,3,FALSE))</f>
        <v>1879</v>
      </c>
      <c r="D31" s="188">
        <f>IF(ISERROR(VLOOKUP(A31,'HRGs to TFCs'!A:G,4,FALSE)),0,VLOOKUP(A31,'HRGs to TFCs'!A:G,4,FALSE))</f>
        <v>111</v>
      </c>
      <c r="E31" s="188">
        <f>IF(ISERROR(VLOOKUP(A31,'HRGs to TFCs'!A:G,2,FALSE)),0,VLOOKUP(A31,'HRGs to TFCs'!A:G,2,FALSE))</f>
        <v>1540</v>
      </c>
      <c r="F31" s="189">
        <f t="shared" si="1"/>
        <v>1.1416188975591212E-5</v>
      </c>
      <c r="G31" s="189">
        <f t="shared" si="2"/>
        <v>1.833420434626999E-4</v>
      </c>
      <c r="H31" s="189">
        <f t="shared" si="3"/>
        <v>1.0830743387099355E-5</v>
      </c>
      <c r="I31" s="189">
        <f t="shared" si="4"/>
        <v>1.5026436771290998E-4</v>
      </c>
    </row>
    <row r="32" spans="1:9">
      <c r="A32" s="188">
        <v>174</v>
      </c>
      <c r="B32" s="188">
        <f>IF(ISERROR(VLOOKUP(A32,'HRGs to TFCs'!A:G,5,FALSE)),0,VLOOKUP(A32,'HRGs to TFCs'!A:G,5,FALSE))</f>
        <v>7</v>
      </c>
      <c r="C32" s="188">
        <f>IF(ISERROR(VLOOKUP(A32,'HRGs to TFCs'!A:G,3,FALSE)),0,VLOOKUP(A32,'HRGs to TFCs'!A:G,3,FALSE))</f>
        <v>1</v>
      </c>
      <c r="D32" s="188">
        <f>IF(ISERROR(VLOOKUP(A32,'HRGs to TFCs'!A:G,4,FALSE)),0,VLOOKUP(A32,'HRGs to TFCs'!A:G,4,FALSE))</f>
        <v>21</v>
      </c>
      <c r="E32" s="188">
        <f>IF(ISERROR(VLOOKUP(A32,'HRGs to TFCs'!A:G,2,FALSE)),0,VLOOKUP(A32,'HRGs to TFCs'!A:G,2,FALSE))</f>
        <v>1437</v>
      </c>
      <c r="F32" s="189">
        <f t="shared" si="1"/>
        <v>6.8301985324049985E-7</v>
      </c>
      <c r="G32" s="189">
        <f t="shared" si="2"/>
        <v>9.7574264748642833E-8</v>
      </c>
      <c r="H32" s="189">
        <f t="shared" si="3"/>
        <v>2.0490595597214996E-6</v>
      </c>
      <c r="I32" s="189">
        <f t="shared" si="4"/>
        <v>1.4021421844379975E-4</v>
      </c>
    </row>
    <row r="33" spans="1:9">
      <c r="A33" s="188">
        <v>180</v>
      </c>
      <c r="B33" s="188">
        <f>IF(ISERROR(VLOOKUP(A33,'HRGs to TFCs'!A:G,5,FALSE)),0,VLOOKUP(A33,'HRGs to TFCs'!A:G,5,FALSE))</f>
        <v>9</v>
      </c>
      <c r="C33" s="188">
        <f>IF(ISERROR(VLOOKUP(A33,'HRGs to TFCs'!A:G,3,FALSE)),0,VLOOKUP(A33,'HRGs to TFCs'!A:G,3,FALSE))</f>
        <v>3111</v>
      </c>
      <c r="D33" s="188">
        <f>IF(ISERROR(VLOOKUP(A33,'HRGs to TFCs'!A:G,4,FALSE)),0,VLOOKUP(A33,'HRGs to TFCs'!A:G,4,FALSE))</f>
        <v>3</v>
      </c>
      <c r="E33" s="188">
        <f>IF(ISERROR(VLOOKUP(A33,'HRGs to TFCs'!A:G,2,FALSE)),0,VLOOKUP(A33,'HRGs to TFCs'!A:G,2,FALSE))</f>
        <v>1361</v>
      </c>
      <c r="F33" s="189">
        <f t="shared" si="1"/>
        <v>8.7816838273778559E-7</v>
      </c>
      <c r="G33" s="189">
        <f t="shared" si="2"/>
        <v>3.0355353763302786E-4</v>
      </c>
      <c r="H33" s="189">
        <f t="shared" si="3"/>
        <v>2.9272279424592851E-7</v>
      </c>
      <c r="I33" s="189">
        <f t="shared" si="4"/>
        <v>1.327985743229029E-4</v>
      </c>
    </row>
    <row r="34" spans="1:9">
      <c r="A34" s="188">
        <v>190</v>
      </c>
      <c r="B34" s="188">
        <f>IF(ISERROR(VLOOKUP(A34,'HRGs to TFCs'!A:G,5,FALSE)),0,VLOOKUP(A34,'HRGs to TFCs'!A:G,5,FALSE))</f>
        <v>170</v>
      </c>
      <c r="C34" s="188">
        <f>IF(ISERROR(VLOOKUP(A34,'HRGs to TFCs'!A:G,3,FALSE)),0,VLOOKUP(A34,'HRGs to TFCs'!A:G,3,FALSE))</f>
        <v>3494</v>
      </c>
      <c r="D34" s="188">
        <f>IF(ISERROR(VLOOKUP(A34,'HRGs to TFCs'!A:G,4,FALSE)),0,VLOOKUP(A34,'HRGs to TFCs'!A:G,4,FALSE))</f>
        <v>3163</v>
      </c>
      <c r="E34" s="188">
        <f>IF(ISERROR(VLOOKUP(A34,'HRGs to TFCs'!A:G,2,FALSE)),0,VLOOKUP(A34,'HRGs to TFCs'!A:G,2,FALSE))</f>
        <v>10098</v>
      </c>
      <c r="F34" s="189">
        <f t="shared" si="1"/>
        <v>1.6587625007269283E-5</v>
      </c>
      <c r="G34" s="189">
        <f t="shared" si="2"/>
        <v>3.4092448103175809E-4</v>
      </c>
      <c r="H34" s="189">
        <f t="shared" si="3"/>
        <v>3.0862739939995729E-4</v>
      </c>
      <c r="I34" s="189">
        <f t="shared" si="4"/>
        <v>9.8530492543179543E-4</v>
      </c>
    </row>
    <row r="35" spans="1:9">
      <c r="A35" s="188">
        <v>191</v>
      </c>
      <c r="B35" s="188">
        <f>IF(ISERROR(VLOOKUP(A35,'HRGs to TFCs'!A:G,5,FALSE)),0,VLOOKUP(A35,'HRGs to TFCs'!A:G,5,FALSE))</f>
        <v>322</v>
      </c>
      <c r="C35" s="188">
        <f>IF(ISERROR(VLOOKUP(A35,'HRGs to TFCs'!A:G,3,FALSE)),0,VLOOKUP(A35,'HRGs to TFCs'!A:G,3,FALSE))</f>
        <v>7615</v>
      </c>
      <c r="D35" s="188">
        <f>IF(ISERROR(VLOOKUP(A35,'HRGs to TFCs'!A:G,4,FALSE)),0,VLOOKUP(A35,'HRGs to TFCs'!A:G,4,FALSE))</f>
        <v>958</v>
      </c>
      <c r="E35" s="188">
        <f>IF(ISERROR(VLOOKUP(A35,'HRGs to TFCs'!A:G,2,FALSE)),0,VLOOKUP(A35,'HRGs to TFCs'!A:G,2,FALSE))</f>
        <v>87684</v>
      </c>
      <c r="F35" s="189">
        <f t="shared" si="1"/>
        <v>3.1418913249062991E-5</v>
      </c>
      <c r="G35" s="189">
        <f t="shared" si="2"/>
        <v>7.4302802606091521E-4</v>
      </c>
      <c r="H35" s="189">
        <f t="shared" si="3"/>
        <v>9.3476145629199845E-5</v>
      </c>
      <c r="I35" s="189">
        <f t="shared" si="4"/>
        <v>8.5557018302199993E-3</v>
      </c>
    </row>
    <row r="36" spans="1:9">
      <c r="A36" s="188">
        <v>192</v>
      </c>
      <c r="B36" s="188">
        <f>IF(ISERROR(VLOOKUP(A36,'HRGs to TFCs'!A:G,5,FALSE)),0,VLOOKUP(A36,'HRGs to TFCs'!A:G,5,FALSE))</f>
        <v>0</v>
      </c>
      <c r="C36" s="188">
        <f>IF(ISERROR(VLOOKUP(A36,'HRGs to TFCs'!A:G,3,FALSE)),0,VLOOKUP(A36,'HRGs to TFCs'!A:G,3,FALSE))</f>
        <v>2</v>
      </c>
      <c r="D36" s="188">
        <f>IF(ISERROR(VLOOKUP(A36,'HRGs to TFCs'!A:G,4,FALSE)),0,VLOOKUP(A36,'HRGs to TFCs'!A:G,4,FALSE))</f>
        <v>0</v>
      </c>
      <c r="E36" s="188">
        <f>IF(ISERROR(VLOOKUP(A36,'HRGs to TFCs'!A:G,2,FALSE)),0,VLOOKUP(A36,'HRGs to TFCs'!A:G,2,FALSE))</f>
        <v>2</v>
      </c>
      <c r="F36" s="189">
        <f t="shared" si="1"/>
        <v>0</v>
      </c>
      <c r="G36" s="189">
        <f t="shared" si="2"/>
        <v>1.9514852949728567E-7</v>
      </c>
      <c r="H36" s="189">
        <f t="shared" si="3"/>
        <v>0</v>
      </c>
      <c r="I36" s="189">
        <f t="shared" si="4"/>
        <v>1.9514852949728567E-7</v>
      </c>
    </row>
    <row r="37" spans="1:9">
      <c r="A37" s="188">
        <v>211</v>
      </c>
      <c r="B37" s="188">
        <f>IF(ISERROR(VLOOKUP(A37,'HRGs to TFCs'!A:G,5,FALSE)),0,VLOOKUP(A37,'HRGs to TFCs'!A:G,5,FALSE))</f>
        <v>9</v>
      </c>
      <c r="C37" s="188">
        <f>IF(ISERROR(VLOOKUP(A37,'HRGs to TFCs'!A:G,3,FALSE)),0,VLOOKUP(A37,'HRGs to TFCs'!A:G,3,FALSE))</f>
        <v>552</v>
      </c>
      <c r="D37" s="188">
        <f>IF(ISERROR(VLOOKUP(A37,'HRGs to TFCs'!A:G,4,FALSE)),0,VLOOKUP(A37,'HRGs to TFCs'!A:G,4,FALSE))</f>
        <v>11</v>
      </c>
      <c r="E37" s="188">
        <f>IF(ISERROR(VLOOKUP(A37,'HRGs to TFCs'!A:G,2,FALSE)),0,VLOOKUP(A37,'HRGs to TFCs'!A:G,2,FALSE))</f>
        <v>1522</v>
      </c>
      <c r="F37" s="189">
        <f t="shared" si="1"/>
        <v>8.7816838273778559E-7</v>
      </c>
      <c r="G37" s="189">
        <f t="shared" si="2"/>
        <v>5.386099414125085E-5</v>
      </c>
      <c r="H37" s="189">
        <f t="shared" si="3"/>
        <v>1.0733169122350712E-6</v>
      </c>
      <c r="I37" s="189">
        <f t="shared" si="4"/>
        <v>1.4850803094743439E-4</v>
      </c>
    </row>
    <row r="38" spans="1:9">
      <c r="A38" s="188">
        <v>212</v>
      </c>
      <c r="B38" s="188">
        <f>IF(ISERROR(VLOOKUP(A38,'HRGs to TFCs'!A:G,5,FALSE)),0,VLOOKUP(A38,'HRGs to TFCs'!A:G,5,FALSE))</f>
        <v>0</v>
      </c>
      <c r="C38" s="188">
        <f>IF(ISERROR(VLOOKUP(A38,'HRGs to TFCs'!A:G,3,FALSE)),0,VLOOKUP(A38,'HRGs to TFCs'!A:G,3,FALSE))</f>
        <v>1</v>
      </c>
      <c r="D38" s="188">
        <f>IF(ISERROR(VLOOKUP(A38,'HRGs to TFCs'!A:G,4,FALSE)),0,VLOOKUP(A38,'HRGs to TFCs'!A:G,4,FALSE))</f>
        <v>0</v>
      </c>
      <c r="E38" s="188">
        <f>IF(ISERROR(VLOOKUP(A38,'HRGs to TFCs'!A:G,2,FALSE)),0,VLOOKUP(A38,'HRGs to TFCs'!A:G,2,FALSE))</f>
        <v>1</v>
      </c>
      <c r="F38" s="189">
        <f t="shared" si="1"/>
        <v>0</v>
      </c>
      <c r="G38" s="189">
        <f t="shared" si="2"/>
        <v>9.7574264748642833E-8</v>
      </c>
      <c r="H38" s="189">
        <f t="shared" si="3"/>
        <v>0</v>
      </c>
      <c r="I38" s="189">
        <f t="shared" si="4"/>
        <v>9.7574264748642833E-8</v>
      </c>
    </row>
    <row r="39" spans="1:9">
      <c r="A39" s="188">
        <v>213</v>
      </c>
      <c r="B39" s="188">
        <f>IF(ISERROR(VLOOKUP(A39,'HRGs to TFCs'!A:G,5,FALSE)),0,VLOOKUP(A39,'HRGs to TFCs'!A:G,5,FALSE))</f>
        <v>0</v>
      </c>
      <c r="C39" s="188">
        <f>IF(ISERROR(VLOOKUP(A39,'HRGs to TFCs'!A:G,3,FALSE)),0,VLOOKUP(A39,'HRGs to TFCs'!A:G,3,FALSE))</f>
        <v>0</v>
      </c>
      <c r="D39" s="188">
        <f>IF(ISERROR(VLOOKUP(A39,'HRGs to TFCs'!A:G,4,FALSE)),0,VLOOKUP(A39,'HRGs to TFCs'!A:G,4,FALSE))</f>
        <v>0</v>
      </c>
      <c r="E39" s="188">
        <f>IF(ISERROR(VLOOKUP(A39,'HRGs to TFCs'!A:G,2,FALSE)),0,VLOOKUP(A39,'HRGs to TFCs'!A:G,2,FALSE))</f>
        <v>0</v>
      </c>
      <c r="F39" s="189">
        <f t="shared" si="1"/>
        <v>0</v>
      </c>
      <c r="G39" s="189">
        <f t="shared" si="2"/>
        <v>0</v>
      </c>
      <c r="H39" s="189">
        <f t="shared" si="3"/>
        <v>0</v>
      </c>
      <c r="I39" s="189">
        <f t="shared" si="4"/>
        <v>0</v>
      </c>
    </row>
    <row r="40" spans="1:9">
      <c r="A40" s="188">
        <v>214</v>
      </c>
      <c r="B40" s="188">
        <f>IF(ISERROR(VLOOKUP(A40,'HRGs to TFCs'!A:G,5,FALSE)),0,VLOOKUP(A40,'HRGs to TFCs'!A:G,5,FALSE))</f>
        <v>14</v>
      </c>
      <c r="C40" s="188">
        <f>IF(ISERROR(VLOOKUP(A40,'HRGs to TFCs'!A:G,3,FALSE)),0,VLOOKUP(A40,'HRGs to TFCs'!A:G,3,FALSE))</f>
        <v>1049</v>
      </c>
      <c r="D40" s="188">
        <f>IF(ISERROR(VLOOKUP(A40,'HRGs to TFCs'!A:G,4,FALSE)),0,VLOOKUP(A40,'HRGs to TFCs'!A:G,4,FALSE))</f>
        <v>177</v>
      </c>
      <c r="E40" s="188">
        <f>IF(ISERROR(VLOOKUP(A40,'HRGs to TFCs'!A:G,2,FALSE)),0,VLOOKUP(A40,'HRGs to TFCs'!A:G,2,FALSE))</f>
        <v>2294</v>
      </c>
      <c r="F40" s="189">
        <f t="shared" si="1"/>
        <v>1.3660397064809997E-6</v>
      </c>
      <c r="G40" s="189">
        <f t="shared" si="2"/>
        <v>1.0235540372132634E-4</v>
      </c>
      <c r="H40" s="189">
        <f t="shared" si="3"/>
        <v>1.7270644860509784E-5</v>
      </c>
      <c r="I40" s="189">
        <f t="shared" si="4"/>
        <v>2.2383536333338668E-4</v>
      </c>
    </row>
    <row r="41" spans="1:9">
      <c r="A41" s="188">
        <v>215</v>
      </c>
      <c r="B41" s="188">
        <f>IF(ISERROR(VLOOKUP(A41,'HRGs to TFCs'!A:G,5,FALSE)),0,VLOOKUP(A41,'HRGs to TFCs'!A:G,5,FALSE))</f>
        <v>70</v>
      </c>
      <c r="C41" s="188">
        <f>IF(ISERROR(VLOOKUP(A41,'HRGs to TFCs'!A:G,3,FALSE)),0,VLOOKUP(A41,'HRGs to TFCs'!A:G,3,FALSE))</f>
        <v>10951</v>
      </c>
      <c r="D41" s="188">
        <f>IF(ISERROR(VLOOKUP(A41,'HRGs to TFCs'!A:G,4,FALSE)),0,VLOOKUP(A41,'HRGs to TFCs'!A:G,4,FALSE))</f>
        <v>111</v>
      </c>
      <c r="E41" s="188">
        <f>IF(ISERROR(VLOOKUP(A41,'HRGs to TFCs'!A:G,2,FALSE)),0,VLOOKUP(A41,'HRGs to TFCs'!A:G,2,FALSE))</f>
        <v>13604</v>
      </c>
      <c r="F41" s="189">
        <f t="shared" si="1"/>
        <v>6.8301985324049991E-6</v>
      </c>
      <c r="G41" s="189">
        <f t="shared" si="2"/>
        <v>1.0685357732623877E-3</v>
      </c>
      <c r="H41" s="189">
        <f t="shared" si="3"/>
        <v>1.0830743387099355E-5</v>
      </c>
      <c r="I41" s="189">
        <f t="shared" si="4"/>
        <v>1.3274002976405373E-3</v>
      </c>
    </row>
    <row r="42" spans="1:9">
      <c r="A42" s="188">
        <v>216</v>
      </c>
      <c r="B42" s="188">
        <f>IF(ISERROR(VLOOKUP(A42,'HRGs to TFCs'!A:G,5,FALSE)),0,VLOOKUP(A42,'HRGs to TFCs'!A:G,5,FALSE))</f>
        <v>348</v>
      </c>
      <c r="C42" s="188">
        <f>IF(ISERROR(VLOOKUP(A42,'HRGs to TFCs'!A:G,3,FALSE)),0,VLOOKUP(A42,'HRGs to TFCs'!A:G,3,FALSE))</f>
        <v>1639</v>
      </c>
      <c r="D42" s="188">
        <f>IF(ISERROR(VLOOKUP(A42,'HRGs to TFCs'!A:G,4,FALSE)),0,VLOOKUP(A42,'HRGs to TFCs'!A:G,4,FALSE))</f>
        <v>789</v>
      </c>
      <c r="E42" s="188">
        <f>IF(ISERROR(VLOOKUP(A42,'HRGs to TFCs'!A:G,2,FALSE)),0,VLOOKUP(A42,'HRGs to TFCs'!A:G,2,FALSE))</f>
        <v>5275</v>
      </c>
      <c r="F42" s="189">
        <f t="shared" si="1"/>
        <v>3.3955844132527708E-5</v>
      </c>
      <c r="G42" s="189">
        <f t="shared" si="2"/>
        <v>1.5992421992302563E-4</v>
      </c>
      <c r="H42" s="189">
        <f t="shared" si="3"/>
        <v>7.69860948866792E-5</v>
      </c>
      <c r="I42" s="189">
        <f t="shared" si="4"/>
        <v>5.1470424654909098E-4</v>
      </c>
    </row>
    <row r="43" spans="1:9">
      <c r="A43" s="188">
        <v>217</v>
      </c>
      <c r="B43" s="188">
        <f>IF(ISERROR(VLOOKUP(A43,'HRGs to TFCs'!A:G,5,FALSE)),0,VLOOKUP(A43,'HRGs to TFCs'!A:G,5,FALSE))</f>
        <v>25</v>
      </c>
      <c r="C43" s="188">
        <f>IF(ISERROR(VLOOKUP(A43,'HRGs to TFCs'!A:G,3,FALSE)),0,VLOOKUP(A43,'HRGs to TFCs'!A:G,3,FALSE))</f>
        <v>302</v>
      </c>
      <c r="D43" s="188">
        <f>IF(ISERROR(VLOOKUP(A43,'HRGs to TFCs'!A:G,4,FALSE)),0,VLOOKUP(A43,'HRGs to TFCs'!A:G,4,FALSE))</f>
        <v>31</v>
      </c>
      <c r="E43" s="188">
        <f>IF(ISERROR(VLOOKUP(A43,'HRGs to TFCs'!A:G,2,FALSE)),0,VLOOKUP(A43,'HRGs to TFCs'!A:G,2,FALSE))</f>
        <v>434</v>
      </c>
      <c r="F43" s="189">
        <f t="shared" si="1"/>
        <v>2.4393566187160709E-6</v>
      </c>
      <c r="G43" s="189">
        <f t="shared" si="2"/>
        <v>2.9467427954090138E-5</v>
      </c>
      <c r="H43" s="189">
        <f t="shared" si="3"/>
        <v>3.0248022072079278E-6</v>
      </c>
      <c r="I43" s="189">
        <f t="shared" si="4"/>
        <v>4.2347230900910994E-5</v>
      </c>
    </row>
    <row r="44" spans="1:9">
      <c r="A44" s="188">
        <v>218</v>
      </c>
      <c r="B44" s="188">
        <f>IF(ISERROR(VLOOKUP(A44,'HRGs to TFCs'!A:G,5,FALSE)),0,VLOOKUP(A44,'HRGs to TFCs'!A:G,5,FALSE))</f>
        <v>0</v>
      </c>
      <c r="C44" s="188">
        <f>IF(ISERROR(VLOOKUP(A44,'HRGs to TFCs'!A:G,3,FALSE)),0,VLOOKUP(A44,'HRGs to TFCs'!A:G,3,FALSE))</f>
        <v>0</v>
      </c>
      <c r="D44" s="188">
        <f>IF(ISERROR(VLOOKUP(A44,'HRGs to TFCs'!A:G,4,FALSE)),0,VLOOKUP(A44,'HRGs to TFCs'!A:G,4,FALSE))</f>
        <v>0</v>
      </c>
      <c r="E44" s="188">
        <f>IF(ISERROR(VLOOKUP(A44,'HRGs to TFCs'!A:G,2,FALSE)),0,VLOOKUP(A44,'HRGs to TFCs'!A:G,2,FALSE))</f>
        <v>3</v>
      </c>
      <c r="F44" s="189">
        <f t="shared" si="1"/>
        <v>0</v>
      </c>
      <c r="G44" s="189">
        <f t="shared" si="2"/>
        <v>0</v>
      </c>
      <c r="H44" s="189">
        <f t="shared" si="3"/>
        <v>0</v>
      </c>
      <c r="I44" s="189">
        <f t="shared" si="4"/>
        <v>2.9272279424592851E-7</v>
      </c>
    </row>
    <row r="45" spans="1:9">
      <c r="A45" s="188">
        <v>219</v>
      </c>
      <c r="B45" s="188">
        <f>IF(ISERROR(VLOOKUP(A45,'HRGs to TFCs'!A:G,5,FALSE)),0,VLOOKUP(A45,'HRGs to TFCs'!A:G,5,FALSE))</f>
        <v>137</v>
      </c>
      <c r="C45" s="188">
        <f>IF(ISERROR(VLOOKUP(A45,'HRGs to TFCs'!A:G,3,FALSE)),0,VLOOKUP(A45,'HRGs to TFCs'!A:G,3,FALSE))</f>
        <v>2384</v>
      </c>
      <c r="D45" s="188">
        <f>IF(ISERROR(VLOOKUP(A45,'HRGs to TFCs'!A:G,4,FALSE)),0,VLOOKUP(A45,'HRGs to TFCs'!A:G,4,FALSE))</f>
        <v>477</v>
      </c>
      <c r="E45" s="188">
        <f>IF(ISERROR(VLOOKUP(A45,'HRGs to TFCs'!A:G,2,FALSE)),0,VLOOKUP(A45,'HRGs to TFCs'!A:G,2,FALSE))</f>
        <v>4259</v>
      </c>
      <c r="F45" s="189">
        <f t="shared" si="1"/>
        <v>1.336767427056407E-5</v>
      </c>
      <c r="G45" s="189">
        <f t="shared" si="2"/>
        <v>2.3261704716076454E-4</v>
      </c>
      <c r="H45" s="189">
        <f t="shared" si="3"/>
        <v>4.6542924285102634E-5</v>
      </c>
      <c r="I45" s="189">
        <f t="shared" si="4"/>
        <v>4.1556879356446984E-4</v>
      </c>
    </row>
    <row r="46" spans="1:9">
      <c r="A46" s="188">
        <v>220</v>
      </c>
      <c r="B46" s="188">
        <f>IF(ISERROR(VLOOKUP(A46,'HRGs to TFCs'!A:G,5,FALSE)),0,VLOOKUP(A46,'HRGs to TFCs'!A:G,5,FALSE))</f>
        <v>6</v>
      </c>
      <c r="C46" s="188">
        <f>IF(ISERROR(VLOOKUP(A46,'HRGs to TFCs'!A:G,3,FALSE)),0,VLOOKUP(A46,'HRGs to TFCs'!A:G,3,FALSE))</f>
        <v>439</v>
      </c>
      <c r="D46" s="188">
        <f>IF(ISERROR(VLOOKUP(A46,'HRGs to TFCs'!A:G,4,FALSE)),0,VLOOKUP(A46,'HRGs to TFCs'!A:G,4,FALSE))</f>
        <v>15</v>
      </c>
      <c r="E46" s="188">
        <f>IF(ISERROR(VLOOKUP(A46,'HRGs to TFCs'!A:G,2,FALSE)),0,VLOOKUP(A46,'HRGs to TFCs'!A:G,2,FALSE))</f>
        <v>971</v>
      </c>
      <c r="F46" s="189">
        <f t="shared" si="1"/>
        <v>5.8544558849185703E-7</v>
      </c>
      <c r="G46" s="189">
        <f t="shared" si="2"/>
        <v>4.283510222465421E-5</v>
      </c>
      <c r="H46" s="189">
        <f t="shared" si="3"/>
        <v>1.4636139712296425E-6</v>
      </c>
      <c r="I46" s="189">
        <f t="shared" si="4"/>
        <v>9.4744611070932204E-5</v>
      </c>
    </row>
    <row r="47" spans="1:9">
      <c r="A47" s="188">
        <v>221</v>
      </c>
      <c r="B47" s="188">
        <f>IF(ISERROR(VLOOKUP(A47,'HRGs to TFCs'!A:G,5,FALSE)),0,VLOOKUP(A47,'HRGs to TFCs'!A:G,5,FALSE))</f>
        <v>0</v>
      </c>
      <c r="C47" s="188">
        <f>IF(ISERROR(VLOOKUP(A47,'HRGs to TFCs'!A:G,3,FALSE)),0,VLOOKUP(A47,'HRGs to TFCs'!A:G,3,FALSE))</f>
        <v>5</v>
      </c>
      <c r="D47" s="188">
        <f>IF(ISERROR(VLOOKUP(A47,'HRGs to TFCs'!A:G,4,FALSE)),0,VLOOKUP(A47,'HRGs to TFCs'!A:G,4,FALSE))</f>
        <v>7</v>
      </c>
      <c r="E47" s="188">
        <f>IF(ISERROR(VLOOKUP(A47,'HRGs to TFCs'!A:G,2,FALSE)),0,VLOOKUP(A47,'HRGs to TFCs'!A:G,2,FALSE))</f>
        <v>64</v>
      </c>
      <c r="F47" s="189">
        <f t="shared" si="1"/>
        <v>0</v>
      </c>
      <c r="G47" s="189">
        <f t="shared" si="2"/>
        <v>4.8787132374321421E-7</v>
      </c>
      <c r="H47" s="189">
        <f t="shared" si="3"/>
        <v>6.8301985324049985E-7</v>
      </c>
      <c r="I47" s="189">
        <f t="shared" si="4"/>
        <v>6.2447529439131413E-6</v>
      </c>
    </row>
    <row r="48" spans="1:9">
      <c r="A48" s="188">
        <v>222</v>
      </c>
      <c r="B48" s="188">
        <f>IF(ISERROR(VLOOKUP(A48,'HRGs to TFCs'!A:G,5,FALSE)),0,VLOOKUP(A48,'HRGs to TFCs'!A:G,5,FALSE))</f>
        <v>0</v>
      </c>
      <c r="C48" s="188">
        <f>IF(ISERROR(VLOOKUP(A48,'HRGs to TFCs'!A:G,3,FALSE)),0,VLOOKUP(A48,'HRGs to TFCs'!A:G,3,FALSE))</f>
        <v>0</v>
      </c>
      <c r="D48" s="188">
        <f>IF(ISERROR(VLOOKUP(A48,'HRGs to TFCs'!A:G,4,FALSE)),0,VLOOKUP(A48,'HRGs to TFCs'!A:G,4,FALSE))</f>
        <v>0</v>
      </c>
      <c r="E48" s="188">
        <f>IF(ISERROR(VLOOKUP(A48,'HRGs to TFCs'!A:G,2,FALSE)),0,VLOOKUP(A48,'HRGs to TFCs'!A:G,2,FALSE))</f>
        <v>0</v>
      </c>
      <c r="F48" s="189">
        <f t="shared" si="1"/>
        <v>0</v>
      </c>
      <c r="G48" s="189">
        <f t="shared" si="2"/>
        <v>0</v>
      </c>
      <c r="H48" s="189">
        <f t="shared" si="3"/>
        <v>0</v>
      </c>
      <c r="I48" s="189">
        <f t="shared" si="4"/>
        <v>0</v>
      </c>
    </row>
    <row r="49" spans="1:9">
      <c r="A49" s="188">
        <v>223</v>
      </c>
      <c r="B49" s="188">
        <f>IF(ISERROR(VLOOKUP(A49,'HRGs to TFCs'!A:G,5,FALSE)),0,VLOOKUP(A49,'HRGs to TFCs'!A:G,5,FALSE))</f>
        <v>0</v>
      </c>
      <c r="C49" s="188">
        <f>IF(ISERROR(VLOOKUP(A49,'HRGs to TFCs'!A:G,3,FALSE)),0,VLOOKUP(A49,'HRGs to TFCs'!A:G,3,FALSE))</f>
        <v>0</v>
      </c>
      <c r="D49" s="188">
        <f>IF(ISERROR(VLOOKUP(A49,'HRGs to TFCs'!A:G,4,FALSE)),0,VLOOKUP(A49,'HRGs to TFCs'!A:G,4,FALSE))</f>
        <v>0</v>
      </c>
      <c r="E49" s="188">
        <f>IF(ISERROR(VLOOKUP(A49,'HRGs to TFCs'!A:G,2,FALSE)),0,VLOOKUP(A49,'HRGs to TFCs'!A:G,2,FALSE))</f>
        <v>0</v>
      </c>
      <c r="F49" s="189">
        <f t="shared" si="1"/>
        <v>0</v>
      </c>
      <c r="G49" s="189">
        <f t="shared" si="2"/>
        <v>0</v>
      </c>
      <c r="H49" s="189">
        <f t="shared" si="3"/>
        <v>0</v>
      </c>
      <c r="I49" s="189">
        <f t="shared" si="4"/>
        <v>0</v>
      </c>
    </row>
    <row r="50" spans="1:9">
      <c r="A50" s="188">
        <v>241</v>
      </c>
      <c r="B50" s="188">
        <f>IF(ISERROR(VLOOKUP(A50,'HRGs to TFCs'!A:G,5,FALSE)),0,VLOOKUP(A50,'HRGs to TFCs'!A:G,5,FALSE))</f>
        <v>0</v>
      </c>
      <c r="C50" s="188">
        <f>IF(ISERROR(VLOOKUP(A50,'HRGs to TFCs'!A:G,3,FALSE)),0,VLOOKUP(A50,'HRGs to TFCs'!A:G,3,FALSE))</f>
        <v>2</v>
      </c>
      <c r="D50" s="188">
        <f>IF(ISERROR(VLOOKUP(A50,'HRGs to TFCs'!A:G,4,FALSE)),0,VLOOKUP(A50,'HRGs to TFCs'!A:G,4,FALSE))</f>
        <v>0</v>
      </c>
      <c r="E50" s="188">
        <f>IF(ISERROR(VLOOKUP(A50,'HRGs to TFCs'!A:G,2,FALSE)),0,VLOOKUP(A50,'HRGs to TFCs'!A:G,2,FALSE))</f>
        <v>0</v>
      </c>
      <c r="F50" s="189">
        <f t="shared" si="1"/>
        <v>0</v>
      </c>
      <c r="G50" s="189">
        <f t="shared" si="2"/>
        <v>1.9514852949728567E-7</v>
      </c>
      <c r="H50" s="189">
        <f t="shared" si="3"/>
        <v>0</v>
      </c>
      <c r="I50" s="189">
        <f t="shared" si="4"/>
        <v>0</v>
      </c>
    </row>
    <row r="51" spans="1:9">
      <c r="A51" s="188">
        <v>242</v>
      </c>
      <c r="B51" s="188">
        <f>IF(ISERROR(VLOOKUP(A51,'HRGs to TFCs'!A:G,5,FALSE)),0,VLOOKUP(A51,'HRGs to TFCs'!A:G,5,FALSE))</f>
        <v>0</v>
      </c>
      <c r="C51" s="188">
        <f>IF(ISERROR(VLOOKUP(A51,'HRGs to TFCs'!A:G,3,FALSE)),0,VLOOKUP(A51,'HRGs to TFCs'!A:G,3,FALSE))</f>
        <v>1</v>
      </c>
      <c r="D51" s="188">
        <f>IF(ISERROR(VLOOKUP(A51,'HRGs to TFCs'!A:G,4,FALSE)),0,VLOOKUP(A51,'HRGs to TFCs'!A:G,4,FALSE))</f>
        <v>0</v>
      </c>
      <c r="E51" s="188">
        <f>IF(ISERROR(VLOOKUP(A51,'HRGs to TFCs'!A:G,2,FALSE)),0,VLOOKUP(A51,'HRGs to TFCs'!A:G,2,FALSE))</f>
        <v>13</v>
      </c>
      <c r="F51" s="189">
        <f t="shared" si="1"/>
        <v>0</v>
      </c>
      <c r="G51" s="189">
        <f t="shared" si="2"/>
        <v>9.7574264748642833E-8</v>
      </c>
      <c r="H51" s="189">
        <f t="shared" si="3"/>
        <v>0</v>
      </c>
      <c r="I51" s="189">
        <f t="shared" si="4"/>
        <v>1.2684654417323569E-6</v>
      </c>
    </row>
    <row r="52" spans="1:9">
      <c r="A52" s="188">
        <v>251</v>
      </c>
      <c r="B52" s="188">
        <f>IF(ISERROR(VLOOKUP(A52,'HRGs to TFCs'!A:G,5,FALSE)),0,VLOOKUP(A52,'HRGs to TFCs'!A:G,5,FALSE))</f>
        <v>3</v>
      </c>
      <c r="C52" s="188">
        <f>IF(ISERROR(VLOOKUP(A52,'HRGs to TFCs'!A:G,3,FALSE)),0,VLOOKUP(A52,'HRGs to TFCs'!A:G,3,FALSE))</f>
        <v>130</v>
      </c>
      <c r="D52" s="188">
        <f>IF(ISERROR(VLOOKUP(A52,'HRGs to TFCs'!A:G,4,FALSE)),0,VLOOKUP(A52,'HRGs to TFCs'!A:G,4,FALSE))</f>
        <v>8</v>
      </c>
      <c r="E52" s="188">
        <f>IF(ISERROR(VLOOKUP(A52,'HRGs to TFCs'!A:G,2,FALSE)),0,VLOOKUP(A52,'HRGs to TFCs'!A:G,2,FALSE))</f>
        <v>55</v>
      </c>
      <c r="F52" s="189">
        <f t="shared" si="1"/>
        <v>2.9272279424592851E-7</v>
      </c>
      <c r="G52" s="189">
        <f t="shared" si="2"/>
        <v>1.268465441732357E-5</v>
      </c>
      <c r="H52" s="189">
        <f t="shared" si="3"/>
        <v>7.8059411798914267E-7</v>
      </c>
      <c r="I52" s="189">
        <f t="shared" si="4"/>
        <v>5.3665845611753559E-6</v>
      </c>
    </row>
    <row r="53" spans="1:9">
      <c r="A53" s="188">
        <v>252</v>
      </c>
      <c r="B53" s="188">
        <f>IF(ISERROR(VLOOKUP(A53,'HRGs to TFCs'!A:G,5,FALSE)),0,VLOOKUP(A53,'HRGs to TFCs'!A:G,5,FALSE))</f>
        <v>1</v>
      </c>
      <c r="C53" s="188">
        <f>IF(ISERROR(VLOOKUP(A53,'HRGs to TFCs'!A:G,3,FALSE)),0,VLOOKUP(A53,'HRGs to TFCs'!A:G,3,FALSE))</f>
        <v>91</v>
      </c>
      <c r="D53" s="188">
        <f>IF(ISERROR(VLOOKUP(A53,'HRGs to TFCs'!A:G,4,FALSE)),0,VLOOKUP(A53,'HRGs to TFCs'!A:G,4,FALSE))</f>
        <v>5</v>
      </c>
      <c r="E53" s="188">
        <f>IF(ISERROR(VLOOKUP(A53,'HRGs to TFCs'!A:G,2,FALSE)),0,VLOOKUP(A53,'HRGs to TFCs'!A:G,2,FALSE))</f>
        <v>38</v>
      </c>
      <c r="F53" s="189">
        <f t="shared" si="1"/>
        <v>9.7574264748642833E-8</v>
      </c>
      <c r="G53" s="189">
        <f t="shared" si="2"/>
        <v>8.8792580921264983E-6</v>
      </c>
      <c r="H53" s="189">
        <f t="shared" si="3"/>
        <v>4.8787132374321421E-7</v>
      </c>
      <c r="I53" s="189">
        <f t="shared" si="4"/>
        <v>3.707822060448428E-6</v>
      </c>
    </row>
    <row r="54" spans="1:9">
      <c r="A54" s="188">
        <v>253</v>
      </c>
      <c r="B54" s="188">
        <f>IF(ISERROR(VLOOKUP(A54,'HRGs to TFCs'!A:G,5,FALSE)),0,VLOOKUP(A54,'HRGs to TFCs'!A:G,5,FALSE))</f>
        <v>7</v>
      </c>
      <c r="C54" s="188">
        <f>IF(ISERROR(VLOOKUP(A54,'HRGs to TFCs'!A:G,3,FALSE)),0,VLOOKUP(A54,'HRGs to TFCs'!A:G,3,FALSE))</f>
        <v>76</v>
      </c>
      <c r="D54" s="188">
        <f>IF(ISERROR(VLOOKUP(A54,'HRGs to TFCs'!A:G,4,FALSE)),0,VLOOKUP(A54,'HRGs to TFCs'!A:G,4,FALSE))</f>
        <v>276</v>
      </c>
      <c r="E54" s="188">
        <f>IF(ISERROR(VLOOKUP(A54,'HRGs to TFCs'!A:G,2,FALSE)),0,VLOOKUP(A54,'HRGs to TFCs'!A:G,2,FALSE))</f>
        <v>591</v>
      </c>
      <c r="F54" s="189">
        <f t="shared" si="1"/>
        <v>6.8301985324049985E-7</v>
      </c>
      <c r="G54" s="189">
        <f t="shared" si="2"/>
        <v>7.415644120896856E-6</v>
      </c>
      <c r="H54" s="189">
        <f t="shared" si="3"/>
        <v>2.6930497070625425E-5</v>
      </c>
      <c r="I54" s="189">
        <f t="shared" si="4"/>
        <v>5.7666390466447918E-5</v>
      </c>
    </row>
    <row r="55" spans="1:9">
      <c r="A55" s="188">
        <v>254</v>
      </c>
      <c r="B55" s="188">
        <f>IF(ISERROR(VLOOKUP(A55,'HRGs to TFCs'!A:G,5,FALSE)),0,VLOOKUP(A55,'HRGs to TFCs'!A:G,5,FALSE))</f>
        <v>520</v>
      </c>
      <c r="C55" s="188">
        <f>IF(ISERROR(VLOOKUP(A55,'HRGs to TFCs'!A:G,3,FALSE)),0,VLOOKUP(A55,'HRGs to TFCs'!A:G,3,FALSE))</f>
        <v>2695</v>
      </c>
      <c r="D55" s="188">
        <f>IF(ISERROR(VLOOKUP(A55,'HRGs to TFCs'!A:G,4,FALSE)),0,VLOOKUP(A55,'HRGs to TFCs'!A:G,4,FALSE))</f>
        <v>625</v>
      </c>
      <c r="E55" s="188">
        <f>IF(ISERROR(VLOOKUP(A55,'HRGs to TFCs'!A:G,2,FALSE)),0,VLOOKUP(A55,'HRGs to TFCs'!A:G,2,FALSE))</f>
        <v>3061</v>
      </c>
      <c r="F55" s="189">
        <f t="shared" si="1"/>
        <v>5.073861766929428E-5</v>
      </c>
      <c r="G55" s="189">
        <f t="shared" si="2"/>
        <v>2.6296264349759245E-4</v>
      </c>
      <c r="H55" s="189">
        <f t="shared" si="3"/>
        <v>6.0983915467901778E-5</v>
      </c>
      <c r="I55" s="189">
        <f t="shared" si="4"/>
        <v>2.9867482439559575E-4</v>
      </c>
    </row>
    <row r="56" spans="1:9">
      <c r="A56" s="188">
        <v>255</v>
      </c>
      <c r="B56" s="188">
        <f>IF(ISERROR(VLOOKUP(A56,'HRGs to TFCs'!A:G,5,FALSE)),0,VLOOKUP(A56,'HRGs to TFCs'!A:G,5,FALSE))</f>
        <v>634</v>
      </c>
      <c r="C56" s="188">
        <f>IF(ISERROR(VLOOKUP(A56,'HRGs to TFCs'!A:G,3,FALSE)),0,VLOOKUP(A56,'HRGs to TFCs'!A:G,3,FALSE))</f>
        <v>2050</v>
      </c>
      <c r="D56" s="188">
        <f>IF(ISERROR(VLOOKUP(A56,'HRGs to TFCs'!A:G,4,FALSE)),0,VLOOKUP(A56,'HRGs to TFCs'!A:G,4,FALSE))</f>
        <v>281</v>
      </c>
      <c r="E56" s="188">
        <f>IF(ISERROR(VLOOKUP(A56,'HRGs to TFCs'!A:G,2,FALSE)),0,VLOOKUP(A56,'HRGs to TFCs'!A:G,2,FALSE))</f>
        <v>2095</v>
      </c>
      <c r="F56" s="189">
        <f t="shared" si="1"/>
        <v>6.1862083850639565E-5</v>
      </c>
      <c r="G56" s="189">
        <f t="shared" si="2"/>
        <v>2.0002724273471782E-4</v>
      </c>
      <c r="H56" s="189">
        <f t="shared" si="3"/>
        <v>2.7418368394368637E-5</v>
      </c>
      <c r="I56" s="189">
        <f t="shared" si="4"/>
        <v>2.0441808464840674E-4</v>
      </c>
    </row>
    <row r="57" spans="1:9">
      <c r="A57" s="188">
        <v>256</v>
      </c>
      <c r="B57" s="188">
        <f>IF(ISERROR(VLOOKUP(A57,'HRGs to TFCs'!A:G,5,FALSE)),0,VLOOKUP(A57,'HRGs to TFCs'!A:G,5,FALSE))</f>
        <v>0</v>
      </c>
      <c r="C57" s="188">
        <f>IF(ISERROR(VLOOKUP(A57,'HRGs to TFCs'!A:G,3,FALSE)),0,VLOOKUP(A57,'HRGs to TFCs'!A:G,3,FALSE))</f>
        <v>0</v>
      </c>
      <c r="D57" s="188">
        <f>IF(ISERROR(VLOOKUP(A57,'HRGs to TFCs'!A:G,4,FALSE)),0,VLOOKUP(A57,'HRGs to TFCs'!A:G,4,FALSE))</f>
        <v>0</v>
      </c>
      <c r="E57" s="188">
        <f>IF(ISERROR(VLOOKUP(A57,'HRGs to TFCs'!A:G,2,FALSE)),0,VLOOKUP(A57,'HRGs to TFCs'!A:G,2,FALSE))</f>
        <v>1</v>
      </c>
      <c r="F57" s="189">
        <f t="shared" si="1"/>
        <v>0</v>
      </c>
      <c r="G57" s="189">
        <f t="shared" si="2"/>
        <v>0</v>
      </c>
      <c r="H57" s="189">
        <f t="shared" si="3"/>
        <v>0</v>
      </c>
      <c r="I57" s="189">
        <f t="shared" si="4"/>
        <v>9.7574264748642833E-8</v>
      </c>
    </row>
    <row r="58" spans="1:9">
      <c r="A58" s="188">
        <v>257</v>
      </c>
      <c r="B58" s="188">
        <f>IF(ISERROR(VLOOKUP(A58,'HRGs to TFCs'!A:G,5,FALSE)),0,VLOOKUP(A58,'HRGs to TFCs'!A:G,5,FALSE))</f>
        <v>26</v>
      </c>
      <c r="C58" s="188">
        <f>IF(ISERROR(VLOOKUP(A58,'HRGs to TFCs'!A:G,3,FALSE)),0,VLOOKUP(A58,'HRGs to TFCs'!A:G,3,FALSE))</f>
        <v>1418</v>
      </c>
      <c r="D58" s="188">
        <f>IF(ISERROR(VLOOKUP(A58,'HRGs to TFCs'!A:G,4,FALSE)),0,VLOOKUP(A58,'HRGs to TFCs'!A:G,4,FALSE))</f>
        <v>35</v>
      </c>
      <c r="E58" s="188">
        <f>IF(ISERROR(VLOOKUP(A58,'HRGs to TFCs'!A:G,2,FALSE)),0,VLOOKUP(A58,'HRGs to TFCs'!A:G,2,FALSE))</f>
        <v>10045</v>
      </c>
      <c r="F58" s="189">
        <f t="shared" si="1"/>
        <v>2.5369308834647137E-6</v>
      </c>
      <c r="G58" s="189">
        <f t="shared" si="2"/>
        <v>1.3836030741357555E-4</v>
      </c>
      <c r="H58" s="189">
        <f t="shared" si="3"/>
        <v>3.4150992662024995E-6</v>
      </c>
      <c r="I58" s="189">
        <f t="shared" si="4"/>
        <v>9.8013348940011722E-4</v>
      </c>
    </row>
    <row r="59" spans="1:9">
      <c r="A59" s="188">
        <v>258</v>
      </c>
      <c r="B59" s="188">
        <f>IF(ISERROR(VLOOKUP(A59,'HRGs to TFCs'!A:G,5,FALSE)),0,VLOOKUP(A59,'HRGs to TFCs'!A:G,5,FALSE))</f>
        <v>261</v>
      </c>
      <c r="C59" s="188">
        <f>IF(ISERROR(VLOOKUP(A59,'HRGs to TFCs'!A:G,3,FALSE)),0,VLOOKUP(A59,'HRGs to TFCs'!A:G,3,FALSE))</f>
        <v>2111</v>
      </c>
      <c r="D59" s="188">
        <f>IF(ISERROR(VLOOKUP(A59,'HRGs to TFCs'!A:G,4,FALSE)),0,VLOOKUP(A59,'HRGs to TFCs'!A:G,4,FALSE))</f>
        <v>1305</v>
      </c>
      <c r="E59" s="188">
        <f>IF(ISERROR(VLOOKUP(A59,'HRGs to TFCs'!A:G,2,FALSE)),0,VLOOKUP(A59,'HRGs to TFCs'!A:G,2,FALSE))</f>
        <v>4345</v>
      </c>
      <c r="F59" s="189">
        <f t="shared" si="1"/>
        <v>2.5466883099395781E-5</v>
      </c>
      <c r="G59" s="189">
        <f t="shared" si="2"/>
        <v>2.0597927288438502E-4</v>
      </c>
      <c r="H59" s="189">
        <f t="shared" si="3"/>
        <v>1.2733441549697892E-4</v>
      </c>
      <c r="I59" s="189">
        <f t="shared" si="4"/>
        <v>4.2396018033285312E-4</v>
      </c>
    </row>
    <row r="60" spans="1:9">
      <c r="A60" s="188">
        <v>259</v>
      </c>
      <c r="B60" s="188">
        <f>IF(ISERROR(VLOOKUP(A60,'HRGs to TFCs'!A:G,5,FALSE)),0,VLOOKUP(A60,'HRGs to TFCs'!A:G,5,FALSE))</f>
        <v>0</v>
      </c>
      <c r="C60" s="188">
        <f>IF(ISERROR(VLOOKUP(A60,'HRGs to TFCs'!A:G,3,FALSE)),0,VLOOKUP(A60,'HRGs to TFCs'!A:G,3,FALSE))</f>
        <v>4</v>
      </c>
      <c r="D60" s="188">
        <f>IF(ISERROR(VLOOKUP(A60,'HRGs to TFCs'!A:G,4,FALSE)),0,VLOOKUP(A60,'HRGs to TFCs'!A:G,4,FALSE))</f>
        <v>12</v>
      </c>
      <c r="E60" s="188">
        <f>IF(ISERROR(VLOOKUP(A60,'HRGs to TFCs'!A:G,2,FALSE)),0,VLOOKUP(A60,'HRGs to TFCs'!A:G,2,FALSE))</f>
        <v>72</v>
      </c>
      <c r="F60" s="189">
        <f t="shared" si="1"/>
        <v>0</v>
      </c>
      <c r="G60" s="189">
        <f t="shared" si="2"/>
        <v>3.9029705899457133E-7</v>
      </c>
      <c r="H60" s="189">
        <f t="shared" si="3"/>
        <v>1.1708911769837141E-6</v>
      </c>
      <c r="I60" s="189">
        <f t="shared" si="4"/>
        <v>7.0253470619022847E-6</v>
      </c>
    </row>
    <row r="61" spans="1:9">
      <c r="A61" s="188">
        <v>260</v>
      </c>
      <c r="B61" s="188">
        <f>IF(ISERROR(VLOOKUP(A61,'HRGs to TFCs'!A:G,5,FALSE)),0,VLOOKUP(A61,'HRGs to TFCs'!A:G,5,FALSE))</f>
        <v>14</v>
      </c>
      <c r="C61" s="188">
        <f>IF(ISERROR(VLOOKUP(A61,'HRGs to TFCs'!A:G,3,FALSE)),0,VLOOKUP(A61,'HRGs to TFCs'!A:G,3,FALSE))</f>
        <v>16</v>
      </c>
      <c r="D61" s="188">
        <f>IF(ISERROR(VLOOKUP(A61,'HRGs to TFCs'!A:G,4,FALSE)),0,VLOOKUP(A61,'HRGs to TFCs'!A:G,4,FALSE))</f>
        <v>200</v>
      </c>
      <c r="E61" s="188">
        <f>IF(ISERROR(VLOOKUP(A61,'HRGs to TFCs'!A:G,2,FALSE)),0,VLOOKUP(A61,'HRGs to TFCs'!A:G,2,FALSE))</f>
        <v>1409</v>
      </c>
      <c r="F61" s="189">
        <f t="shared" si="1"/>
        <v>1.3660397064809997E-6</v>
      </c>
      <c r="G61" s="189">
        <f t="shared" si="2"/>
        <v>1.5611882359782853E-6</v>
      </c>
      <c r="H61" s="189">
        <f t="shared" si="3"/>
        <v>1.9514852949728567E-5</v>
      </c>
      <c r="I61" s="189">
        <f t="shared" si="4"/>
        <v>1.3748213903083776E-4</v>
      </c>
    </row>
    <row r="62" spans="1:9">
      <c r="A62" s="188">
        <v>261</v>
      </c>
      <c r="B62" s="188">
        <f>IF(ISERROR(VLOOKUP(A62,'HRGs to TFCs'!A:G,5,FALSE)),0,VLOOKUP(A62,'HRGs to TFCs'!A:G,5,FALSE))</f>
        <v>0</v>
      </c>
      <c r="C62" s="188">
        <f>IF(ISERROR(VLOOKUP(A62,'HRGs to TFCs'!A:G,3,FALSE)),0,VLOOKUP(A62,'HRGs to TFCs'!A:G,3,FALSE))</f>
        <v>0</v>
      </c>
      <c r="D62" s="188">
        <f>IF(ISERROR(VLOOKUP(A62,'HRGs to TFCs'!A:G,4,FALSE)),0,VLOOKUP(A62,'HRGs to TFCs'!A:G,4,FALSE))</f>
        <v>0</v>
      </c>
      <c r="E62" s="188">
        <f>IF(ISERROR(VLOOKUP(A62,'HRGs to TFCs'!A:G,2,FALSE)),0,VLOOKUP(A62,'HRGs to TFCs'!A:G,2,FALSE))</f>
        <v>0</v>
      </c>
      <c r="F62" s="189">
        <f t="shared" si="1"/>
        <v>0</v>
      </c>
      <c r="G62" s="189">
        <f t="shared" si="2"/>
        <v>0</v>
      </c>
      <c r="H62" s="189">
        <f t="shared" si="3"/>
        <v>0</v>
      </c>
      <c r="I62" s="189">
        <f t="shared" si="4"/>
        <v>0</v>
      </c>
    </row>
    <row r="63" spans="1:9">
      <c r="A63" s="188">
        <v>262</v>
      </c>
      <c r="B63" s="188">
        <f>IF(ISERROR(VLOOKUP(A63,'HRGs to TFCs'!A:G,5,FALSE)),0,VLOOKUP(A63,'HRGs to TFCs'!A:G,5,FALSE))</f>
        <v>53</v>
      </c>
      <c r="C63" s="188">
        <f>IF(ISERROR(VLOOKUP(A63,'HRGs to TFCs'!A:G,3,FALSE)),0,VLOOKUP(A63,'HRGs to TFCs'!A:G,3,FALSE))</f>
        <v>152</v>
      </c>
      <c r="D63" s="188">
        <f>IF(ISERROR(VLOOKUP(A63,'HRGs to TFCs'!A:G,4,FALSE)),0,VLOOKUP(A63,'HRGs to TFCs'!A:G,4,FALSE))</f>
        <v>373</v>
      </c>
      <c r="E63" s="188">
        <f>IF(ISERROR(VLOOKUP(A63,'HRGs to TFCs'!A:G,2,FALSE)),0,VLOOKUP(A63,'HRGs to TFCs'!A:G,2,FALSE))</f>
        <v>268</v>
      </c>
      <c r="F63" s="189">
        <f t="shared" si="1"/>
        <v>5.1714360316780703E-6</v>
      </c>
      <c r="G63" s="189">
        <f t="shared" si="2"/>
        <v>1.4831288241793712E-5</v>
      </c>
      <c r="H63" s="189">
        <f t="shared" si="3"/>
        <v>3.639520075124378E-5</v>
      </c>
      <c r="I63" s="189">
        <f t="shared" si="4"/>
        <v>2.6149902952636283E-5</v>
      </c>
    </row>
    <row r="64" spans="1:9">
      <c r="A64" s="188">
        <v>263</v>
      </c>
      <c r="B64" s="188">
        <f>IF(ISERROR(VLOOKUP(A64,'HRGs to TFCs'!A:G,5,FALSE)),0,VLOOKUP(A64,'HRGs to TFCs'!A:G,5,FALSE))</f>
        <v>2</v>
      </c>
      <c r="C64" s="188">
        <f>IF(ISERROR(VLOOKUP(A64,'HRGs to TFCs'!A:G,3,FALSE)),0,VLOOKUP(A64,'HRGs to TFCs'!A:G,3,FALSE))</f>
        <v>4</v>
      </c>
      <c r="D64" s="188">
        <f>IF(ISERROR(VLOOKUP(A64,'HRGs to TFCs'!A:G,4,FALSE)),0,VLOOKUP(A64,'HRGs to TFCs'!A:G,4,FALSE))</f>
        <v>109</v>
      </c>
      <c r="E64" s="188">
        <f>IF(ISERROR(VLOOKUP(A64,'HRGs to TFCs'!A:G,2,FALSE)),0,VLOOKUP(A64,'HRGs to TFCs'!A:G,2,FALSE))</f>
        <v>141</v>
      </c>
      <c r="F64" s="189">
        <f t="shared" si="1"/>
        <v>1.9514852949728567E-7</v>
      </c>
      <c r="G64" s="189">
        <f t="shared" si="2"/>
        <v>3.9029705899457133E-7</v>
      </c>
      <c r="H64" s="189">
        <f t="shared" si="3"/>
        <v>1.0635594857602069E-5</v>
      </c>
      <c r="I64" s="189">
        <f t="shared" si="4"/>
        <v>1.3757971329558641E-5</v>
      </c>
    </row>
    <row r="65" spans="1:9">
      <c r="A65" s="188">
        <v>280</v>
      </c>
      <c r="B65" s="188">
        <f>IF(ISERROR(VLOOKUP(A65,'HRGs to TFCs'!A:G,5,FALSE)),0,VLOOKUP(A65,'HRGs to TFCs'!A:G,5,FALSE))</f>
        <v>0</v>
      </c>
      <c r="C65" s="188">
        <f>IF(ISERROR(VLOOKUP(A65,'HRGs to TFCs'!A:G,3,FALSE)),0,VLOOKUP(A65,'HRGs to TFCs'!A:G,3,FALSE))</f>
        <v>0</v>
      </c>
      <c r="D65" s="188">
        <f>IF(ISERROR(VLOOKUP(A65,'HRGs to TFCs'!A:G,4,FALSE)),0,VLOOKUP(A65,'HRGs to TFCs'!A:G,4,FALSE))</f>
        <v>0</v>
      </c>
      <c r="E65" s="188">
        <f>IF(ISERROR(VLOOKUP(A65,'HRGs to TFCs'!A:G,2,FALSE)),0,VLOOKUP(A65,'HRGs to TFCs'!A:G,2,FALSE))</f>
        <v>0</v>
      </c>
      <c r="F65" s="189">
        <f t="shared" ref="F65" si="5">IF(ISERROR(B65/$E$4),0,B65/$E$4)</f>
        <v>0</v>
      </c>
      <c r="G65" s="189">
        <f t="shared" ref="G65" si="6">IF(ISERROR(C65/$E$4),0,C65/$E$4)</f>
        <v>0</v>
      </c>
      <c r="H65" s="189">
        <f t="shared" ref="H65" si="7">IF(ISERROR(D65/$E$4),0,D65/$E$4)</f>
        <v>0</v>
      </c>
      <c r="I65" s="189">
        <f t="shared" ref="I65" si="8">IF(ISERROR(E65/$E$4),0,E65/$E$4)</f>
        <v>0</v>
      </c>
    </row>
    <row r="66" spans="1:9">
      <c r="A66" s="188">
        <v>290</v>
      </c>
      <c r="B66" s="188">
        <f>IF(ISERROR(VLOOKUP(A66,'HRGs to TFCs'!A:G,5,FALSE)),0,VLOOKUP(A66,'HRGs to TFCs'!A:G,5,FALSE))</f>
        <v>3</v>
      </c>
      <c r="C66" s="188">
        <f>IF(ISERROR(VLOOKUP(A66,'HRGs to TFCs'!A:G,3,FALSE)),0,VLOOKUP(A66,'HRGs to TFCs'!A:G,3,FALSE))</f>
        <v>1255</v>
      </c>
      <c r="D66" s="188">
        <f>IF(ISERROR(VLOOKUP(A66,'HRGs to TFCs'!A:G,4,FALSE)),0,VLOOKUP(A66,'HRGs to TFCs'!A:G,4,FALSE))</f>
        <v>1</v>
      </c>
      <c r="E66" s="188">
        <f>IF(ISERROR(VLOOKUP(A66,'HRGs to TFCs'!A:G,2,FALSE)),0,VLOOKUP(A66,'HRGs to TFCs'!A:G,2,FALSE))</f>
        <v>3534</v>
      </c>
      <c r="F66" s="189">
        <f t="shared" si="1"/>
        <v>2.9272279424592851E-7</v>
      </c>
      <c r="G66" s="189">
        <f t="shared" si="2"/>
        <v>1.2245570225954676E-4</v>
      </c>
      <c r="H66" s="189">
        <f t="shared" si="3"/>
        <v>9.7574264748642833E-8</v>
      </c>
      <c r="I66" s="189">
        <f t="shared" si="4"/>
        <v>3.4482745162170382E-4</v>
      </c>
    </row>
    <row r="67" spans="1:9">
      <c r="A67" s="188">
        <v>291</v>
      </c>
      <c r="B67" s="188">
        <f>IF(ISERROR(VLOOKUP(A67,'HRGs to TFCs'!A:G,5,FALSE)),0,VLOOKUP(A67,'HRGs to TFCs'!A:G,5,FALSE))</f>
        <v>0</v>
      </c>
      <c r="C67" s="188">
        <f>IF(ISERROR(VLOOKUP(A67,'HRGs to TFCs'!A:G,3,FALSE)),0,VLOOKUP(A67,'HRGs to TFCs'!A:G,3,FALSE))</f>
        <v>13</v>
      </c>
      <c r="D67" s="188">
        <f>IF(ISERROR(VLOOKUP(A67,'HRGs to TFCs'!A:G,4,FALSE)),0,VLOOKUP(A67,'HRGs to TFCs'!A:G,4,FALSE))</f>
        <v>3</v>
      </c>
      <c r="E67" s="188">
        <f>IF(ISERROR(VLOOKUP(A67,'HRGs to TFCs'!A:G,2,FALSE)),0,VLOOKUP(A67,'HRGs to TFCs'!A:G,2,FALSE))</f>
        <v>21</v>
      </c>
      <c r="F67" s="189">
        <f t="shared" si="1"/>
        <v>0</v>
      </c>
      <c r="G67" s="189">
        <f t="shared" si="2"/>
        <v>1.2684654417323569E-6</v>
      </c>
      <c r="H67" s="189">
        <f t="shared" si="3"/>
        <v>2.9272279424592851E-7</v>
      </c>
      <c r="I67" s="189">
        <f t="shared" si="4"/>
        <v>2.0490595597214996E-6</v>
      </c>
    </row>
    <row r="68" spans="1:9">
      <c r="A68" s="188">
        <v>300</v>
      </c>
      <c r="B68" s="188">
        <f>IF(ISERROR(VLOOKUP(A68,'HRGs to TFCs'!A:G,5,FALSE)),0,VLOOKUP(A68,'HRGs to TFCs'!A:G,5,FALSE))</f>
        <v>440</v>
      </c>
      <c r="C68" s="188">
        <f>IF(ISERROR(VLOOKUP(A68,'HRGs to TFCs'!A:G,3,FALSE)),0,VLOOKUP(A68,'HRGs to TFCs'!A:G,3,FALSE))</f>
        <v>23671</v>
      </c>
      <c r="D68" s="188">
        <f>IF(ISERROR(VLOOKUP(A68,'HRGs to TFCs'!A:G,4,FALSE)),0,VLOOKUP(A68,'HRGs to TFCs'!A:G,4,FALSE))</f>
        <v>460</v>
      </c>
      <c r="E68" s="188">
        <f>IF(ISERROR(VLOOKUP(A68,'HRGs to TFCs'!A:G,2,FALSE)),0,VLOOKUP(A68,'HRGs to TFCs'!A:G,2,FALSE))</f>
        <v>24936</v>
      </c>
      <c r="F68" s="189">
        <f t="shared" si="1"/>
        <v>4.2932676489402848E-5</v>
      </c>
      <c r="G68" s="189">
        <f t="shared" si="2"/>
        <v>2.3096804208651246E-3</v>
      </c>
      <c r="H68" s="189">
        <f t="shared" si="3"/>
        <v>4.4884161784375704E-5</v>
      </c>
      <c r="I68" s="189">
        <f t="shared" si="4"/>
        <v>2.4331118657721579E-3</v>
      </c>
    </row>
    <row r="69" spans="1:9">
      <c r="A69" s="188">
        <v>301</v>
      </c>
      <c r="B69" s="188">
        <f>IF(ISERROR(VLOOKUP(A69,'HRGs to TFCs'!A:G,5,FALSE)),0,VLOOKUP(A69,'HRGs to TFCs'!A:G,5,FALSE))</f>
        <v>124</v>
      </c>
      <c r="C69" s="188">
        <f>IF(ISERROR(VLOOKUP(A69,'HRGs to TFCs'!A:G,3,FALSE)),0,VLOOKUP(A69,'HRGs to TFCs'!A:G,3,FALSE))</f>
        <v>17766</v>
      </c>
      <c r="D69" s="188">
        <f>IF(ISERROR(VLOOKUP(A69,'HRGs to TFCs'!A:G,4,FALSE)),0,VLOOKUP(A69,'HRGs to TFCs'!A:G,4,FALSE))</f>
        <v>76</v>
      </c>
      <c r="E69" s="188">
        <f>IF(ISERROR(VLOOKUP(A69,'HRGs to TFCs'!A:G,2,FALSE)),0,VLOOKUP(A69,'HRGs to TFCs'!A:G,2,FALSE))</f>
        <v>14100</v>
      </c>
      <c r="F69" s="189">
        <f t="shared" si="1"/>
        <v>1.2099208828831711E-5</v>
      </c>
      <c r="G69" s="189">
        <f t="shared" si="2"/>
        <v>1.7335043875243887E-3</v>
      </c>
      <c r="H69" s="189">
        <f t="shared" si="3"/>
        <v>7.415644120896856E-6</v>
      </c>
      <c r="I69" s="189">
        <f t="shared" si="4"/>
        <v>1.375797132955864E-3</v>
      </c>
    </row>
    <row r="70" spans="1:9">
      <c r="A70" s="188">
        <v>302</v>
      </c>
      <c r="B70" s="188">
        <f>IF(ISERROR(VLOOKUP(A70,'HRGs to TFCs'!A:G,5,FALSE)),0,VLOOKUP(A70,'HRGs to TFCs'!A:G,5,FALSE))</f>
        <v>97</v>
      </c>
      <c r="C70" s="188">
        <f>IF(ISERROR(VLOOKUP(A70,'HRGs to TFCs'!A:G,3,FALSE)),0,VLOOKUP(A70,'HRGs to TFCs'!A:G,3,FALSE))</f>
        <v>1452</v>
      </c>
      <c r="D70" s="188">
        <f>IF(ISERROR(VLOOKUP(A70,'HRGs to TFCs'!A:G,4,FALSE)),0,VLOOKUP(A70,'HRGs to TFCs'!A:G,4,FALSE))</f>
        <v>106</v>
      </c>
      <c r="E70" s="188">
        <f>IF(ISERROR(VLOOKUP(A70,'HRGs to TFCs'!A:G,2,FALSE)),0,VLOOKUP(A70,'HRGs to TFCs'!A:G,2,FALSE))</f>
        <v>1282</v>
      </c>
      <c r="F70" s="189">
        <f t="shared" si="1"/>
        <v>9.4647036806183552E-6</v>
      </c>
      <c r="G70" s="189">
        <f t="shared" si="2"/>
        <v>1.4167783241502939E-4</v>
      </c>
      <c r="H70" s="189">
        <f t="shared" si="3"/>
        <v>1.0342872063356141E-5</v>
      </c>
      <c r="I70" s="189">
        <f t="shared" si="4"/>
        <v>1.2509020740776011E-4</v>
      </c>
    </row>
    <row r="71" spans="1:9">
      <c r="A71" s="188">
        <v>303</v>
      </c>
      <c r="B71" s="188">
        <f>IF(ISERROR(VLOOKUP(A71,'HRGs to TFCs'!A:G,5,FALSE)),0,VLOOKUP(A71,'HRGs to TFCs'!A:G,5,FALSE))</f>
        <v>161</v>
      </c>
      <c r="C71" s="188">
        <f>IF(ISERROR(VLOOKUP(A71,'HRGs to TFCs'!A:G,3,FALSE)),0,VLOOKUP(A71,'HRGs to TFCs'!A:G,3,FALSE))</f>
        <v>2083</v>
      </c>
      <c r="D71" s="188">
        <f>IF(ISERROR(VLOOKUP(A71,'HRGs to TFCs'!A:G,4,FALSE)),0,VLOOKUP(A71,'HRGs to TFCs'!A:G,4,FALSE))</f>
        <v>2821</v>
      </c>
      <c r="E71" s="188">
        <f>IF(ISERROR(VLOOKUP(A71,'HRGs to TFCs'!A:G,2,FALSE)),0,VLOOKUP(A71,'HRGs to TFCs'!A:G,2,FALSE))</f>
        <v>47939</v>
      </c>
      <c r="F71" s="189">
        <f t="shared" si="1"/>
        <v>1.5709456624531496E-5</v>
      </c>
      <c r="G71" s="189">
        <f t="shared" si="2"/>
        <v>2.0324719347142303E-4</v>
      </c>
      <c r="H71" s="189">
        <f t="shared" si="3"/>
        <v>2.7525700085592145E-4</v>
      </c>
      <c r="I71" s="189">
        <f t="shared" si="4"/>
        <v>4.6776126777851893E-3</v>
      </c>
    </row>
    <row r="72" spans="1:9">
      <c r="A72" s="188">
        <v>304</v>
      </c>
      <c r="B72" s="188">
        <f>IF(ISERROR(VLOOKUP(A72,'HRGs to TFCs'!A:G,5,FALSE)),0,VLOOKUP(A72,'HRGs to TFCs'!A:G,5,FALSE))</f>
        <v>838</v>
      </c>
      <c r="C72" s="188">
        <f>IF(ISERROR(VLOOKUP(A72,'HRGs to TFCs'!A:G,3,FALSE)),0,VLOOKUP(A72,'HRGs to TFCs'!A:G,3,FALSE))</f>
        <v>69754</v>
      </c>
      <c r="D72" s="188">
        <f>IF(ISERROR(VLOOKUP(A72,'HRGs to TFCs'!A:G,4,FALSE)),0,VLOOKUP(A72,'HRGs to TFCs'!A:G,4,FALSE))</f>
        <v>660</v>
      </c>
      <c r="E72" s="188">
        <f>IF(ISERROR(VLOOKUP(A72,'HRGs to TFCs'!A:G,2,FALSE)),0,VLOOKUP(A72,'HRGs to TFCs'!A:G,2,FALSE))</f>
        <v>47862</v>
      </c>
      <c r="F72" s="189">
        <f t="shared" si="1"/>
        <v>8.1767233859362693E-5</v>
      </c>
      <c r="G72" s="189">
        <f t="shared" si="2"/>
        <v>6.8061952632768328E-3</v>
      </c>
      <c r="H72" s="189">
        <f t="shared" si="3"/>
        <v>6.4399014734104268E-5</v>
      </c>
      <c r="I72" s="189">
        <f t="shared" si="4"/>
        <v>4.6700994593995432E-3</v>
      </c>
    </row>
    <row r="73" spans="1:9">
      <c r="A73" s="188">
        <v>305</v>
      </c>
      <c r="B73" s="188">
        <f>IF(ISERROR(VLOOKUP(A73,'HRGs to TFCs'!A:G,5,FALSE)),0,VLOOKUP(A73,'HRGs to TFCs'!A:G,5,FALSE))</f>
        <v>0</v>
      </c>
      <c r="C73" s="188">
        <f>IF(ISERROR(VLOOKUP(A73,'HRGs to TFCs'!A:G,3,FALSE)),0,VLOOKUP(A73,'HRGs to TFCs'!A:G,3,FALSE))</f>
        <v>260</v>
      </c>
      <c r="D73" s="188">
        <f>IF(ISERROR(VLOOKUP(A73,'HRGs to TFCs'!A:G,4,FALSE)),0,VLOOKUP(A73,'HRGs to TFCs'!A:G,4,FALSE))</f>
        <v>0</v>
      </c>
      <c r="E73" s="188">
        <f>IF(ISERROR(VLOOKUP(A73,'HRGs to TFCs'!A:G,2,FALSE)),0,VLOOKUP(A73,'HRGs to TFCs'!A:G,2,FALSE))</f>
        <v>1836</v>
      </c>
      <c r="F73" s="189">
        <f t="shared" si="1"/>
        <v>0</v>
      </c>
      <c r="G73" s="189">
        <f t="shared" si="2"/>
        <v>2.536930883464714E-5</v>
      </c>
      <c r="H73" s="189">
        <f t="shared" si="3"/>
        <v>0</v>
      </c>
      <c r="I73" s="189">
        <f t="shared" si="4"/>
        <v>1.7914635007850826E-4</v>
      </c>
    </row>
    <row r="74" spans="1:9">
      <c r="A74" s="188">
        <v>306</v>
      </c>
      <c r="B74" s="188">
        <f>IF(ISERROR(VLOOKUP(A74,'HRGs to TFCs'!A:G,5,FALSE)),0,VLOOKUP(A74,'HRGs to TFCs'!A:G,5,FALSE))</f>
        <v>14</v>
      </c>
      <c r="C74" s="188">
        <f>IF(ISERROR(VLOOKUP(A74,'HRGs to TFCs'!A:G,3,FALSE)),0,VLOOKUP(A74,'HRGs to TFCs'!A:G,3,FALSE))</f>
        <v>406</v>
      </c>
      <c r="D74" s="188">
        <f>IF(ISERROR(VLOOKUP(A74,'HRGs to TFCs'!A:G,4,FALSE)),0,VLOOKUP(A74,'HRGs to TFCs'!A:G,4,FALSE))</f>
        <v>175</v>
      </c>
      <c r="E74" s="188">
        <f>IF(ISERROR(VLOOKUP(A74,'HRGs to TFCs'!A:G,2,FALSE)),0,VLOOKUP(A74,'HRGs to TFCs'!A:G,2,FALSE))</f>
        <v>580</v>
      </c>
      <c r="F74" s="189">
        <f t="shared" ref="F74:F138" si="9">IF(ISERROR(B74/$E$4),0,B74/$E$4)</f>
        <v>1.3660397064809997E-6</v>
      </c>
      <c r="G74" s="189">
        <f t="shared" ref="G74:G138" si="10">IF(ISERROR(C74/$E$4),0,C74/$E$4)</f>
        <v>3.9615151487948995E-5</v>
      </c>
      <c r="H74" s="189">
        <f t="shared" ref="H74:H138" si="11">IF(ISERROR(D74/$E$4),0,D74/$E$4)</f>
        <v>1.7075496331012499E-5</v>
      </c>
      <c r="I74" s="189">
        <f t="shared" ref="I74:I138" si="12">IF(ISERROR(E74/$E$4),0,E74/$E$4)</f>
        <v>5.6593073554212849E-5</v>
      </c>
    </row>
    <row r="75" spans="1:9">
      <c r="A75" s="188">
        <v>307</v>
      </c>
      <c r="B75" s="188">
        <f>IF(ISERROR(VLOOKUP(A75,'HRGs to TFCs'!A:G,5,FALSE)),0,VLOOKUP(A75,'HRGs to TFCs'!A:G,5,FALSE))</f>
        <v>1291</v>
      </c>
      <c r="C75" s="188">
        <f>IF(ISERROR(VLOOKUP(A75,'HRGs to TFCs'!A:G,3,FALSE)),0,VLOOKUP(A75,'HRGs to TFCs'!A:G,3,FALSE))</f>
        <v>2429</v>
      </c>
      <c r="D75" s="188">
        <f>IF(ISERROR(VLOOKUP(A75,'HRGs to TFCs'!A:G,4,FALSE)),0,VLOOKUP(A75,'HRGs to TFCs'!A:G,4,FALSE))</f>
        <v>10890</v>
      </c>
      <c r="E75" s="188">
        <f>IF(ISERROR(VLOOKUP(A75,'HRGs to TFCs'!A:G,2,FALSE)),0,VLOOKUP(A75,'HRGs to TFCs'!A:G,2,FALSE))</f>
        <v>19870</v>
      </c>
      <c r="F75" s="189">
        <f t="shared" si="9"/>
        <v>1.2596837579049791E-4</v>
      </c>
      <c r="G75" s="189">
        <f t="shared" si="10"/>
        <v>2.3700788907445345E-4</v>
      </c>
      <c r="H75" s="189">
        <f t="shared" si="11"/>
        <v>1.0625837431127204E-3</v>
      </c>
      <c r="I75" s="189">
        <f t="shared" si="12"/>
        <v>1.9388006405555332E-3</v>
      </c>
    </row>
    <row r="76" spans="1:9">
      <c r="A76" s="188">
        <v>308</v>
      </c>
      <c r="B76" s="188">
        <f>IF(ISERROR(VLOOKUP(A76,'HRGs to TFCs'!A:G,5,FALSE)),0,VLOOKUP(A76,'HRGs to TFCs'!A:G,5,FALSE))</f>
        <v>0</v>
      </c>
      <c r="C76" s="188">
        <f>IF(ISERROR(VLOOKUP(A76,'HRGs to TFCs'!A:G,3,FALSE)),0,VLOOKUP(A76,'HRGs to TFCs'!A:G,3,FALSE))</f>
        <v>32</v>
      </c>
      <c r="D76" s="188">
        <f>IF(ISERROR(VLOOKUP(A76,'HRGs to TFCs'!A:G,4,FALSE)),0,VLOOKUP(A76,'HRGs to TFCs'!A:G,4,FALSE))</f>
        <v>36</v>
      </c>
      <c r="E76" s="188">
        <f>IF(ISERROR(VLOOKUP(A76,'HRGs to TFCs'!A:G,2,FALSE)),0,VLOOKUP(A76,'HRGs to TFCs'!A:G,2,FALSE))</f>
        <v>862</v>
      </c>
      <c r="F76" s="189">
        <f t="shared" si="9"/>
        <v>0</v>
      </c>
      <c r="G76" s="189">
        <f t="shared" si="10"/>
        <v>3.1223764719565707E-6</v>
      </c>
      <c r="H76" s="189">
        <f t="shared" si="11"/>
        <v>3.5126735309511424E-6</v>
      </c>
      <c r="I76" s="189">
        <f t="shared" si="12"/>
        <v>8.4109016213330121E-5</v>
      </c>
    </row>
    <row r="77" spans="1:9">
      <c r="A77" s="188">
        <v>309</v>
      </c>
      <c r="B77" s="188">
        <f>IF(ISERROR(VLOOKUP(A77,'HRGs to TFCs'!A:G,5,FALSE)),0,VLOOKUP(A77,'HRGs to TFCs'!A:G,5,FALSE))</f>
        <v>3</v>
      </c>
      <c r="C77" s="188">
        <f>IF(ISERROR(VLOOKUP(A77,'HRGs to TFCs'!A:G,3,FALSE)),0,VLOOKUP(A77,'HRGs to TFCs'!A:G,3,FALSE))</f>
        <v>5</v>
      </c>
      <c r="D77" s="188">
        <f>IF(ISERROR(VLOOKUP(A77,'HRGs to TFCs'!A:G,4,FALSE)),0,VLOOKUP(A77,'HRGs to TFCs'!A:G,4,FALSE))</f>
        <v>337</v>
      </c>
      <c r="E77" s="188">
        <f>IF(ISERROR(VLOOKUP(A77,'HRGs to TFCs'!A:G,2,FALSE)),0,VLOOKUP(A77,'HRGs to TFCs'!A:G,2,FALSE))</f>
        <v>29</v>
      </c>
      <c r="F77" s="189">
        <f t="shared" si="9"/>
        <v>2.9272279424592851E-7</v>
      </c>
      <c r="G77" s="189">
        <f t="shared" si="10"/>
        <v>4.8787132374321421E-7</v>
      </c>
      <c r="H77" s="189">
        <f t="shared" si="11"/>
        <v>3.2882527220292639E-5</v>
      </c>
      <c r="I77" s="189">
        <f t="shared" si="12"/>
        <v>2.8296536777106422E-6</v>
      </c>
    </row>
    <row r="78" spans="1:9">
      <c r="A78" s="188">
        <v>310</v>
      </c>
      <c r="B78" s="188">
        <f>IF(ISERROR(VLOOKUP(A78,'HRGs to TFCs'!A:G,5,FALSE)),0,VLOOKUP(A78,'HRGs to TFCs'!A:G,5,FALSE))</f>
        <v>480</v>
      </c>
      <c r="C78" s="188">
        <f>IF(ISERROR(VLOOKUP(A78,'HRGs to TFCs'!A:G,3,FALSE)),0,VLOOKUP(A78,'HRGs to TFCs'!A:G,3,FALSE))</f>
        <v>25378</v>
      </c>
      <c r="D78" s="188">
        <f>IF(ISERROR(VLOOKUP(A78,'HRGs to TFCs'!A:G,4,FALSE)),0,VLOOKUP(A78,'HRGs to TFCs'!A:G,4,FALSE))</f>
        <v>553</v>
      </c>
      <c r="E78" s="188">
        <f>IF(ISERROR(VLOOKUP(A78,'HRGs to TFCs'!A:G,2,FALSE)),0,VLOOKUP(A78,'HRGs to TFCs'!A:G,2,FALSE))</f>
        <v>27810</v>
      </c>
      <c r="F78" s="189">
        <f t="shared" si="9"/>
        <v>4.683564707934856E-5</v>
      </c>
      <c r="G78" s="189">
        <f t="shared" si="10"/>
        <v>2.4762396907910579E-3</v>
      </c>
      <c r="H78" s="189">
        <f t="shared" si="11"/>
        <v>5.3958568405999488E-5</v>
      </c>
      <c r="I78" s="189">
        <f t="shared" si="12"/>
        <v>2.7135403026597575E-3</v>
      </c>
    </row>
    <row r="79" spans="1:9">
      <c r="A79" s="188">
        <v>311</v>
      </c>
      <c r="B79" s="188">
        <f>IF(ISERROR(VLOOKUP(A79,'HRGs to TFCs'!A:G,5,FALSE)),0,VLOOKUP(A79,'HRGs to TFCs'!A:G,5,FALSE))</f>
        <v>19</v>
      </c>
      <c r="C79" s="188">
        <f>IF(ISERROR(VLOOKUP(A79,'HRGs to TFCs'!A:G,3,FALSE)),0,VLOOKUP(A79,'HRGs to TFCs'!A:G,3,FALSE))</f>
        <v>61</v>
      </c>
      <c r="D79" s="188">
        <f>IF(ISERROR(VLOOKUP(A79,'HRGs to TFCs'!A:G,4,FALSE)),0,VLOOKUP(A79,'HRGs to TFCs'!A:G,4,FALSE))</f>
        <v>33</v>
      </c>
      <c r="E79" s="188">
        <f>IF(ISERROR(VLOOKUP(A79,'HRGs to TFCs'!A:G,2,FALSE)),0,VLOOKUP(A79,'HRGs to TFCs'!A:G,2,FALSE))</f>
        <v>14</v>
      </c>
      <c r="F79" s="189">
        <f t="shared" si="9"/>
        <v>1.853911030224214E-6</v>
      </c>
      <c r="G79" s="189">
        <f t="shared" si="10"/>
        <v>5.9520301496672129E-6</v>
      </c>
      <c r="H79" s="189">
        <f t="shared" si="11"/>
        <v>3.2199507367052139E-6</v>
      </c>
      <c r="I79" s="189">
        <f t="shared" si="12"/>
        <v>1.3660397064809997E-6</v>
      </c>
    </row>
    <row r="80" spans="1:9">
      <c r="A80" s="188">
        <v>313</v>
      </c>
      <c r="B80" s="188">
        <f>IF(ISERROR(VLOOKUP(A80,'HRGs to TFCs'!A:G,5,FALSE)),0,VLOOKUP(A80,'HRGs to TFCs'!A:G,5,FALSE))</f>
        <v>727</v>
      </c>
      <c r="C80" s="188">
        <f>IF(ISERROR(VLOOKUP(A80,'HRGs to TFCs'!A:G,3,FALSE)),0,VLOOKUP(A80,'HRGs to TFCs'!A:G,3,FALSE))</f>
        <v>1593</v>
      </c>
      <c r="D80" s="188">
        <f>IF(ISERROR(VLOOKUP(A80,'HRGs to TFCs'!A:G,4,FALSE)),0,VLOOKUP(A80,'HRGs to TFCs'!A:G,4,FALSE))</f>
        <v>86</v>
      </c>
      <c r="E80" s="188">
        <f>IF(ISERROR(VLOOKUP(A80,'HRGs to TFCs'!A:G,2,FALSE)),0,VLOOKUP(A80,'HRGs to TFCs'!A:G,2,FALSE))</f>
        <v>633</v>
      </c>
      <c r="F80" s="189">
        <f t="shared" si="9"/>
        <v>7.0936490472263349E-5</v>
      </c>
      <c r="G80" s="189">
        <f t="shared" si="10"/>
        <v>1.5543580374458805E-4</v>
      </c>
      <c r="H80" s="189">
        <f t="shared" si="11"/>
        <v>8.3913867683832842E-6</v>
      </c>
      <c r="I80" s="189">
        <f t="shared" si="12"/>
        <v>6.1764509585890913E-5</v>
      </c>
    </row>
    <row r="81" spans="1:9">
      <c r="A81" s="188">
        <v>314</v>
      </c>
      <c r="B81" s="188">
        <f>IF(ISERROR(VLOOKUP(A81,'HRGs to TFCs'!A:G,5,FALSE)),0,VLOOKUP(A81,'HRGs to TFCs'!A:G,5,FALSE))</f>
        <v>124</v>
      </c>
      <c r="C81" s="188">
        <f>IF(ISERROR(VLOOKUP(A81,'HRGs to TFCs'!A:G,3,FALSE)),0,VLOOKUP(A81,'HRGs to TFCs'!A:G,3,FALSE))</f>
        <v>653</v>
      </c>
      <c r="D81" s="188">
        <f>IF(ISERROR(VLOOKUP(A81,'HRGs to TFCs'!A:G,4,FALSE)),0,VLOOKUP(A81,'HRGs to TFCs'!A:G,4,FALSE))</f>
        <v>395</v>
      </c>
      <c r="E81" s="188">
        <f>IF(ISERROR(VLOOKUP(A81,'HRGs to TFCs'!A:G,2,FALSE)),0,VLOOKUP(A81,'HRGs to TFCs'!A:G,2,FALSE))</f>
        <v>695</v>
      </c>
      <c r="F81" s="189">
        <f t="shared" si="9"/>
        <v>1.2099208828831711E-5</v>
      </c>
      <c r="G81" s="189">
        <f t="shared" si="10"/>
        <v>6.3715994880863777E-5</v>
      </c>
      <c r="H81" s="189">
        <f t="shared" si="11"/>
        <v>3.8541834575713919E-5</v>
      </c>
      <c r="I81" s="189">
        <f t="shared" si="12"/>
        <v>6.7814114000306778E-5</v>
      </c>
    </row>
    <row r="82" spans="1:9">
      <c r="A82" s="188">
        <v>315</v>
      </c>
      <c r="B82" s="188">
        <f>IF(ISERROR(VLOOKUP(A82,'HRGs to TFCs'!A:G,5,FALSE)),0,VLOOKUP(A82,'HRGs to TFCs'!A:G,5,FALSE))</f>
        <v>1</v>
      </c>
      <c r="C82" s="188">
        <f>IF(ISERROR(VLOOKUP(A82,'HRGs to TFCs'!A:G,3,FALSE)),0,VLOOKUP(A82,'HRGs to TFCs'!A:G,3,FALSE))</f>
        <v>24</v>
      </c>
      <c r="D82" s="188">
        <f>IF(ISERROR(VLOOKUP(A82,'HRGs to TFCs'!A:G,4,FALSE)),0,VLOOKUP(A82,'HRGs to TFCs'!A:G,4,FALSE))</f>
        <v>4</v>
      </c>
      <c r="E82" s="188">
        <f>IF(ISERROR(VLOOKUP(A82,'HRGs to TFCs'!A:G,2,FALSE)),0,VLOOKUP(A82,'HRGs to TFCs'!A:G,2,FALSE))</f>
        <v>138</v>
      </c>
      <c r="F82" s="189">
        <f t="shared" si="9"/>
        <v>9.7574264748642833E-8</v>
      </c>
      <c r="G82" s="189">
        <f t="shared" si="10"/>
        <v>2.3417823539674281E-6</v>
      </c>
      <c r="H82" s="189">
        <f t="shared" si="11"/>
        <v>3.9029705899457133E-7</v>
      </c>
      <c r="I82" s="189">
        <f t="shared" si="12"/>
        <v>1.3465248535312713E-5</v>
      </c>
    </row>
    <row r="83" spans="1:9">
      <c r="A83" s="188">
        <v>316</v>
      </c>
      <c r="B83" s="188">
        <f>IF(ISERROR(VLOOKUP(A83,'HRGs to TFCs'!A:G,5,FALSE)),0,VLOOKUP(A83,'HRGs to TFCs'!A:G,5,FALSE))</f>
        <v>7</v>
      </c>
      <c r="C83" s="188">
        <f>IF(ISERROR(VLOOKUP(A83,'HRGs to TFCs'!A:G,3,FALSE)),0,VLOOKUP(A83,'HRGs to TFCs'!A:G,3,FALSE))</f>
        <v>242</v>
      </c>
      <c r="D83" s="188">
        <f>IF(ISERROR(VLOOKUP(A83,'HRGs to TFCs'!A:G,4,FALSE)),0,VLOOKUP(A83,'HRGs to TFCs'!A:G,4,FALSE))</f>
        <v>10</v>
      </c>
      <c r="E83" s="188">
        <f>IF(ISERROR(VLOOKUP(A83,'HRGs to TFCs'!A:G,2,FALSE)),0,VLOOKUP(A83,'HRGs to TFCs'!A:G,2,FALSE))</f>
        <v>64</v>
      </c>
      <c r="F83" s="189">
        <f t="shared" si="9"/>
        <v>6.8301985324049985E-7</v>
      </c>
      <c r="G83" s="189">
        <f t="shared" si="10"/>
        <v>2.3612972069171566E-5</v>
      </c>
      <c r="H83" s="189">
        <f t="shared" si="11"/>
        <v>9.7574264748642841E-7</v>
      </c>
      <c r="I83" s="189">
        <f t="shared" si="12"/>
        <v>6.2447529439131413E-6</v>
      </c>
    </row>
    <row r="84" spans="1:9">
      <c r="A84" s="188">
        <v>317</v>
      </c>
      <c r="B84" s="188">
        <f>IF(ISERROR(VLOOKUP(A84,'HRGs to TFCs'!A:G,5,FALSE)),0,VLOOKUP(A84,'HRGs to TFCs'!A:G,5,FALSE))</f>
        <v>1777</v>
      </c>
      <c r="C84" s="188">
        <f>IF(ISERROR(VLOOKUP(A84,'HRGs to TFCs'!A:G,3,FALSE)),0,VLOOKUP(A84,'HRGs to TFCs'!A:G,3,FALSE))</f>
        <v>3319</v>
      </c>
      <c r="D84" s="188">
        <f>IF(ISERROR(VLOOKUP(A84,'HRGs to TFCs'!A:G,4,FALSE)),0,VLOOKUP(A84,'HRGs to TFCs'!A:G,4,FALSE))</f>
        <v>391</v>
      </c>
      <c r="E84" s="188">
        <f>IF(ISERROR(VLOOKUP(A84,'HRGs to TFCs'!A:G,2,FALSE)),0,VLOOKUP(A84,'HRGs to TFCs'!A:G,2,FALSE))</f>
        <v>1960</v>
      </c>
      <c r="F84" s="189">
        <f t="shared" si="9"/>
        <v>1.7338946845833831E-4</v>
      </c>
      <c r="G84" s="189">
        <f t="shared" si="10"/>
        <v>3.2384898470074559E-4</v>
      </c>
      <c r="H84" s="189">
        <f t="shared" si="11"/>
        <v>3.8151537516719348E-5</v>
      </c>
      <c r="I84" s="189">
        <f t="shared" si="12"/>
        <v>1.9124555890733997E-4</v>
      </c>
    </row>
    <row r="85" spans="1:9">
      <c r="A85" s="188">
        <v>318</v>
      </c>
      <c r="B85" s="188">
        <f>IF(ISERROR(VLOOKUP(A85,'HRGs to TFCs'!A:G,5,FALSE)),0,VLOOKUP(A85,'HRGs to TFCs'!A:G,5,FALSE))</f>
        <v>0</v>
      </c>
      <c r="C85" s="188">
        <f>IF(ISERROR(VLOOKUP(A85,'HRGs to TFCs'!A:G,3,FALSE)),0,VLOOKUP(A85,'HRGs to TFCs'!A:G,3,FALSE))</f>
        <v>264</v>
      </c>
      <c r="D85" s="188">
        <f>IF(ISERROR(VLOOKUP(A85,'HRGs to TFCs'!A:G,4,FALSE)),0,VLOOKUP(A85,'HRGs to TFCs'!A:G,4,FALSE))</f>
        <v>0</v>
      </c>
      <c r="E85" s="188">
        <f>IF(ISERROR(VLOOKUP(A85,'HRGs to TFCs'!A:G,2,FALSE)),0,VLOOKUP(A85,'HRGs to TFCs'!A:G,2,FALSE))</f>
        <v>39</v>
      </c>
      <c r="F85" s="189">
        <f t="shared" si="9"/>
        <v>0</v>
      </c>
      <c r="G85" s="189">
        <f t="shared" si="10"/>
        <v>2.5759605893641711E-5</v>
      </c>
      <c r="H85" s="189">
        <f t="shared" si="11"/>
        <v>0</v>
      </c>
      <c r="I85" s="189">
        <f t="shared" si="12"/>
        <v>3.8053963251970708E-6</v>
      </c>
    </row>
    <row r="86" spans="1:9">
      <c r="A86" s="188">
        <v>320</v>
      </c>
      <c r="B86" s="188">
        <f>IF(ISERROR(VLOOKUP(A86,'HRGs to TFCs'!A:G,5,FALSE)),0,VLOOKUP(A86,'HRGs to TFCs'!A:G,5,FALSE))</f>
        <v>3182</v>
      </c>
      <c r="C86" s="188">
        <f>IF(ISERROR(VLOOKUP(A86,'HRGs to TFCs'!A:G,3,FALSE)),0,VLOOKUP(A86,'HRGs to TFCs'!A:G,3,FALSE))</f>
        <v>248054</v>
      </c>
      <c r="D86" s="188">
        <f>IF(ISERROR(VLOOKUP(A86,'HRGs to TFCs'!A:G,4,FALSE)),0,VLOOKUP(A86,'HRGs to TFCs'!A:G,4,FALSE))</f>
        <v>4577</v>
      </c>
      <c r="E86" s="188">
        <f>IF(ISERROR(VLOOKUP(A86,'HRGs to TFCs'!A:G,2,FALSE)),0,VLOOKUP(A86,'HRGs to TFCs'!A:G,2,FALSE))</f>
        <v>249195</v>
      </c>
      <c r="F86" s="189">
        <f t="shared" si="9"/>
        <v>3.1048131043018149E-4</v>
      </c>
      <c r="G86" s="189">
        <f t="shared" si="10"/>
        <v>2.4203686667959849E-2</v>
      </c>
      <c r="H86" s="189">
        <f t="shared" si="11"/>
        <v>4.4659740975453826E-4</v>
      </c>
      <c r="I86" s="189">
        <f t="shared" si="12"/>
        <v>2.4315018904038053E-2</v>
      </c>
    </row>
    <row r="87" spans="1:9">
      <c r="A87" s="188">
        <v>321</v>
      </c>
      <c r="B87" s="188">
        <f>IF(ISERROR(VLOOKUP(A87,'HRGs to TFCs'!A:G,5,FALSE)),0,VLOOKUP(A87,'HRGs to TFCs'!A:G,5,FALSE))</f>
        <v>625</v>
      </c>
      <c r="C87" s="188">
        <f>IF(ISERROR(VLOOKUP(A87,'HRGs to TFCs'!A:G,3,FALSE)),0,VLOOKUP(A87,'HRGs to TFCs'!A:G,3,FALSE))</f>
        <v>8274</v>
      </c>
      <c r="D87" s="188">
        <f>IF(ISERROR(VLOOKUP(A87,'HRGs to TFCs'!A:G,4,FALSE)),0,VLOOKUP(A87,'HRGs to TFCs'!A:G,4,FALSE))</f>
        <v>541</v>
      </c>
      <c r="E87" s="188">
        <f>IF(ISERROR(VLOOKUP(A87,'HRGs to TFCs'!A:G,2,FALSE)),0,VLOOKUP(A87,'HRGs to TFCs'!A:G,2,FALSE))</f>
        <v>10344</v>
      </c>
      <c r="F87" s="189">
        <f t="shared" si="9"/>
        <v>6.0983915467901778E-5</v>
      </c>
      <c r="G87" s="189">
        <f t="shared" si="10"/>
        <v>8.0732946653027087E-4</v>
      </c>
      <c r="H87" s="189">
        <f t="shared" si="11"/>
        <v>5.2787677229015774E-5</v>
      </c>
      <c r="I87" s="189">
        <f t="shared" si="12"/>
        <v>1.0093081945599615E-3</v>
      </c>
    </row>
    <row r="88" spans="1:9">
      <c r="A88" s="188">
        <v>322</v>
      </c>
      <c r="B88" s="188">
        <f>IF(ISERROR(VLOOKUP(A88,'HRGs to TFCs'!A:G,5,FALSE)),0,VLOOKUP(A88,'HRGs to TFCs'!A:G,5,FALSE))</f>
        <v>0</v>
      </c>
      <c r="C88" s="188">
        <f>IF(ISERROR(VLOOKUP(A88,'HRGs to TFCs'!A:G,3,FALSE)),0,VLOOKUP(A88,'HRGs to TFCs'!A:G,3,FALSE))</f>
        <v>5</v>
      </c>
      <c r="D88" s="188">
        <f>IF(ISERROR(VLOOKUP(A88,'HRGs to TFCs'!A:G,4,FALSE)),0,VLOOKUP(A88,'HRGs to TFCs'!A:G,4,FALSE))</f>
        <v>0</v>
      </c>
      <c r="E88" s="188">
        <f>IF(ISERROR(VLOOKUP(A88,'HRGs to TFCs'!A:G,2,FALSE)),0,VLOOKUP(A88,'HRGs to TFCs'!A:G,2,FALSE))</f>
        <v>75</v>
      </c>
      <c r="F88" s="189">
        <f t="shared" si="9"/>
        <v>0</v>
      </c>
      <c r="G88" s="189">
        <f t="shared" si="10"/>
        <v>4.8787132374321421E-7</v>
      </c>
      <c r="H88" s="189">
        <f t="shared" si="11"/>
        <v>0</v>
      </c>
      <c r="I88" s="189">
        <f t="shared" si="12"/>
        <v>7.3180698561482132E-6</v>
      </c>
    </row>
    <row r="89" spans="1:9">
      <c r="A89" s="188">
        <v>323</v>
      </c>
      <c r="B89" s="188">
        <f>IF(ISERROR(VLOOKUP(A89,'HRGs to TFCs'!A:G,5,FALSE)),0,VLOOKUP(A89,'HRGs to TFCs'!A:G,5,FALSE))</f>
        <v>0</v>
      </c>
      <c r="C89" s="188">
        <f>IF(ISERROR(VLOOKUP(A89,'HRGs to TFCs'!A:G,3,FALSE)),0,VLOOKUP(A89,'HRGs to TFCs'!A:G,3,FALSE))</f>
        <v>14</v>
      </c>
      <c r="D89" s="188">
        <f>IF(ISERROR(VLOOKUP(A89,'HRGs to TFCs'!A:G,4,FALSE)),0,VLOOKUP(A89,'HRGs to TFCs'!A:G,4,FALSE))</f>
        <v>3</v>
      </c>
      <c r="E89" s="188">
        <f>IF(ISERROR(VLOOKUP(A89,'HRGs to TFCs'!A:G,2,FALSE)),0,VLOOKUP(A89,'HRGs to TFCs'!A:G,2,FALSE))</f>
        <v>970</v>
      </c>
      <c r="F89" s="189">
        <f t="shared" si="9"/>
        <v>0</v>
      </c>
      <c r="G89" s="189">
        <f t="shared" si="10"/>
        <v>1.3660397064809997E-6</v>
      </c>
      <c r="H89" s="189">
        <f t="shared" si="11"/>
        <v>2.9272279424592851E-7</v>
      </c>
      <c r="I89" s="189">
        <f t="shared" si="12"/>
        <v>9.4647036806183552E-5</v>
      </c>
    </row>
    <row r="90" spans="1:9">
      <c r="A90" s="188">
        <v>324</v>
      </c>
      <c r="B90" s="188">
        <f>IF(ISERROR(VLOOKUP(A90,'HRGs to TFCs'!A:G,5,FALSE)),0,VLOOKUP(A90,'HRGs to TFCs'!A:G,5,FALSE))</f>
        <v>8</v>
      </c>
      <c r="C90" s="188">
        <f>IF(ISERROR(VLOOKUP(A90,'HRGs to TFCs'!A:G,3,FALSE)),0,VLOOKUP(A90,'HRGs to TFCs'!A:G,3,FALSE))</f>
        <v>583</v>
      </c>
      <c r="D90" s="188">
        <f>IF(ISERROR(VLOOKUP(A90,'HRGs to TFCs'!A:G,4,FALSE)),0,VLOOKUP(A90,'HRGs to TFCs'!A:G,4,FALSE))</f>
        <v>9</v>
      </c>
      <c r="E90" s="188">
        <f>IF(ISERROR(VLOOKUP(A90,'HRGs to TFCs'!A:G,2,FALSE)),0,VLOOKUP(A90,'HRGs to TFCs'!A:G,2,FALSE))</f>
        <v>144</v>
      </c>
      <c r="F90" s="189">
        <f t="shared" si="9"/>
        <v>7.8059411798914267E-7</v>
      </c>
      <c r="G90" s="189">
        <f t="shared" si="10"/>
        <v>5.6885796348458776E-5</v>
      </c>
      <c r="H90" s="189">
        <f t="shared" si="11"/>
        <v>8.7816838273778559E-7</v>
      </c>
      <c r="I90" s="189">
        <f t="shared" si="12"/>
        <v>1.4050694123804569E-5</v>
      </c>
    </row>
    <row r="91" spans="1:9">
      <c r="A91" s="188">
        <v>325</v>
      </c>
      <c r="B91" s="188">
        <f>IF(ISERROR(VLOOKUP(A91,'HRGs to TFCs'!A:G,5,FALSE)),0,VLOOKUP(A91,'HRGs to TFCs'!A:G,5,FALSE))</f>
        <v>0</v>
      </c>
      <c r="C91" s="188">
        <f>IF(ISERROR(VLOOKUP(A91,'HRGs to TFCs'!A:G,3,FALSE)),0,VLOOKUP(A91,'HRGs to TFCs'!A:G,3,FALSE))</f>
        <v>2</v>
      </c>
      <c r="D91" s="188">
        <f>IF(ISERROR(VLOOKUP(A91,'HRGs to TFCs'!A:G,4,FALSE)),0,VLOOKUP(A91,'HRGs to TFCs'!A:G,4,FALSE))</f>
        <v>0</v>
      </c>
      <c r="E91" s="188">
        <f>IF(ISERROR(VLOOKUP(A91,'HRGs to TFCs'!A:G,2,FALSE)),0,VLOOKUP(A91,'HRGs to TFCs'!A:G,2,FALSE))</f>
        <v>14</v>
      </c>
      <c r="F91" s="189">
        <f t="shared" si="9"/>
        <v>0</v>
      </c>
      <c r="G91" s="189">
        <f t="shared" si="10"/>
        <v>1.9514852949728567E-7</v>
      </c>
      <c r="H91" s="189">
        <f t="shared" si="11"/>
        <v>0</v>
      </c>
      <c r="I91" s="189">
        <f t="shared" si="12"/>
        <v>1.3660397064809997E-6</v>
      </c>
    </row>
    <row r="92" spans="1:9">
      <c r="A92" s="188">
        <v>327</v>
      </c>
      <c r="B92" s="188">
        <f>IF(ISERROR(VLOOKUP(A92,'HRGs to TFCs'!A:G,5,FALSE)),0,VLOOKUP(A92,'HRGs to TFCs'!A:G,5,FALSE))</f>
        <v>0</v>
      </c>
      <c r="C92" s="188">
        <f>IF(ISERROR(VLOOKUP(A92,'HRGs to TFCs'!A:G,3,FALSE)),0,VLOOKUP(A92,'HRGs to TFCs'!A:G,3,FALSE))</f>
        <v>4</v>
      </c>
      <c r="D92" s="188">
        <f>IF(ISERROR(VLOOKUP(A92,'HRGs to TFCs'!A:G,4,FALSE)),0,VLOOKUP(A92,'HRGs to TFCs'!A:G,4,FALSE))</f>
        <v>0</v>
      </c>
      <c r="E92" s="188">
        <f>IF(ISERROR(VLOOKUP(A92,'HRGs to TFCs'!A:G,2,FALSE)),0,VLOOKUP(A92,'HRGs to TFCs'!A:G,2,FALSE))</f>
        <v>46</v>
      </c>
      <c r="F92" s="189">
        <f t="shared" si="9"/>
        <v>0</v>
      </c>
      <c r="G92" s="189">
        <f t="shared" si="10"/>
        <v>3.9029705899457133E-7</v>
      </c>
      <c r="H92" s="189">
        <f t="shared" si="11"/>
        <v>0</v>
      </c>
      <c r="I92" s="189">
        <f t="shared" si="12"/>
        <v>4.4884161784375706E-6</v>
      </c>
    </row>
    <row r="93" spans="1:9">
      <c r="A93" s="188">
        <v>328</v>
      </c>
      <c r="B93" s="188">
        <f>IF(ISERROR(VLOOKUP(A93,'HRGs to TFCs'!A:G,5,FALSE)),0,VLOOKUP(A93,'HRGs to TFCs'!A:G,5,FALSE))</f>
        <v>14</v>
      </c>
      <c r="C93" s="188">
        <f>IF(ISERROR(VLOOKUP(A93,'HRGs to TFCs'!A:G,3,FALSE)),0,VLOOKUP(A93,'HRGs to TFCs'!A:G,3,FALSE))</f>
        <v>575</v>
      </c>
      <c r="D93" s="188">
        <f>IF(ISERROR(VLOOKUP(A93,'HRGs to TFCs'!A:G,4,FALSE)),0,VLOOKUP(A93,'HRGs to TFCs'!A:G,4,FALSE))</f>
        <v>2</v>
      </c>
      <c r="E93" s="188">
        <f>IF(ISERROR(VLOOKUP(A93,'HRGs to TFCs'!A:G,2,FALSE)),0,VLOOKUP(A93,'HRGs to TFCs'!A:G,2,FALSE))</f>
        <v>252</v>
      </c>
      <c r="F93" s="189">
        <f t="shared" si="9"/>
        <v>1.3660397064809997E-6</v>
      </c>
      <c r="G93" s="189">
        <f t="shared" si="10"/>
        <v>5.6105202230469633E-5</v>
      </c>
      <c r="H93" s="189">
        <f t="shared" si="11"/>
        <v>1.9514852949728567E-7</v>
      </c>
      <c r="I93" s="189">
        <f t="shared" si="12"/>
        <v>2.4588714716657994E-5</v>
      </c>
    </row>
    <row r="94" spans="1:9">
      <c r="A94" s="188">
        <v>329</v>
      </c>
      <c r="B94" s="188">
        <f>IF(ISERROR(VLOOKUP(A94,'HRGs to TFCs'!A:G,5,FALSE)),0,VLOOKUP(A94,'HRGs to TFCs'!A:G,5,FALSE))</f>
        <v>135</v>
      </c>
      <c r="C94" s="188">
        <f>IF(ISERROR(VLOOKUP(A94,'HRGs to TFCs'!A:G,3,FALSE)),0,VLOOKUP(A94,'HRGs to TFCs'!A:G,3,FALSE))</f>
        <v>2896</v>
      </c>
      <c r="D94" s="188">
        <f>IF(ISERROR(VLOOKUP(A94,'HRGs to TFCs'!A:G,4,FALSE)),0,VLOOKUP(A94,'HRGs to TFCs'!A:G,4,FALSE))</f>
        <v>2</v>
      </c>
      <c r="E94" s="188">
        <f>IF(ISERROR(VLOOKUP(A94,'HRGs to TFCs'!A:G,2,FALSE)),0,VLOOKUP(A94,'HRGs to TFCs'!A:G,2,FALSE))</f>
        <v>93</v>
      </c>
      <c r="F94" s="189">
        <f t="shared" si="9"/>
        <v>1.3172525741066784E-5</v>
      </c>
      <c r="G94" s="189">
        <f t="shared" si="10"/>
        <v>2.8257507071206969E-4</v>
      </c>
      <c r="H94" s="189">
        <f t="shared" si="11"/>
        <v>1.9514852949728567E-7</v>
      </c>
      <c r="I94" s="189">
        <f t="shared" si="12"/>
        <v>9.0744066216237839E-6</v>
      </c>
    </row>
    <row r="95" spans="1:9">
      <c r="A95" s="188">
        <v>330</v>
      </c>
      <c r="B95" s="188">
        <f>IF(ISERROR(VLOOKUP(A95,'HRGs to TFCs'!A:G,5,FALSE)),0,VLOOKUP(A95,'HRGs to TFCs'!A:G,5,FALSE))</f>
        <v>2429</v>
      </c>
      <c r="C95" s="188">
        <f>IF(ISERROR(VLOOKUP(A95,'HRGs to TFCs'!A:G,3,FALSE)),0,VLOOKUP(A95,'HRGs to TFCs'!A:G,3,FALSE))</f>
        <v>161629</v>
      </c>
      <c r="D95" s="188">
        <f>IF(ISERROR(VLOOKUP(A95,'HRGs to TFCs'!A:G,4,FALSE)),0,VLOOKUP(A95,'HRGs to TFCs'!A:G,4,FALSE))</f>
        <v>5104</v>
      </c>
      <c r="E95" s="188">
        <f>IF(ISERROR(VLOOKUP(A95,'HRGs to TFCs'!A:G,2,FALSE)),0,VLOOKUP(A95,'HRGs to TFCs'!A:G,2,FALSE))</f>
        <v>865944</v>
      </c>
      <c r="F95" s="189">
        <f t="shared" si="9"/>
        <v>2.3700788907445345E-4</v>
      </c>
      <c r="G95" s="189">
        <f t="shared" si="10"/>
        <v>1.5770830837058394E-2</v>
      </c>
      <c r="H95" s="189">
        <f t="shared" si="11"/>
        <v>4.9801904727707303E-4</v>
      </c>
      <c r="I95" s="189">
        <f t="shared" si="12"/>
        <v>8.4493849113498776E-2</v>
      </c>
    </row>
    <row r="96" spans="1:9">
      <c r="A96" s="188">
        <v>331</v>
      </c>
      <c r="B96" s="188">
        <f>IF(ISERROR(VLOOKUP(A96,'HRGs to TFCs'!A:G,5,FALSE)),0,VLOOKUP(A96,'HRGs to TFCs'!A:G,5,FALSE))</f>
        <v>0</v>
      </c>
      <c r="C96" s="188">
        <f>IF(ISERROR(VLOOKUP(A96,'HRGs to TFCs'!A:G,3,FALSE)),0,VLOOKUP(A96,'HRGs to TFCs'!A:G,3,FALSE))</f>
        <v>34</v>
      </c>
      <c r="D96" s="188">
        <f>IF(ISERROR(VLOOKUP(A96,'HRGs to TFCs'!A:G,4,FALSE)),0,VLOOKUP(A96,'HRGs to TFCs'!A:G,4,FALSE))</f>
        <v>0</v>
      </c>
      <c r="E96" s="188">
        <f>IF(ISERROR(VLOOKUP(A96,'HRGs to TFCs'!A:G,2,FALSE)),0,VLOOKUP(A96,'HRGs to TFCs'!A:G,2,FALSE))</f>
        <v>73</v>
      </c>
      <c r="F96" s="189">
        <f t="shared" si="9"/>
        <v>0</v>
      </c>
      <c r="G96" s="189">
        <f t="shared" si="10"/>
        <v>3.3175250014538567E-6</v>
      </c>
      <c r="H96" s="189">
        <f t="shared" si="11"/>
        <v>0</v>
      </c>
      <c r="I96" s="189">
        <f t="shared" si="12"/>
        <v>7.1229213266509275E-6</v>
      </c>
    </row>
    <row r="97" spans="1:9">
      <c r="A97" s="188">
        <v>340</v>
      </c>
      <c r="B97" s="188">
        <f>IF(ISERROR(VLOOKUP(A97,'HRGs to TFCs'!A:G,5,FALSE)),0,VLOOKUP(A97,'HRGs to TFCs'!A:G,5,FALSE))</f>
        <v>4354</v>
      </c>
      <c r="C97" s="188">
        <f>IF(ISERROR(VLOOKUP(A97,'HRGs to TFCs'!A:G,3,FALSE)),0,VLOOKUP(A97,'HRGs to TFCs'!A:G,3,FALSE))</f>
        <v>83844</v>
      </c>
      <c r="D97" s="188">
        <f>IF(ISERROR(VLOOKUP(A97,'HRGs to TFCs'!A:G,4,FALSE)),0,VLOOKUP(A97,'HRGs to TFCs'!A:G,4,FALSE))</f>
        <v>6067</v>
      </c>
      <c r="E97" s="188">
        <f>IF(ISERROR(VLOOKUP(A97,'HRGs to TFCs'!A:G,2,FALSE)),0,VLOOKUP(A97,'HRGs to TFCs'!A:G,2,FALSE))</f>
        <v>125379</v>
      </c>
      <c r="F97" s="189">
        <f t="shared" si="9"/>
        <v>4.2483834871559094E-4</v>
      </c>
      <c r="G97" s="189">
        <f t="shared" si="10"/>
        <v>8.1810166535852095E-3</v>
      </c>
      <c r="H97" s="189">
        <f t="shared" si="11"/>
        <v>5.9198306423001608E-4</v>
      </c>
      <c r="I97" s="189">
        <f t="shared" si="12"/>
        <v>1.223376373992009E-2</v>
      </c>
    </row>
    <row r="98" spans="1:9">
      <c r="A98" s="188">
        <v>341</v>
      </c>
      <c r="B98" s="188">
        <f>IF(ISERROR(VLOOKUP(A98,'HRGs to TFCs'!A:G,5,FALSE)),0,VLOOKUP(A98,'HRGs to TFCs'!A:G,5,FALSE))</f>
        <v>17</v>
      </c>
      <c r="C98" s="188">
        <f>IF(ISERROR(VLOOKUP(A98,'HRGs to TFCs'!A:G,3,FALSE)),0,VLOOKUP(A98,'HRGs to TFCs'!A:G,3,FALSE))</f>
        <v>20845</v>
      </c>
      <c r="D98" s="188">
        <f>IF(ISERROR(VLOOKUP(A98,'HRGs to TFCs'!A:G,4,FALSE)),0,VLOOKUP(A98,'HRGs to TFCs'!A:G,4,FALSE))</f>
        <v>24</v>
      </c>
      <c r="E98" s="188">
        <f>IF(ISERROR(VLOOKUP(A98,'HRGs to TFCs'!A:G,2,FALSE)),0,VLOOKUP(A98,'HRGs to TFCs'!A:G,2,FALSE))</f>
        <v>15116</v>
      </c>
      <c r="F98" s="189">
        <f t="shared" si="9"/>
        <v>1.6587625007269284E-6</v>
      </c>
      <c r="G98" s="189">
        <f t="shared" si="10"/>
        <v>2.0339355486854601E-3</v>
      </c>
      <c r="H98" s="189">
        <f t="shared" si="11"/>
        <v>2.3417823539674281E-6</v>
      </c>
      <c r="I98" s="189">
        <f t="shared" si="12"/>
        <v>1.4749325859404851E-3</v>
      </c>
    </row>
    <row r="99" spans="1:9">
      <c r="A99" s="188">
        <v>342</v>
      </c>
      <c r="B99" s="188">
        <f>IF(ISERROR(VLOOKUP(A99,'HRGs to TFCs'!A:G,5,FALSE)),0,VLOOKUP(A99,'HRGs to TFCs'!A:G,5,FALSE))</f>
        <v>0</v>
      </c>
      <c r="C99" s="188">
        <f>IF(ISERROR(VLOOKUP(A99,'HRGs to TFCs'!A:G,3,FALSE)),0,VLOOKUP(A99,'HRGs to TFCs'!A:G,3,FALSE))</f>
        <v>680</v>
      </c>
      <c r="D99" s="188">
        <f>IF(ISERROR(VLOOKUP(A99,'HRGs to TFCs'!A:G,4,FALSE)),0,VLOOKUP(A99,'HRGs to TFCs'!A:G,4,FALSE))</f>
        <v>0</v>
      </c>
      <c r="E99" s="188">
        <f>IF(ISERROR(VLOOKUP(A99,'HRGs to TFCs'!A:G,2,FALSE)),0,VLOOKUP(A99,'HRGs to TFCs'!A:G,2,FALSE))</f>
        <v>2125</v>
      </c>
      <c r="F99" s="189">
        <f t="shared" si="9"/>
        <v>0</v>
      </c>
      <c r="G99" s="189">
        <f t="shared" si="10"/>
        <v>6.6350500029077131E-5</v>
      </c>
      <c r="H99" s="189">
        <f t="shared" si="11"/>
        <v>0</v>
      </c>
      <c r="I99" s="189">
        <f t="shared" si="12"/>
        <v>2.0734531259086603E-4</v>
      </c>
    </row>
    <row r="100" spans="1:9">
      <c r="A100" s="188">
        <v>346</v>
      </c>
      <c r="B100" s="188">
        <f>IF(ISERROR(VLOOKUP(A100,'HRGs to TFCs'!A:G,5,FALSE)),0,VLOOKUP(A100,'HRGs to TFCs'!A:G,5,FALSE))</f>
        <v>0</v>
      </c>
      <c r="C100" s="188">
        <f>IF(ISERROR(VLOOKUP(A100,'HRGs to TFCs'!A:G,3,FALSE)),0,VLOOKUP(A100,'HRGs to TFCs'!A:G,3,FALSE))</f>
        <v>0</v>
      </c>
      <c r="D100" s="188">
        <f>IF(ISERROR(VLOOKUP(A100,'HRGs to TFCs'!A:G,4,FALSE)),0,VLOOKUP(A100,'HRGs to TFCs'!A:G,4,FALSE))</f>
        <v>0</v>
      </c>
      <c r="E100" s="188">
        <f>IF(ISERROR(VLOOKUP(A100,'HRGs to TFCs'!A:G,2,FALSE)),0,VLOOKUP(A100,'HRGs to TFCs'!A:G,2,FALSE))</f>
        <v>0</v>
      </c>
      <c r="F100" s="189">
        <f t="shared" ref="F100" si="13">IF(ISERROR(B100/$E$4),0,B100/$E$4)</f>
        <v>0</v>
      </c>
      <c r="G100" s="189">
        <f t="shared" ref="G100" si="14">IF(ISERROR(C100/$E$4),0,C100/$E$4)</f>
        <v>0</v>
      </c>
      <c r="H100" s="189">
        <f t="shared" ref="H100" si="15">IF(ISERROR(D100/$E$4),0,D100/$E$4)</f>
        <v>0</v>
      </c>
      <c r="I100" s="189">
        <f t="shared" ref="I100" si="16">IF(ISERROR(E100/$E$4),0,E100/$E$4)</f>
        <v>0</v>
      </c>
    </row>
    <row r="101" spans="1:9">
      <c r="A101" s="188">
        <v>350</v>
      </c>
      <c r="B101" s="188">
        <f>IF(ISERROR(VLOOKUP(A101,'HRGs to TFCs'!A:G,5,FALSE)),0,VLOOKUP(A101,'HRGs to TFCs'!A:G,5,FALSE))</f>
        <v>61</v>
      </c>
      <c r="C101" s="188">
        <f>IF(ISERROR(VLOOKUP(A101,'HRGs to TFCs'!A:G,3,FALSE)),0,VLOOKUP(A101,'HRGs to TFCs'!A:G,3,FALSE))</f>
        <v>502</v>
      </c>
      <c r="D101" s="188">
        <f>IF(ISERROR(VLOOKUP(A101,'HRGs to TFCs'!A:G,4,FALSE)),0,VLOOKUP(A101,'HRGs to TFCs'!A:G,4,FALSE))</f>
        <v>21</v>
      </c>
      <c r="E101" s="188">
        <f>IF(ISERROR(VLOOKUP(A101,'HRGs to TFCs'!A:G,2,FALSE)),0,VLOOKUP(A101,'HRGs to TFCs'!A:G,2,FALSE))</f>
        <v>1072</v>
      </c>
      <c r="F101" s="189">
        <f t="shared" si="9"/>
        <v>5.9520301496672129E-6</v>
      </c>
      <c r="G101" s="189">
        <f t="shared" si="10"/>
        <v>4.8982280903818706E-5</v>
      </c>
      <c r="H101" s="189">
        <f t="shared" si="11"/>
        <v>2.0490595597214996E-6</v>
      </c>
      <c r="I101" s="189">
        <f t="shared" si="12"/>
        <v>1.0459961181054513E-4</v>
      </c>
    </row>
    <row r="102" spans="1:9">
      <c r="A102" s="188">
        <v>352</v>
      </c>
      <c r="B102" s="188">
        <f>IF(ISERROR(VLOOKUP(A102,'HRGs to TFCs'!A:G,5,FALSE)),0,VLOOKUP(A102,'HRGs to TFCs'!A:G,5,FALSE))</f>
        <v>16</v>
      </c>
      <c r="C102" s="188">
        <f>IF(ISERROR(VLOOKUP(A102,'HRGs to TFCs'!A:G,3,FALSE)),0,VLOOKUP(A102,'HRGs to TFCs'!A:G,3,FALSE))</f>
        <v>15</v>
      </c>
      <c r="D102" s="188">
        <f>IF(ISERROR(VLOOKUP(A102,'HRGs to TFCs'!A:G,4,FALSE)),0,VLOOKUP(A102,'HRGs to TFCs'!A:G,4,FALSE))</f>
        <v>27</v>
      </c>
      <c r="E102" s="188">
        <f>IF(ISERROR(VLOOKUP(A102,'HRGs to TFCs'!A:G,2,FALSE)),0,VLOOKUP(A102,'HRGs to TFCs'!A:G,2,FALSE))</f>
        <v>18</v>
      </c>
      <c r="F102" s="189">
        <f t="shared" si="9"/>
        <v>1.5611882359782853E-6</v>
      </c>
      <c r="G102" s="189">
        <f t="shared" si="10"/>
        <v>1.4636139712296425E-6</v>
      </c>
      <c r="H102" s="189">
        <f t="shared" si="11"/>
        <v>2.6345051482133566E-6</v>
      </c>
      <c r="I102" s="189">
        <f t="shared" si="12"/>
        <v>1.7563367654755712E-6</v>
      </c>
    </row>
    <row r="103" spans="1:9">
      <c r="A103" s="188">
        <v>360</v>
      </c>
      <c r="B103" s="188">
        <f>IF(ISERROR(VLOOKUP(A103,'HRGs to TFCs'!A:G,5,FALSE)),0,VLOOKUP(A103,'HRGs to TFCs'!A:G,5,FALSE))</f>
        <v>0</v>
      </c>
      <c r="C103" s="188">
        <f>IF(ISERROR(VLOOKUP(A103,'HRGs to TFCs'!A:G,3,FALSE)),0,VLOOKUP(A103,'HRGs to TFCs'!A:G,3,FALSE))</f>
        <v>2316</v>
      </c>
      <c r="D103" s="188">
        <f>IF(ISERROR(VLOOKUP(A103,'HRGs to TFCs'!A:G,4,FALSE)),0,VLOOKUP(A103,'HRGs to TFCs'!A:G,4,FALSE))</f>
        <v>0</v>
      </c>
      <c r="E103" s="188">
        <f>IF(ISERROR(VLOOKUP(A103,'HRGs to TFCs'!A:G,2,FALSE)),0,VLOOKUP(A103,'HRGs to TFCs'!A:G,2,FALSE))</f>
        <v>589</v>
      </c>
      <c r="F103" s="189">
        <f t="shared" si="9"/>
        <v>0</v>
      </c>
      <c r="G103" s="189">
        <f t="shared" si="10"/>
        <v>2.2598199715785682E-4</v>
      </c>
      <c r="H103" s="189">
        <f t="shared" si="11"/>
        <v>0</v>
      </c>
      <c r="I103" s="189">
        <f t="shared" si="12"/>
        <v>5.7471241936950629E-5</v>
      </c>
    </row>
    <row r="104" spans="1:9">
      <c r="A104" s="188">
        <v>361</v>
      </c>
      <c r="B104" s="188">
        <f>IF(ISERROR(VLOOKUP(A104,'HRGs to TFCs'!A:G,5,FALSE)),0,VLOOKUP(A104,'HRGs to TFCs'!A:G,5,FALSE))</f>
        <v>127</v>
      </c>
      <c r="C104" s="188">
        <f>IF(ISERROR(VLOOKUP(A104,'HRGs to TFCs'!A:G,3,FALSE)),0,VLOOKUP(A104,'HRGs to TFCs'!A:G,3,FALSE))</f>
        <v>1786</v>
      </c>
      <c r="D104" s="188">
        <f>IF(ISERROR(VLOOKUP(A104,'HRGs to TFCs'!A:G,4,FALSE)),0,VLOOKUP(A104,'HRGs to TFCs'!A:G,4,FALSE))</f>
        <v>1356</v>
      </c>
      <c r="E104" s="188">
        <f>IF(ISERROR(VLOOKUP(A104,'HRGs to TFCs'!A:G,2,FALSE)),0,VLOOKUP(A104,'HRGs to TFCs'!A:G,2,FALSE))</f>
        <v>19838</v>
      </c>
      <c r="F104" s="189">
        <f t="shared" si="9"/>
        <v>1.239193162307764E-5</v>
      </c>
      <c r="G104" s="189">
        <f t="shared" si="10"/>
        <v>1.7426763684107611E-4</v>
      </c>
      <c r="H104" s="189">
        <f t="shared" si="11"/>
        <v>1.3231070299915968E-4</v>
      </c>
      <c r="I104" s="189">
        <f t="shared" si="12"/>
        <v>1.9356782640835768E-3</v>
      </c>
    </row>
    <row r="105" spans="1:9">
      <c r="A105" s="188">
        <v>370</v>
      </c>
      <c r="B105" s="188">
        <f>IF(ISERROR(VLOOKUP(A105,'HRGs to TFCs'!A:G,5,FALSE)),0,VLOOKUP(A105,'HRGs to TFCs'!A:G,5,FALSE))</f>
        <v>56</v>
      </c>
      <c r="C105" s="188">
        <f>IF(ISERROR(VLOOKUP(A105,'HRGs to TFCs'!A:G,3,FALSE)),0,VLOOKUP(A105,'HRGs to TFCs'!A:G,3,FALSE))</f>
        <v>4177</v>
      </c>
      <c r="D105" s="188">
        <f>IF(ISERROR(VLOOKUP(A105,'HRGs to TFCs'!A:G,4,FALSE)),0,VLOOKUP(A105,'HRGs to TFCs'!A:G,4,FALSE))</f>
        <v>1914</v>
      </c>
      <c r="E105" s="188">
        <f>IF(ISERROR(VLOOKUP(A105,'HRGs to TFCs'!A:G,2,FALSE)),0,VLOOKUP(A105,'HRGs to TFCs'!A:G,2,FALSE))</f>
        <v>152533</v>
      </c>
      <c r="F105" s="189">
        <f t="shared" si="9"/>
        <v>5.4641588259239988E-6</v>
      </c>
      <c r="G105" s="189">
        <f t="shared" si="10"/>
        <v>4.0756770385508116E-4</v>
      </c>
      <c r="H105" s="189">
        <f t="shared" si="11"/>
        <v>1.8675714272890239E-4</v>
      </c>
      <c r="I105" s="189">
        <f t="shared" si="12"/>
        <v>1.4883295324904738E-2</v>
      </c>
    </row>
    <row r="106" spans="1:9">
      <c r="A106" s="188">
        <v>371</v>
      </c>
      <c r="B106" s="188">
        <f>IF(ISERROR(VLOOKUP(A106,'HRGs to TFCs'!A:G,5,FALSE)),0,VLOOKUP(A106,'HRGs to TFCs'!A:G,5,FALSE))</f>
        <v>0</v>
      </c>
      <c r="C106" s="188">
        <f>IF(ISERROR(VLOOKUP(A106,'HRGs to TFCs'!A:G,3,FALSE)),0,VLOOKUP(A106,'HRGs to TFCs'!A:G,3,FALSE))</f>
        <v>92</v>
      </c>
      <c r="D106" s="188">
        <f>IF(ISERROR(VLOOKUP(A106,'HRGs to TFCs'!A:G,4,FALSE)),0,VLOOKUP(A106,'HRGs to TFCs'!A:G,4,FALSE))</f>
        <v>0</v>
      </c>
      <c r="E106" s="188">
        <f>IF(ISERROR(VLOOKUP(A106,'HRGs to TFCs'!A:G,2,FALSE)),0,VLOOKUP(A106,'HRGs to TFCs'!A:G,2,FALSE))</f>
        <v>161</v>
      </c>
      <c r="F106" s="189">
        <f t="shared" si="9"/>
        <v>0</v>
      </c>
      <c r="G106" s="189">
        <f t="shared" si="10"/>
        <v>8.9768323568751411E-6</v>
      </c>
      <c r="H106" s="189">
        <f t="shared" si="11"/>
        <v>0</v>
      </c>
      <c r="I106" s="189">
        <f t="shared" si="12"/>
        <v>1.5709456624531496E-5</v>
      </c>
    </row>
    <row r="107" spans="1:9">
      <c r="A107" s="188">
        <v>400</v>
      </c>
      <c r="B107" s="188">
        <f>IF(ISERROR(VLOOKUP(A107,'HRGs to TFCs'!A:G,5,FALSE)),0,VLOOKUP(A107,'HRGs to TFCs'!A:G,5,FALSE))</f>
        <v>235</v>
      </c>
      <c r="C107" s="188">
        <f>IF(ISERROR(VLOOKUP(A107,'HRGs to TFCs'!A:G,3,FALSE)),0,VLOOKUP(A107,'HRGs to TFCs'!A:G,3,FALSE))</f>
        <v>15875</v>
      </c>
      <c r="D107" s="188">
        <f>IF(ISERROR(VLOOKUP(A107,'HRGs to TFCs'!A:G,4,FALSE)),0,VLOOKUP(A107,'HRGs to TFCs'!A:G,4,FALSE))</f>
        <v>223</v>
      </c>
      <c r="E107" s="188">
        <f>IF(ISERROR(VLOOKUP(A107,'HRGs to TFCs'!A:G,2,FALSE)),0,VLOOKUP(A107,'HRGs to TFCs'!A:G,2,FALSE))</f>
        <v>8506</v>
      </c>
      <c r="F107" s="189">
        <f t="shared" si="9"/>
        <v>2.2929952215931068E-5</v>
      </c>
      <c r="G107" s="189">
        <f t="shared" si="10"/>
        <v>1.548991452884705E-3</v>
      </c>
      <c r="H107" s="189">
        <f t="shared" si="11"/>
        <v>2.1759061038947354E-5</v>
      </c>
      <c r="I107" s="189">
        <f t="shared" si="12"/>
        <v>8.2996669595195602E-4</v>
      </c>
    </row>
    <row r="108" spans="1:9">
      <c r="A108" s="188">
        <v>401</v>
      </c>
      <c r="B108" s="188">
        <f>IF(ISERROR(VLOOKUP(A108,'HRGs to TFCs'!A:G,5,FALSE)),0,VLOOKUP(A108,'HRGs to TFCs'!A:G,5,FALSE))</f>
        <v>93</v>
      </c>
      <c r="C108" s="188">
        <f>IF(ISERROR(VLOOKUP(A108,'HRGs to TFCs'!A:G,3,FALSE)),0,VLOOKUP(A108,'HRGs to TFCs'!A:G,3,FALSE))</f>
        <v>36371</v>
      </c>
      <c r="D108" s="188">
        <f>IF(ISERROR(VLOOKUP(A108,'HRGs to TFCs'!A:G,4,FALSE)),0,VLOOKUP(A108,'HRGs to TFCs'!A:G,4,FALSE))</f>
        <v>0</v>
      </c>
      <c r="E108" s="188">
        <f>IF(ISERROR(VLOOKUP(A108,'HRGs to TFCs'!A:G,2,FALSE)),0,VLOOKUP(A108,'HRGs to TFCs'!A:G,2,FALSE))</f>
        <v>2509</v>
      </c>
      <c r="F108" s="189">
        <f t="shared" si="9"/>
        <v>9.0744066216237839E-6</v>
      </c>
      <c r="G108" s="189">
        <f t="shared" si="10"/>
        <v>3.5488735831728886E-3</v>
      </c>
      <c r="H108" s="189">
        <f t="shared" si="11"/>
        <v>0</v>
      </c>
      <c r="I108" s="189">
        <f t="shared" si="12"/>
        <v>2.448138302543449E-4</v>
      </c>
    </row>
    <row r="109" spans="1:9">
      <c r="A109" s="188">
        <v>410</v>
      </c>
      <c r="B109" s="188">
        <f>IF(ISERROR(VLOOKUP(A109,'HRGs to TFCs'!A:G,5,FALSE)),0,VLOOKUP(A109,'HRGs to TFCs'!A:G,5,FALSE))</f>
        <v>89</v>
      </c>
      <c r="C109" s="188">
        <f>IF(ISERROR(VLOOKUP(A109,'HRGs to TFCs'!A:G,3,FALSE)),0,VLOOKUP(A109,'HRGs to TFCs'!A:G,3,FALSE))</f>
        <v>7473</v>
      </c>
      <c r="D109" s="188">
        <f>IF(ISERROR(VLOOKUP(A109,'HRGs to TFCs'!A:G,4,FALSE)),0,VLOOKUP(A109,'HRGs to TFCs'!A:G,4,FALSE))</f>
        <v>342</v>
      </c>
      <c r="E109" s="188">
        <f>IF(ISERROR(VLOOKUP(A109,'HRGs to TFCs'!A:G,2,FALSE)),0,VLOOKUP(A109,'HRGs to TFCs'!A:G,2,FALSE))</f>
        <v>23043</v>
      </c>
      <c r="F109" s="189">
        <f t="shared" si="9"/>
        <v>8.6841095626292127E-6</v>
      </c>
      <c r="G109" s="189">
        <f t="shared" si="10"/>
        <v>7.2917248046660795E-4</v>
      </c>
      <c r="H109" s="189">
        <f t="shared" si="11"/>
        <v>3.3370398544035848E-5</v>
      </c>
      <c r="I109" s="189">
        <f t="shared" si="12"/>
        <v>2.2484037826029772E-3</v>
      </c>
    </row>
    <row r="110" spans="1:9">
      <c r="A110" s="188">
        <v>420</v>
      </c>
      <c r="B110" s="188">
        <f>IF(ISERROR(VLOOKUP(A110,'HRGs to TFCs'!A:G,5,FALSE)),0,VLOOKUP(A110,'HRGs to TFCs'!A:G,5,FALSE))</f>
        <v>1394</v>
      </c>
      <c r="C110" s="188">
        <f>IF(ISERROR(VLOOKUP(A110,'HRGs to TFCs'!A:G,3,FALSE)),0,VLOOKUP(A110,'HRGs to TFCs'!A:G,3,FALSE))</f>
        <v>18720</v>
      </c>
      <c r="D110" s="188">
        <f>IF(ISERROR(VLOOKUP(A110,'HRGs to TFCs'!A:G,4,FALSE)),0,VLOOKUP(A110,'HRGs to TFCs'!A:G,4,FALSE))</f>
        <v>2094</v>
      </c>
      <c r="E110" s="188">
        <f>IF(ISERROR(VLOOKUP(A110,'HRGs to TFCs'!A:G,2,FALSE)),0,VLOOKUP(A110,'HRGs to TFCs'!A:G,2,FALSE))</f>
        <v>17441</v>
      </c>
      <c r="F110" s="189">
        <f t="shared" si="9"/>
        <v>1.3601852505960811E-4</v>
      </c>
      <c r="G110" s="189">
        <f t="shared" si="10"/>
        <v>1.8265902360945939E-3</v>
      </c>
      <c r="H110" s="189">
        <f t="shared" si="11"/>
        <v>2.043205103836581E-4</v>
      </c>
      <c r="I110" s="189">
        <f t="shared" si="12"/>
        <v>1.7017927514810798E-3</v>
      </c>
    </row>
    <row r="111" spans="1:9">
      <c r="A111" s="188">
        <v>421</v>
      </c>
      <c r="B111" s="188">
        <f>IF(ISERROR(VLOOKUP(A111,'HRGs to TFCs'!A:G,5,FALSE)),0,VLOOKUP(A111,'HRGs to TFCs'!A:G,5,FALSE))</f>
        <v>10</v>
      </c>
      <c r="C111" s="188">
        <f>IF(ISERROR(VLOOKUP(A111,'HRGs to TFCs'!A:G,3,FALSE)),0,VLOOKUP(A111,'HRGs to TFCs'!A:G,3,FALSE))</f>
        <v>246</v>
      </c>
      <c r="D111" s="188">
        <f>IF(ISERROR(VLOOKUP(A111,'HRGs to TFCs'!A:G,4,FALSE)),0,VLOOKUP(A111,'HRGs to TFCs'!A:G,4,FALSE))</f>
        <v>29</v>
      </c>
      <c r="E111" s="188">
        <f>IF(ISERROR(VLOOKUP(A111,'HRGs to TFCs'!A:G,2,FALSE)),0,VLOOKUP(A111,'HRGs to TFCs'!A:G,2,FALSE))</f>
        <v>100</v>
      </c>
      <c r="F111" s="189">
        <f t="shared" si="9"/>
        <v>9.7574264748642841E-7</v>
      </c>
      <c r="G111" s="189">
        <f t="shared" si="10"/>
        <v>2.4003269128166137E-5</v>
      </c>
      <c r="H111" s="189">
        <f t="shared" si="11"/>
        <v>2.8296536777106422E-6</v>
      </c>
      <c r="I111" s="189">
        <f t="shared" si="12"/>
        <v>9.7574264748642837E-6</v>
      </c>
    </row>
    <row r="112" spans="1:9">
      <c r="A112" s="188">
        <v>422</v>
      </c>
      <c r="B112" s="188">
        <f>IF(ISERROR(VLOOKUP(A112,'HRGs to TFCs'!A:G,5,FALSE)),0,VLOOKUP(A112,'HRGs to TFCs'!A:G,5,FALSE))</f>
        <v>1</v>
      </c>
      <c r="C112" s="188">
        <f>IF(ISERROR(VLOOKUP(A112,'HRGs to TFCs'!A:G,3,FALSE)),0,VLOOKUP(A112,'HRGs to TFCs'!A:G,3,FALSE))</f>
        <v>379</v>
      </c>
      <c r="D112" s="188">
        <f>IF(ISERROR(VLOOKUP(A112,'HRGs to TFCs'!A:G,4,FALSE)),0,VLOOKUP(A112,'HRGs to TFCs'!A:G,4,FALSE))</f>
        <v>0</v>
      </c>
      <c r="E112" s="188">
        <f>IF(ISERROR(VLOOKUP(A112,'HRGs to TFCs'!A:G,2,FALSE)),0,VLOOKUP(A112,'HRGs to TFCs'!A:G,2,FALSE))</f>
        <v>216</v>
      </c>
      <c r="F112" s="189">
        <f t="shared" si="9"/>
        <v>9.7574264748642833E-8</v>
      </c>
      <c r="G112" s="189">
        <f t="shared" si="10"/>
        <v>3.6980646339735634E-5</v>
      </c>
      <c r="H112" s="189">
        <f t="shared" si="11"/>
        <v>0</v>
      </c>
      <c r="I112" s="189">
        <f t="shared" si="12"/>
        <v>2.1076041185706852E-5</v>
      </c>
    </row>
    <row r="113" spans="1:9">
      <c r="A113" s="188">
        <v>430</v>
      </c>
      <c r="B113" s="188">
        <f>IF(ISERROR(VLOOKUP(A113,'HRGs to TFCs'!A:G,5,FALSE)),0,VLOOKUP(A113,'HRGs to TFCs'!A:G,5,FALSE))</f>
        <v>623</v>
      </c>
      <c r="C113" s="188">
        <f>IF(ISERROR(VLOOKUP(A113,'HRGs to TFCs'!A:G,3,FALSE)),0,VLOOKUP(A113,'HRGs to TFCs'!A:G,3,FALSE))</f>
        <v>7274</v>
      </c>
      <c r="D113" s="188">
        <f>IF(ISERROR(VLOOKUP(A113,'HRGs to TFCs'!A:G,4,FALSE)),0,VLOOKUP(A113,'HRGs to TFCs'!A:G,4,FALSE))</f>
        <v>48</v>
      </c>
      <c r="E113" s="188">
        <f>IF(ISERROR(VLOOKUP(A113,'HRGs to TFCs'!A:G,2,FALSE)),0,VLOOKUP(A113,'HRGs to TFCs'!A:G,2,FALSE))</f>
        <v>3395</v>
      </c>
      <c r="F113" s="189">
        <f t="shared" si="9"/>
        <v>6.0788766938404489E-5</v>
      </c>
      <c r="G113" s="189">
        <f t="shared" si="10"/>
        <v>7.0975520178162804E-4</v>
      </c>
      <c r="H113" s="189">
        <f t="shared" si="11"/>
        <v>4.6835647079348562E-6</v>
      </c>
      <c r="I113" s="189">
        <f t="shared" si="12"/>
        <v>3.3126462882164244E-4</v>
      </c>
    </row>
    <row r="114" spans="1:9">
      <c r="A114" s="188">
        <v>450</v>
      </c>
      <c r="B114" s="188">
        <f>IF(ISERROR(VLOOKUP(A114,'HRGs to TFCs'!A:G,5,FALSE)),0,VLOOKUP(A114,'HRGs to TFCs'!A:G,5,FALSE))</f>
        <v>11</v>
      </c>
      <c r="C114" s="188">
        <f>IF(ISERROR(VLOOKUP(A114,'HRGs to TFCs'!A:G,3,FALSE)),0,VLOOKUP(A114,'HRGs to TFCs'!A:G,3,FALSE))</f>
        <v>1572</v>
      </c>
      <c r="D114" s="188">
        <f>IF(ISERROR(VLOOKUP(A114,'HRGs to TFCs'!A:G,4,FALSE)),0,VLOOKUP(A114,'HRGs to TFCs'!A:G,4,FALSE))</f>
        <v>4</v>
      </c>
      <c r="E114" s="188">
        <f>IF(ISERROR(VLOOKUP(A114,'HRGs to TFCs'!A:G,2,FALSE)),0,VLOOKUP(A114,'HRGs to TFCs'!A:G,2,FALSE))</f>
        <v>4828</v>
      </c>
      <c r="F114" s="189">
        <f t="shared" si="9"/>
        <v>1.0733169122350712E-6</v>
      </c>
      <c r="G114" s="189">
        <f t="shared" si="10"/>
        <v>1.5338674418486655E-4</v>
      </c>
      <c r="H114" s="189">
        <f t="shared" si="11"/>
        <v>3.9029705899457133E-7</v>
      </c>
      <c r="I114" s="189">
        <f t="shared" si="12"/>
        <v>4.7108855020644761E-4</v>
      </c>
    </row>
    <row r="115" spans="1:9">
      <c r="A115" s="188">
        <v>460</v>
      </c>
      <c r="B115" s="188">
        <f>IF(ISERROR(VLOOKUP(A115,'HRGs to TFCs'!A:G,5,FALSE)),0,VLOOKUP(A115,'HRGs to TFCs'!A:G,5,FALSE))</f>
        <v>14</v>
      </c>
      <c r="C115" s="188">
        <f>IF(ISERROR(VLOOKUP(A115,'HRGs to TFCs'!A:G,3,FALSE)),0,VLOOKUP(A115,'HRGs to TFCs'!A:G,3,FALSE))</f>
        <v>3797</v>
      </c>
      <c r="D115" s="188">
        <f>IF(ISERROR(VLOOKUP(A115,'HRGs to TFCs'!A:G,4,FALSE)),0,VLOOKUP(A115,'HRGs to TFCs'!A:G,4,FALSE))</f>
        <v>160</v>
      </c>
      <c r="E115" s="188">
        <f>IF(ISERROR(VLOOKUP(A115,'HRGs to TFCs'!A:G,2,FALSE)),0,VLOOKUP(A115,'HRGs to TFCs'!A:G,2,FALSE))</f>
        <v>26791</v>
      </c>
      <c r="F115" s="189">
        <f t="shared" si="9"/>
        <v>1.3660397064809997E-6</v>
      </c>
      <c r="G115" s="189">
        <f t="shared" si="10"/>
        <v>3.7048948325059687E-4</v>
      </c>
      <c r="H115" s="189">
        <f t="shared" si="11"/>
        <v>1.5611882359782855E-5</v>
      </c>
      <c r="I115" s="189">
        <f t="shared" si="12"/>
        <v>2.6141121268808904E-3</v>
      </c>
    </row>
    <row r="116" spans="1:9">
      <c r="A116" s="188">
        <v>501</v>
      </c>
      <c r="B116" s="188">
        <f>IF(ISERROR(VLOOKUP(A116,'HRGs to TFCs'!A:G,5,FALSE)),0,VLOOKUP(A116,'HRGs to TFCs'!A:G,5,FALSE))</f>
        <v>13387</v>
      </c>
      <c r="C116" s="188">
        <f>IF(ISERROR(VLOOKUP(A116,'HRGs to TFCs'!A:G,3,FALSE)),0,VLOOKUP(A116,'HRGs to TFCs'!A:G,3,FALSE))</f>
        <v>176771</v>
      </c>
      <c r="D116" s="188">
        <f>IF(ISERROR(VLOOKUP(A116,'HRGs to TFCs'!A:G,4,FALSE)),0,VLOOKUP(A116,'HRGs to TFCs'!A:G,4,FALSE))</f>
        <v>22474</v>
      </c>
      <c r="E116" s="188">
        <f>IF(ISERROR(VLOOKUP(A116,'HRGs to TFCs'!A:G,2,FALSE)),0,VLOOKUP(A116,'HRGs to TFCs'!A:G,2,FALSE))</f>
        <v>391964</v>
      </c>
      <c r="F116" s="189">
        <f t="shared" si="9"/>
        <v>1.3062266821900817E-3</v>
      </c>
      <c r="G116" s="189">
        <f t="shared" si="10"/>
        <v>1.7248300353882345E-2</v>
      </c>
      <c r="H116" s="189">
        <f t="shared" si="11"/>
        <v>2.1928840259609994E-3</v>
      </c>
      <c r="I116" s="189">
        <f t="shared" si="12"/>
        <v>3.8245599107937039E-2</v>
      </c>
    </row>
    <row r="117" spans="1:9">
      <c r="A117" s="188">
        <v>502</v>
      </c>
      <c r="B117" s="188">
        <f>IF(ISERROR(VLOOKUP(A117,'HRGs to TFCs'!A:G,5,FALSE)),0,VLOOKUP(A117,'HRGs to TFCs'!A:G,5,FALSE))</f>
        <v>29289</v>
      </c>
      <c r="C117" s="188">
        <f>IF(ISERROR(VLOOKUP(A117,'HRGs to TFCs'!A:G,3,FALSE)),0,VLOOKUP(A117,'HRGs to TFCs'!A:G,3,FALSE))</f>
        <v>504253</v>
      </c>
      <c r="D117" s="188">
        <f>IF(ISERROR(VLOOKUP(A117,'HRGs to TFCs'!A:G,4,FALSE)),0,VLOOKUP(A117,'HRGs to TFCs'!A:G,4,FALSE))</f>
        <v>21554</v>
      </c>
      <c r="E117" s="188">
        <f>IF(ISERROR(VLOOKUP(A117,'HRGs to TFCs'!A:G,2,FALSE)),0,VLOOKUP(A117,'HRGs to TFCs'!A:G,2,FALSE))</f>
        <v>381384</v>
      </c>
      <c r="F117" s="189">
        <f t="shared" si="9"/>
        <v>2.8578526402230002E-3</v>
      </c>
      <c r="G117" s="189">
        <f t="shared" si="10"/>
        <v>4.92021157222974E-2</v>
      </c>
      <c r="H117" s="189">
        <f t="shared" si="11"/>
        <v>2.1031157023922477E-3</v>
      </c>
      <c r="I117" s="189">
        <f t="shared" si="12"/>
        <v>3.72132633868964E-2</v>
      </c>
    </row>
    <row r="118" spans="1:9">
      <c r="A118" s="188">
        <v>503</v>
      </c>
      <c r="B118" s="188">
        <f>IF(ISERROR(VLOOKUP(A118,'HRGs to TFCs'!A:G,5,FALSE)),0,VLOOKUP(A118,'HRGs to TFCs'!A:G,5,FALSE))</f>
        <v>1497</v>
      </c>
      <c r="C118" s="188">
        <f>IF(ISERROR(VLOOKUP(A118,'HRGs to TFCs'!A:G,3,FALSE)),0,VLOOKUP(A118,'HRGs to TFCs'!A:G,3,FALSE))</f>
        <v>28961</v>
      </c>
      <c r="D118" s="188">
        <f>IF(ISERROR(VLOOKUP(A118,'HRGs to TFCs'!A:G,4,FALSE)),0,VLOOKUP(A118,'HRGs to TFCs'!A:G,4,FALSE))</f>
        <v>1137</v>
      </c>
      <c r="E118" s="188">
        <f>IF(ISERROR(VLOOKUP(A118,'HRGs to TFCs'!A:G,2,FALSE)),0,VLOOKUP(A118,'HRGs to TFCs'!A:G,2,FALSE))</f>
        <v>18699</v>
      </c>
      <c r="F118" s="189">
        <f t="shared" si="9"/>
        <v>1.4606867432871834E-4</v>
      </c>
      <c r="G118" s="189">
        <f t="shared" si="10"/>
        <v>2.8258482813854455E-3</v>
      </c>
      <c r="H118" s="189">
        <f t="shared" si="11"/>
        <v>1.1094193901920691E-4</v>
      </c>
      <c r="I118" s="189">
        <f t="shared" si="12"/>
        <v>1.8245411765348725E-3</v>
      </c>
    </row>
    <row r="119" spans="1:9">
      <c r="A119" s="188">
        <v>560</v>
      </c>
      <c r="B119" s="188">
        <f>IF(ISERROR(VLOOKUP(A119,'HRGs to TFCs'!A:G,5,FALSE)),0,VLOOKUP(A119,'HRGs to TFCs'!A:G,5,FALSE))</f>
        <v>6150</v>
      </c>
      <c r="C119" s="188">
        <f>IF(ISERROR(VLOOKUP(A119,'HRGs to TFCs'!A:G,3,FALSE)),0,VLOOKUP(A119,'HRGs to TFCs'!A:G,3,FALSE))</f>
        <v>62161</v>
      </c>
      <c r="D119" s="188">
        <f>IF(ISERROR(VLOOKUP(A119,'HRGs to TFCs'!A:G,4,FALSE)),0,VLOOKUP(A119,'HRGs to TFCs'!A:G,4,FALSE))</f>
        <v>16493</v>
      </c>
      <c r="E119" s="188">
        <f>IF(ISERROR(VLOOKUP(A119,'HRGs to TFCs'!A:G,2,FALSE)),0,VLOOKUP(A119,'HRGs to TFCs'!A:G,2,FALSE))</f>
        <v>173448</v>
      </c>
      <c r="F119" s="189">
        <f t="shared" si="9"/>
        <v>6.0008172820415347E-4</v>
      </c>
      <c r="G119" s="189">
        <f t="shared" si="10"/>
        <v>6.0653138710403875E-3</v>
      </c>
      <c r="H119" s="189">
        <f t="shared" si="11"/>
        <v>1.6092923484993663E-3</v>
      </c>
      <c r="I119" s="189">
        <f t="shared" si="12"/>
        <v>1.6924061072122604E-2</v>
      </c>
    </row>
    <row r="120" spans="1:9">
      <c r="A120" s="188">
        <v>650</v>
      </c>
      <c r="B120" s="188">
        <f>IF(ISERROR(VLOOKUP(A120,'HRGs to TFCs'!A:G,5,FALSE)),0,VLOOKUP(A120,'HRGs to TFCs'!A:G,5,FALSE))</f>
        <v>77</v>
      </c>
      <c r="C120" s="188">
        <f>IF(ISERROR(VLOOKUP(A120,'HRGs to TFCs'!A:G,3,FALSE)),0,VLOOKUP(A120,'HRGs to TFCs'!A:G,3,FALSE))</f>
        <v>10258</v>
      </c>
      <c r="D120" s="188">
        <f>IF(ISERROR(VLOOKUP(A120,'HRGs to TFCs'!A:G,4,FALSE)),0,VLOOKUP(A120,'HRGs to TFCs'!A:G,4,FALSE))</f>
        <v>235</v>
      </c>
      <c r="E120" s="188">
        <f>IF(ISERROR(VLOOKUP(A120,'HRGs to TFCs'!A:G,2,FALSE)),0,VLOOKUP(A120,'HRGs to TFCs'!A:G,2,FALSE))</f>
        <v>32532</v>
      </c>
      <c r="F120" s="189">
        <f t="shared" si="9"/>
        <v>7.5132183856454988E-6</v>
      </c>
      <c r="G120" s="189">
        <f t="shared" si="10"/>
        <v>1.0009168077915783E-3</v>
      </c>
      <c r="H120" s="189">
        <f t="shared" si="11"/>
        <v>2.2929952215931068E-5</v>
      </c>
      <c r="I120" s="189">
        <f t="shared" si="12"/>
        <v>3.1742859808028489E-3</v>
      </c>
    </row>
    <row r="121" spans="1:9">
      <c r="A121" s="188">
        <v>651</v>
      </c>
      <c r="B121" s="188">
        <f>IF(ISERROR(VLOOKUP(A121,'HRGs to TFCs'!A:G,5,FALSE)),0,VLOOKUP(A121,'HRGs to TFCs'!A:G,5,FALSE))</f>
        <v>11</v>
      </c>
      <c r="C121" s="188">
        <f>IF(ISERROR(VLOOKUP(A121,'HRGs to TFCs'!A:G,3,FALSE)),0,VLOOKUP(A121,'HRGs to TFCs'!A:G,3,FALSE))</f>
        <v>615</v>
      </c>
      <c r="D121" s="188">
        <f>IF(ISERROR(VLOOKUP(A121,'HRGs to TFCs'!A:G,4,FALSE)),0,VLOOKUP(A121,'HRGs to TFCs'!A:G,4,FALSE))</f>
        <v>20</v>
      </c>
      <c r="E121" s="188">
        <f>IF(ISERROR(VLOOKUP(A121,'HRGs to TFCs'!A:G,2,FALSE)),0,VLOOKUP(A121,'HRGs to TFCs'!A:G,2,FALSE))</f>
        <v>1223</v>
      </c>
      <c r="F121" s="189">
        <f t="shared" si="9"/>
        <v>1.0733169122350712E-6</v>
      </c>
      <c r="G121" s="189">
        <f t="shared" si="10"/>
        <v>6.0008172820415346E-5</v>
      </c>
      <c r="H121" s="189">
        <f t="shared" si="11"/>
        <v>1.9514852949728568E-6</v>
      </c>
      <c r="I121" s="189">
        <f t="shared" si="12"/>
        <v>1.1933332578759019E-4</v>
      </c>
    </row>
    <row r="122" spans="1:9">
      <c r="A122" s="188">
        <v>652</v>
      </c>
      <c r="B122" s="188">
        <f>IF(ISERROR(VLOOKUP(A122,'HRGs to TFCs'!A:G,5,FALSE)),0,VLOOKUP(A122,'HRGs to TFCs'!A:G,5,FALSE))</f>
        <v>12</v>
      </c>
      <c r="C122" s="188">
        <f>IF(ISERROR(VLOOKUP(A122,'HRGs to TFCs'!A:G,3,FALSE)),0,VLOOKUP(A122,'HRGs to TFCs'!A:G,3,FALSE))</f>
        <v>204</v>
      </c>
      <c r="D122" s="188">
        <f>IF(ISERROR(VLOOKUP(A122,'HRGs to TFCs'!A:G,4,FALSE)),0,VLOOKUP(A122,'HRGs to TFCs'!A:G,4,FALSE))</f>
        <v>59</v>
      </c>
      <c r="E122" s="188">
        <f>IF(ISERROR(VLOOKUP(A122,'HRGs to TFCs'!A:G,2,FALSE)),0,VLOOKUP(A122,'HRGs to TFCs'!A:G,2,FALSE))</f>
        <v>766</v>
      </c>
      <c r="F122" s="189">
        <f t="shared" si="9"/>
        <v>1.1708911769837141E-6</v>
      </c>
      <c r="G122" s="189">
        <f t="shared" si="10"/>
        <v>1.9905150008723139E-5</v>
      </c>
      <c r="H122" s="189">
        <f t="shared" si="11"/>
        <v>5.7568816201699272E-6</v>
      </c>
      <c r="I122" s="189">
        <f t="shared" si="12"/>
        <v>7.474188679746041E-5</v>
      </c>
    </row>
    <row r="123" spans="1:9">
      <c r="A123" s="188">
        <v>653</v>
      </c>
      <c r="B123" s="188">
        <f>IF(ISERROR(VLOOKUP(A123,'HRGs to TFCs'!A:G,5,FALSE)),0,VLOOKUP(A123,'HRGs to TFCs'!A:G,5,FALSE))</f>
        <v>94</v>
      </c>
      <c r="C123" s="188">
        <f>IF(ISERROR(VLOOKUP(A123,'HRGs to TFCs'!A:G,3,FALSE)),0,VLOOKUP(A123,'HRGs to TFCs'!A:G,3,FALSE))</f>
        <v>957</v>
      </c>
      <c r="D123" s="188">
        <f>IF(ISERROR(VLOOKUP(A123,'HRGs to TFCs'!A:G,4,FALSE)),0,VLOOKUP(A123,'HRGs to TFCs'!A:G,4,FALSE))</f>
        <v>6653</v>
      </c>
      <c r="E123" s="188">
        <f>IF(ISERROR(VLOOKUP(A123,'HRGs to TFCs'!A:G,2,FALSE)),0,VLOOKUP(A123,'HRGs to TFCs'!A:G,2,FALSE))</f>
        <v>11219</v>
      </c>
      <c r="F123" s="189">
        <f t="shared" si="9"/>
        <v>9.1719808863724268E-6</v>
      </c>
      <c r="G123" s="189">
        <f t="shared" si="10"/>
        <v>9.3378571364451194E-5</v>
      </c>
      <c r="H123" s="189">
        <f t="shared" si="11"/>
        <v>6.4916158337272078E-4</v>
      </c>
      <c r="I123" s="189">
        <f t="shared" si="12"/>
        <v>1.0946856762150241E-3</v>
      </c>
    </row>
    <row r="124" spans="1:9">
      <c r="A124" s="188">
        <v>654</v>
      </c>
      <c r="B124" s="188">
        <f>IF(ISERROR(VLOOKUP(A124,'HRGs to TFCs'!A:G,5,FALSE)),0,VLOOKUP(A124,'HRGs to TFCs'!A:G,5,FALSE))</f>
        <v>10</v>
      </c>
      <c r="C124" s="188">
        <f>IF(ISERROR(VLOOKUP(A124,'HRGs to TFCs'!A:G,3,FALSE)),0,VLOOKUP(A124,'HRGs to TFCs'!A:G,3,FALSE))</f>
        <v>213</v>
      </c>
      <c r="D124" s="188">
        <f>IF(ISERROR(VLOOKUP(A124,'HRGs to TFCs'!A:G,4,FALSE)),0,VLOOKUP(A124,'HRGs to TFCs'!A:G,4,FALSE))</f>
        <v>2</v>
      </c>
      <c r="E124" s="188">
        <f>IF(ISERROR(VLOOKUP(A124,'HRGs to TFCs'!A:G,2,FALSE)),0,VLOOKUP(A124,'HRGs to TFCs'!A:G,2,FALSE))</f>
        <v>170</v>
      </c>
      <c r="F124" s="189">
        <f t="shared" si="9"/>
        <v>9.7574264748642841E-7</v>
      </c>
      <c r="G124" s="189">
        <f t="shared" si="10"/>
        <v>2.0783318391460926E-5</v>
      </c>
      <c r="H124" s="189">
        <f t="shared" si="11"/>
        <v>1.9514852949728567E-7</v>
      </c>
      <c r="I124" s="189">
        <f t="shared" si="12"/>
        <v>1.6587625007269283E-5</v>
      </c>
    </row>
    <row r="125" spans="1:9">
      <c r="A125" s="188">
        <v>655</v>
      </c>
      <c r="B125" s="188">
        <f>IF(ISERROR(VLOOKUP(A125,'HRGs to TFCs'!A:G,5,FALSE)),0,VLOOKUP(A125,'HRGs to TFCs'!A:G,5,FALSE))</f>
        <v>17</v>
      </c>
      <c r="C125" s="188">
        <f>IF(ISERROR(VLOOKUP(A125,'HRGs to TFCs'!A:G,3,FALSE)),0,VLOOKUP(A125,'HRGs to TFCs'!A:G,3,FALSE))</f>
        <v>2125</v>
      </c>
      <c r="D125" s="188">
        <f>IF(ISERROR(VLOOKUP(A125,'HRGs to TFCs'!A:G,4,FALSE)),0,VLOOKUP(A125,'HRGs to TFCs'!A:G,4,FALSE))</f>
        <v>33</v>
      </c>
      <c r="E125" s="188">
        <f>IF(ISERROR(VLOOKUP(A125,'HRGs to TFCs'!A:G,2,FALSE)),0,VLOOKUP(A125,'HRGs to TFCs'!A:G,2,FALSE))</f>
        <v>6665</v>
      </c>
      <c r="F125" s="189">
        <f t="shared" si="9"/>
        <v>1.6587625007269284E-6</v>
      </c>
      <c r="G125" s="189">
        <f t="shared" si="10"/>
        <v>2.0734531259086603E-4</v>
      </c>
      <c r="H125" s="189">
        <f t="shared" si="11"/>
        <v>3.2199507367052139E-6</v>
      </c>
      <c r="I125" s="189">
        <f t="shared" si="12"/>
        <v>6.5033247454970454E-4</v>
      </c>
    </row>
    <row r="126" spans="1:9">
      <c r="A126" s="188">
        <v>656</v>
      </c>
      <c r="B126" s="188">
        <f>IF(ISERROR(VLOOKUP(A126,'HRGs to TFCs'!A:G,5,FALSE)),0,VLOOKUP(A126,'HRGs to TFCs'!A:G,5,FALSE))</f>
        <v>0</v>
      </c>
      <c r="C126" s="188">
        <f>IF(ISERROR(VLOOKUP(A126,'HRGs to TFCs'!A:G,3,FALSE)),0,VLOOKUP(A126,'HRGs to TFCs'!A:G,3,FALSE))</f>
        <v>13</v>
      </c>
      <c r="D126" s="188">
        <f>IF(ISERROR(VLOOKUP(A126,'HRGs to TFCs'!A:G,4,FALSE)),0,VLOOKUP(A126,'HRGs to TFCs'!A:G,4,FALSE))</f>
        <v>0</v>
      </c>
      <c r="E126" s="188">
        <f>IF(ISERROR(VLOOKUP(A126,'HRGs to TFCs'!A:G,2,FALSE)),0,VLOOKUP(A126,'HRGs to TFCs'!A:G,2,FALSE))</f>
        <v>45</v>
      </c>
      <c r="F126" s="189">
        <f t="shared" si="9"/>
        <v>0</v>
      </c>
      <c r="G126" s="189">
        <f t="shared" si="10"/>
        <v>1.2684654417323569E-6</v>
      </c>
      <c r="H126" s="189">
        <f t="shared" si="11"/>
        <v>0</v>
      </c>
      <c r="I126" s="189">
        <f t="shared" si="12"/>
        <v>4.3908419136889277E-6</v>
      </c>
    </row>
    <row r="127" spans="1:9">
      <c r="A127" s="188">
        <v>657</v>
      </c>
      <c r="B127" s="188">
        <f>IF(ISERROR(VLOOKUP(A127,'HRGs to TFCs'!A:G,5,FALSE)),0,VLOOKUP(A127,'HRGs to TFCs'!A:G,5,FALSE))</f>
        <v>0</v>
      </c>
      <c r="C127" s="188">
        <f>IF(ISERROR(VLOOKUP(A127,'HRGs to TFCs'!A:G,3,FALSE)),0,VLOOKUP(A127,'HRGs to TFCs'!A:G,3,FALSE))</f>
        <v>1</v>
      </c>
      <c r="D127" s="188">
        <f>IF(ISERROR(VLOOKUP(A127,'HRGs to TFCs'!A:G,4,FALSE)),0,VLOOKUP(A127,'HRGs to TFCs'!A:G,4,FALSE))</f>
        <v>2</v>
      </c>
      <c r="E127" s="188">
        <f>IF(ISERROR(VLOOKUP(A127,'HRGs to TFCs'!A:G,2,FALSE)),0,VLOOKUP(A127,'HRGs to TFCs'!A:G,2,FALSE))</f>
        <v>21</v>
      </c>
      <c r="F127" s="189">
        <f t="shared" si="9"/>
        <v>0</v>
      </c>
      <c r="G127" s="189">
        <f t="shared" si="10"/>
        <v>9.7574264748642833E-8</v>
      </c>
      <c r="H127" s="189">
        <f t="shared" si="11"/>
        <v>1.9514852949728567E-7</v>
      </c>
      <c r="I127" s="189">
        <f t="shared" si="12"/>
        <v>2.0490595597214996E-6</v>
      </c>
    </row>
    <row r="128" spans="1:9">
      <c r="A128" s="188">
        <v>658</v>
      </c>
      <c r="B128" s="188">
        <f>IF(ISERROR(VLOOKUP(A128,'HRGs to TFCs'!A:G,5,FALSE)),0,VLOOKUP(A128,'HRGs to TFCs'!A:G,5,FALSE))</f>
        <v>0</v>
      </c>
      <c r="C128" s="188">
        <f>IF(ISERROR(VLOOKUP(A128,'HRGs to TFCs'!A:G,3,FALSE)),0,VLOOKUP(A128,'HRGs to TFCs'!A:G,3,FALSE))</f>
        <v>28</v>
      </c>
      <c r="D128" s="188">
        <f>IF(ISERROR(VLOOKUP(A128,'HRGs to TFCs'!A:G,4,FALSE)),0,VLOOKUP(A128,'HRGs to TFCs'!A:G,4,FALSE))</f>
        <v>0</v>
      </c>
      <c r="E128" s="188">
        <f>IF(ISERROR(VLOOKUP(A128,'HRGs to TFCs'!A:G,2,FALSE)),0,VLOOKUP(A128,'HRGs to TFCs'!A:G,2,FALSE))</f>
        <v>177</v>
      </c>
      <c r="F128" s="189">
        <f t="shared" si="9"/>
        <v>0</v>
      </c>
      <c r="G128" s="189">
        <f t="shared" si="10"/>
        <v>2.7320794129619994E-6</v>
      </c>
      <c r="H128" s="189">
        <f t="shared" si="11"/>
        <v>0</v>
      </c>
      <c r="I128" s="189">
        <f t="shared" si="12"/>
        <v>1.7270644860509784E-5</v>
      </c>
    </row>
    <row r="129" spans="1:9">
      <c r="A129" s="188">
        <v>662</v>
      </c>
      <c r="B129" s="188">
        <f>IF(ISERROR(VLOOKUP(A129,'HRGs to TFCs'!A:G,5,FALSE)),0,VLOOKUP(A129,'HRGs to TFCs'!A:G,5,FALSE))</f>
        <v>0</v>
      </c>
      <c r="C129" s="188">
        <f>IF(ISERROR(VLOOKUP(A129,'HRGs to TFCs'!A:G,3,FALSE)),0,VLOOKUP(A129,'HRGs to TFCs'!A:G,3,FALSE))</f>
        <v>1315</v>
      </c>
      <c r="D129" s="188">
        <f>IF(ISERROR(VLOOKUP(A129,'HRGs to TFCs'!A:G,4,FALSE)),0,VLOOKUP(A129,'HRGs to TFCs'!A:G,4,FALSE))</f>
        <v>3</v>
      </c>
      <c r="E129" s="188">
        <f>IF(ISERROR(VLOOKUP(A129,'HRGs to TFCs'!A:G,2,FALSE)),0,VLOOKUP(A129,'HRGs to TFCs'!A:G,2,FALSE))</f>
        <v>1586</v>
      </c>
      <c r="F129" s="189">
        <f t="shared" si="9"/>
        <v>0</v>
      </c>
      <c r="G129" s="189">
        <f t="shared" si="10"/>
        <v>1.2831015814446535E-4</v>
      </c>
      <c r="H129" s="189">
        <f t="shared" si="11"/>
        <v>2.9272279424592851E-7</v>
      </c>
      <c r="I129" s="189">
        <f t="shared" si="12"/>
        <v>1.5475278389134756E-4</v>
      </c>
    </row>
    <row r="130" spans="1:9">
      <c r="A130" s="188">
        <v>663</v>
      </c>
      <c r="B130" s="188">
        <f>IF(ISERROR(VLOOKUP(A130,'HRGs to TFCs'!A:G,5,FALSE)),0,VLOOKUP(A130,'HRGs to TFCs'!A:G,5,FALSE))</f>
        <v>0</v>
      </c>
      <c r="C130" s="188">
        <f>IF(ISERROR(VLOOKUP(A130,'HRGs to TFCs'!A:G,3,FALSE)),0,VLOOKUP(A130,'HRGs to TFCs'!A:G,3,FALSE))</f>
        <v>0</v>
      </c>
      <c r="D130" s="188">
        <f>IF(ISERROR(VLOOKUP(A130,'HRGs to TFCs'!A:G,4,FALSE)),0,VLOOKUP(A130,'HRGs to TFCs'!A:G,4,FALSE))</f>
        <v>0</v>
      </c>
      <c r="E130" s="188">
        <f>IF(ISERROR(VLOOKUP(A130,'HRGs to TFCs'!A:G,2,FALSE)),0,VLOOKUP(A130,'HRGs to TFCs'!A:G,2,FALSE))</f>
        <v>0</v>
      </c>
      <c r="F130" s="189">
        <f t="shared" si="9"/>
        <v>0</v>
      </c>
      <c r="G130" s="189">
        <f t="shared" si="10"/>
        <v>0</v>
      </c>
      <c r="H130" s="189">
        <f t="shared" si="11"/>
        <v>0</v>
      </c>
      <c r="I130" s="189">
        <f t="shared" si="12"/>
        <v>0</v>
      </c>
    </row>
    <row r="131" spans="1:9">
      <c r="A131" s="188">
        <v>710</v>
      </c>
      <c r="B131" s="188">
        <f>IF(ISERROR(VLOOKUP(A131,'HRGs to TFCs'!A:G,5,FALSE)),0,VLOOKUP(A131,'HRGs to TFCs'!A:G,5,FALSE))</f>
        <v>0</v>
      </c>
      <c r="C131" s="188">
        <f>IF(ISERROR(VLOOKUP(A131,'HRGs to TFCs'!A:G,3,FALSE)),0,VLOOKUP(A131,'HRGs to TFCs'!A:G,3,FALSE))</f>
        <v>0</v>
      </c>
      <c r="D131" s="188">
        <f>IF(ISERROR(VLOOKUP(A131,'HRGs to TFCs'!A:G,4,FALSE)),0,VLOOKUP(A131,'HRGs to TFCs'!A:G,4,FALSE))</f>
        <v>0</v>
      </c>
      <c r="E131" s="188">
        <f>IF(ISERROR(VLOOKUP(A131,'HRGs to TFCs'!A:G,2,FALSE)),0,VLOOKUP(A131,'HRGs to TFCs'!A:G,2,FALSE))</f>
        <v>1</v>
      </c>
      <c r="F131" s="189">
        <f t="shared" si="9"/>
        <v>0</v>
      </c>
      <c r="G131" s="189">
        <f t="shared" si="10"/>
        <v>0</v>
      </c>
      <c r="H131" s="189">
        <f t="shared" si="11"/>
        <v>0</v>
      </c>
      <c r="I131" s="189">
        <f t="shared" si="12"/>
        <v>9.7574264748642833E-8</v>
      </c>
    </row>
    <row r="132" spans="1:9">
      <c r="A132" s="188">
        <v>711</v>
      </c>
      <c r="B132" s="188">
        <f>IF(ISERROR(VLOOKUP(A132,'HRGs to TFCs'!A:G,5,FALSE)),0,VLOOKUP(A132,'HRGs to TFCs'!A:G,5,FALSE))</f>
        <v>0</v>
      </c>
      <c r="C132" s="188">
        <f>IF(ISERROR(VLOOKUP(A132,'HRGs to TFCs'!A:G,3,FALSE)),0,VLOOKUP(A132,'HRGs to TFCs'!A:G,3,FALSE))</f>
        <v>4</v>
      </c>
      <c r="D132" s="188">
        <f>IF(ISERROR(VLOOKUP(A132,'HRGs to TFCs'!A:G,4,FALSE)),0,VLOOKUP(A132,'HRGs to TFCs'!A:G,4,FALSE))</f>
        <v>0</v>
      </c>
      <c r="E132" s="188">
        <f>IF(ISERROR(VLOOKUP(A132,'HRGs to TFCs'!A:G,2,FALSE)),0,VLOOKUP(A132,'HRGs to TFCs'!A:G,2,FALSE))</f>
        <v>4</v>
      </c>
      <c r="F132" s="189">
        <f t="shared" si="9"/>
        <v>0</v>
      </c>
      <c r="G132" s="189">
        <f t="shared" si="10"/>
        <v>3.9029705899457133E-7</v>
      </c>
      <c r="H132" s="189">
        <f t="shared" si="11"/>
        <v>0</v>
      </c>
      <c r="I132" s="189">
        <f t="shared" si="12"/>
        <v>3.9029705899457133E-7</v>
      </c>
    </row>
    <row r="133" spans="1:9">
      <c r="A133" s="188">
        <v>712</v>
      </c>
      <c r="B133" s="188">
        <f>IF(ISERROR(VLOOKUP(A133,'HRGs to TFCs'!A:G,5,FALSE)),0,VLOOKUP(A133,'HRGs to TFCs'!A:G,5,FALSE))</f>
        <v>0</v>
      </c>
      <c r="C133" s="188">
        <f>IF(ISERROR(VLOOKUP(A133,'HRGs to TFCs'!A:G,3,FALSE)),0,VLOOKUP(A133,'HRGs to TFCs'!A:G,3,FALSE))</f>
        <v>1</v>
      </c>
      <c r="D133" s="188">
        <f>IF(ISERROR(VLOOKUP(A133,'HRGs to TFCs'!A:G,4,FALSE)),0,VLOOKUP(A133,'HRGs to TFCs'!A:G,4,FALSE))</f>
        <v>0</v>
      </c>
      <c r="E133" s="188">
        <f>IF(ISERROR(VLOOKUP(A133,'HRGs to TFCs'!A:G,2,FALSE)),0,VLOOKUP(A133,'HRGs to TFCs'!A:G,2,FALSE))</f>
        <v>0</v>
      </c>
      <c r="F133" s="189">
        <f t="shared" si="9"/>
        <v>0</v>
      </c>
      <c r="G133" s="189">
        <f t="shared" si="10"/>
        <v>9.7574264748642833E-8</v>
      </c>
      <c r="H133" s="189">
        <f t="shared" si="11"/>
        <v>0</v>
      </c>
      <c r="I133" s="189">
        <f t="shared" si="12"/>
        <v>0</v>
      </c>
    </row>
    <row r="134" spans="1:9">
      <c r="A134" s="188">
        <v>713</v>
      </c>
      <c r="B134" s="188">
        <f>IF(ISERROR(VLOOKUP(A134,'HRGs to TFCs'!A:G,5,FALSE)),0,VLOOKUP(A134,'HRGs to TFCs'!A:G,5,FALSE))</f>
        <v>0</v>
      </c>
      <c r="C134" s="188">
        <f>IF(ISERROR(VLOOKUP(A134,'HRGs to TFCs'!A:G,3,FALSE)),0,VLOOKUP(A134,'HRGs to TFCs'!A:G,3,FALSE))</f>
        <v>0</v>
      </c>
      <c r="D134" s="188">
        <f>IF(ISERROR(VLOOKUP(A134,'HRGs to TFCs'!A:G,4,FALSE)),0,VLOOKUP(A134,'HRGs to TFCs'!A:G,4,FALSE))</f>
        <v>0</v>
      </c>
      <c r="E134" s="188">
        <f>IF(ISERROR(VLOOKUP(A134,'HRGs to TFCs'!A:G,2,FALSE)),0,VLOOKUP(A134,'HRGs to TFCs'!A:G,2,FALSE))</f>
        <v>2</v>
      </c>
      <c r="F134" s="189">
        <f t="shared" si="9"/>
        <v>0</v>
      </c>
      <c r="G134" s="189">
        <f t="shared" si="10"/>
        <v>0</v>
      </c>
      <c r="H134" s="189">
        <f t="shared" si="11"/>
        <v>0</v>
      </c>
      <c r="I134" s="189">
        <f t="shared" si="12"/>
        <v>1.9514852949728567E-7</v>
      </c>
    </row>
    <row r="135" spans="1:9">
      <c r="A135" s="188">
        <v>715</v>
      </c>
      <c r="B135" s="188">
        <f>IF(ISERROR(VLOOKUP(A135,'HRGs to TFCs'!A:G,5,FALSE)),0,VLOOKUP(A135,'HRGs to TFCs'!A:G,5,FALSE))</f>
        <v>0</v>
      </c>
      <c r="C135" s="188">
        <f>IF(ISERROR(VLOOKUP(A135,'HRGs to TFCs'!A:G,3,FALSE)),0,VLOOKUP(A135,'HRGs to TFCs'!A:G,3,FALSE))</f>
        <v>0</v>
      </c>
      <c r="D135" s="188">
        <f>IF(ISERROR(VLOOKUP(A135,'HRGs to TFCs'!A:G,4,FALSE)),0,VLOOKUP(A135,'HRGs to TFCs'!A:G,4,FALSE))</f>
        <v>0</v>
      </c>
      <c r="E135" s="188">
        <f>IF(ISERROR(VLOOKUP(A135,'HRGs to TFCs'!A:G,2,FALSE)),0,VLOOKUP(A135,'HRGs to TFCs'!A:G,2,FALSE))</f>
        <v>0</v>
      </c>
      <c r="F135" s="189">
        <f t="shared" si="9"/>
        <v>0</v>
      </c>
      <c r="G135" s="189">
        <f t="shared" si="10"/>
        <v>0</v>
      </c>
      <c r="H135" s="189">
        <f t="shared" si="11"/>
        <v>0</v>
      </c>
      <c r="I135" s="189">
        <f t="shared" si="12"/>
        <v>0</v>
      </c>
    </row>
    <row r="136" spans="1:9">
      <c r="A136" s="188">
        <v>721</v>
      </c>
      <c r="B136" s="188">
        <f>IF(ISERROR(VLOOKUP(A136,'HRGs to TFCs'!A:G,5,FALSE)),0,VLOOKUP(A136,'HRGs to TFCs'!A:G,5,FALSE))</f>
        <v>0</v>
      </c>
      <c r="C136" s="188">
        <f>IF(ISERROR(VLOOKUP(A136,'HRGs to TFCs'!A:G,3,FALSE)),0,VLOOKUP(A136,'HRGs to TFCs'!A:G,3,FALSE))</f>
        <v>0</v>
      </c>
      <c r="D136" s="188">
        <f>IF(ISERROR(VLOOKUP(A136,'HRGs to TFCs'!A:G,4,FALSE)),0,VLOOKUP(A136,'HRGs to TFCs'!A:G,4,FALSE))</f>
        <v>0</v>
      </c>
      <c r="E136" s="188">
        <f>IF(ISERROR(VLOOKUP(A136,'HRGs to TFCs'!A:G,2,FALSE)),0,VLOOKUP(A136,'HRGs to TFCs'!A:G,2,FALSE))</f>
        <v>3</v>
      </c>
      <c r="F136" s="189">
        <f t="shared" si="9"/>
        <v>0</v>
      </c>
      <c r="G136" s="189">
        <f t="shared" si="10"/>
        <v>0</v>
      </c>
      <c r="H136" s="189">
        <f t="shared" si="11"/>
        <v>0</v>
      </c>
      <c r="I136" s="189">
        <f t="shared" si="12"/>
        <v>2.9272279424592851E-7</v>
      </c>
    </row>
    <row r="137" spans="1:9">
      <c r="A137" s="188">
        <v>722</v>
      </c>
      <c r="B137" s="188">
        <f>IF(ISERROR(VLOOKUP(A137,'HRGs to TFCs'!A:G,5,FALSE)),0,VLOOKUP(A137,'HRGs to TFCs'!A:G,5,FALSE))</f>
        <v>0</v>
      </c>
      <c r="C137" s="188">
        <f>IF(ISERROR(VLOOKUP(A137,'HRGs to TFCs'!A:G,3,FALSE)),0,VLOOKUP(A137,'HRGs to TFCs'!A:G,3,FALSE))</f>
        <v>0</v>
      </c>
      <c r="D137" s="188">
        <f>IF(ISERROR(VLOOKUP(A137,'HRGs to TFCs'!A:G,4,FALSE)),0,VLOOKUP(A137,'HRGs to TFCs'!A:G,4,FALSE))</f>
        <v>0</v>
      </c>
      <c r="E137" s="188">
        <f>IF(ISERROR(VLOOKUP(A137,'HRGs to TFCs'!A:G,2,FALSE)),0,VLOOKUP(A137,'HRGs to TFCs'!A:G,2,FALSE))</f>
        <v>77</v>
      </c>
      <c r="F137" s="189">
        <f t="shared" si="9"/>
        <v>0</v>
      </c>
      <c r="G137" s="189">
        <f t="shared" si="10"/>
        <v>0</v>
      </c>
      <c r="H137" s="189">
        <f t="shared" si="11"/>
        <v>0</v>
      </c>
      <c r="I137" s="189">
        <f t="shared" si="12"/>
        <v>7.5132183856454988E-6</v>
      </c>
    </row>
    <row r="138" spans="1:9">
      <c r="A138" s="188">
        <v>800</v>
      </c>
      <c r="B138" s="188">
        <f>IF(ISERROR(VLOOKUP(A138,'HRGs to TFCs'!A:G,5,FALSE)),0,VLOOKUP(A138,'HRGs to TFCs'!A:G,5,FALSE))</f>
        <v>169</v>
      </c>
      <c r="C138" s="188">
        <f>IF(ISERROR(VLOOKUP(A138,'HRGs to TFCs'!A:G,3,FALSE)),0,VLOOKUP(A138,'HRGs to TFCs'!A:G,3,FALSE))</f>
        <v>25461</v>
      </c>
      <c r="D138" s="188">
        <f>IF(ISERROR(VLOOKUP(A138,'HRGs to TFCs'!A:G,4,FALSE)),0,VLOOKUP(A138,'HRGs to TFCs'!A:G,4,FALSE))</f>
        <v>5807</v>
      </c>
      <c r="E138" s="188">
        <f>IF(ISERROR(VLOOKUP(A138,'HRGs to TFCs'!A:G,2,FALSE)),0,VLOOKUP(A138,'HRGs to TFCs'!A:G,2,FALSE))</f>
        <v>787840</v>
      </c>
      <c r="F138" s="189">
        <f t="shared" si="9"/>
        <v>1.6490050742520638E-5</v>
      </c>
      <c r="G138" s="189">
        <f t="shared" si="10"/>
        <v>2.4843383547651955E-3</v>
      </c>
      <c r="H138" s="189">
        <f t="shared" si="11"/>
        <v>5.6661375539536897E-4</v>
      </c>
      <c r="I138" s="189">
        <f t="shared" si="12"/>
        <v>7.6872908739570769E-2</v>
      </c>
    </row>
    <row r="139" spans="1:9">
      <c r="A139" s="188">
        <v>811</v>
      </c>
      <c r="B139" s="188">
        <f>IF(ISERROR(VLOOKUP(A139,'HRGs to TFCs'!A:G,5,FALSE)),0,VLOOKUP(A139,'HRGs to TFCs'!A:G,5,FALSE))</f>
        <v>175</v>
      </c>
      <c r="C139" s="188">
        <f>IF(ISERROR(VLOOKUP(A139,'HRGs to TFCs'!A:G,3,FALSE)),0,VLOOKUP(A139,'HRGs to TFCs'!A:G,3,FALSE))</f>
        <v>12381</v>
      </c>
      <c r="D139" s="188">
        <f>IF(ISERROR(VLOOKUP(A139,'HRGs to TFCs'!A:G,4,FALSE)),0,VLOOKUP(A139,'HRGs to TFCs'!A:G,4,FALSE))</f>
        <v>54</v>
      </c>
      <c r="E139" s="188">
        <f>IF(ISERROR(VLOOKUP(A139,'HRGs to TFCs'!A:G,2,FALSE)),0,VLOOKUP(A139,'HRGs to TFCs'!A:G,2,FALSE))</f>
        <v>2327</v>
      </c>
      <c r="F139" s="189">
        <f t="shared" ref="F139:F145" si="17">IF(ISERROR(B139/$E$4),0,B139/$E$4)</f>
        <v>1.7075496331012499E-5</v>
      </c>
      <c r="G139" s="189">
        <f t="shared" ref="G139:G145" si="18">IF(ISERROR(C139/$E$4),0,C139/$E$4)</f>
        <v>1.2080669718529469E-3</v>
      </c>
      <c r="H139" s="189">
        <f t="shared" ref="H139:H145" si="19">IF(ISERROR(D139/$E$4),0,D139/$E$4)</f>
        <v>5.2690102964267131E-6</v>
      </c>
      <c r="I139" s="189">
        <f t="shared" ref="I139:I145" si="20">IF(ISERROR(E139/$E$4),0,E139/$E$4)</f>
        <v>2.2705531407009189E-4</v>
      </c>
    </row>
    <row r="140" spans="1:9">
      <c r="A140" s="188">
        <v>812</v>
      </c>
      <c r="B140" s="188">
        <f>IF(ISERROR(VLOOKUP(A140,'HRGs to TFCs'!A:G,5,FALSE)),0,VLOOKUP(A140,'HRGs to TFCs'!A:G,5,FALSE))</f>
        <v>324</v>
      </c>
      <c r="C140" s="188">
        <f>IF(ISERROR(VLOOKUP(A140,'HRGs to TFCs'!A:G,3,FALSE)),0,VLOOKUP(A140,'HRGs to TFCs'!A:G,3,FALSE))</f>
        <v>86183</v>
      </c>
      <c r="D140" s="188">
        <f>IF(ISERROR(VLOOKUP(A140,'HRGs to TFCs'!A:G,4,FALSE)),0,VLOOKUP(A140,'HRGs to TFCs'!A:G,4,FALSE))</f>
        <v>1</v>
      </c>
      <c r="E140" s="188">
        <f>IF(ISERROR(VLOOKUP(A140,'HRGs to TFCs'!A:G,2,FALSE)),0,VLOOKUP(A140,'HRGs to TFCs'!A:G,2,FALSE))</f>
        <v>92204</v>
      </c>
      <c r="F140" s="189">
        <f t="shared" si="17"/>
        <v>3.161406177856028E-5</v>
      </c>
      <c r="G140" s="189">
        <f t="shared" si="18"/>
        <v>8.4092428588322856E-3</v>
      </c>
      <c r="H140" s="189">
        <f t="shared" si="19"/>
        <v>9.7574264748642833E-8</v>
      </c>
      <c r="I140" s="189">
        <f t="shared" si="20"/>
        <v>8.9967375068838642E-3</v>
      </c>
    </row>
    <row r="141" spans="1:9">
      <c r="A141" s="188">
        <v>822</v>
      </c>
      <c r="B141" s="188">
        <f>IF(ISERROR(VLOOKUP(A141,'HRGs to TFCs'!A:G,5,FALSE)),0,VLOOKUP(A141,'HRGs to TFCs'!A:G,5,FALSE))</f>
        <v>26</v>
      </c>
      <c r="C141" s="188">
        <f>IF(ISERROR(VLOOKUP(A141,'HRGs to TFCs'!A:G,3,FALSE)),0,VLOOKUP(A141,'HRGs to TFCs'!A:G,3,FALSE))</f>
        <v>76</v>
      </c>
      <c r="D141" s="188">
        <f>IF(ISERROR(VLOOKUP(A141,'HRGs to TFCs'!A:G,4,FALSE)),0,VLOOKUP(A141,'HRGs to TFCs'!A:G,4,FALSE))</f>
        <v>1</v>
      </c>
      <c r="E141" s="188">
        <f>IF(ISERROR(VLOOKUP(A141,'HRGs to TFCs'!A:G,2,FALSE)),0,VLOOKUP(A141,'HRGs to TFCs'!A:G,2,FALSE))</f>
        <v>96</v>
      </c>
      <c r="F141" s="189">
        <f t="shared" si="17"/>
        <v>2.5369308834647137E-6</v>
      </c>
      <c r="G141" s="189">
        <f t="shared" si="18"/>
        <v>7.415644120896856E-6</v>
      </c>
      <c r="H141" s="189">
        <f t="shared" si="19"/>
        <v>9.7574264748642833E-8</v>
      </c>
      <c r="I141" s="189">
        <f t="shared" si="20"/>
        <v>9.3671294158697124E-6</v>
      </c>
    </row>
    <row r="142" spans="1:9">
      <c r="A142" s="188">
        <v>834</v>
      </c>
      <c r="B142" s="188">
        <f>IF(ISERROR(VLOOKUP(A142,'HRGs to TFCs'!A:G,5,FALSE)),0,VLOOKUP(A142,'HRGs to TFCs'!A:G,5,FALSE))</f>
        <v>0</v>
      </c>
      <c r="C142" s="188">
        <f>IF(ISERROR(VLOOKUP(A142,'HRGs to TFCs'!A:G,3,FALSE)),0,VLOOKUP(A142,'HRGs to TFCs'!A:G,3,FALSE))</f>
        <v>0</v>
      </c>
      <c r="D142" s="188">
        <f>IF(ISERROR(VLOOKUP(A142,'HRGs to TFCs'!A:G,4,FALSE)),0,VLOOKUP(A142,'HRGs to TFCs'!A:G,4,FALSE))</f>
        <v>0</v>
      </c>
      <c r="E142" s="188">
        <f>IF(ISERROR(VLOOKUP(A142,'HRGs to TFCs'!A:G,2,FALSE)),0,VLOOKUP(A142,'HRGs to TFCs'!A:G,2,FALSE))</f>
        <v>1</v>
      </c>
      <c r="F142" s="189">
        <f t="shared" si="17"/>
        <v>0</v>
      </c>
      <c r="G142" s="189">
        <f t="shared" si="18"/>
        <v>0</v>
      </c>
      <c r="H142" s="189">
        <f t="shared" si="19"/>
        <v>0</v>
      </c>
      <c r="I142" s="189">
        <f t="shared" si="20"/>
        <v>9.7574264748642833E-8</v>
      </c>
    </row>
    <row r="143" spans="1:9">
      <c r="A143" s="188">
        <v>840</v>
      </c>
      <c r="B143" s="188">
        <f>IF(ISERROR(VLOOKUP(A143,'HRGs to TFCs'!A:G,5,FALSE)),0,VLOOKUP(A143,'HRGs to TFCs'!A:G,5,FALSE))</f>
        <v>8</v>
      </c>
      <c r="C143" s="188">
        <f>IF(ISERROR(VLOOKUP(A143,'HRGs to TFCs'!A:G,3,FALSE)),0,VLOOKUP(A143,'HRGs to TFCs'!A:G,3,FALSE))</f>
        <v>45061</v>
      </c>
      <c r="D143" s="188">
        <f>IF(ISERROR(VLOOKUP(A143,'HRGs to TFCs'!A:G,4,FALSE)),0,VLOOKUP(A143,'HRGs to TFCs'!A:G,4,FALSE))</f>
        <v>20</v>
      </c>
      <c r="E143" s="188">
        <f>IF(ISERROR(VLOOKUP(A143,'HRGs to TFCs'!A:G,2,FALSE)),0,VLOOKUP(A143,'HRGs to TFCs'!A:G,2,FALSE))</f>
        <v>45206</v>
      </c>
      <c r="F143" s="189">
        <f t="shared" si="17"/>
        <v>7.8059411798914267E-7</v>
      </c>
      <c r="G143" s="189">
        <f t="shared" si="18"/>
        <v>4.3967939438385954E-3</v>
      </c>
      <c r="H143" s="189">
        <f t="shared" si="19"/>
        <v>1.9514852949728568E-6</v>
      </c>
      <c r="I143" s="189">
        <f t="shared" si="20"/>
        <v>4.4109422122271483E-3</v>
      </c>
    </row>
    <row r="144" spans="1:9">
      <c r="A144" s="188">
        <v>920</v>
      </c>
      <c r="B144" s="188">
        <f>IF(ISERROR(VLOOKUP(A144,'HRGs to TFCs'!A:G,5,FALSE)),0,VLOOKUP(A144,'HRGs to TFCs'!A:G,5,FALSE))</f>
        <v>0</v>
      </c>
      <c r="C144" s="188">
        <f>IF(ISERROR(VLOOKUP(A144,'HRGs to TFCs'!A:G,3,FALSE)),0,VLOOKUP(A144,'HRGs to TFCs'!A:G,3,FALSE))</f>
        <v>0</v>
      </c>
      <c r="D144" s="188">
        <f>IF(ISERROR(VLOOKUP(A144,'HRGs to TFCs'!A:G,4,FALSE)),0,VLOOKUP(A144,'HRGs to TFCs'!A:G,4,FALSE))</f>
        <v>0</v>
      </c>
      <c r="E144" s="188">
        <f>IF(ISERROR(VLOOKUP(A144,'HRGs to TFCs'!A:G,2,FALSE)),0,VLOOKUP(A144,'HRGs to TFCs'!A:G,2,FALSE))</f>
        <v>0</v>
      </c>
      <c r="F144" s="189">
        <f t="shared" si="17"/>
        <v>0</v>
      </c>
      <c r="G144" s="189">
        <f t="shared" si="18"/>
        <v>0</v>
      </c>
      <c r="H144" s="189">
        <f t="shared" si="19"/>
        <v>0</v>
      </c>
      <c r="I144" s="189">
        <f t="shared" si="20"/>
        <v>0</v>
      </c>
    </row>
    <row r="145" spans="1:9">
      <c r="A145" s="188">
        <v>999</v>
      </c>
      <c r="B145" s="188">
        <f>IF(ISERROR(VLOOKUP(A145,'HRGs to TFCs'!A:G,5,FALSE)),0,VLOOKUP(A145,'HRGs to TFCs'!A:G,5,FALSE))</f>
        <v>0</v>
      </c>
      <c r="C145" s="188">
        <f>IF(ISERROR(VLOOKUP(A145,'HRGs to TFCs'!A:G,3,FALSE)),0,VLOOKUP(A145,'HRGs to TFCs'!A:G,3,FALSE))</f>
        <v>0</v>
      </c>
      <c r="D145" s="188">
        <f>IF(ISERROR(VLOOKUP(A145,'HRGs to TFCs'!A:G,4,FALSE)),0,VLOOKUP(A145,'HRGs to TFCs'!A:G,4,FALSE))</f>
        <v>0</v>
      </c>
      <c r="E145" s="188">
        <f>IF(ISERROR(VLOOKUP(A145,'HRGs to TFCs'!A:G,2,FALSE)),0,VLOOKUP(A145,'HRGs to TFCs'!A:G,2,FALSE))</f>
        <v>0</v>
      </c>
      <c r="F145" s="189">
        <f t="shared" si="17"/>
        <v>0</v>
      </c>
      <c r="G145" s="189">
        <f t="shared" si="18"/>
        <v>0</v>
      </c>
      <c r="H145" s="189">
        <f t="shared" si="19"/>
        <v>0</v>
      </c>
      <c r="I145" s="189">
        <f t="shared" si="20"/>
        <v>0</v>
      </c>
    </row>
  </sheetData>
  <mergeCells count="2">
    <mergeCell ref="B6:E6"/>
    <mergeCell ref="F6:I6"/>
  </mergeCells>
  <hyperlinks>
    <hyperlink ref="A4"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249977111117893"/>
  </sheetPr>
  <dimension ref="A1:AT144"/>
  <sheetViews>
    <sheetView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ols>
    <col min="1" max="1" width="12.7109375" style="128" customWidth="1"/>
    <col min="2" max="2" width="9.28515625" style="128" bestFit="1" customWidth="1"/>
    <col min="3" max="3" width="10.28515625" style="128" bestFit="1" customWidth="1"/>
    <col min="4" max="4" width="9.28515625" style="128" bestFit="1" customWidth="1"/>
    <col min="5" max="6" width="10.28515625" style="128" bestFit="1" customWidth="1"/>
    <col min="7" max="7" width="12.140625" style="128" customWidth="1"/>
    <col min="8" max="8" width="11.42578125" style="128" bestFit="1" customWidth="1"/>
    <col min="9" max="9" width="13" style="128" customWidth="1"/>
    <col min="10" max="17" width="9.140625" style="128"/>
    <col min="18" max="18" width="12.140625" style="128" bestFit="1" customWidth="1"/>
    <col min="19" max="25" width="9.140625" style="128"/>
    <col min="26" max="26" width="13.28515625" style="128" bestFit="1" customWidth="1"/>
    <col min="27" max="27" width="12.140625" style="128" customWidth="1"/>
    <col min="28" max="28" width="9.85546875" style="128" customWidth="1"/>
    <col min="29" max="29" width="13.28515625" style="128" customWidth="1"/>
    <col min="30" max="30" width="9.85546875" style="128" customWidth="1"/>
    <col min="31" max="31" width="11.42578125" style="128" customWidth="1"/>
    <col min="32" max="32" width="10.140625" style="128" customWidth="1"/>
    <col min="33" max="33" width="11.42578125" style="128" customWidth="1"/>
    <col min="34" max="34" width="11.85546875" style="128" customWidth="1"/>
    <col min="35" max="35" width="13.85546875" style="128" customWidth="1"/>
    <col min="36" max="36" width="12.28515625" style="128" customWidth="1"/>
    <col min="37" max="37" width="14.7109375" style="128" customWidth="1"/>
    <col min="38" max="16384" width="9.140625" style="128"/>
  </cols>
  <sheetData>
    <row r="1" spans="1:46">
      <c r="A1" s="128">
        <v>1</v>
      </c>
      <c r="B1" s="128">
        <f>A1+1</f>
        <v>2</v>
      </c>
      <c r="C1" s="128">
        <f t="shared" ref="C1:AS1" si="0">B1+1</f>
        <v>3</v>
      </c>
      <c r="D1" s="128">
        <f t="shared" si="0"/>
        <v>4</v>
      </c>
      <c r="E1" s="128">
        <f t="shared" si="0"/>
        <v>5</v>
      </c>
      <c r="F1" s="128">
        <f t="shared" si="0"/>
        <v>6</v>
      </c>
      <c r="G1" s="128">
        <f t="shared" si="0"/>
        <v>7</v>
      </c>
      <c r="H1" s="128">
        <f t="shared" si="0"/>
        <v>8</v>
      </c>
      <c r="I1" s="128">
        <f t="shared" si="0"/>
        <v>9</v>
      </c>
      <c r="J1" s="128">
        <f t="shared" si="0"/>
        <v>10</v>
      </c>
      <c r="K1" s="128">
        <f t="shared" si="0"/>
        <v>11</v>
      </c>
      <c r="L1" s="128">
        <f t="shared" si="0"/>
        <v>12</v>
      </c>
      <c r="M1" s="128">
        <f t="shared" si="0"/>
        <v>13</v>
      </c>
      <c r="N1" s="128">
        <f t="shared" si="0"/>
        <v>14</v>
      </c>
      <c r="O1" s="128">
        <f t="shared" si="0"/>
        <v>15</v>
      </c>
      <c r="P1" s="128">
        <f t="shared" si="0"/>
        <v>16</v>
      </c>
      <c r="Q1" s="128">
        <f t="shared" si="0"/>
        <v>17</v>
      </c>
      <c r="R1" s="128">
        <f t="shared" si="0"/>
        <v>18</v>
      </c>
      <c r="S1" s="128">
        <f t="shared" si="0"/>
        <v>19</v>
      </c>
      <c r="T1" s="128">
        <f t="shared" si="0"/>
        <v>20</v>
      </c>
      <c r="U1" s="128">
        <f t="shared" si="0"/>
        <v>21</v>
      </c>
      <c r="V1" s="128">
        <f t="shared" si="0"/>
        <v>22</v>
      </c>
      <c r="W1" s="128">
        <f t="shared" si="0"/>
        <v>23</v>
      </c>
      <c r="X1" s="128">
        <f t="shared" si="0"/>
        <v>24</v>
      </c>
      <c r="Y1" s="128">
        <f t="shared" si="0"/>
        <v>25</v>
      </c>
      <c r="Z1" s="128">
        <f t="shared" si="0"/>
        <v>26</v>
      </c>
      <c r="AA1" s="128">
        <f t="shared" si="0"/>
        <v>27</v>
      </c>
      <c r="AB1" s="128">
        <f t="shared" si="0"/>
        <v>28</v>
      </c>
      <c r="AC1" s="128">
        <f t="shared" si="0"/>
        <v>29</v>
      </c>
      <c r="AD1" s="128">
        <f t="shared" si="0"/>
        <v>30</v>
      </c>
      <c r="AE1" s="128">
        <f t="shared" si="0"/>
        <v>31</v>
      </c>
      <c r="AF1" s="128">
        <f t="shared" si="0"/>
        <v>32</v>
      </c>
      <c r="AG1" s="128">
        <f t="shared" si="0"/>
        <v>33</v>
      </c>
      <c r="AH1" s="128">
        <f t="shared" si="0"/>
        <v>34</v>
      </c>
      <c r="AI1" s="128">
        <f t="shared" si="0"/>
        <v>35</v>
      </c>
      <c r="AJ1" s="128">
        <f t="shared" si="0"/>
        <v>36</v>
      </c>
      <c r="AK1" s="128">
        <f t="shared" si="0"/>
        <v>37</v>
      </c>
      <c r="AL1" s="128">
        <f t="shared" si="0"/>
        <v>38</v>
      </c>
      <c r="AM1" s="128">
        <f t="shared" si="0"/>
        <v>39</v>
      </c>
      <c r="AN1" s="128">
        <f t="shared" si="0"/>
        <v>40</v>
      </c>
      <c r="AO1" s="128">
        <f t="shared" si="0"/>
        <v>41</v>
      </c>
      <c r="AP1" s="128">
        <f t="shared" si="0"/>
        <v>42</v>
      </c>
      <c r="AQ1" s="128">
        <f t="shared" si="0"/>
        <v>43</v>
      </c>
      <c r="AR1" s="128">
        <f t="shared" si="0"/>
        <v>44</v>
      </c>
      <c r="AS1" s="128">
        <f t="shared" si="0"/>
        <v>45</v>
      </c>
    </row>
    <row r="2" spans="1:46" ht="15.75" thickBot="1">
      <c r="A2" s="480" t="s">
        <v>545</v>
      </c>
      <c r="R2" s="128" t="s">
        <v>227</v>
      </c>
      <c r="Z2" s="128" t="s">
        <v>231</v>
      </c>
    </row>
    <row r="3" spans="1:46" ht="13.5" thickBot="1">
      <c r="R3" s="190">
        <f>SUM('Non-mandatory OPROC HRGs'!V:V)</f>
        <v>1349444</v>
      </c>
      <c r="Z3" s="191">
        <f>SUM('Non-mandatory OPROC HRGs'!W:W)</f>
        <v>157701129.24840811</v>
      </c>
      <c r="AC3" s="192">
        <f>SUM(Z8:AC144)</f>
        <v>157701129.24840814</v>
      </c>
      <c r="AD3" s="193">
        <f t="shared" ref="AD3:AK3" si="1">SUM(AD8:AD144)</f>
        <v>498905</v>
      </c>
      <c r="AE3" s="194">
        <f t="shared" si="1"/>
        <v>17288154</v>
      </c>
      <c r="AF3" s="194">
        <f t="shared" si="1"/>
        <v>1099627</v>
      </c>
      <c r="AG3" s="195">
        <f t="shared" si="1"/>
        <v>34606580</v>
      </c>
      <c r="AH3" s="193">
        <f t="shared" si="1"/>
        <v>84759619.109151036</v>
      </c>
      <c r="AI3" s="194">
        <f t="shared" si="1"/>
        <v>2331374614.41043</v>
      </c>
      <c r="AJ3" s="194">
        <f t="shared" si="1"/>
        <v>160026520.78556919</v>
      </c>
      <c r="AK3" s="195">
        <f t="shared" si="1"/>
        <v>3566593475.4930921</v>
      </c>
    </row>
    <row r="4" spans="1:46" ht="13.5" thickBot="1">
      <c r="R4" s="149"/>
      <c r="Z4" s="149"/>
    </row>
    <row r="5" spans="1:46" ht="15.75" customHeight="1" thickBot="1">
      <c r="A5" s="217"/>
      <c r="B5" s="588" t="s">
        <v>228</v>
      </c>
      <c r="C5" s="588"/>
      <c r="D5" s="588"/>
      <c r="E5" s="588"/>
      <c r="F5" s="588"/>
      <c r="G5" s="588"/>
      <c r="H5" s="588"/>
      <c r="I5" s="588"/>
      <c r="J5" s="588"/>
      <c r="K5" s="588"/>
      <c r="L5" s="588"/>
      <c r="M5" s="588"/>
      <c r="N5" s="587" t="s">
        <v>229</v>
      </c>
      <c r="O5" s="587"/>
      <c r="P5" s="587"/>
      <c r="Q5" s="587"/>
      <c r="R5" s="587"/>
      <c r="S5" s="587"/>
      <c r="T5" s="587"/>
      <c r="U5" s="587"/>
      <c r="V5" s="587" t="s">
        <v>230</v>
      </c>
      <c r="W5" s="587"/>
      <c r="X5" s="587"/>
      <c r="Y5" s="587"/>
      <c r="Z5" s="587"/>
      <c r="AA5" s="587"/>
      <c r="AB5" s="587"/>
      <c r="AC5" s="587"/>
      <c r="AD5" s="587" t="s">
        <v>232</v>
      </c>
      <c r="AE5" s="587"/>
      <c r="AF5" s="587"/>
      <c r="AG5" s="587"/>
      <c r="AH5" s="587"/>
      <c r="AI5" s="587"/>
      <c r="AJ5" s="587"/>
      <c r="AK5" s="587"/>
      <c r="AL5" s="587"/>
      <c r="AM5" s="587"/>
      <c r="AN5" s="587"/>
      <c r="AO5" s="587"/>
      <c r="AP5" s="581"/>
      <c r="AQ5" s="582"/>
      <c r="AR5" s="582"/>
      <c r="AS5" s="582"/>
      <c r="AT5" s="217"/>
    </row>
    <row r="6" spans="1:46" ht="13.5" thickBot="1">
      <c r="A6" s="229"/>
      <c r="B6" s="585" t="s">
        <v>210</v>
      </c>
      <c r="C6" s="585"/>
      <c r="D6" s="585"/>
      <c r="E6" s="585"/>
      <c r="F6" s="585" t="s">
        <v>211</v>
      </c>
      <c r="G6" s="585"/>
      <c r="H6" s="585"/>
      <c r="I6" s="585"/>
      <c r="J6" s="585" t="s">
        <v>206</v>
      </c>
      <c r="K6" s="585"/>
      <c r="L6" s="585"/>
      <c r="M6" s="585"/>
      <c r="N6" s="586" t="s">
        <v>209</v>
      </c>
      <c r="O6" s="586"/>
      <c r="P6" s="586"/>
      <c r="Q6" s="586"/>
      <c r="R6" s="586" t="s">
        <v>207</v>
      </c>
      <c r="S6" s="586"/>
      <c r="T6" s="586"/>
      <c r="U6" s="586"/>
      <c r="V6" s="586" t="s">
        <v>209</v>
      </c>
      <c r="W6" s="586"/>
      <c r="X6" s="586"/>
      <c r="Y6" s="586"/>
      <c r="Z6" s="586" t="s">
        <v>207</v>
      </c>
      <c r="AA6" s="586"/>
      <c r="AB6" s="586"/>
      <c r="AC6" s="586"/>
      <c r="AD6" s="583" t="s">
        <v>65</v>
      </c>
      <c r="AE6" s="583"/>
      <c r="AF6" s="583"/>
      <c r="AG6" s="583"/>
      <c r="AH6" s="583" t="s">
        <v>212</v>
      </c>
      <c r="AI6" s="583"/>
      <c r="AJ6" s="583"/>
      <c r="AK6" s="583"/>
      <c r="AL6" s="583" t="s">
        <v>206</v>
      </c>
      <c r="AM6" s="583"/>
      <c r="AN6" s="583"/>
      <c r="AO6" s="583"/>
      <c r="AP6" s="583" t="s">
        <v>213</v>
      </c>
      <c r="AQ6" s="583"/>
      <c r="AR6" s="583"/>
      <c r="AS6" s="584"/>
      <c r="AT6" s="217"/>
    </row>
    <row r="7" spans="1:46" ht="13.5" thickBot="1">
      <c r="A7" s="229" t="s">
        <v>0</v>
      </c>
      <c r="B7" s="218" t="s">
        <v>66</v>
      </c>
      <c r="C7" s="218" t="s">
        <v>67</v>
      </c>
      <c r="D7" s="218" t="s">
        <v>68</v>
      </c>
      <c r="E7" s="218" t="s">
        <v>69</v>
      </c>
      <c r="F7" s="218" t="s">
        <v>66</v>
      </c>
      <c r="G7" s="218" t="s">
        <v>67</v>
      </c>
      <c r="H7" s="218" t="s">
        <v>68</v>
      </c>
      <c r="I7" s="218" t="s">
        <v>69</v>
      </c>
      <c r="J7" s="218" t="s">
        <v>66</v>
      </c>
      <c r="K7" s="218" t="s">
        <v>67</v>
      </c>
      <c r="L7" s="218" t="s">
        <v>68</v>
      </c>
      <c r="M7" s="218" t="s">
        <v>69</v>
      </c>
      <c r="N7" s="219" t="s">
        <v>66</v>
      </c>
      <c r="O7" s="219" t="s">
        <v>67</v>
      </c>
      <c r="P7" s="219" t="s">
        <v>68</v>
      </c>
      <c r="Q7" s="219" t="s">
        <v>69</v>
      </c>
      <c r="R7" s="219" t="s">
        <v>66</v>
      </c>
      <c r="S7" s="219" t="s">
        <v>67</v>
      </c>
      <c r="T7" s="219" t="s">
        <v>68</v>
      </c>
      <c r="U7" s="219" t="s">
        <v>69</v>
      </c>
      <c r="V7" s="219" t="s">
        <v>66</v>
      </c>
      <c r="W7" s="219" t="s">
        <v>67</v>
      </c>
      <c r="X7" s="219" t="s">
        <v>68</v>
      </c>
      <c r="Y7" s="219" t="s">
        <v>69</v>
      </c>
      <c r="Z7" s="219" t="s">
        <v>66</v>
      </c>
      <c r="AA7" s="219" t="s">
        <v>67</v>
      </c>
      <c r="AB7" s="219" t="s">
        <v>68</v>
      </c>
      <c r="AC7" s="219" t="s">
        <v>69</v>
      </c>
      <c r="AD7" s="220" t="s">
        <v>66</v>
      </c>
      <c r="AE7" s="220" t="s">
        <v>67</v>
      </c>
      <c r="AF7" s="220" t="s">
        <v>68</v>
      </c>
      <c r="AG7" s="220" t="s">
        <v>69</v>
      </c>
      <c r="AH7" s="220" t="s">
        <v>66</v>
      </c>
      <c r="AI7" s="220" t="s">
        <v>67</v>
      </c>
      <c r="AJ7" s="220" t="s">
        <v>68</v>
      </c>
      <c r="AK7" s="220" t="s">
        <v>69</v>
      </c>
      <c r="AL7" s="220" t="s">
        <v>66</v>
      </c>
      <c r="AM7" s="220" t="s">
        <v>67</v>
      </c>
      <c r="AN7" s="220" t="s">
        <v>68</v>
      </c>
      <c r="AO7" s="220" t="s">
        <v>69</v>
      </c>
      <c r="AP7" s="220" t="s">
        <v>66</v>
      </c>
      <c r="AQ7" s="220" t="s">
        <v>67</v>
      </c>
      <c r="AR7" s="220" t="s">
        <v>68</v>
      </c>
      <c r="AS7" s="221" t="s">
        <v>69</v>
      </c>
      <c r="AT7" s="220" t="s">
        <v>233</v>
      </c>
    </row>
    <row r="8" spans="1:46">
      <c r="A8" s="230">
        <f>'201314 RC list'!A2</f>
        <v>100</v>
      </c>
      <c r="B8" s="199">
        <f>VLOOKUP(A8,OPATT_Activities!A:J,3,FALSE)</f>
        <v>9261</v>
      </c>
      <c r="C8" s="200">
        <f>VLOOKUP(A8,OPATT_Activities!A:J,4,FALSE)</f>
        <v>647396</v>
      </c>
      <c r="D8" s="200">
        <f>VLOOKUP(A8,OPATT_Activities!A:J,5,FALSE)</f>
        <v>12255</v>
      </c>
      <c r="E8" s="201">
        <f>VLOOKUP(A8,OPATT_Activities!A:J,6,FALSE)</f>
        <v>901270</v>
      </c>
      <c r="F8" s="199">
        <f>VLOOKUP(A8,OPATT_Cost_Quantum!A:F,2,FALSE)</f>
        <v>1580546.1530217</v>
      </c>
      <c r="G8" s="200">
        <f>VLOOKUP(A8,OPATT_Cost_Quantum!A:F,3,FALSE)</f>
        <v>89679165.940354303</v>
      </c>
      <c r="H8" s="200">
        <f>VLOOKUP(A8,OPATT_Cost_Quantum!A:F,4,FALSE)</f>
        <v>1977444.39587564</v>
      </c>
      <c r="I8" s="201">
        <f>VLOOKUP(A8,OPATT_Cost_Quantum!A:F,5,FALSE)</f>
        <v>93448329.584113702</v>
      </c>
      <c r="J8" s="202">
        <f>IF(B8=0,0,F8/B8)</f>
        <v>170.66689914930353</v>
      </c>
      <c r="K8" s="203">
        <f t="shared" ref="K8:M23" si="2">IF(C8=0,0,G8/C8)</f>
        <v>138.52289161557115</v>
      </c>
      <c r="L8" s="203">
        <f t="shared" si="2"/>
        <v>161.35817183807751</v>
      </c>
      <c r="M8" s="204">
        <f t="shared" si="2"/>
        <v>103.68516602584542</v>
      </c>
      <c r="N8" s="205">
        <f>IF(ISERROR(VLOOKUP($A8,'HRGs to TFCs % Split'!$A$8:$I$145,6,0)),0,VLOOKUP($A8,'HRGs to TFCs % Split'!$A$8:$I$145,6,0))</f>
        <v>2.3261704716076454E-4</v>
      </c>
      <c r="O8" s="206">
        <f>IF(ISERROR(VLOOKUP($A8,'HRGs to TFCs % Split'!$A$8:$I$145,6,0)),0,VLOOKUP($A8,'HRGs to TFCs % Split'!$A$8:$I$145,7,0))</f>
        <v>7.4638458076826857E-3</v>
      </c>
      <c r="P8" s="206">
        <f>IF(ISERROR(VLOOKUP($A8,'HRGs to TFCs % Split'!$A$8:$I$145,6,0)),0,VLOOKUP($A8,'HRGs to TFCs % Split'!$A$8:$I$145,8,0))</f>
        <v>1.8031724125549197E-4</v>
      </c>
      <c r="Q8" s="207">
        <f>IF(ISERROR(VLOOKUP($A8,'HRGs to TFCs % Split'!$A$8:$I$145,6,0)),0,VLOOKUP($A8,'HRGs to TFCs % Split'!$A$8:$I$145,9,0))</f>
        <v>5.5135314038868124E-3</v>
      </c>
      <c r="R8" s="208">
        <f t="shared" ref="R8:R39" si="3">ROUND(N8*$R$3,0)</f>
        <v>314</v>
      </c>
      <c r="S8" s="209">
        <f t="shared" ref="S8:S39" si="4">ROUND(O8*$R$3,0)</f>
        <v>10072</v>
      </c>
      <c r="T8" s="209">
        <f t="shared" ref="T8:T39" si="5">ROUND(P8*$R$3,0)</f>
        <v>243</v>
      </c>
      <c r="U8" s="210">
        <f t="shared" ref="U8:U39" si="6">ROUND(Q8*$R$3,0)</f>
        <v>7440</v>
      </c>
      <c r="V8" s="205">
        <f>IF(ISERROR(VLOOKUP($A8,'HRGs to TFCs % Split'!$A$8:$I$145,6,0)),0,VLOOKUP($A8,'HRGs to TFCs % Split'!$A$8:$I$145,6,0))</f>
        <v>2.3261704716076454E-4</v>
      </c>
      <c r="W8" s="206">
        <f>IF(ISERROR(VLOOKUP($A8,'HRGs to TFCs % Split'!$A$8:$I$145,6,0)),0,VLOOKUP($A8,'HRGs to TFCs % Split'!$A$8:$I$145,7,0))</f>
        <v>7.4638458076826857E-3</v>
      </c>
      <c r="X8" s="206">
        <f>IF(ISERROR(VLOOKUP($A8,'HRGs to TFCs % Split'!$A$8:$I$145,6,0)),0,VLOOKUP($A8,'HRGs to TFCs % Split'!$A$8:$I$145,8,0))</f>
        <v>1.8031724125549197E-4</v>
      </c>
      <c r="Y8" s="207">
        <f>IF(ISERROR(VLOOKUP($A8,'HRGs to TFCs % Split'!$A$8:$I$145,6,0)),0,VLOOKUP($A8,'HRGs to TFCs % Split'!$A$8:$I$145,9,0))</f>
        <v>5.5135314038868124E-3</v>
      </c>
      <c r="Z8" s="208">
        <f>V8*$Z$3</f>
        <v>36683.971019682773</v>
      </c>
      <c r="AA8" s="209">
        <f>W8*$Z$3</f>
        <v>1177056.9124075563</v>
      </c>
      <c r="AB8" s="209">
        <f t="shared" ref="AB8:AC8" si="7">X8*$Z$3</f>
        <v>28436.232568948726</v>
      </c>
      <c r="AC8" s="210">
        <f t="shared" si="7"/>
        <v>869490.12853951124</v>
      </c>
      <c r="AD8" s="211">
        <f>B8+R8</f>
        <v>9575</v>
      </c>
      <c r="AE8" s="212">
        <f>C8+S8</f>
        <v>657468</v>
      </c>
      <c r="AF8" s="212">
        <f t="shared" ref="AF8:AG8" si="8">D8+T8</f>
        <v>12498</v>
      </c>
      <c r="AG8" s="213">
        <f t="shared" si="8"/>
        <v>908710</v>
      </c>
      <c r="AH8" s="211">
        <f>F8+Z8</f>
        <v>1617230.1240413827</v>
      </c>
      <c r="AI8" s="212">
        <f>G8+AA8</f>
        <v>90856222.852761865</v>
      </c>
      <c r="AJ8" s="212">
        <f t="shared" ref="AJ8:AK8" si="9">H8+AB8</f>
        <v>2005880.6284445887</v>
      </c>
      <c r="AK8" s="213">
        <f t="shared" si="9"/>
        <v>94317819.71265322</v>
      </c>
      <c r="AL8" s="214">
        <f>IF(AD8=0,0,AH8/AD8)</f>
        <v>168.9013184377423</v>
      </c>
      <c r="AM8" s="215">
        <f t="shared" ref="AM8:AO8" si="10">IF(AE8=0,0,AI8/AE8)</f>
        <v>138.19109500806405</v>
      </c>
      <c r="AN8" s="215">
        <f t="shared" si="10"/>
        <v>160.49612965631212</v>
      </c>
      <c r="AO8" s="216">
        <f t="shared" si="10"/>
        <v>103.79309098904295</v>
      </c>
      <c r="AP8" s="196">
        <f>IF(J8=0,0,AL8/J8-1)</f>
        <v>-1.0345185389561973E-2</v>
      </c>
      <c r="AQ8" s="197">
        <f t="shared" ref="AQ8:AS8" si="11">IF(K8=0,0,AM8/K8-1)</f>
        <v>-2.3952474831950843E-3</v>
      </c>
      <c r="AR8" s="197">
        <f t="shared" si="11"/>
        <v>-5.3424141581774887E-3</v>
      </c>
      <c r="AS8" s="198">
        <f t="shared" si="11"/>
        <v>1.0408910679724492E-3</v>
      </c>
      <c r="AT8" s="216">
        <f>IF(ISERROR(VLOOKUP(A8,Mandatory!A:A,1,FALSE)),0,1)</f>
        <v>1</v>
      </c>
    </row>
    <row r="9" spans="1:46">
      <c r="A9" s="231">
        <v>101</v>
      </c>
      <c r="B9" s="222">
        <f>VLOOKUP(A9,OPATT_Activities!A:J,3,FALSE)</f>
        <v>6220</v>
      </c>
      <c r="C9" s="222">
        <f>VLOOKUP(A9,OPATT_Activities!A:J,4,FALSE)</f>
        <v>534811</v>
      </c>
      <c r="D9" s="222">
        <f>VLOOKUP(A9,OPATT_Activities!A:J,5,FALSE)</f>
        <v>19872</v>
      </c>
      <c r="E9" s="222">
        <f>VLOOKUP(A9,OPATT_Activities!A:J,6,FALSE)</f>
        <v>1056079</v>
      </c>
      <c r="F9" s="222">
        <f>VLOOKUP(A9,OPATT_Cost_Quantum!A:F,2,FALSE)</f>
        <v>1010761.59256453</v>
      </c>
      <c r="G9" s="222">
        <f>VLOOKUP(A9,OPATT_Cost_Quantum!A:F,3,FALSE)</f>
        <v>58070868.8323621</v>
      </c>
      <c r="H9" s="222">
        <f>VLOOKUP(A9,OPATT_Cost_Quantum!A:F,4,FALSE)</f>
        <v>2779826.9018954001</v>
      </c>
      <c r="I9" s="222">
        <f>VLOOKUP(A9,OPATT_Cost_Quantum!A:F,5,FALSE)</f>
        <v>89511107.3195474</v>
      </c>
      <c r="J9" s="223">
        <f t="shared" ref="J9:M73" si="12">IF(B9=0,0,F9/B9)</f>
        <v>162.50186375635531</v>
      </c>
      <c r="K9" s="223">
        <f t="shared" si="2"/>
        <v>108.58203894901582</v>
      </c>
      <c r="L9" s="223">
        <f t="shared" si="2"/>
        <v>139.8866194593096</v>
      </c>
      <c r="M9" s="223">
        <f t="shared" si="2"/>
        <v>84.757965379055349</v>
      </c>
      <c r="N9" s="224">
        <f>IF(ISERROR(VLOOKUP($A9,'HRGs to TFCs % Split'!$A$8:$I$145,6,0)),0,VLOOKUP($A9,'HRGs to TFCs % Split'!$A$8:$I$145,6,0))</f>
        <v>4.3469334945520386E-4</v>
      </c>
      <c r="O9" s="224">
        <f>IF(ISERROR(VLOOKUP($A9,'HRGs to TFCs % Split'!$A$8:$I$145,6,0)),0,VLOOKUP($A9,'HRGs to TFCs % Split'!$A$8:$I$145,7,0))</f>
        <v>1.23948588510201E-2</v>
      </c>
      <c r="P9" s="224">
        <f>IF(ISERROR(VLOOKUP($A9,'HRGs to TFCs % Split'!$A$8:$I$145,6,0)),0,VLOOKUP($A9,'HRGs to TFCs % Split'!$A$8:$I$145,8,0))</f>
        <v>4.0112780238167069E-4</v>
      </c>
      <c r="Q9" s="224">
        <f>IF(ISERROR(VLOOKUP($A9,'HRGs to TFCs % Split'!$A$8:$I$145,6,0)),0,VLOOKUP($A9,'HRGs to TFCs % Split'!$A$8:$I$145,9,0))</f>
        <v>2.7116473619236338E-2</v>
      </c>
      <c r="R9" s="225">
        <f t="shared" si="3"/>
        <v>587</v>
      </c>
      <c r="S9" s="225">
        <f t="shared" si="4"/>
        <v>16726</v>
      </c>
      <c r="T9" s="225">
        <f t="shared" si="5"/>
        <v>541</v>
      </c>
      <c r="U9" s="225">
        <f t="shared" si="6"/>
        <v>36592</v>
      </c>
      <c r="V9" s="224">
        <f>IF(ISERROR(VLOOKUP($A9,'HRGs to TFCs % Split'!$A$8:$I$145,6,0)),0,VLOOKUP($A9,'HRGs to TFCs % Split'!$A$8:$I$145,6,0))</f>
        <v>4.3469334945520386E-4</v>
      </c>
      <c r="W9" s="224">
        <f>IF(ISERROR(VLOOKUP($A9,'HRGs to TFCs % Split'!$A$8:$I$145,6,0)),0,VLOOKUP($A9,'HRGs to TFCs % Split'!$A$8:$I$145,7,0))</f>
        <v>1.23948588510201E-2</v>
      </c>
      <c r="X9" s="224">
        <f>IF(ISERROR(VLOOKUP($A9,'HRGs to TFCs % Split'!$A$8:$I$145,6,0)),0,VLOOKUP($A9,'HRGs to TFCs % Split'!$A$8:$I$145,8,0))</f>
        <v>4.0112780238167069E-4</v>
      </c>
      <c r="Y9" s="224">
        <f>IF(ISERROR(VLOOKUP($A9,'HRGs to TFCs % Split'!$A$8:$I$145,6,0)),0,VLOOKUP($A9,'HRGs to TFCs % Split'!$A$8:$I$145,9,0))</f>
        <v>2.7116473619236338E-2</v>
      </c>
      <c r="Z9" s="225">
        <f t="shared" ref="Z9:Z74" si="13">V9*$Z$3</f>
        <v>68551.632085858539</v>
      </c>
      <c r="AA9" s="225">
        <f t="shared" ref="AA9:AA74" si="14">W9*$Z$3</f>
        <v>1954683.2376804959</v>
      </c>
      <c r="AB9" s="225">
        <f t="shared" ref="AB9:AB74" si="15">X9*$Z$3</f>
        <v>63258.307408521752</v>
      </c>
      <c r="AC9" s="225">
        <f t="shared" ref="AC9:AC74" si="16">Y9*$Z$3</f>
        <v>4276298.5109882383</v>
      </c>
      <c r="AD9" s="226">
        <f t="shared" ref="AD9:AD73" si="17">B9+R9</f>
        <v>6807</v>
      </c>
      <c r="AE9" s="226">
        <f t="shared" ref="AE9:AE73" si="18">C9+S9</f>
        <v>551537</v>
      </c>
      <c r="AF9" s="226">
        <f t="shared" ref="AF9:AF73" si="19">D9+T9</f>
        <v>20413</v>
      </c>
      <c r="AG9" s="226">
        <f t="shared" ref="AG9:AG73" si="20">E9+U9</f>
        <v>1092671</v>
      </c>
      <c r="AH9" s="226">
        <f t="shared" ref="AH9:AH73" si="21">F9+Z9</f>
        <v>1079313.2246503886</v>
      </c>
      <c r="AI9" s="226">
        <f t="shared" ref="AI9:AI73" si="22">G9+AA9</f>
        <v>60025552.070042595</v>
      </c>
      <c r="AJ9" s="226">
        <f t="shared" ref="AJ9:AJ73" si="23">H9+AB9</f>
        <v>2843085.209303922</v>
      </c>
      <c r="AK9" s="226">
        <f t="shared" ref="AK9:AK73" si="24">I9+AC9</f>
        <v>93787405.830535635</v>
      </c>
      <c r="AL9" s="227">
        <f t="shared" ref="AL9:AL73" si="25">IF(AD9=0,0,AH9/AD9)</f>
        <v>158.55931021748032</v>
      </c>
      <c r="AM9" s="227">
        <f t="shared" ref="AM9:AM73" si="26">IF(AE9=0,0,AI9/AE9)</f>
        <v>108.8332279974736</v>
      </c>
      <c r="AN9" s="227">
        <f t="shared" ref="AN9:AN73" si="27">IF(AF9=0,0,AJ9/AF9)</f>
        <v>139.27816633047186</v>
      </c>
      <c r="AO9" s="227">
        <f t="shared" ref="AO9:AO73" si="28">IF(AG9=0,0,AK9/AG9)</f>
        <v>85.833160970260607</v>
      </c>
      <c r="AP9" s="228">
        <f t="shared" ref="AP9:AP74" si="29">IF(J9=0,0,AL9/J9-1)</f>
        <v>-2.426158966881875E-2</v>
      </c>
      <c r="AQ9" s="228">
        <f t="shared" ref="AQ9:AQ74" si="30">IF(K9=0,0,AM9/K9-1)</f>
        <v>2.3133572632183519E-3</v>
      </c>
      <c r="AR9" s="228">
        <f t="shared" ref="AR9:AR74" si="31">IF(L9=0,0,AN9/L9-1)</f>
        <v>-4.3496163620905248E-3</v>
      </c>
      <c r="AS9" s="228">
        <f t="shared" ref="AS9:AS74" si="32">IF(M9=0,0,AO9/M9-1)</f>
        <v>1.268548137507497E-2</v>
      </c>
      <c r="AT9" s="227">
        <f>IF(ISERROR(VLOOKUP(A9,Mandatory!A:A,1,FALSE)),0,1)</f>
        <v>1</v>
      </c>
    </row>
    <row r="10" spans="1:46">
      <c r="A10" s="231">
        <v>102</v>
      </c>
      <c r="B10" s="222">
        <f>VLOOKUP(A10,OPATT_Activities!A:J,3,FALSE)</f>
        <v>598</v>
      </c>
      <c r="C10" s="222">
        <f>VLOOKUP(A10,OPATT_Activities!A:J,4,FALSE)</f>
        <v>5040</v>
      </c>
      <c r="D10" s="222">
        <f>VLOOKUP(A10,OPATT_Activities!A:J,5,FALSE)</f>
        <v>6621</v>
      </c>
      <c r="E10" s="222">
        <f>VLOOKUP(A10,OPATT_Activities!A:J,6,FALSE)</f>
        <v>65898</v>
      </c>
      <c r="F10" s="222">
        <f>VLOOKUP(A10,OPATT_Cost_Quantum!A:F,2,FALSE)</f>
        <v>199352.85329392299</v>
      </c>
      <c r="G10" s="222">
        <f>VLOOKUP(A10,OPATT_Cost_Quantum!A:F,3,FALSE)</f>
        <v>1437576.0651274601</v>
      </c>
      <c r="H10" s="222">
        <f>VLOOKUP(A10,OPATT_Cost_Quantum!A:F,4,FALSE)</f>
        <v>1990393.6614350299</v>
      </c>
      <c r="I10" s="222">
        <f>VLOOKUP(A10,OPATT_Cost_Quantum!A:F,5,FALSE)</f>
        <v>15414937.280124599</v>
      </c>
      <c r="J10" s="223">
        <f t="shared" si="12"/>
        <v>333.36597540789796</v>
      </c>
      <c r="K10" s="223">
        <f t="shared" si="2"/>
        <v>285.2333462554484</v>
      </c>
      <c r="L10" s="223">
        <f t="shared" si="2"/>
        <v>300.61828446383174</v>
      </c>
      <c r="M10" s="223">
        <f t="shared" si="2"/>
        <v>233.92117029537465</v>
      </c>
      <c r="N10" s="224">
        <f>IF(ISERROR(VLOOKUP($A10,'HRGs to TFCs % Split'!$A$8:$I$145,6,0)),0,VLOOKUP($A10,'HRGs to TFCs % Split'!$A$8:$I$145,6,0))</f>
        <v>7.0253470619022847E-6</v>
      </c>
      <c r="O10" s="224">
        <f>IF(ISERROR(VLOOKUP($A10,'HRGs to TFCs % Split'!$A$8:$I$145,6,0)),0,VLOOKUP($A10,'HRGs to TFCs % Split'!$A$8:$I$145,7,0))</f>
        <v>7.1131639001760624E-5</v>
      </c>
      <c r="P10" s="224">
        <f>IF(ISERROR(VLOOKUP($A10,'HRGs to TFCs % Split'!$A$8:$I$145,6,0)),0,VLOOKUP($A10,'HRGs to TFCs % Split'!$A$8:$I$145,8,0))</f>
        <v>4.595747869661078E-5</v>
      </c>
      <c r="Q10" s="224">
        <f>IF(ISERROR(VLOOKUP($A10,'HRGs to TFCs % Split'!$A$8:$I$145,6,0)),0,VLOOKUP($A10,'HRGs to TFCs % Split'!$A$8:$I$145,9,0))</f>
        <v>7.7073911724952974E-4</v>
      </c>
      <c r="R10" s="225">
        <f t="shared" si="3"/>
        <v>9</v>
      </c>
      <c r="S10" s="225">
        <f t="shared" si="4"/>
        <v>96</v>
      </c>
      <c r="T10" s="225">
        <f t="shared" si="5"/>
        <v>62</v>
      </c>
      <c r="U10" s="225">
        <f t="shared" si="6"/>
        <v>1040</v>
      </c>
      <c r="V10" s="224">
        <f>IF(ISERROR(VLOOKUP($A10,'HRGs to TFCs % Split'!$A$8:$I$145,6,0)),0,VLOOKUP($A10,'HRGs to TFCs % Split'!$A$8:$I$145,6,0))</f>
        <v>7.0253470619022847E-6</v>
      </c>
      <c r="W10" s="224">
        <f>IF(ISERROR(VLOOKUP($A10,'HRGs to TFCs % Split'!$A$8:$I$145,6,0)),0,VLOOKUP($A10,'HRGs to TFCs % Split'!$A$8:$I$145,7,0))</f>
        <v>7.1131639001760624E-5</v>
      </c>
      <c r="X10" s="224">
        <f>IF(ISERROR(VLOOKUP($A10,'HRGs to TFCs % Split'!$A$8:$I$145,6,0)),0,VLOOKUP($A10,'HRGs to TFCs % Split'!$A$8:$I$145,8,0))</f>
        <v>4.595747869661078E-5</v>
      </c>
      <c r="Y10" s="224">
        <f>IF(ISERROR(VLOOKUP($A10,'HRGs to TFCs % Split'!$A$8:$I$145,6,0)),0,VLOOKUP($A10,'HRGs to TFCs % Split'!$A$8:$I$145,9,0))</f>
        <v>7.7073911724952974E-4</v>
      </c>
      <c r="Z10" s="225">
        <f t="shared" si="13"/>
        <v>1107.9051650239765</v>
      </c>
      <c r="AA10" s="225">
        <f t="shared" si="14"/>
        <v>11217.539795867759</v>
      </c>
      <c r="AB10" s="225">
        <f t="shared" si="15"/>
        <v>7247.5462878651788</v>
      </c>
      <c r="AC10" s="225">
        <f t="shared" si="16"/>
        <v>121546.42914617206</v>
      </c>
      <c r="AD10" s="226">
        <f t="shared" si="17"/>
        <v>607</v>
      </c>
      <c r="AE10" s="226">
        <f t="shared" si="18"/>
        <v>5136</v>
      </c>
      <c r="AF10" s="226">
        <f t="shared" si="19"/>
        <v>6683</v>
      </c>
      <c r="AG10" s="226">
        <f t="shared" si="20"/>
        <v>66938</v>
      </c>
      <c r="AH10" s="226">
        <f t="shared" si="21"/>
        <v>200460.75845894698</v>
      </c>
      <c r="AI10" s="226">
        <f t="shared" si="22"/>
        <v>1448793.6049233279</v>
      </c>
      <c r="AJ10" s="226">
        <f t="shared" si="23"/>
        <v>1997641.2077228951</v>
      </c>
      <c r="AK10" s="226">
        <f t="shared" si="24"/>
        <v>15536483.709270772</v>
      </c>
      <c r="AL10" s="227">
        <f t="shared" si="25"/>
        <v>330.24836648920427</v>
      </c>
      <c r="AM10" s="227">
        <f t="shared" si="26"/>
        <v>282.08598226700309</v>
      </c>
      <c r="AN10" s="227">
        <f t="shared" si="27"/>
        <v>298.91384224493419</v>
      </c>
      <c r="AO10" s="227">
        <f t="shared" si="28"/>
        <v>232.10259806493727</v>
      </c>
      <c r="AP10" s="228">
        <f t="shared" si="29"/>
        <v>-9.3519109587565374E-3</v>
      </c>
      <c r="AQ10" s="228">
        <f t="shared" si="30"/>
        <v>-1.1034347946213163E-2</v>
      </c>
      <c r="AR10" s="228">
        <f t="shared" si="31"/>
        <v>-5.6697889216469344E-3</v>
      </c>
      <c r="AS10" s="228">
        <f t="shared" si="32"/>
        <v>-7.7742951958604811E-3</v>
      </c>
      <c r="AT10" s="227">
        <f>IF(ISERROR(VLOOKUP(A10,Mandatory!A:A,1,FALSE)),0,1)</f>
        <v>0</v>
      </c>
    </row>
    <row r="11" spans="1:46">
      <c r="A11" s="231">
        <v>103</v>
      </c>
      <c r="B11" s="222">
        <f>VLOOKUP(A11,OPATT_Activities!A:J,3,FALSE)</f>
        <v>58202</v>
      </c>
      <c r="C11" s="222">
        <f>VLOOKUP(A11,OPATT_Activities!A:J,4,FALSE)</f>
        <v>345359</v>
      </c>
      <c r="D11" s="222">
        <f>VLOOKUP(A11,OPATT_Activities!A:J,5,FALSE)</f>
        <v>37356</v>
      </c>
      <c r="E11" s="222">
        <f>VLOOKUP(A11,OPATT_Activities!A:J,6,FALSE)</f>
        <v>443918</v>
      </c>
      <c r="F11" s="222">
        <f>VLOOKUP(A11,OPATT_Cost_Quantum!A:F,2,FALSE)</f>
        <v>10161845.0937695</v>
      </c>
      <c r="G11" s="222">
        <f>VLOOKUP(A11,OPATT_Cost_Quantum!A:F,3,FALSE)</f>
        <v>53735266.902591899</v>
      </c>
      <c r="H11" s="222">
        <f>VLOOKUP(A11,OPATT_Cost_Quantum!A:F,4,FALSE)</f>
        <v>4998521.7825533599</v>
      </c>
      <c r="I11" s="222">
        <f>VLOOKUP(A11,OPATT_Cost_Quantum!A:F,5,FALSE)</f>
        <v>48750722.210839897</v>
      </c>
      <c r="J11" s="223">
        <f t="shared" si="12"/>
        <v>174.59614950980207</v>
      </c>
      <c r="K11" s="223">
        <f t="shared" si="2"/>
        <v>155.59249043051403</v>
      </c>
      <c r="L11" s="223">
        <f t="shared" si="2"/>
        <v>133.80773590730698</v>
      </c>
      <c r="M11" s="223">
        <f t="shared" si="2"/>
        <v>109.81920582368792</v>
      </c>
      <c r="N11" s="224">
        <f>IF(ISERROR(VLOOKUP($A11,'HRGs to TFCs % Split'!$A$8:$I$145,6,0)),0,VLOOKUP($A11,'HRGs to TFCs % Split'!$A$8:$I$145,6,0))</f>
        <v>1.1388868181461593E-3</v>
      </c>
      <c r="O11" s="224">
        <f>IF(ISERROR(VLOOKUP($A11,'HRGs to TFCs % Split'!$A$8:$I$145,6,0)),0,VLOOKUP($A11,'HRGs to TFCs % Split'!$A$8:$I$145,7,0))</f>
        <v>4.3173684923331996E-3</v>
      </c>
      <c r="P11" s="224">
        <f>IF(ISERROR(VLOOKUP($A11,'HRGs to TFCs % Split'!$A$8:$I$145,6,0)),0,VLOOKUP($A11,'HRGs to TFCs % Split'!$A$8:$I$145,8,0))</f>
        <v>4.621117178495725E-4</v>
      </c>
      <c r="Q11" s="224">
        <f>IF(ISERROR(VLOOKUP($A11,'HRGs to TFCs % Split'!$A$8:$I$145,6,0)),0,VLOOKUP($A11,'HRGs to TFCs % Split'!$A$8:$I$145,9,0))</f>
        <v>4.1579321437339176E-3</v>
      </c>
      <c r="R11" s="225">
        <f t="shared" si="3"/>
        <v>1537</v>
      </c>
      <c r="S11" s="225">
        <f t="shared" si="4"/>
        <v>5826</v>
      </c>
      <c r="T11" s="225">
        <f t="shared" si="5"/>
        <v>624</v>
      </c>
      <c r="U11" s="225">
        <f t="shared" si="6"/>
        <v>5611</v>
      </c>
      <c r="V11" s="224">
        <f>IF(ISERROR(VLOOKUP($A11,'HRGs to TFCs % Split'!$A$8:$I$145,6,0)),0,VLOOKUP($A11,'HRGs to TFCs % Split'!$A$8:$I$145,6,0))</f>
        <v>1.1388868181461593E-3</v>
      </c>
      <c r="W11" s="224">
        <f>IF(ISERROR(VLOOKUP($A11,'HRGs to TFCs % Split'!$A$8:$I$145,6,0)),0,VLOOKUP($A11,'HRGs to TFCs % Split'!$A$8:$I$145,7,0))</f>
        <v>4.3173684923331996E-3</v>
      </c>
      <c r="X11" s="224">
        <f>IF(ISERROR(VLOOKUP($A11,'HRGs to TFCs % Split'!$A$8:$I$145,6,0)),0,VLOOKUP($A11,'HRGs to TFCs % Split'!$A$8:$I$145,8,0))</f>
        <v>4.621117178495725E-4</v>
      </c>
      <c r="Y11" s="224">
        <f>IF(ISERROR(VLOOKUP($A11,'HRGs to TFCs % Split'!$A$8:$I$145,6,0)),0,VLOOKUP($A11,'HRGs to TFCs % Split'!$A$8:$I$145,9,0))</f>
        <v>4.1579321437339176E-3</v>
      </c>
      <c r="Z11" s="225">
        <f t="shared" si="13"/>
        <v>179603.73730777574</v>
      </c>
      <c r="AA11" s="225">
        <f t="shared" si="14"/>
        <v>680853.88662244275</v>
      </c>
      <c r="AB11" s="225">
        <f t="shared" si="15"/>
        <v>72875.539743799338</v>
      </c>
      <c r="AC11" s="225">
        <f t="shared" si="16"/>
        <v>655710.59440509311</v>
      </c>
      <c r="AD11" s="226">
        <f t="shared" si="17"/>
        <v>59739</v>
      </c>
      <c r="AE11" s="226">
        <f t="shared" si="18"/>
        <v>351185</v>
      </c>
      <c r="AF11" s="226">
        <f t="shared" si="19"/>
        <v>37980</v>
      </c>
      <c r="AG11" s="226">
        <f t="shared" si="20"/>
        <v>449529</v>
      </c>
      <c r="AH11" s="226">
        <f t="shared" si="21"/>
        <v>10341448.831077276</v>
      </c>
      <c r="AI11" s="226">
        <f t="shared" si="22"/>
        <v>54416120.789214343</v>
      </c>
      <c r="AJ11" s="226">
        <f t="shared" si="23"/>
        <v>5071397.3222971596</v>
      </c>
      <c r="AK11" s="226">
        <f t="shared" si="24"/>
        <v>49406432.80524499</v>
      </c>
      <c r="AL11" s="227">
        <f t="shared" si="25"/>
        <v>173.11051124185667</v>
      </c>
      <c r="AM11" s="227">
        <f t="shared" si="26"/>
        <v>154.95001434917307</v>
      </c>
      <c r="AN11" s="227">
        <f t="shared" si="27"/>
        <v>133.52810221951447</v>
      </c>
      <c r="AO11" s="227">
        <f t="shared" si="28"/>
        <v>109.90710900797276</v>
      </c>
      <c r="AP11" s="228">
        <f t="shared" si="29"/>
        <v>-8.5089978909415054E-3</v>
      </c>
      <c r="AQ11" s="228">
        <f t="shared" si="30"/>
        <v>-4.1292229436219463E-3</v>
      </c>
      <c r="AR11" s="228">
        <f t="shared" si="31"/>
        <v>-2.0898170490398771E-3</v>
      </c>
      <c r="AS11" s="228">
        <f t="shared" si="32"/>
        <v>8.0043543955299334E-4</v>
      </c>
      <c r="AT11" s="227">
        <f>IF(ISERROR(VLOOKUP(A11,Mandatory!A:A,1,FALSE)),0,1)</f>
        <v>1</v>
      </c>
    </row>
    <row r="12" spans="1:46">
      <c r="A12" s="231">
        <v>104</v>
      </c>
      <c r="B12" s="222">
        <f>VLOOKUP(A12,OPATT_Activities!A:J,3,FALSE)</f>
        <v>2978</v>
      </c>
      <c r="C12" s="222">
        <f>VLOOKUP(A12,OPATT_Activities!A:J,4,FALSE)</f>
        <v>186860</v>
      </c>
      <c r="D12" s="222">
        <f>VLOOKUP(A12,OPATT_Activities!A:J,5,FALSE)</f>
        <v>9130</v>
      </c>
      <c r="E12" s="222">
        <f>VLOOKUP(A12,OPATT_Activities!A:J,6,FALSE)</f>
        <v>258551</v>
      </c>
      <c r="F12" s="222">
        <f>VLOOKUP(A12,OPATT_Cost_Quantum!A:F,2,FALSE)</f>
        <v>505204.12679365103</v>
      </c>
      <c r="G12" s="222">
        <f>VLOOKUP(A12,OPATT_Cost_Quantum!A:F,3,FALSE)</f>
        <v>22288612.325441498</v>
      </c>
      <c r="H12" s="222">
        <f>VLOOKUP(A12,OPATT_Cost_Quantum!A:F,4,FALSE)</f>
        <v>2279267.6781477202</v>
      </c>
      <c r="I12" s="222">
        <f>VLOOKUP(A12,OPATT_Cost_Quantum!A:F,5,FALSE)</f>
        <v>25067338.345950201</v>
      </c>
      <c r="J12" s="223">
        <f t="shared" si="12"/>
        <v>169.64544217382505</v>
      </c>
      <c r="K12" s="223">
        <f t="shared" si="2"/>
        <v>119.2797405835465</v>
      </c>
      <c r="L12" s="223">
        <f t="shared" si="2"/>
        <v>249.64596693841403</v>
      </c>
      <c r="M12" s="223">
        <f t="shared" si="2"/>
        <v>96.953167251142716</v>
      </c>
      <c r="N12" s="224">
        <f>IF(ISERROR(VLOOKUP($A12,'HRGs to TFCs % Split'!$A$8:$I$145,6,0)),0,VLOOKUP($A12,'HRGs to TFCs % Split'!$A$8:$I$145,6,0))</f>
        <v>5.9227578702426204E-5</v>
      </c>
      <c r="O12" s="224">
        <f>IF(ISERROR(VLOOKUP($A12,'HRGs to TFCs % Split'!$A$8:$I$145,6,0)),0,VLOOKUP($A12,'HRGs to TFCs % Split'!$A$8:$I$145,7,0))</f>
        <v>6.0686313960418414E-3</v>
      </c>
      <c r="P12" s="224">
        <f>IF(ISERROR(VLOOKUP($A12,'HRGs to TFCs % Split'!$A$8:$I$145,6,0)),0,VLOOKUP($A12,'HRGs to TFCs % Split'!$A$8:$I$145,8,0))</f>
        <v>7.6888520621930562E-5</v>
      </c>
      <c r="Q12" s="224">
        <f>IF(ISERROR(VLOOKUP($A12,'HRGs to TFCs % Split'!$A$8:$I$145,6,0)),0,VLOOKUP($A12,'HRGs to TFCs % Split'!$A$8:$I$145,9,0))</f>
        <v>1.8464953861033172E-3</v>
      </c>
      <c r="R12" s="225">
        <f t="shared" si="3"/>
        <v>80</v>
      </c>
      <c r="S12" s="225">
        <f t="shared" si="4"/>
        <v>8189</v>
      </c>
      <c r="T12" s="225">
        <f t="shared" si="5"/>
        <v>104</v>
      </c>
      <c r="U12" s="225">
        <f t="shared" si="6"/>
        <v>2492</v>
      </c>
      <c r="V12" s="224">
        <f>IF(ISERROR(VLOOKUP($A12,'HRGs to TFCs % Split'!$A$8:$I$145,6,0)),0,VLOOKUP($A12,'HRGs to TFCs % Split'!$A$8:$I$145,6,0))</f>
        <v>5.9227578702426204E-5</v>
      </c>
      <c r="W12" s="224">
        <f>IF(ISERROR(VLOOKUP($A12,'HRGs to TFCs % Split'!$A$8:$I$145,6,0)),0,VLOOKUP($A12,'HRGs to TFCs % Split'!$A$8:$I$145,7,0))</f>
        <v>6.0686313960418414E-3</v>
      </c>
      <c r="X12" s="224">
        <f>IF(ISERROR(VLOOKUP($A12,'HRGs to TFCs % Split'!$A$8:$I$145,6,0)),0,VLOOKUP($A12,'HRGs to TFCs % Split'!$A$8:$I$145,8,0))</f>
        <v>7.6888520621930562E-5</v>
      </c>
      <c r="Y12" s="224">
        <f>IF(ISERROR(VLOOKUP($A12,'HRGs to TFCs % Split'!$A$8:$I$145,6,0)),0,VLOOKUP($A12,'HRGs to TFCs % Split'!$A$8:$I$145,9,0))</f>
        <v>1.8464953861033172E-3</v>
      </c>
      <c r="Z12" s="225">
        <f t="shared" si="13"/>
        <v>9340.2560440215784</v>
      </c>
      <c r="AA12" s="225">
        <f t="shared" si="14"/>
        <v>957030.02414814173</v>
      </c>
      <c r="AB12" s="225">
        <f t="shared" si="15"/>
        <v>12125.406528317964</v>
      </c>
      <c r="AC12" s="225">
        <f t="shared" si="16"/>
        <v>291194.40754046844</v>
      </c>
      <c r="AD12" s="226">
        <f t="shared" si="17"/>
        <v>3058</v>
      </c>
      <c r="AE12" s="226">
        <f t="shared" si="18"/>
        <v>195049</v>
      </c>
      <c r="AF12" s="226">
        <f t="shared" si="19"/>
        <v>9234</v>
      </c>
      <c r="AG12" s="226">
        <f t="shared" si="20"/>
        <v>261043</v>
      </c>
      <c r="AH12" s="226">
        <f t="shared" si="21"/>
        <v>514544.3828376726</v>
      </c>
      <c r="AI12" s="226">
        <f t="shared" si="22"/>
        <v>23245642.349589638</v>
      </c>
      <c r="AJ12" s="226">
        <f t="shared" si="23"/>
        <v>2291393.084676038</v>
      </c>
      <c r="AK12" s="226">
        <f t="shared" si="24"/>
        <v>25358532.753490668</v>
      </c>
      <c r="AL12" s="227">
        <f t="shared" si="25"/>
        <v>168.26173408687791</v>
      </c>
      <c r="AM12" s="227">
        <f t="shared" si="26"/>
        <v>119.17847489394786</v>
      </c>
      <c r="AN12" s="227">
        <f t="shared" si="27"/>
        <v>248.14739925016656</v>
      </c>
      <c r="AO12" s="227">
        <f t="shared" si="28"/>
        <v>97.143124900842651</v>
      </c>
      <c r="AP12" s="228">
        <f t="shared" si="29"/>
        <v>-8.1564707499146571E-3</v>
      </c>
      <c r="AQ12" s="228">
        <f t="shared" si="30"/>
        <v>-8.4897644061943112E-4</v>
      </c>
      <c r="AR12" s="228">
        <f t="shared" si="31"/>
        <v>-6.0027714712377334E-3</v>
      </c>
      <c r="AS12" s="228">
        <f t="shared" si="32"/>
        <v>1.9592722454118139E-3</v>
      </c>
      <c r="AT12" s="227">
        <f>IF(ISERROR(VLOOKUP(A12,Mandatory!A:A,1,FALSE)),0,1)</f>
        <v>1</v>
      </c>
    </row>
    <row r="13" spans="1:46">
      <c r="A13" s="231">
        <v>105</v>
      </c>
      <c r="B13" s="222">
        <f>VLOOKUP(A13,OPATT_Activities!A:J,3,FALSE)</f>
        <v>1594</v>
      </c>
      <c r="C13" s="222">
        <f>VLOOKUP(A13,OPATT_Activities!A:J,4,FALSE)</f>
        <v>12384</v>
      </c>
      <c r="D13" s="222">
        <f>VLOOKUP(A13,OPATT_Activities!A:J,5,FALSE)</f>
        <v>4031</v>
      </c>
      <c r="E13" s="222">
        <f>VLOOKUP(A13,OPATT_Activities!A:J,6,FALSE)</f>
        <v>28741</v>
      </c>
      <c r="F13" s="222">
        <f>VLOOKUP(A13,OPATT_Cost_Quantum!A:F,2,FALSE)</f>
        <v>330465.78388202097</v>
      </c>
      <c r="G13" s="222">
        <f>VLOOKUP(A13,OPATT_Cost_Quantum!A:F,3,FALSE)</f>
        <v>1795253.1515367599</v>
      </c>
      <c r="H13" s="222">
        <f>VLOOKUP(A13,OPATT_Cost_Quantum!A:F,4,FALSE)</f>
        <v>821407.25521621597</v>
      </c>
      <c r="I13" s="222">
        <f>VLOOKUP(A13,OPATT_Cost_Quantum!A:F,5,FALSE)</f>
        <v>3773115.4212746201</v>
      </c>
      <c r="J13" s="223">
        <f t="shared" si="12"/>
        <v>207.31855952447989</v>
      </c>
      <c r="K13" s="223">
        <f t="shared" si="2"/>
        <v>144.96553226233527</v>
      </c>
      <c r="L13" s="223">
        <f t="shared" si="2"/>
        <v>203.77257633743884</v>
      </c>
      <c r="M13" s="223">
        <f t="shared" si="2"/>
        <v>131.27989357623673</v>
      </c>
      <c r="N13" s="224">
        <f>IF(ISERROR(VLOOKUP($A13,'HRGs to TFCs % Split'!$A$8:$I$145,6,0)),0,VLOOKUP($A13,'HRGs to TFCs % Split'!$A$8:$I$145,6,0))</f>
        <v>7.8059411798914267E-7</v>
      </c>
      <c r="O13" s="224">
        <f>IF(ISERROR(VLOOKUP($A13,'HRGs to TFCs % Split'!$A$8:$I$145,6,0)),0,VLOOKUP($A13,'HRGs to TFCs % Split'!$A$8:$I$145,7,0))</f>
        <v>4.0005448546943565E-6</v>
      </c>
      <c r="P13" s="224">
        <f>IF(ISERROR(VLOOKUP($A13,'HRGs to TFCs % Split'!$A$8:$I$145,6,0)),0,VLOOKUP($A13,'HRGs to TFCs % Split'!$A$8:$I$145,8,0))</f>
        <v>4.2152082371413705E-5</v>
      </c>
      <c r="Q13" s="224">
        <f>IF(ISERROR(VLOOKUP($A13,'HRGs to TFCs % Split'!$A$8:$I$145,6,0)),0,VLOOKUP($A13,'HRGs to TFCs % Split'!$A$8:$I$145,9,0))</f>
        <v>4.3127825018900137E-5</v>
      </c>
      <c r="R13" s="225">
        <f t="shared" si="3"/>
        <v>1</v>
      </c>
      <c r="S13" s="225">
        <f t="shared" si="4"/>
        <v>5</v>
      </c>
      <c r="T13" s="225">
        <f t="shared" si="5"/>
        <v>57</v>
      </c>
      <c r="U13" s="225">
        <f t="shared" si="6"/>
        <v>58</v>
      </c>
      <c r="V13" s="224">
        <f>IF(ISERROR(VLOOKUP($A13,'HRGs to TFCs % Split'!$A$8:$I$145,6,0)),0,VLOOKUP($A13,'HRGs to TFCs % Split'!$A$8:$I$145,6,0))</f>
        <v>7.8059411798914267E-7</v>
      </c>
      <c r="W13" s="224">
        <f>IF(ISERROR(VLOOKUP($A13,'HRGs to TFCs % Split'!$A$8:$I$145,6,0)),0,VLOOKUP($A13,'HRGs to TFCs % Split'!$A$8:$I$145,7,0))</f>
        <v>4.0005448546943565E-6</v>
      </c>
      <c r="X13" s="224">
        <f>IF(ISERROR(VLOOKUP($A13,'HRGs to TFCs % Split'!$A$8:$I$145,6,0)),0,VLOOKUP($A13,'HRGs to TFCs % Split'!$A$8:$I$145,8,0))</f>
        <v>4.2152082371413705E-5</v>
      </c>
      <c r="Y13" s="224">
        <f>IF(ISERROR(VLOOKUP($A13,'HRGs to TFCs % Split'!$A$8:$I$145,6,0)),0,VLOOKUP($A13,'HRGs to TFCs % Split'!$A$8:$I$145,9,0))</f>
        <v>4.3127825018900137E-5</v>
      </c>
      <c r="Z13" s="225">
        <f t="shared" si="13"/>
        <v>123.10057389155291</v>
      </c>
      <c r="AA13" s="225">
        <f t="shared" si="14"/>
        <v>630.89044119420873</v>
      </c>
      <c r="AB13" s="225">
        <f t="shared" si="15"/>
        <v>6647.4309901438573</v>
      </c>
      <c r="AC13" s="225">
        <f t="shared" si="16"/>
        <v>6801.306707508299</v>
      </c>
      <c r="AD13" s="226">
        <f t="shared" si="17"/>
        <v>1595</v>
      </c>
      <c r="AE13" s="226">
        <f t="shared" si="18"/>
        <v>12389</v>
      </c>
      <c r="AF13" s="226">
        <f t="shared" si="19"/>
        <v>4088</v>
      </c>
      <c r="AG13" s="226">
        <f t="shared" si="20"/>
        <v>28799</v>
      </c>
      <c r="AH13" s="226">
        <f t="shared" si="21"/>
        <v>330588.88445591251</v>
      </c>
      <c r="AI13" s="226">
        <f t="shared" si="22"/>
        <v>1795884.0419779541</v>
      </c>
      <c r="AJ13" s="226">
        <f t="shared" si="23"/>
        <v>828054.68620635988</v>
      </c>
      <c r="AK13" s="226">
        <f t="shared" si="24"/>
        <v>3779916.7279821285</v>
      </c>
      <c r="AL13" s="227">
        <f t="shared" si="25"/>
        <v>207.26575827956898</v>
      </c>
      <c r="AM13" s="227">
        <f t="shared" si="26"/>
        <v>144.9579499538263</v>
      </c>
      <c r="AN13" s="227">
        <f t="shared" si="27"/>
        <v>202.55740856319957</v>
      </c>
      <c r="AO13" s="227">
        <f t="shared" si="28"/>
        <v>131.25166596000307</v>
      </c>
      <c r="AP13" s="228">
        <f t="shared" si="29"/>
        <v>-2.5468653183791101E-4</v>
      </c>
      <c r="AQ13" s="228">
        <f t="shared" si="30"/>
        <v>-5.2304215979126489E-5</v>
      </c>
      <c r="AR13" s="228">
        <f t="shared" si="31"/>
        <v>-5.9633528518920897E-3</v>
      </c>
      <c r="AS13" s="228">
        <f t="shared" si="32"/>
        <v>-2.1501857949990377E-4</v>
      </c>
      <c r="AT13" s="227">
        <f>IF(ISERROR(VLOOKUP(A13,Mandatory!A:A,1,FALSE)),0,1)</f>
        <v>1</v>
      </c>
    </row>
    <row r="14" spans="1:46">
      <c r="A14" s="231">
        <v>106</v>
      </c>
      <c r="B14" s="222">
        <f>VLOOKUP(A14,OPATT_Activities!A:J,3,FALSE)</f>
        <v>868</v>
      </c>
      <c r="C14" s="222">
        <f>VLOOKUP(A14,OPATT_Activities!A:J,4,FALSE)</f>
        <v>56651</v>
      </c>
      <c r="D14" s="222">
        <f>VLOOKUP(A14,OPATT_Activities!A:J,5,FALSE)</f>
        <v>2021</v>
      </c>
      <c r="E14" s="222">
        <f>VLOOKUP(A14,OPATT_Activities!A:J,6,FALSE)</f>
        <v>71292</v>
      </c>
      <c r="F14" s="222">
        <f>VLOOKUP(A14,OPATT_Cost_Quantum!A:F,2,FALSE)</f>
        <v>185286.65015831499</v>
      </c>
      <c r="G14" s="222">
        <f>VLOOKUP(A14,OPATT_Cost_Quantum!A:F,3,FALSE)</f>
        <v>7807175.5747858696</v>
      </c>
      <c r="H14" s="222">
        <f>VLOOKUP(A14,OPATT_Cost_Quantum!A:F,4,FALSE)</f>
        <v>314212.97027917701</v>
      </c>
      <c r="I14" s="222">
        <f>VLOOKUP(A14,OPATT_Cost_Quantum!A:F,5,FALSE)</f>
        <v>7831353.9502550801</v>
      </c>
      <c r="J14" s="223">
        <f t="shared" si="12"/>
        <v>213.46388267086982</v>
      </c>
      <c r="K14" s="223">
        <f t="shared" si="2"/>
        <v>137.81178751982966</v>
      </c>
      <c r="L14" s="223">
        <f t="shared" si="2"/>
        <v>155.4740080550109</v>
      </c>
      <c r="M14" s="223">
        <f t="shared" si="2"/>
        <v>109.8489865658851</v>
      </c>
      <c r="N14" s="224">
        <f>IF(ISERROR(VLOOKUP($A14,'HRGs to TFCs % Split'!$A$8:$I$145,6,0)),0,VLOOKUP($A14,'HRGs to TFCs % Split'!$A$8:$I$145,6,0))</f>
        <v>5.8544558849185703E-7</v>
      </c>
      <c r="O14" s="224">
        <f>IF(ISERROR(VLOOKUP($A14,'HRGs to TFCs % Split'!$A$8:$I$145,6,0)),0,VLOOKUP($A14,'HRGs to TFCs % Split'!$A$8:$I$145,7,0))</f>
        <v>2.5681546481842797E-4</v>
      </c>
      <c r="P14" s="224">
        <f>IF(ISERROR(VLOOKUP($A14,'HRGs to TFCs % Split'!$A$8:$I$145,6,0)),0,VLOOKUP($A14,'HRGs to TFCs % Split'!$A$8:$I$145,8,0))</f>
        <v>4.9762875021807847E-6</v>
      </c>
      <c r="Q14" s="224">
        <f>IF(ISERROR(VLOOKUP($A14,'HRGs to TFCs % Split'!$A$8:$I$145,6,0)),0,VLOOKUP($A14,'HRGs to TFCs % Split'!$A$8:$I$145,9,0))</f>
        <v>2.425696221651261E-4</v>
      </c>
      <c r="R14" s="225">
        <f t="shared" si="3"/>
        <v>1</v>
      </c>
      <c r="S14" s="225">
        <f t="shared" si="4"/>
        <v>347</v>
      </c>
      <c r="T14" s="225">
        <f t="shared" si="5"/>
        <v>7</v>
      </c>
      <c r="U14" s="225">
        <f t="shared" si="6"/>
        <v>327</v>
      </c>
      <c r="V14" s="224">
        <f>IF(ISERROR(VLOOKUP($A14,'HRGs to TFCs % Split'!$A$8:$I$145,6,0)),0,VLOOKUP($A14,'HRGs to TFCs % Split'!$A$8:$I$145,6,0))</f>
        <v>5.8544558849185703E-7</v>
      </c>
      <c r="W14" s="224">
        <f>IF(ISERROR(VLOOKUP($A14,'HRGs to TFCs % Split'!$A$8:$I$145,6,0)),0,VLOOKUP($A14,'HRGs to TFCs % Split'!$A$8:$I$145,7,0))</f>
        <v>2.5681546481842797E-4</v>
      </c>
      <c r="X14" s="224">
        <f>IF(ISERROR(VLOOKUP($A14,'HRGs to TFCs % Split'!$A$8:$I$145,6,0)),0,VLOOKUP($A14,'HRGs to TFCs % Split'!$A$8:$I$145,8,0))</f>
        <v>4.9762875021807847E-6</v>
      </c>
      <c r="Y14" s="224">
        <f>IF(ISERROR(VLOOKUP($A14,'HRGs to TFCs % Split'!$A$8:$I$145,6,0)),0,VLOOKUP($A14,'HRGs to TFCs % Split'!$A$8:$I$145,9,0))</f>
        <v>2.425696221651261E-4</v>
      </c>
      <c r="Z14" s="225">
        <f t="shared" si="13"/>
        <v>92.325430418664695</v>
      </c>
      <c r="AA14" s="225">
        <f t="shared" si="14"/>
        <v>40500.088810320914</v>
      </c>
      <c r="AB14" s="225">
        <f t="shared" si="15"/>
        <v>784.76615855864986</v>
      </c>
      <c r="AC14" s="225">
        <f t="shared" si="16"/>
        <v>38253.503336800073</v>
      </c>
      <c r="AD14" s="226">
        <f t="shared" si="17"/>
        <v>869</v>
      </c>
      <c r="AE14" s="226">
        <f t="shared" si="18"/>
        <v>56998</v>
      </c>
      <c r="AF14" s="226">
        <f t="shared" si="19"/>
        <v>2028</v>
      </c>
      <c r="AG14" s="226">
        <f t="shared" si="20"/>
        <v>71619</v>
      </c>
      <c r="AH14" s="226">
        <f t="shared" si="21"/>
        <v>185378.97558873365</v>
      </c>
      <c r="AI14" s="226">
        <f t="shared" si="22"/>
        <v>7847675.6635961905</v>
      </c>
      <c r="AJ14" s="226">
        <f t="shared" si="23"/>
        <v>314997.73643773567</v>
      </c>
      <c r="AK14" s="226">
        <f t="shared" si="24"/>
        <v>7869607.4535918804</v>
      </c>
      <c r="AL14" s="227">
        <f t="shared" si="25"/>
        <v>213.32448284089028</v>
      </c>
      <c r="AM14" s="227">
        <f t="shared" si="26"/>
        <v>137.68335140875453</v>
      </c>
      <c r="AN14" s="227">
        <f t="shared" si="27"/>
        <v>155.32432763201956</v>
      </c>
      <c r="AO14" s="227">
        <f t="shared" si="28"/>
        <v>109.88156011103032</v>
      </c>
      <c r="AP14" s="228">
        <f t="shared" si="29"/>
        <v>-6.5303707697694779E-4</v>
      </c>
      <c r="AQ14" s="228">
        <f t="shared" si="30"/>
        <v>-9.3196752895063906E-4</v>
      </c>
      <c r="AR14" s="228">
        <f t="shared" si="31"/>
        <v>-9.6273598953189321E-4</v>
      </c>
      <c r="AS14" s="228">
        <f t="shared" si="32"/>
        <v>2.9653022903119997E-4</v>
      </c>
      <c r="AT14" s="227">
        <f>IF(ISERROR(VLOOKUP(A14,Mandatory!A:A,1,FALSE)),0,1)</f>
        <v>1</v>
      </c>
    </row>
    <row r="15" spans="1:46">
      <c r="A15" s="231">
        <v>107</v>
      </c>
      <c r="B15" s="222">
        <f>VLOOKUP(A15,OPATT_Activities!A:J,3,FALSE)</f>
        <v>3224</v>
      </c>
      <c r="C15" s="222">
        <f>VLOOKUP(A15,OPATT_Activities!A:J,4,FALSE)</f>
        <v>160273</v>
      </c>
      <c r="D15" s="222">
        <f>VLOOKUP(A15,OPATT_Activities!A:J,5,FALSE)</f>
        <v>4861</v>
      </c>
      <c r="E15" s="222">
        <f>VLOOKUP(A15,OPATT_Activities!A:J,6,FALSE)</f>
        <v>201718</v>
      </c>
      <c r="F15" s="222">
        <f>VLOOKUP(A15,OPATT_Cost_Quantum!A:F,2,FALSE)</f>
        <v>772498.67163646605</v>
      </c>
      <c r="G15" s="222">
        <f>VLOOKUP(A15,OPATT_Cost_Quantum!A:F,3,FALSE)</f>
        <v>25060023.782756802</v>
      </c>
      <c r="H15" s="222">
        <f>VLOOKUP(A15,OPATT_Cost_Quantum!A:F,4,FALSE)</f>
        <v>1035549.2111243</v>
      </c>
      <c r="I15" s="222">
        <f>VLOOKUP(A15,OPATT_Cost_Quantum!A:F,5,FALSE)</f>
        <v>26280656.842703599</v>
      </c>
      <c r="J15" s="223">
        <f t="shared" si="12"/>
        <v>239.60876911801057</v>
      </c>
      <c r="K15" s="223">
        <f t="shared" si="2"/>
        <v>156.35836218674888</v>
      </c>
      <c r="L15" s="223">
        <f t="shared" si="2"/>
        <v>213.03213559438387</v>
      </c>
      <c r="M15" s="223">
        <f t="shared" si="2"/>
        <v>130.28414342152709</v>
      </c>
      <c r="N15" s="224">
        <f>IF(ISERROR(VLOOKUP($A15,'HRGs to TFCs % Split'!$A$8:$I$145,6,0)),0,VLOOKUP($A15,'HRGs to TFCs % Split'!$A$8:$I$145,6,0))</f>
        <v>3.9615151487948995E-5</v>
      </c>
      <c r="O15" s="224">
        <f>IF(ISERROR(VLOOKUP($A15,'HRGs to TFCs % Split'!$A$8:$I$145,6,0)),0,VLOOKUP($A15,'HRGs to TFCs % Split'!$A$8:$I$145,7,0))</f>
        <v>6.7833628853256501E-4</v>
      </c>
      <c r="P15" s="224">
        <f>IF(ISERROR(VLOOKUP($A15,'HRGs to TFCs % Split'!$A$8:$I$145,6,0)),0,VLOOKUP($A15,'HRGs to TFCs % Split'!$A$8:$I$145,8,0))</f>
        <v>1.0557535445803155E-4</v>
      </c>
      <c r="Q15" s="224">
        <f>IF(ISERROR(VLOOKUP($A15,'HRGs to TFCs % Split'!$A$8:$I$145,6,0)),0,VLOOKUP($A15,'HRGs to TFCs % Split'!$A$8:$I$145,9,0))</f>
        <v>1.8042457294671548E-3</v>
      </c>
      <c r="R15" s="225">
        <f t="shared" si="3"/>
        <v>53</v>
      </c>
      <c r="S15" s="225">
        <f t="shared" si="4"/>
        <v>915</v>
      </c>
      <c r="T15" s="225">
        <f t="shared" si="5"/>
        <v>142</v>
      </c>
      <c r="U15" s="225">
        <f t="shared" si="6"/>
        <v>2435</v>
      </c>
      <c r="V15" s="224">
        <f>IF(ISERROR(VLOOKUP($A15,'HRGs to TFCs % Split'!$A$8:$I$145,6,0)),0,VLOOKUP($A15,'HRGs to TFCs % Split'!$A$8:$I$145,6,0))</f>
        <v>3.9615151487948995E-5</v>
      </c>
      <c r="W15" s="224">
        <f>IF(ISERROR(VLOOKUP($A15,'HRGs to TFCs % Split'!$A$8:$I$145,6,0)),0,VLOOKUP($A15,'HRGs to TFCs % Split'!$A$8:$I$145,7,0))</f>
        <v>6.7833628853256501E-4</v>
      </c>
      <c r="X15" s="224">
        <f>IF(ISERROR(VLOOKUP($A15,'HRGs to TFCs % Split'!$A$8:$I$145,6,0)),0,VLOOKUP($A15,'HRGs to TFCs % Split'!$A$8:$I$145,8,0))</f>
        <v>1.0557535445803155E-4</v>
      </c>
      <c r="Y15" s="224">
        <f>IF(ISERROR(VLOOKUP($A15,'HRGs to TFCs % Split'!$A$8:$I$145,6,0)),0,VLOOKUP($A15,'HRGs to TFCs % Split'!$A$8:$I$145,9,0))</f>
        <v>1.8042457294671548E-3</v>
      </c>
      <c r="Z15" s="225">
        <f t="shared" si="13"/>
        <v>6247.3541249963109</v>
      </c>
      <c r="AA15" s="225">
        <f t="shared" si="14"/>
        <v>106974.3987117595</v>
      </c>
      <c r="AB15" s="225">
        <f t="shared" si="15"/>
        <v>16649.352618832534</v>
      </c>
      <c r="AC15" s="225">
        <f t="shared" si="16"/>
        <v>284531.58897858812</v>
      </c>
      <c r="AD15" s="226">
        <f t="shared" si="17"/>
        <v>3277</v>
      </c>
      <c r="AE15" s="226">
        <f t="shared" si="18"/>
        <v>161188</v>
      </c>
      <c r="AF15" s="226">
        <f t="shared" si="19"/>
        <v>5003</v>
      </c>
      <c r="AG15" s="226">
        <f t="shared" si="20"/>
        <v>204153</v>
      </c>
      <c r="AH15" s="226">
        <f t="shared" si="21"/>
        <v>778746.0257614624</v>
      </c>
      <c r="AI15" s="226">
        <f t="shared" si="22"/>
        <v>25166998.181468561</v>
      </c>
      <c r="AJ15" s="226">
        <f t="shared" si="23"/>
        <v>1052198.5637431326</v>
      </c>
      <c r="AK15" s="226">
        <f t="shared" si="24"/>
        <v>26565188.431682188</v>
      </c>
      <c r="AL15" s="227">
        <f t="shared" si="25"/>
        <v>237.63992241729093</v>
      </c>
      <c r="AM15" s="227">
        <f t="shared" si="26"/>
        <v>156.13444041410378</v>
      </c>
      <c r="AN15" s="227">
        <f t="shared" si="27"/>
        <v>210.31352463384621</v>
      </c>
      <c r="AO15" s="227">
        <f t="shared" si="28"/>
        <v>130.12391898077516</v>
      </c>
      <c r="AP15" s="228">
        <f t="shared" si="29"/>
        <v>-8.2169225607513496E-3</v>
      </c>
      <c r="AQ15" s="228">
        <f t="shared" si="30"/>
        <v>-1.4321061535401691E-3</v>
      </c>
      <c r="AR15" s="228">
        <f t="shared" si="31"/>
        <v>-1.2761506394105449E-2</v>
      </c>
      <c r="AS15" s="228">
        <f t="shared" si="32"/>
        <v>-1.2298076845279615E-3</v>
      </c>
      <c r="AT15" s="227">
        <f>IF(ISERROR(VLOOKUP(A15,Mandatory!A:A,1,FALSE)),0,1)</f>
        <v>1</v>
      </c>
    </row>
    <row r="16" spans="1:46">
      <c r="A16" s="231">
        <v>108</v>
      </c>
      <c r="B16" s="222">
        <f>VLOOKUP(A16,OPATT_Activities!A:J,3,FALSE)</f>
        <v>258</v>
      </c>
      <c r="C16" s="222">
        <f>VLOOKUP(A16,OPATT_Activities!A:J,4,FALSE)</f>
        <v>14516</v>
      </c>
      <c r="D16" s="222">
        <f>VLOOKUP(A16,OPATT_Activities!A:J,5,FALSE)</f>
        <v>872</v>
      </c>
      <c r="E16" s="222">
        <f>VLOOKUP(A16,OPATT_Activities!A:J,6,FALSE)</f>
        <v>33740</v>
      </c>
      <c r="F16" s="222">
        <f>VLOOKUP(A16,OPATT_Cost_Quantum!A:F,2,FALSE)</f>
        <v>12070.970914973699</v>
      </c>
      <c r="G16" s="222">
        <f>VLOOKUP(A16,OPATT_Cost_Quantum!A:F,3,FALSE)</f>
        <v>2278110.1146442401</v>
      </c>
      <c r="H16" s="222">
        <f>VLOOKUP(A16,OPATT_Cost_Quantum!A:F,4,FALSE)</f>
        <v>54604.108874935897</v>
      </c>
      <c r="I16" s="222">
        <f>VLOOKUP(A16,OPATT_Cost_Quantum!A:F,5,FALSE)</f>
        <v>4338480.0382546196</v>
      </c>
      <c r="J16" s="223">
        <f t="shared" si="12"/>
        <v>46.786708972766277</v>
      </c>
      <c r="K16" s="223">
        <f t="shared" si="2"/>
        <v>156.93786956766604</v>
      </c>
      <c r="L16" s="223">
        <f t="shared" si="2"/>
        <v>62.619390911623732</v>
      </c>
      <c r="M16" s="223">
        <f t="shared" si="2"/>
        <v>128.58565614269767</v>
      </c>
      <c r="N16" s="224">
        <f>IF(ISERROR(VLOOKUP($A16,'HRGs to TFCs % Split'!$A$8:$I$145,6,0)),0,VLOOKUP($A16,'HRGs to TFCs % Split'!$A$8:$I$145,6,0))</f>
        <v>0</v>
      </c>
      <c r="O16" s="224">
        <f>IF(ISERROR(VLOOKUP($A16,'HRGs to TFCs % Split'!$A$8:$I$145,6,0)),0,VLOOKUP($A16,'HRGs to TFCs % Split'!$A$8:$I$145,7,0))</f>
        <v>3.9029705899457133E-7</v>
      </c>
      <c r="P16" s="224">
        <f>IF(ISERROR(VLOOKUP($A16,'HRGs to TFCs % Split'!$A$8:$I$145,6,0)),0,VLOOKUP($A16,'HRGs to TFCs % Split'!$A$8:$I$145,8,0))</f>
        <v>9.7574264748642833E-8</v>
      </c>
      <c r="Q16" s="224">
        <f>IF(ISERROR(VLOOKUP($A16,'HRGs to TFCs % Split'!$A$8:$I$145,6,0)),0,VLOOKUP($A16,'HRGs to TFCs % Split'!$A$8:$I$145,9,0))</f>
        <v>1.2196783093580354E-5</v>
      </c>
      <c r="R16" s="225">
        <f t="shared" si="3"/>
        <v>0</v>
      </c>
      <c r="S16" s="225">
        <f t="shared" si="4"/>
        <v>1</v>
      </c>
      <c r="T16" s="225">
        <f t="shared" si="5"/>
        <v>0</v>
      </c>
      <c r="U16" s="225">
        <f t="shared" si="6"/>
        <v>16</v>
      </c>
      <c r="V16" s="224">
        <f>IF(ISERROR(VLOOKUP($A16,'HRGs to TFCs % Split'!$A$8:$I$145,6,0)),0,VLOOKUP($A16,'HRGs to TFCs % Split'!$A$8:$I$145,6,0))</f>
        <v>0</v>
      </c>
      <c r="W16" s="224">
        <f>IF(ISERROR(VLOOKUP($A16,'HRGs to TFCs % Split'!$A$8:$I$145,6,0)),0,VLOOKUP($A16,'HRGs to TFCs % Split'!$A$8:$I$145,7,0))</f>
        <v>3.9029705899457133E-7</v>
      </c>
      <c r="X16" s="224">
        <f>IF(ISERROR(VLOOKUP($A16,'HRGs to TFCs % Split'!$A$8:$I$145,6,0)),0,VLOOKUP($A16,'HRGs to TFCs % Split'!$A$8:$I$145,8,0))</f>
        <v>9.7574264748642833E-8</v>
      </c>
      <c r="Y16" s="224">
        <f>IF(ISERROR(VLOOKUP($A16,'HRGs to TFCs % Split'!$A$8:$I$145,6,0)),0,VLOOKUP($A16,'HRGs to TFCs % Split'!$A$8:$I$145,9,0))</f>
        <v>1.2196783093580354E-5</v>
      </c>
      <c r="Z16" s="225">
        <f t="shared" si="13"/>
        <v>0</v>
      </c>
      <c r="AA16" s="225">
        <f t="shared" si="14"/>
        <v>61.550286945776456</v>
      </c>
      <c r="AB16" s="225">
        <f t="shared" si="15"/>
        <v>15.387571736444114</v>
      </c>
      <c r="AC16" s="225">
        <f t="shared" si="16"/>
        <v>1923.4464670555144</v>
      </c>
      <c r="AD16" s="226">
        <f t="shared" si="17"/>
        <v>258</v>
      </c>
      <c r="AE16" s="226">
        <f t="shared" si="18"/>
        <v>14517</v>
      </c>
      <c r="AF16" s="226">
        <f t="shared" si="19"/>
        <v>872</v>
      </c>
      <c r="AG16" s="226">
        <f t="shared" si="20"/>
        <v>33756</v>
      </c>
      <c r="AH16" s="226">
        <f t="shared" si="21"/>
        <v>12070.970914973699</v>
      </c>
      <c r="AI16" s="226">
        <f t="shared" si="22"/>
        <v>2278171.664931186</v>
      </c>
      <c r="AJ16" s="226">
        <f t="shared" si="23"/>
        <v>54619.49644667234</v>
      </c>
      <c r="AK16" s="226">
        <f t="shared" si="24"/>
        <v>4340403.4847216755</v>
      </c>
      <c r="AL16" s="227">
        <f t="shared" si="25"/>
        <v>46.786708972766277</v>
      </c>
      <c r="AM16" s="227">
        <f t="shared" si="26"/>
        <v>156.93129881733043</v>
      </c>
      <c r="AN16" s="227">
        <f t="shared" si="27"/>
        <v>62.637037209486628</v>
      </c>
      <c r="AO16" s="227">
        <f t="shared" si="28"/>
        <v>128.58168872857198</v>
      </c>
      <c r="AP16" s="228">
        <f t="shared" si="29"/>
        <v>0</v>
      </c>
      <c r="AQ16" s="228">
        <f t="shared" si="30"/>
        <v>-4.1868481799323121E-5</v>
      </c>
      <c r="AR16" s="228">
        <f t="shared" si="31"/>
        <v>2.8180245138131887E-4</v>
      </c>
      <c r="AS16" s="228">
        <f t="shared" si="32"/>
        <v>-3.0854251124923238E-5</v>
      </c>
      <c r="AT16" s="227">
        <f>IF(ISERROR(VLOOKUP(A16,Mandatory!A:A,1,FALSE)),0,1)</f>
        <v>1</v>
      </c>
    </row>
    <row r="17" spans="1:46">
      <c r="A17" s="231">
        <v>110</v>
      </c>
      <c r="B17" s="222">
        <f>VLOOKUP(A17,OPATT_Activities!A:J,3,FALSE)</f>
        <v>43339</v>
      </c>
      <c r="C17" s="222">
        <f>VLOOKUP(A17,OPATT_Activities!A:J,4,FALSE)</f>
        <v>2068546</v>
      </c>
      <c r="D17" s="222">
        <f>VLOOKUP(A17,OPATT_Activities!A:J,5,FALSE)</f>
        <v>77507</v>
      </c>
      <c r="E17" s="222">
        <f>VLOOKUP(A17,OPATT_Activities!A:J,6,FALSE)</f>
        <v>3633909</v>
      </c>
      <c r="F17" s="222">
        <f>VLOOKUP(A17,OPATT_Cost_Quantum!A:F,2,FALSE)</f>
        <v>5705199.2860773699</v>
      </c>
      <c r="G17" s="222">
        <f>VLOOKUP(A17,OPATT_Cost_Quantum!A:F,3,FALSE)</f>
        <v>253494760.15559199</v>
      </c>
      <c r="H17" s="222">
        <f>VLOOKUP(A17,OPATT_Cost_Quantum!A:F,4,FALSE)</f>
        <v>7962531.8024909003</v>
      </c>
      <c r="I17" s="222">
        <f>VLOOKUP(A17,OPATT_Cost_Quantum!A:F,5,FALSE)</f>
        <v>354331106.85479099</v>
      </c>
      <c r="J17" s="223">
        <f t="shared" si="12"/>
        <v>131.64123044088166</v>
      </c>
      <c r="K17" s="223">
        <f t="shared" si="2"/>
        <v>122.54731591929404</v>
      </c>
      <c r="L17" s="223">
        <f t="shared" si="2"/>
        <v>102.73306672288825</v>
      </c>
      <c r="M17" s="223">
        <f t="shared" si="2"/>
        <v>97.506873962664173</v>
      </c>
      <c r="N17" s="224">
        <f>IF(ISERROR(VLOOKUP($A17,'HRGs to TFCs % Split'!$A$8:$I$145,6,0)),0,VLOOKUP($A17,'HRGs to TFCs % Split'!$A$8:$I$145,6,0))</f>
        <v>3.1965329131655393E-4</v>
      </c>
      <c r="O17" s="224">
        <f>IF(ISERROR(VLOOKUP($A17,'HRGs to TFCs % Split'!$A$8:$I$145,6,0)),0,VLOOKUP($A17,'HRGs to TFCs % Split'!$A$8:$I$145,7,0))</f>
        <v>6.8426880382928251E-3</v>
      </c>
      <c r="P17" s="224">
        <f>IF(ISERROR(VLOOKUP($A17,'HRGs to TFCs % Split'!$A$8:$I$145,6,0)),0,VLOOKUP($A17,'HRGs to TFCs % Split'!$A$8:$I$145,8,0))</f>
        <v>9.4783640776831659E-4</v>
      </c>
      <c r="Q17" s="224">
        <f>IF(ISERROR(VLOOKUP($A17,'HRGs to TFCs % Split'!$A$8:$I$145,6,0)),0,VLOOKUP($A17,'HRGs to TFCs % Split'!$A$8:$I$145,9,0))</f>
        <v>1.5787125739271417E-2</v>
      </c>
      <c r="R17" s="225">
        <f t="shared" si="3"/>
        <v>431</v>
      </c>
      <c r="S17" s="225">
        <f t="shared" si="4"/>
        <v>9234</v>
      </c>
      <c r="T17" s="225">
        <f t="shared" si="5"/>
        <v>1279</v>
      </c>
      <c r="U17" s="225">
        <f t="shared" si="6"/>
        <v>21304</v>
      </c>
      <c r="V17" s="224">
        <f>IF(ISERROR(VLOOKUP($A17,'HRGs to TFCs % Split'!$A$8:$I$145,6,0)),0,VLOOKUP($A17,'HRGs to TFCs % Split'!$A$8:$I$145,6,0))</f>
        <v>3.1965329131655393E-4</v>
      </c>
      <c r="W17" s="224">
        <f>IF(ISERROR(VLOOKUP($A17,'HRGs to TFCs % Split'!$A$8:$I$145,6,0)),0,VLOOKUP($A17,'HRGs to TFCs % Split'!$A$8:$I$145,7,0))</f>
        <v>6.8426880382928251E-3</v>
      </c>
      <c r="X17" s="224">
        <f>IF(ISERROR(VLOOKUP($A17,'HRGs to TFCs % Split'!$A$8:$I$145,6,0)),0,VLOOKUP($A17,'HRGs to TFCs % Split'!$A$8:$I$145,8,0))</f>
        <v>9.4783640776831659E-4</v>
      </c>
      <c r="Y17" s="224">
        <f>IF(ISERROR(VLOOKUP($A17,'HRGs to TFCs % Split'!$A$8:$I$145,6,0)),0,VLOOKUP($A17,'HRGs to TFCs % Split'!$A$8:$I$145,9,0))</f>
        <v>1.5787125739271417E-2</v>
      </c>
      <c r="Z17" s="225">
        <f t="shared" si="13"/>
        <v>50409.685008590917</v>
      </c>
      <c r="AA17" s="225">
        <f t="shared" si="14"/>
        <v>1079099.6307333529</v>
      </c>
      <c r="AB17" s="225">
        <f t="shared" si="15"/>
        <v>149474.87184781814</v>
      </c>
      <c r="AC17" s="225">
        <f t="shared" si="16"/>
        <v>2489647.5566697121</v>
      </c>
      <c r="AD17" s="226">
        <f t="shared" si="17"/>
        <v>43770</v>
      </c>
      <c r="AE17" s="226">
        <f t="shared" si="18"/>
        <v>2077780</v>
      </c>
      <c r="AF17" s="226">
        <f t="shared" si="19"/>
        <v>78786</v>
      </c>
      <c r="AG17" s="226">
        <f t="shared" si="20"/>
        <v>3655213</v>
      </c>
      <c r="AH17" s="226">
        <f t="shared" si="21"/>
        <v>5755608.971085961</v>
      </c>
      <c r="AI17" s="226">
        <f t="shared" si="22"/>
        <v>254573859.78632534</v>
      </c>
      <c r="AJ17" s="226">
        <f t="shared" si="23"/>
        <v>8112006.6743387189</v>
      </c>
      <c r="AK17" s="226">
        <f t="shared" si="24"/>
        <v>356820754.4114607</v>
      </c>
      <c r="AL17" s="227">
        <f t="shared" si="25"/>
        <v>131.49666372140646</v>
      </c>
      <c r="AM17" s="227">
        <f t="shared" si="26"/>
        <v>122.52204746716464</v>
      </c>
      <c r="AN17" s="227">
        <f t="shared" si="27"/>
        <v>102.96253997332926</v>
      </c>
      <c r="AO17" s="227">
        <f t="shared" si="28"/>
        <v>97.619688486405778</v>
      </c>
      <c r="AP17" s="228">
        <f t="shared" si="29"/>
        <v>-1.0981872395983139E-3</v>
      </c>
      <c r="AQ17" s="228">
        <f t="shared" si="30"/>
        <v>-2.0619343589733941E-4</v>
      </c>
      <c r="AR17" s="228">
        <f t="shared" si="31"/>
        <v>2.233684418863735E-3</v>
      </c>
      <c r="AS17" s="228">
        <f t="shared" si="32"/>
        <v>1.1569904680237553E-3</v>
      </c>
      <c r="AT17" s="227">
        <f>IF(ISERROR(VLOOKUP(A17,Mandatory!A:A,1,FALSE)),0,1)</f>
        <v>1</v>
      </c>
    </row>
    <row r="18" spans="1:46">
      <c r="A18" s="231">
        <v>120</v>
      </c>
      <c r="B18" s="222">
        <f>VLOOKUP(A18,OPATT_Activities!A:J,3,FALSE)</f>
        <v>7127</v>
      </c>
      <c r="C18" s="222">
        <f>VLOOKUP(A18,OPATT_Activities!A:J,4,FALSE)</f>
        <v>560322</v>
      </c>
      <c r="D18" s="222">
        <f>VLOOKUP(A18,OPATT_Activities!A:J,5,FALSE)</f>
        <v>17427</v>
      </c>
      <c r="E18" s="222">
        <f>VLOOKUP(A18,OPATT_Activities!A:J,6,FALSE)</f>
        <v>829196</v>
      </c>
      <c r="F18" s="222">
        <f>VLOOKUP(A18,OPATT_Cost_Quantum!A:F,2,FALSE)</f>
        <v>967347.29704704799</v>
      </c>
      <c r="G18" s="222">
        <f>VLOOKUP(A18,OPATT_Cost_Quantum!A:F,3,FALSE)</f>
        <v>55301069.835227303</v>
      </c>
      <c r="H18" s="222">
        <f>VLOOKUP(A18,OPATT_Cost_Quantum!A:F,4,FALSE)</f>
        <v>2077677.7738818901</v>
      </c>
      <c r="I18" s="222">
        <f>VLOOKUP(A18,OPATT_Cost_Quantum!A:F,5,FALSE)</f>
        <v>63532750.472972803</v>
      </c>
      <c r="J18" s="223">
        <f t="shared" si="12"/>
        <v>135.72994205795538</v>
      </c>
      <c r="K18" s="223">
        <f t="shared" si="2"/>
        <v>98.695160702644742</v>
      </c>
      <c r="L18" s="223">
        <f t="shared" si="2"/>
        <v>119.22176931668618</v>
      </c>
      <c r="M18" s="223">
        <f t="shared" si="2"/>
        <v>76.619702064376582</v>
      </c>
      <c r="N18" s="224">
        <f>IF(ISERROR(VLOOKUP($A18,'HRGs to TFCs % Split'!$A$8:$I$145,6,0)),0,VLOOKUP($A18,'HRGs to TFCs % Split'!$A$8:$I$145,6,0))</f>
        <v>1.2636843027596734E-3</v>
      </c>
      <c r="O18" s="224">
        <f>IF(ISERROR(VLOOKUP($A18,'HRGs to TFCs % Split'!$A$8:$I$145,6,0)),0,VLOOKUP($A18,'HRGs to TFCs % Split'!$A$8:$I$145,7,0))</f>
        <v>4.5330661619865494E-2</v>
      </c>
      <c r="P18" s="224">
        <f>IF(ISERROR(VLOOKUP($A18,'HRGs to TFCs % Split'!$A$8:$I$145,6,0)),0,VLOOKUP($A18,'HRGs to TFCs % Split'!$A$8:$I$145,8,0))</f>
        <v>1.3577458939773651E-3</v>
      </c>
      <c r="Q18" s="224">
        <f>IF(ISERROR(VLOOKUP($A18,'HRGs to TFCs % Split'!$A$8:$I$145,6,0)),0,VLOOKUP($A18,'HRGs to TFCs % Split'!$A$8:$I$145,9,0))</f>
        <v>5.2353569325149063E-2</v>
      </c>
      <c r="R18" s="225">
        <f t="shared" si="3"/>
        <v>1705</v>
      </c>
      <c r="S18" s="225">
        <f t="shared" si="4"/>
        <v>61171</v>
      </c>
      <c r="T18" s="225">
        <f t="shared" si="5"/>
        <v>1832</v>
      </c>
      <c r="U18" s="225">
        <f t="shared" si="6"/>
        <v>70648</v>
      </c>
      <c r="V18" s="224">
        <f>IF(ISERROR(VLOOKUP($A18,'HRGs to TFCs % Split'!$A$8:$I$145,6,0)),0,VLOOKUP($A18,'HRGs to TFCs % Split'!$A$8:$I$145,6,0))</f>
        <v>1.2636843027596734E-3</v>
      </c>
      <c r="W18" s="224">
        <f>IF(ISERROR(VLOOKUP($A18,'HRGs to TFCs % Split'!$A$8:$I$145,6,0)),0,VLOOKUP($A18,'HRGs to TFCs % Split'!$A$8:$I$145,7,0))</f>
        <v>4.5330661619865494E-2</v>
      </c>
      <c r="X18" s="224">
        <f>IF(ISERROR(VLOOKUP($A18,'HRGs to TFCs % Split'!$A$8:$I$145,6,0)),0,VLOOKUP($A18,'HRGs to TFCs % Split'!$A$8:$I$145,8,0))</f>
        <v>1.3577458939773651E-3</v>
      </c>
      <c r="Y18" s="224">
        <f>IF(ISERROR(VLOOKUP($A18,'HRGs to TFCs % Split'!$A$8:$I$145,6,0)),0,VLOOKUP($A18,'HRGs to TFCs % Split'!$A$8:$I$145,9,0))</f>
        <v>5.2353569325149063E-2</v>
      </c>
      <c r="Z18" s="225">
        <f t="shared" si="13"/>
        <v>199284.44155868774</v>
      </c>
      <c r="AA18" s="225">
        <f t="shared" si="14"/>
        <v>7148696.5270302612</v>
      </c>
      <c r="AB18" s="225">
        <f t="shared" si="15"/>
        <v>214118.06071261986</v>
      </c>
      <c r="AC18" s="225">
        <f t="shared" si="16"/>
        <v>8256217.0027608266</v>
      </c>
      <c r="AD18" s="226">
        <f t="shared" si="17"/>
        <v>8832</v>
      </c>
      <c r="AE18" s="226">
        <f t="shared" si="18"/>
        <v>621493</v>
      </c>
      <c r="AF18" s="226">
        <f t="shared" si="19"/>
        <v>19259</v>
      </c>
      <c r="AG18" s="226">
        <f t="shared" si="20"/>
        <v>899844</v>
      </c>
      <c r="AH18" s="226">
        <f t="shared" si="21"/>
        <v>1166631.7386057358</v>
      </c>
      <c r="AI18" s="226">
        <f t="shared" si="22"/>
        <v>62449766.362257563</v>
      </c>
      <c r="AJ18" s="226">
        <f t="shared" si="23"/>
        <v>2291795.83459451</v>
      </c>
      <c r="AK18" s="226">
        <f t="shared" si="24"/>
        <v>71788967.475733623</v>
      </c>
      <c r="AL18" s="227">
        <f t="shared" si="25"/>
        <v>132.09145591097553</v>
      </c>
      <c r="AM18" s="227">
        <f t="shared" si="26"/>
        <v>100.483458964554</v>
      </c>
      <c r="AN18" s="227">
        <f t="shared" si="27"/>
        <v>118.99869331712499</v>
      </c>
      <c r="AO18" s="227">
        <f t="shared" si="28"/>
        <v>79.779347837773685</v>
      </c>
      <c r="AP18" s="228">
        <f t="shared" si="29"/>
        <v>-2.6806805424158031E-2</v>
      </c>
      <c r="AQ18" s="228">
        <f t="shared" si="30"/>
        <v>1.8119411825035403E-2</v>
      </c>
      <c r="AR18" s="228">
        <f t="shared" si="31"/>
        <v>-1.8711012329354348E-3</v>
      </c>
      <c r="AS18" s="228">
        <f t="shared" si="32"/>
        <v>4.123803262432868E-2</v>
      </c>
      <c r="AT18" s="227">
        <f>IF(ISERROR(VLOOKUP(A18,Mandatory!A:A,1,FALSE)),0,1)</f>
        <v>1</v>
      </c>
    </row>
    <row r="19" spans="1:46">
      <c r="A19" s="231">
        <v>130</v>
      </c>
      <c r="B19" s="222">
        <f>VLOOKUP(A19,OPATT_Activities!A:J,3,FALSE)</f>
        <v>49342</v>
      </c>
      <c r="C19" s="222">
        <f>VLOOKUP(A19,OPATT_Activities!A:J,4,FALSE)</f>
        <v>1291075</v>
      </c>
      <c r="D19" s="222">
        <f>VLOOKUP(A19,OPATT_Activities!A:J,5,FALSE)</f>
        <v>149568</v>
      </c>
      <c r="E19" s="222">
        <f>VLOOKUP(A19,OPATT_Activities!A:J,6,FALSE)</f>
        <v>3326047</v>
      </c>
      <c r="F19" s="222">
        <f>VLOOKUP(A19,OPATT_Cost_Quantum!A:F,2,FALSE)</f>
        <v>5997039.7865799302</v>
      </c>
      <c r="G19" s="222">
        <f>VLOOKUP(A19,OPATT_Cost_Quantum!A:F,3,FALSE)</f>
        <v>123868303.038314</v>
      </c>
      <c r="H19" s="222">
        <f>VLOOKUP(A19,OPATT_Cost_Quantum!A:F,4,FALSE)</f>
        <v>14958447.221026501</v>
      </c>
      <c r="I19" s="222">
        <f>VLOOKUP(A19,OPATT_Cost_Quantum!A:F,5,FALSE)</f>
        <v>250555716.671446</v>
      </c>
      <c r="J19" s="223">
        <f t="shared" si="12"/>
        <v>121.54026562725326</v>
      </c>
      <c r="K19" s="223">
        <f t="shared" si="2"/>
        <v>95.941988682542842</v>
      </c>
      <c r="L19" s="223">
        <f t="shared" si="2"/>
        <v>100.01101319150153</v>
      </c>
      <c r="M19" s="223">
        <f t="shared" si="2"/>
        <v>75.331381869061374</v>
      </c>
      <c r="N19" s="224">
        <f>IF(ISERROR(VLOOKUP($A19,'HRGs to TFCs % Split'!$A$8:$I$145,6,0)),0,VLOOKUP($A19,'HRGs to TFCs % Split'!$A$8:$I$145,6,0))</f>
        <v>1.2895414829180638E-3</v>
      </c>
      <c r="O19" s="224">
        <f>IF(ISERROR(VLOOKUP($A19,'HRGs to TFCs % Split'!$A$8:$I$145,6,0)),0,VLOOKUP($A19,'HRGs to TFCs % Split'!$A$8:$I$145,7,0))</f>
        <v>2.2809935870290236E-2</v>
      </c>
      <c r="P19" s="224">
        <f>IF(ISERROR(VLOOKUP($A19,'HRGs to TFCs % Split'!$A$8:$I$145,6,0)),0,VLOOKUP($A19,'HRGs to TFCs % Split'!$A$8:$I$145,8,0))</f>
        <v>6.3253492865955208E-3</v>
      </c>
      <c r="Q19" s="224">
        <f>IF(ISERROR(VLOOKUP($A19,'HRGs to TFCs % Split'!$A$8:$I$145,6,0)),0,VLOOKUP($A19,'HRGs to TFCs % Split'!$A$8:$I$145,9,0))</f>
        <v>9.6629453143081731E-2</v>
      </c>
      <c r="R19" s="225">
        <f t="shared" si="3"/>
        <v>1740</v>
      </c>
      <c r="S19" s="225">
        <f t="shared" si="4"/>
        <v>30781</v>
      </c>
      <c r="T19" s="225">
        <f t="shared" si="5"/>
        <v>8536</v>
      </c>
      <c r="U19" s="225">
        <f t="shared" si="6"/>
        <v>130396</v>
      </c>
      <c r="V19" s="224">
        <f>IF(ISERROR(VLOOKUP($A19,'HRGs to TFCs % Split'!$A$8:$I$145,6,0)),0,VLOOKUP($A19,'HRGs to TFCs % Split'!$A$8:$I$145,6,0))</f>
        <v>1.2895414829180638E-3</v>
      </c>
      <c r="W19" s="224">
        <f>IF(ISERROR(VLOOKUP($A19,'HRGs to TFCs % Split'!$A$8:$I$145,6,0)),0,VLOOKUP($A19,'HRGs to TFCs % Split'!$A$8:$I$145,7,0))</f>
        <v>2.2809935870290236E-2</v>
      </c>
      <c r="X19" s="224">
        <f>IF(ISERROR(VLOOKUP($A19,'HRGs to TFCs % Split'!$A$8:$I$145,6,0)),0,VLOOKUP($A19,'HRGs to TFCs % Split'!$A$8:$I$145,8,0))</f>
        <v>6.3253492865955208E-3</v>
      </c>
      <c r="Y19" s="224">
        <f>IF(ISERROR(VLOOKUP($A19,'HRGs to TFCs % Split'!$A$8:$I$145,6,0)),0,VLOOKUP($A19,'HRGs to TFCs % Split'!$A$8:$I$145,9,0))</f>
        <v>9.6629453143081731E-2</v>
      </c>
      <c r="Z19" s="225">
        <f t="shared" si="13"/>
        <v>203362.14806884545</v>
      </c>
      <c r="AA19" s="225">
        <f t="shared" si="14"/>
        <v>3597152.6448285407</v>
      </c>
      <c r="AB19" s="225">
        <f t="shared" si="15"/>
        <v>997514.7253867262</v>
      </c>
      <c r="AC19" s="225">
        <f t="shared" si="16"/>
        <v>15238573.879320128</v>
      </c>
      <c r="AD19" s="226">
        <f t="shared" si="17"/>
        <v>51082</v>
      </c>
      <c r="AE19" s="226">
        <f t="shared" si="18"/>
        <v>1321856</v>
      </c>
      <c r="AF19" s="226">
        <f t="shared" si="19"/>
        <v>158104</v>
      </c>
      <c r="AG19" s="226">
        <f t="shared" si="20"/>
        <v>3456443</v>
      </c>
      <c r="AH19" s="226">
        <f t="shared" si="21"/>
        <v>6200401.9346487755</v>
      </c>
      <c r="AI19" s="226">
        <f t="shared" si="22"/>
        <v>127465455.68314254</v>
      </c>
      <c r="AJ19" s="226">
        <f t="shared" si="23"/>
        <v>15955961.946413226</v>
      </c>
      <c r="AK19" s="226">
        <f t="shared" si="24"/>
        <v>265794290.55076611</v>
      </c>
      <c r="AL19" s="227">
        <f t="shared" si="25"/>
        <v>121.38134635779288</v>
      </c>
      <c r="AM19" s="227">
        <f t="shared" si="26"/>
        <v>96.429153919294194</v>
      </c>
      <c r="AN19" s="227">
        <f t="shared" si="27"/>
        <v>100.92067212982104</v>
      </c>
      <c r="AO19" s="227">
        <f t="shared" si="28"/>
        <v>76.898213148825576</v>
      </c>
      <c r="AP19" s="228">
        <f t="shared" si="29"/>
        <v>-1.307544200600752E-3</v>
      </c>
      <c r="AQ19" s="228">
        <f t="shared" si="30"/>
        <v>5.0777062623050817E-3</v>
      </c>
      <c r="AR19" s="228">
        <f t="shared" si="31"/>
        <v>9.0955876687068837E-3</v>
      </c>
      <c r="AS19" s="228">
        <f t="shared" si="32"/>
        <v>2.0799184096843115E-2</v>
      </c>
      <c r="AT19" s="227">
        <f>IF(ISERROR(VLOOKUP(A19,Mandatory!A:A,1,FALSE)),0,1)</f>
        <v>1</v>
      </c>
    </row>
    <row r="20" spans="1:46">
      <c r="A20" s="231">
        <v>140</v>
      </c>
      <c r="B20" s="222">
        <f>VLOOKUP(A20,OPATT_Activities!A:J,3,FALSE)</f>
        <v>4720</v>
      </c>
      <c r="C20" s="222">
        <f>VLOOKUP(A20,OPATT_Activities!A:J,4,FALSE)</f>
        <v>366952</v>
      </c>
      <c r="D20" s="222">
        <f>VLOOKUP(A20,OPATT_Activities!A:J,5,FALSE)</f>
        <v>8493</v>
      </c>
      <c r="E20" s="222">
        <f>VLOOKUP(A20,OPATT_Activities!A:J,6,FALSE)</f>
        <v>380389</v>
      </c>
      <c r="F20" s="222">
        <f>VLOOKUP(A20,OPATT_Cost_Quantum!A:F,2,FALSE)</f>
        <v>855048.716429219</v>
      </c>
      <c r="G20" s="222">
        <f>VLOOKUP(A20,OPATT_Cost_Quantum!A:F,3,FALSE)</f>
        <v>43886701.904748797</v>
      </c>
      <c r="H20" s="222">
        <f>VLOOKUP(A20,OPATT_Cost_Quantum!A:F,4,FALSE)</f>
        <v>1348879.3649251501</v>
      </c>
      <c r="I20" s="222">
        <f>VLOOKUP(A20,OPATT_Cost_Quantum!A:F,5,FALSE)</f>
        <v>35086179.003393099</v>
      </c>
      <c r="J20" s="223">
        <f t="shared" si="12"/>
        <v>181.15438907398706</v>
      </c>
      <c r="K20" s="223">
        <f t="shared" si="2"/>
        <v>119.59793625528351</v>
      </c>
      <c r="L20" s="223">
        <f t="shared" si="2"/>
        <v>158.82248497882375</v>
      </c>
      <c r="M20" s="223">
        <f t="shared" si="2"/>
        <v>92.237627805728081</v>
      </c>
      <c r="N20" s="224">
        <f>IF(ISERROR(VLOOKUP($A20,'HRGs to TFCs % Split'!$A$8:$I$145,6,0)),0,VLOOKUP($A20,'HRGs to TFCs % Split'!$A$8:$I$145,6,0))</f>
        <v>5.327554855275899E-5</v>
      </c>
      <c r="O20" s="224">
        <f>IF(ISERROR(VLOOKUP($A20,'HRGs to TFCs % Split'!$A$8:$I$145,6,0)),0,VLOOKUP($A20,'HRGs to TFCs % Split'!$A$8:$I$145,7,0))</f>
        <v>5.1657767243226491E-3</v>
      </c>
      <c r="P20" s="224">
        <f>IF(ISERROR(VLOOKUP($A20,'HRGs to TFCs % Split'!$A$8:$I$145,6,0)),0,VLOOKUP($A20,'HRGs to TFCs % Split'!$A$8:$I$145,8,0))</f>
        <v>1.5719214051006361E-4</v>
      </c>
      <c r="Q20" s="224">
        <f>IF(ISERROR(VLOOKUP($A20,'HRGs to TFCs % Split'!$A$8:$I$145,6,0)),0,VLOOKUP($A20,'HRGs to TFCs % Split'!$A$8:$I$145,9,0))</f>
        <v>1.1942797282439637E-2</v>
      </c>
      <c r="R20" s="225">
        <f t="shared" si="3"/>
        <v>72</v>
      </c>
      <c r="S20" s="225">
        <f t="shared" si="4"/>
        <v>6971</v>
      </c>
      <c r="T20" s="225">
        <f t="shared" si="5"/>
        <v>212</v>
      </c>
      <c r="U20" s="225">
        <f t="shared" si="6"/>
        <v>16116</v>
      </c>
      <c r="V20" s="224">
        <f>IF(ISERROR(VLOOKUP($A20,'HRGs to TFCs % Split'!$A$8:$I$145,6,0)),0,VLOOKUP($A20,'HRGs to TFCs % Split'!$A$8:$I$145,6,0))</f>
        <v>5.327554855275899E-5</v>
      </c>
      <c r="W20" s="224">
        <f>IF(ISERROR(VLOOKUP($A20,'HRGs to TFCs % Split'!$A$8:$I$145,6,0)),0,VLOOKUP($A20,'HRGs to TFCs % Split'!$A$8:$I$145,7,0))</f>
        <v>5.1657767243226491E-3</v>
      </c>
      <c r="X20" s="224">
        <f>IF(ISERROR(VLOOKUP($A20,'HRGs to TFCs % Split'!$A$8:$I$145,6,0)),0,VLOOKUP($A20,'HRGs to TFCs % Split'!$A$8:$I$145,8,0))</f>
        <v>1.5719214051006361E-4</v>
      </c>
      <c r="Y20" s="224">
        <f>IF(ISERROR(VLOOKUP($A20,'HRGs to TFCs % Split'!$A$8:$I$145,6,0)),0,VLOOKUP($A20,'HRGs to TFCs % Split'!$A$8:$I$145,9,0))</f>
        <v>1.1942797282439637E-2</v>
      </c>
      <c r="Z20" s="225">
        <f t="shared" si="13"/>
        <v>8401.6141680984874</v>
      </c>
      <c r="AA20" s="225">
        <f t="shared" si="14"/>
        <v>814648.82287082437</v>
      </c>
      <c r="AB20" s="225">
        <f t="shared" si="15"/>
        <v>24789.378067411468</v>
      </c>
      <c r="AC20" s="225">
        <f t="shared" si="16"/>
        <v>1883392.6178255505</v>
      </c>
      <c r="AD20" s="226">
        <f t="shared" si="17"/>
        <v>4792</v>
      </c>
      <c r="AE20" s="226">
        <f t="shared" si="18"/>
        <v>373923</v>
      </c>
      <c r="AF20" s="226">
        <f t="shared" si="19"/>
        <v>8705</v>
      </c>
      <c r="AG20" s="226">
        <f t="shared" si="20"/>
        <v>396505</v>
      </c>
      <c r="AH20" s="226">
        <f t="shared" si="21"/>
        <v>863450.33059731754</v>
      </c>
      <c r="AI20" s="226">
        <f t="shared" si="22"/>
        <v>44701350.727619618</v>
      </c>
      <c r="AJ20" s="226">
        <f t="shared" si="23"/>
        <v>1373668.7429925615</v>
      </c>
      <c r="AK20" s="226">
        <f t="shared" si="24"/>
        <v>36969571.621218652</v>
      </c>
      <c r="AL20" s="227">
        <f t="shared" si="25"/>
        <v>180.18579519977411</v>
      </c>
      <c r="AM20" s="227">
        <f t="shared" si="26"/>
        <v>119.54694075416495</v>
      </c>
      <c r="AN20" s="227">
        <f t="shared" si="27"/>
        <v>157.80226800603808</v>
      </c>
      <c r="AO20" s="227">
        <f t="shared" si="28"/>
        <v>93.238601332186605</v>
      </c>
      <c r="AP20" s="228">
        <f t="shared" si="29"/>
        <v>-5.3467866782811457E-3</v>
      </c>
      <c r="AQ20" s="228">
        <f t="shared" si="30"/>
        <v>-4.2639114616249696E-4</v>
      </c>
      <c r="AR20" s="228">
        <f t="shared" si="31"/>
        <v>-6.4236305893444756E-3</v>
      </c>
      <c r="AS20" s="228">
        <f t="shared" si="32"/>
        <v>1.0852116975154535E-2</v>
      </c>
      <c r="AT20" s="227">
        <f>IF(ISERROR(VLOOKUP(A20,Mandatory!A:A,1,FALSE)),0,1)</f>
        <v>1</v>
      </c>
    </row>
    <row r="21" spans="1:46">
      <c r="A21" s="231">
        <v>141</v>
      </c>
      <c r="B21" s="222">
        <f>VLOOKUP(A21,OPATT_Activities!A:J,3,FALSE)</f>
        <v>1103</v>
      </c>
      <c r="C21" s="222">
        <f>VLOOKUP(A21,OPATT_Activities!A:J,4,FALSE)</f>
        <v>88062</v>
      </c>
      <c r="D21" s="222">
        <f>VLOOKUP(A21,OPATT_Activities!A:J,5,FALSE)</f>
        <v>674</v>
      </c>
      <c r="E21" s="222">
        <f>VLOOKUP(A21,OPATT_Activities!A:J,6,FALSE)</f>
        <v>192581</v>
      </c>
      <c r="F21" s="222">
        <f>VLOOKUP(A21,OPATT_Cost_Quantum!A:F,2,FALSE)</f>
        <v>148291.77369059701</v>
      </c>
      <c r="G21" s="222">
        <f>VLOOKUP(A21,OPATT_Cost_Quantum!A:F,3,FALSE)</f>
        <v>8624732.2682895903</v>
      </c>
      <c r="H21" s="222">
        <f>VLOOKUP(A21,OPATT_Cost_Quantum!A:F,4,FALSE)</f>
        <v>62769.922106100799</v>
      </c>
      <c r="I21" s="222">
        <f>VLOOKUP(A21,OPATT_Cost_Quantum!A:F,5,FALSE)</f>
        <v>19443032.730633199</v>
      </c>
      <c r="J21" s="223">
        <f t="shared" si="12"/>
        <v>134.44403779745875</v>
      </c>
      <c r="K21" s="223">
        <f t="shared" si="2"/>
        <v>97.939318528872732</v>
      </c>
      <c r="L21" s="223">
        <f t="shared" si="2"/>
        <v>93.130448228636197</v>
      </c>
      <c r="M21" s="223">
        <f t="shared" si="2"/>
        <v>100.960285441623</v>
      </c>
      <c r="N21" s="224">
        <f>IF(ISERROR(VLOOKUP($A21,'HRGs to TFCs % Split'!$A$8:$I$145,6,0)),0,VLOOKUP($A21,'HRGs to TFCs % Split'!$A$8:$I$145,6,0))</f>
        <v>3.746851766347885E-5</v>
      </c>
      <c r="O21" s="224">
        <f>IF(ISERROR(VLOOKUP($A21,'HRGs to TFCs % Split'!$A$8:$I$145,6,0)),0,VLOOKUP($A21,'HRGs to TFCs % Split'!$A$8:$I$145,7,0))</f>
        <v>9.947696291124138E-4</v>
      </c>
      <c r="P21" s="224">
        <f>IF(ISERROR(VLOOKUP($A21,'HRGs to TFCs % Split'!$A$8:$I$145,6,0)),0,VLOOKUP($A21,'HRGs to TFCs % Split'!$A$8:$I$145,8,0))</f>
        <v>9.7574264748642837E-6</v>
      </c>
      <c r="Q21" s="224">
        <f>IF(ISERROR(VLOOKUP($A21,'HRGs to TFCs % Split'!$A$8:$I$145,6,0)),0,VLOOKUP($A21,'HRGs to TFCs % Split'!$A$8:$I$145,9,0))</f>
        <v>8.8098827898902138E-3</v>
      </c>
      <c r="R21" s="225">
        <f t="shared" si="3"/>
        <v>51</v>
      </c>
      <c r="S21" s="225">
        <f t="shared" si="4"/>
        <v>1342</v>
      </c>
      <c r="T21" s="225">
        <f t="shared" si="5"/>
        <v>13</v>
      </c>
      <c r="U21" s="225">
        <f t="shared" si="6"/>
        <v>11888</v>
      </c>
      <c r="V21" s="224">
        <f>IF(ISERROR(VLOOKUP($A21,'HRGs to TFCs % Split'!$A$8:$I$145,6,0)),0,VLOOKUP($A21,'HRGs to TFCs % Split'!$A$8:$I$145,6,0))</f>
        <v>3.746851766347885E-5</v>
      </c>
      <c r="W21" s="224">
        <f>IF(ISERROR(VLOOKUP($A21,'HRGs to TFCs % Split'!$A$8:$I$145,6,0)),0,VLOOKUP($A21,'HRGs to TFCs % Split'!$A$8:$I$145,7,0))</f>
        <v>9.947696291124138E-4</v>
      </c>
      <c r="X21" s="224">
        <f>IF(ISERROR(VLOOKUP($A21,'HRGs to TFCs % Split'!$A$8:$I$145,6,0)),0,VLOOKUP($A21,'HRGs to TFCs % Split'!$A$8:$I$145,8,0))</f>
        <v>9.7574264748642837E-6</v>
      </c>
      <c r="Y21" s="224">
        <f>IF(ISERROR(VLOOKUP($A21,'HRGs to TFCs % Split'!$A$8:$I$145,6,0)),0,VLOOKUP($A21,'HRGs to TFCs % Split'!$A$8:$I$145,9,0))</f>
        <v>8.8098827898902138E-3</v>
      </c>
      <c r="Z21" s="225">
        <f t="shared" si="13"/>
        <v>5908.8275467945405</v>
      </c>
      <c r="AA21" s="225">
        <f t="shared" si="14"/>
        <v>156876.29385304777</v>
      </c>
      <c r="AB21" s="225">
        <f t="shared" si="15"/>
        <v>1538.7571736444115</v>
      </c>
      <c r="AC21" s="225">
        <f t="shared" si="16"/>
        <v>1389328.4645118029</v>
      </c>
      <c r="AD21" s="226">
        <f t="shared" si="17"/>
        <v>1154</v>
      </c>
      <c r="AE21" s="226">
        <f t="shared" si="18"/>
        <v>89404</v>
      </c>
      <c r="AF21" s="226">
        <f t="shared" si="19"/>
        <v>687</v>
      </c>
      <c r="AG21" s="226">
        <f t="shared" si="20"/>
        <v>204469</v>
      </c>
      <c r="AH21" s="226">
        <f t="shared" si="21"/>
        <v>154200.60123739156</v>
      </c>
      <c r="AI21" s="226">
        <f t="shared" si="22"/>
        <v>8781608.5621426385</v>
      </c>
      <c r="AJ21" s="226">
        <f t="shared" si="23"/>
        <v>64308.679279745207</v>
      </c>
      <c r="AK21" s="226">
        <f t="shared" si="24"/>
        <v>20832361.195145003</v>
      </c>
      <c r="AL21" s="227">
        <f t="shared" si="25"/>
        <v>133.62270471177777</v>
      </c>
      <c r="AM21" s="227">
        <f t="shared" si="26"/>
        <v>98.223888887998726</v>
      </c>
      <c r="AN21" s="227">
        <f t="shared" si="27"/>
        <v>93.607975661928975</v>
      </c>
      <c r="AO21" s="227">
        <f t="shared" si="28"/>
        <v>101.88518159302879</v>
      </c>
      <c r="AP21" s="228">
        <f t="shared" si="29"/>
        <v>-6.109107544942427E-3</v>
      </c>
      <c r="AQ21" s="228">
        <f t="shared" si="30"/>
        <v>2.9055783050206951E-3</v>
      </c>
      <c r="AR21" s="228">
        <f t="shared" si="31"/>
        <v>5.1275113818891604E-3</v>
      </c>
      <c r="AS21" s="228">
        <f t="shared" si="32"/>
        <v>9.1609898621034525E-3</v>
      </c>
      <c r="AT21" s="227">
        <f>IF(ISERROR(VLOOKUP(A21,Mandatory!A:A,1,FALSE)),0,1)</f>
        <v>0</v>
      </c>
    </row>
    <row r="22" spans="1:46">
      <c r="A22" s="231">
        <v>142</v>
      </c>
      <c r="B22" s="222">
        <f>VLOOKUP(A22,OPATT_Activities!A:J,3,FALSE)</f>
        <v>87</v>
      </c>
      <c r="C22" s="222">
        <f>VLOOKUP(A22,OPATT_Activities!A:J,4,FALSE)</f>
        <v>27557</v>
      </c>
      <c r="D22" s="222">
        <f>VLOOKUP(A22,OPATT_Activities!A:J,5,FALSE)</f>
        <v>263</v>
      </c>
      <c r="E22" s="222">
        <f>VLOOKUP(A22,OPATT_Activities!A:J,6,FALSE)</f>
        <v>51729</v>
      </c>
      <c r="F22" s="222">
        <f>VLOOKUP(A22,OPATT_Cost_Quantum!A:F,2,FALSE)</f>
        <v>3820.0100880231998</v>
      </c>
      <c r="G22" s="222">
        <f>VLOOKUP(A22,OPATT_Cost_Quantum!A:F,3,FALSE)</f>
        <v>2334209.6131990599</v>
      </c>
      <c r="H22" s="222">
        <f>VLOOKUP(A22,OPATT_Cost_Quantum!A:F,4,FALSE)</f>
        <v>16706.891185999099</v>
      </c>
      <c r="I22" s="222">
        <f>VLOOKUP(A22,OPATT_Cost_Quantum!A:F,5,FALSE)</f>
        <v>5095495.8832442202</v>
      </c>
      <c r="J22" s="223">
        <f t="shared" si="12"/>
        <v>43.908161931301144</v>
      </c>
      <c r="K22" s="223">
        <f t="shared" si="2"/>
        <v>84.704779663935113</v>
      </c>
      <c r="L22" s="223">
        <f t="shared" si="2"/>
        <v>63.524301087449047</v>
      </c>
      <c r="M22" s="223">
        <f t="shared" si="2"/>
        <v>98.503661065248124</v>
      </c>
      <c r="N22" s="224">
        <f>IF(ISERROR(VLOOKUP($A22,'HRGs to TFCs % Split'!$A$8:$I$145,6,0)),0,VLOOKUP($A22,'HRGs to TFCs % Split'!$A$8:$I$145,6,0))</f>
        <v>9.6598522101156409E-6</v>
      </c>
      <c r="O22" s="224">
        <f>IF(ISERROR(VLOOKUP($A22,'HRGs to TFCs % Split'!$A$8:$I$145,6,0)),0,VLOOKUP($A22,'HRGs to TFCs % Split'!$A$8:$I$145,7,0))</f>
        <v>6.440877216057914E-4</v>
      </c>
      <c r="P22" s="224">
        <f>IF(ISERROR(VLOOKUP($A22,'HRGs to TFCs % Split'!$A$8:$I$145,6,0)),0,VLOOKUP($A22,'HRGs to TFCs % Split'!$A$8:$I$145,8,0))</f>
        <v>2.0393021332466354E-5</v>
      </c>
      <c r="Q22" s="224">
        <f>IF(ISERROR(VLOOKUP($A22,'HRGs to TFCs % Split'!$A$8:$I$145,6,0)),0,VLOOKUP($A22,'HRGs to TFCs % Split'!$A$8:$I$145,9,0))</f>
        <v>2.4657992444629532E-3</v>
      </c>
      <c r="R22" s="225">
        <f t="shared" si="3"/>
        <v>13</v>
      </c>
      <c r="S22" s="225">
        <f t="shared" si="4"/>
        <v>869</v>
      </c>
      <c r="T22" s="225">
        <f t="shared" si="5"/>
        <v>28</v>
      </c>
      <c r="U22" s="225">
        <f t="shared" si="6"/>
        <v>3327</v>
      </c>
      <c r="V22" s="224">
        <f>IF(ISERROR(VLOOKUP($A22,'HRGs to TFCs % Split'!$A$8:$I$145,6,0)),0,VLOOKUP($A22,'HRGs to TFCs % Split'!$A$8:$I$145,6,0))</f>
        <v>9.6598522101156409E-6</v>
      </c>
      <c r="W22" s="224">
        <f>IF(ISERROR(VLOOKUP($A22,'HRGs to TFCs % Split'!$A$8:$I$145,6,0)),0,VLOOKUP($A22,'HRGs to TFCs % Split'!$A$8:$I$145,7,0))</f>
        <v>6.440877216057914E-4</v>
      </c>
      <c r="X22" s="224">
        <f>IF(ISERROR(VLOOKUP($A22,'HRGs to TFCs % Split'!$A$8:$I$145,6,0)),0,VLOOKUP($A22,'HRGs to TFCs % Split'!$A$8:$I$145,8,0))</f>
        <v>2.0393021332466354E-5</v>
      </c>
      <c r="Y22" s="224">
        <f>IF(ISERROR(VLOOKUP($A22,'HRGs to TFCs % Split'!$A$8:$I$145,6,0)),0,VLOOKUP($A22,'HRGs to TFCs % Split'!$A$8:$I$145,9,0))</f>
        <v>2.4657992444629532E-3</v>
      </c>
      <c r="Z22" s="225">
        <f t="shared" si="13"/>
        <v>1523.3696019079673</v>
      </c>
      <c r="AA22" s="225">
        <f t="shared" si="14"/>
        <v>101573.36103226761</v>
      </c>
      <c r="AB22" s="225">
        <f t="shared" si="15"/>
        <v>3216.0024929168203</v>
      </c>
      <c r="AC22" s="225">
        <f t="shared" si="16"/>
        <v>388859.32535167923</v>
      </c>
      <c r="AD22" s="226">
        <f t="shared" si="17"/>
        <v>100</v>
      </c>
      <c r="AE22" s="226">
        <f t="shared" si="18"/>
        <v>28426</v>
      </c>
      <c r="AF22" s="226">
        <f t="shared" si="19"/>
        <v>291</v>
      </c>
      <c r="AG22" s="226">
        <f t="shared" si="20"/>
        <v>55056</v>
      </c>
      <c r="AH22" s="226">
        <f t="shared" si="21"/>
        <v>5343.3796899311674</v>
      </c>
      <c r="AI22" s="226">
        <f t="shared" si="22"/>
        <v>2435782.9742313274</v>
      </c>
      <c r="AJ22" s="226">
        <f t="shared" si="23"/>
        <v>19922.89367891592</v>
      </c>
      <c r="AK22" s="226">
        <f t="shared" si="24"/>
        <v>5484355.2085958999</v>
      </c>
      <c r="AL22" s="227">
        <f t="shared" si="25"/>
        <v>53.433796899311673</v>
      </c>
      <c r="AM22" s="227">
        <f t="shared" si="26"/>
        <v>85.688558862707637</v>
      </c>
      <c r="AN22" s="227">
        <f t="shared" si="27"/>
        <v>68.463552161223092</v>
      </c>
      <c r="AO22" s="227">
        <f t="shared" si="28"/>
        <v>99.614123957350699</v>
      </c>
      <c r="AP22" s="228">
        <f t="shared" si="29"/>
        <v>0.21694451666900494</v>
      </c>
      <c r="AQ22" s="228">
        <f t="shared" si="30"/>
        <v>1.1614211177641387E-2</v>
      </c>
      <c r="AR22" s="228">
        <f t="shared" si="31"/>
        <v>7.7753725569913001E-2</v>
      </c>
      <c r="AS22" s="228">
        <f t="shared" si="32"/>
        <v>1.1273315936622952E-2</v>
      </c>
      <c r="AT22" s="227">
        <f>IF(ISERROR(VLOOKUP(A22,Mandatory!A:A,1,FALSE)),0,1)</f>
        <v>0</v>
      </c>
    </row>
    <row r="23" spans="1:46">
      <c r="A23" s="231">
        <v>143</v>
      </c>
      <c r="B23" s="222">
        <f>VLOOKUP(A23,OPATT_Activities!A:J,3,FALSE)</f>
        <v>1555</v>
      </c>
      <c r="C23" s="222">
        <f>VLOOKUP(A23,OPATT_Activities!A:J,4,FALSE)</f>
        <v>57997</v>
      </c>
      <c r="D23" s="222">
        <f>VLOOKUP(A23,OPATT_Activities!A:J,5,FALSE)</f>
        <v>6968</v>
      </c>
      <c r="E23" s="222">
        <f>VLOOKUP(A23,OPATT_Activities!A:J,6,FALSE)</f>
        <v>200515</v>
      </c>
      <c r="F23" s="222">
        <f>VLOOKUP(A23,OPATT_Cost_Quantum!A:F,2,FALSE)</f>
        <v>206376.15003026399</v>
      </c>
      <c r="G23" s="222">
        <f>VLOOKUP(A23,OPATT_Cost_Quantum!A:F,3,FALSE)</f>
        <v>7117779.3314069398</v>
      </c>
      <c r="H23" s="222">
        <f>VLOOKUP(A23,OPATT_Cost_Quantum!A:F,4,FALSE)</f>
        <v>806022.63397093804</v>
      </c>
      <c r="I23" s="222">
        <f>VLOOKUP(A23,OPATT_Cost_Quantum!A:F,5,FALSE)</f>
        <v>17700485.454129901</v>
      </c>
      <c r="J23" s="223">
        <f t="shared" si="12"/>
        <v>132.71778136994467</v>
      </c>
      <c r="K23" s="223">
        <f t="shared" si="2"/>
        <v>122.72668123190751</v>
      </c>
      <c r="L23" s="223">
        <f t="shared" si="2"/>
        <v>115.67489006471557</v>
      </c>
      <c r="M23" s="223">
        <f t="shared" si="2"/>
        <v>88.275118839637443</v>
      </c>
      <c r="N23" s="224">
        <f>IF(ISERROR(VLOOKUP($A23,'HRGs to TFCs % Split'!$A$8:$I$145,6,0)),0,VLOOKUP($A23,'HRGs to TFCs % Split'!$A$8:$I$145,6,0))</f>
        <v>3.3760695603030426E-5</v>
      </c>
      <c r="O23" s="224">
        <f>IF(ISERROR(VLOOKUP($A23,'HRGs to TFCs % Split'!$A$8:$I$145,6,0)),0,VLOOKUP($A23,'HRGs to TFCs % Split'!$A$8:$I$145,7,0))</f>
        <v>1.4101432741473864E-3</v>
      </c>
      <c r="P23" s="224">
        <f>IF(ISERROR(VLOOKUP($A23,'HRGs to TFCs % Split'!$A$8:$I$145,6,0)),0,VLOOKUP($A23,'HRGs to TFCs % Split'!$A$8:$I$145,8,0))</f>
        <v>2.9301551704017444E-4</v>
      </c>
      <c r="Q23" s="224">
        <f>IF(ISERROR(VLOOKUP($A23,'HRGs to TFCs % Split'!$A$8:$I$145,6,0)),0,VLOOKUP($A23,'HRGs to TFCs % Split'!$A$8:$I$145,9,0))</f>
        <v>4.7538962379656782E-2</v>
      </c>
      <c r="R23" s="225">
        <f t="shared" si="3"/>
        <v>46</v>
      </c>
      <c r="S23" s="225">
        <f t="shared" si="4"/>
        <v>1903</v>
      </c>
      <c r="T23" s="225">
        <f t="shared" si="5"/>
        <v>395</v>
      </c>
      <c r="U23" s="225">
        <f t="shared" si="6"/>
        <v>64151</v>
      </c>
      <c r="V23" s="224">
        <f>IF(ISERROR(VLOOKUP($A23,'HRGs to TFCs % Split'!$A$8:$I$145,6,0)),0,VLOOKUP($A23,'HRGs to TFCs % Split'!$A$8:$I$145,6,0))</f>
        <v>3.3760695603030426E-5</v>
      </c>
      <c r="W23" s="224">
        <f>IF(ISERROR(VLOOKUP($A23,'HRGs to TFCs % Split'!$A$8:$I$145,6,0)),0,VLOOKUP($A23,'HRGs to TFCs % Split'!$A$8:$I$145,7,0))</f>
        <v>1.4101432741473864E-3</v>
      </c>
      <c r="X23" s="224">
        <f>IF(ISERROR(VLOOKUP($A23,'HRGs to TFCs % Split'!$A$8:$I$145,6,0)),0,VLOOKUP($A23,'HRGs to TFCs % Split'!$A$8:$I$145,8,0))</f>
        <v>2.9301551704017444E-4</v>
      </c>
      <c r="Y23" s="224">
        <f>IF(ISERROR(VLOOKUP($A23,'HRGs to TFCs % Split'!$A$8:$I$145,6,0)),0,VLOOKUP($A23,'HRGs to TFCs % Split'!$A$8:$I$145,9,0))</f>
        <v>4.7538962379656782E-2</v>
      </c>
      <c r="Z23" s="225">
        <f t="shared" si="13"/>
        <v>5324.0998208096644</v>
      </c>
      <c r="AA23" s="225">
        <f t="shared" si="14"/>
        <v>222381.18673509036</v>
      </c>
      <c r="AB23" s="225">
        <f t="shared" si="15"/>
        <v>46208.877924541681</v>
      </c>
      <c r="AC23" s="225">
        <f t="shared" si="16"/>
        <v>7496948.0505694654</v>
      </c>
      <c r="AD23" s="226">
        <f t="shared" si="17"/>
        <v>1601</v>
      </c>
      <c r="AE23" s="226">
        <f t="shared" si="18"/>
        <v>59900</v>
      </c>
      <c r="AF23" s="226">
        <f t="shared" si="19"/>
        <v>7363</v>
      </c>
      <c r="AG23" s="226">
        <f t="shared" si="20"/>
        <v>264666</v>
      </c>
      <c r="AH23" s="226">
        <f t="shared" si="21"/>
        <v>211700.24985107366</v>
      </c>
      <c r="AI23" s="226">
        <f t="shared" si="22"/>
        <v>7340160.5181420306</v>
      </c>
      <c r="AJ23" s="226">
        <f t="shared" si="23"/>
        <v>852231.51189547975</v>
      </c>
      <c r="AK23" s="226">
        <f t="shared" si="24"/>
        <v>25197433.504699364</v>
      </c>
      <c r="AL23" s="227">
        <f t="shared" si="25"/>
        <v>132.23001239917156</v>
      </c>
      <c r="AM23" s="227">
        <f t="shared" si="26"/>
        <v>122.54024237298883</v>
      </c>
      <c r="AN23" s="227">
        <f t="shared" si="27"/>
        <v>115.7451462577047</v>
      </c>
      <c r="AO23" s="227">
        <f t="shared" si="28"/>
        <v>95.204648518129886</v>
      </c>
      <c r="AP23" s="228">
        <f t="shared" si="29"/>
        <v>-3.6752345144580589E-3</v>
      </c>
      <c r="AQ23" s="228">
        <f t="shared" si="30"/>
        <v>-1.5191387646699139E-3</v>
      </c>
      <c r="AR23" s="228">
        <f t="shared" si="31"/>
        <v>6.0735906426900854E-4</v>
      </c>
      <c r="AS23" s="228">
        <f t="shared" si="32"/>
        <v>7.8499239305254154E-2</v>
      </c>
      <c r="AT23" s="227">
        <f>IF(ISERROR(VLOOKUP(A23,Mandatory!A:A,1,FALSE)),0,1)</f>
        <v>1</v>
      </c>
    </row>
    <row r="24" spans="1:46">
      <c r="A24" s="231">
        <v>144</v>
      </c>
      <c r="B24" s="222">
        <f>VLOOKUP(A24,OPATT_Activities!A:J,3,FALSE)</f>
        <v>1378</v>
      </c>
      <c r="C24" s="222">
        <f>VLOOKUP(A24,OPATT_Activities!A:J,4,FALSE)</f>
        <v>157569</v>
      </c>
      <c r="D24" s="222">
        <f>VLOOKUP(A24,OPATT_Activities!A:J,5,FALSE)</f>
        <v>5629</v>
      </c>
      <c r="E24" s="222">
        <f>VLOOKUP(A24,OPATT_Activities!A:J,6,FALSE)</f>
        <v>181597</v>
      </c>
      <c r="F24" s="222">
        <f>VLOOKUP(A24,OPATT_Cost_Quantum!A:F,2,FALSE)</f>
        <v>160567.670178548</v>
      </c>
      <c r="G24" s="222">
        <f>VLOOKUP(A24,OPATT_Cost_Quantum!A:F,3,FALSE)</f>
        <v>17255206.289466299</v>
      </c>
      <c r="H24" s="222">
        <f>VLOOKUP(A24,OPATT_Cost_Quantum!A:F,4,FALSE)</f>
        <v>520402.78707992297</v>
      </c>
      <c r="I24" s="222">
        <f>VLOOKUP(A24,OPATT_Cost_Quantum!A:F,5,FALSE)</f>
        <v>17418771.140027601</v>
      </c>
      <c r="J24" s="223">
        <f t="shared" si="12"/>
        <v>116.52225702361973</v>
      </c>
      <c r="K24" s="223">
        <f t="shared" si="12"/>
        <v>109.50889000670372</v>
      </c>
      <c r="L24" s="223">
        <f t="shared" si="12"/>
        <v>92.450308594763356</v>
      </c>
      <c r="M24" s="223">
        <f t="shared" si="12"/>
        <v>95.919927862396406</v>
      </c>
      <c r="N24" s="224">
        <f>IF(ISERROR(VLOOKUP($A24,'HRGs to TFCs % Split'!$A$8:$I$145,6,0)),0,VLOOKUP($A24,'HRGs to TFCs % Split'!$A$8:$I$145,6,0))</f>
        <v>2.0685744126712281E-5</v>
      </c>
      <c r="O24" s="224">
        <f>IF(ISERROR(VLOOKUP($A24,'HRGs to TFCs % Split'!$A$8:$I$145,6,0)),0,VLOOKUP($A24,'HRGs to TFCs % Split'!$A$8:$I$145,7,0))</f>
        <v>1.6843269580910727E-3</v>
      </c>
      <c r="P24" s="224">
        <f>IF(ISERROR(VLOOKUP($A24,'HRGs to TFCs % Split'!$A$8:$I$145,6,0)),0,VLOOKUP($A24,'HRGs to TFCs % Split'!$A$8:$I$145,8,0))</f>
        <v>1.4704441697620477E-4</v>
      </c>
      <c r="Q24" s="224">
        <f>IF(ISERROR(VLOOKUP($A24,'HRGs to TFCs % Split'!$A$8:$I$145,6,0)),0,VLOOKUP($A24,'HRGs to TFCs % Split'!$A$8:$I$145,9,0))</f>
        <v>5.0238061691133739E-3</v>
      </c>
      <c r="R24" s="225">
        <f t="shared" si="3"/>
        <v>28</v>
      </c>
      <c r="S24" s="225">
        <f t="shared" si="4"/>
        <v>2273</v>
      </c>
      <c r="T24" s="225">
        <f t="shared" si="5"/>
        <v>198</v>
      </c>
      <c r="U24" s="225">
        <f t="shared" si="6"/>
        <v>6779</v>
      </c>
      <c r="V24" s="224">
        <f>IF(ISERROR(VLOOKUP($A24,'HRGs to TFCs % Split'!$A$8:$I$145,6,0)),0,VLOOKUP($A24,'HRGs to TFCs % Split'!$A$8:$I$145,6,0))</f>
        <v>2.0685744126712281E-5</v>
      </c>
      <c r="W24" s="224">
        <f>IF(ISERROR(VLOOKUP($A24,'HRGs to TFCs % Split'!$A$8:$I$145,6,0)),0,VLOOKUP($A24,'HRGs to TFCs % Split'!$A$8:$I$145,7,0))</f>
        <v>1.6843269580910727E-3</v>
      </c>
      <c r="X24" s="224">
        <f>IF(ISERROR(VLOOKUP($A24,'HRGs to TFCs % Split'!$A$8:$I$145,6,0)),0,VLOOKUP($A24,'HRGs to TFCs % Split'!$A$8:$I$145,8,0))</f>
        <v>1.4704441697620477E-4</v>
      </c>
      <c r="Y24" s="224">
        <f>IF(ISERROR(VLOOKUP($A24,'HRGs to TFCs % Split'!$A$8:$I$145,6,0)),0,VLOOKUP($A24,'HRGs to TFCs % Split'!$A$8:$I$145,9,0))</f>
        <v>5.0238061691133739E-3</v>
      </c>
      <c r="Z24" s="225">
        <f t="shared" si="13"/>
        <v>3262.1652081261523</v>
      </c>
      <c r="AA24" s="225">
        <f t="shared" si="14"/>
        <v>265620.26331449836</v>
      </c>
      <c r="AB24" s="225">
        <f t="shared" si="15"/>
        <v>23189.070606821282</v>
      </c>
      <c r="AC24" s="225">
        <f t="shared" si="16"/>
        <v>792259.90599429817</v>
      </c>
      <c r="AD24" s="226">
        <f t="shared" si="17"/>
        <v>1406</v>
      </c>
      <c r="AE24" s="226">
        <f t="shared" si="18"/>
        <v>159842</v>
      </c>
      <c r="AF24" s="226">
        <f t="shared" si="19"/>
        <v>5827</v>
      </c>
      <c r="AG24" s="226">
        <f t="shared" si="20"/>
        <v>188376</v>
      </c>
      <c r="AH24" s="226">
        <f t="shared" si="21"/>
        <v>163829.83538667415</v>
      </c>
      <c r="AI24" s="226">
        <f t="shared" si="22"/>
        <v>17520826.552780796</v>
      </c>
      <c r="AJ24" s="226">
        <f t="shared" si="23"/>
        <v>543591.8576867443</v>
      </c>
      <c r="AK24" s="226">
        <f t="shared" si="24"/>
        <v>18211031.046021901</v>
      </c>
      <c r="AL24" s="227">
        <f t="shared" si="25"/>
        <v>116.5219312849745</v>
      </c>
      <c r="AM24" s="227">
        <f t="shared" si="26"/>
        <v>109.61340919646148</v>
      </c>
      <c r="AN24" s="227">
        <f t="shared" si="27"/>
        <v>93.288460217392199</v>
      </c>
      <c r="AO24" s="227">
        <f t="shared" si="28"/>
        <v>96.673838737535036</v>
      </c>
      <c r="AP24" s="228">
        <f t="shared" si="29"/>
        <v>-2.7955057990691756E-6</v>
      </c>
      <c r="AQ24" s="228">
        <f t="shared" si="30"/>
        <v>9.5443566044139949E-4</v>
      </c>
      <c r="AR24" s="228">
        <f t="shared" si="31"/>
        <v>9.065968901225796E-3</v>
      </c>
      <c r="AS24" s="228">
        <f t="shared" si="32"/>
        <v>7.8597940171531988E-3</v>
      </c>
      <c r="AT24" s="227">
        <f>IF(ISERROR(VLOOKUP(A24,Mandatory!A:A,1,FALSE)),0,1)</f>
        <v>1</v>
      </c>
    </row>
    <row r="25" spans="1:46">
      <c r="A25" s="231">
        <v>150</v>
      </c>
      <c r="B25" s="222">
        <f>VLOOKUP(A25,OPATT_Activities!A:J,3,FALSE)</f>
        <v>4952</v>
      </c>
      <c r="C25" s="222">
        <f>VLOOKUP(A25,OPATT_Activities!A:J,4,FALSE)</f>
        <v>95804</v>
      </c>
      <c r="D25" s="222">
        <f>VLOOKUP(A25,OPATT_Activities!A:J,5,FALSE)</f>
        <v>4681</v>
      </c>
      <c r="E25" s="222">
        <f>VLOOKUP(A25,OPATT_Activities!A:J,6,FALSE)</f>
        <v>149638</v>
      </c>
      <c r="F25" s="222">
        <f>VLOOKUP(A25,OPATT_Cost_Quantum!A:F,2,FALSE)</f>
        <v>1149396.39182257</v>
      </c>
      <c r="G25" s="222">
        <f>VLOOKUP(A25,OPATT_Cost_Quantum!A:F,3,FALSE)</f>
        <v>17217431.295707598</v>
      </c>
      <c r="H25" s="222">
        <f>VLOOKUP(A25,OPATT_Cost_Quantum!A:F,4,FALSE)</f>
        <v>953834.90890233498</v>
      </c>
      <c r="I25" s="222">
        <f>VLOOKUP(A25,OPATT_Cost_Quantum!A:F,5,FALSE)</f>
        <v>23074165.360230699</v>
      </c>
      <c r="J25" s="223">
        <f t="shared" si="12"/>
        <v>232.10751046497779</v>
      </c>
      <c r="K25" s="223">
        <f t="shared" si="12"/>
        <v>179.71516111756918</v>
      </c>
      <c r="L25" s="223">
        <f t="shared" si="12"/>
        <v>203.76733794110982</v>
      </c>
      <c r="M25" s="223">
        <f t="shared" si="12"/>
        <v>154.19990483854835</v>
      </c>
      <c r="N25" s="224">
        <f>IF(ISERROR(VLOOKUP($A25,'HRGs to TFCs % Split'!$A$8:$I$145,6,0)),0,VLOOKUP($A25,'HRGs to TFCs % Split'!$A$8:$I$145,6,0))</f>
        <v>2.3417823539674281E-6</v>
      </c>
      <c r="O25" s="224">
        <f>IF(ISERROR(VLOOKUP($A25,'HRGs to TFCs % Split'!$A$8:$I$145,6,0)),0,VLOOKUP($A25,'HRGs to TFCs % Split'!$A$8:$I$145,7,0))</f>
        <v>6.3911143410361066E-5</v>
      </c>
      <c r="P25" s="224">
        <f>IF(ISERROR(VLOOKUP($A25,'HRGs to TFCs % Split'!$A$8:$I$145,6,0)),0,VLOOKUP($A25,'HRGs to TFCs % Split'!$A$8:$I$145,8,0))</f>
        <v>2.7320794129619994E-6</v>
      </c>
      <c r="Q25" s="224">
        <f>IF(ISERROR(VLOOKUP($A25,'HRGs to TFCs % Split'!$A$8:$I$145,6,0)),0,VLOOKUP($A25,'HRGs to TFCs % Split'!$A$8:$I$145,9,0))</f>
        <v>3.373142332360583E-4</v>
      </c>
      <c r="R25" s="225">
        <f t="shared" si="3"/>
        <v>3</v>
      </c>
      <c r="S25" s="225">
        <f t="shared" si="4"/>
        <v>86</v>
      </c>
      <c r="T25" s="225">
        <f t="shared" si="5"/>
        <v>4</v>
      </c>
      <c r="U25" s="225">
        <f t="shared" si="6"/>
        <v>455</v>
      </c>
      <c r="V25" s="224">
        <f>IF(ISERROR(VLOOKUP($A25,'HRGs to TFCs % Split'!$A$8:$I$145,6,0)),0,VLOOKUP($A25,'HRGs to TFCs % Split'!$A$8:$I$145,6,0))</f>
        <v>2.3417823539674281E-6</v>
      </c>
      <c r="W25" s="224">
        <f>IF(ISERROR(VLOOKUP($A25,'HRGs to TFCs % Split'!$A$8:$I$145,6,0)),0,VLOOKUP($A25,'HRGs to TFCs % Split'!$A$8:$I$145,7,0))</f>
        <v>6.3911143410361066E-5</v>
      </c>
      <c r="X25" s="224">
        <f>IF(ISERROR(VLOOKUP($A25,'HRGs to TFCs % Split'!$A$8:$I$145,6,0)),0,VLOOKUP($A25,'HRGs to TFCs % Split'!$A$8:$I$145,8,0))</f>
        <v>2.7320794129619994E-6</v>
      </c>
      <c r="Y25" s="224">
        <f>IF(ISERROR(VLOOKUP($A25,'HRGs to TFCs % Split'!$A$8:$I$145,6,0)),0,VLOOKUP($A25,'HRGs to TFCs % Split'!$A$8:$I$145,9,0))</f>
        <v>3.373142332360583E-4</v>
      </c>
      <c r="Z25" s="225">
        <f t="shared" si="13"/>
        <v>369.30172167465878</v>
      </c>
      <c r="AA25" s="225">
        <f t="shared" si="14"/>
        <v>10078.859487370897</v>
      </c>
      <c r="AB25" s="225">
        <f t="shared" si="15"/>
        <v>430.85200862043524</v>
      </c>
      <c r="AC25" s="225">
        <f t="shared" si="16"/>
        <v>53194.835492887309</v>
      </c>
      <c r="AD25" s="226">
        <f t="shared" si="17"/>
        <v>4955</v>
      </c>
      <c r="AE25" s="226">
        <f t="shared" si="18"/>
        <v>95890</v>
      </c>
      <c r="AF25" s="226">
        <f t="shared" si="19"/>
        <v>4685</v>
      </c>
      <c r="AG25" s="226">
        <f t="shared" si="20"/>
        <v>150093</v>
      </c>
      <c r="AH25" s="226">
        <f t="shared" si="21"/>
        <v>1149765.6935442446</v>
      </c>
      <c r="AI25" s="226">
        <f t="shared" si="22"/>
        <v>17227510.155194968</v>
      </c>
      <c r="AJ25" s="226">
        <f t="shared" si="23"/>
        <v>954265.76091095537</v>
      </c>
      <c r="AK25" s="226">
        <f t="shared" si="24"/>
        <v>23127360.195723586</v>
      </c>
      <c r="AL25" s="227">
        <f t="shared" si="25"/>
        <v>232.04151231972645</v>
      </c>
      <c r="AM25" s="227">
        <f t="shared" si="26"/>
        <v>179.65909015741963</v>
      </c>
      <c r="AN25" s="227">
        <f t="shared" si="27"/>
        <v>203.68532783584959</v>
      </c>
      <c r="AO25" s="227">
        <f t="shared" si="28"/>
        <v>154.08686744700677</v>
      </c>
      <c r="AP25" s="228">
        <f t="shared" si="29"/>
        <v>-2.8434299742874369E-4</v>
      </c>
      <c r="AQ25" s="228">
        <f t="shared" si="30"/>
        <v>-3.1199905339585055E-4</v>
      </c>
      <c r="AR25" s="228">
        <f t="shared" si="31"/>
        <v>-4.0246933629728421E-4</v>
      </c>
      <c r="AS25" s="228">
        <f t="shared" si="32"/>
        <v>-7.3305746628016255E-4</v>
      </c>
      <c r="AT25" s="227">
        <f>IF(ISERROR(VLOOKUP(A25,Mandatory!A:A,1,FALSE)),0,1)</f>
        <v>1</v>
      </c>
    </row>
    <row r="26" spans="1:46">
      <c r="A26" s="231">
        <v>160</v>
      </c>
      <c r="B26" s="222">
        <f>VLOOKUP(A26,OPATT_Activities!A:J,3,FALSE)</f>
        <v>11652</v>
      </c>
      <c r="C26" s="222">
        <f>VLOOKUP(A26,OPATT_Activities!A:J,4,FALSE)</f>
        <v>225286</v>
      </c>
      <c r="D26" s="222">
        <f>VLOOKUP(A26,OPATT_Activities!A:J,5,FALSE)</f>
        <v>13306</v>
      </c>
      <c r="E26" s="222">
        <f>VLOOKUP(A26,OPATT_Activities!A:J,6,FALSE)</f>
        <v>450009</v>
      </c>
      <c r="F26" s="222">
        <f>VLOOKUP(A26,OPATT_Cost_Quantum!A:F,2,FALSE)</f>
        <v>1797136.2928194299</v>
      </c>
      <c r="G26" s="222">
        <f>VLOOKUP(A26,OPATT_Cost_Quantum!A:F,3,FALSE)</f>
        <v>22354405.115116298</v>
      </c>
      <c r="H26" s="222">
        <f>VLOOKUP(A26,OPATT_Cost_Quantum!A:F,4,FALSE)</f>
        <v>1876596.3291651199</v>
      </c>
      <c r="I26" s="222">
        <f>VLOOKUP(A26,OPATT_Cost_Quantum!A:F,5,FALSE)</f>
        <v>35027183.622543298</v>
      </c>
      <c r="J26" s="223">
        <f t="shared" si="12"/>
        <v>154.23414802775747</v>
      </c>
      <c r="K26" s="223">
        <f t="shared" si="12"/>
        <v>99.226783355895606</v>
      </c>
      <c r="L26" s="223">
        <f t="shared" si="12"/>
        <v>141.03384406772284</v>
      </c>
      <c r="M26" s="223">
        <f t="shared" si="12"/>
        <v>77.836629095292082</v>
      </c>
      <c r="N26" s="224">
        <f>IF(ISERROR(VLOOKUP($A26,'HRGs to TFCs % Split'!$A$8:$I$145,6,0)),0,VLOOKUP($A26,'HRGs to TFCs % Split'!$A$8:$I$145,6,0))</f>
        <v>4.234723090091099E-4</v>
      </c>
      <c r="O26" s="224">
        <f>IF(ISERROR(VLOOKUP($A26,'HRGs to TFCs % Split'!$A$8:$I$145,6,0)),0,VLOOKUP($A26,'HRGs to TFCs % Split'!$A$8:$I$145,7,0))</f>
        <v>2.8902472961195498E-3</v>
      </c>
      <c r="P26" s="224">
        <f>IF(ISERROR(VLOOKUP($A26,'HRGs to TFCs % Split'!$A$8:$I$145,6,0)),0,VLOOKUP($A26,'HRGs to TFCs % Split'!$A$8:$I$145,8,0))</f>
        <v>1.5293790256702279E-3</v>
      </c>
      <c r="Q26" s="224">
        <f>IF(ISERROR(VLOOKUP($A26,'HRGs to TFCs % Split'!$A$8:$I$145,6,0)),0,VLOOKUP($A26,'HRGs to TFCs % Split'!$A$8:$I$145,9,0))</f>
        <v>1.3250585152865698E-2</v>
      </c>
      <c r="R26" s="225">
        <f t="shared" si="3"/>
        <v>571</v>
      </c>
      <c r="S26" s="225">
        <f t="shared" si="4"/>
        <v>3900</v>
      </c>
      <c r="T26" s="225">
        <f t="shared" si="5"/>
        <v>2064</v>
      </c>
      <c r="U26" s="225">
        <f t="shared" si="6"/>
        <v>17881</v>
      </c>
      <c r="V26" s="224">
        <f>IF(ISERROR(VLOOKUP($A26,'HRGs to TFCs % Split'!$A$8:$I$145,6,0)),0,VLOOKUP($A26,'HRGs to TFCs % Split'!$A$8:$I$145,6,0))</f>
        <v>4.234723090091099E-4</v>
      </c>
      <c r="W26" s="224">
        <f>IF(ISERROR(VLOOKUP($A26,'HRGs to TFCs % Split'!$A$8:$I$145,6,0)),0,VLOOKUP($A26,'HRGs to TFCs % Split'!$A$8:$I$145,7,0))</f>
        <v>2.8902472961195498E-3</v>
      </c>
      <c r="X26" s="224">
        <f>IF(ISERROR(VLOOKUP($A26,'HRGs to TFCs % Split'!$A$8:$I$145,6,0)),0,VLOOKUP($A26,'HRGs to TFCs % Split'!$A$8:$I$145,8,0))</f>
        <v>1.5293790256702279E-3</v>
      </c>
      <c r="Y26" s="224">
        <f>IF(ISERROR(VLOOKUP($A26,'HRGs to TFCs % Split'!$A$8:$I$145,6,0)),0,VLOOKUP($A26,'HRGs to TFCs % Split'!$A$8:$I$145,9,0))</f>
        <v>1.3250585152865698E-2</v>
      </c>
      <c r="Z26" s="225">
        <f t="shared" si="13"/>
        <v>66782.061336167462</v>
      </c>
      <c r="AA26" s="225">
        <f t="shared" si="14"/>
        <v>455795.26240521116</v>
      </c>
      <c r="AB26" s="225">
        <f t="shared" si="15"/>
        <v>241184.79939702505</v>
      </c>
      <c r="AC26" s="225">
        <f t="shared" si="16"/>
        <v>2089632.2418091109</v>
      </c>
      <c r="AD26" s="226">
        <f t="shared" si="17"/>
        <v>12223</v>
      </c>
      <c r="AE26" s="226">
        <f t="shared" si="18"/>
        <v>229186</v>
      </c>
      <c r="AF26" s="226">
        <f t="shared" si="19"/>
        <v>15370</v>
      </c>
      <c r="AG26" s="226">
        <f t="shared" si="20"/>
        <v>467890</v>
      </c>
      <c r="AH26" s="226">
        <f t="shared" si="21"/>
        <v>1863918.3541555973</v>
      </c>
      <c r="AI26" s="226">
        <f t="shared" si="22"/>
        <v>22810200.377521511</v>
      </c>
      <c r="AJ26" s="226">
        <f t="shared" si="23"/>
        <v>2117781.1285621449</v>
      </c>
      <c r="AK26" s="226">
        <f t="shared" si="24"/>
        <v>37116815.864352405</v>
      </c>
      <c r="AL26" s="227">
        <f t="shared" si="25"/>
        <v>152.49270671321258</v>
      </c>
      <c r="AM26" s="227">
        <f t="shared" si="26"/>
        <v>99.527023367577044</v>
      </c>
      <c r="AN26" s="227">
        <f t="shared" si="27"/>
        <v>137.78667069369843</v>
      </c>
      <c r="AO26" s="227">
        <f t="shared" si="28"/>
        <v>79.328081096737279</v>
      </c>
      <c r="AP26" s="228">
        <f t="shared" si="29"/>
        <v>-1.1290893338558705E-2</v>
      </c>
      <c r="AQ26" s="228">
        <f t="shared" si="30"/>
        <v>3.025796075688314E-3</v>
      </c>
      <c r="AR26" s="228">
        <f t="shared" si="31"/>
        <v>-2.3024071955843106E-2</v>
      </c>
      <c r="AS26" s="228">
        <f t="shared" si="32"/>
        <v>1.9161312852067125E-2</v>
      </c>
      <c r="AT26" s="227">
        <f>IF(ISERROR(VLOOKUP(A26,Mandatory!A:A,1,FALSE)),0,1)</f>
        <v>1</v>
      </c>
    </row>
    <row r="27" spans="1:46">
      <c r="A27" s="231">
        <v>161</v>
      </c>
      <c r="B27" s="222">
        <f>VLOOKUP(A27,OPATT_Activities!A:J,3,FALSE)</f>
        <v>14</v>
      </c>
      <c r="C27" s="222">
        <f>VLOOKUP(A27,OPATT_Activities!A:J,4,FALSE)</f>
        <v>17661</v>
      </c>
      <c r="D27" s="222">
        <f>VLOOKUP(A27,OPATT_Activities!A:J,5,FALSE)</f>
        <v>614</v>
      </c>
      <c r="E27" s="222">
        <f>VLOOKUP(A27,OPATT_Activities!A:J,6,FALSE)</f>
        <v>15082</v>
      </c>
      <c r="F27" s="222">
        <f>VLOOKUP(A27,OPATT_Cost_Quantum!A:F,2,FALSE)</f>
        <v>2973.70852700876</v>
      </c>
      <c r="G27" s="222">
        <f>VLOOKUP(A27,OPATT_Cost_Quantum!A:F,3,FALSE)</f>
        <v>1633274.5615212501</v>
      </c>
      <c r="H27" s="222">
        <f>VLOOKUP(A27,OPATT_Cost_Quantum!A:F,4,FALSE)</f>
        <v>105076.59806751899</v>
      </c>
      <c r="I27" s="222">
        <f>VLOOKUP(A27,OPATT_Cost_Quantum!A:F,5,FALSE)</f>
        <v>1996053.19445254</v>
      </c>
      <c r="J27" s="223">
        <f t="shared" si="12"/>
        <v>212.40775192919713</v>
      </c>
      <c r="K27" s="223">
        <f t="shared" si="12"/>
        <v>92.479166611247948</v>
      </c>
      <c r="L27" s="223">
        <f t="shared" si="12"/>
        <v>171.13452453993321</v>
      </c>
      <c r="M27" s="223">
        <f t="shared" si="12"/>
        <v>132.3467175740976</v>
      </c>
      <c r="N27" s="224">
        <f>IF(ISERROR(VLOOKUP($A27,'HRGs to TFCs % Split'!$A$8:$I$145,6,0)),0,VLOOKUP($A27,'HRGs to TFCs % Split'!$A$8:$I$145,6,0))</f>
        <v>5.7178519142704703E-5</v>
      </c>
      <c r="O27" s="224">
        <f>IF(ISERROR(VLOOKUP($A27,'HRGs to TFCs % Split'!$A$8:$I$145,6,0)),0,VLOOKUP($A27,'HRGs to TFCs % Split'!$A$8:$I$145,7,0))</f>
        <v>9.0841640480986477E-5</v>
      </c>
      <c r="P27" s="224">
        <f>IF(ISERROR(VLOOKUP($A27,'HRGs to TFCs % Split'!$A$8:$I$145,6,0)),0,VLOOKUP($A27,'HRGs to TFCs % Split'!$A$8:$I$145,8,0))</f>
        <v>2.4276477069462338E-4</v>
      </c>
      <c r="Q27" s="224">
        <f>IF(ISERROR(VLOOKUP($A27,'HRGs to TFCs % Split'!$A$8:$I$145,6,0)),0,VLOOKUP($A27,'HRGs to TFCs % Split'!$A$8:$I$145,9,0))</f>
        <v>5.4417167450318115E-4</v>
      </c>
      <c r="R27" s="225">
        <f t="shared" si="3"/>
        <v>77</v>
      </c>
      <c r="S27" s="225">
        <f t="shared" si="4"/>
        <v>123</v>
      </c>
      <c r="T27" s="225">
        <f t="shared" si="5"/>
        <v>328</v>
      </c>
      <c r="U27" s="225">
        <f t="shared" si="6"/>
        <v>734</v>
      </c>
      <c r="V27" s="224">
        <f>IF(ISERROR(VLOOKUP($A27,'HRGs to TFCs % Split'!$A$8:$I$145,6,0)),0,VLOOKUP($A27,'HRGs to TFCs % Split'!$A$8:$I$145,6,0))</f>
        <v>5.7178519142704703E-5</v>
      </c>
      <c r="W27" s="224">
        <f>IF(ISERROR(VLOOKUP($A27,'HRGs to TFCs % Split'!$A$8:$I$145,6,0)),0,VLOOKUP($A27,'HRGs to TFCs % Split'!$A$8:$I$145,7,0))</f>
        <v>9.0841640480986477E-5</v>
      </c>
      <c r="X27" s="224">
        <f>IF(ISERROR(VLOOKUP($A27,'HRGs to TFCs % Split'!$A$8:$I$145,6,0)),0,VLOOKUP($A27,'HRGs to TFCs % Split'!$A$8:$I$145,8,0))</f>
        <v>2.4276477069462338E-4</v>
      </c>
      <c r="Y27" s="224">
        <f>IF(ISERROR(VLOOKUP($A27,'HRGs to TFCs % Split'!$A$8:$I$145,6,0)),0,VLOOKUP($A27,'HRGs to TFCs % Split'!$A$8:$I$145,9,0))</f>
        <v>5.4417167450318115E-4</v>
      </c>
      <c r="Z27" s="225">
        <f t="shared" si="13"/>
        <v>9017.1170375562524</v>
      </c>
      <c r="AA27" s="225">
        <f t="shared" si="14"/>
        <v>14325.829286629471</v>
      </c>
      <c r="AB27" s="225">
        <f t="shared" si="15"/>
        <v>38284.278480272958</v>
      </c>
      <c r="AC27" s="225">
        <f t="shared" si="16"/>
        <v>85816.487574148836</v>
      </c>
      <c r="AD27" s="226">
        <f t="shared" si="17"/>
        <v>91</v>
      </c>
      <c r="AE27" s="226">
        <f t="shared" si="18"/>
        <v>17784</v>
      </c>
      <c r="AF27" s="226">
        <f t="shared" si="19"/>
        <v>942</v>
      </c>
      <c r="AG27" s="226">
        <f t="shared" si="20"/>
        <v>15816</v>
      </c>
      <c r="AH27" s="226">
        <f t="shared" si="21"/>
        <v>11990.825564565013</v>
      </c>
      <c r="AI27" s="226">
        <f t="shared" si="22"/>
        <v>1647600.3908078796</v>
      </c>
      <c r="AJ27" s="226">
        <f t="shared" si="23"/>
        <v>143360.87654779194</v>
      </c>
      <c r="AK27" s="226">
        <f t="shared" si="24"/>
        <v>2081869.6820266889</v>
      </c>
      <c r="AL27" s="227">
        <f t="shared" si="25"/>
        <v>131.76731389631883</v>
      </c>
      <c r="AM27" s="227">
        <f t="shared" si="26"/>
        <v>92.645096199273482</v>
      </c>
      <c r="AN27" s="227">
        <f t="shared" si="27"/>
        <v>152.18776703587255</v>
      </c>
      <c r="AO27" s="227">
        <f t="shared" si="28"/>
        <v>131.63060710841484</v>
      </c>
      <c r="AP27" s="228">
        <f t="shared" si="29"/>
        <v>-0.37964922325320105</v>
      </c>
      <c r="AQ27" s="228">
        <f t="shared" si="30"/>
        <v>1.7942374926782634E-3</v>
      </c>
      <c r="AR27" s="228">
        <f t="shared" si="31"/>
        <v>-0.11071265459144419</v>
      </c>
      <c r="AS27" s="228">
        <f t="shared" si="32"/>
        <v>-5.4108668413467287E-3</v>
      </c>
      <c r="AT27" s="227">
        <f>IF(ISERROR(VLOOKUP(A27,Mandatory!A:A,1,FALSE)),0,1)</f>
        <v>0</v>
      </c>
    </row>
    <row r="28" spans="1:46">
      <c r="A28" s="231">
        <v>170</v>
      </c>
      <c r="B28" s="222">
        <f>VLOOKUP(A28,OPATT_Activities!A:J,3,FALSE)</f>
        <v>242</v>
      </c>
      <c r="C28" s="222">
        <f>VLOOKUP(A28,OPATT_Activities!A:J,4,FALSE)</f>
        <v>23691</v>
      </c>
      <c r="D28" s="222">
        <f>VLOOKUP(A28,OPATT_Activities!A:J,5,FALSE)</f>
        <v>486</v>
      </c>
      <c r="E28" s="222">
        <f>VLOOKUP(A28,OPATT_Activities!A:J,6,FALSE)</f>
        <v>37755</v>
      </c>
      <c r="F28" s="222">
        <f>VLOOKUP(A28,OPATT_Cost_Quantum!A:F,2,FALSE)</f>
        <v>139157.81331221</v>
      </c>
      <c r="G28" s="222">
        <f>VLOOKUP(A28,OPATT_Cost_Quantum!A:F,3,FALSE)</f>
        <v>5862602.9264885997</v>
      </c>
      <c r="H28" s="222">
        <f>VLOOKUP(A28,OPATT_Cost_Quantum!A:F,4,FALSE)</f>
        <v>366317.02186883998</v>
      </c>
      <c r="I28" s="222">
        <f>VLOOKUP(A28,OPATT_Cost_Quantum!A:F,5,FALSE)</f>
        <v>9403406.4734223392</v>
      </c>
      <c r="J28" s="223">
        <f t="shared" si="12"/>
        <v>575.03228641409089</v>
      </c>
      <c r="K28" s="223">
        <f t="shared" si="12"/>
        <v>247.46118468990755</v>
      </c>
      <c r="L28" s="223">
        <f t="shared" si="12"/>
        <v>753.73872812518516</v>
      </c>
      <c r="M28" s="223">
        <f t="shared" si="12"/>
        <v>249.06387163083934</v>
      </c>
      <c r="N28" s="224">
        <f>IF(ISERROR(VLOOKUP($A28,'HRGs to TFCs % Split'!$A$8:$I$145,6,0)),0,VLOOKUP($A28,'HRGs to TFCs % Split'!$A$8:$I$145,6,0))</f>
        <v>4.8787132374321421E-7</v>
      </c>
      <c r="O28" s="224">
        <f>IF(ISERROR(VLOOKUP($A28,'HRGs to TFCs % Split'!$A$8:$I$145,6,0)),0,VLOOKUP($A28,'HRGs to TFCs % Split'!$A$8:$I$145,7,0))</f>
        <v>3.4541289721019568E-5</v>
      </c>
      <c r="P28" s="224">
        <f>IF(ISERROR(VLOOKUP($A28,'HRGs to TFCs % Split'!$A$8:$I$145,6,0)),0,VLOOKUP($A28,'HRGs to TFCs % Split'!$A$8:$I$145,8,0))</f>
        <v>4.8787132374321421E-7</v>
      </c>
      <c r="Q28" s="224">
        <f>IF(ISERROR(VLOOKUP($A28,'HRGs to TFCs % Split'!$A$8:$I$145,6,0)),0,VLOOKUP($A28,'HRGs to TFCs % Split'!$A$8:$I$145,9,0))</f>
        <v>9.0256194892494624E-5</v>
      </c>
      <c r="R28" s="225">
        <f t="shared" si="3"/>
        <v>1</v>
      </c>
      <c r="S28" s="225">
        <f t="shared" si="4"/>
        <v>47</v>
      </c>
      <c r="T28" s="225">
        <f t="shared" si="5"/>
        <v>1</v>
      </c>
      <c r="U28" s="225">
        <f t="shared" si="6"/>
        <v>122</v>
      </c>
      <c r="V28" s="224">
        <f>IF(ISERROR(VLOOKUP($A28,'HRGs to TFCs % Split'!$A$8:$I$145,6,0)),0,VLOOKUP($A28,'HRGs to TFCs % Split'!$A$8:$I$145,6,0))</f>
        <v>4.8787132374321421E-7</v>
      </c>
      <c r="W28" s="224">
        <f>IF(ISERROR(VLOOKUP($A28,'HRGs to TFCs % Split'!$A$8:$I$145,6,0)),0,VLOOKUP($A28,'HRGs to TFCs % Split'!$A$8:$I$145,7,0))</f>
        <v>3.4541289721019568E-5</v>
      </c>
      <c r="X28" s="224">
        <f>IF(ISERROR(VLOOKUP($A28,'HRGs to TFCs % Split'!$A$8:$I$145,6,0)),0,VLOOKUP($A28,'HRGs to TFCs % Split'!$A$8:$I$145,8,0))</f>
        <v>4.8787132374321421E-7</v>
      </c>
      <c r="Y28" s="224">
        <f>IF(ISERROR(VLOOKUP($A28,'HRGs to TFCs % Split'!$A$8:$I$145,6,0)),0,VLOOKUP($A28,'HRGs to TFCs % Split'!$A$8:$I$145,9,0))</f>
        <v>9.0256194892494624E-5</v>
      </c>
      <c r="Z28" s="225">
        <f t="shared" si="13"/>
        <v>76.937858682220579</v>
      </c>
      <c r="AA28" s="225">
        <f t="shared" si="14"/>
        <v>5447.2003947012172</v>
      </c>
      <c r="AB28" s="225">
        <f t="shared" si="15"/>
        <v>76.937858682220579</v>
      </c>
      <c r="AC28" s="225">
        <f t="shared" si="16"/>
        <v>14233.503856210806</v>
      </c>
      <c r="AD28" s="226">
        <f t="shared" si="17"/>
        <v>243</v>
      </c>
      <c r="AE28" s="226">
        <f t="shared" si="18"/>
        <v>23738</v>
      </c>
      <c r="AF28" s="226">
        <f t="shared" si="19"/>
        <v>487</v>
      </c>
      <c r="AG28" s="226">
        <f t="shared" si="20"/>
        <v>37877</v>
      </c>
      <c r="AH28" s="226">
        <f t="shared" si="21"/>
        <v>139234.75117089221</v>
      </c>
      <c r="AI28" s="226">
        <f t="shared" si="22"/>
        <v>5868050.126883301</v>
      </c>
      <c r="AJ28" s="226">
        <f t="shared" si="23"/>
        <v>366393.95972752222</v>
      </c>
      <c r="AK28" s="226">
        <f t="shared" si="24"/>
        <v>9417639.9772785492</v>
      </c>
      <c r="AL28" s="227">
        <f t="shared" si="25"/>
        <v>572.98251510655234</v>
      </c>
      <c r="AM28" s="227">
        <f t="shared" si="26"/>
        <v>247.20069622054515</v>
      </c>
      <c r="AN28" s="227">
        <f t="shared" si="27"/>
        <v>752.34899328033305</v>
      </c>
      <c r="AO28" s="227">
        <f t="shared" si="28"/>
        <v>248.63743108690099</v>
      </c>
      <c r="AP28" s="228">
        <f t="shared" si="29"/>
        <v>-3.5646195108816059E-3</v>
      </c>
      <c r="AQ28" s="228">
        <f t="shared" si="30"/>
        <v>-1.0526437497210273E-3</v>
      </c>
      <c r="AR28" s="228">
        <f t="shared" si="31"/>
        <v>-1.8437885609365878E-3</v>
      </c>
      <c r="AS28" s="228">
        <f t="shared" si="32"/>
        <v>-1.7121734322448345E-3</v>
      </c>
      <c r="AT28" s="227">
        <f>IF(ISERROR(VLOOKUP(A28,Mandatory!A:A,1,FALSE)),0,1)</f>
        <v>1</v>
      </c>
    </row>
    <row r="29" spans="1:46">
      <c r="A29" s="231">
        <v>171</v>
      </c>
      <c r="B29" s="222">
        <f>VLOOKUP(A29,OPATT_Activities!A:J,3,FALSE)</f>
        <v>959</v>
      </c>
      <c r="C29" s="222">
        <f>VLOOKUP(A29,OPATT_Activities!A:J,4,FALSE)</f>
        <v>53636</v>
      </c>
      <c r="D29" s="222">
        <f>VLOOKUP(A29,OPATT_Activities!A:J,5,FALSE)</f>
        <v>1607</v>
      </c>
      <c r="E29" s="222">
        <f>VLOOKUP(A29,OPATT_Activities!A:J,6,FALSE)</f>
        <v>69097</v>
      </c>
      <c r="F29" s="222">
        <f>VLOOKUP(A29,OPATT_Cost_Quantum!A:F,2,FALSE)</f>
        <v>154835.04455944299</v>
      </c>
      <c r="G29" s="222">
        <f>VLOOKUP(A29,OPATT_Cost_Quantum!A:F,3,FALSE)</f>
        <v>8124462.1652970901</v>
      </c>
      <c r="H29" s="222">
        <f>VLOOKUP(A29,OPATT_Cost_Quantum!A:F,4,FALSE)</f>
        <v>271410.04406179901</v>
      </c>
      <c r="I29" s="222">
        <f>VLOOKUP(A29,OPATT_Cost_Quantum!A:F,5,FALSE)</f>
        <v>8814411.5663403794</v>
      </c>
      <c r="J29" s="223">
        <f t="shared" si="12"/>
        <v>161.45468671474765</v>
      </c>
      <c r="K29" s="223">
        <f t="shared" si="12"/>
        <v>151.47405036350753</v>
      </c>
      <c r="L29" s="223">
        <f t="shared" si="12"/>
        <v>168.8923734049776</v>
      </c>
      <c r="M29" s="223">
        <f t="shared" si="12"/>
        <v>127.56576358366324</v>
      </c>
      <c r="N29" s="224">
        <f>IF(ISERROR(VLOOKUP($A29,'HRGs to TFCs % Split'!$A$8:$I$145,6,0)),0,VLOOKUP($A29,'HRGs to TFCs % Split'!$A$8:$I$145,6,0))</f>
        <v>5.7568816201699272E-6</v>
      </c>
      <c r="O29" s="224">
        <f>IF(ISERROR(VLOOKUP($A29,'HRGs to TFCs % Split'!$A$8:$I$145,6,0)),0,VLOOKUP($A29,'HRGs to TFCs % Split'!$A$8:$I$145,7,0))</f>
        <v>1.9963694567572325E-4</v>
      </c>
      <c r="P29" s="224">
        <f>IF(ISERROR(VLOOKUP($A29,'HRGs to TFCs % Split'!$A$8:$I$145,6,0)),0,VLOOKUP($A29,'HRGs to TFCs % Split'!$A$8:$I$145,8,0))</f>
        <v>1.4831288241793712E-5</v>
      </c>
      <c r="Q29" s="224">
        <f>IF(ISERROR(VLOOKUP($A29,'HRGs to TFCs % Split'!$A$8:$I$145,6,0)),0,VLOOKUP($A29,'HRGs to TFCs % Split'!$A$8:$I$145,9,0))</f>
        <v>6.7716539735558127E-5</v>
      </c>
      <c r="R29" s="225">
        <f t="shared" si="3"/>
        <v>8</v>
      </c>
      <c r="S29" s="225">
        <f t="shared" si="4"/>
        <v>269</v>
      </c>
      <c r="T29" s="225">
        <f t="shared" si="5"/>
        <v>20</v>
      </c>
      <c r="U29" s="225">
        <f t="shared" si="6"/>
        <v>91</v>
      </c>
      <c r="V29" s="224">
        <f>IF(ISERROR(VLOOKUP($A29,'HRGs to TFCs % Split'!$A$8:$I$145,6,0)),0,VLOOKUP($A29,'HRGs to TFCs % Split'!$A$8:$I$145,6,0))</f>
        <v>5.7568816201699272E-6</v>
      </c>
      <c r="W29" s="224">
        <f>IF(ISERROR(VLOOKUP($A29,'HRGs to TFCs % Split'!$A$8:$I$145,6,0)),0,VLOOKUP($A29,'HRGs to TFCs % Split'!$A$8:$I$145,7,0))</f>
        <v>1.9963694567572325E-4</v>
      </c>
      <c r="X29" s="224">
        <f>IF(ISERROR(VLOOKUP($A29,'HRGs to TFCs % Split'!$A$8:$I$145,6,0)),0,VLOOKUP($A29,'HRGs to TFCs % Split'!$A$8:$I$145,8,0))</f>
        <v>1.4831288241793712E-5</v>
      </c>
      <c r="Y29" s="224">
        <f>IF(ISERROR(VLOOKUP($A29,'HRGs to TFCs % Split'!$A$8:$I$145,6,0)),0,VLOOKUP($A29,'HRGs to TFCs % Split'!$A$8:$I$145,9,0))</f>
        <v>6.7716539735558127E-5</v>
      </c>
      <c r="Z29" s="225">
        <f t="shared" si="13"/>
        <v>907.86673245020279</v>
      </c>
      <c r="AA29" s="225">
        <f t="shared" si="14"/>
        <v>31482.97177276466</v>
      </c>
      <c r="AB29" s="225">
        <f t="shared" si="15"/>
        <v>2338.9109039395057</v>
      </c>
      <c r="AC29" s="225">
        <f t="shared" si="16"/>
        <v>10678.974785092216</v>
      </c>
      <c r="AD29" s="226">
        <f t="shared" si="17"/>
        <v>967</v>
      </c>
      <c r="AE29" s="226">
        <f t="shared" si="18"/>
        <v>53905</v>
      </c>
      <c r="AF29" s="226">
        <f t="shared" si="19"/>
        <v>1627</v>
      </c>
      <c r="AG29" s="226">
        <f t="shared" si="20"/>
        <v>69188</v>
      </c>
      <c r="AH29" s="226">
        <f t="shared" si="21"/>
        <v>155742.91129189319</v>
      </c>
      <c r="AI29" s="226">
        <f t="shared" si="22"/>
        <v>8155945.1370698549</v>
      </c>
      <c r="AJ29" s="226">
        <f t="shared" si="23"/>
        <v>273748.95496573852</v>
      </c>
      <c r="AK29" s="226">
        <f t="shared" si="24"/>
        <v>8825090.5411254708</v>
      </c>
      <c r="AL29" s="227">
        <f t="shared" si="25"/>
        <v>161.05781932977578</v>
      </c>
      <c r="AM29" s="227">
        <f t="shared" si="26"/>
        <v>151.30220085464902</v>
      </c>
      <c r="AN29" s="227">
        <f t="shared" si="27"/>
        <v>168.25381374661248</v>
      </c>
      <c r="AO29" s="227">
        <f t="shared" si="28"/>
        <v>127.55232903285932</v>
      </c>
      <c r="AP29" s="228">
        <f t="shared" si="29"/>
        <v>-2.4580728689098663E-3</v>
      </c>
      <c r="AQ29" s="228">
        <f t="shared" si="30"/>
        <v>-1.1345145154969538E-3</v>
      </c>
      <c r="AR29" s="228">
        <f t="shared" si="31"/>
        <v>-3.7808673387160763E-3</v>
      </c>
      <c r="AS29" s="228">
        <f t="shared" si="32"/>
        <v>-1.0531470534502763E-4</v>
      </c>
      <c r="AT29" s="227">
        <f>IF(ISERROR(VLOOKUP(A29,Mandatory!A:A,1,FALSE)),0,1)</f>
        <v>1</v>
      </c>
    </row>
    <row r="30" spans="1:46">
      <c r="A30" s="231">
        <v>172</v>
      </c>
      <c r="B30" s="222">
        <f>VLOOKUP(A30,OPATT_Activities!A:J,3,FALSE)</f>
        <v>1244</v>
      </c>
      <c r="C30" s="222">
        <f>VLOOKUP(A30,OPATT_Activities!A:J,4,FALSE)</f>
        <v>14816</v>
      </c>
      <c r="D30" s="222">
        <f>VLOOKUP(A30,OPATT_Activities!A:J,5,FALSE)</f>
        <v>2630</v>
      </c>
      <c r="E30" s="222">
        <f>VLOOKUP(A30,OPATT_Activities!A:J,6,FALSE)</f>
        <v>24575</v>
      </c>
      <c r="F30" s="222">
        <f>VLOOKUP(A30,OPATT_Cost_Quantum!A:F,2,FALSE)</f>
        <v>225238.95287675099</v>
      </c>
      <c r="G30" s="222">
        <f>VLOOKUP(A30,OPATT_Cost_Quantum!A:F,3,FALSE)</f>
        <v>4233247.6240349403</v>
      </c>
      <c r="H30" s="222">
        <f>VLOOKUP(A30,OPATT_Cost_Quantum!A:F,4,FALSE)</f>
        <v>519843.53414446599</v>
      </c>
      <c r="I30" s="222">
        <f>VLOOKUP(A30,OPATT_Cost_Quantum!A:F,5,FALSE)</f>
        <v>6306606.5844857804</v>
      </c>
      <c r="J30" s="223">
        <f t="shared" si="12"/>
        <v>181.06025150864227</v>
      </c>
      <c r="K30" s="223">
        <f t="shared" si="12"/>
        <v>285.72135691380538</v>
      </c>
      <c r="L30" s="223">
        <f t="shared" si="12"/>
        <v>197.65913845797186</v>
      </c>
      <c r="M30" s="223">
        <f t="shared" si="12"/>
        <v>256.62692103706127</v>
      </c>
      <c r="N30" s="224">
        <f>IF(ISERROR(VLOOKUP($A30,'HRGs to TFCs % Split'!$A$8:$I$145,6,0)),0,VLOOKUP($A30,'HRGs to TFCs % Split'!$A$8:$I$145,6,0))</f>
        <v>5.8544558849185703E-7</v>
      </c>
      <c r="O30" s="224">
        <f>IF(ISERROR(VLOOKUP($A30,'HRGs to TFCs % Split'!$A$8:$I$145,6,0)),0,VLOOKUP($A30,'HRGs to TFCs % Split'!$A$8:$I$145,7,0))</f>
        <v>1.9300189567281553E-4</v>
      </c>
      <c r="P30" s="224">
        <f>IF(ISERROR(VLOOKUP($A30,'HRGs to TFCs % Split'!$A$8:$I$145,6,0)),0,VLOOKUP($A30,'HRGs to TFCs % Split'!$A$8:$I$145,8,0))</f>
        <v>5.4934311053485919E-5</v>
      </c>
      <c r="Q30" s="224">
        <f>IF(ISERROR(VLOOKUP($A30,'HRGs to TFCs % Split'!$A$8:$I$145,6,0)),0,VLOOKUP($A30,'HRGs to TFCs % Split'!$A$8:$I$145,9,0))</f>
        <v>2.4686288981406638E-4</v>
      </c>
      <c r="R30" s="225">
        <f t="shared" si="3"/>
        <v>1</v>
      </c>
      <c r="S30" s="225">
        <f t="shared" si="4"/>
        <v>260</v>
      </c>
      <c r="T30" s="225">
        <f t="shared" si="5"/>
        <v>74</v>
      </c>
      <c r="U30" s="225">
        <f t="shared" si="6"/>
        <v>333</v>
      </c>
      <c r="V30" s="224">
        <f>IF(ISERROR(VLOOKUP($A30,'HRGs to TFCs % Split'!$A$8:$I$145,6,0)),0,VLOOKUP($A30,'HRGs to TFCs % Split'!$A$8:$I$145,6,0))</f>
        <v>5.8544558849185703E-7</v>
      </c>
      <c r="W30" s="224">
        <f>IF(ISERROR(VLOOKUP($A30,'HRGs to TFCs % Split'!$A$8:$I$145,6,0)),0,VLOOKUP($A30,'HRGs to TFCs % Split'!$A$8:$I$145,7,0))</f>
        <v>1.9300189567281553E-4</v>
      </c>
      <c r="X30" s="224">
        <f>IF(ISERROR(VLOOKUP($A30,'HRGs to TFCs % Split'!$A$8:$I$145,6,0)),0,VLOOKUP($A30,'HRGs to TFCs % Split'!$A$8:$I$145,8,0))</f>
        <v>5.4934311053485919E-5</v>
      </c>
      <c r="Y30" s="224">
        <f>IF(ISERROR(VLOOKUP($A30,'HRGs to TFCs % Split'!$A$8:$I$145,6,0)),0,VLOOKUP($A30,'HRGs to TFCs % Split'!$A$8:$I$145,9,0))</f>
        <v>2.4686288981406638E-4</v>
      </c>
      <c r="Z30" s="225">
        <f t="shared" si="13"/>
        <v>92.325430418664695</v>
      </c>
      <c r="AA30" s="225">
        <f t="shared" si="14"/>
        <v>30436.61689468646</v>
      </c>
      <c r="AB30" s="225">
        <f t="shared" si="15"/>
        <v>8663.2028876180375</v>
      </c>
      <c r="AC30" s="225">
        <f t="shared" si="16"/>
        <v>38930.556493203614</v>
      </c>
      <c r="AD30" s="226">
        <f t="shared" si="17"/>
        <v>1245</v>
      </c>
      <c r="AE30" s="226">
        <f t="shared" si="18"/>
        <v>15076</v>
      </c>
      <c r="AF30" s="226">
        <f t="shared" si="19"/>
        <v>2704</v>
      </c>
      <c r="AG30" s="226">
        <f t="shared" si="20"/>
        <v>24908</v>
      </c>
      <c r="AH30" s="226">
        <f t="shared" si="21"/>
        <v>225331.27830716965</v>
      </c>
      <c r="AI30" s="226">
        <f t="shared" si="22"/>
        <v>4263684.2409296269</v>
      </c>
      <c r="AJ30" s="226">
        <f t="shared" si="23"/>
        <v>528506.73703208403</v>
      </c>
      <c r="AK30" s="226">
        <f t="shared" si="24"/>
        <v>6345537.1409789836</v>
      </c>
      <c r="AL30" s="227">
        <f t="shared" si="25"/>
        <v>180.98897855997561</v>
      </c>
      <c r="AM30" s="227">
        <f t="shared" si="26"/>
        <v>282.8126983901318</v>
      </c>
      <c r="AN30" s="227">
        <f t="shared" si="27"/>
        <v>195.4536749379009</v>
      </c>
      <c r="AO30" s="227">
        <f t="shared" si="28"/>
        <v>254.7589987545762</v>
      </c>
      <c r="AP30" s="228">
        <f t="shared" si="29"/>
        <v>-3.9364216095361115E-4</v>
      </c>
      <c r="AQ30" s="228">
        <f t="shared" si="30"/>
        <v>-1.01800528847098E-2</v>
      </c>
      <c r="AR30" s="228">
        <f t="shared" si="31"/>
        <v>-1.1157913250441021E-2</v>
      </c>
      <c r="AS30" s="228">
        <f t="shared" si="32"/>
        <v>-7.2787464188736051E-3</v>
      </c>
      <c r="AT30" s="227">
        <f>IF(ISERROR(VLOOKUP(A30,Mandatory!A:A,1,FALSE)),0,1)</f>
        <v>1</v>
      </c>
    </row>
    <row r="31" spans="1:46">
      <c r="A31" s="231">
        <v>173</v>
      </c>
      <c r="B31" s="222">
        <f>VLOOKUP(A31,OPATT_Activities!A:J,3,FALSE)</f>
        <v>204</v>
      </c>
      <c r="C31" s="222">
        <f>VLOOKUP(A31,OPATT_Activities!A:J,4,FALSE)</f>
        <v>8700</v>
      </c>
      <c r="D31" s="222">
        <f>VLOOKUP(A31,OPATT_Activities!A:J,5,FALSE)</f>
        <v>210</v>
      </c>
      <c r="E31" s="222">
        <f>VLOOKUP(A31,OPATT_Activities!A:J,6,FALSE)</f>
        <v>20732</v>
      </c>
      <c r="F31" s="222">
        <f>VLOOKUP(A31,OPATT_Cost_Quantum!A:F,2,FALSE)</f>
        <v>25789.382418956699</v>
      </c>
      <c r="G31" s="222">
        <f>VLOOKUP(A31,OPATT_Cost_Quantum!A:F,3,FALSE)</f>
        <v>1910593.89879398</v>
      </c>
      <c r="H31" s="222">
        <f>VLOOKUP(A31,OPATT_Cost_Quantum!A:F,4,FALSE)</f>
        <v>29648.794592952399</v>
      </c>
      <c r="I31" s="222">
        <f>VLOOKUP(A31,OPATT_Cost_Quantum!A:F,5,FALSE)</f>
        <v>3877009.0975197102</v>
      </c>
      <c r="J31" s="223">
        <f t="shared" si="12"/>
        <v>126.41854126939558</v>
      </c>
      <c r="K31" s="223">
        <f t="shared" si="12"/>
        <v>219.60849411425059</v>
      </c>
      <c r="L31" s="223">
        <f t="shared" si="12"/>
        <v>141.18473615691619</v>
      </c>
      <c r="M31" s="223">
        <f t="shared" si="12"/>
        <v>187.00603403047029</v>
      </c>
      <c r="N31" s="224">
        <f>IF(ISERROR(VLOOKUP($A31,'HRGs to TFCs % Split'!$A$8:$I$145,6,0)),0,VLOOKUP($A31,'HRGs to TFCs % Split'!$A$8:$I$145,6,0))</f>
        <v>1.1416188975591212E-5</v>
      </c>
      <c r="O31" s="224">
        <f>IF(ISERROR(VLOOKUP($A31,'HRGs to TFCs % Split'!$A$8:$I$145,6,0)),0,VLOOKUP($A31,'HRGs to TFCs % Split'!$A$8:$I$145,7,0))</f>
        <v>1.833420434626999E-4</v>
      </c>
      <c r="P31" s="224">
        <f>IF(ISERROR(VLOOKUP($A31,'HRGs to TFCs % Split'!$A$8:$I$145,6,0)),0,VLOOKUP($A31,'HRGs to TFCs % Split'!$A$8:$I$145,8,0))</f>
        <v>1.0830743387099355E-5</v>
      </c>
      <c r="Q31" s="224">
        <f>IF(ISERROR(VLOOKUP($A31,'HRGs to TFCs % Split'!$A$8:$I$145,6,0)),0,VLOOKUP($A31,'HRGs to TFCs % Split'!$A$8:$I$145,9,0))</f>
        <v>1.5026436771290998E-4</v>
      </c>
      <c r="R31" s="225">
        <f t="shared" si="3"/>
        <v>15</v>
      </c>
      <c r="S31" s="225">
        <f t="shared" si="4"/>
        <v>247</v>
      </c>
      <c r="T31" s="225">
        <f t="shared" si="5"/>
        <v>15</v>
      </c>
      <c r="U31" s="225">
        <f t="shared" si="6"/>
        <v>203</v>
      </c>
      <c r="V31" s="224">
        <f>IF(ISERROR(VLOOKUP($A31,'HRGs to TFCs % Split'!$A$8:$I$145,6,0)),0,VLOOKUP($A31,'HRGs to TFCs % Split'!$A$8:$I$145,6,0))</f>
        <v>1.1416188975591212E-5</v>
      </c>
      <c r="W31" s="224">
        <f>IF(ISERROR(VLOOKUP($A31,'HRGs to TFCs % Split'!$A$8:$I$145,6,0)),0,VLOOKUP($A31,'HRGs to TFCs % Split'!$A$8:$I$145,7,0))</f>
        <v>1.833420434626999E-4</v>
      </c>
      <c r="X31" s="224">
        <f>IF(ISERROR(VLOOKUP($A31,'HRGs to TFCs % Split'!$A$8:$I$145,6,0)),0,VLOOKUP($A31,'HRGs to TFCs % Split'!$A$8:$I$145,8,0))</f>
        <v>1.0830743387099355E-5</v>
      </c>
      <c r="Y31" s="224">
        <f>IF(ISERROR(VLOOKUP($A31,'HRGs to TFCs % Split'!$A$8:$I$145,6,0)),0,VLOOKUP($A31,'HRGs to TFCs % Split'!$A$8:$I$145,9,0))</f>
        <v>1.5026436771290998E-4</v>
      </c>
      <c r="Z31" s="225">
        <f t="shared" si="13"/>
        <v>1800.3458931639614</v>
      </c>
      <c r="AA31" s="225">
        <f t="shared" si="14"/>
        <v>28913.247292778495</v>
      </c>
      <c r="AB31" s="225">
        <f t="shared" si="15"/>
        <v>1708.0204627452968</v>
      </c>
      <c r="AC31" s="225">
        <f t="shared" si="16"/>
        <v>23696.86047412394</v>
      </c>
      <c r="AD31" s="226">
        <f t="shared" si="17"/>
        <v>219</v>
      </c>
      <c r="AE31" s="226">
        <f t="shared" si="18"/>
        <v>8947</v>
      </c>
      <c r="AF31" s="226">
        <f t="shared" si="19"/>
        <v>225</v>
      </c>
      <c r="AG31" s="226">
        <f t="shared" si="20"/>
        <v>20935</v>
      </c>
      <c r="AH31" s="226">
        <f t="shared" si="21"/>
        <v>27589.72831212066</v>
      </c>
      <c r="AI31" s="226">
        <f t="shared" si="22"/>
        <v>1939507.1460867585</v>
      </c>
      <c r="AJ31" s="226">
        <f t="shared" si="23"/>
        <v>31356.815055697698</v>
      </c>
      <c r="AK31" s="226">
        <f t="shared" si="24"/>
        <v>3900705.9579938343</v>
      </c>
      <c r="AL31" s="227">
        <f t="shared" si="25"/>
        <v>125.98049457589343</v>
      </c>
      <c r="AM31" s="227">
        <f t="shared" si="26"/>
        <v>216.77737186618515</v>
      </c>
      <c r="AN31" s="227">
        <f t="shared" si="27"/>
        <v>139.36362246976753</v>
      </c>
      <c r="AO31" s="227">
        <f t="shared" si="28"/>
        <v>186.32462182917766</v>
      </c>
      <c r="AP31" s="228">
        <f t="shared" si="29"/>
        <v>-3.465051005205555E-3</v>
      </c>
      <c r="AQ31" s="228">
        <f t="shared" si="30"/>
        <v>-1.2891679165162651E-2</v>
      </c>
      <c r="AR31" s="228">
        <f t="shared" si="31"/>
        <v>-1.2898800087883577E-2</v>
      </c>
      <c r="AS31" s="228">
        <f t="shared" si="32"/>
        <v>-3.6437979385285368E-3</v>
      </c>
      <c r="AT31" s="227">
        <f>IF(ISERROR(VLOOKUP(A31,Mandatory!A:A,1,FALSE)),0,1)</f>
        <v>1</v>
      </c>
    </row>
    <row r="32" spans="1:46">
      <c r="A32" s="231">
        <v>174</v>
      </c>
      <c r="B32" s="222">
        <f>VLOOKUP(A32,OPATT_Activities!A:J,3,FALSE)</f>
        <v>1</v>
      </c>
      <c r="C32" s="222">
        <f>VLOOKUP(A32,OPATT_Activities!A:J,4,FALSE)</f>
        <v>458</v>
      </c>
      <c r="D32" s="222">
        <f>VLOOKUP(A32,OPATT_Activities!A:J,5,FALSE)</f>
        <v>11</v>
      </c>
      <c r="E32" s="222">
        <f>VLOOKUP(A32,OPATT_Activities!A:J,6,FALSE)</f>
        <v>8622</v>
      </c>
      <c r="F32" s="222">
        <f>VLOOKUP(A32,OPATT_Cost_Quantum!A:F,2,FALSE)</f>
        <v>759.25913648205994</v>
      </c>
      <c r="G32" s="222">
        <f>VLOOKUP(A32,OPATT_Cost_Quantum!A:F,3,FALSE)</f>
        <v>211521.38103936001</v>
      </c>
      <c r="H32" s="222">
        <f>VLOOKUP(A32,OPATT_Cost_Quantum!A:F,4,FALSE)</f>
        <v>8518.2895519311405</v>
      </c>
      <c r="I32" s="222">
        <f>VLOOKUP(A32,OPATT_Cost_Quantum!A:F,5,FALSE)</f>
        <v>2427960.8158857501</v>
      </c>
      <c r="J32" s="223">
        <f t="shared" si="12"/>
        <v>759.25913648205994</v>
      </c>
      <c r="K32" s="223">
        <f t="shared" si="12"/>
        <v>461.83707650515288</v>
      </c>
      <c r="L32" s="223">
        <f t="shared" si="12"/>
        <v>774.38995926646737</v>
      </c>
      <c r="M32" s="223">
        <f t="shared" si="12"/>
        <v>281.60065134374275</v>
      </c>
      <c r="N32" s="224">
        <f>IF(ISERROR(VLOOKUP($A32,'HRGs to TFCs % Split'!$A$8:$I$145,6,0)),0,VLOOKUP($A32,'HRGs to TFCs % Split'!$A$8:$I$145,6,0))</f>
        <v>6.8301985324049985E-7</v>
      </c>
      <c r="O32" s="224">
        <f>IF(ISERROR(VLOOKUP($A32,'HRGs to TFCs % Split'!$A$8:$I$145,6,0)),0,VLOOKUP($A32,'HRGs to TFCs % Split'!$A$8:$I$145,7,0))</f>
        <v>9.7574264748642833E-8</v>
      </c>
      <c r="P32" s="224">
        <f>IF(ISERROR(VLOOKUP($A32,'HRGs to TFCs % Split'!$A$8:$I$145,6,0)),0,VLOOKUP($A32,'HRGs to TFCs % Split'!$A$8:$I$145,8,0))</f>
        <v>2.0490595597214996E-6</v>
      </c>
      <c r="Q32" s="224">
        <f>IF(ISERROR(VLOOKUP($A32,'HRGs to TFCs % Split'!$A$8:$I$145,6,0)),0,VLOOKUP($A32,'HRGs to TFCs % Split'!$A$8:$I$145,9,0))</f>
        <v>1.4021421844379975E-4</v>
      </c>
      <c r="R32" s="225">
        <f t="shared" si="3"/>
        <v>1</v>
      </c>
      <c r="S32" s="225">
        <f t="shared" si="4"/>
        <v>0</v>
      </c>
      <c r="T32" s="225">
        <f t="shared" si="5"/>
        <v>3</v>
      </c>
      <c r="U32" s="225">
        <f t="shared" si="6"/>
        <v>189</v>
      </c>
      <c r="V32" s="224">
        <f>IF(ISERROR(VLOOKUP($A32,'HRGs to TFCs % Split'!$A$8:$I$145,6,0)),0,VLOOKUP($A32,'HRGs to TFCs % Split'!$A$8:$I$145,6,0))</f>
        <v>6.8301985324049985E-7</v>
      </c>
      <c r="W32" s="224">
        <f>IF(ISERROR(VLOOKUP($A32,'HRGs to TFCs % Split'!$A$8:$I$145,6,0)),0,VLOOKUP($A32,'HRGs to TFCs % Split'!$A$8:$I$145,7,0))</f>
        <v>9.7574264748642833E-8</v>
      </c>
      <c r="X32" s="224">
        <f>IF(ISERROR(VLOOKUP($A32,'HRGs to TFCs % Split'!$A$8:$I$145,6,0)),0,VLOOKUP($A32,'HRGs to TFCs % Split'!$A$8:$I$145,8,0))</f>
        <v>2.0490595597214996E-6</v>
      </c>
      <c r="Y32" s="224">
        <f>IF(ISERROR(VLOOKUP($A32,'HRGs to TFCs % Split'!$A$8:$I$145,6,0)),0,VLOOKUP($A32,'HRGs to TFCs % Split'!$A$8:$I$145,9,0))</f>
        <v>1.4021421844379975E-4</v>
      </c>
      <c r="Z32" s="225">
        <f t="shared" si="13"/>
        <v>107.71300215510881</v>
      </c>
      <c r="AA32" s="225">
        <f t="shared" si="14"/>
        <v>15.387571736444114</v>
      </c>
      <c r="AB32" s="225">
        <f t="shared" si="15"/>
        <v>323.13900646532642</v>
      </c>
      <c r="AC32" s="225">
        <f t="shared" si="16"/>
        <v>22111.940585270193</v>
      </c>
      <c r="AD32" s="226">
        <f t="shared" si="17"/>
        <v>2</v>
      </c>
      <c r="AE32" s="226">
        <f t="shared" si="18"/>
        <v>458</v>
      </c>
      <c r="AF32" s="226">
        <f t="shared" si="19"/>
        <v>14</v>
      </c>
      <c r="AG32" s="226">
        <f t="shared" si="20"/>
        <v>8811</v>
      </c>
      <c r="AH32" s="226">
        <f t="shared" si="21"/>
        <v>866.97213863716877</v>
      </c>
      <c r="AI32" s="226">
        <f t="shared" si="22"/>
        <v>211536.76861109646</v>
      </c>
      <c r="AJ32" s="226">
        <f t="shared" si="23"/>
        <v>8841.4285583964665</v>
      </c>
      <c r="AK32" s="226">
        <f t="shared" si="24"/>
        <v>2450072.7564710202</v>
      </c>
      <c r="AL32" s="227">
        <f t="shared" si="25"/>
        <v>433.48606931858438</v>
      </c>
      <c r="AM32" s="227">
        <f t="shared" si="26"/>
        <v>461.87067382335471</v>
      </c>
      <c r="AN32" s="227">
        <f t="shared" si="27"/>
        <v>631.53061131403331</v>
      </c>
      <c r="AO32" s="227">
        <f t="shared" si="28"/>
        <v>278.0697714755442</v>
      </c>
      <c r="AP32" s="228">
        <f t="shared" si="29"/>
        <v>-0.42906703589094453</v>
      </c>
      <c r="AQ32" s="228">
        <f t="shared" si="30"/>
        <v>7.2747122115135454E-5</v>
      </c>
      <c r="AR32" s="228">
        <f t="shared" si="31"/>
        <v>-0.18447985571475645</v>
      </c>
      <c r="AS32" s="228">
        <f t="shared" si="32"/>
        <v>-1.2538606893662707E-2</v>
      </c>
      <c r="AT32" s="227">
        <f>IF(ISERROR(VLOOKUP(A32,Mandatory!A:A,1,FALSE)),0,1)</f>
        <v>0</v>
      </c>
    </row>
    <row r="33" spans="1:46">
      <c r="A33" s="231">
        <v>180</v>
      </c>
      <c r="B33" s="222">
        <f>VLOOKUP(A33,OPATT_Activities!A:J,3,FALSE)</f>
        <v>87</v>
      </c>
      <c r="C33" s="222">
        <f>VLOOKUP(A33,OPATT_Activities!A:J,4,FALSE)</f>
        <v>167595</v>
      </c>
      <c r="D33" s="222">
        <f>VLOOKUP(A33,OPATT_Activities!A:J,5,FALSE)</f>
        <v>115</v>
      </c>
      <c r="E33" s="222">
        <f>VLOOKUP(A33,OPATT_Activities!A:J,6,FALSE)</f>
        <v>46275</v>
      </c>
      <c r="F33" s="222">
        <f>VLOOKUP(A33,OPATT_Cost_Quantum!A:F,2,FALSE)</f>
        <v>13003.844956332099</v>
      </c>
      <c r="G33" s="222">
        <f>VLOOKUP(A33,OPATT_Cost_Quantum!A:F,3,FALSE)</f>
        <v>21798688.031057701</v>
      </c>
      <c r="H33" s="222">
        <f>VLOOKUP(A33,OPATT_Cost_Quantum!A:F,4,FALSE)</f>
        <v>6860.3864228692801</v>
      </c>
      <c r="I33" s="222">
        <f>VLOOKUP(A33,OPATT_Cost_Quantum!A:F,5,FALSE)</f>
        <v>6270355.9455642505</v>
      </c>
      <c r="J33" s="223">
        <f t="shared" si="12"/>
        <v>149.46948225669078</v>
      </c>
      <c r="K33" s="223">
        <f t="shared" si="12"/>
        <v>130.0676513682252</v>
      </c>
      <c r="L33" s="223">
        <f t="shared" si="12"/>
        <v>59.655534111906782</v>
      </c>
      <c r="M33" s="223">
        <f t="shared" si="12"/>
        <v>135.50201935309022</v>
      </c>
      <c r="N33" s="224">
        <f>IF(ISERROR(VLOOKUP($A33,'HRGs to TFCs % Split'!$A$8:$I$145,6,0)),0,VLOOKUP($A33,'HRGs to TFCs % Split'!$A$8:$I$145,6,0))</f>
        <v>8.7816838273778559E-7</v>
      </c>
      <c r="O33" s="224">
        <f>IF(ISERROR(VLOOKUP($A33,'HRGs to TFCs % Split'!$A$8:$I$145,6,0)),0,VLOOKUP($A33,'HRGs to TFCs % Split'!$A$8:$I$145,7,0))</f>
        <v>3.0355353763302786E-4</v>
      </c>
      <c r="P33" s="224">
        <f>IF(ISERROR(VLOOKUP($A33,'HRGs to TFCs % Split'!$A$8:$I$145,6,0)),0,VLOOKUP($A33,'HRGs to TFCs % Split'!$A$8:$I$145,8,0))</f>
        <v>2.9272279424592851E-7</v>
      </c>
      <c r="Q33" s="224">
        <f>IF(ISERROR(VLOOKUP($A33,'HRGs to TFCs % Split'!$A$8:$I$145,6,0)),0,VLOOKUP($A33,'HRGs to TFCs % Split'!$A$8:$I$145,9,0))</f>
        <v>1.327985743229029E-4</v>
      </c>
      <c r="R33" s="225">
        <f t="shared" si="3"/>
        <v>1</v>
      </c>
      <c r="S33" s="225">
        <f t="shared" si="4"/>
        <v>410</v>
      </c>
      <c r="T33" s="225">
        <f t="shared" si="5"/>
        <v>0</v>
      </c>
      <c r="U33" s="225">
        <f t="shared" si="6"/>
        <v>179</v>
      </c>
      <c r="V33" s="224">
        <f>IF(ISERROR(VLOOKUP($A33,'HRGs to TFCs % Split'!$A$8:$I$145,6,0)),0,VLOOKUP($A33,'HRGs to TFCs % Split'!$A$8:$I$145,6,0))</f>
        <v>8.7816838273778559E-7</v>
      </c>
      <c r="W33" s="224">
        <f>IF(ISERROR(VLOOKUP($A33,'HRGs to TFCs % Split'!$A$8:$I$145,6,0)),0,VLOOKUP($A33,'HRGs to TFCs % Split'!$A$8:$I$145,7,0))</f>
        <v>3.0355353763302786E-4</v>
      </c>
      <c r="X33" s="224">
        <f>IF(ISERROR(VLOOKUP($A33,'HRGs to TFCs % Split'!$A$8:$I$145,6,0)),0,VLOOKUP($A33,'HRGs to TFCs % Split'!$A$8:$I$145,8,0))</f>
        <v>2.9272279424592851E-7</v>
      </c>
      <c r="Y33" s="224">
        <f>IF(ISERROR(VLOOKUP($A33,'HRGs to TFCs % Split'!$A$8:$I$145,6,0)),0,VLOOKUP($A33,'HRGs to TFCs % Split'!$A$8:$I$145,9,0))</f>
        <v>1.327985743229029E-4</v>
      </c>
      <c r="Z33" s="225">
        <f t="shared" si="13"/>
        <v>138.48814562799706</v>
      </c>
      <c r="AA33" s="225">
        <f t="shared" si="14"/>
        <v>47870.735672077644</v>
      </c>
      <c r="AB33" s="225">
        <f t="shared" si="15"/>
        <v>46.162715209332347</v>
      </c>
      <c r="AC33" s="225">
        <f t="shared" si="16"/>
        <v>20942.485133300441</v>
      </c>
      <c r="AD33" s="226">
        <f t="shared" si="17"/>
        <v>88</v>
      </c>
      <c r="AE33" s="226">
        <f t="shared" si="18"/>
        <v>168005</v>
      </c>
      <c r="AF33" s="226">
        <f t="shared" si="19"/>
        <v>115</v>
      </c>
      <c r="AG33" s="226">
        <f t="shared" si="20"/>
        <v>46454</v>
      </c>
      <c r="AH33" s="226">
        <f t="shared" si="21"/>
        <v>13142.333101960096</v>
      </c>
      <c r="AI33" s="226">
        <f t="shared" si="22"/>
        <v>21846558.76672978</v>
      </c>
      <c r="AJ33" s="226">
        <f t="shared" si="23"/>
        <v>6906.5491380786125</v>
      </c>
      <c r="AK33" s="226">
        <f t="shared" si="24"/>
        <v>6291298.430697551</v>
      </c>
      <c r="AL33" s="227">
        <f t="shared" si="25"/>
        <v>149.34469434045562</v>
      </c>
      <c r="AM33" s="227">
        <f t="shared" si="26"/>
        <v>130.03517018380273</v>
      </c>
      <c r="AN33" s="227">
        <f t="shared" si="27"/>
        <v>60.056949026770546</v>
      </c>
      <c r="AO33" s="227">
        <f t="shared" si="28"/>
        <v>135.430714915778</v>
      </c>
      <c r="AP33" s="228">
        <f t="shared" si="29"/>
        <v>-8.3487220502220794E-4</v>
      </c>
      <c r="AQ33" s="228">
        <f t="shared" si="30"/>
        <v>-2.4972530895106537E-4</v>
      </c>
      <c r="AR33" s="228">
        <f t="shared" si="31"/>
        <v>6.7288797399878142E-3</v>
      </c>
      <c r="AS33" s="228">
        <f t="shared" si="32"/>
        <v>-5.2622416737879707E-4</v>
      </c>
      <c r="AT33" s="227">
        <f>IF(ISERROR(VLOOKUP(A33,Mandatory!A:A,1,FALSE)),0,1)</f>
        <v>0</v>
      </c>
    </row>
    <row r="34" spans="1:46">
      <c r="A34" s="231">
        <v>190</v>
      </c>
      <c r="B34" s="222">
        <f>VLOOKUP(A34,OPATT_Activities!A:J,3,FALSE)</f>
        <v>308</v>
      </c>
      <c r="C34" s="222">
        <f>VLOOKUP(A34,OPATT_Activities!A:J,4,FALSE)</f>
        <v>87523</v>
      </c>
      <c r="D34" s="222">
        <f>VLOOKUP(A34,OPATT_Activities!A:J,5,FALSE)</f>
        <v>1592</v>
      </c>
      <c r="E34" s="222">
        <f>VLOOKUP(A34,OPATT_Activities!A:J,6,FALSE)</f>
        <v>141423</v>
      </c>
      <c r="F34" s="222">
        <f>VLOOKUP(A34,OPATT_Cost_Quantum!A:F,2,FALSE)</f>
        <v>54667.811049174801</v>
      </c>
      <c r="G34" s="222">
        <f>VLOOKUP(A34,OPATT_Cost_Quantum!A:F,3,FALSE)</f>
        <v>10189296.191664999</v>
      </c>
      <c r="H34" s="222">
        <f>VLOOKUP(A34,OPATT_Cost_Quantum!A:F,4,FALSE)</f>
        <v>180138.33357383599</v>
      </c>
      <c r="I34" s="222">
        <f>VLOOKUP(A34,OPATT_Cost_Quantum!A:F,5,FALSE)</f>
        <v>11743578.6008795</v>
      </c>
      <c r="J34" s="223">
        <f t="shared" si="12"/>
        <v>177.4928930168013</v>
      </c>
      <c r="K34" s="223">
        <f t="shared" si="12"/>
        <v>116.41849789958067</v>
      </c>
      <c r="L34" s="223">
        <f t="shared" si="12"/>
        <v>113.15221958155527</v>
      </c>
      <c r="M34" s="223">
        <f t="shared" si="12"/>
        <v>83.038675469191716</v>
      </c>
      <c r="N34" s="224">
        <f>IF(ISERROR(VLOOKUP($A34,'HRGs to TFCs % Split'!$A$8:$I$145,6,0)),0,VLOOKUP($A34,'HRGs to TFCs % Split'!$A$8:$I$145,6,0))</f>
        <v>1.6587625007269283E-5</v>
      </c>
      <c r="O34" s="224">
        <f>IF(ISERROR(VLOOKUP($A34,'HRGs to TFCs % Split'!$A$8:$I$145,6,0)),0,VLOOKUP($A34,'HRGs to TFCs % Split'!$A$8:$I$145,7,0))</f>
        <v>3.4092448103175809E-4</v>
      </c>
      <c r="P34" s="224">
        <f>IF(ISERROR(VLOOKUP($A34,'HRGs to TFCs % Split'!$A$8:$I$145,6,0)),0,VLOOKUP($A34,'HRGs to TFCs % Split'!$A$8:$I$145,8,0))</f>
        <v>3.0862739939995729E-4</v>
      </c>
      <c r="Q34" s="224">
        <f>IF(ISERROR(VLOOKUP($A34,'HRGs to TFCs % Split'!$A$8:$I$145,6,0)),0,VLOOKUP($A34,'HRGs to TFCs % Split'!$A$8:$I$145,9,0))</f>
        <v>9.8530492543179543E-4</v>
      </c>
      <c r="R34" s="225">
        <f t="shared" si="3"/>
        <v>22</v>
      </c>
      <c r="S34" s="225">
        <f t="shared" si="4"/>
        <v>460</v>
      </c>
      <c r="T34" s="225">
        <f t="shared" si="5"/>
        <v>416</v>
      </c>
      <c r="U34" s="225">
        <f t="shared" si="6"/>
        <v>1330</v>
      </c>
      <c r="V34" s="224">
        <f>IF(ISERROR(VLOOKUP($A34,'HRGs to TFCs % Split'!$A$8:$I$145,6,0)),0,VLOOKUP($A34,'HRGs to TFCs % Split'!$A$8:$I$145,6,0))</f>
        <v>1.6587625007269283E-5</v>
      </c>
      <c r="W34" s="224">
        <f>IF(ISERROR(VLOOKUP($A34,'HRGs to TFCs % Split'!$A$8:$I$145,6,0)),0,VLOOKUP($A34,'HRGs to TFCs % Split'!$A$8:$I$145,7,0))</f>
        <v>3.4092448103175809E-4</v>
      </c>
      <c r="X34" s="224">
        <f>IF(ISERROR(VLOOKUP($A34,'HRGs to TFCs % Split'!$A$8:$I$145,6,0)),0,VLOOKUP($A34,'HRGs to TFCs % Split'!$A$8:$I$145,8,0))</f>
        <v>3.0862739939995729E-4</v>
      </c>
      <c r="Y34" s="224">
        <f>IF(ISERROR(VLOOKUP($A34,'HRGs to TFCs % Split'!$A$8:$I$145,6,0)),0,VLOOKUP($A34,'HRGs to TFCs % Split'!$A$8:$I$145,9,0))</f>
        <v>9.8530492543179543E-4</v>
      </c>
      <c r="Z34" s="225">
        <f t="shared" si="13"/>
        <v>2615.8871951954998</v>
      </c>
      <c r="AA34" s="225">
        <f t="shared" si="14"/>
        <v>53764.175647135744</v>
      </c>
      <c r="AB34" s="225">
        <f t="shared" si="15"/>
        <v>48670.889402372733</v>
      </c>
      <c r="AC34" s="225">
        <f t="shared" si="16"/>
        <v>155383.69939461269</v>
      </c>
      <c r="AD34" s="226">
        <f t="shared" si="17"/>
        <v>330</v>
      </c>
      <c r="AE34" s="226">
        <f t="shared" si="18"/>
        <v>87983</v>
      </c>
      <c r="AF34" s="226">
        <f t="shared" si="19"/>
        <v>2008</v>
      </c>
      <c r="AG34" s="226">
        <f t="shared" si="20"/>
        <v>142753</v>
      </c>
      <c r="AH34" s="226">
        <f t="shared" si="21"/>
        <v>57283.698244370302</v>
      </c>
      <c r="AI34" s="226">
        <f t="shared" si="22"/>
        <v>10243060.367312135</v>
      </c>
      <c r="AJ34" s="226">
        <f t="shared" si="23"/>
        <v>228809.22297620872</v>
      </c>
      <c r="AK34" s="226">
        <f t="shared" si="24"/>
        <v>11898962.300274113</v>
      </c>
      <c r="AL34" s="227">
        <f t="shared" si="25"/>
        <v>173.58696437687971</v>
      </c>
      <c r="AM34" s="227">
        <f t="shared" si="26"/>
        <v>116.42090366675534</v>
      </c>
      <c r="AN34" s="227">
        <f t="shared" si="27"/>
        <v>113.94881622321151</v>
      </c>
      <c r="AO34" s="227">
        <f t="shared" si="28"/>
        <v>83.353500804004909</v>
      </c>
      <c r="AP34" s="228">
        <f t="shared" si="29"/>
        <v>-2.2006112884485285E-2</v>
      </c>
      <c r="AQ34" s="228">
        <f t="shared" si="30"/>
        <v>2.0664818890958614E-5</v>
      </c>
      <c r="AR34" s="228">
        <f t="shared" si="31"/>
        <v>7.0400443279159397E-3</v>
      </c>
      <c r="AS34" s="228">
        <f t="shared" si="32"/>
        <v>3.7913096883390729E-3</v>
      </c>
      <c r="AT34" s="227">
        <f>IF(ISERROR(VLOOKUP(A34,Mandatory!A:A,1,FALSE)),0,1)</f>
        <v>1</v>
      </c>
    </row>
    <row r="35" spans="1:46">
      <c r="A35" s="231">
        <v>191</v>
      </c>
      <c r="B35" s="222">
        <f>VLOOKUP(A35,OPATT_Activities!A:J,3,FALSE)</f>
        <v>5635</v>
      </c>
      <c r="C35" s="222">
        <f>VLOOKUP(A35,OPATT_Activities!A:J,4,FALSE)</f>
        <v>190745</v>
      </c>
      <c r="D35" s="222">
        <f>VLOOKUP(A35,OPATT_Activities!A:J,5,FALSE)</f>
        <v>5196</v>
      </c>
      <c r="E35" s="222">
        <f>VLOOKUP(A35,OPATT_Activities!A:J,6,FALSE)</f>
        <v>333505</v>
      </c>
      <c r="F35" s="222">
        <f>VLOOKUP(A35,OPATT_Cost_Quantum!A:F,2,FALSE)</f>
        <v>961810.14845671295</v>
      </c>
      <c r="G35" s="222">
        <f>VLOOKUP(A35,OPATT_Cost_Quantum!A:F,3,FALSE)</f>
        <v>29443299.7746046</v>
      </c>
      <c r="H35" s="222">
        <f>VLOOKUP(A35,OPATT_Cost_Quantum!A:F,4,FALSE)</f>
        <v>764613.42020888603</v>
      </c>
      <c r="I35" s="222">
        <f>VLOOKUP(A35,OPATT_Cost_Quantum!A:F,5,FALSE)</f>
        <v>37684631.828072101</v>
      </c>
      <c r="J35" s="223">
        <f t="shared" si="12"/>
        <v>170.68503078202536</v>
      </c>
      <c r="K35" s="223">
        <f t="shared" si="12"/>
        <v>154.35948399488638</v>
      </c>
      <c r="L35" s="223">
        <f t="shared" si="12"/>
        <v>147.15423791549</v>
      </c>
      <c r="M35" s="223">
        <f t="shared" si="12"/>
        <v>112.99570269732718</v>
      </c>
      <c r="N35" s="224">
        <f>IF(ISERROR(VLOOKUP($A35,'HRGs to TFCs % Split'!$A$8:$I$145,6,0)),0,VLOOKUP($A35,'HRGs to TFCs % Split'!$A$8:$I$145,6,0))</f>
        <v>3.1418913249062991E-5</v>
      </c>
      <c r="O35" s="224">
        <f>IF(ISERROR(VLOOKUP($A35,'HRGs to TFCs % Split'!$A$8:$I$145,6,0)),0,VLOOKUP($A35,'HRGs to TFCs % Split'!$A$8:$I$145,7,0))</f>
        <v>7.4302802606091521E-4</v>
      </c>
      <c r="P35" s="224">
        <f>IF(ISERROR(VLOOKUP($A35,'HRGs to TFCs % Split'!$A$8:$I$145,6,0)),0,VLOOKUP($A35,'HRGs to TFCs % Split'!$A$8:$I$145,8,0))</f>
        <v>9.3476145629199845E-5</v>
      </c>
      <c r="Q35" s="224">
        <f>IF(ISERROR(VLOOKUP($A35,'HRGs to TFCs % Split'!$A$8:$I$145,6,0)),0,VLOOKUP($A35,'HRGs to TFCs % Split'!$A$8:$I$145,9,0))</f>
        <v>8.5557018302199993E-3</v>
      </c>
      <c r="R35" s="225">
        <f t="shared" si="3"/>
        <v>42</v>
      </c>
      <c r="S35" s="225">
        <f t="shared" si="4"/>
        <v>1003</v>
      </c>
      <c r="T35" s="225">
        <f t="shared" si="5"/>
        <v>126</v>
      </c>
      <c r="U35" s="225">
        <f t="shared" si="6"/>
        <v>11545</v>
      </c>
      <c r="V35" s="224">
        <f>IF(ISERROR(VLOOKUP($A35,'HRGs to TFCs % Split'!$A$8:$I$145,6,0)),0,VLOOKUP($A35,'HRGs to TFCs % Split'!$A$8:$I$145,6,0))</f>
        <v>3.1418913249062991E-5</v>
      </c>
      <c r="W35" s="224">
        <f>IF(ISERROR(VLOOKUP($A35,'HRGs to TFCs % Split'!$A$8:$I$145,6,0)),0,VLOOKUP($A35,'HRGs to TFCs % Split'!$A$8:$I$145,7,0))</f>
        <v>7.4302802606091521E-4</v>
      </c>
      <c r="X35" s="224">
        <f>IF(ISERROR(VLOOKUP($A35,'HRGs to TFCs % Split'!$A$8:$I$145,6,0)),0,VLOOKUP($A35,'HRGs to TFCs % Split'!$A$8:$I$145,8,0))</f>
        <v>9.3476145629199845E-5</v>
      </c>
      <c r="Y35" s="224">
        <f>IF(ISERROR(VLOOKUP($A35,'HRGs to TFCs % Split'!$A$8:$I$145,6,0)),0,VLOOKUP($A35,'HRGs to TFCs % Split'!$A$8:$I$145,9,0))</f>
        <v>8.5557018302199993E-3</v>
      </c>
      <c r="Z35" s="225">
        <f t="shared" si="13"/>
        <v>4954.798099135005</v>
      </c>
      <c r="AA35" s="225">
        <f t="shared" si="14"/>
        <v>117176.35877302194</v>
      </c>
      <c r="AB35" s="225">
        <f t="shared" si="15"/>
        <v>14741.293723513463</v>
      </c>
      <c r="AC35" s="225">
        <f t="shared" si="16"/>
        <v>1349243.840138366</v>
      </c>
      <c r="AD35" s="226">
        <f t="shared" si="17"/>
        <v>5677</v>
      </c>
      <c r="AE35" s="226">
        <f t="shared" si="18"/>
        <v>191748</v>
      </c>
      <c r="AF35" s="226">
        <f t="shared" si="19"/>
        <v>5322</v>
      </c>
      <c r="AG35" s="226">
        <f t="shared" si="20"/>
        <v>345050</v>
      </c>
      <c r="AH35" s="226">
        <f t="shared" si="21"/>
        <v>966764.946555848</v>
      </c>
      <c r="AI35" s="226">
        <f t="shared" si="22"/>
        <v>29560476.133377623</v>
      </c>
      <c r="AJ35" s="226">
        <f t="shared" si="23"/>
        <v>779354.71393239952</v>
      </c>
      <c r="AK35" s="226">
        <f t="shared" si="24"/>
        <v>39033875.668210469</v>
      </c>
      <c r="AL35" s="227">
        <f t="shared" si="25"/>
        <v>170.29504078841782</v>
      </c>
      <c r="AM35" s="227">
        <f t="shared" si="26"/>
        <v>154.16315233211103</v>
      </c>
      <c r="AN35" s="227">
        <f t="shared" si="27"/>
        <v>146.44019427515963</v>
      </c>
      <c r="AO35" s="227">
        <f t="shared" si="28"/>
        <v>113.12527363631494</v>
      </c>
      <c r="AP35" s="228">
        <f t="shared" si="29"/>
        <v>-2.2848517636299137E-3</v>
      </c>
      <c r="AQ35" s="228">
        <f t="shared" si="30"/>
        <v>-1.2719118883673941E-3</v>
      </c>
      <c r="AR35" s="228">
        <f t="shared" si="31"/>
        <v>-4.8523484640683456E-3</v>
      </c>
      <c r="AS35" s="228">
        <f t="shared" si="32"/>
        <v>1.146689085467667E-3</v>
      </c>
      <c r="AT35" s="227">
        <f>IF(ISERROR(VLOOKUP(A35,Mandatory!A:A,1,FALSE)),0,1)</f>
        <v>1</v>
      </c>
    </row>
    <row r="36" spans="1:46">
      <c r="A36" s="231">
        <v>192</v>
      </c>
      <c r="B36" s="222">
        <f>VLOOKUP(A36,OPATT_Activities!A:J,3,FALSE)</f>
        <v>0</v>
      </c>
      <c r="C36" s="222">
        <f>VLOOKUP(A36,OPATT_Activities!A:J,4,FALSE)</f>
        <v>546</v>
      </c>
      <c r="D36" s="222">
        <f>VLOOKUP(A36,OPATT_Activities!A:J,5,FALSE)</f>
        <v>1</v>
      </c>
      <c r="E36" s="222">
        <f>VLOOKUP(A36,OPATT_Activities!A:J,6,FALSE)</f>
        <v>327</v>
      </c>
      <c r="F36" s="222">
        <f>VLOOKUP(A36,OPATT_Cost_Quantum!A:F,2,FALSE)</f>
        <v>0</v>
      </c>
      <c r="G36" s="222">
        <f>VLOOKUP(A36,OPATT_Cost_Quantum!A:F,3,FALSE)</f>
        <v>174608.59937677599</v>
      </c>
      <c r="H36" s="222">
        <f>VLOOKUP(A36,OPATT_Cost_Quantum!A:F,4,FALSE)</f>
        <v>471.19701175684099</v>
      </c>
      <c r="I36" s="222">
        <f>VLOOKUP(A36,OPATT_Cost_Quantum!A:F,5,FALSE)</f>
        <v>41937.822129662403</v>
      </c>
      <c r="J36" s="223">
        <f t="shared" si="12"/>
        <v>0</v>
      </c>
      <c r="K36" s="223">
        <f t="shared" si="12"/>
        <v>319.79596955453479</v>
      </c>
      <c r="L36" s="223">
        <f t="shared" si="12"/>
        <v>471.19701175684099</v>
      </c>
      <c r="M36" s="223">
        <f t="shared" si="12"/>
        <v>128.25022058000735</v>
      </c>
      <c r="N36" s="224">
        <f>IF(ISERROR(VLOOKUP($A36,'HRGs to TFCs % Split'!$A$8:$I$145,6,0)),0,VLOOKUP($A36,'HRGs to TFCs % Split'!$A$8:$I$145,6,0))</f>
        <v>0</v>
      </c>
      <c r="O36" s="224">
        <f>IF(ISERROR(VLOOKUP($A36,'HRGs to TFCs % Split'!$A$8:$I$145,6,0)),0,VLOOKUP($A36,'HRGs to TFCs % Split'!$A$8:$I$145,7,0))</f>
        <v>1.9514852949728567E-7</v>
      </c>
      <c r="P36" s="224">
        <f>IF(ISERROR(VLOOKUP($A36,'HRGs to TFCs % Split'!$A$8:$I$145,6,0)),0,VLOOKUP($A36,'HRGs to TFCs % Split'!$A$8:$I$145,8,0))</f>
        <v>0</v>
      </c>
      <c r="Q36" s="224">
        <f>IF(ISERROR(VLOOKUP($A36,'HRGs to TFCs % Split'!$A$8:$I$145,6,0)),0,VLOOKUP($A36,'HRGs to TFCs % Split'!$A$8:$I$145,9,0))</f>
        <v>1.9514852949728567E-7</v>
      </c>
      <c r="R36" s="225">
        <f t="shared" si="3"/>
        <v>0</v>
      </c>
      <c r="S36" s="225">
        <f t="shared" si="4"/>
        <v>0</v>
      </c>
      <c r="T36" s="225">
        <f t="shared" si="5"/>
        <v>0</v>
      </c>
      <c r="U36" s="225">
        <f t="shared" si="6"/>
        <v>0</v>
      </c>
      <c r="V36" s="224">
        <f>IF(ISERROR(VLOOKUP($A36,'HRGs to TFCs % Split'!$A$8:$I$145,6,0)),0,VLOOKUP($A36,'HRGs to TFCs % Split'!$A$8:$I$145,6,0))</f>
        <v>0</v>
      </c>
      <c r="W36" s="224">
        <f>IF(ISERROR(VLOOKUP($A36,'HRGs to TFCs % Split'!$A$8:$I$145,6,0)),0,VLOOKUP($A36,'HRGs to TFCs % Split'!$A$8:$I$145,7,0))</f>
        <v>1.9514852949728567E-7</v>
      </c>
      <c r="X36" s="224">
        <f>IF(ISERROR(VLOOKUP($A36,'HRGs to TFCs % Split'!$A$8:$I$145,6,0)),0,VLOOKUP($A36,'HRGs to TFCs % Split'!$A$8:$I$145,8,0))</f>
        <v>0</v>
      </c>
      <c r="Y36" s="224">
        <f>IF(ISERROR(VLOOKUP($A36,'HRGs to TFCs % Split'!$A$8:$I$145,6,0)),0,VLOOKUP($A36,'HRGs to TFCs % Split'!$A$8:$I$145,9,0))</f>
        <v>1.9514852949728567E-7</v>
      </c>
      <c r="Z36" s="225">
        <f t="shared" si="13"/>
        <v>0</v>
      </c>
      <c r="AA36" s="225">
        <f t="shared" si="14"/>
        <v>30.775143472888228</v>
      </c>
      <c r="AB36" s="225">
        <f t="shared" si="15"/>
        <v>0</v>
      </c>
      <c r="AC36" s="225">
        <f t="shared" si="16"/>
        <v>30.775143472888228</v>
      </c>
      <c r="AD36" s="226">
        <f t="shared" si="17"/>
        <v>0</v>
      </c>
      <c r="AE36" s="226">
        <f t="shared" si="18"/>
        <v>546</v>
      </c>
      <c r="AF36" s="226">
        <f t="shared" si="19"/>
        <v>1</v>
      </c>
      <c r="AG36" s="226">
        <f t="shared" si="20"/>
        <v>327</v>
      </c>
      <c r="AH36" s="226">
        <f t="shared" si="21"/>
        <v>0</v>
      </c>
      <c r="AI36" s="226">
        <f t="shared" si="22"/>
        <v>174639.37452024888</v>
      </c>
      <c r="AJ36" s="226">
        <f t="shared" si="23"/>
        <v>471.19701175684099</v>
      </c>
      <c r="AK36" s="226">
        <f t="shared" si="24"/>
        <v>41968.597273135289</v>
      </c>
      <c r="AL36" s="227">
        <f t="shared" si="25"/>
        <v>0</v>
      </c>
      <c r="AM36" s="227">
        <f t="shared" si="26"/>
        <v>319.85233428617011</v>
      </c>
      <c r="AN36" s="227">
        <f t="shared" si="27"/>
        <v>471.19701175684099</v>
      </c>
      <c r="AO36" s="227">
        <f t="shared" si="28"/>
        <v>128.34433416860944</v>
      </c>
      <c r="AP36" s="228">
        <f t="shared" si="29"/>
        <v>0</v>
      </c>
      <c r="AQ36" s="228">
        <f t="shared" si="30"/>
        <v>1.7625216388372777E-4</v>
      </c>
      <c r="AR36" s="228">
        <f t="shared" si="31"/>
        <v>0</v>
      </c>
      <c r="AS36" s="228">
        <f t="shared" si="32"/>
        <v>7.3382788876674709E-4</v>
      </c>
      <c r="AT36" s="227">
        <f>IF(ISERROR(VLOOKUP(A36,Mandatory!A:A,1,FALSE)),0,1)</f>
        <v>0</v>
      </c>
    </row>
    <row r="37" spans="1:46">
      <c r="A37" s="231">
        <v>211</v>
      </c>
      <c r="B37" s="222">
        <f>VLOOKUP(A37,OPATT_Activities!A:J,3,FALSE)</f>
        <v>290</v>
      </c>
      <c r="C37" s="222">
        <f>VLOOKUP(A37,OPATT_Activities!A:J,4,FALSE)</f>
        <v>17183</v>
      </c>
      <c r="D37" s="222">
        <f>VLOOKUP(A37,OPATT_Activities!A:J,5,FALSE)</f>
        <v>629</v>
      </c>
      <c r="E37" s="222">
        <f>VLOOKUP(A37,OPATT_Activities!A:J,6,FALSE)</f>
        <v>28240</v>
      </c>
      <c r="F37" s="222">
        <f>VLOOKUP(A37,OPATT_Cost_Quantum!A:F,2,FALSE)</f>
        <v>34213.332675664598</v>
      </c>
      <c r="G37" s="222">
        <f>VLOOKUP(A37,OPATT_Cost_Quantum!A:F,3,FALSE)</f>
        <v>2407264.4590859301</v>
      </c>
      <c r="H37" s="222">
        <f>VLOOKUP(A37,OPATT_Cost_Quantum!A:F,4,FALSE)</f>
        <v>77312.541148991993</v>
      </c>
      <c r="I37" s="222">
        <f>VLOOKUP(A37,OPATT_Cost_Quantum!A:F,5,FALSE)</f>
        <v>3183929.5546194999</v>
      </c>
      <c r="J37" s="223">
        <f t="shared" si="12"/>
        <v>117.97700922642964</v>
      </c>
      <c r="K37" s="223">
        <f t="shared" si="12"/>
        <v>140.09570267624571</v>
      </c>
      <c r="L37" s="223">
        <f t="shared" si="12"/>
        <v>122.91341995070269</v>
      </c>
      <c r="M37" s="223">
        <f t="shared" si="12"/>
        <v>112.74538082930241</v>
      </c>
      <c r="N37" s="224">
        <f>IF(ISERROR(VLOOKUP($A37,'HRGs to TFCs % Split'!$A$8:$I$145,6,0)),0,VLOOKUP($A37,'HRGs to TFCs % Split'!$A$8:$I$145,6,0))</f>
        <v>8.7816838273778559E-7</v>
      </c>
      <c r="O37" s="224">
        <f>IF(ISERROR(VLOOKUP($A37,'HRGs to TFCs % Split'!$A$8:$I$145,6,0)),0,VLOOKUP($A37,'HRGs to TFCs % Split'!$A$8:$I$145,7,0))</f>
        <v>5.386099414125085E-5</v>
      </c>
      <c r="P37" s="224">
        <f>IF(ISERROR(VLOOKUP($A37,'HRGs to TFCs % Split'!$A$8:$I$145,6,0)),0,VLOOKUP($A37,'HRGs to TFCs % Split'!$A$8:$I$145,8,0))</f>
        <v>1.0733169122350712E-6</v>
      </c>
      <c r="Q37" s="224">
        <f>IF(ISERROR(VLOOKUP($A37,'HRGs to TFCs % Split'!$A$8:$I$145,6,0)),0,VLOOKUP($A37,'HRGs to TFCs % Split'!$A$8:$I$145,9,0))</f>
        <v>1.4850803094743439E-4</v>
      </c>
      <c r="R37" s="225">
        <f t="shared" si="3"/>
        <v>1</v>
      </c>
      <c r="S37" s="225">
        <f t="shared" si="4"/>
        <v>73</v>
      </c>
      <c r="T37" s="225">
        <f t="shared" si="5"/>
        <v>1</v>
      </c>
      <c r="U37" s="225">
        <f t="shared" si="6"/>
        <v>200</v>
      </c>
      <c r="V37" s="224">
        <f>IF(ISERROR(VLOOKUP($A37,'HRGs to TFCs % Split'!$A$8:$I$145,6,0)),0,VLOOKUP($A37,'HRGs to TFCs % Split'!$A$8:$I$145,6,0))</f>
        <v>8.7816838273778559E-7</v>
      </c>
      <c r="W37" s="224">
        <f>IF(ISERROR(VLOOKUP($A37,'HRGs to TFCs % Split'!$A$8:$I$145,6,0)),0,VLOOKUP($A37,'HRGs to TFCs % Split'!$A$8:$I$145,7,0))</f>
        <v>5.386099414125085E-5</v>
      </c>
      <c r="X37" s="224">
        <f>IF(ISERROR(VLOOKUP($A37,'HRGs to TFCs % Split'!$A$8:$I$145,6,0)),0,VLOOKUP($A37,'HRGs to TFCs % Split'!$A$8:$I$145,8,0))</f>
        <v>1.0733169122350712E-6</v>
      </c>
      <c r="Y37" s="224">
        <f>IF(ISERROR(VLOOKUP($A37,'HRGs to TFCs % Split'!$A$8:$I$145,6,0)),0,VLOOKUP($A37,'HRGs to TFCs % Split'!$A$8:$I$145,9,0))</f>
        <v>1.4850803094743439E-4</v>
      </c>
      <c r="Z37" s="225">
        <f t="shared" si="13"/>
        <v>138.48814562799706</v>
      </c>
      <c r="AA37" s="225">
        <f t="shared" si="14"/>
        <v>8493.9395985171523</v>
      </c>
      <c r="AB37" s="225">
        <f t="shared" si="15"/>
        <v>169.26328910088526</v>
      </c>
      <c r="AC37" s="225">
        <f t="shared" si="16"/>
        <v>23419.884182867943</v>
      </c>
      <c r="AD37" s="226">
        <f t="shared" si="17"/>
        <v>291</v>
      </c>
      <c r="AE37" s="226">
        <f t="shared" si="18"/>
        <v>17256</v>
      </c>
      <c r="AF37" s="226">
        <f t="shared" si="19"/>
        <v>630</v>
      </c>
      <c r="AG37" s="226">
        <f t="shared" si="20"/>
        <v>28440</v>
      </c>
      <c r="AH37" s="226">
        <f t="shared" si="21"/>
        <v>34351.820821292597</v>
      </c>
      <c r="AI37" s="226">
        <f t="shared" si="22"/>
        <v>2415758.3986844472</v>
      </c>
      <c r="AJ37" s="226">
        <f t="shared" si="23"/>
        <v>77481.804438092877</v>
      </c>
      <c r="AK37" s="226">
        <f t="shared" si="24"/>
        <v>3207349.438802368</v>
      </c>
      <c r="AL37" s="227">
        <f t="shared" si="25"/>
        <v>118.04749423124603</v>
      </c>
      <c r="AM37" s="227">
        <f t="shared" si="26"/>
        <v>139.9952711337765</v>
      </c>
      <c r="AN37" s="227">
        <f t="shared" si="27"/>
        <v>122.98699117157599</v>
      </c>
      <c r="AO37" s="227">
        <f t="shared" si="28"/>
        <v>112.77599995788917</v>
      </c>
      <c r="AP37" s="228">
        <f t="shared" si="29"/>
        <v>5.9744695410191007E-4</v>
      </c>
      <c r="AQ37" s="228">
        <f t="shared" si="30"/>
        <v>-7.1687810939713437E-4</v>
      </c>
      <c r="AR37" s="228">
        <f t="shared" si="31"/>
        <v>5.9856133612434803E-4</v>
      </c>
      <c r="AS37" s="228">
        <f t="shared" si="32"/>
        <v>2.7157767672214561E-4</v>
      </c>
      <c r="AT37" s="227">
        <f>IF(ISERROR(VLOOKUP(A37,Mandatory!A:A,1,FALSE)),0,1)</f>
        <v>1</v>
      </c>
    </row>
    <row r="38" spans="1:46">
      <c r="A38" s="231">
        <v>212</v>
      </c>
      <c r="B38" s="222">
        <f>VLOOKUP(A38,OPATT_Activities!A:J,3,FALSE)</f>
        <v>10</v>
      </c>
      <c r="C38" s="222">
        <f>VLOOKUP(A38,OPATT_Activities!A:J,4,FALSE)</f>
        <v>649</v>
      </c>
      <c r="D38" s="222">
        <f>VLOOKUP(A38,OPATT_Activities!A:J,5,FALSE)</f>
        <v>133</v>
      </c>
      <c r="E38" s="222">
        <f>VLOOKUP(A38,OPATT_Activities!A:J,6,FALSE)</f>
        <v>984</v>
      </c>
      <c r="F38" s="222">
        <f>VLOOKUP(A38,OPATT_Cost_Quantum!A:F,2,FALSE)</f>
        <v>3072.2403454544901</v>
      </c>
      <c r="G38" s="222">
        <f>VLOOKUP(A38,OPATT_Cost_Quantum!A:F,3,FALSE)</f>
        <v>42010.5836210364</v>
      </c>
      <c r="H38" s="222">
        <f>VLOOKUP(A38,OPATT_Cost_Quantum!A:F,4,FALSE)</f>
        <v>28203.6736611616</v>
      </c>
      <c r="I38" s="222">
        <f>VLOOKUP(A38,OPATT_Cost_Quantum!A:F,5,FALSE)</f>
        <v>266095.59517917701</v>
      </c>
      <c r="J38" s="223">
        <f t="shared" si="12"/>
        <v>307.224034545449</v>
      </c>
      <c r="K38" s="223">
        <f t="shared" si="12"/>
        <v>64.731253653368881</v>
      </c>
      <c r="L38" s="223">
        <f t="shared" si="12"/>
        <v>212.05769670046317</v>
      </c>
      <c r="M38" s="223">
        <f t="shared" si="12"/>
        <v>270.4223528243669</v>
      </c>
      <c r="N38" s="224">
        <f>IF(ISERROR(VLOOKUP($A38,'HRGs to TFCs % Split'!$A$8:$I$145,6,0)),0,VLOOKUP($A38,'HRGs to TFCs % Split'!$A$8:$I$145,6,0))</f>
        <v>0</v>
      </c>
      <c r="O38" s="224">
        <f>IF(ISERROR(VLOOKUP($A38,'HRGs to TFCs % Split'!$A$8:$I$145,6,0)),0,VLOOKUP($A38,'HRGs to TFCs % Split'!$A$8:$I$145,7,0))</f>
        <v>9.7574264748642833E-8</v>
      </c>
      <c r="P38" s="224">
        <f>IF(ISERROR(VLOOKUP($A38,'HRGs to TFCs % Split'!$A$8:$I$145,6,0)),0,VLOOKUP($A38,'HRGs to TFCs % Split'!$A$8:$I$145,8,0))</f>
        <v>0</v>
      </c>
      <c r="Q38" s="224">
        <f>IF(ISERROR(VLOOKUP($A38,'HRGs to TFCs % Split'!$A$8:$I$145,6,0)),0,VLOOKUP($A38,'HRGs to TFCs % Split'!$A$8:$I$145,9,0))</f>
        <v>9.7574264748642833E-8</v>
      </c>
      <c r="R38" s="225">
        <f t="shared" si="3"/>
        <v>0</v>
      </c>
      <c r="S38" s="225">
        <f t="shared" si="4"/>
        <v>0</v>
      </c>
      <c r="T38" s="225">
        <f t="shared" si="5"/>
        <v>0</v>
      </c>
      <c r="U38" s="225">
        <f t="shared" si="6"/>
        <v>0</v>
      </c>
      <c r="V38" s="224">
        <f>IF(ISERROR(VLOOKUP($A38,'HRGs to TFCs % Split'!$A$8:$I$145,6,0)),0,VLOOKUP($A38,'HRGs to TFCs % Split'!$A$8:$I$145,6,0))</f>
        <v>0</v>
      </c>
      <c r="W38" s="224">
        <f>IF(ISERROR(VLOOKUP($A38,'HRGs to TFCs % Split'!$A$8:$I$145,6,0)),0,VLOOKUP($A38,'HRGs to TFCs % Split'!$A$8:$I$145,7,0))</f>
        <v>9.7574264748642833E-8</v>
      </c>
      <c r="X38" s="224">
        <f>IF(ISERROR(VLOOKUP($A38,'HRGs to TFCs % Split'!$A$8:$I$145,6,0)),0,VLOOKUP($A38,'HRGs to TFCs % Split'!$A$8:$I$145,8,0))</f>
        <v>0</v>
      </c>
      <c r="Y38" s="224">
        <f>IF(ISERROR(VLOOKUP($A38,'HRGs to TFCs % Split'!$A$8:$I$145,6,0)),0,VLOOKUP($A38,'HRGs to TFCs % Split'!$A$8:$I$145,9,0))</f>
        <v>9.7574264748642833E-8</v>
      </c>
      <c r="Z38" s="225">
        <f t="shared" si="13"/>
        <v>0</v>
      </c>
      <c r="AA38" s="225">
        <f t="shared" si="14"/>
        <v>15.387571736444114</v>
      </c>
      <c r="AB38" s="225">
        <f t="shared" si="15"/>
        <v>0</v>
      </c>
      <c r="AC38" s="225">
        <f t="shared" si="16"/>
        <v>15.387571736444114</v>
      </c>
      <c r="AD38" s="226">
        <f t="shared" si="17"/>
        <v>10</v>
      </c>
      <c r="AE38" s="226">
        <f t="shared" si="18"/>
        <v>649</v>
      </c>
      <c r="AF38" s="226">
        <f t="shared" si="19"/>
        <v>133</v>
      </c>
      <c r="AG38" s="226">
        <f t="shared" si="20"/>
        <v>984</v>
      </c>
      <c r="AH38" s="226">
        <f t="shared" si="21"/>
        <v>3072.2403454544901</v>
      </c>
      <c r="AI38" s="226">
        <f t="shared" si="22"/>
        <v>42025.971192772842</v>
      </c>
      <c r="AJ38" s="226">
        <f t="shared" si="23"/>
        <v>28203.6736611616</v>
      </c>
      <c r="AK38" s="226">
        <f t="shared" si="24"/>
        <v>266110.98275091348</v>
      </c>
      <c r="AL38" s="227">
        <f t="shared" si="25"/>
        <v>307.224034545449</v>
      </c>
      <c r="AM38" s="227">
        <f t="shared" si="26"/>
        <v>64.754963317061396</v>
      </c>
      <c r="AN38" s="227">
        <f t="shared" si="27"/>
        <v>212.05769670046317</v>
      </c>
      <c r="AO38" s="227">
        <f t="shared" si="28"/>
        <v>270.4379906005218</v>
      </c>
      <c r="AP38" s="228">
        <f t="shared" si="29"/>
        <v>0</v>
      </c>
      <c r="AQ38" s="228">
        <f t="shared" si="30"/>
        <v>3.6627845676329152E-4</v>
      </c>
      <c r="AR38" s="228">
        <f t="shared" si="31"/>
        <v>0</v>
      </c>
      <c r="AS38" s="228">
        <f t="shared" si="32"/>
        <v>5.7827232074592061E-5</v>
      </c>
      <c r="AT38" s="227">
        <f>IF(ISERROR(VLOOKUP(A38,Mandatory!A:A,1,FALSE)),0,1)</f>
        <v>0</v>
      </c>
    </row>
    <row r="39" spans="1:46">
      <c r="A39" s="231">
        <v>213</v>
      </c>
      <c r="B39" s="222">
        <f>VLOOKUP(A39,OPATT_Activities!A:J,3,FALSE)</f>
        <v>0</v>
      </c>
      <c r="C39" s="222">
        <f>VLOOKUP(A39,OPATT_Activities!A:J,4,FALSE)</f>
        <v>25</v>
      </c>
      <c r="D39" s="222">
        <f>VLOOKUP(A39,OPATT_Activities!A:J,5,FALSE)</f>
        <v>0</v>
      </c>
      <c r="E39" s="222">
        <f>VLOOKUP(A39,OPATT_Activities!A:J,6,FALSE)</f>
        <v>26</v>
      </c>
      <c r="F39" s="222">
        <f>VLOOKUP(A39,OPATT_Cost_Quantum!A:F,2,FALSE)</f>
        <v>0</v>
      </c>
      <c r="G39" s="222">
        <f>VLOOKUP(A39,OPATT_Cost_Quantum!A:F,3,FALSE)</f>
        <v>9116.7498372202699</v>
      </c>
      <c r="H39" s="222">
        <f>VLOOKUP(A39,OPATT_Cost_Quantum!A:F,4,FALSE)</f>
        <v>0</v>
      </c>
      <c r="I39" s="222">
        <f>VLOOKUP(A39,OPATT_Cost_Quantum!A:F,5,FALSE)</f>
        <v>5831.5387548860899</v>
      </c>
      <c r="J39" s="223">
        <f t="shared" si="12"/>
        <v>0</v>
      </c>
      <c r="K39" s="223">
        <f t="shared" si="12"/>
        <v>364.6699934888108</v>
      </c>
      <c r="L39" s="223">
        <f t="shared" si="12"/>
        <v>0</v>
      </c>
      <c r="M39" s="223">
        <f t="shared" si="12"/>
        <v>224.28995211100346</v>
      </c>
      <c r="N39" s="224">
        <f>IF(ISERROR(VLOOKUP($A39,'HRGs to TFCs % Split'!$A$8:$I$145,6,0)),0,VLOOKUP($A39,'HRGs to TFCs % Split'!$A$8:$I$145,6,0))</f>
        <v>0</v>
      </c>
      <c r="O39" s="224">
        <f>IF(ISERROR(VLOOKUP($A39,'HRGs to TFCs % Split'!$A$8:$I$145,6,0)),0,VLOOKUP($A39,'HRGs to TFCs % Split'!$A$8:$I$145,7,0))</f>
        <v>0</v>
      </c>
      <c r="P39" s="224">
        <f>IF(ISERROR(VLOOKUP($A39,'HRGs to TFCs % Split'!$A$8:$I$145,6,0)),0,VLOOKUP($A39,'HRGs to TFCs % Split'!$A$8:$I$145,8,0))</f>
        <v>0</v>
      </c>
      <c r="Q39" s="224">
        <f>IF(ISERROR(VLOOKUP($A39,'HRGs to TFCs % Split'!$A$8:$I$145,6,0)),0,VLOOKUP($A39,'HRGs to TFCs % Split'!$A$8:$I$145,9,0))</f>
        <v>0</v>
      </c>
      <c r="R39" s="225">
        <f t="shared" si="3"/>
        <v>0</v>
      </c>
      <c r="S39" s="225">
        <f t="shared" si="4"/>
        <v>0</v>
      </c>
      <c r="T39" s="225">
        <f t="shared" si="5"/>
        <v>0</v>
      </c>
      <c r="U39" s="225">
        <f t="shared" si="6"/>
        <v>0</v>
      </c>
      <c r="V39" s="224">
        <f>IF(ISERROR(VLOOKUP($A39,'HRGs to TFCs % Split'!$A$8:$I$145,6,0)),0,VLOOKUP($A39,'HRGs to TFCs % Split'!$A$8:$I$145,6,0))</f>
        <v>0</v>
      </c>
      <c r="W39" s="224">
        <f>IF(ISERROR(VLOOKUP($A39,'HRGs to TFCs % Split'!$A$8:$I$145,6,0)),0,VLOOKUP($A39,'HRGs to TFCs % Split'!$A$8:$I$145,7,0))</f>
        <v>0</v>
      </c>
      <c r="X39" s="224">
        <f>IF(ISERROR(VLOOKUP($A39,'HRGs to TFCs % Split'!$A$8:$I$145,6,0)),0,VLOOKUP($A39,'HRGs to TFCs % Split'!$A$8:$I$145,8,0))</f>
        <v>0</v>
      </c>
      <c r="Y39" s="224">
        <f>IF(ISERROR(VLOOKUP($A39,'HRGs to TFCs % Split'!$A$8:$I$145,6,0)),0,VLOOKUP($A39,'HRGs to TFCs % Split'!$A$8:$I$145,9,0))</f>
        <v>0</v>
      </c>
      <c r="Z39" s="225">
        <f t="shared" si="13"/>
        <v>0</v>
      </c>
      <c r="AA39" s="225">
        <f t="shared" si="14"/>
        <v>0</v>
      </c>
      <c r="AB39" s="225">
        <f t="shared" si="15"/>
        <v>0</v>
      </c>
      <c r="AC39" s="225">
        <f t="shared" si="16"/>
        <v>0</v>
      </c>
      <c r="AD39" s="226">
        <f t="shared" si="17"/>
        <v>0</v>
      </c>
      <c r="AE39" s="226">
        <f t="shared" si="18"/>
        <v>25</v>
      </c>
      <c r="AF39" s="226">
        <f t="shared" si="19"/>
        <v>0</v>
      </c>
      <c r="AG39" s="226">
        <f t="shared" si="20"/>
        <v>26</v>
      </c>
      <c r="AH39" s="226">
        <f t="shared" si="21"/>
        <v>0</v>
      </c>
      <c r="AI39" s="226">
        <f t="shared" si="22"/>
        <v>9116.7498372202699</v>
      </c>
      <c r="AJ39" s="226">
        <f t="shared" si="23"/>
        <v>0</v>
      </c>
      <c r="AK39" s="226">
        <f t="shared" si="24"/>
        <v>5831.5387548860899</v>
      </c>
      <c r="AL39" s="227">
        <f t="shared" si="25"/>
        <v>0</v>
      </c>
      <c r="AM39" s="227">
        <f t="shared" si="26"/>
        <v>364.6699934888108</v>
      </c>
      <c r="AN39" s="227">
        <f t="shared" si="27"/>
        <v>0</v>
      </c>
      <c r="AO39" s="227">
        <f t="shared" si="28"/>
        <v>224.28995211100346</v>
      </c>
      <c r="AP39" s="228">
        <f t="shared" si="29"/>
        <v>0</v>
      </c>
      <c r="AQ39" s="228">
        <f t="shared" si="30"/>
        <v>0</v>
      </c>
      <c r="AR39" s="228">
        <f t="shared" si="31"/>
        <v>0</v>
      </c>
      <c r="AS39" s="228">
        <f t="shared" si="32"/>
        <v>0</v>
      </c>
      <c r="AT39" s="227">
        <f>IF(ISERROR(VLOOKUP(A39,Mandatory!A:A,1,FALSE)),0,1)</f>
        <v>0</v>
      </c>
    </row>
    <row r="40" spans="1:46">
      <c r="A40" s="231">
        <v>214</v>
      </c>
      <c r="B40" s="222">
        <f>VLOOKUP(A40,OPATT_Activities!A:J,3,FALSE)</f>
        <v>1885</v>
      </c>
      <c r="C40" s="222">
        <f>VLOOKUP(A40,OPATT_Activities!A:J,4,FALSE)</f>
        <v>82522</v>
      </c>
      <c r="D40" s="222">
        <f>VLOOKUP(A40,OPATT_Activities!A:J,5,FALSE)</f>
        <v>2792</v>
      </c>
      <c r="E40" s="222">
        <f>VLOOKUP(A40,OPATT_Activities!A:J,6,FALSE)</f>
        <v>124802</v>
      </c>
      <c r="F40" s="222">
        <f>VLOOKUP(A40,OPATT_Cost_Quantum!A:F,2,FALSE)</f>
        <v>380473.10222396802</v>
      </c>
      <c r="G40" s="222">
        <f>VLOOKUP(A40,OPATT_Cost_Quantum!A:F,3,FALSE)</f>
        <v>11596029.563080801</v>
      </c>
      <c r="H40" s="222">
        <f>VLOOKUP(A40,OPATT_Cost_Quantum!A:F,4,FALSE)</f>
        <v>596461.52687578695</v>
      </c>
      <c r="I40" s="222">
        <f>VLOOKUP(A40,OPATT_Cost_Quantum!A:F,5,FALSE)</f>
        <v>15553930.5696257</v>
      </c>
      <c r="J40" s="223">
        <f t="shared" si="12"/>
        <v>201.84249454852414</v>
      </c>
      <c r="K40" s="223">
        <f t="shared" si="12"/>
        <v>140.52046197475582</v>
      </c>
      <c r="L40" s="223">
        <f t="shared" si="12"/>
        <v>213.63235203287499</v>
      </c>
      <c r="M40" s="223">
        <f t="shared" si="12"/>
        <v>124.62885666596449</v>
      </c>
      <c r="N40" s="224">
        <f>IF(ISERROR(VLOOKUP($A40,'HRGs to TFCs % Split'!$A$8:$I$145,6,0)),0,VLOOKUP($A40,'HRGs to TFCs % Split'!$A$8:$I$145,6,0))</f>
        <v>1.3660397064809997E-6</v>
      </c>
      <c r="O40" s="224">
        <f>IF(ISERROR(VLOOKUP($A40,'HRGs to TFCs % Split'!$A$8:$I$145,6,0)),0,VLOOKUP($A40,'HRGs to TFCs % Split'!$A$8:$I$145,7,0))</f>
        <v>1.0235540372132634E-4</v>
      </c>
      <c r="P40" s="224">
        <f>IF(ISERROR(VLOOKUP($A40,'HRGs to TFCs % Split'!$A$8:$I$145,6,0)),0,VLOOKUP($A40,'HRGs to TFCs % Split'!$A$8:$I$145,8,0))</f>
        <v>1.7270644860509784E-5</v>
      </c>
      <c r="Q40" s="224">
        <f>IF(ISERROR(VLOOKUP($A40,'HRGs to TFCs % Split'!$A$8:$I$145,6,0)),0,VLOOKUP($A40,'HRGs to TFCs % Split'!$A$8:$I$145,9,0))</f>
        <v>2.2383536333338668E-4</v>
      </c>
      <c r="R40" s="225">
        <f t="shared" ref="R40:R73" si="33">ROUND(N40*$R$3,0)</f>
        <v>2</v>
      </c>
      <c r="S40" s="225">
        <f t="shared" ref="S40:S73" si="34">ROUND(O40*$R$3,0)</f>
        <v>138</v>
      </c>
      <c r="T40" s="225">
        <f t="shared" ref="T40:T73" si="35">ROUND(P40*$R$3,0)</f>
        <v>23</v>
      </c>
      <c r="U40" s="225">
        <f t="shared" ref="U40:U73" si="36">ROUND(Q40*$R$3,0)</f>
        <v>302</v>
      </c>
      <c r="V40" s="224">
        <f>IF(ISERROR(VLOOKUP($A40,'HRGs to TFCs % Split'!$A$8:$I$145,6,0)),0,VLOOKUP($A40,'HRGs to TFCs % Split'!$A$8:$I$145,6,0))</f>
        <v>1.3660397064809997E-6</v>
      </c>
      <c r="W40" s="224">
        <f>IF(ISERROR(VLOOKUP($A40,'HRGs to TFCs % Split'!$A$8:$I$145,6,0)),0,VLOOKUP($A40,'HRGs to TFCs % Split'!$A$8:$I$145,7,0))</f>
        <v>1.0235540372132634E-4</v>
      </c>
      <c r="X40" s="224">
        <f>IF(ISERROR(VLOOKUP($A40,'HRGs to TFCs % Split'!$A$8:$I$145,6,0)),0,VLOOKUP($A40,'HRGs to TFCs % Split'!$A$8:$I$145,8,0))</f>
        <v>1.7270644860509784E-5</v>
      </c>
      <c r="Y40" s="224">
        <f>IF(ISERROR(VLOOKUP($A40,'HRGs to TFCs % Split'!$A$8:$I$145,6,0)),0,VLOOKUP($A40,'HRGs to TFCs % Split'!$A$8:$I$145,9,0))</f>
        <v>2.2383536333338668E-4</v>
      </c>
      <c r="Z40" s="225">
        <f t="shared" si="13"/>
        <v>215.42600431021762</v>
      </c>
      <c r="AA40" s="225">
        <f t="shared" si="14"/>
        <v>16141.562751529878</v>
      </c>
      <c r="AB40" s="225">
        <f t="shared" si="15"/>
        <v>2723.6001973506086</v>
      </c>
      <c r="AC40" s="225">
        <f t="shared" si="16"/>
        <v>35299.089563402806</v>
      </c>
      <c r="AD40" s="226">
        <f t="shared" si="17"/>
        <v>1887</v>
      </c>
      <c r="AE40" s="226">
        <f t="shared" si="18"/>
        <v>82660</v>
      </c>
      <c r="AF40" s="226">
        <f t="shared" si="19"/>
        <v>2815</v>
      </c>
      <c r="AG40" s="226">
        <f t="shared" si="20"/>
        <v>125104</v>
      </c>
      <c r="AH40" s="226">
        <f t="shared" si="21"/>
        <v>380688.52822827821</v>
      </c>
      <c r="AI40" s="226">
        <f t="shared" si="22"/>
        <v>11612171.12583233</v>
      </c>
      <c r="AJ40" s="226">
        <f t="shared" si="23"/>
        <v>599185.12707313756</v>
      </c>
      <c r="AK40" s="226">
        <f t="shared" si="24"/>
        <v>15589229.659189103</v>
      </c>
      <c r="AL40" s="227">
        <f t="shared" si="25"/>
        <v>201.74272826087875</v>
      </c>
      <c r="AM40" s="227">
        <f t="shared" si="26"/>
        <v>140.48114113032096</v>
      </c>
      <c r="AN40" s="227">
        <f t="shared" si="27"/>
        <v>212.8543968288233</v>
      </c>
      <c r="AO40" s="227">
        <f t="shared" si="28"/>
        <v>124.61016161904578</v>
      </c>
      <c r="AP40" s="228">
        <f t="shared" si="29"/>
        <v>-4.9427791639489183E-4</v>
      </c>
      <c r="AQ40" s="228">
        <f t="shared" si="30"/>
        <v>-2.7982290893635575E-4</v>
      </c>
      <c r="AR40" s="228">
        <f t="shared" si="31"/>
        <v>-3.6415608247012399E-3</v>
      </c>
      <c r="AS40" s="228">
        <f t="shared" si="32"/>
        <v>-1.5000576446599911E-4</v>
      </c>
      <c r="AT40" s="227">
        <f>IF(ISERROR(VLOOKUP(A40,Mandatory!A:A,1,FALSE)),0,1)</f>
        <v>1</v>
      </c>
    </row>
    <row r="41" spans="1:46">
      <c r="A41" s="231">
        <v>215</v>
      </c>
      <c r="B41" s="222">
        <f>VLOOKUP(A41,OPATT_Activities!A:J,3,FALSE)</f>
        <v>1937</v>
      </c>
      <c r="C41" s="222">
        <f>VLOOKUP(A41,OPATT_Activities!A:J,4,FALSE)</f>
        <v>39065</v>
      </c>
      <c r="D41" s="222">
        <f>VLOOKUP(A41,OPATT_Activities!A:J,5,FALSE)</f>
        <v>3078</v>
      </c>
      <c r="E41" s="222">
        <f>VLOOKUP(A41,OPATT_Activities!A:J,6,FALSE)</f>
        <v>56050</v>
      </c>
      <c r="F41" s="222">
        <f>VLOOKUP(A41,OPATT_Cost_Quantum!A:F,2,FALSE)</f>
        <v>181341.13755248499</v>
      </c>
      <c r="G41" s="222">
        <f>VLOOKUP(A41,OPATT_Cost_Quantum!A:F,3,FALSE)</f>
        <v>4621808.6917312704</v>
      </c>
      <c r="H41" s="222">
        <f>VLOOKUP(A41,OPATT_Cost_Quantum!A:F,4,FALSE)</f>
        <v>292579.69341143902</v>
      </c>
      <c r="I41" s="222">
        <f>VLOOKUP(A41,OPATT_Cost_Quantum!A:F,5,FALSE)</f>
        <v>5121472.9778247401</v>
      </c>
      <c r="J41" s="223">
        <f t="shared" si="12"/>
        <v>93.619585726631385</v>
      </c>
      <c r="K41" s="223">
        <f t="shared" si="12"/>
        <v>118.31073062156074</v>
      </c>
      <c r="L41" s="223">
        <f t="shared" si="12"/>
        <v>95.055131062845689</v>
      </c>
      <c r="M41" s="223">
        <f t="shared" si="12"/>
        <v>91.373291308202326</v>
      </c>
      <c r="N41" s="224">
        <f>IF(ISERROR(VLOOKUP($A41,'HRGs to TFCs % Split'!$A$8:$I$145,6,0)),0,VLOOKUP($A41,'HRGs to TFCs % Split'!$A$8:$I$145,6,0))</f>
        <v>6.8301985324049991E-6</v>
      </c>
      <c r="O41" s="224">
        <f>IF(ISERROR(VLOOKUP($A41,'HRGs to TFCs % Split'!$A$8:$I$145,6,0)),0,VLOOKUP($A41,'HRGs to TFCs % Split'!$A$8:$I$145,7,0))</f>
        <v>1.0685357732623877E-3</v>
      </c>
      <c r="P41" s="224">
        <f>IF(ISERROR(VLOOKUP($A41,'HRGs to TFCs % Split'!$A$8:$I$145,6,0)),0,VLOOKUP($A41,'HRGs to TFCs % Split'!$A$8:$I$145,8,0))</f>
        <v>1.0830743387099355E-5</v>
      </c>
      <c r="Q41" s="224">
        <f>IF(ISERROR(VLOOKUP($A41,'HRGs to TFCs % Split'!$A$8:$I$145,6,0)),0,VLOOKUP($A41,'HRGs to TFCs % Split'!$A$8:$I$145,9,0))</f>
        <v>1.3274002976405373E-3</v>
      </c>
      <c r="R41" s="225">
        <f t="shared" si="33"/>
        <v>9</v>
      </c>
      <c r="S41" s="225">
        <f t="shared" si="34"/>
        <v>1442</v>
      </c>
      <c r="T41" s="225">
        <f t="shared" si="35"/>
        <v>15</v>
      </c>
      <c r="U41" s="225">
        <f t="shared" si="36"/>
        <v>1791</v>
      </c>
      <c r="V41" s="224">
        <f>IF(ISERROR(VLOOKUP($A41,'HRGs to TFCs % Split'!$A$8:$I$145,6,0)),0,VLOOKUP($A41,'HRGs to TFCs % Split'!$A$8:$I$145,6,0))</f>
        <v>6.8301985324049991E-6</v>
      </c>
      <c r="W41" s="224">
        <f>IF(ISERROR(VLOOKUP($A41,'HRGs to TFCs % Split'!$A$8:$I$145,6,0)),0,VLOOKUP($A41,'HRGs to TFCs % Split'!$A$8:$I$145,7,0))</f>
        <v>1.0685357732623877E-3</v>
      </c>
      <c r="X41" s="224">
        <f>IF(ISERROR(VLOOKUP($A41,'HRGs to TFCs % Split'!$A$8:$I$145,6,0)),0,VLOOKUP($A41,'HRGs to TFCs % Split'!$A$8:$I$145,8,0))</f>
        <v>1.0830743387099355E-5</v>
      </c>
      <c r="Y41" s="224">
        <f>IF(ISERROR(VLOOKUP($A41,'HRGs to TFCs % Split'!$A$8:$I$145,6,0)),0,VLOOKUP($A41,'HRGs to TFCs % Split'!$A$8:$I$145,9,0))</f>
        <v>1.3274002976405373E-3</v>
      </c>
      <c r="Z41" s="225">
        <f t="shared" si="13"/>
        <v>1077.1300215510882</v>
      </c>
      <c r="AA41" s="225">
        <f t="shared" si="14"/>
        <v>168509.2980857995</v>
      </c>
      <c r="AB41" s="225">
        <f t="shared" si="15"/>
        <v>1708.0204627452968</v>
      </c>
      <c r="AC41" s="225">
        <f t="shared" si="16"/>
        <v>209332.52590258577</v>
      </c>
      <c r="AD41" s="226">
        <f t="shared" si="17"/>
        <v>1946</v>
      </c>
      <c r="AE41" s="226">
        <f t="shared" si="18"/>
        <v>40507</v>
      </c>
      <c r="AF41" s="226">
        <f t="shared" si="19"/>
        <v>3093</v>
      </c>
      <c r="AG41" s="226">
        <f t="shared" si="20"/>
        <v>57841</v>
      </c>
      <c r="AH41" s="226">
        <f t="shared" si="21"/>
        <v>182418.26757403609</v>
      </c>
      <c r="AI41" s="226">
        <f t="shared" si="22"/>
        <v>4790317.9898170698</v>
      </c>
      <c r="AJ41" s="226">
        <f t="shared" si="23"/>
        <v>294287.71387418429</v>
      </c>
      <c r="AK41" s="226">
        <f t="shared" si="24"/>
        <v>5330805.5037273262</v>
      </c>
      <c r="AL41" s="227">
        <f t="shared" si="25"/>
        <v>93.740116944520082</v>
      </c>
      <c r="AM41" s="227">
        <f t="shared" si="26"/>
        <v>118.25901670864468</v>
      </c>
      <c r="AN41" s="227">
        <f t="shared" si="27"/>
        <v>95.146367240279432</v>
      </c>
      <c r="AO41" s="227">
        <f t="shared" si="28"/>
        <v>92.163093717731826</v>
      </c>
      <c r="AP41" s="228">
        <f t="shared" si="29"/>
        <v>1.2874572874168599E-3</v>
      </c>
      <c r="AQ41" s="228">
        <f t="shared" si="30"/>
        <v>-4.3710247282191528E-4</v>
      </c>
      <c r="AR41" s="228">
        <f t="shared" si="31"/>
        <v>9.5982380344539209E-4</v>
      </c>
      <c r="AS41" s="228">
        <f t="shared" si="32"/>
        <v>8.6436900567092856E-3</v>
      </c>
      <c r="AT41" s="227">
        <f>IF(ISERROR(VLOOKUP(A41,Mandatory!A:A,1,FALSE)),0,1)</f>
        <v>1</v>
      </c>
    </row>
    <row r="42" spans="1:46">
      <c r="A42" s="231">
        <v>216</v>
      </c>
      <c r="B42" s="222">
        <f>VLOOKUP(A42,OPATT_Activities!A:J,3,FALSE)</f>
        <v>2271</v>
      </c>
      <c r="C42" s="222">
        <f>VLOOKUP(A42,OPATT_Activities!A:J,4,FALSE)</f>
        <v>54515</v>
      </c>
      <c r="D42" s="222">
        <f>VLOOKUP(A42,OPATT_Activities!A:J,5,FALSE)</f>
        <v>4659</v>
      </c>
      <c r="E42" s="222">
        <f>VLOOKUP(A42,OPATT_Activities!A:J,6,FALSE)</f>
        <v>137952</v>
      </c>
      <c r="F42" s="222">
        <f>VLOOKUP(A42,OPATT_Cost_Quantum!A:F,2,FALSE)</f>
        <v>269289.19084087398</v>
      </c>
      <c r="G42" s="222">
        <f>VLOOKUP(A42,OPATT_Cost_Quantum!A:F,3,FALSE)</f>
        <v>5775732.2022529598</v>
      </c>
      <c r="H42" s="222">
        <f>VLOOKUP(A42,OPATT_Cost_Quantum!A:F,4,FALSE)</f>
        <v>497226.28240100201</v>
      </c>
      <c r="I42" s="222">
        <f>VLOOKUP(A42,OPATT_Cost_Quantum!A:F,5,FALSE)</f>
        <v>13892747.8980556</v>
      </c>
      <c r="J42" s="223">
        <f t="shared" si="12"/>
        <v>118.57736276568647</v>
      </c>
      <c r="K42" s="223">
        <f t="shared" si="12"/>
        <v>105.94757777222709</v>
      </c>
      <c r="L42" s="223">
        <f t="shared" si="12"/>
        <v>106.72382107769951</v>
      </c>
      <c r="M42" s="223">
        <f t="shared" si="12"/>
        <v>100.70711477945662</v>
      </c>
      <c r="N42" s="224">
        <f>IF(ISERROR(VLOOKUP($A42,'HRGs to TFCs % Split'!$A$8:$I$145,6,0)),0,VLOOKUP($A42,'HRGs to TFCs % Split'!$A$8:$I$145,6,0))</f>
        <v>3.3955844132527708E-5</v>
      </c>
      <c r="O42" s="224">
        <f>IF(ISERROR(VLOOKUP($A42,'HRGs to TFCs % Split'!$A$8:$I$145,6,0)),0,VLOOKUP($A42,'HRGs to TFCs % Split'!$A$8:$I$145,7,0))</f>
        <v>1.5992421992302563E-4</v>
      </c>
      <c r="P42" s="224">
        <f>IF(ISERROR(VLOOKUP($A42,'HRGs to TFCs % Split'!$A$8:$I$145,6,0)),0,VLOOKUP($A42,'HRGs to TFCs % Split'!$A$8:$I$145,8,0))</f>
        <v>7.69860948866792E-5</v>
      </c>
      <c r="Q42" s="224">
        <f>IF(ISERROR(VLOOKUP($A42,'HRGs to TFCs % Split'!$A$8:$I$145,6,0)),0,VLOOKUP($A42,'HRGs to TFCs % Split'!$A$8:$I$145,9,0))</f>
        <v>5.1470424654909098E-4</v>
      </c>
      <c r="R42" s="225">
        <f t="shared" si="33"/>
        <v>46</v>
      </c>
      <c r="S42" s="225">
        <f t="shared" si="34"/>
        <v>216</v>
      </c>
      <c r="T42" s="225">
        <f t="shared" si="35"/>
        <v>104</v>
      </c>
      <c r="U42" s="225">
        <f t="shared" si="36"/>
        <v>695</v>
      </c>
      <c r="V42" s="224">
        <f>IF(ISERROR(VLOOKUP($A42,'HRGs to TFCs % Split'!$A$8:$I$145,6,0)),0,VLOOKUP($A42,'HRGs to TFCs % Split'!$A$8:$I$145,6,0))</f>
        <v>3.3955844132527708E-5</v>
      </c>
      <c r="W42" s="224">
        <f>IF(ISERROR(VLOOKUP($A42,'HRGs to TFCs % Split'!$A$8:$I$145,6,0)),0,VLOOKUP($A42,'HRGs to TFCs % Split'!$A$8:$I$145,7,0))</f>
        <v>1.5992421992302563E-4</v>
      </c>
      <c r="X42" s="224">
        <f>IF(ISERROR(VLOOKUP($A42,'HRGs to TFCs % Split'!$A$8:$I$145,6,0)),0,VLOOKUP($A42,'HRGs to TFCs % Split'!$A$8:$I$145,8,0))</f>
        <v>7.69860948866792E-5</v>
      </c>
      <c r="Y42" s="224">
        <f>IF(ISERROR(VLOOKUP($A42,'HRGs to TFCs % Split'!$A$8:$I$145,6,0)),0,VLOOKUP($A42,'HRGs to TFCs % Split'!$A$8:$I$145,9,0))</f>
        <v>5.1470424654909098E-4</v>
      </c>
      <c r="Z42" s="225">
        <f t="shared" si="13"/>
        <v>5354.8749642825524</v>
      </c>
      <c r="AA42" s="225">
        <f t="shared" si="14"/>
        <v>25220.230076031909</v>
      </c>
      <c r="AB42" s="225">
        <f t="shared" si="15"/>
        <v>12140.794100054407</v>
      </c>
      <c r="AC42" s="225">
        <f t="shared" si="16"/>
        <v>81169.440909742712</v>
      </c>
      <c r="AD42" s="226">
        <f t="shared" si="17"/>
        <v>2317</v>
      </c>
      <c r="AE42" s="226">
        <f t="shared" si="18"/>
        <v>54731</v>
      </c>
      <c r="AF42" s="226">
        <f t="shared" si="19"/>
        <v>4763</v>
      </c>
      <c r="AG42" s="226">
        <f t="shared" si="20"/>
        <v>138647</v>
      </c>
      <c r="AH42" s="226">
        <f t="shared" si="21"/>
        <v>274644.06580515654</v>
      </c>
      <c r="AI42" s="226">
        <f t="shared" si="22"/>
        <v>5800952.4323289916</v>
      </c>
      <c r="AJ42" s="226">
        <f t="shared" si="23"/>
        <v>509367.07650105644</v>
      </c>
      <c r="AK42" s="226">
        <f t="shared" si="24"/>
        <v>13973917.338965343</v>
      </c>
      <c r="AL42" s="227">
        <f t="shared" si="25"/>
        <v>118.53434001085738</v>
      </c>
      <c r="AM42" s="227">
        <f t="shared" si="26"/>
        <v>105.99025108857853</v>
      </c>
      <c r="AN42" s="227">
        <f t="shared" si="27"/>
        <v>106.94248929268453</v>
      </c>
      <c r="AO42" s="227">
        <f t="shared" si="28"/>
        <v>100.78773676289673</v>
      </c>
      <c r="AP42" s="228">
        <f t="shared" si="29"/>
        <v>-3.6282435218359943E-4</v>
      </c>
      <c r="AQ42" s="228">
        <f t="shared" si="30"/>
        <v>4.0277764955787276E-4</v>
      </c>
      <c r="AR42" s="228">
        <f t="shared" si="31"/>
        <v>2.0489166596258102E-3</v>
      </c>
      <c r="AS42" s="228">
        <f t="shared" si="32"/>
        <v>8.0055896365083257E-4</v>
      </c>
      <c r="AT42" s="227">
        <f>IF(ISERROR(VLOOKUP(A42,Mandatory!A:A,1,FALSE)),0,1)</f>
        <v>1</v>
      </c>
    </row>
    <row r="43" spans="1:46">
      <c r="A43" s="231">
        <v>217</v>
      </c>
      <c r="B43" s="222">
        <f>VLOOKUP(A43,OPATT_Activities!A:J,3,FALSE)</f>
        <v>75</v>
      </c>
      <c r="C43" s="222">
        <f>VLOOKUP(A43,OPATT_Activities!A:J,4,FALSE)</f>
        <v>3088</v>
      </c>
      <c r="D43" s="222">
        <f>VLOOKUP(A43,OPATT_Activities!A:J,5,FALSE)</f>
        <v>248</v>
      </c>
      <c r="E43" s="222">
        <f>VLOOKUP(A43,OPATT_Activities!A:J,6,FALSE)</f>
        <v>3474</v>
      </c>
      <c r="F43" s="222">
        <f>VLOOKUP(A43,OPATT_Cost_Quantum!A:F,2,FALSE)</f>
        <v>17249.933495703401</v>
      </c>
      <c r="G43" s="222">
        <f>VLOOKUP(A43,OPATT_Cost_Quantum!A:F,3,FALSE)</f>
        <v>321804.588398533</v>
      </c>
      <c r="H43" s="222">
        <f>VLOOKUP(A43,OPATT_Cost_Quantum!A:F,4,FALSE)</f>
        <v>94930.130255677504</v>
      </c>
      <c r="I43" s="222">
        <f>VLOOKUP(A43,OPATT_Cost_Quantum!A:F,5,FALSE)</f>
        <v>425767.47217311099</v>
      </c>
      <c r="J43" s="223">
        <f t="shared" si="12"/>
        <v>229.99911327604534</v>
      </c>
      <c r="K43" s="223">
        <f t="shared" si="12"/>
        <v>104.21133043993945</v>
      </c>
      <c r="L43" s="223">
        <f t="shared" si="12"/>
        <v>382.78278328902218</v>
      </c>
      <c r="M43" s="223">
        <f t="shared" si="12"/>
        <v>122.55828214539753</v>
      </c>
      <c r="N43" s="224">
        <f>IF(ISERROR(VLOOKUP($A43,'HRGs to TFCs % Split'!$A$8:$I$145,6,0)),0,VLOOKUP($A43,'HRGs to TFCs % Split'!$A$8:$I$145,6,0))</f>
        <v>2.4393566187160709E-6</v>
      </c>
      <c r="O43" s="224">
        <f>IF(ISERROR(VLOOKUP($A43,'HRGs to TFCs % Split'!$A$8:$I$145,6,0)),0,VLOOKUP($A43,'HRGs to TFCs % Split'!$A$8:$I$145,7,0))</f>
        <v>2.9467427954090138E-5</v>
      </c>
      <c r="P43" s="224">
        <f>IF(ISERROR(VLOOKUP($A43,'HRGs to TFCs % Split'!$A$8:$I$145,6,0)),0,VLOOKUP($A43,'HRGs to TFCs % Split'!$A$8:$I$145,8,0))</f>
        <v>3.0248022072079278E-6</v>
      </c>
      <c r="Q43" s="224">
        <f>IF(ISERROR(VLOOKUP($A43,'HRGs to TFCs % Split'!$A$8:$I$145,6,0)),0,VLOOKUP($A43,'HRGs to TFCs % Split'!$A$8:$I$145,9,0))</f>
        <v>4.2347230900910994E-5</v>
      </c>
      <c r="R43" s="225">
        <f t="shared" si="33"/>
        <v>3</v>
      </c>
      <c r="S43" s="225">
        <f t="shared" si="34"/>
        <v>40</v>
      </c>
      <c r="T43" s="225">
        <f t="shared" si="35"/>
        <v>4</v>
      </c>
      <c r="U43" s="225">
        <f t="shared" si="36"/>
        <v>57</v>
      </c>
      <c r="V43" s="224">
        <f>IF(ISERROR(VLOOKUP($A43,'HRGs to TFCs % Split'!$A$8:$I$145,6,0)),0,VLOOKUP($A43,'HRGs to TFCs % Split'!$A$8:$I$145,6,0))</f>
        <v>2.4393566187160709E-6</v>
      </c>
      <c r="W43" s="224">
        <f>IF(ISERROR(VLOOKUP($A43,'HRGs to TFCs % Split'!$A$8:$I$145,6,0)),0,VLOOKUP($A43,'HRGs to TFCs % Split'!$A$8:$I$145,7,0))</f>
        <v>2.9467427954090138E-5</v>
      </c>
      <c r="X43" s="224">
        <f>IF(ISERROR(VLOOKUP($A43,'HRGs to TFCs % Split'!$A$8:$I$145,6,0)),0,VLOOKUP($A43,'HRGs to TFCs % Split'!$A$8:$I$145,8,0))</f>
        <v>3.0248022072079278E-6</v>
      </c>
      <c r="Y43" s="224">
        <f>IF(ISERROR(VLOOKUP($A43,'HRGs to TFCs % Split'!$A$8:$I$145,6,0)),0,VLOOKUP($A43,'HRGs to TFCs % Split'!$A$8:$I$145,9,0))</f>
        <v>4.2347230900910994E-5</v>
      </c>
      <c r="Z43" s="225">
        <f t="shared" si="13"/>
        <v>384.68929341110288</v>
      </c>
      <c r="AA43" s="225">
        <f t="shared" si="14"/>
        <v>4647.0466644061235</v>
      </c>
      <c r="AB43" s="225">
        <f t="shared" si="15"/>
        <v>477.01472382976755</v>
      </c>
      <c r="AC43" s="225">
        <f t="shared" si="16"/>
        <v>6678.2061336167462</v>
      </c>
      <c r="AD43" s="226">
        <f t="shared" si="17"/>
        <v>78</v>
      </c>
      <c r="AE43" s="226">
        <f t="shared" si="18"/>
        <v>3128</v>
      </c>
      <c r="AF43" s="226">
        <f t="shared" si="19"/>
        <v>252</v>
      </c>
      <c r="AG43" s="226">
        <f t="shared" si="20"/>
        <v>3531</v>
      </c>
      <c r="AH43" s="226">
        <f t="shared" si="21"/>
        <v>17634.622789114503</v>
      </c>
      <c r="AI43" s="226">
        <f t="shared" si="22"/>
        <v>326451.63506293914</v>
      </c>
      <c r="AJ43" s="226">
        <f t="shared" si="23"/>
        <v>95407.144979507269</v>
      </c>
      <c r="AK43" s="226">
        <f t="shared" si="24"/>
        <v>432445.67830672773</v>
      </c>
      <c r="AL43" s="227">
        <f t="shared" si="25"/>
        <v>226.08490755275002</v>
      </c>
      <c r="AM43" s="227">
        <f t="shared" si="26"/>
        <v>104.36433346001891</v>
      </c>
      <c r="AN43" s="227">
        <f t="shared" si="27"/>
        <v>378.59978166471137</v>
      </c>
      <c r="AO43" s="227">
        <f t="shared" si="28"/>
        <v>122.47116349666602</v>
      </c>
      <c r="AP43" s="228">
        <f t="shared" si="29"/>
        <v>-1.7018351364674444E-2</v>
      </c>
      <c r="AQ43" s="228">
        <f t="shared" si="30"/>
        <v>1.4681994696119638E-3</v>
      </c>
      <c r="AR43" s="228">
        <f t="shared" si="31"/>
        <v>-1.0927872952824047E-2</v>
      </c>
      <c r="AS43" s="228">
        <f t="shared" si="32"/>
        <v>-7.1083444714203914E-4</v>
      </c>
      <c r="AT43" s="227">
        <f>IF(ISERROR(VLOOKUP(A43,Mandatory!A:A,1,FALSE)),0,1)</f>
        <v>1</v>
      </c>
    </row>
    <row r="44" spans="1:46">
      <c r="A44" s="231">
        <v>218</v>
      </c>
      <c r="B44" s="222">
        <f>VLOOKUP(A44,OPATT_Activities!A:J,3,FALSE)</f>
        <v>54</v>
      </c>
      <c r="C44" s="222">
        <f>VLOOKUP(A44,OPATT_Activities!A:J,4,FALSE)</f>
        <v>3482</v>
      </c>
      <c r="D44" s="222">
        <f>VLOOKUP(A44,OPATT_Activities!A:J,5,FALSE)</f>
        <v>237</v>
      </c>
      <c r="E44" s="222">
        <f>VLOOKUP(A44,OPATT_Activities!A:J,6,FALSE)</f>
        <v>12512</v>
      </c>
      <c r="F44" s="222">
        <f>VLOOKUP(A44,OPATT_Cost_Quantum!A:F,2,FALSE)</f>
        <v>13024.606879176799</v>
      </c>
      <c r="G44" s="222">
        <f>VLOOKUP(A44,OPATT_Cost_Quantum!A:F,3,FALSE)</f>
        <v>834965.31569559395</v>
      </c>
      <c r="H44" s="222">
        <f>VLOOKUP(A44,OPATT_Cost_Quantum!A:F,4,FALSE)</f>
        <v>31149.266995396501</v>
      </c>
      <c r="I44" s="222">
        <f>VLOOKUP(A44,OPATT_Cost_Quantum!A:F,5,FALSE)</f>
        <v>2257691.3526103301</v>
      </c>
      <c r="J44" s="223">
        <f t="shared" si="12"/>
        <v>241.19642368845925</v>
      </c>
      <c r="K44" s="223">
        <f t="shared" si="12"/>
        <v>239.79474890740781</v>
      </c>
      <c r="L44" s="223">
        <f t="shared" si="12"/>
        <v>131.43150630968987</v>
      </c>
      <c r="M44" s="223">
        <f t="shared" si="12"/>
        <v>180.44208380837037</v>
      </c>
      <c r="N44" s="224">
        <f>IF(ISERROR(VLOOKUP($A44,'HRGs to TFCs % Split'!$A$8:$I$145,6,0)),0,VLOOKUP($A44,'HRGs to TFCs % Split'!$A$8:$I$145,6,0))</f>
        <v>0</v>
      </c>
      <c r="O44" s="224">
        <f>IF(ISERROR(VLOOKUP($A44,'HRGs to TFCs % Split'!$A$8:$I$145,6,0)),0,VLOOKUP($A44,'HRGs to TFCs % Split'!$A$8:$I$145,7,0))</f>
        <v>0</v>
      </c>
      <c r="P44" s="224">
        <f>IF(ISERROR(VLOOKUP($A44,'HRGs to TFCs % Split'!$A$8:$I$145,6,0)),0,VLOOKUP($A44,'HRGs to TFCs % Split'!$A$8:$I$145,8,0))</f>
        <v>0</v>
      </c>
      <c r="Q44" s="224">
        <f>IF(ISERROR(VLOOKUP($A44,'HRGs to TFCs % Split'!$A$8:$I$145,6,0)),0,VLOOKUP($A44,'HRGs to TFCs % Split'!$A$8:$I$145,9,0))</f>
        <v>2.9272279424592851E-7</v>
      </c>
      <c r="R44" s="225">
        <f t="shared" si="33"/>
        <v>0</v>
      </c>
      <c r="S44" s="225">
        <f t="shared" si="34"/>
        <v>0</v>
      </c>
      <c r="T44" s="225">
        <f t="shared" si="35"/>
        <v>0</v>
      </c>
      <c r="U44" s="225">
        <f t="shared" si="36"/>
        <v>0</v>
      </c>
      <c r="V44" s="224">
        <f>IF(ISERROR(VLOOKUP($A44,'HRGs to TFCs % Split'!$A$8:$I$145,6,0)),0,VLOOKUP($A44,'HRGs to TFCs % Split'!$A$8:$I$145,6,0))</f>
        <v>0</v>
      </c>
      <c r="W44" s="224">
        <f>IF(ISERROR(VLOOKUP($A44,'HRGs to TFCs % Split'!$A$8:$I$145,6,0)),0,VLOOKUP($A44,'HRGs to TFCs % Split'!$A$8:$I$145,7,0))</f>
        <v>0</v>
      </c>
      <c r="X44" s="224">
        <f>IF(ISERROR(VLOOKUP($A44,'HRGs to TFCs % Split'!$A$8:$I$145,6,0)),0,VLOOKUP($A44,'HRGs to TFCs % Split'!$A$8:$I$145,8,0))</f>
        <v>0</v>
      </c>
      <c r="Y44" s="224">
        <f>IF(ISERROR(VLOOKUP($A44,'HRGs to TFCs % Split'!$A$8:$I$145,6,0)),0,VLOOKUP($A44,'HRGs to TFCs % Split'!$A$8:$I$145,9,0))</f>
        <v>2.9272279424592851E-7</v>
      </c>
      <c r="Z44" s="225">
        <f t="shared" si="13"/>
        <v>0</v>
      </c>
      <c r="AA44" s="225">
        <f t="shared" si="14"/>
        <v>0</v>
      </c>
      <c r="AB44" s="225">
        <f t="shared" si="15"/>
        <v>0</v>
      </c>
      <c r="AC44" s="225">
        <f t="shared" si="16"/>
        <v>46.162715209332347</v>
      </c>
      <c r="AD44" s="226">
        <f t="shared" si="17"/>
        <v>54</v>
      </c>
      <c r="AE44" s="226">
        <f t="shared" si="18"/>
        <v>3482</v>
      </c>
      <c r="AF44" s="226">
        <f t="shared" si="19"/>
        <v>237</v>
      </c>
      <c r="AG44" s="226">
        <f t="shared" si="20"/>
        <v>12512</v>
      </c>
      <c r="AH44" s="226">
        <f t="shared" si="21"/>
        <v>13024.606879176799</v>
      </c>
      <c r="AI44" s="226">
        <f t="shared" si="22"/>
        <v>834965.31569559395</v>
      </c>
      <c r="AJ44" s="226">
        <f t="shared" si="23"/>
        <v>31149.266995396501</v>
      </c>
      <c r="AK44" s="226">
        <f t="shared" si="24"/>
        <v>2257737.5153255393</v>
      </c>
      <c r="AL44" s="227">
        <f t="shared" si="25"/>
        <v>241.19642368845925</v>
      </c>
      <c r="AM44" s="227">
        <f t="shared" si="26"/>
        <v>239.79474890740781</v>
      </c>
      <c r="AN44" s="227">
        <f t="shared" si="27"/>
        <v>131.43150630968987</v>
      </c>
      <c r="AO44" s="227">
        <f t="shared" si="28"/>
        <v>180.44577328369081</v>
      </c>
      <c r="AP44" s="228">
        <f t="shared" si="29"/>
        <v>0</v>
      </c>
      <c r="AQ44" s="228">
        <f t="shared" si="30"/>
        <v>0</v>
      </c>
      <c r="AR44" s="228">
        <f t="shared" si="31"/>
        <v>0</v>
      </c>
      <c r="AS44" s="228">
        <f t="shared" si="32"/>
        <v>2.0446867175172301E-5</v>
      </c>
      <c r="AT44" s="227">
        <f>IF(ISERROR(VLOOKUP(A44,Mandatory!A:A,1,FALSE)),0,1)</f>
        <v>1</v>
      </c>
    </row>
    <row r="45" spans="1:46">
      <c r="A45" s="231">
        <v>219</v>
      </c>
      <c r="B45" s="222">
        <f>VLOOKUP(A45,OPATT_Activities!A:J,3,FALSE)</f>
        <v>374</v>
      </c>
      <c r="C45" s="222">
        <f>VLOOKUP(A45,OPATT_Activities!A:J,4,FALSE)</f>
        <v>14343</v>
      </c>
      <c r="D45" s="222">
        <f>VLOOKUP(A45,OPATT_Activities!A:J,5,FALSE)</f>
        <v>1065</v>
      </c>
      <c r="E45" s="222">
        <f>VLOOKUP(A45,OPATT_Activities!A:J,6,FALSE)</f>
        <v>37663</v>
      </c>
      <c r="F45" s="222">
        <f>VLOOKUP(A45,OPATT_Cost_Quantum!A:F,2,FALSE)</f>
        <v>91861.8832209018</v>
      </c>
      <c r="G45" s="222">
        <f>VLOOKUP(A45,OPATT_Cost_Quantum!A:F,3,FALSE)</f>
        <v>2209231.59497263</v>
      </c>
      <c r="H45" s="222">
        <f>VLOOKUP(A45,OPATT_Cost_Quantum!A:F,4,FALSE)</f>
        <v>150607.02182052599</v>
      </c>
      <c r="I45" s="222">
        <f>VLOOKUP(A45,OPATT_Cost_Quantum!A:F,5,FALSE)</f>
        <v>5183702.3302000202</v>
      </c>
      <c r="J45" s="223">
        <f t="shared" si="12"/>
        <v>245.62000861203691</v>
      </c>
      <c r="K45" s="223">
        <f t="shared" si="12"/>
        <v>154.02855713397685</v>
      </c>
      <c r="L45" s="223">
        <f t="shared" si="12"/>
        <v>141.41504396293519</v>
      </c>
      <c r="M45" s="223">
        <f t="shared" si="12"/>
        <v>137.6338138278953</v>
      </c>
      <c r="N45" s="224">
        <f>IF(ISERROR(VLOOKUP($A45,'HRGs to TFCs % Split'!$A$8:$I$145,6,0)),0,VLOOKUP($A45,'HRGs to TFCs % Split'!$A$8:$I$145,6,0))</f>
        <v>1.336767427056407E-5</v>
      </c>
      <c r="O45" s="224">
        <f>IF(ISERROR(VLOOKUP($A45,'HRGs to TFCs % Split'!$A$8:$I$145,6,0)),0,VLOOKUP($A45,'HRGs to TFCs % Split'!$A$8:$I$145,7,0))</f>
        <v>2.3261704716076454E-4</v>
      </c>
      <c r="P45" s="224">
        <f>IF(ISERROR(VLOOKUP($A45,'HRGs to TFCs % Split'!$A$8:$I$145,6,0)),0,VLOOKUP($A45,'HRGs to TFCs % Split'!$A$8:$I$145,8,0))</f>
        <v>4.6542924285102634E-5</v>
      </c>
      <c r="Q45" s="224">
        <f>IF(ISERROR(VLOOKUP($A45,'HRGs to TFCs % Split'!$A$8:$I$145,6,0)),0,VLOOKUP($A45,'HRGs to TFCs % Split'!$A$8:$I$145,9,0))</f>
        <v>4.1556879356446984E-4</v>
      </c>
      <c r="R45" s="225">
        <f t="shared" si="33"/>
        <v>18</v>
      </c>
      <c r="S45" s="225">
        <f t="shared" si="34"/>
        <v>314</v>
      </c>
      <c r="T45" s="225">
        <f t="shared" si="35"/>
        <v>63</v>
      </c>
      <c r="U45" s="225">
        <f t="shared" si="36"/>
        <v>561</v>
      </c>
      <c r="V45" s="224">
        <f>IF(ISERROR(VLOOKUP($A45,'HRGs to TFCs % Split'!$A$8:$I$145,6,0)),0,VLOOKUP($A45,'HRGs to TFCs % Split'!$A$8:$I$145,6,0))</f>
        <v>1.336767427056407E-5</v>
      </c>
      <c r="W45" s="224">
        <f>IF(ISERROR(VLOOKUP($A45,'HRGs to TFCs % Split'!$A$8:$I$145,6,0)),0,VLOOKUP($A45,'HRGs to TFCs % Split'!$A$8:$I$145,7,0))</f>
        <v>2.3261704716076454E-4</v>
      </c>
      <c r="X45" s="224">
        <f>IF(ISERROR(VLOOKUP($A45,'HRGs to TFCs % Split'!$A$8:$I$145,6,0)),0,VLOOKUP($A45,'HRGs to TFCs % Split'!$A$8:$I$145,8,0))</f>
        <v>4.6542924285102634E-5</v>
      </c>
      <c r="Y45" s="224">
        <f>IF(ISERROR(VLOOKUP($A45,'HRGs to TFCs % Split'!$A$8:$I$145,6,0)),0,VLOOKUP($A45,'HRGs to TFCs % Split'!$A$8:$I$145,9,0))</f>
        <v>4.1556879356446984E-4</v>
      </c>
      <c r="Z45" s="225">
        <f t="shared" si="13"/>
        <v>2108.0973278928441</v>
      </c>
      <c r="AA45" s="225">
        <f t="shared" si="14"/>
        <v>36683.971019682773</v>
      </c>
      <c r="AB45" s="225">
        <f t="shared" si="15"/>
        <v>7339.8717182838427</v>
      </c>
      <c r="AC45" s="225">
        <f t="shared" si="16"/>
        <v>65535.668025515486</v>
      </c>
      <c r="AD45" s="226">
        <f t="shared" si="17"/>
        <v>392</v>
      </c>
      <c r="AE45" s="226">
        <f t="shared" si="18"/>
        <v>14657</v>
      </c>
      <c r="AF45" s="226">
        <f t="shared" si="19"/>
        <v>1128</v>
      </c>
      <c r="AG45" s="226">
        <f t="shared" si="20"/>
        <v>38224</v>
      </c>
      <c r="AH45" s="226">
        <f t="shared" si="21"/>
        <v>93969.980548794643</v>
      </c>
      <c r="AI45" s="226">
        <f t="shared" si="22"/>
        <v>2245915.565992313</v>
      </c>
      <c r="AJ45" s="226">
        <f t="shared" si="23"/>
        <v>157946.89353880982</v>
      </c>
      <c r="AK45" s="226">
        <f t="shared" si="24"/>
        <v>5249237.9982255353</v>
      </c>
      <c r="AL45" s="227">
        <f t="shared" si="25"/>
        <v>239.71933813468021</v>
      </c>
      <c r="AM45" s="227">
        <f t="shared" si="26"/>
        <v>153.2316003269641</v>
      </c>
      <c r="AN45" s="227">
        <f t="shared" si="27"/>
        <v>140.02384178972503</v>
      </c>
      <c r="AO45" s="227">
        <f t="shared" si="28"/>
        <v>137.32832770577477</v>
      </c>
      <c r="AP45" s="228">
        <f t="shared" si="29"/>
        <v>-2.4023574100092815E-2</v>
      </c>
      <c r="AQ45" s="228">
        <f t="shared" si="30"/>
        <v>-5.1740847401403611E-3</v>
      </c>
      <c r="AR45" s="228">
        <f t="shared" si="31"/>
        <v>-9.8377240088741713E-3</v>
      </c>
      <c r="AS45" s="228">
        <f t="shared" si="32"/>
        <v>-2.2195571976413309E-3</v>
      </c>
      <c r="AT45" s="227">
        <f>IF(ISERROR(VLOOKUP(A45,Mandatory!A:A,1,FALSE)),0,1)</f>
        <v>1</v>
      </c>
    </row>
    <row r="46" spans="1:46">
      <c r="A46" s="231">
        <v>220</v>
      </c>
      <c r="B46" s="222">
        <f>VLOOKUP(A46,OPATT_Activities!A:J,3,FALSE)</f>
        <v>8</v>
      </c>
      <c r="C46" s="222">
        <f>VLOOKUP(A46,OPATT_Activities!A:J,4,FALSE)</f>
        <v>3492</v>
      </c>
      <c r="D46" s="222">
        <f>VLOOKUP(A46,OPATT_Activities!A:J,5,FALSE)</f>
        <v>45</v>
      </c>
      <c r="E46" s="222">
        <f>VLOOKUP(A46,OPATT_Activities!A:J,6,FALSE)</f>
        <v>11492</v>
      </c>
      <c r="F46" s="222">
        <f>VLOOKUP(A46,OPATT_Cost_Quantum!A:F,2,FALSE)</f>
        <v>2878.8280702895399</v>
      </c>
      <c r="G46" s="222">
        <f>VLOOKUP(A46,OPATT_Cost_Quantum!A:F,3,FALSE)</f>
        <v>679755.48061836604</v>
      </c>
      <c r="H46" s="222">
        <f>VLOOKUP(A46,OPATT_Cost_Quantum!A:F,4,FALSE)</f>
        <v>16752.077152891401</v>
      </c>
      <c r="I46" s="222">
        <f>VLOOKUP(A46,OPATT_Cost_Quantum!A:F,5,FALSE)</f>
        <v>2113006.29475922</v>
      </c>
      <c r="J46" s="223">
        <f t="shared" si="12"/>
        <v>359.85350878619249</v>
      </c>
      <c r="K46" s="223">
        <f t="shared" si="12"/>
        <v>194.66079055508763</v>
      </c>
      <c r="L46" s="223">
        <f t="shared" si="12"/>
        <v>372.26838117536448</v>
      </c>
      <c r="M46" s="223">
        <f t="shared" si="12"/>
        <v>183.86758569084753</v>
      </c>
      <c r="N46" s="224">
        <f>IF(ISERROR(VLOOKUP($A46,'HRGs to TFCs % Split'!$A$8:$I$145,6,0)),0,VLOOKUP($A46,'HRGs to TFCs % Split'!$A$8:$I$145,6,0))</f>
        <v>5.8544558849185703E-7</v>
      </c>
      <c r="O46" s="224">
        <f>IF(ISERROR(VLOOKUP($A46,'HRGs to TFCs % Split'!$A$8:$I$145,6,0)),0,VLOOKUP($A46,'HRGs to TFCs % Split'!$A$8:$I$145,7,0))</f>
        <v>4.283510222465421E-5</v>
      </c>
      <c r="P46" s="224">
        <f>IF(ISERROR(VLOOKUP($A46,'HRGs to TFCs % Split'!$A$8:$I$145,6,0)),0,VLOOKUP($A46,'HRGs to TFCs % Split'!$A$8:$I$145,8,0))</f>
        <v>1.4636139712296425E-6</v>
      </c>
      <c r="Q46" s="224">
        <f>IF(ISERROR(VLOOKUP($A46,'HRGs to TFCs % Split'!$A$8:$I$145,6,0)),0,VLOOKUP($A46,'HRGs to TFCs % Split'!$A$8:$I$145,9,0))</f>
        <v>9.4744611070932204E-5</v>
      </c>
      <c r="R46" s="225">
        <f t="shared" si="33"/>
        <v>1</v>
      </c>
      <c r="S46" s="225">
        <f t="shared" si="34"/>
        <v>58</v>
      </c>
      <c r="T46" s="225">
        <f t="shared" si="35"/>
        <v>2</v>
      </c>
      <c r="U46" s="225">
        <f t="shared" si="36"/>
        <v>128</v>
      </c>
      <c r="V46" s="224">
        <f>IF(ISERROR(VLOOKUP($A46,'HRGs to TFCs % Split'!$A$8:$I$145,6,0)),0,VLOOKUP($A46,'HRGs to TFCs % Split'!$A$8:$I$145,6,0))</f>
        <v>5.8544558849185703E-7</v>
      </c>
      <c r="W46" s="224">
        <f>IF(ISERROR(VLOOKUP($A46,'HRGs to TFCs % Split'!$A$8:$I$145,6,0)),0,VLOOKUP($A46,'HRGs to TFCs % Split'!$A$8:$I$145,7,0))</f>
        <v>4.283510222465421E-5</v>
      </c>
      <c r="X46" s="224">
        <f>IF(ISERROR(VLOOKUP($A46,'HRGs to TFCs % Split'!$A$8:$I$145,6,0)),0,VLOOKUP($A46,'HRGs to TFCs % Split'!$A$8:$I$145,8,0))</f>
        <v>1.4636139712296425E-6</v>
      </c>
      <c r="Y46" s="224">
        <f>IF(ISERROR(VLOOKUP($A46,'HRGs to TFCs % Split'!$A$8:$I$145,6,0)),0,VLOOKUP($A46,'HRGs to TFCs % Split'!$A$8:$I$145,9,0))</f>
        <v>9.4744611070932204E-5</v>
      </c>
      <c r="Z46" s="225">
        <f t="shared" si="13"/>
        <v>92.325430418664695</v>
      </c>
      <c r="AA46" s="225">
        <f t="shared" si="14"/>
        <v>6755.1439922989675</v>
      </c>
      <c r="AB46" s="225">
        <f t="shared" si="15"/>
        <v>230.81357604666172</v>
      </c>
      <c r="AC46" s="225">
        <f t="shared" si="16"/>
        <v>14941.332156087237</v>
      </c>
      <c r="AD46" s="226">
        <f t="shared" si="17"/>
        <v>9</v>
      </c>
      <c r="AE46" s="226">
        <f t="shared" si="18"/>
        <v>3550</v>
      </c>
      <c r="AF46" s="226">
        <f t="shared" si="19"/>
        <v>47</v>
      </c>
      <c r="AG46" s="226">
        <f t="shared" si="20"/>
        <v>11620</v>
      </c>
      <c r="AH46" s="226">
        <f t="shared" si="21"/>
        <v>2971.1535007082048</v>
      </c>
      <c r="AI46" s="226">
        <f t="shared" si="22"/>
        <v>686510.62461066502</v>
      </c>
      <c r="AJ46" s="226">
        <f t="shared" si="23"/>
        <v>16982.890728938062</v>
      </c>
      <c r="AK46" s="226">
        <f t="shared" si="24"/>
        <v>2127947.6269153072</v>
      </c>
      <c r="AL46" s="227">
        <f t="shared" si="25"/>
        <v>330.12816674535611</v>
      </c>
      <c r="AM46" s="227">
        <f t="shared" si="26"/>
        <v>193.38327453821549</v>
      </c>
      <c r="AN46" s="227">
        <f t="shared" si="27"/>
        <v>361.33810061570347</v>
      </c>
      <c r="AO46" s="227">
        <f t="shared" si="28"/>
        <v>183.12802297033625</v>
      </c>
      <c r="AP46" s="228">
        <f t="shared" si="29"/>
        <v>-8.2604007783894429E-2</v>
      </c>
      <c r="AQ46" s="228">
        <f t="shared" si="30"/>
        <v>-6.5627803792907002E-3</v>
      </c>
      <c r="AR46" s="228">
        <f t="shared" si="31"/>
        <v>-2.9361291778664644E-2</v>
      </c>
      <c r="AS46" s="228">
        <f t="shared" si="32"/>
        <v>-4.0222572006507473E-3</v>
      </c>
      <c r="AT46" s="227">
        <f>IF(ISERROR(VLOOKUP(A46,Mandatory!A:A,1,FALSE)),0,1)</f>
        <v>0</v>
      </c>
    </row>
    <row r="47" spans="1:46">
      <c r="A47" s="231">
        <v>221</v>
      </c>
      <c r="B47" s="222">
        <f>VLOOKUP(A47,OPATT_Activities!A:J,3,FALSE)</f>
        <v>0</v>
      </c>
      <c r="C47" s="222">
        <f>VLOOKUP(A47,OPATT_Activities!A:J,4,FALSE)</f>
        <v>1042</v>
      </c>
      <c r="D47" s="222">
        <f>VLOOKUP(A47,OPATT_Activities!A:J,5,FALSE)</f>
        <v>1</v>
      </c>
      <c r="E47" s="222">
        <f>VLOOKUP(A47,OPATT_Activities!A:J,6,FALSE)</f>
        <v>1272</v>
      </c>
      <c r="F47" s="222">
        <f>VLOOKUP(A47,OPATT_Cost_Quantum!A:F,2,FALSE)</f>
        <v>0</v>
      </c>
      <c r="G47" s="222">
        <f>VLOOKUP(A47,OPATT_Cost_Quantum!A:F,3,FALSE)</f>
        <v>416312.81312909501</v>
      </c>
      <c r="H47" s="222">
        <f>VLOOKUP(A47,OPATT_Cost_Quantum!A:F,4,FALSE)</f>
        <v>265.60507941803002</v>
      </c>
      <c r="I47" s="222">
        <f>VLOOKUP(A47,OPATT_Cost_Quantum!A:F,5,FALSE)</f>
        <v>452432.79720791901</v>
      </c>
      <c r="J47" s="223">
        <f t="shared" si="12"/>
        <v>0</v>
      </c>
      <c r="K47" s="223">
        <f t="shared" si="12"/>
        <v>399.53245021986083</v>
      </c>
      <c r="L47" s="223">
        <f t="shared" si="12"/>
        <v>265.60507941803002</v>
      </c>
      <c r="M47" s="223">
        <f t="shared" si="12"/>
        <v>355.68616132698037</v>
      </c>
      <c r="N47" s="224">
        <f>IF(ISERROR(VLOOKUP($A47,'HRGs to TFCs % Split'!$A$8:$I$145,6,0)),0,VLOOKUP($A47,'HRGs to TFCs % Split'!$A$8:$I$145,6,0))</f>
        <v>0</v>
      </c>
      <c r="O47" s="224">
        <f>IF(ISERROR(VLOOKUP($A47,'HRGs to TFCs % Split'!$A$8:$I$145,6,0)),0,VLOOKUP($A47,'HRGs to TFCs % Split'!$A$8:$I$145,7,0))</f>
        <v>4.8787132374321421E-7</v>
      </c>
      <c r="P47" s="224">
        <f>IF(ISERROR(VLOOKUP($A47,'HRGs to TFCs % Split'!$A$8:$I$145,6,0)),0,VLOOKUP($A47,'HRGs to TFCs % Split'!$A$8:$I$145,8,0))</f>
        <v>6.8301985324049985E-7</v>
      </c>
      <c r="Q47" s="224">
        <f>IF(ISERROR(VLOOKUP($A47,'HRGs to TFCs % Split'!$A$8:$I$145,6,0)),0,VLOOKUP($A47,'HRGs to TFCs % Split'!$A$8:$I$145,9,0))</f>
        <v>6.2447529439131413E-6</v>
      </c>
      <c r="R47" s="225">
        <f t="shared" si="33"/>
        <v>0</v>
      </c>
      <c r="S47" s="225">
        <f t="shared" si="34"/>
        <v>1</v>
      </c>
      <c r="T47" s="225">
        <f t="shared" si="35"/>
        <v>1</v>
      </c>
      <c r="U47" s="225">
        <f t="shared" si="36"/>
        <v>8</v>
      </c>
      <c r="V47" s="224">
        <f>IF(ISERROR(VLOOKUP($A47,'HRGs to TFCs % Split'!$A$8:$I$145,6,0)),0,VLOOKUP($A47,'HRGs to TFCs % Split'!$A$8:$I$145,6,0))</f>
        <v>0</v>
      </c>
      <c r="W47" s="224">
        <f>IF(ISERROR(VLOOKUP($A47,'HRGs to TFCs % Split'!$A$8:$I$145,6,0)),0,VLOOKUP($A47,'HRGs to TFCs % Split'!$A$8:$I$145,7,0))</f>
        <v>4.8787132374321421E-7</v>
      </c>
      <c r="X47" s="224">
        <f>IF(ISERROR(VLOOKUP($A47,'HRGs to TFCs % Split'!$A$8:$I$145,6,0)),0,VLOOKUP($A47,'HRGs to TFCs % Split'!$A$8:$I$145,8,0))</f>
        <v>6.8301985324049985E-7</v>
      </c>
      <c r="Y47" s="224">
        <f>IF(ISERROR(VLOOKUP($A47,'HRGs to TFCs % Split'!$A$8:$I$145,6,0)),0,VLOOKUP($A47,'HRGs to TFCs % Split'!$A$8:$I$145,9,0))</f>
        <v>6.2447529439131413E-6</v>
      </c>
      <c r="Z47" s="225">
        <f t="shared" si="13"/>
        <v>0</v>
      </c>
      <c r="AA47" s="225">
        <f t="shared" si="14"/>
        <v>76.937858682220579</v>
      </c>
      <c r="AB47" s="225">
        <f t="shared" si="15"/>
        <v>107.71300215510881</v>
      </c>
      <c r="AC47" s="225">
        <f t="shared" si="16"/>
        <v>984.8045911324233</v>
      </c>
      <c r="AD47" s="226">
        <f t="shared" si="17"/>
        <v>0</v>
      </c>
      <c r="AE47" s="226">
        <f t="shared" si="18"/>
        <v>1043</v>
      </c>
      <c r="AF47" s="226">
        <f t="shared" si="19"/>
        <v>2</v>
      </c>
      <c r="AG47" s="226">
        <f t="shared" si="20"/>
        <v>1280</v>
      </c>
      <c r="AH47" s="226">
        <f t="shared" si="21"/>
        <v>0</v>
      </c>
      <c r="AI47" s="226">
        <f t="shared" si="22"/>
        <v>416389.75098777725</v>
      </c>
      <c r="AJ47" s="226">
        <f t="shared" si="23"/>
        <v>373.31808157313884</v>
      </c>
      <c r="AK47" s="226">
        <f t="shared" si="24"/>
        <v>453417.60179905145</v>
      </c>
      <c r="AL47" s="227">
        <f t="shared" si="25"/>
        <v>0</v>
      </c>
      <c r="AM47" s="227">
        <f t="shared" si="26"/>
        <v>399.22315530947003</v>
      </c>
      <c r="AN47" s="227">
        <f t="shared" si="27"/>
        <v>186.65904078656942</v>
      </c>
      <c r="AO47" s="227">
        <f t="shared" si="28"/>
        <v>354.23250140550897</v>
      </c>
      <c r="AP47" s="228">
        <f t="shared" si="29"/>
        <v>0</v>
      </c>
      <c r="AQ47" s="228">
        <f t="shared" si="30"/>
        <v>-7.7414215095816807E-4</v>
      </c>
      <c r="AR47" s="228">
        <f t="shared" si="31"/>
        <v>-0.29723090689545573</v>
      </c>
      <c r="AS47" s="228">
        <f t="shared" si="32"/>
        <v>-4.0869172869929526E-3</v>
      </c>
      <c r="AT47" s="227">
        <f>IF(ISERROR(VLOOKUP(A47,Mandatory!A:A,1,FALSE)),0,1)</f>
        <v>0</v>
      </c>
    </row>
    <row r="48" spans="1:46">
      <c r="A48" s="231">
        <v>222</v>
      </c>
      <c r="B48" s="222">
        <f>VLOOKUP(A48,OPATT_Activities!A:J,3,FALSE)</f>
        <v>2</v>
      </c>
      <c r="C48" s="222">
        <f>VLOOKUP(A48,OPATT_Activities!A:J,4,FALSE)</f>
        <v>171</v>
      </c>
      <c r="D48" s="222">
        <f>VLOOKUP(A48,OPATT_Activities!A:J,5,FALSE)</f>
        <v>0</v>
      </c>
      <c r="E48" s="222">
        <f>VLOOKUP(A48,OPATT_Activities!A:J,6,FALSE)</f>
        <v>284</v>
      </c>
      <c r="F48" s="222">
        <f>VLOOKUP(A48,OPATT_Cost_Quantum!A:F,2,FALSE)</f>
        <v>343.87687746402298</v>
      </c>
      <c r="G48" s="222">
        <f>VLOOKUP(A48,OPATT_Cost_Quantum!A:F,3,FALSE)</f>
        <v>22670.1661801972</v>
      </c>
      <c r="H48" s="222">
        <f>VLOOKUP(A48,OPATT_Cost_Quantum!A:F,4,FALSE)</f>
        <v>0</v>
      </c>
      <c r="I48" s="222">
        <f>VLOOKUP(A48,OPATT_Cost_Quantum!A:F,5,FALSE)</f>
        <v>33924.633384392801</v>
      </c>
      <c r="J48" s="223">
        <f t="shared" si="12"/>
        <v>171.93843873201149</v>
      </c>
      <c r="K48" s="223">
        <f t="shared" si="12"/>
        <v>132.57407122922339</v>
      </c>
      <c r="L48" s="223">
        <f t="shared" si="12"/>
        <v>0</v>
      </c>
      <c r="M48" s="223">
        <f t="shared" si="12"/>
        <v>119.45293445208732</v>
      </c>
      <c r="N48" s="224">
        <f>IF(ISERROR(VLOOKUP($A48,'HRGs to TFCs % Split'!$A$8:$I$145,6,0)),0,VLOOKUP($A48,'HRGs to TFCs % Split'!$A$8:$I$145,6,0))</f>
        <v>0</v>
      </c>
      <c r="O48" s="224">
        <f>IF(ISERROR(VLOOKUP($A48,'HRGs to TFCs % Split'!$A$8:$I$145,6,0)),0,VLOOKUP($A48,'HRGs to TFCs % Split'!$A$8:$I$145,7,0))</f>
        <v>0</v>
      </c>
      <c r="P48" s="224">
        <f>IF(ISERROR(VLOOKUP($A48,'HRGs to TFCs % Split'!$A$8:$I$145,6,0)),0,VLOOKUP($A48,'HRGs to TFCs % Split'!$A$8:$I$145,8,0))</f>
        <v>0</v>
      </c>
      <c r="Q48" s="224">
        <f>IF(ISERROR(VLOOKUP($A48,'HRGs to TFCs % Split'!$A$8:$I$145,6,0)),0,VLOOKUP($A48,'HRGs to TFCs % Split'!$A$8:$I$145,9,0))</f>
        <v>0</v>
      </c>
      <c r="R48" s="225">
        <f t="shared" si="33"/>
        <v>0</v>
      </c>
      <c r="S48" s="225">
        <f t="shared" si="34"/>
        <v>0</v>
      </c>
      <c r="T48" s="225">
        <f t="shared" si="35"/>
        <v>0</v>
      </c>
      <c r="U48" s="225">
        <f t="shared" si="36"/>
        <v>0</v>
      </c>
      <c r="V48" s="224">
        <f>IF(ISERROR(VLOOKUP($A48,'HRGs to TFCs % Split'!$A$8:$I$145,6,0)),0,VLOOKUP($A48,'HRGs to TFCs % Split'!$A$8:$I$145,6,0))</f>
        <v>0</v>
      </c>
      <c r="W48" s="224">
        <f>IF(ISERROR(VLOOKUP($A48,'HRGs to TFCs % Split'!$A$8:$I$145,6,0)),0,VLOOKUP($A48,'HRGs to TFCs % Split'!$A$8:$I$145,7,0))</f>
        <v>0</v>
      </c>
      <c r="X48" s="224">
        <f>IF(ISERROR(VLOOKUP($A48,'HRGs to TFCs % Split'!$A$8:$I$145,6,0)),0,VLOOKUP($A48,'HRGs to TFCs % Split'!$A$8:$I$145,8,0))</f>
        <v>0</v>
      </c>
      <c r="Y48" s="224">
        <f>IF(ISERROR(VLOOKUP($A48,'HRGs to TFCs % Split'!$A$8:$I$145,6,0)),0,VLOOKUP($A48,'HRGs to TFCs % Split'!$A$8:$I$145,9,0))</f>
        <v>0</v>
      </c>
      <c r="Z48" s="225">
        <f t="shared" si="13"/>
        <v>0</v>
      </c>
      <c r="AA48" s="225">
        <f t="shared" si="14"/>
        <v>0</v>
      </c>
      <c r="AB48" s="225">
        <f t="shared" si="15"/>
        <v>0</v>
      </c>
      <c r="AC48" s="225">
        <f t="shared" si="16"/>
        <v>0</v>
      </c>
      <c r="AD48" s="226">
        <f t="shared" si="17"/>
        <v>2</v>
      </c>
      <c r="AE48" s="226">
        <f t="shared" si="18"/>
        <v>171</v>
      </c>
      <c r="AF48" s="226">
        <f t="shared" si="19"/>
        <v>0</v>
      </c>
      <c r="AG48" s="226">
        <f t="shared" si="20"/>
        <v>284</v>
      </c>
      <c r="AH48" s="226">
        <f t="shared" si="21"/>
        <v>343.87687746402298</v>
      </c>
      <c r="AI48" s="226">
        <f t="shared" si="22"/>
        <v>22670.1661801972</v>
      </c>
      <c r="AJ48" s="226">
        <f t="shared" si="23"/>
        <v>0</v>
      </c>
      <c r="AK48" s="226">
        <f t="shared" si="24"/>
        <v>33924.633384392801</v>
      </c>
      <c r="AL48" s="227">
        <f t="shared" si="25"/>
        <v>171.93843873201149</v>
      </c>
      <c r="AM48" s="227">
        <f t="shared" si="26"/>
        <v>132.57407122922339</v>
      </c>
      <c r="AN48" s="227">
        <f t="shared" si="27"/>
        <v>0</v>
      </c>
      <c r="AO48" s="227">
        <f t="shared" si="28"/>
        <v>119.45293445208732</v>
      </c>
      <c r="AP48" s="228">
        <f t="shared" si="29"/>
        <v>0</v>
      </c>
      <c r="AQ48" s="228">
        <f t="shared" si="30"/>
        <v>0</v>
      </c>
      <c r="AR48" s="228">
        <f t="shared" si="31"/>
        <v>0</v>
      </c>
      <c r="AS48" s="228">
        <f t="shared" si="32"/>
        <v>0</v>
      </c>
      <c r="AT48" s="227">
        <f>IF(ISERROR(VLOOKUP(A48,Mandatory!A:A,1,FALSE)),0,1)</f>
        <v>0</v>
      </c>
    </row>
    <row r="49" spans="1:46">
      <c r="A49" s="231">
        <v>223</v>
      </c>
      <c r="B49" s="222">
        <f>VLOOKUP(A49,OPATT_Activities!A:J,3,FALSE)</f>
        <v>36</v>
      </c>
      <c r="C49" s="222">
        <f>VLOOKUP(A49,OPATT_Activities!A:J,4,FALSE)</f>
        <v>638</v>
      </c>
      <c r="D49" s="222">
        <f>VLOOKUP(A49,OPATT_Activities!A:J,5,FALSE)</f>
        <v>236</v>
      </c>
      <c r="E49" s="222">
        <f>VLOOKUP(A49,OPATT_Activities!A:J,6,FALSE)</f>
        <v>2476</v>
      </c>
      <c r="F49" s="222">
        <f>VLOOKUP(A49,OPATT_Cost_Quantum!A:F,2,FALSE)</f>
        <v>5950.17230678944</v>
      </c>
      <c r="G49" s="222">
        <f>VLOOKUP(A49,OPATT_Cost_Quantum!A:F,3,FALSE)</f>
        <v>164650.228078471</v>
      </c>
      <c r="H49" s="222">
        <f>VLOOKUP(A49,OPATT_Cost_Quantum!A:F,4,FALSE)</f>
        <v>31635.596489286199</v>
      </c>
      <c r="I49" s="222">
        <f>VLOOKUP(A49,OPATT_Cost_Quantum!A:F,5,FALSE)</f>
        <v>406845.88783634303</v>
      </c>
      <c r="J49" s="223">
        <f t="shared" si="12"/>
        <v>165.28256407748444</v>
      </c>
      <c r="K49" s="223">
        <f t="shared" si="12"/>
        <v>258.0724578032461</v>
      </c>
      <c r="L49" s="223">
        <f t="shared" si="12"/>
        <v>134.04913766646695</v>
      </c>
      <c r="M49" s="223">
        <f t="shared" si="12"/>
        <v>164.31578668672981</v>
      </c>
      <c r="N49" s="224">
        <f>IF(ISERROR(VLOOKUP($A49,'HRGs to TFCs % Split'!$A$8:$I$145,6,0)),0,VLOOKUP($A49,'HRGs to TFCs % Split'!$A$8:$I$145,6,0))</f>
        <v>0</v>
      </c>
      <c r="O49" s="224">
        <f>IF(ISERROR(VLOOKUP($A49,'HRGs to TFCs % Split'!$A$8:$I$145,6,0)),0,VLOOKUP($A49,'HRGs to TFCs % Split'!$A$8:$I$145,7,0))</f>
        <v>0</v>
      </c>
      <c r="P49" s="224">
        <f>IF(ISERROR(VLOOKUP($A49,'HRGs to TFCs % Split'!$A$8:$I$145,6,0)),0,VLOOKUP($A49,'HRGs to TFCs % Split'!$A$8:$I$145,8,0))</f>
        <v>0</v>
      </c>
      <c r="Q49" s="224">
        <f>IF(ISERROR(VLOOKUP($A49,'HRGs to TFCs % Split'!$A$8:$I$145,6,0)),0,VLOOKUP($A49,'HRGs to TFCs % Split'!$A$8:$I$145,9,0))</f>
        <v>0</v>
      </c>
      <c r="R49" s="225">
        <f t="shared" si="33"/>
        <v>0</v>
      </c>
      <c r="S49" s="225">
        <f t="shared" si="34"/>
        <v>0</v>
      </c>
      <c r="T49" s="225">
        <f t="shared" si="35"/>
        <v>0</v>
      </c>
      <c r="U49" s="225">
        <f t="shared" si="36"/>
        <v>0</v>
      </c>
      <c r="V49" s="224">
        <f>IF(ISERROR(VLOOKUP($A49,'HRGs to TFCs % Split'!$A$8:$I$145,6,0)),0,VLOOKUP($A49,'HRGs to TFCs % Split'!$A$8:$I$145,6,0))</f>
        <v>0</v>
      </c>
      <c r="W49" s="224">
        <f>IF(ISERROR(VLOOKUP($A49,'HRGs to TFCs % Split'!$A$8:$I$145,6,0)),0,VLOOKUP($A49,'HRGs to TFCs % Split'!$A$8:$I$145,7,0))</f>
        <v>0</v>
      </c>
      <c r="X49" s="224">
        <f>IF(ISERROR(VLOOKUP($A49,'HRGs to TFCs % Split'!$A$8:$I$145,6,0)),0,VLOOKUP($A49,'HRGs to TFCs % Split'!$A$8:$I$145,8,0))</f>
        <v>0</v>
      </c>
      <c r="Y49" s="224">
        <f>IF(ISERROR(VLOOKUP($A49,'HRGs to TFCs % Split'!$A$8:$I$145,6,0)),0,VLOOKUP($A49,'HRGs to TFCs % Split'!$A$8:$I$145,9,0))</f>
        <v>0</v>
      </c>
      <c r="Z49" s="225">
        <f t="shared" si="13"/>
        <v>0</v>
      </c>
      <c r="AA49" s="225">
        <f t="shared" si="14"/>
        <v>0</v>
      </c>
      <c r="AB49" s="225">
        <f t="shared" si="15"/>
        <v>0</v>
      </c>
      <c r="AC49" s="225">
        <f t="shared" si="16"/>
        <v>0</v>
      </c>
      <c r="AD49" s="226">
        <f t="shared" si="17"/>
        <v>36</v>
      </c>
      <c r="AE49" s="226">
        <f t="shared" si="18"/>
        <v>638</v>
      </c>
      <c r="AF49" s="226">
        <f t="shared" si="19"/>
        <v>236</v>
      </c>
      <c r="AG49" s="226">
        <f t="shared" si="20"/>
        <v>2476</v>
      </c>
      <c r="AH49" s="226">
        <f t="shared" si="21"/>
        <v>5950.17230678944</v>
      </c>
      <c r="AI49" s="226">
        <f t="shared" si="22"/>
        <v>164650.228078471</v>
      </c>
      <c r="AJ49" s="226">
        <f t="shared" si="23"/>
        <v>31635.596489286199</v>
      </c>
      <c r="AK49" s="226">
        <f t="shared" si="24"/>
        <v>406845.88783634303</v>
      </c>
      <c r="AL49" s="227">
        <f t="shared" si="25"/>
        <v>165.28256407748444</v>
      </c>
      <c r="AM49" s="227">
        <f t="shared" si="26"/>
        <v>258.0724578032461</v>
      </c>
      <c r="AN49" s="227">
        <f t="shared" si="27"/>
        <v>134.04913766646695</v>
      </c>
      <c r="AO49" s="227">
        <f t="shared" si="28"/>
        <v>164.31578668672981</v>
      </c>
      <c r="AP49" s="228">
        <f t="shared" si="29"/>
        <v>0</v>
      </c>
      <c r="AQ49" s="228">
        <f t="shared" si="30"/>
        <v>0</v>
      </c>
      <c r="AR49" s="228">
        <f t="shared" si="31"/>
        <v>0</v>
      </c>
      <c r="AS49" s="228">
        <f t="shared" si="32"/>
        <v>0</v>
      </c>
      <c r="AT49" s="227">
        <f>IF(ISERROR(VLOOKUP(A49,Mandatory!A:A,1,FALSE)),0,1)</f>
        <v>1</v>
      </c>
    </row>
    <row r="50" spans="1:46">
      <c r="A50" s="231">
        <v>241</v>
      </c>
      <c r="B50" s="222">
        <f>VLOOKUP(A50,OPATT_Activities!A:J,3,FALSE)</f>
        <v>49</v>
      </c>
      <c r="C50" s="222">
        <f>VLOOKUP(A50,OPATT_Activities!A:J,4,FALSE)</f>
        <v>348</v>
      </c>
      <c r="D50" s="222">
        <f>VLOOKUP(A50,OPATT_Activities!A:J,5,FALSE)</f>
        <v>25</v>
      </c>
      <c r="E50" s="222">
        <f>VLOOKUP(A50,OPATT_Activities!A:J,6,FALSE)</f>
        <v>826</v>
      </c>
      <c r="F50" s="222">
        <f>VLOOKUP(A50,OPATT_Cost_Quantum!A:F,2,FALSE)</f>
        <v>10572.2741178209</v>
      </c>
      <c r="G50" s="222">
        <f>VLOOKUP(A50,OPATT_Cost_Quantum!A:F,3,FALSE)</f>
        <v>378353.97582089499</v>
      </c>
      <c r="H50" s="222">
        <f>VLOOKUP(A50,OPATT_Cost_Quantum!A:F,4,FALSE)</f>
        <v>2696.8889056887701</v>
      </c>
      <c r="I50" s="222">
        <f>VLOOKUP(A50,OPATT_Cost_Quantum!A:F,5,FALSE)</f>
        <v>387615.092144567</v>
      </c>
      <c r="J50" s="223">
        <f t="shared" si="12"/>
        <v>215.76069628205917</v>
      </c>
      <c r="K50" s="223">
        <f t="shared" si="12"/>
        <v>1087.2240684508477</v>
      </c>
      <c r="L50" s="223">
        <f t="shared" si="12"/>
        <v>107.8755562275508</v>
      </c>
      <c r="M50" s="223">
        <f t="shared" si="12"/>
        <v>469.26766603458475</v>
      </c>
      <c r="N50" s="224">
        <f>IF(ISERROR(VLOOKUP($A50,'HRGs to TFCs % Split'!$A$8:$I$145,6,0)),0,VLOOKUP($A50,'HRGs to TFCs % Split'!$A$8:$I$145,6,0))</f>
        <v>0</v>
      </c>
      <c r="O50" s="224">
        <f>IF(ISERROR(VLOOKUP($A50,'HRGs to TFCs % Split'!$A$8:$I$145,6,0)),0,VLOOKUP($A50,'HRGs to TFCs % Split'!$A$8:$I$145,7,0))</f>
        <v>1.9514852949728567E-7</v>
      </c>
      <c r="P50" s="224">
        <f>IF(ISERROR(VLOOKUP($A50,'HRGs to TFCs % Split'!$A$8:$I$145,6,0)),0,VLOOKUP($A50,'HRGs to TFCs % Split'!$A$8:$I$145,8,0))</f>
        <v>0</v>
      </c>
      <c r="Q50" s="224">
        <f>IF(ISERROR(VLOOKUP($A50,'HRGs to TFCs % Split'!$A$8:$I$145,6,0)),0,VLOOKUP($A50,'HRGs to TFCs % Split'!$A$8:$I$145,9,0))</f>
        <v>0</v>
      </c>
      <c r="R50" s="225">
        <f t="shared" si="33"/>
        <v>0</v>
      </c>
      <c r="S50" s="225">
        <f t="shared" si="34"/>
        <v>0</v>
      </c>
      <c r="T50" s="225">
        <f t="shared" si="35"/>
        <v>0</v>
      </c>
      <c r="U50" s="225">
        <f t="shared" si="36"/>
        <v>0</v>
      </c>
      <c r="V50" s="224">
        <f>IF(ISERROR(VLOOKUP($A50,'HRGs to TFCs % Split'!$A$8:$I$145,6,0)),0,VLOOKUP($A50,'HRGs to TFCs % Split'!$A$8:$I$145,6,0))</f>
        <v>0</v>
      </c>
      <c r="W50" s="224">
        <f>IF(ISERROR(VLOOKUP($A50,'HRGs to TFCs % Split'!$A$8:$I$145,6,0)),0,VLOOKUP($A50,'HRGs to TFCs % Split'!$A$8:$I$145,7,0))</f>
        <v>1.9514852949728567E-7</v>
      </c>
      <c r="X50" s="224">
        <f>IF(ISERROR(VLOOKUP($A50,'HRGs to TFCs % Split'!$A$8:$I$145,6,0)),0,VLOOKUP($A50,'HRGs to TFCs % Split'!$A$8:$I$145,8,0))</f>
        <v>0</v>
      </c>
      <c r="Y50" s="224">
        <f>IF(ISERROR(VLOOKUP($A50,'HRGs to TFCs % Split'!$A$8:$I$145,6,0)),0,VLOOKUP($A50,'HRGs to TFCs % Split'!$A$8:$I$145,9,0))</f>
        <v>0</v>
      </c>
      <c r="Z50" s="225">
        <f t="shared" si="13"/>
        <v>0</v>
      </c>
      <c r="AA50" s="225">
        <f t="shared" si="14"/>
        <v>30.775143472888228</v>
      </c>
      <c r="AB50" s="225">
        <f t="shared" si="15"/>
        <v>0</v>
      </c>
      <c r="AC50" s="225">
        <f t="shared" si="16"/>
        <v>0</v>
      </c>
      <c r="AD50" s="226">
        <f t="shared" si="17"/>
        <v>49</v>
      </c>
      <c r="AE50" s="226">
        <f t="shared" si="18"/>
        <v>348</v>
      </c>
      <c r="AF50" s="226">
        <f t="shared" si="19"/>
        <v>25</v>
      </c>
      <c r="AG50" s="226">
        <f t="shared" si="20"/>
        <v>826</v>
      </c>
      <c r="AH50" s="226">
        <f t="shared" si="21"/>
        <v>10572.2741178209</v>
      </c>
      <c r="AI50" s="226">
        <f t="shared" si="22"/>
        <v>378384.75096436788</v>
      </c>
      <c r="AJ50" s="226">
        <f t="shared" si="23"/>
        <v>2696.8889056887701</v>
      </c>
      <c r="AK50" s="226">
        <f t="shared" si="24"/>
        <v>387615.092144567</v>
      </c>
      <c r="AL50" s="227">
        <f t="shared" si="25"/>
        <v>215.76069628205917</v>
      </c>
      <c r="AM50" s="227">
        <f t="shared" si="26"/>
        <v>1087.3125027711721</v>
      </c>
      <c r="AN50" s="227">
        <f t="shared" si="27"/>
        <v>107.8755562275508</v>
      </c>
      <c r="AO50" s="227">
        <f t="shared" si="28"/>
        <v>469.26766603458475</v>
      </c>
      <c r="AP50" s="228">
        <f t="shared" si="29"/>
        <v>0</v>
      </c>
      <c r="AQ50" s="228">
        <f t="shared" si="30"/>
        <v>8.1339553538839482E-5</v>
      </c>
      <c r="AR50" s="228">
        <f t="shared" si="31"/>
        <v>0</v>
      </c>
      <c r="AS50" s="228">
        <f t="shared" si="32"/>
        <v>0</v>
      </c>
      <c r="AT50" s="227">
        <f>IF(ISERROR(VLOOKUP(A50,Mandatory!A:A,1,FALSE)),0,1)</f>
        <v>0</v>
      </c>
    </row>
    <row r="51" spans="1:46">
      <c r="A51" s="231">
        <v>242</v>
      </c>
      <c r="B51" s="222">
        <f>VLOOKUP(A51,OPATT_Activities!A:J,3,FALSE)</f>
        <v>0</v>
      </c>
      <c r="C51" s="222">
        <f>VLOOKUP(A51,OPATT_Activities!A:J,4,FALSE)</f>
        <v>13</v>
      </c>
      <c r="D51" s="222">
        <f>VLOOKUP(A51,OPATT_Activities!A:J,5,FALSE)</f>
        <v>0</v>
      </c>
      <c r="E51" s="222">
        <f>VLOOKUP(A51,OPATT_Activities!A:J,6,FALSE)</f>
        <v>19</v>
      </c>
      <c r="F51" s="222">
        <f>VLOOKUP(A51,OPATT_Cost_Quantum!A:F,2,FALSE)</f>
        <v>0</v>
      </c>
      <c r="G51" s="222">
        <f>VLOOKUP(A51,OPATT_Cost_Quantum!A:F,3,FALSE)</f>
        <v>2340.2303958010102</v>
      </c>
      <c r="H51" s="222">
        <f>VLOOKUP(A51,OPATT_Cost_Quantum!A:F,4,FALSE)</f>
        <v>0</v>
      </c>
      <c r="I51" s="222">
        <f>VLOOKUP(A51,OPATT_Cost_Quantum!A:F,5,FALSE)</f>
        <v>1181.3961545468501</v>
      </c>
      <c r="J51" s="223">
        <f t="shared" si="12"/>
        <v>0</v>
      </c>
      <c r="K51" s="223">
        <f t="shared" si="12"/>
        <v>180.01772275392386</v>
      </c>
      <c r="L51" s="223">
        <f t="shared" si="12"/>
        <v>0</v>
      </c>
      <c r="M51" s="223">
        <f t="shared" si="12"/>
        <v>62.178744976150007</v>
      </c>
      <c r="N51" s="224">
        <f>IF(ISERROR(VLOOKUP($A51,'HRGs to TFCs % Split'!$A$8:$I$145,6,0)),0,VLOOKUP($A51,'HRGs to TFCs % Split'!$A$8:$I$145,6,0))</f>
        <v>0</v>
      </c>
      <c r="O51" s="224">
        <f>IF(ISERROR(VLOOKUP($A51,'HRGs to TFCs % Split'!$A$8:$I$145,6,0)),0,VLOOKUP($A51,'HRGs to TFCs % Split'!$A$8:$I$145,7,0))</f>
        <v>9.7574264748642833E-8</v>
      </c>
      <c r="P51" s="224">
        <f>IF(ISERROR(VLOOKUP($A51,'HRGs to TFCs % Split'!$A$8:$I$145,6,0)),0,VLOOKUP($A51,'HRGs to TFCs % Split'!$A$8:$I$145,8,0))</f>
        <v>0</v>
      </c>
      <c r="Q51" s="224">
        <f>IF(ISERROR(VLOOKUP($A51,'HRGs to TFCs % Split'!$A$8:$I$145,6,0)),0,VLOOKUP($A51,'HRGs to TFCs % Split'!$A$8:$I$145,9,0))</f>
        <v>1.2684654417323569E-6</v>
      </c>
      <c r="R51" s="225">
        <f t="shared" si="33"/>
        <v>0</v>
      </c>
      <c r="S51" s="225">
        <f t="shared" si="34"/>
        <v>0</v>
      </c>
      <c r="T51" s="225">
        <f t="shared" si="35"/>
        <v>0</v>
      </c>
      <c r="U51" s="225">
        <f t="shared" si="36"/>
        <v>2</v>
      </c>
      <c r="V51" s="224">
        <f>IF(ISERROR(VLOOKUP($A51,'HRGs to TFCs % Split'!$A$8:$I$145,6,0)),0,VLOOKUP($A51,'HRGs to TFCs % Split'!$A$8:$I$145,6,0))</f>
        <v>0</v>
      </c>
      <c r="W51" s="224">
        <f>IF(ISERROR(VLOOKUP($A51,'HRGs to TFCs % Split'!$A$8:$I$145,6,0)),0,VLOOKUP($A51,'HRGs to TFCs % Split'!$A$8:$I$145,7,0))</f>
        <v>9.7574264748642833E-8</v>
      </c>
      <c r="X51" s="224">
        <f>IF(ISERROR(VLOOKUP($A51,'HRGs to TFCs % Split'!$A$8:$I$145,6,0)),0,VLOOKUP($A51,'HRGs to TFCs % Split'!$A$8:$I$145,8,0))</f>
        <v>0</v>
      </c>
      <c r="Y51" s="224">
        <f>IF(ISERROR(VLOOKUP($A51,'HRGs to TFCs % Split'!$A$8:$I$145,6,0)),0,VLOOKUP($A51,'HRGs to TFCs % Split'!$A$8:$I$145,9,0))</f>
        <v>1.2684654417323569E-6</v>
      </c>
      <c r="Z51" s="225">
        <f t="shared" si="13"/>
        <v>0</v>
      </c>
      <c r="AA51" s="225">
        <f t="shared" si="14"/>
        <v>15.387571736444114</v>
      </c>
      <c r="AB51" s="225">
        <f t="shared" si="15"/>
        <v>0</v>
      </c>
      <c r="AC51" s="225">
        <f t="shared" si="16"/>
        <v>200.03843257377349</v>
      </c>
      <c r="AD51" s="226">
        <f t="shared" si="17"/>
        <v>0</v>
      </c>
      <c r="AE51" s="226">
        <f t="shared" si="18"/>
        <v>13</v>
      </c>
      <c r="AF51" s="226">
        <f t="shared" si="19"/>
        <v>0</v>
      </c>
      <c r="AG51" s="226">
        <f t="shared" si="20"/>
        <v>21</v>
      </c>
      <c r="AH51" s="226">
        <f t="shared" si="21"/>
        <v>0</v>
      </c>
      <c r="AI51" s="226">
        <f t="shared" si="22"/>
        <v>2355.6179675374542</v>
      </c>
      <c r="AJ51" s="226">
        <f t="shared" si="23"/>
        <v>0</v>
      </c>
      <c r="AK51" s="226">
        <f t="shared" si="24"/>
        <v>1381.4345871206235</v>
      </c>
      <c r="AL51" s="227">
        <f t="shared" si="25"/>
        <v>0</v>
      </c>
      <c r="AM51" s="227">
        <f t="shared" si="26"/>
        <v>181.20138211826571</v>
      </c>
      <c r="AN51" s="227">
        <f t="shared" si="27"/>
        <v>0</v>
      </c>
      <c r="AO51" s="227">
        <f t="shared" si="28"/>
        <v>65.782599386696361</v>
      </c>
      <c r="AP51" s="228">
        <f t="shared" si="29"/>
        <v>0</v>
      </c>
      <c r="AQ51" s="228">
        <f t="shared" si="30"/>
        <v>6.5752379612080691E-3</v>
      </c>
      <c r="AR51" s="228">
        <f t="shared" si="31"/>
        <v>0</v>
      </c>
      <c r="AS51" s="228">
        <f t="shared" si="32"/>
        <v>5.7959587507414145E-2</v>
      </c>
      <c r="AT51" s="227">
        <f>IF(ISERROR(VLOOKUP(A51,Mandatory!A:A,1,FALSE)),0,1)</f>
        <v>0</v>
      </c>
    </row>
    <row r="52" spans="1:46">
      <c r="A52" s="231">
        <v>251</v>
      </c>
      <c r="B52" s="222">
        <f>VLOOKUP(A52,OPATT_Activities!A:J,3,FALSE)</f>
        <v>1516</v>
      </c>
      <c r="C52" s="222">
        <f>VLOOKUP(A52,OPATT_Activities!A:J,4,FALSE)</f>
        <v>18324</v>
      </c>
      <c r="D52" s="222">
        <f>VLOOKUP(A52,OPATT_Activities!A:J,5,FALSE)</f>
        <v>5594</v>
      </c>
      <c r="E52" s="222">
        <f>VLOOKUP(A52,OPATT_Activities!A:J,6,FALSE)</f>
        <v>46179</v>
      </c>
      <c r="F52" s="222">
        <f>VLOOKUP(A52,OPATT_Cost_Quantum!A:F,2,FALSE)</f>
        <v>283748.06128815701</v>
      </c>
      <c r="G52" s="222">
        <f>VLOOKUP(A52,OPATT_Cost_Quantum!A:F,3,FALSE)</f>
        <v>4088275.6501326901</v>
      </c>
      <c r="H52" s="222">
        <f>VLOOKUP(A52,OPATT_Cost_Quantum!A:F,4,FALSE)</f>
        <v>923553.00452814403</v>
      </c>
      <c r="I52" s="222">
        <f>VLOOKUP(A52,OPATT_Cost_Quantum!A:F,5,FALSE)</f>
        <v>9326921.1995048802</v>
      </c>
      <c r="J52" s="223">
        <f t="shared" si="12"/>
        <v>187.1689058629004</v>
      </c>
      <c r="K52" s="223">
        <f t="shared" si="12"/>
        <v>223.11043713887199</v>
      </c>
      <c r="L52" s="223">
        <f t="shared" si="12"/>
        <v>165.09706909691528</v>
      </c>
      <c r="M52" s="223">
        <f t="shared" si="12"/>
        <v>201.97321725253644</v>
      </c>
      <c r="N52" s="224">
        <f>IF(ISERROR(VLOOKUP($A52,'HRGs to TFCs % Split'!$A$8:$I$145,6,0)),0,VLOOKUP($A52,'HRGs to TFCs % Split'!$A$8:$I$145,6,0))</f>
        <v>2.9272279424592851E-7</v>
      </c>
      <c r="O52" s="224">
        <f>IF(ISERROR(VLOOKUP($A52,'HRGs to TFCs % Split'!$A$8:$I$145,6,0)),0,VLOOKUP($A52,'HRGs to TFCs % Split'!$A$8:$I$145,7,0))</f>
        <v>1.268465441732357E-5</v>
      </c>
      <c r="P52" s="224">
        <f>IF(ISERROR(VLOOKUP($A52,'HRGs to TFCs % Split'!$A$8:$I$145,6,0)),0,VLOOKUP($A52,'HRGs to TFCs % Split'!$A$8:$I$145,8,0))</f>
        <v>7.8059411798914267E-7</v>
      </c>
      <c r="Q52" s="224">
        <f>IF(ISERROR(VLOOKUP($A52,'HRGs to TFCs % Split'!$A$8:$I$145,6,0)),0,VLOOKUP($A52,'HRGs to TFCs % Split'!$A$8:$I$145,9,0))</f>
        <v>5.3665845611753559E-6</v>
      </c>
      <c r="R52" s="225">
        <f t="shared" si="33"/>
        <v>0</v>
      </c>
      <c r="S52" s="225">
        <f t="shared" si="34"/>
        <v>17</v>
      </c>
      <c r="T52" s="225">
        <f t="shared" si="35"/>
        <v>1</v>
      </c>
      <c r="U52" s="225">
        <f t="shared" si="36"/>
        <v>7</v>
      </c>
      <c r="V52" s="224">
        <f>IF(ISERROR(VLOOKUP($A52,'HRGs to TFCs % Split'!$A$8:$I$145,6,0)),0,VLOOKUP($A52,'HRGs to TFCs % Split'!$A$8:$I$145,6,0))</f>
        <v>2.9272279424592851E-7</v>
      </c>
      <c r="W52" s="224">
        <f>IF(ISERROR(VLOOKUP($A52,'HRGs to TFCs % Split'!$A$8:$I$145,6,0)),0,VLOOKUP($A52,'HRGs to TFCs % Split'!$A$8:$I$145,7,0))</f>
        <v>1.268465441732357E-5</v>
      </c>
      <c r="X52" s="224">
        <f>IF(ISERROR(VLOOKUP($A52,'HRGs to TFCs % Split'!$A$8:$I$145,6,0)),0,VLOOKUP($A52,'HRGs to TFCs % Split'!$A$8:$I$145,8,0))</f>
        <v>7.8059411798914267E-7</v>
      </c>
      <c r="Y52" s="224">
        <f>IF(ISERROR(VLOOKUP($A52,'HRGs to TFCs % Split'!$A$8:$I$145,6,0)),0,VLOOKUP($A52,'HRGs to TFCs % Split'!$A$8:$I$145,9,0))</f>
        <v>5.3665845611753559E-6</v>
      </c>
      <c r="Z52" s="225">
        <f t="shared" si="13"/>
        <v>46.162715209332347</v>
      </c>
      <c r="AA52" s="225">
        <f t="shared" si="14"/>
        <v>2000.3843257377353</v>
      </c>
      <c r="AB52" s="225">
        <f t="shared" si="15"/>
        <v>123.10057389155291</v>
      </c>
      <c r="AC52" s="225">
        <f t="shared" si="16"/>
        <v>846.31644550442627</v>
      </c>
      <c r="AD52" s="226">
        <f t="shared" si="17"/>
        <v>1516</v>
      </c>
      <c r="AE52" s="226">
        <f t="shared" si="18"/>
        <v>18341</v>
      </c>
      <c r="AF52" s="226">
        <f t="shared" si="19"/>
        <v>5595</v>
      </c>
      <c r="AG52" s="226">
        <f t="shared" si="20"/>
        <v>46186</v>
      </c>
      <c r="AH52" s="226">
        <f t="shared" si="21"/>
        <v>283794.22400336637</v>
      </c>
      <c r="AI52" s="226">
        <f t="shared" si="22"/>
        <v>4090276.0344584277</v>
      </c>
      <c r="AJ52" s="226">
        <f t="shared" si="23"/>
        <v>923676.10510203557</v>
      </c>
      <c r="AK52" s="226">
        <f t="shared" si="24"/>
        <v>9327767.5159503855</v>
      </c>
      <c r="AL52" s="227">
        <f t="shared" si="25"/>
        <v>187.19935620274828</v>
      </c>
      <c r="AM52" s="227">
        <f t="shared" si="26"/>
        <v>223.01270565718488</v>
      </c>
      <c r="AN52" s="227">
        <f t="shared" si="27"/>
        <v>165.08956302091789</v>
      </c>
      <c r="AO52" s="227">
        <f t="shared" si="28"/>
        <v>201.96093006431354</v>
      </c>
      <c r="AP52" s="228">
        <f t="shared" si="29"/>
        <v>1.6268909468419857E-4</v>
      </c>
      <c r="AQ52" s="228">
        <f t="shared" si="30"/>
        <v>-4.3804083278398132E-4</v>
      </c>
      <c r="AR52" s="228">
        <f t="shared" si="31"/>
        <v>-4.5464622954516365E-5</v>
      </c>
      <c r="AS52" s="228">
        <f t="shared" si="32"/>
        <v>-6.0835730549047007E-5</v>
      </c>
      <c r="AT52" s="227">
        <f>IF(ISERROR(VLOOKUP(A52,Mandatory!A:A,1,FALSE)),0,1)</f>
        <v>1</v>
      </c>
    </row>
    <row r="53" spans="1:46">
      <c r="A53" s="231">
        <v>252</v>
      </c>
      <c r="B53" s="222">
        <f>VLOOKUP(A53,OPATT_Activities!A:J,3,FALSE)</f>
        <v>1261</v>
      </c>
      <c r="C53" s="222">
        <f>VLOOKUP(A53,OPATT_Activities!A:J,4,FALSE)</f>
        <v>9773</v>
      </c>
      <c r="D53" s="222">
        <f>VLOOKUP(A53,OPATT_Activities!A:J,5,FALSE)</f>
        <v>5277</v>
      </c>
      <c r="E53" s="222">
        <f>VLOOKUP(A53,OPATT_Activities!A:J,6,FALSE)</f>
        <v>37250</v>
      </c>
      <c r="F53" s="222">
        <f>VLOOKUP(A53,OPATT_Cost_Quantum!A:F,2,FALSE)</f>
        <v>314318.35087123699</v>
      </c>
      <c r="G53" s="222">
        <f>VLOOKUP(A53,OPATT_Cost_Quantum!A:F,3,FALSE)</f>
        <v>2894726.4703069399</v>
      </c>
      <c r="H53" s="222">
        <f>VLOOKUP(A53,OPATT_Cost_Quantum!A:F,4,FALSE)</f>
        <v>1061435.70025436</v>
      </c>
      <c r="I53" s="222">
        <f>VLOOKUP(A53,OPATT_Cost_Quantum!A:F,5,FALSE)</f>
        <v>7157184.5120959301</v>
      </c>
      <c r="J53" s="223">
        <f t="shared" si="12"/>
        <v>249.26118229281283</v>
      </c>
      <c r="K53" s="223">
        <f t="shared" si="12"/>
        <v>296.19630311132096</v>
      </c>
      <c r="L53" s="223">
        <f t="shared" si="12"/>
        <v>201.14377492028805</v>
      </c>
      <c r="M53" s="223">
        <f t="shared" si="12"/>
        <v>192.13918153277663</v>
      </c>
      <c r="N53" s="224">
        <f>IF(ISERROR(VLOOKUP($A53,'HRGs to TFCs % Split'!$A$8:$I$145,6,0)),0,VLOOKUP($A53,'HRGs to TFCs % Split'!$A$8:$I$145,6,0))</f>
        <v>9.7574264748642833E-8</v>
      </c>
      <c r="O53" s="224">
        <f>IF(ISERROR(VLOOKUP($A53,'HRGs to TFCs % Split'!$A$8:$I$145,6,0)),0,VLOOKUP($A53,'HRGs to TFCs % Split'!$A$8:$I$145,7,0))</f>
        <v>8.8792580921264983E-6</v>
      </c>
      <c r="P53" s="224">
        <f>IF(ISERROR(VLOOKUP($A53,'HRGs to TFCs % Split'!$A$8:$I$145,6,0)),0,VLOOKUP($A53,'HRGs to TFCs % Split'!$A$8:$I$145,8,0))</f>
        <v>4.8787132374321421E-7</v>
      </c>
      <c r="Q53" s="224">
        <f>IF(ISERROR(VLOOKUP($A53,'HRGs to TFCs % Split'!$A$8:$I$145,6,0)),0,VLOOKUP($A53,'HRGs to TFCs % Split'!$A$8:$I$145,9,0))</f>
        <v>3.707822060448428E-6</v>
      </c>
      <c r="R53" s="225">
        <f t="shared" si="33"/>
        <v>0</v>
      </c>
      <c r="S53" s="225">
        <f t="shared" si="34"/>
        <v>12</v>
      </c>
      <c r="T53" s="225">
        <f t="shared" si="35"/>
        <v>1</v>
      </c>
      <c r="U53" s="225">
        <f t="shared" si="36"/>
        <v>5</v>
      </c>
      <c r="V53" s="224">
        <f>IF(ISERROR(VLOOKUP($A53,'HRGs to TFCs % Split'!$A$8:$I$145,6,0)),0,VLOOKUP($A53,'HRGs to TFCs % Split'!$A$8:$I$145,6,0))</f>
        <v>9.7574264748642833E-8</v>
      </c>
      <c r="W53" s="224">
        <f>IF(ISERROR(VLOOKUP($A53,'HRGs to TFCs % Split'!$A$8:$I$145,6,0)),0,VLOOKUP($A53,'HRGs to TFCs % Split'!$A$8:$I$145,7,0))</f>
        <v>8.8792580921264983E-6</v>
      </c>
      <c r="X53" s="224">
        <f>IF(ISERROR(VLOOKUP($A53,'HRGs to TFCs % Split'!$A$8:$I$145,6,0)),0,VLOOKUP($A53,'HRGs to TFCs % Split'!$A$8:$I$145,8,0))</f>
        <v>4.8787132374321421E-7</v>
      </c>
      <c r="Y53" s="224">
        <f>IF(ISERROR(VLOOKUP($A53,'HRGs to TFCs % Split'!$A$8:$I$145,6,0)),0,VLOOKUP($A53,'HRGs to TFCs % Split'!$A$8:$I$145,9,0))</f>
        <v>3.707822060448428E-6</v>
      </c>
      <c r="Z53" s="225">
        <f t="shared" si="13"/>
        <v>15.387571736444114</v>
      </c>
      <c r="AA53" s="225">
        <f t="shared" si="14"/>
        <v>1400.2690280164145</v>
      </c>
      <c r="AB53" s="225">
        <f t="shared" si="15"/>
        <v>76.937858682220579</v>
      </c>
      <c r="AC53" s="225">
        <f t="shared" si="16"/>
        <v>584.72772598487643</v>
      </c>
      <c r="AD53" s="226">
        <f t="shared" si="17"/>
        <v>1261</v>
      </c>
      <c r="AE53" s="226">
        <f t="shared" si="18"/>
        <v>9785</v>
      </c>
      <c r="AF53" s="226">
        <f t="shared" si="19"/>
        <v>5278</v>
      </c>
      <c r="AG53" s="226">
        <f t="shared" si="20"/>
        <v>37255</v>
      </c>
      <c r="AH53" s="226">
        <f t="shared" si="21"/>
        <v>314333.73844297347</v>
      </c>
      <c r="AI53" s="226">
        <f t="shared" si="22"/>
        <v>2896126.7393349563</v>
      </c>
      <c r="AJ53" s="226">
        <f t="shared" si="23"/>
        <v>1061512.6381130421</v>
      </c>
      <c r="AK53" s="226">
        <f t="shared" si="24"/>
        <v>7157769.2398219146</v>
      </c>
      <c r="AL53" s="227">
        <f t="shared" si="25"/>
        <v>249.27338496667207</v>
      </c>
      <c r="AM53" s="227">
        <f t="shared" si="26"/>
        <v>295.97616140367461</v>
      </c>
      <c r="AN53" s="227">
        <f t="shared" si="27"/>
        <v>201.12024215859077</v>
      </c>
      <c r="AO53" s="227">
        <f t="shared" si="28"/>
        <v>192.12908978182566</v>
      </c>
      <c r="AP53" s="228">
        <f t="shared" si="29"/>
        <v>4.8955371819259241E-5</v>
      </c>
      <c r="AQ53" s="228">
        <f t="shared" si="30"/>
        <v>-7.4322908602819648E-4</v>
      </c>
      <c r="AR53" s="228">
        <f t="shared" si="31"/>
        <v>-1.16994730294806E-4</v>
      </c>
      <c r="AS53" s="228">
        <f t="shared" si="32"/>
        <v>-5.2523128653225726E-5</v>
      </c>
      <c r="AT53" s="227">
        <f>IF(ISERROR(VLOOKUP(A53,Mandatory!A:A,1,FALSE)),0,1)</f>
        <v>1</v>
      </c>
    </row>
    <row r="54" spans="1:46">
      <c r="A54" s="231">
        <v>253</v>
      </c>
      <c r="B54" s="222">
        <f>VLOOKUP(A54,OPATT_Activities!A:J,3,FALSE)</f>
        <v>408</v>
      </c>
      <c r="C54" s="222">
        <f>VLOOKUP(A54,OPATT_Activities!A:J,4,FALSE)</f>
        <v>5332</v>
      </c>
      <c r="D54" s="222">
        <f>VLOOKUP(A54,OPATT_Activities!A:J,5,FALSE)</f>
        <v>2990</v>
      </c>
      <c r="E54" s="222">
        <f>VLOOKUP(A54,OPATT_Activities!A:J,6,FALSE)</f>
        <v>33518</v>
      </c>
      <c r="F54" s="222">
        <f>VLOOKUP(A54,OPATT_Cost_Quantum!A:F,2,FALSE)</f>
        <v>120848.031904391</v>
      </c>
      <c r="G54" s="222">
        <f>VLOOKUP(A54,OPATT_Cost_Quantum!A:F,3,FALSE)</f>
        <v>1491646.0575476701</v>
      </c>
      <c r="H54" s="222">
        <f>VLOOKUP(A54,OPATT_Cost_Quantum!A:F,4,FALSE)</f>
        <v>643084.68738884199</v>
      </c>
      <c r="I54" s="222">
        <f>VLOOKUP(A54,OPATT_Cost_Quantum!A:F,5,FALSE)</f>
        <v>7811960.1006063903</v>
      </c>
      <c r="J54" s="223">
        <f t="shared" si="12"/>
        <v>296.19615662840931</v>
      </c>
      <c r="K54" s="223">
        <f t="shared" si="12"/>
        <v>279.75357418373409</v>
      </c>
      <c r="L54" s="223">
        <f t="shared" si="12"/>
        <v>215.078490765499</v>
      </c>
      <c r="M54" s="223">
        <f t="shared" si="12"/>
        <v>233.06760846728295</v>
      </c>
      <c r="N54" s="224">
        <f>IF(ISERROR(VLOOKUP($A54,'HRGs to TFCs % Split'!$A$8:$I$145,6,0)),0,VLOOKUP($A54,'HRGs to TFCs % Split'!$A$8:$I$145,6,0))</f>
        <v>6.8301985324049985E-7</v>
      </c>
      <c r="O54" s="224">
        <f>IF(ISERROR(VLOOKUP($A54,'HRGs to TFCs % Split'!$A$8:$I$145,6,0)),0,VLOOKUP($A54,'HRGs to TFCs % Split'!$A$8:$I$145,7,0))</f>
        <v>7.415644120896856E-6</v>
      </c>
      <c r="P54" s="224">
        <f>IF(ISERROR(VLOOKUP($A54,'HRGs to TFCs % Split'!$A$8:$I$145,6,0)),0,VLOOKUP($A54,'HRGs to TFCs % Split'!$A$8:$I$145,8,0))</f>
        <v>2.6930497070625425E-5</v>
      </c>
      <c r="Q54" s="224">
        <f>IF(ISERROR(VLOOKUP($A54,'HRGs to TFCs % Split'!$A$8:$I$145,6,0)),0,VLOOKUP($A54,'HRGs to TFCs % Split'!$A$8:$I$145,9,0))</f>
        <v>5.7666390466447918E-5</v>
      </c>
      <c r="R54" s="225">
        <f t="shared" si="33"/>
        <v>1</v>
      </c>
      <c r="S54" s="225">
        <f t="shared" si="34"/>
        <v>10</v>
      </c>
      <c r="T54" s="225">
        <f t="shared" si="35"/>
        <v>36</v>
      </c>
      <c r="U54" s="225">
        <f t="shared" si="36"/>
        <v>78</v>
      </c>
      <c r="V54" s="224">
        <f>IF(ISERROR(VLOOKUP($A54,'HRGs to TFCs % Split'!$A$8:$I$145,6,0)),0,VLOOKUP($A54,'HRGs to TFCs % Split'!$A$8:$I$145,6,0))</f>
        <v>6.8301985324049985E-7</v>
      </c>
      <c r="W54" s="224">
        <f>IF(ISERROR(VLOOKUP($A54,'HRGs to TFCs % Split'!$A$8:$I$145,6,0)),0,VLOOKUP($A54,'HRGs to TFCs % Split'!$A$8:$I$145,7,0))</f>
        <v>7.415644120896856E-6</v>
      </c>
      <c r="X54" s="224">
        <f>IF(ISERROR(VLOOKUP($A54,'HRGs to TFCs % Split'!$A$8:$I$145,6,0)),0,VLOOKUP($A54,'HRGs to TFCs % Split'!$A$8:$I$145,8,0))</f>
        <v>2.6930497070625425E-5</v>
      </c>
      <c r="Y54" s="224">
        <f>IF(ISERROR(VLOOKUP($A54,'HRGs to TFCs % Split'!$A$8:$I$145,6,0)),0,VLOOKUP($A54,'HRGs to TFCs % Split'!$A$8:$I$145,9,0))</f>
        <v>5.7666390466447918E-5</v>
      </c>
      <c r="Z54" s="225">
        <f t="shared" si="13"/>
        <v>107.71300215510881</v>
      </c>
      <c r="AA54" s="225">
        <f t="shared" si="14"/>
        <v>1169.4554519697529</v>
      </c>
      <c r="AB54" s="225">
        <f t="shared" si="15"/>
        <v>4246.9697992585761</v>
      </c>
      <c r="AC54" s="225">
        <f t="shared" si="16"/>
        <v>9094.0548962384728</v>
      </c>
      <c r="AD54" s="226">
        <f t="shared" si="17"/>
        <v>409</v>
      </c>
      <c r="AE54" s="226">
        <f t="shared" si="18"/>
        <v>5342</v>
      </c>
      <c r="AF54" s="226">
        <f t="shared" si="19"/>
        <v>3026</v>
      </c>
      <c r="AG54" s="226">
        <f t="shared" si="20"/>
        <v>33596</v>
      </c>
      <c r="AH54" s="226">
        <f t="shared" si="21"/>
        <v>120955.74490654611</v>
      </c>
      <c r="AI54" s="226">
        <f t="shared" si="22"/>
        <v>1492815.5129996398</v>
      </c>
      <c r="AJ54" s="226">
        <f t="shared" si="23"/>
        <v>647331.65718810062</v>
      </c>
      <c r="AK54" s="226">
        <f t="shared" si="24"/>
        <v>7821054.1555026285</v>
      </c>
      <c r="AL54" s="227">
        <f t="shared" si="25"/>
        <v>295.73531761991717</v>
      </c>
      <c r="AM54" s="227">
        <f t="shared" si="26"/>
        <v>279.44880438031447</v>
      </c>
      <c r="AN54" s="227">
        <f t="shared" si="27"/>
        <v>213.92321784140802</v>
      </c>
      <c r="AO54" s="227">
        <f t="shared" si="28"/>
        <v>232.79718286410966</v>
      </c>
      <c r="AP54" s="228">
        <f t="shared" si="29"/>
        <v>-1.5558574889622534E-3</v>
      </c>
      <c r="AQ54" s="228">
        <f t="shared" si="30"/>
        <v>-1.0894223757779153E-3</v>
      </c>
      <c r="AR54" s="228">
        <f t="shared" si="31"/>
        <v>-5.3714014822178191E-3</v>
      </c>
      <c r="AS54" s="228">
        <f t="shared" si="32"/>
        <v>-1.1602882311775309E-3</v>
      </c>
      <c r="AT54" s="227">
        <f>IF(ISERROR(VLOOKUP(A54,Mandatory!A:A,1,FALSE)),0,1)</f>
        <v>1</v>
      </c>
    </row>
    <row r="55" spans="1:46">
      <c r="A55" s="231">
        <v>254</v>
      </c>
      <c r="B55" s="222">
        <f>VLOOKUP(A55,OPATT_Activities!A:J,3,FALSE)</f>
        <v>0</v>
      </c>
      <c r="C55" s="222">
        <f>VLOOKUP(A55,OPATT_Activities!A:J,4,FALSE)</f>
        <v>19265</v>
      </c>
      <c r="D55" s="222">
        <f>VLOOKUP(A55,OPATT_Activities!A:J,5,FALSE)</f>
        <v>0</v>
      </c>
      <c r="E55" s="222">
        <f>VLOOKUP(A55,OPATT_Activities!A:J,6,FALSE)</f>
        <v>12334</v>
      </c>
      <c r="F55" s="222">
        <f>VLOOKUP(A55,OPATT_Cost_Quantum!A:F,2,FALSE)</f>
        <v>0</v>
      </c>
      <c r="G55" s="222">
        <f>VLOOKUP(A55,OPATT_Cost_Quantum!A:F,3,FALSE)</f>
        <v>1913675.5927146899</v>
      </c>
      <c r="H55" s="222">
        <f>VLOOKUP(A55,OPATT_Cost_Quantum!A:F,4,FALSE)</f>
        <v>0</v>
      </c>
      <c r="I55" s="222">
        <f>VLOOKUP(A55,OPATT_Cost_Quantum!A:F,5,FALSE)</f>
        <v>1943141.3249137599</v>
      </c>
      <c r="J55" s="223">
        <f t="shared" si="12"/>
        <v>0</v>
      </c>
      <c r="K55" s="223">
        <f t="shared" si="12"/>
        <v>99.334315739148195</v>
      </c>
      <c r="L55" s="223">
        <f t="shared" si="12"/>
        <v>0</v>
      </c>
      <c r="M55" s="223">
        <f t="shared" si="12"/>
        <v>157.54348345336143</v>
      </c>
      <c r="N55" s="224">
        <f>IF(ISERROR(VLOOKUP($A55,'HRGs to TFCs % Split'!$A$8:$I$145,6,0)),0,VLOOKUP($A55,'HRGs to TFCs % Split'!$A$8:$I$145,6,0))</f>
        <v>5.073861766929428E-5</v>
      </c>
      <c r="O55" s="224">
        <f>IF(ISERROR(VLOOKUP($A55,'HRGs to TFCs % Split'!$A$8:$I$145,6,0)),0,VLOOKUP($A55,'HRGs to TFCs % Split'!$A$8:$I$145,7,0))</f>
        <v>2.6296264349759245E-4</v>
      </c>
      <c r="P55" s="224">
        <f>IF(ISERROR(VLOOKUP($A55,'HRGs to TFCs % Split'!$A$8:$I$145,6,0)),0,VLOOKUP($A55,'HRGs to TFCs % Split'!$A$8:$I$145,8,0))</f>
        <v>6.0983915467901778E-5</v>
      </c>
      <c r="Q55" s="224">
        <f>IF(ISERROR(VLOOKUP($A55,'HRGs to TFCs % Split'!$A$8:$I$145,6,0)),0,VLOOKUP($A55,'HRGs to TFCs % Split'!$A$8:$I$145,9,0))</f>
        <v>2.9867482439559575E-4</v>
      </c>
      <c r="R55" s="225">
        <f t="shared" si="33"/>
        <v>68</v>
      </c>
      <c r="S55" s="225">
        <f t="shared" si="34"/>
        <v>355</v>
      </c>
      <c r="T55" s="225">
        <f t="shared" si="35"/>
        <v>82</v>
      </c>
      <c r="U55" s="225">
        <f t="shared" si="36"/>
        <v>403</v>
      </c>
      <c r="V55" s="224">
        <f>IF(ISERROR(VLOOKUP($A55,'HRGs to TFCs % Split'!$A$8:$I$145,6,0)),0,VLOOKUP($A55,'HRGs to TFCs % Split'!$A$8:$I$145,6,0))</f>
        <v>5.073861766929428E-5</v>
      </c>
      <c r="W55" s="224">
        <f>IF(ISERROR(VLOOKUP($A55,'HRGs to TFCs % Split'!$A$8:$I$145,6,0)),0,VLOOKUP($A55,'HRGs to TFCs % Split'!$A$8:$I$145,7,0))</f>
        <v>2.6296264349759245E-4</v>
      </c>
      <c r="X55" s="224">
        <f>IF(ISERROR(VLOOKUP($A55,'HRGs to TFCs % Split'!$A$8:$I$145,6,0)),0,VLOOKUP($A55,'HRGs to TFCs % Split'!$A$8:$I$145,8,0))</f>
        <v>6.0983915467901778E-5</v>
      </c>
      <c r="Y55" s="224">
        <f>IF(ISERROR(VLOOKUP($A55,'HRGs to TFCs % Split'!$A$8:$I$145,6,0)),0,VLOOKUP($A55,'HRGs to TFCs % Split'!$A$8:$I$145,9,0))</f>
        <v>2.9867482439559575E-4</v>
      </c>
      <c r="Z55" s="225">
        <f t="shared" si="13"/>
        <v>8001.537302950941</v>
      </c>
      <c r="AA55" s="225">
        <f t="shared" si="14"/>
        <v>41469.505829716887</v>
      </c>
      <c r="AB55" s="225">
        <f t="shared" si="15"/>
        <v>9617.2323352775729</v>
      </c>
      <c r="AC55" s="225">
        <f t="shared" si="16"/>
        <v>47101.35708525544</v>
      </c>
      <c r="AD55" s="226">
        <f t="shared" si="17"/>
        <v>68</v>
      </c>
      <c r="AE55" s="226">
        <f t="shared" si="18"/>
        <v>19620</v>
      </c>
      <c r="AF55" s="226">
        <f t="shared" si="19"/>
        <v>82</v>
      </c>
      <c r="AG55" s="226">
        <f t="shared" si="20"/>
        <v>12737</v>
      </c>
      <c r="AH55" s="226">
        <f t="shared" si="21"/>
        <v>8001.537302950941</v>
      </c>
      <c r="AI55" s="226">
        <f t="shared" si="22"/>
        <v>1955145.0985444067</v>
      </c>
      <c r="AJ55" s="226">
        <f t="shared" si="23"/>
        <v>9617.2323352775729</v>
      </c>
      <c r="AK55" s="226">
        <f t="shared" si="24"/>
        <v>1990242.6819990154</v>
      </c>
      <c r="AL55" s="227">
        <f t="shared" si="25"/>
        <v>117.66966621986678</v>
      </c>
      <c r="AM55" s="227">
        <f t="shared" si="26"/>
        <v>99.650616643445801</v>
      </c>
      <c r="AN55" s="227">
        <f t="shared" si="27"/>
        <v>117.28332116192162</v>
      </c>
      <c r="AO55" s="227">
        <f t="shared" si="28"/>
        <v>156.25678589927105</v>
      </c>
      <c r="AP55" s="228">
        <f t="shared" si="29"/>
        <v>0</v>
      </c>
      <c r="AQ55" s="228">
        <f t="shared" si="30"/>
        <v>3.1842057998185958E-3</v>
      </c>
      <c r="AR55" s="228">
        <f t="shared" si="31"/>
        <v>0</v>
      </c>
      <c r="AS55" s="228">
        <f t="shared" si="32"/>
        <v>-8.1672534203630631E-3</v>
      </c>
      <c r="AT55" s="227">
        <f>IF(ISERROR(VLOOKUP(A55,Mandatory!A:A,1,FALSE)),0,1)</f>
        <v>0</v>
      </c>
    </row>
    <row r="56" spans="1:46">
      <c r="A56" s="231">
        <v>255</v>
      </c>
      <c r="B56" s="222">
        <f>VLOOKUP(A56,OPATT_Activities!A:J,3,FALSE)</f>
        <v>2130</v>
      </c>
      <c r="C56" s="222">
        <f>VLOOKUP(A56,OPATT_Activities!A:J,4,FALSE)</f>
        <v>11873</v>
      </c>
      <c r="D56" s="222">
        <f>VLOOKUP(A56,OPATT_Activities!A:J,5,FALSE)</f>
        <v>2245</v>
      </c>
      <c r="E56" s="222">
        <f>VLOOKUP(A56,OPATT_Activities!A:J,6,FALSE)</f>
        <v>18138</v>
      </c>
      <c r="F56" s="222">
        <f>VLOOKUP(A56,OPATT_Cost_Quantum!A:F,2,FALSE)</f>
        <v>426173.14541890001</v>
      </c>
      <c r="G56" s="222">
        <f>VLOOKUP(A56,OPATT_Cost_Quantum!A:F,3,FALSE)</f>
        <v>3191379.7813890199</v>
      </c>
      <c r="H56" s="222">
        <f>VLOOKUP(A56,OPATT_Cost_Quantum!A:F,4,FALSE)</f>
        <v>278054.16752730199</v>
      </c>
      <c r="I56" s="222">
        <f>VLOOKUP(A56,OPATT_Cost_Quantum!A:F,5,FALSE)</f>
        <v>3963221.35405022</v>
      </c>
      <c r="J56" s="223">
        <f t="shared" si="12"/>
        <v>200.08128892906103</v>
      </c>
      <c r="K56" s="223">
        <f t="shared" si="12"/>
        <v>268.79304147132314</v>
      </c>
      <c r="L56" s="223">
        <f t="shared" si="12"/>
        <v>123.85486304111447</v>
      </c>
      <c r="M56" s="223">
        <f t="shared" si="12"/>
        <v>218.50376855497959</v>
      </c>
      <c r="N56" s="224">
        <f>IF(ISERROR(VLOOKUP($A56,'HRGs to TFCs % Split'!$A$8:$I$145,6,0)),0,VLOOKUP($A56,'HRGs to TFCs % Split'!$A$8:$I$145,6,0))</f>
        <v>6.1862083850639565E-5</v>
      </c>
      <c r="O56" s="224">
        <f>IF(ISERROR(VLOOKUP($A56,'HRGs to TFCs % Split'!$A$8:$I$145,6,0)),0,VLOOKUP($A56,'HRGs to TFCs % Split'!$A$8:$I$145,7,0))</f>
        <v>2.0002724273471782E-4</v>
      </c>
      <c r="P56" s="224">
        <f>IF(ISERROR(VLOOKUP($A56,'HRGs to TFCs % Split'!$A$8:$I$145,6,0)),0,VLOOKUP($A56,'HRGs to TFCs % Split'!$A$8:$I$145,8,0))</f>
        <v>2.7418368394368637E-5</v>
      </c>
      <c r="Q56" s="224">
        <f>IF(ISERROR(VLOOKUP($A56,'HRGs to TFCs % Split'!$A$8:$I$145,6,0)),0,VLOOKUP($A56,'HRGs to TFCs % Split'!$A$8:$I$145,9,0))</f>
        <v>2.0441808464840674E-4</v>
      </c>
      <c r="R56" s="225">
        <f t="shared" si="33"/>
        <v>83</v>
      </c>
      <c r="S56" s="225">
        <f t="shared" si="34"/>
        <v>270</v>
      </c>
      <c r="T56" s="225">
        <f t="shared" si="35"/>
        <v>37</v>
      </c>
      <c r="U56" s="225">
        <f t="shared" si="36"/>
        <v>276</v>
      </c>
      <c r="V56" s="224">
        <f>IF(ISERROR(VLOOKUP($A56,'HRGs to TFCs % Split'!$A$8:$I$145,6,0)),0,VLOOKUP($A56,'HRGs to TFCs % Split'!$A$8:$I$145,6,0))</f>
        <v>6.1862083850639565E-5</v>
      </c>
      <c r="W56" s="224">
        <f>IF(ISERROR(VLOOKUP($A56,'HRGs to TFCs % Split'!$A$8:$I$145,6,0)),0,VLOOKUP($A56,'HRGs to TFCs % Split'!$A$8:$I$145,7,0))</f>
        <v>2.0002724273471782E-4</v>
      </c>
      <c r="X56" s="224">
        <f>IF(ISERROR(VLOOKUP($A56,'HRGs to TFCs % Split'!$A$8:$I$145,6,0)),0,VLOOKUP($A56,'HRGs to TFCs % Split'!$A$8:$I$145,8,0))</f>
        <v>2.7418368394368637E-5</v>
      </c>
      <c r="Y56" s="224">
        <f>IF(ISERROR(VLOOKUP($A56,'HRGs to TFCs % Split'!$A$8:$I$145,6,0)),0,VLOOKUP($A56,'HRGs to TFCs % Split'!$A$8:$I$145,9,0))</f>
        <v>2.0441808464840674E-4</v>
      </c>
      <c r="Z56" s="225">
        <f t="shared" si="13"/>
        <v>9755.7204809055693</v>
      </c>
      <c r="AA56" s="225">
        <f t="shared" si="14"/>
        <v>31544.522059710438</v>
      </c>
      <c r="AB56" s="225">
        <f t="shared" si="15"/>
        <v>4323.9076579407965</v>
      </c>
      <c r="AC56" s="225">
        <f t="shared" si="16"/>
        <v>32236.962787850422</v>
      </c>
      <c r="AD56" s="226">
        <f t="shared" si="17"/>
        <v>2213</v>
      </c>
      <c r="AE56" s="226">
        <f t="shared" si="18"/>
        <v>12143</v>
      </c>
      <c r="AF56" s="226">
        <f t="shared" si="19"/>
        <v>2282</v>
      </c>
      <c r="AG56" s="226">
        <f t="shared" si="20"/>
        <v>18414</v>
      </c>
      <c r="AH56" s="226">
        <f t="shared" si="21"/>
        <v>435928.86589980556</v>
      </c>
      <c r="AI56" s="226">
        <f t="shared" si="22"/>
        <v>3222924.3034487301</v>
      </c>
      <c r="AJ56" s="226">
        <f t="shared" si="23"/>
        <v>282378.07518524281</v>
      </c>
      <c r="AK56" s="226">
        <f t="shared" si="24"/>
        <v>3995458.3168380703</v>
      </c>
      <c r="AL56" s="227">
        <f t="shared" si="25"/>
        <v>196.98547939439925</v>
      </c>
      <c r="AM56" s="227">
        <f t="shared" si="26"/>
        <v>265.41417305844766</v>
      </c>
      <c r="AN56" s="227">
        <f t="shared" si="27"/>
        <v>123.74148781123699</v>
      </c>
      <c r="AO56" s="227">
        <f t="shared" si="28"/>
        <v>216.97938073411916</v>
      </c>
      <c r="AP56" s="228">
        <f t="shared" si="29"/>
        <v>-1.5472758853324886E-2</v>
      </c>
      <c r="AQ56" s="228">
        <f t="shared" si="30"/>
        <v>-1.2570520406258168E-2</v>
      </c>
      <c r="AR56" s="228">
        <f t="shared" si="31"/>
        <v>-9.1538779417843497E-4</v>
      </c>
      <c r="AS56" s="228">
        <f t="shared" si="32"/>
        <v>-6.9764829730012412E-3</v>
      </c>
      <c r="AT56" s="227">
        <f>IF(ISERROR(VLOOKUP(A56,Mandatory!A:A,1,FALSE)),0,1)</f>
        <v>0</v>
      </c>
    </row>
    <row r="57" spans="1:46">
      <c r="A57" s="231">
        <v>256</v>
      </c>
      <c r="B57" s="222">
        <f>VLOOKUP(A57,OPATT_Activities!A:J,3,FALSE)</f>
        <v>36</v>
      </c>
      <c r="C57" s="222">
        <f>VLOOKUP(A57,OPATT_Activities!A:J,4,FALSE)</f>
        <v>1184</v>
      </c>
      <c r="D57" s="222">
        <f>VLOOKUP(A57,OPATT_Activities!A:J,5,FALSE)</f>
        <v>161</v>
      </c>
      <c r="E57" s="222">
        <f>VLOOKUP(A57,OPATT_Activities!A:J,6,FALSE)</f>
        <v>4956</v>
      </c>
      <c r="F57" s="222">
        <f>VLOOKUP(A57,OPATT_Cost_Quantum!A:F,2,FALSE)</f>
        <v>2931.8344446053002</v>
      </c>
      <c r="G57" s="222">
        <f>VLOOKUP(A57,OPATT_Cost_Quantum!A:F,3,FALSE)</f>
        <v>341833.98184576601</v>
      </c>
      <c r="H57" s="222">
        <f>VLOOKUP(A57,OPATT_Cost_Quantum!A:F,4,FALSE)</f>
        <v>25976.126040637999</v>
      </c>
      <c r="I57" s="222">
        <f>VLOOKUP(A57,OPATT_Cost_Quantum!A:F,5,FALSE)</f>
        <v>1294983.9582899399</v>
      </c>
      <c r="J57" s="223">
        <f t="shared" si="12"/>
        <v>81.439845683480556</v>
      </c>
      <c r="K57" s="223">
        <f t="shared" si="12"/>
        <v>288.71113331568074</v>
      </c>
      <c r="L57" s="223">
        <f t="shared" si="12"/>
        <v>161.34239776793788</v>
      </c>
      <c r="M57" s="223">
        <f t="shared" si="12"/>
        <v>261.29619820216703</v>
      </c>
      <c r="N57" s="224">
        <f>IF(ISERROR(VLOOKUP($A57,'HRGs to TFCs % Split'!$A$8:$I$145,6,0)),0,VLOOKUP($A57,'HRGs to TFCs % Split'!$A$8:$I$145,6,0))</f>
        <v>0</v>
      </c>
      <c r="O57" s="224">
        <f>IF(ISERROR(VLOOKUP($A57,'HRGs to TFCs % Split'!$A$8:$I$145,6,0)),0,VLOOKUP($A57,'HRGs to TFCs % Split'!$A$8:$I$145,7,0))</f>
        <v>0</v>
      </c>
      <c r="P57" s="224">
        <f>IF(ISERROR(VLOOKUP($A57,'HRGs to TFCs % Split'!$A$8:$I$145,6,0)),0,VLOOKUP($A57,'HRGs to TFCs % Split'!$A$8:$I$145,8,0))</f>
        <v>0</v>
      </c>
      <c r="Q57" s="224">
        <f>IF(ISERROR(VLOOKUP($A57,'HRGs to TFCs % Split'!$A$8:$I$145,6,0)),0,VLOOKUP($A57,'HRGs to TFCs % Split'!$A$8:$I$145,9,0))</f>
        <v>9.7574264748642833E-8</v>
      </c>
      <c r="R57" s="225">
        <f t="shared" si="33"/>
        <v>0</v>
      </c>
      <c r="S57" s="225">
        <f t="shared" si="34"/>
        <v>0</v>
      </c>
      <c r="T57" s="225">
        <f t="shared" si="35"/>
        <v>0</v>
      </c>
      <c r="U57" s="225">
        <f t="shared" si="36"/>
        <v>0</v>
      </c>
      <c r="V57" s="224">
        <f>IF(ISERROR(VLOOKUP($A57,'HRGs to TFCs % Split'!$A$8:$I$145,6,0)),0,VLOOKUP($A57,'HRGs to TFCs % Split'!$A$8:$I$145,6,0))</f>
        <v>0</v>
      </c>
      <c r="W57" s="224">
        <f>IF(ISERROR(VLOOKUP($A57,'HRGs to TFCs % Split'!$A$8:$I$145,6,0)),0,VLOOKUP($A57,'HRGs to TFCs % Split'!$A$8:$I$145,7,0))</f>
        <v>0</v>
      </c>
      <c r="X57" s="224">
        <f>IF(ISERROR(VLOOKUP($A57,'HRGs to TFCs % Split'!$A$8:$I$145,6,0)),0,VLOOKUP($A57,'HRGs to TFCs % Split'!$A$8:$I$145,8,0))</f>
        <v>0</v>
      </c>
      <c r="Y57" s="224">
        <f>IF(ISERROR(VLOOKUP($A57,'HRGs to TFCs % Split'!$A$8:$I$145,6,0)),0,VLOOKUP($A57,'HRGs to TFCs % Split'!$A$8:$I$145,9,0))</f>
        <v>9.7574264748642833E-8</v>
      </c>
      <c r="Z57" s="225">
        <f t="shared" si="13"/>
        <v>0</v>
      </c>
      <c r="AA57" s="225">
        <f t="shared" si="14"/>
        <v>0</v>
      </c>
      <c r="AB57" s="225">
        <f t="shared" si="15"/>
        <v>0</v>
      </c>
      <c r="AC57" s="225">
        <f t="shared" si="16"/>
        <v>15.387571736444114</v>
      </c>
      <c r="AD57" s="226">
        <f t="shared" si="17"/>
        <v>36</v>
      </c>
      <c r="AE57" s="226">
        <f t="shared" si="18"/>
        <v>1184</v>
      </c>
      <c r="AF57" s="226">
        <f t="shared" si="19"/>
        <v>161</v>
      </c>
      <c r="AG57" s="226">
        <f t="shared" si="20"/>
        <v>4956</v>
      </c>
      <c r="AH57" s="226">
        <f t="shared" si="21"/>
        <v>2931.8344446053002</v>
      </c>
      <c r="AI57" s="226">
        <f t="shared" si="22"/>
        <v>341833.98184576601</v>
      </c>
      <c r="AJ57" s="226">
        <f t="shared" si="23"/>
        <v>25976.126040637999</v>
      </c>
      <c r="AK57" s="226">
        <f t="shared" si="24"/>
        <v>1294999.3458616764</v>
      </c>
      <c r="AL57" s="227">
        <f t="shared" si="25"/>
        <v>81.439845683480556</v>
      </c>
      <c r="AM57" s="227">
        <f t="shared" si="26"/>
        <v>288.71113331568074</v>
      </c>
      <c r="AN57" s="227">
        <f t="shared" si="27"/>
        <v>161.34239776793788</v>
      </c>
      <c r="AO57" s="227">
        <f t="shared" si="28"/>
        <v>261.29930303907918</v>
      </c>
      <c r="AP57" s="228">
        <f t="shared" si="29"/>
        <v>0</v>
      </c>
      <c r="AQ57" s="228">
        <f t="shared" si="30"/>
        <v>0</v>
      </c>
      <c r="AR57" s="228">
        <f t="shared" si="31"/>
        <v>0</v>
      </c>
      <c r="AS57" s="228">
        <f t="shared" si="32"/>
        <v>1.1882441970145763E-5</v>
      </c>
      <c r="AT57" s="227">
        <f>IF(ISERROR(VLOOKUP(A57,Mandatory!A:A,1,FALSE)),0,1)</f>
        <v>0</v>
      </c>
    </row>
    <row r="58" spans="1:46">
      <c r="A58" s="231">
        <v>257</v>
      </c>
      <c r="B58" s="222">
        <f>VLOOKUP(A58,OPATT_Activities!A:J,3,FALSE)</f>
        <v>571</v>
      </c>
      <c r="C58" s="222">
        <f>VLOOKUP(A58,OPATT_Activities!A:J,4,FALSE)</f>
        <v>24285</v>
      </c>
      <c r="D58" s="222">
        <f>VLOOKUP(A58,OPATT_Activities!A:J,5,FALSE)</f>
        <v>753</v>
      </c>
      <c r="E58" s="222">
        <f>VLOOKUP(A58,OPATT_Activities!A:J,6,FALSE)</f>
        <v>40914</v>
      </c>
      <c r="F58" s="222">
        <f>VLOOKUP(A58,OPATT_Cost_Quantum!A:F,2,FALSE)</f>
        <v>81860.350163423805</v>
      </c>
      <c r="G58" s="222">
        <f>VLOOKUP(A58,OPATT_Cost_Quantum!A:F,3,FALSE)</f>
        <v>3585287.44604726</v>
      </c>
      <c r="H58" s="222">
        <f>VLOOKUP(A58,OPATT_Cost_Quantum!A:F,4,FALSE)</f>
        <v>102685.001196903</v>
      </c>
      <c r="I58" s="222">
        <f>VLOOKUP(A58,OPATT_Cost_Quantum!A:F,5,FALSE)</f>
        <v>4925902.5966754397</v>
      </c>
      <c r="J58" s="223">
        <f t="shared" si="12"/>
        <v>143.36313513734467</v>
      </c>
      <c r="K58" s="223">
        <f t="shared" si="12"/>
        <v>147.63382524386495</v>
      </c>
      <c r="L58" s="223">
        <f t="shared" si="12"/>
        <v>136.36786347530278</v>
      </c>
      <c r="M58" s="223">
        <f t="shared" si="12"/>
        <v>120.3965047826035</v>
      </c>
      <c r="N58" s="224">
        <f>IF(ISERROR(VLOOKUP($A58,'HRGs to TFCs % Split'!$A$8:$I$145,6,0)),0,VLOOKUP($A58,'HRGs to TFCs % Split'!$A$8:$I$145,6,0))</f>
        <v>2.5369308834647137E-6</v>
      </c>
      <c r="O58" s="224">
        <f>IF(ISERROR(VLOOKUP($A58,'HRGs to TFCs % Split'!$A$8:$I$145,6,0)),0,VLOOKUP($A58,'HRGs to TFCs % Split'!$A$8:$I$145,7,0))</f>
        <v>1.3836030741357555E-4</v>
      </c>
      <c r="P58" s="224">
        <f>IF(ISERROR(VLOOKUP($A58,'HRGs to TFCs % Split'!$A$8:$I$145,6,0)),0,VLOOKUP($A58,'HRGs to TFCs % Split'!$A$8:$I$145,8,0))</f>
        <v>3.4150992662024995E-6</v>
      </c>
      <c r="Q58" s="224">
        <f>IF(ISERROR(VLOOKUP($A58,'HRGs to TFCs % Split'!$A$8:$I$145,6,0)),0,VLOOKUP($A58,'HRGs to TFCs % Split'!$A$8:$I$145,9,0))</f>
        <v>9.8013348940011722E-4</v>
      </c>
      <c r="R58" s="225">
        <f t="shared" si="33"/>
        <v>3</v>
      </c>
      <c r="S58" s="225">
        <f t="shared" si="34"/>
        <v>187</v>
      </c>
      <c r="T58" s="225">
        <f t="shared" si="35"/>
        <v>5</v>
      </c>
      <c r="U58" s="225">
        <f t="shared" si="36"/>
        <v>1323</v>
      </c>
      <c r="V58" s="224">
        <f>IF(ISERROR(VLOOKUP($A58,'HRGs to TFCs % Split'!$A$8:$I$145,6,0)),0,VLOOKUP($A58,'HRGs to TFCs % Split'!$A$8:$I$145,6,0))</f>
        <v>2.5369308834647137E-6</v>
      </c>
      <c r="W58" s="224">
        <f>IF(ISERROR(VLOOKUP($A58,'HRGs to TFCs % Split'!$A$8:$I$145,6,0)),0,VLOOKUP($A58,'HRGs to TFCs % Split'!$A$8:$I$145,7,0))</f>
        <v>1.3836030741357555E-4</v>
      </c>
      <c r="X58" s="224">
        <f>IF(ISERROR(VLOOKUP($A58,'HRGs to TFCs % Split'!$A$8:$I$145,6,0)),0,VLOOKUP($A58,'HRGs to TFCs % Split'!$A$8:$I$145,8,0))</f>
        <v>3.4150992662024995E-6</v>
      </c>
      <c r="Y58" s="224">
        <f>IF(ISERROR(VLOOKUP($A58,'HRGs to TFCs % Split'!$A$8:$I$145,6,0)),0,VLOOKUP($A58,'HRGs to TFCs % Split'!$A$8:$I$145,9,0))</f>
        <v>9.8013348940011722E-4</v>
      </c>
      <c r="Z58" s="225">
        <f t="shared" si="13"/>
        <v>400.07686514754698</v>
      </c>
      <c r="AA58" s="225">
        <f t="shared" si="14"/>
        <v>21819.576722277758</v>
      </c>
      <c r="AB58" s="225">
        <f t="shared" si="15"/>
        <v>538.56501077554412</v>
      </c>
      <c r="AC58" s="225">
        <f t="shared" si="16"/>
        <v>154568.15809258111</v>
      </c>
      <c r="AD58" s="226">
        <f t="shared" si="17"/>
        <v>574</v>
      </c>
      <c r="AE58" s="226">
        <f t="shared" si="18"/>
        <v>24472</v>
      </c>
      <c r="AF58" s="226">
        <f t="shared" si="19"/>
        <v>758</v>
      </c>
      <c r="AG58" s="226">
        <f t="shared" si="20"/>
        <v>42237</v>
      </c>
      <c r="AH58" s="226">
        <f t="shared" si="21"/>
        <v>82260.427028571357</v>
      </c>
      <c r="AI58" s="226">
        <f t="shared" si="22"/>
        <v>3607107.0227695378</v>
      </c>
      <c r="AJ58" s="226">
        <f t="shared" si="23"/>
        <v>103223.56620767855</v>
      </c>
      <c r="AK58" s="226">
        <f t="shared" si="24"/>
        <v>5080470.7547680205</v>
      </c>
      <c r="AL58" s="227">
        <f t="shared" si="25"/>
        <v>143.31084848183164</v>
      </c>
      <c r="AM58" s="227">
        <f t="shared" si="26"/>
        <v>147.39731214324689</v>
      </c>
      <c r="AN58" s="227">
        <f t="shared" si="27"/>
        <v>136.17884723968146</v>
      </c>
      <c r="AO58" s="227">
        <f t="shared" si="28"/>
        <v>120.28483923498403</v>
      </c>
      <c r="AP58" s="228">
        <f t="shared" si="29"/>
        <v>-3.6471478851896055E-4</v>
      </c>
      <c r="AQ58" s="228">
        <f t="shared" si="30"/>
        <v>-1.6020251472003144E-3</v>
      </c>
      <c r="AR58" s="228">
        <f t="shared" si="31"/>
        <v>-1.386076094501254E-3</v>
      </c>
      <c r="AS58" s="228">
        <f t="shared" si="32"/>
        <v>-9.2748163928091376E-4</v>
      </c>
      <c r="AT58" s="227">
        <f>IF(ISERROR(VLOOKUP(A58,Mandatory!A:A,1,FALSE)),0,1)</f>
        <v>1</v>
      </c>
    </row>
    <row r="59" spans="1:46">
      <c r="A59" s="231">
        <v>258</v>
      </c>
      <c r="B59" s="222">
        <f>VLOOKUP(A59,OPATT_Activities!A:J,3,FALSE)</f>
        <v>663</v>
      </c>
      <c r="C59" s="222">
        <f>VLOOKUP(A59,OPATT_Activities!A:J,4,FALSE)</f>
        <v>11657</v>
      </c>
      <c r="D59" s="222">
        <f>VLOOKUP(A59,OPATT_Activities!A:J,5,FALSE)</f>
        <v>2185</v>
      </c>
      <c r="E59" s="222">
        <f>VLOOKUP(A59,OPATT_Activities!A:J,6,FALSE)</f>
        <v>36494</v>
      </c>
      <c r="F59" s="222">
        <f>VLOOKUP(A59,OPATT_Cost_Quantum!A:F,2,FALSE)</f>
        <v>178709.069179616</v>
      </c>
      <c r="G59" s="222">
        <f>VLOOKUP(A59,OPATT_Cost_Quantum!A:F,3,FALSE)</f>
        <v>3109924.8642068501</v>
      </c>
      <c r="H59" s="222">
        <f>VLOOKUP(A59,OPATT_Cost_Quantum!A:F,4,FALSE)</f>
        <v>408462.62492042501</v>
      </c>
      <c r="I59" s="222">
        <f>VLOOKUP(A59,OPATT_Cost_Quantum!A:F,5,FALSE)</f>
        <v>7016167.3593571903</v>
      </c>
      <c r="J59" s="223">
        <f t="shared" si="12"/>
        <v>269.54610735990349</v>
      </c>
      <c r="K59" s="223">
        <f t="shared" si="12"/>
        <v>266.78603965058335</v>
      </c>
      <c r="L59" s="223">
        <f t="shared" si="12"/>
        <v>186.93941643955378</v>
      </c>
      <c r="M59" s="223">
        <f t="shared" si="12"/>
        <v>192.25536689201485</v>
      </c>
      <c r="N59" s="224">
        <f>IF(ISERROR(VLOOKUP($A59,'HRGs to TFCs % Split'!$A$8:$I$145,6,0)),0,VLOOKUP($A59,'HRGs to TFCs % Split'!$A$8:$I$145,6,0))</f>
        <v>2.5466883099395781E-5</v>
      </c>
      <c r="O59" s="224">
        <f>IF(ISERROR(VLOOKUP($A59,'HRGs to TFCs % Split'!$A$8:$I$145,6,0)),0,VLOOKUP($A59,'HRGs to TFCs % Split'!$A$8:$I$145,7,0))</f>
        <v>2.0597927288438502E-4</v>
      </c>
      <c r="P59" s="224">
        <f>IF(ISERROR(VLOOKUP($A59,'HRGs to TFCs % Split'!$A$8:$I$145,6,0)),0,VLOOKUP($A59,'HRGs to TFCs % Split'!$A$8:$I$145,8,0))</f>
        <v>1.2733441549697892E-4</v>
      </c>
      <c r="Q59" s="224">
        <f>IF(ISERROR(VLOOKUP($A59,'HRGs to TFCs % Split'!$A$8:$I$145,6,0)),0,VLOOKUP($A59,'HRGs to TFCs % Split'!$A$8:$I$145,9,0))</f>
        <v>4.2396018033285312E-4</v>
      </c>
      <c r="R59" s="225">
        <f t="shared" si="33"/>
        <v>34</v>
      </c>
      <c r="S59" s="225">
        <f t="shared" si="34"/>
        <v>278</v>
      </c>
      <c r="T59" s="225">
        <f t="shared" si="35"/>
        <v>172</v>
      </c>
      <c r="U59" s="225">
        <f t="shared" si="36"/>
        <v>572</v>
      </c>
      <c r="V59" s="224">
        <f>IF(ISERROR(VLOOKUP($A59,'HRGs to TFCs % Split'!$A$8:$I$145,6,0)),0,VLOOKUP($A59,'HRGs to TFCs % Split'!$A$8:$I$145,6,0))</f>
        <v>2.5466883099395781E-5</v>
      </c>
      <c r="W59" s="224">
        <f>IF(ISERROR(VLOOKUP($A59,'HRGs to TFCs % Split'!$A$8:$I$145,6,0)),0,VLOOKUP($A59,'HRGs to TFCs % Split'!$A$8:$I$145,7,0))</f>
        <v>2.0597927288438502E-4</v>
      </c>
      <c r="X59" s="224">
        <f>IF(ISERROR(VLOOKUP($A59,'HRGs to TFCs % Split'!$A$8:$I$145,6,0)),0,VLOOKUP($A59,'HRGs to TFCs % Split'!$A$8:$I$145,8,0))</f>
        <v>1.2733441549697892E-4</v>
      </c>
      <c r="Y59" s="224">
        <f>IF(ISERROR(VLOOKUP($A59,'HRGs to TFCs % Split'!$A$8:$I$145,6,0)),0,VLOOKUP($A59,'HRGs to TFCs % Split'!$A$8:$I$145,9,0))</f>
        <v>4.2396018033285312E-4</v>
      </c>
      <c r="Z59" s="225">
        <f t="shared" si="13"/>
        <v>4016.156223211914</v>
      </c>
      <c r="AA59" s="225">
        <f t="shared" si="14"/>
        <v>32483.163935633525</v>
      </c>
      <c r="AB59" s="225">
        <f t="shared" si="15"/>
        <v>20080.781116059574</v>
      </c>
      <c r="AC59" s="225">
        <f t="shared" si="16"/>
        <v>66858.999194849675</v>
      </c>
      <c r="AD59" s="226">
        <f t="shared" si="17"/>
        <v>697</v>
      </c>
      <c r="AE59" s="226">
        <f t="shared" si="18"/>
        <v>11935</v>
      </c>
      <c r="AF59" s="226">
        <f t="shared" si="19"/>
        <v>2357</v>
      </c>
      <c r="AG59" s="226">
        <f t="shared" si="20"/>
        <v>37066</v>
      </c>
      <c r="AH59" s="226">
        <f t="shared" si="21"/>
        <v>182725.2254028279</v>
      </c>
      <c r="AI59" s="226">
        <f t="shared" si="22"/>
        <v>3142408.0281424834</v>
      </c>
      <c r="AJ59" s="226">
        <f t="shared" si="23"/>
        <v>428543.40603648458</v>
      </c>
      <c r="AK59" s="226">
        <f t="shared" si="24"/>
        <v>7083026.3585520396</v>
      </c>
      <c r="AL59" s="227">
        <f t="shared" si="25"/>
        <v>262.15957733547759</v>
      </c>
      <c r="AM59" s="227">
        <f t="shared" si="26"/>
        <v>263.29350885148585</v>
      </c>
      <c r="AN59" s="227">
        <f t="shared" si="27"/>
        <v>181.81731270109657</v>
      </c>
      <c r="AO59" s="227">
        <f t="shared" si="28"/>
        <v>191.09227751988453</v>
      </c>
      <c r="AP59" s="228">
        <f t="shared" si="29"/>
        <v>-2.7403586335466024E-2</v>
      </c>
      <c r="AQ59" s="228">
        <f t="shared" si="30"/>
        <v>-1.3091130269303974E-2</v>
      </c>
      <c r="AR59" s="228">
        <f t="shared" si="31"/>
        <v>-2.7399805969296143E-2</v>
      </c>
      <c r="AS59" s="228">
        <f t="shared" si="32"/>
        <v>-6.0497108139696554E-3</v>
      </c>
      <c r="AT59" s="227">
        <f>IF(ISERROR(VLOOKUP(A59,Mandatory!A:A,1,FALSE)),0,1)</f>
        <v>1</v>
      </c>
    </row>
    <row r="60" spans="1:46">
      <c r="A60" s="231">
        <v>259</v>
      </c>
      <c r="B60" s="222">
        <f>VLOOKUP(A60,OPATT_Activities!A:J,3,FALSE)</f>
        <v>432</v>
      </c>
      <c r="C60" s="222">
        <f>VLOOKUP(A60,OPATT_Activities!A:J,4,FALSE)</f>
        <v>5184</v>
      </c>
      <c r="D60" s="222">
        <f>VLOOKUP(A60,OPATT_Activities!A:J,5,FALSE)</f>
        <v>4078</v>
      </c>
      <c r="E60" s="222">
        <f>VLOOKUP(A60,OPATT_Activities!A:J,6,FALSE)</f>
        <v>32273</v>
      </c>
      <c r="F60" s="222">
        <f>VLOOKUP(A60,OPATT_Cost_Quantum!A:F,2,FALSE)</f>
        <v>37811.401759871602</v>
      </c>
      <c r="G60" s="222">
        <f>VLOOKUP(A60,OPATT_Cost_Quantum!A:F,3,FALSE)</f>
        <v>1364284.80833722</v>
      </c>
      <c r="H60" s="222">
        <f>VLOOKUP(A60,OPATT_Cost_Quantum!A:F,4,FALSE)</f>
        <v>685237.02904901805</v>
      </c>
      <c r="I60" s="222">
        <f>VLOOKUP(A60,OPATT_Cost_Quantum!A:F,5,FALSE)</f>
        <v>7125794.7037278097</v>
      </c>
      <c r="J60" s="223">
        <f t="shared" si="12"/>
        <v>87.526392962665739</v>
      </c>
      <c r="K60" s="223">
        <f t="shared" si="12"/>
        <v>263.17222383048227</v>
      </c>
      <c r="L60" s="223">
        <f t="shared" si="12"/>
        <v>168.03262114983278</v>
      </c>
      <c r="M60" s="223">
        <f t="shared" si="12"/>
        <v>220.79740661629876</v>
      </c>
      <c r="N60" s="224">
        <f>IF(ISERROR(VLOOKUP($A60,'HRGs to TFCs % Split'!$A$8:$I$145,6,0)),0,VLOOKUP($A60,'HRGs to TFCs % Split'!$A$8:$I$145,6,0))</f>
        <v>0</v>
      </c>
      <c r="O60" s="224">
        <f>IF(ISERROR(VLOOKUP($A60,'HRGs to TFCs % Split'!$A$8:$I$145,6,0)),0,VLOOKUP($A60,'HRGs to TFCs % Split'!$A$8:$I$145,7,0))</f>
        <v>3.9029705899457133E-7</v>
      </c>
      <c r="P60" s="224">
        <f>IF(ISERROR(VLOOKUP($A60,'HRGs to TFCs % Split'!$A$8:$I$145,6,0)),0,VLOOKUP($A60,'HRGs to TFCs % Split'!$A$8:$I$145,8,0))</f>
        <v>1.1708911769837141E-6</v>
      </c>
      <c r="Q60" s="224">
        <f>IF(ISERROR(VLOOKUP($A60,'HRGs to TFCs % Split'!$A$8:$I$145,6,0)),0,VLOOKUP($A60,'HRGs to TFCs % Split'!$A$8:$I$145,9,0))</f>
        <v>7.0253470619022847E-6</v>
      </c>
      <c r="R60" s="225">
        <f t="shared" si="33"/>
        <v>0</v>
      </c>
      <c r="S60" s="225">
        <f t="shared" si="34"/>
        <v>1</v>
      </c>
      <c r="T60" s="225">
        <f t="shared" si="35"/>
        <v>2</v>
      </c>
      <c r="U60" s="225">
        <f t="shared" si="36"/>
        <v>9</v>
      </c>
      <c r="V60" s="224">
        <f>IF(ISERROR(VLOOKUP($A60,'HRGs to TFCs % Split'!$A$8:$I$145,6,0)),0,VLOOKUP($A60,'HRGs to TFCs % Split'!$A$8:$I$145,6,0))</f>
        <v>0</v>
      </c>
      <c r="W60" s="224">
        <f>IF(ISERROR(VLOOKUP($A60,'HRGs to TFCs % Split'!$A$8:$I$145,6,0)),0,VLOOKUP($A60,'HRGs to TFCs % Split'!$A$8:$I$145,7,0))</f>
        <v>3.9029705899457133E-7</v>
      </c>
      <c r="X60" s="224">
        <f>IF(ISERROR(VLOOKUP($A60,'HRGs to TFCs % Split'!$A$8:$I$145,6,0)),0,VLOOKUP($A60,'HRGs to TFCs % Split'!$A$8:$I$145,8,0))</f>
        <v>1.1708911769837141E-6</v>
      </c>
      <c r="Y60" s="224">
        <f>IF(ISERROR(VLOOKUP($A60,'HRGs to TFCs % Split'!$A$8:$I$145,6,0)),0,VLOOKUP($A60,'HRGs to TFCs % Split'!$A$8:$I$145,9,0))</f>
        <v>7.0253470619022847E-6</v>
      </c>
      <c r="Z60" s="225">
        <f t="shared" si="13"/>
        <v>0</v>
      </c>
      <c r="AA60" s="225">
        <f t="shared" si="14"/>
        <v>61.550286945776456</v>
      </c>
      <c r="AB60" s="225">
        <f t="shared" si="15"/>
        <v>184.65086083732939</v>
      </c>
      <c r="AC60" s="225">
        <f t="shared" si="16"/>
        <v>1107.9051650239765</v>
      </c>
      <c r="AD60" s="226">
        <f t="shared" si="17"/>
        <v>432</v>
      </c>
      <c r="AE60" s="226">
        <f t="shared" si="18"/>
        <v>5185</v>
      </c>
      <c r="AF60" s="226">
        <f t="shared" si="19"/>
        <v>4080</v>
      </c>
      <c r="AG60" s="226">
        <f t="shared" si="20"/>
        <v>32282</v>
      </c>
      <c r="AH60" s="226">
        <f t="shared" si="21"/>
        <v>37811.401759871602</v>
      </c>
      <c r="AI60" s="226">
        <f t="shared" si="22"/>
        <v>1364346.3586241659</v>
      </c>
      <c r="AJ60" s="226">
        <f t="shared" si="23"/>
        <v>685421.67990985536</v>
      </c>
      <c r="AK60" s="226">
        <f t="shared" si="24"/>
        <v>7126902.6088928338</v>
      </c>
      <c r="AL60" s="227">
        <f t="shared" si="25"/>
        <v>87.526392962665739</v>
      </c>
      <c r="AM60" s="227">
        <f t="shared" si="26"/>
        <v>263.13333821102526</v>
      </c>
      <c r="AN60" s="227">
        <f t="shared" si="27"/>
        <v>167.99550978182728</v>
      </c>
      <c r="AO60" s="227">
        <f t="shared" si="28"/>
        <v>220.77016940997564</v>
      </c>
      <c r="AP60" s="228">
        <f t="shared" si="29"/>
        <v>0</v>
      </c>
      <c r="AQ60" s="228">
        <f t="shared" si="30"/>
        <v>-1.4775730846905422E-4</v>
      </c>
      <c r="AR60" s="228">
        <f t="shared" si="31"/>
        <v>-2.2085811523708809E-4</v>
      </c>
      <c r="AS60" s="228">
        <f t="shared" si="32"/>
        <v>-1.2335836158827718E-4</v>
      </c>
      <c r="AT60" s="227">
        <f>IF(ISERROR(VLOOKUP(A60,Mandatory!A:A,1,FALSE)),0,1)</f>
        <v>0</v>
      </c>
    </row>
    <row r="61" spans="1:46">
      <c r="A61" s="231">
        <v>260</v>
      </c>
      <c r="B61" s="222">
        <f>VLOOKUP(A61,OPATT_Activities!A:J,3,FALSE)</f>
        <v>177</v>
      </c>
      <c r="C61" s="222">
        <f>VLOOKUP(A61,OPATT_Activities!A:J,4,FALSE)</f>
        <v>2518</v>
      </c>
      <c r="D61" s="222">
        <f>VLOOKUP(A61,OPATT_Activities!A:J,5,FALSE)</f>
        <v>1962</v>
      </c>
      <c r="E61" s="222">
        <f>VLOOKUP(A61,OPATT_Activities!A:J,6,FALSE)</f>
        <v>35524</v>
      </c>
      <c r="F61" s="222">
        <f>VLOOKUP(A61,OPATT_Cost_Quantum!A:F,2,FALSE)</f>
        <v>54665.9579521868</v>
      </c>
      <c r="G61" s="222">
        <f>VLOOKUP(A61,OPATT_Cost_Quantum!A:F,3,FALSE)</f>
        <v>881716.67454286502</v>
      </c>
      <c r="H61" s="222">
        <f>VLOOKUP(A61,OPATT_Cost_Quantum!A:F,4,FALSE)</f>
        <v>499072.66944072099</v>
      </c>
      <c r="I61" s="222">
        <f>VLOOKUP(A61,OPATT_Cost_Quantum!A:F,5,FALSE)</f>
        <v>8742742.6391064599</v>
      </c>
      <c r="J61" s="223">
        <f t="shared" si="12"/>
        <v>308.84722006885198</v>
      </c>
      <c r="K61" s="223">
        <f t="shared" si="12"/>
        <v>350.1654783728614</v>
      </c>
      <c r="L61" s="223">
        <f t="shared" si="12"/>
        <v>254.36935241626961</v>
      </c>
      <c r="M61" s="223">
        <f t="shared" si="12"/>
        <v>246.10805762601228</v>
      </c>
      <c r="N61" s="224">
        <f>IF(ISERROR(VLOOKUP($A61,'HRGs to TFCs % Split'!$A$8:$I$145,6,0)),0,VLOOKUP($A61,'HRGs to TFCs % Split'!$A$8:$I$145,6,0))</f>
        <v>1.3660397064809997E-6</v>
      </c>
      <c r="O61" s="224">
        <f>IF(ISERROR(VLOOKUP($A61,'HRGs to TFCs % Split'!$A$8:$I$145,6,0)),0,VLOOKUP($A61,'HRGs to TFCs % Split'!$A$8:$I$145,7,0))</f>
        <v>1.5611882359782853E-6</v>
      </c>
      <c r="P61" s="224">
        <f>IF(ISERROR(VLOOKUP($A61,'HRGs to TFCs % Split'!$A$8:$I$145,6,0)),0,VLOOKUP($A61,'HRGs to TFCs % Split'!$A$8:$I$145,8,0))</f>
        <v>1.9514852949728567E-5</v>
      </c>
      <c r="Q61" s="224">
        <f>IF(ISERROR(VLOOKUP($A61,'HRGs to TFCs % Split'!$A$8:$I$145,6,0)),0,VLOOKUP($A61,'HRGs to TFCs % Split'!$A$8:$I$145,9,0))</f>
        <v>1.3748213903083776E-4</v>
      </c>
      <c r="R61" s="225">
        <f t="shared" si="33"/>
        <v>2</v>
      </c>
      <c r="S61" s="225">
        <f t="shared" si="34"/>
        <v>2</v>
      </c>
      <c r="T61" s="225">
        <f t="shared" si="35"/>
        <v>26</v>
      </c>
      <c r="U61" s="225">
        <f t="shared" si="36"/>
        <v>186</v>
      </c>
      <c r="V61" s="224">
        <f>IF(ISERROR(VLOOKUP($A61,'HRGs to TFCs % Split'!$A$8:$I$145,6,0)),0,VLOOKUP($A61,'HRGs to TFCs % Split'!$A$8:$I$145,6,0))</f>
        <v>1.3660397064809997E-6</v>
      </c>
      <c r="W61" s="224">
        <f>IF(ISERROR(VLOOKUP($A61,'HRGs to TFCs % Split'!$A$8:$I$145,6,0)),0,VLOOKUP($A61,'HRGs to TFCs % Split'!$A$8:$I$145,7,0))</f>
        <v>1.5611882359782853E-6</v>
      </c>
      <c r="X61" s="224">
        <f>IF(ISERROR(VLOOKUP($A61,'HRGs to TFCs % Split'!$A$8:$I$145,6,0)),0,VLOOKUP($A61,'HRGs to TFCs % Split'!$A$8:$I$145,8,0))</f>
        <v>1.9514852949728567E-5</v>
      </c>
      <c r="Y61" s="224">
        <f>IF(ISERROR(VLOOKUP($A61,'HRGs to TFCs % Split'!$A$8:$I$145,6,0)),0,VLOOKUP($A61,'HRGs to TFCs % Split'!$A$8:$I$145,9,0))</f>
        <v>1.3748213903083776E-4</v>
      </c>
      <c r="Z61" s="225">
        <f t="shared" si="13"/>
        <v>215.42600431021762</v>
      </c>
      <c r="AA61" s="225">
        <f t="shared" si="14"/>
        <v>246.20114778310582</v>
      </c>
      <c r="AB61" s="225">
        <f t="shared" si="15"/>
        <v>3077.514347288823</v>
      </c>
      <c r="AC61" s="225">
        <f t="shared" si="16"/>
        <v>21681.088576649759</v>
      </c>
      <c r="AD61" s="226">
        <f t="shared" si="17"/>
        <v>179</v>
      </c>
      <c r="AE61" s="226">
        <f t="shared" si="18"/>
        <v>2520</v>
      </c>
      <c r="AF61" s="226">
        <f t="shared" si="19"/>
        <v>1988</v>
      </c>
      <c r="AG61" s="226">
        <f t="shared" si="20"/>
        <v>35710</v>
      </c>
      <c r="AH61" s="226">
        <f t="shared" si="21"/>
        <v>54881.383956497019</v>
      </c>
      <c r="AI61" s="226">
        <f t="shared" si="22"/>
        <v>881962.8756906481</v>
      </c>
      <c r="AJ61" s="226">
        <f t="shared" si="23"/>
        <v>502150.1837880098</v>
      </c>
      <c r="AK61" s="226">
        <f t="shared" si="24"/>
        <v>8764423.7276831102</v>
      </c>
      <c r="AL61" s="227">
        <f t="shared" si="25"/>
        <v>306.59991037149172</v>
      </c>
      <c r="AM61" s="227">
        <f t="shared" si="26"/>
        <v>349.98526813120958</v>
      </c>
      <c r="AN61" s="227">
        <f t="shared" si="27"/>
        <v>252.59063570825444</v>
      </c>
      <c r="AO61" s="227">
        <f t="shared" si="28"/>
        <v>245.43331637309186</v>
      </c>
      <c r="AP61" s="228">
        <f t="shared" si="29"/>
        <v>-7.2764446345324751E-3</v>
      </c>
      <c r="AQ61" s="228">
        <f t="shared" si="30"/>
        <v>-5.1464308386195423E-4</v>
      </c>
      <c r="AR61" s="228">
        <f t="shared" si="31"/>
        <v>-6.9926533645623401E-3</v>
      </c>
      <c r="AS61" s="228">
        <f t="shared" si="32"/>
        <v>-2.7416463297832427E-3</v>
      </c>
      <c r="AT61" s="227">
        <f>IF(ISERROR(VLOOKUP(A61,Mandatory!A:A,1,FALSE)),0,1)</f>
        <v>0</v>
      </c>
    </row>
    <row r="62" spans="1:46">
      <c r="A62" s="231">
        <v>261</v>
      </c>
      <c r="B62" s="222">
        <f>VLOOKUP(A62,OPATT_Activities!A:J,3,FALSE)</f>
        <v>85</v>
      </c>
      <c r="C62" s="222">
        <f>VLOOKUP(A62,OPATT_Activities!A:J,4,FALSE)</f>
        <v>1220</v>
      </c>
      <c r="D62" s="222">
        <f>VLOOKUP(A62,OPATT_Activities!A:J,5,FALSE)</f>
        <v>726</v>
      </c>
      <c r="E62" s="222">
        <f>VLOOKUP(A62,OPATT_Activities!A:J,6,FALSE)</f>
        <v>8106</v>
      </c>
      <c r="F62" s="222">
        <f>VLOOKUP(A62,OPATT_Cost_Quantum!A:F,2,FALSE)</f>
        <v>42947.539521846098</v>
      </c>
      <c r="G62" s="222">
        <f>VLOOKUP(A62,OPATT_Cost_Quantum!A:F,3,FALSE)</f>
        <v>633543.54961469804</v>
      </c>
      <c r="H62" s="222">
        <f>VLOOKUP(A62,OPATT_Cost_Quantum!A:F,4,FALSE)</f>
        <v>442831.604672666</v>
      </c>
      <c r="I62" s="222">
        <f>VLOOKUP(A62,OPATT_Cost_Quantum!A:F,5,FALSE)</f>
        <v>3715226.1527241198</v>
      </c>
      <c r="J62" s="223">
        <f t="shared" ref="J62:J66" si="37">IF(B62=0,0,F62/B62)</f>
        <v>505.26517084524824</v>
      </c>
      <c r="K62" s="223">
        <f t="shared" ref="K62:K66" si="38">IF(C62=0,0,G62/C62)</f>
        <v>519.29799148745747</v>
      </c>
      <c r="L62" s="223">
        <f t="shared" ref="L62:L66" si="39">IF(D62=0,0,H62/D62)</f>
        <v>609.96088797887876</v>
      </c>
      <c r="M62" s="223">
        <f t="shared" ref="M62:M66" si="40">IF(E62=0,0,I62/E62)</f>
        <v>458.33039140440661</v>
      </c>
      <c r="N62" s="224">
        <f>IF(ISERROR(VLOOKUP($A62,'HRGs to TFCs % Split'!$A$8:$I$145,6,0)),0,VLOOKUP($A62,'HRGs to TFCs % Split'!$A$8:$I$145,6,0))</f>
        <v>0</v>
      </c>
      <c r="O62" s="224">
        <f>IF(ISERROR(VLOOKUP($A62,'HRGs to TFCs % Split'!$A$8:$I$145,6,0)),0,VLOOKUP($A62,'HRGs to TFCs % Split'!$A$8:$I$145,7,0))</f>
        <v>0</v>
      </c>
      <c r="P62" s="224">
        <f>IF(ISERROR(VLOOKUP($A62,'HRGs to TFCs % Split'!$A$8:$I$145,6,0)),0,VLOOKUP($A62,'HRGs to TFCs % Split'!$A$8:$I$145,8,0))</f>
        <v>0</v>
      </c>
      <c r="Q62" s="224">
        <f>IF(ISERROR(VLOOKUP($A62,'HRGs to TFCs % Split'!$A$8:$I$145,6,0)),0,VLOOKUP($A62,'HRGs to TFCs % Split'!$A$8:$I$145,9,0))</f>
        <v>0</v>
      </c>
      <c r="R62" s="225">
        <f t="shared" ref="R62" si="41">ROUND(N62*$R$3,0)</f>
        <v>0</v>
      </c>
      <c r="S62" s="225">
        <f t="shared" ref="S62" si="42">ROUND(O62*$R$3,0)</f>
        <v>0</v>
      </c>
      <c r="T62" s="225">
        <f t="shared" ref="T62" si="43">ROUND(P62*$R$3,0)</f>
        <v>0</v>
      </c>
      <c r="U62" s="225">
        <f t="shared" ref="U62" si="44">ROUND(Q62*$R$3,0)</f>
        <v>0</v>
      </c>
      <c r="V62" s="224">
        <f>IF(ISERROR(VLOOKUP($A62,'HRGs to TFCs % Split'!$A$8:$I$145,6,0)),0,VLOOKUP($A62,'HRGs to TFCs % Split'!$A$8:$I$145,6,0))</f>
        <v>0</v>
      </c>
      <c r="W62" s="224">
        <f>IF(ISERROR(VLOOKUP($A62,'HRGs to TFCs % Split'!$A$8:$I$145,6,0)),0,VLOOKUP($A62,'HRGs to TFCs % Split'!$A$8:$I$145,7,0))</f>
        <v>0</v>
      </c>
      <c r="X62" s="224">
        <f>IF(ISERROR(VLOOKUP($A62,'HRGs to TFCs % Split'!$A$8:$I$145,6,0)),0,VLOOKUP($A62,'HRGs to TFCs % Split'!$A$8:$I$145,8,0))</f>
        <v>0</v>
      </c>
      <c r="Y62" s="224">
        <f>IF(ISERROR(VLOOKUP($A62,'HRGs to TFCs % Split'!$A$8:$I$145,6,0)),0,VLOOKUP($A62,'HRGs to TFCs % Split'!$A$8:$I$145,9,0))</f>
        <v>0</v>
      </c>
      <c r="Z62" s="225">
        <f t="shared" ref="Z62" si="45">V62*$Z$3</f>
        <v>0</v>
      </c>
      <c r="AA62" s="225">
        <f t="shared" ref="AA62" si="46">W62*$Z$3</f>
        <v>0</v>
      </c>
      <c r="AB62" s="225">
        <f t="shared" ref="AB62" si="47">X62*$Z$3</f>
        <v>0</v>
      </c>
      <c r="AC62" s="225">
        <f t="shared" ref="AC62" si="48">Y62*$Z$3</f>
        <v>0</v>
      </c>
      <c r="AD62" s="226">
        <f t="shared" ref="AD62" si="49">B62+R62</f>
        <v>85</v>
      </c>
      <c r="AE62" s="226">
        <f t="shared" ref="AE62" si="50">C62+S62</f>
        <v>1220</v>
      </c>
      <c r="AF62" s="226">
        <f t="shared" ref="AF62" si="51">D62+T62</f>
        <v>726</v>
      </c>
      <c r="AG62" s="226">
        <f t="shared" ref="AG62" si="52">E62+U62</f>
        <v>8106</v>
      </c>
      <c r="AH62" s="226">
        <f t="shared" ref="AH62" si="53">F62+Z62</f>
        <v>42947.539521846098</v>
      </c>
      <c r="AI62" s="226">
        <f t="shared" ref="AI62" si="54">G62+AA62</f>
        <v>633543.54961469804</v>
      </c>
      <c r="AJ62" s="226">
        <f t="shared" ref="AJ62" si="55">H62+AB62</f>
        <v>442831.604672666</v>
      </c>
      <c r="AK62" s="226">
        <f t="shared" ref="AK62" si="56">I62+AC62</f>
        <v>3715226.1527241198</v>
      </c>
      <c r="AL62" s="227">
        <f t="shared" ref="AL62" si="57">IF(AD62=0,0,AH62/AD62)</f>
        <v>505.26517084524824</v>
      </c>
      <c r="AM62" s="227">
        <f t="shared" ref="AM62" si="58">IF(AE62=0,0,AI62/AE62)</f>
        <v>519.29799148745747</v>
      </c>
      <c r="AN62" s="227">
        <f t="shared" ref="AN62" si="59">IF(AF62=0,0,AJ62/AF62)</f>
        <v>609.96088797887876</v>
      </c>
      <c r="AO62" s="227">
        <f t="shared" ref="AO62" si="60">IF(AG62=0,0,AK62/AG62)</f>
        <v>458.33039140440661</v>
      </c>
      <c r="AP62" s="228">
        <f t="shared" ref="AP62" si="61">IF(J62=0,0,AL62/J62-1)</f>
        <v>0</v>
      </c>
      <c r="AQ62" s="228">
        <f t="shared" ref="AQ62" si="62">IF(K62=0,0,AM62/K62-1)</f>
        <v>0</v>
      </c>
      <c r="AR62" s="228">
        <f t="shared" ref="AR62" si="63">IF(L62=0,0,AN62/L62-1)</f>
        <v>0</v>
      </c>
      <c r="AS62" s="228">
        <f t="shared" ref="AS62" si="64">IF(M62=0,0,AO62/M62-1)</f>
        <v>0</v>
      </c>
      <c r="AT62" s="227">
        <f>IF(ISERROR(VLOOKUP(A62,Mandatory!A:A,1,FALSE)),0,1)</f>
        <v>0</v>
      </c>
    </row>
    <row r="63" spans="1:46">
      <c r="A63" s="231">
        <v>262</v>
      </c>
      <c r="B63" s="222">
        <f>VLOOKUP(A63,OPATT_Activities!A:J,3,FALSE)</f>
        <v>511</v>
      </c>
      <c r="C63" s="222">
        <f>VLOOKUP(A63,OPATT_Activities!A:J,4,FALSE)</f>
        <v>5652</v>
      </c>
      <c r="D63" s="222">
        <f>VLOOKUP(A63,OPATT_Activities!A:J,5,FALSE)</f>
        <v>2037</v>
      </c>
      <c r="E63" s="222">
        <f>VLOOKUP(A63,OPATT_Activities!A:J,6,FALSE)</f>
        <v>18272</v>
      </c>
      <c r="F63" s="222">
        <f>VLOOKUP(A63,OPATT_Cost_Quantum!A:F,2,FALSE)</f>
        <v>122414.900072127</v>
      </c>
      <c r="G63" s="222">
        <f>VLOOKUP(A63,OPATT_Cost_Quantum!A:F,3,FALSE)</f>
        <v>1795973.0204408099</v>
      </c>
      <c r="H63" s="222">
        <f>VLOOKUP(A63,OPATT_Cost_Quantum!A:F,4,FALSE)</f>
        <v>509665.94359727099</v>
      </c>
      <c r="I63" s="222">
        <f>VLOOKUP(A63,OPATT_Cost_Quantum!A:F,5,FALSE)</f>
        <v>3624342.8877737098</v>
      </c>
      <c r="J63" s="223">
        <f t="shared" si="37"/>
        <v>239.5594913348865</v>
      </c>
      <c r="K63" s="223">
        <f t="shared" si="38"/>
        <v>317.75885004260613</v>
      </c>
      <c r="L63" s="223">
        <f t="shared" si="39"/>
        <v>250.20419420582769</v>
      </c>
      <c r="M63" s="223">
        <f t="shared" si="40"/>
        <v>198.3550179385787</v>
      </c>
      <c r="N63" s="224">
        <f>IF(ISERROR(VLOOKUP($A63,'HRGs to TFCs % Split'!$A$8:$I$145,6,0)),0,VLOOKUP($A63,'HRGs to TFCs % Split'!$A$8:$I$145,6,0))</f>
        <v>5.1714360316780703E-6</v>
      </c>
      <c r="O63" s="224">
        <f>IF(ISERROR(VLOOKUP($A63,'HRGs to TFCs % Split'!$A$8:$I$145,6,0)),0,VLOOKUP($A63,'HRGs to TFCs % Split'!$A$8:$I$145,7,0))</f>
        <v>1.4831288241793712E-5</v>
      </c>
      <c r="P63" s="224">
        <f>IF(ISERROR(VLOOKUP($A63,'HRGs to TFCs % Split'!$A$8:$I$145,6,0)),0,VLOOKUP($A63,'HRGs to TFCs % Split'!$A$8:$I$145,8,0))</f>
        <v>3.639520075124378E-5</v>
      </c>
      <c r="Q63" s="224">
        <f>IF(ISERROR(VLOOKUP($A63,'HRGs to TFCs % Split'!$A$8:$I$145,6,0)),0,VLOOKUP($A63,'HRGs to TFCs % Split'!$A$8:$I$145,9,0))</f>
        <v>2.6149902952636283E-5</v>
      </c>
      <c r="R63" s="225">
        <f t="shared" si="33"/>
        <v>7</v>
      </c>
      <c r="S63" s="225">
        <f t="shared" si="34"/>
        <v>20</v>
      </c>
      <c r="T63" s="225">
        <f t="shared" si="35"/>
        <v>49</v>
      </c>
      <c r="U63" s="225">
        <f t="shared" si="36"/>
        <v>35</v>
      </c>
      <c r="V63" s="224">
        <f>IF(ISERROR(VLOOKUP($A63,'HRGs to TFCs % Split'!$A$8:$I$145,6,0)),0,VLOOKUP($A63,'HRGs to TFCs % Split'!$A$8:$I$145,6,0))</f>
        <v>5.1714360316780703E-6</v>
      </c>
      <c r="W63" s="224">
        <f>IF(ISERROR(VLOOKUP($A63,'HRGs to TFCs % Split'!$A$8:$I$145,6,0)),0,VLOOKUP($A63,'HRGs to TFCs % Split'!$A$8:$I$145,7,0))</f>
        <v>1.4831288241793712E-5</v>
      </c>
      <c r="X63" s="224">
        <f>IF(ISERROR(VLOOKUP($A63,'HRGs to TFCs % Split'!$A$8:$I$145,6,0)),0,VLOOKUP($A63,'HRGs to TFCs % Split'!$A$8:$I$145,8,0))</f>
        <v>3.639520075124378E-5</v>
      </c>
      <c r="Y63" s="224">
        <f>IF(ISERROR(VLOOKUP($A63,'HRGs to TFCs % Split'!$A$8:$I$145,6,0)),0,VLOOKUP($A63,'HRGs to TFCs % Split'!$A$8:$I$145,9,0))</f>
        <v>2.6149902952636283E-5</v>
      </c>
      <c r="Z63" s="225">
        <f t="shared" si="13"/>
        <v>815.54130203153807</v>
      </c>
      <c r="AA63" s="225">
        <f t="shared" si="14"/>
        <v>2338.9109039395057</v>
      </c>
      <c r="AB63" s="225">
        <f t="shared" si="15"/>
        <v>5739.5642576936552</v>
      </c>
      <c r="AC63" s="225">
        <f t="shared" si="16"/>
        <v>4123.8692253670233</v>
      </c>
      <c r="AD63" s="226">
        <f t="shared" si="17"/>
        <v>518</v>
      </c>
      <c r="AE63" s="226">
        <f t="shared" si="18"/>
        <v>5672</v>
      </c>
      <c r="AF63" s="226">
        <f t="shared" si="19"/>
        <v>2086</v>
      </c>
      <c r="AG63" s="226">
        <f t="shared" si="20"/>
        <v>18307</v>
      </c>
      <c r="AH63" s="226">
        <f t="shared" si="21"/>
        <v>123230.44137415853</v>
      </c>
      <c r="AI63" s="226">
        <f t="shared" si="22"/>
        <v>1798311.9313447494</v>
      </c>
      <c r="AJ63" s="226">
        <f t="shared" si="23"/>
        <v>515405.50785496464</v>
      </c>
      <c r="AK63" s="226">
        <f t="shared" si="24"/>
        <v>3628466.7569990768</v>
      </c>
      <c r="AL63" s="227">
        <f t="shared" si="25"/>
        <v>237.89660496941801</v>
      </c>
      <c r="AM63" s="227">
        <f t="shared" si="26"/>
        <v>317.05076363623931</v>
      </c>
      <c r="AN63" s="227">
        <f t="shared" si="27"/>
        <v>247.07838343958036</v>
      </c>
      <c r="AO63" s="227">
        <f t="shared" si="28"/>
        <v>198.20105735505965</v>
      </c>
      <c r="AP63" s="228">
        <f t="shared" si="29"/>
        <v>-6.9414338634735673E-3</v>
      </c>
      <c r="AQ63" s="228">
        <f t="shared" si="30"/>
        <v>-2.2283766644796144E-3</v>
      </c>
      <c r="AR63" s="228">
        <f t="shared" si="31"/>
        <v>-1.2493039040248566E-2</v>
      </c>
      <c r="AS63" s="228">
        <f t="shared" si="32"/>
        <v>-7.7618698593617808E-4</v>
      </c>
      <c r="AT63" s="227">
        <f>IF(ISERROR(VLOOKUP(A63,Mandatory!A:A,1,FALSE)),0,1)</f>
        <v>0</v>
      </c>
    </row>
    <row r="64" spans="1:46">
      <c r="A64" s="231">
        <v>263</v>
      </c>
      <c r="B64" s="222">
        <f>VLOOKUP(A64,OPATT_Activities!A:J,3,FALSE)</f>
        <v>334</v>
      </c>
      <c r="C64" s="222">
        <f>VLOOKUP(A64,OPATT_Activities!A:J,4,FALSE)</f>
        <v>2215</v>
      </c>
      <c r="D64" s="222">
        <f>VLOOKUP(A64,OPATT_Activities!A:J,5,FALSE)</f>
        <v>9768</v>
      </c>
      <c r="E64" s="222">
        <f>VLOOKUP(A64,OPATT_Activities!A:J,6,FALSE)</f>
        <v>42131</v>
      </c>
      <c r="F64" s="222">
        <f>VLOOKUP(A64,OPATT_Cost_Quantum!A:F,2,FALSE)</f>
        <v>44058.512998420403</v>
      </c>
      <c r="G64" s="222">
        <f>VLOOKUP(A64,OPATT_Cost_Quantum!A:F,3,FALSE)</f>
        <v>292298.30487925402</v>
      </c>
      <c r="H64" s="222">
        <f>VLOOKUP(A64,OPATT_Cost_Quantum!A:F,4,FALSE)</f>
        <v>1190405.31538253</v>
      </c>
      <c r="I64" s="222">
        <f>VLOOKUP(A64,OPATT_Cost_Quantum!A:F,5,FALSE)</f>
        <v>4449779.61620392</v>
      </c>
      <c r="J64" s="223">
        <f t="shared" si="37"/>
        <v>131.91171556413295</v>
      </c>
      <c r="K64" s="223">
        <f t="shared" si="38"/>
        <v>131.963117326977</v>
      </c>
      <c r="L64" s="223">
        <f t="shared" si="39"/>
        <v>121.86786603015254</v>
      </c>
      <c r="M64" s="223">
        <f t="shared" si="40"/>
        <v>105.61770706140182</v>
      </c>
      <c r="N64" s="224">
        <f>IF(ISERROR(VLOOKUP($A64,'HRGs to TFCs % Split'!$A$8:$I$145,6,0)),0,VLOOKUP($A64,'HRGs to TFCs % Split'!$A$8:$I$145,6,0))</f>
        <v>1.9514852949728567E-7</v>
      </c>
      <c r="O64" s="224">
        <f>IF(ISERROR(VLOOKUP($A64,'HRGs to TFCs % Split'!$A$8:$I$145,6,0)),0,VLOOKUP($A64,'HRGs to TFCs % Split'!$A$8:$I$145,7,0))</f>
        <v>3.9029705899457133E-7</v>
      </c>
      <c r="P64" s="224">
        <f>IF(ISERROR(VLOOKUP($A64,'HRGs to TFCs % Split'!$A$8:$I$145,6,0)),0,VLOOKUP($A64,'HRGs to TFCs % Split'!$A$8:$I$145,8,0))</f>
        <v>1.0635594857602069E-5</v>
      </c>
      <c r="Q64" s="224">
        <f>IF(ISERROR(VLOOKUP($A64,'HRGs to TFCs % Split'!$A$8:$I$145,6,0)),0,VLOOKUP($A64,'HRGs to TFCs % Split'!$A$8:$I$145,9,0))</f>
        <v>1.3757971329558641E-5</v>
      </c>
      <c r="R64" s="225">
        <f t="shared" si="33"/>
        <v>0</v>
      </c>
      <c r="S64" s="225">
        <f t="shared" si="34"/>
        <v>1</v>
      </c>
      <c r="T64" s="225">
        <f t="shared" si="35"/>
        <v>14</v>
      </c>
      <c r="U64" s="225">
        <f t="shared" si="36"/>
        <v>19</v>
      </c>
      <c r="V64" s="224">
        <f>IF(ISERROR(VLOOKUP($A64,'HRGs to TFCs % Split'!$A$8:$I$145,6,0)),0,VLOOKUP($A64,'HRGs to TFCs % Split'!$A$8:$I$145,6,0))</f>
        <v>1.9514852949728567E-7</v>
      </c>
      <c r="W64" s="224">
        <f>IF(ISERROR(VLOOKUP($A64,'HRGs to TFCs % Split'!$A$8:$I$145,6,0)),0,VLOOKUP($A64,'HRGs to TFCs % Split'!$A$8:$I$145,7,0))</f>
        <v>3.9029705899457133E-7</v>
      </c>
      <c r="X64" s="224">
        <f>IF(ISERROR(VLOOKUP($A64,'HRGs to TFCs % Split'!$A$8:$I$145,6,0)),0,VLOOKUP($A64,'HRGs to TFCs % Split'!$A$8:$I$145,8,0))</f>
        <v>1.0635594857602069E-5</v>
      </c>
      <c r="Y64" s="224">
        <f>IF(ISERROR(VLOOKUP($A64,'HRGs to TFCs % Split'!$A$8:$I$145,6,0)),0,VLOOKUP($A64,'HRGs to TFCs % Split'!$A$8:$I$145,9,0))</f>
        <v>1.3757971329558641E-5</v>
      </c>
      <c r="Z64" s="225">
        <f t="shared" si="13"/>
        <v>30.775143472888228</v>
      </c>
      <c r="AA64" s="225">
        <f t="shared" si="14"/>
        <v>61.550286945776456</v>
      </c>
      <c r="AB64" s="225">
        <f t="shared" si="15"/>
        <v>1677.2453192724086</v>
      </c>
      <c r="AC64" s="225">
        <f t="shared" si="16"/>
        <v>2169.6476148386205</v>
      </c>
      <c r="AD64" s="226">
        <f t="shared" si="17"/>
        <v>334</v>
      </c>
      <c r="AE64" s="226">
        <f t="shared" si="18"/>
        <v>2216</v>
      </c>
      <c r="AF64" s="226">
        <f t="shared" si="19"/>
        <v>9782</v>
      </c>
      <c r="AG64" s="226">
        <f t="shared" si="20"/>
        <v>42150</v>
      </c>
      <c r="AH64" s="226">
        <f t="shared" si="21"/>
        <v>44089.288141893288</v>
      </c>
      <c r="AI64" s="226">
        <f t="shared" si="22"/>
        <v>292359.85516619979</v>
      </c>
      <c r="AJ64" s="226">
        <f t="shared" si="23"/>
        <v>1192082.5607018024</v>
      </c>
      <c r="AK64" s="226">
        <f t="shared" si="24"/>
        <v>4451949.2638187585</v>
      </c>
      <c r="AL64" s="227">
        <f t="shared" si="25"/>
        <v>132.00385671225536</v>
      </c>
      <c r="AM64" s="227">
        <f t="shared" si="26"/>
        <v>131.93134258402517</v>
      </c>
      <c r="AN64" s="227">
        <f t="shared" si="27"/>
        <v>121.86491113287695</v>
      </c>
      <c r="AO64" s="227">
        <f t="shared" si="28"/>
        <v>105.62157209534421</v>
      </c>
      <c r="AP64" s="228">
        <f t="shared" si="29"/>
        <v>6.9850617686495475E-4</v>
      </c>
      <c r="AQ64" s="228">
        <f t="shared" si="30"/>
        <v>-2.4078502838864591E-4</v>
      </c>
      <c r="AR64" s="228">
        <f t="shared" si="31"/>
        <v>-2.4246730264798622E-5</v>
      </c>
      <c r="AS64" s="228">
        <f t="shared" si="32"/>
        <v>3.6594564017056186E-5</v>
      </c>
      <c r="AT64" s="227">
        <f>IF(ISERROR(VLOOKUP(A64,Mandatory!A:A,1,FALSE)),0,1)</f>
        <v>1</v>
      </c>
    </row>
    <row r="65" spans="1:46">
      <c r="A65" s="231">
        <v>280</v>
      </c>
      <c r="B65" s="222">
        <f>VLOOKUP(A65,OPATT_Activities!A:J,3,FALSE)</f>
        <v>0</v>
      </c>
      <c r="C65" s="222">
        <f>VLOOKUP(A65,OPATT_Activities!A:J,4,FALSE)</f>
        <v>2</v>
      </c>
      <c r="D65" s="222">
        <f>VLOOKUP(A65,OPATT_Activities!A:J,5,FALSE)</f>
        <v>0</v>
      </c>
      <c r="E65" s="222">
        <f>VLOOKUP(A65,OPATT_Activities!A:J,6,FALSE)</f>
        <v>0</v>
      </c>
      <c r="F65" s="222">
        <f>VLOOKUP(A65,OPATT_Cost_Quantum!A:F,2,FALSE)</f>
        <v>0</v>
      </c>
      <c r="G65" s="222">
        <f>VLOOKUP(A65,OPATT_Cost_Quantum!A:F,3,FALSE)</f>
        <v>2223.0940490609</v>
      </c>
      <c r="H65" s="222">
        <f>VLOOKUP(A65,OPATT_Cost_Quantum!A:F,4,FALSE)</f>
        <v>0</v>
      </c>
      <c r="I65" s="222">
        <f>VLOOKUP(A65,OPATT_Cost_Quantum!A:F,5,FALSE)</f>
        <v>0</v>
      </c>
      <c r="J65" s="223">
        <f t="shared" ref="J65" si="65">IF(B65=0,0,F65/B65)</f>
        <v>0</v>
      </c>
      <c r="K65" s="223">
        <f t="shared" ref="K65" si="66">IF(C65=0,0,G65/C65)</f>
        <v>1111.54702453045</v>
      </c>
      <c r="L65" s="223">
        <f t="shared" ref="L65" si="67">IF(D65=0,0,H65/D65)</f>
        <v>0</v>
      </c>
      <c r="M65" s="223">
        <f t="shared" ref="M65" si="68">IF(E65=0,0,I65/E65)</f>
        <v>0</v>
      </c>
      <c r="N65" s="224">
        <f>IF(ISERROR(VLOOKUP($A65,'HRGs to TFCs % Split'!$A$8:$I$145,6,0)),0,VLOOKUP($A65,'HRGs to TFCs % Split'!$A$8:$I$145,6,0))</f>
        <v>0</v>
      </c>
      <c r="O65" s="224">
        <f>IF(ISERROR(VLOOKUP($A65,'HRGs to TFCs % Split'!$A$8:$I$145,6,0)),0,VLOOKUP($A65,'HRGs to TFCs % Split'!$A$8:$I$145,7,0))</f>
        <v>0</v>
      </c>
      <c r="P65" s="224">
        <f>IF(ISERROR(VLOOKUP($A65,'HRGs to TFCs % Split'!$A$8:$I$145,6,0)),0,VLOOKUP($A65,'HRGs to TFCs % Split'!$A$8:$I$145,8,0))</f>
        <v>0</v>
      </c>
      <c r="Q65" s="224">
        <f>IF(ISERROR(VLOOKUP($A65,'HRGs to TFCs % Split'!$A$8:$I$145,6,0)),0,VLOOKUP($A65,'HRGs to TFCs % Split'!$A$8:$I$145,9,0))</f>
        <v>0</v>
      </c>
      <c r="R65" s="225">
        <f t="shared" ref="R65" si="69">ROUND(N65*$R$3,0)</f>
        <v>0</v>
      </c>
      <c r="S65" s="225">
        <f t="shared" ref="S65" si="70">ROUND(O65*$R$3,0)</f>
        <v>0</v>
      </c>
      <c r="T65" s="225">
        <f t="shared" ref="T65" si="71">ROUND(P65*$R$3,0)</f>
        <v>0</v>
      </c>
      <c r="U65" s="225">
        <f t="shared" ref="U65" si="72">ROUND(Q65*$R$3,0)</f>
        <v>0</v>
      </c>
      <c r="V65" s="224">
        <f>IF(ISERROR(VLOOKUP($A65,'HRGs to TFCs % Split'!$A$8:$I$145,6,0)),0,VLOOKUP($A65,'HRGs to TFCs % Split'!$A$8:$I$145,6,0))</f>
        <v>0</v>
      </c>
      <c r="W65" s="224">
        <f>IF(ISERROR(VLOOKUP($A65,'HRGs to TFCs % Split'!$A$8:$I$145,6,0)),0,VLOOKUP($A65,'HRGs to TFCs % Split'!$A$8:$I$145,7,0))</f>
        <v>0</v>
      </c>
      <c r="X65" s="224">
        <f>IF(ISERROR(VLOOKUP($A65,'HRGs to TFCs % Split'!$A$8:$I$145,6,0)),0,VLOOKUP($A65,'HRGs to TFCs % Split'!$A$8:$I$145,8,0))</f>
        <v>0</v>
      </c>
      <c r="Y65" s="224">
        <f>IF(ISERROR(VLOOKUP($A65,'HRGs to TFCs % Split'!$A$8:$I$145,6,0)),0,VLOOKUP($A65,'HRGs to TFCs % Split'!$A$8:$I$145,9,0))</f>
        <v>0</v>
      </c>
      <c r="Z65" s="225">
        <f t="shared" ref="Z65" si="73">V65*$Z$3</f>
        <v>0</v>
      </c>
      <c r="AA65" s="225">
        <f t="shared" ref="AA65" si="74">W65*$Z$3</f>
        <v>0</v>
      </c>
      <c r="AB65" s="225">
        <f t="shared" ref="AB65" si="75">X65*$Z$3</f>
        <v>0</v>
      </c>
      <c r="AC65" s="225">
        <f t="shared" ref="AC65" si="76">Y65*$Z$3</f>
        <v>0</v>
      </c>
      <c r="AD65" s="226">
        <f t="shared" ref="AD65" si="77">B65+R65</f>
        <v>0</v>
      </c>
      <c r="AE65" s="226">
        <f t="shared" ref="AE65" si="78">C65+S65</f>
        <v>2</v>
      </c>
      <c r="AF65" s="226">
        <f t="shared" ref="AF65" si="79">D65+T65</f>
        <v>0</v>
      </c>
      <c r="AG65" s="226">
        <f t="shared" ref="AG65" si="80">E65+U65</f>
        <v>0</v>
      </c>
      <c r="AH65" s="226">
        <f t="shared" ref="AH65" si="81">F65+Z65</f>
        <v>0</v>
      </c>
      <c r="AI65" s="226">
        <f t="shared" ref="AI65" si="82">G65+AA65</f>
        <v>2223.0940490609</v>
      </c>
      <c r="AJ65" s="226">
        <f t="shared" ref="AJ65" si="83">H65+AB65</f>
        <v>0</v>
      </c>
      <c r="AK65" s="226">
        <f t="shared" ref="AK65" si="84">I65+AC65</f>
        <v>0</v>
      </c>
      <c r="AL65" s="227">
        <f t="shared" ref="AL65" si="85">IF(AD65=0,0,AH65/AD65)</f>
        <v>0</v>
      </c>
      <c r="AM65" s="227">
        <f t="shared" ref="AM65" si="86">IF(AE65=0,0,AI65/AE65)</f>
        <v>1111.54702453045</v>
      </c>
      <c r="AN65" s="227">
        <f t="shared" ref="AN65" si="87">IF(AF65=0,0,AJ65/AF65)</f>
        <v>0</v>
      </c>
      <c r="AO65" s="227">
        <f t="shared" ref="AO65" si="88">IF(AG65=0,0,AK65/AG65)</f>
        <v>0</v>
      </c>
      <c r="AP65" s="228">
        <f t="shared" ref="AP65" si="89">IF(J65=0,0,AL65/J65-1)</f>
        <v>0</v>
      </c>
      <c r="AQ65" s="228">
        <f t="shared" ref="AQ65" si="90">IF(K65=0,0,AM65/K65-1)</f>
        <v>0</v>
      </c>
      <c r="AR65" s="228">
        <f t="shared" ref="AR65" si="91">IF(L65=0,0,AN65/L65-1)</f>
        <v>0</v>
      </c>
      <c r="AS65" s="228">
        <f t="shared" ref="AS65" si="92">IF(M65=0,0,AO65/M65-1)</f>
        <v>0</v>
      </c>
      <c r="AT65" s="227">
        <f>IF(ISERROR(VLOOKUP(A65,Mandatory!A:A,1,FALSE)),0,1)</f>
        <v>0</v>
      </c>
    </row>
    <row r="66" spans="1:46">
      <c r="A66" s="231">
        <v>290</v>
      </c>
      <c r="B66" s="222">
        <f>VLOOKUP(A66,OPATT_Activities!A:J,3,FALSE)</f>
        <v>10123</v>
      </c>
      <c r="C66" s="222">
        <f>VLOOKUP(A66,OPATT_Activities!A:J,4,FALSE)</f>
        <v>107443</v>
      </c>
      <c r="D66" s="222">
        <f>VLOOKUP(A66,OPATT_Activities!A:J,5,FALSE)</f>
        <v>16282</v>
      </c>
      <c r="E66" s="222">
        <f>VLOOKUP(A66,OPATT_Activities!A:J,6,FALSE)</f>
        <v>158522</v>
      </c>
      <c r="F66" s="222">
        <f>VLOOKUP(A66,OPATT_Cost_Quantum!A:F,2,FALSE)</f>
        <v>3591574.27913068</v>
      </c>
      <c r="G66" s="222">
        <f>VLOOKUP(A66,OPATT_Cost_Quantum!A:F,3,FALSE)</f>
        <v>34153822.9716947</v>
      </c>
      <c r="H66" s="222">
        <f>VLOOKUP(A66,OPATT_Cost_Quantum!A:F,4,FALSE)</f>
        <v>4727323.7713106098</v>
      </c>
      <c r="I66" s="222">
        <f>VLOOKUP(A66,OPATT_Cost_Quantum!A:F,5,FALSE)</f>
        <v>35778718.730887398</v>
      </c>
      <c r="J66" s="223">
        <f t="shared" si="37"/>
        <v>354.79346825354935</v>
      </c>
      <c r="K66" s="223">
        <f t="shared" si="38"/>
        <v>317.87853067854303</v>
      </c>
      <c r="L66" s="223">
        <f t="shared" si="39"/>
        <v>290.34048466469778</v>
      </c>
      <c r="M66" s="223">
        <f t="shared" si="40"/>
        <v>225.70191349394656</v>
      </c>
      <c r="N66" s="224">
        <f>IF(ISERROR(VLOOKUP($A66,'HRGs to TFCs % Split'!$A$8:$I$145,6,0)),0,VLOOKUP($A66,'HRGs to TFCs % Split'!$A$8:$I$145,6,0))</f>
        <v>2.9272279424592851E-7</v>
      </c>
      <c r="O66" s="224">
        <f>IF(ISERROR(VLOOKUP($A66,'HRGs to TFCs % Split'!$A$8:$I$145,6,0)),0,VLOOKUP($A66,'HRGs to TFCs % Split'!$A$8:$I$145,7,0))</f>
        <v>1.2245570225954676E-4</v>
      </c>
      <c r="P66" s="224">
        <f>IF(ISERROR(VLOOKUP($A66,'HRGs to TFCs % Split'!$A$8:$I$145,6,0)),0,VLOOKUP($A66,'HRGs to TFCs % Split'!$A$8:$I$145,8,0))</f>
        <v>9.7574264748642833E-8</v>
      </c>
      <c r="Q66" s="224">
        <f>IF(ISERROR(VLOOKUP($A66,'HRGs to TFCs % Split'!$A$8:$I$145,6,0)),0,VLOOKUP($A66,'HRGs to TFCs % Split'!$A$8:$I$145,9,0))</f>
        <v>3.4482745162170382E-4</v>
      </c>
      <c r="R66" s="225">
        <f t="shared" si="33"/>
        <v>0</v>
      </c>
      <c r="S66" s="225">
        <f t="shared" si="34"/>
        <v>165</v>
      </c>
      <c r="T66" s="225">
        <f t="shared" si="35"/>
        <v>0</v>
      </c>
      <c r="U66" s="225">
        <f t="shared" si="36"/>
        <v>465</v>
      </c>
      <c r="V66" s="224">
        <f>IF(ISERROR(VLOOKUP($A66,'HRGs to TFCs % Split'!$A$8:$I$145,6,0)),0,VLOOKUP($A66,'HRGs to TFCs % Split'!$A$8:$I$145,6,0))</f>
        <v>2.9272279424592851E-7</v>
      </c>
      <c r="W66" s="224">
        <f>IF(ISERROR(VLOOKUP($A66,'HRGs to TFCs % Split'!$A$8:$I$145,6,0)),0,VLOOKUP($A66,'HRGs to TFCs % Split'!$A$8:$I$145,7,0))</f>
        <v>1.2245570225954676E-4</v>
      </c>
      <c r="X66" s="224">
        <f>IF(ISERROR(VLOOKUP($A66,'HRGs to TFCs % Split'!$A$8:$I$145,6,0)),0,VLOOKUP($A66,'HRGs to TFCs % Split'!$A$8:$I$145,8,0))</f>
        <v>9.7574264748642833E-8</v>
      </c>
      <c r="Y66" s="224">
        <f>IF(ISERROR(VLOOKUP($A66,'HRGs to TFCs % Split'!$A$8:$I$145,6,0)),0,VLOOKUP($A66,'HRGs to TFCs % Split'!$A$8:$I$145,9,0))</f>
        <v>3.4482745162170382E-4</v>
      </c>
      <c r="Z66" s="225">
        <f t="shared" si="13"/>
        <v>46.162715209332347</v>
      </c>
      <c r="AA66" s="225">
        <f t="shared" si="14"/>
        <v>19311.402529237363</v>
      </c>
      <c r="AB66" s="225">
        <f t="shared" si="15"/>
        <v>15.387571736444114</v>
      </c>
      <c r="AC66" s="225">
        <f t="shared" si="16"/>
        <v>54379.678516593507</v>
      </c>
      <c r="AD66" s="226">
        <f t="shared" si="17"/>
        <v>10123</v>
      </c>
      <c r="AE66" s="226">
        <f t="shared" si="18"/>
        <v>107608</v>
      </c>
      <c r="AF66" s="226">
        <f t="shared" si="19"/>
        <v>16282</v>
      </c>
      <c r="AG66" s="226">
        <f t="shared" si="20"/>
        <v>158987</v>
      </c>
      <c r="AH66" s="226">
        <f t="shared" si="21"/>
        <v>3591620.4418458892</v>
      </c>
      <c r="AI66" s="226">
        <f t="shared" si="22"/>
        <v>34173134.37422394</v>
      </c>
      <c r="AJ66" s="226">
        <f t="shared" si="23"/>
        <v>4727339.158882346</v>
      </c>
      <c r="AK66" s="226">
        <f t="shared" si="24"/>
        <v>35833098.409403995</v>
      </c>
      <c r="AL66" s="227">
        <f t="shared" si="25"/>
        <v>354.79802843484038</v>
      </c>
      <c r="AM66" s="227">
        <f t="shared" si="26"/>
        <v>317.57057443892592</v>
      </c>
      <c r="AN66" s="227">
        <f t="shared" si="27"/>
        <v>290.34142973113535</v>
      </c>
      <c r="AO66" s="227">
        <f t="shared" si="28"/>
        <v>225.38382640973157</v>
      </c>
      <c r="AP66" s="228">
        <f t="shared" si="29"/>
        <v>1.2853058748429902E-5</v>
      </c>
      <c r="AQ66" s="228">
        <f t="shared" si="30"/>
        <v>-9.687859037216251E-4</v>
      </c>
      <c r="AR66" s="228">
        <f t="shared" si="31"/>
        <v>3.255028104831581E-6</v>
      </c>
      <c r="AS66" s="228">
        <f t="shared" si="32"/>
        <v>-1.4093238257970597E-3</v>
      </c>
      <c r="AT66" s="227">
        <f>IF(ISERROR(VLOOKUP(A66,Mandatory!A:A,1,FALSE)),0,1)</f>
        <v>0</v>
      </c>
    </row>
    <row r="67" spans="1:46">
      <c r="A67" s="231">
        <v>291</v>
      </c>
      <c r="B67" s="222">
        <f>VLOOKUP(A67,OPATT_Activities!A:J,3,FALSE)</f>
        <v>16</v>
      </c>
      <c r="C67" s="222">
        <f>VLOOKUP(A67,OPATT_Activities!A:J,4,FALSE)</f>
        <v>15214</v>
      </c>
      <c r="D67" s="222">
        <f>VLOOKUP(A67,OPATT_Activities!A:J,5,FALSE)</f>
        <v>236</v>
      </c>
      <c r="E67" s="222">
        <f>VLOOKUP(A67,OPATT_Activities!A:J,6,FALSE)</f>
        <v>45459</v>
      </c>
      <c r="F67" s="222">
        <f>VLOOKUP(A67,OPATT_Cost_Quantum!A:F,2,FALSE)</f>
        <v>2912.4569015601301</v>
      </c>
      <c r="G67" s="222">
        <f>VLOOKUP(A67,OPATT_Cost_Quantum!A:F,3,FALSE)</f>
        <v>6373479.5344000403</v>
      </c>
      <c r="H67" s="222">
        <f>VLOOKUP(A67,OPATT_Cost_Quantum!A:F,4,FALSE)</f>
        <v>91092.729215836604</v>
      </c>
      <c r="I67" s="222">
        <f>VLOOKUP(A67,OPATT_Cost_Quantum!A:F,5,FALSE)</f>
        <v>12395484.1149926</v>
      </c>
      <c r="J67" s="223">
        <f t="shared" si="12"/>
        <v>182.02855634750813</v>
      </c>
      <c r="K67" s="223">
        <f t="shared" si="12"/>
        <v>418.92201488103331</v>
      </c>
      <c r="L67" s="223">
        <f t="shared" si="12"/>
        <v>385.98614074507037</v>
      </c>
      <c r="M67" s="223">
        <f t="shared" si="12"/>
        <v>272.6739284848457</v>
      </c>
      <c r="N67" s="224">
        <f>IF(ISERROR(VLOOKUP($A67,'HRGs to TFCs % Split'!$A$8:$I$145,6,0)),0,VLOOKUP($A67,'HRGs to TFCs % Split'!$A$8:$I$145,6,0))</f>
        <v>0</v>
      </c>
      <c r="O67" s="224">
        <f>IF(ISERROR(VLOOKUP($A67,'HRGs to TFCs % Split'!$A$8:$I$145,6,0)),0,VLOOKUP($A67,'HRGs to TFCs % Split'!$A$8:$I$145,7,0))</f>
        <v>1.2684654417323569E-6</v>
      </c>
      <c r="P67" s="224">
        <f>IF(ISERROR(VLOOKUP($A67,'HRGs to TFCs % Split'!$A$8:$I$145,6,0)),0,VLOOKUP($A67,'HRGs to TFCs % Split'!$A$8:$I$145,8,0))</f>
        <v>2.9272279424592851E-7</v>
      </c>
      <c r="Q67" s="224">
        <f>IF(ISERROR(VLOOKUP($A67,'HRGs to TFCs % Split'!$A$8:$I$145,6,0)),0,VLOOKUP($A67,'HRGs to TFCs % Split'!$A$8:$I$145,9,0))</f>
        <v>2.0490595597214996E-6</v>
      </c>
      <c r="R67" s="225">
        <f t="shared" si="33"/>
        <v>0</v>
      </c>
      <c r="S67" s="225">
        <f t="shared" si="34"/>
        <v>2</v>
      </c>
      <c r="T67" s="225">
        <f t="shared" si="35"/>
        <v>0</v>
      </c>
      <c r="U67" s="225">
        <f t="shared" si="36"/>
        <v>3</v>
      </c>
      <c r="V67" s="224">
        <f>IF(ISERROR(VLOOKUP($A67,'HRGs to TFCs % Split'!$A$8:$I$145,6,0)),0,VLOOKUP($A67,'HRGs to TFCs % Split'!$A$8:$I$145,6,0))</f>
        <v>0</v>
      </c>
      <c r="W67" s="224">
        <f>IF(ISERROR(VLOOKUP($A67,'HRGs to TFCs % Split'!$A$8:$I$145,6,0)),0,VLOOKUP($A67,'HRGs to TFCs % Split'!$A$8:$I$145,7,0))</f>
        <v>1.2684654417323569E-6</v>
      </c>
      <c r="X67" s="224">
        <f>IF(ISERROR(VLOOKUP($A67,'HRGs to TFCs % Split'!$A$8:$I$145,6,0)),0,VLOOKUP($A67,'HRGs to TFCs % Split'!$A$8:$I$145,8,0))</f>
        <v>2.9272279424592851E-7</v>
      </c>
      <c r="Y67" s="224">
        <f>IF(ISERROR(VLOOKUP($A67,'HRGs to TFCs % Split'!$A$8:$I$145,6,0)),0,VLOOKUP($A67,'HRGs to TFCs % Split'!$A$8:$I$145,9,0))</f>
        <v>2.0490595597214996E-6</v>
      </c>
      <c r="Z67" s="225">
        <f t="shared" si="13"/>
        <v>0</v>
      </c>
      <c r="AA67" s="225">
        <f t="shared" si="14"/>
        <v>200.03843257377349</v>
      </c>
      <c r="AB67" s="225">
        <f t="shared" si="15"/>
        <v>46.162715209332347</v>
      </c>
      <c r="AC67" s="225">
        <f t="shared" si="16"/>
        <v>323.13900646532642</v>
      </c>
      <c r="AD67" s="226">
        <f t="shared" si="17"/>
        <v>16</v>
      </c>
      <c r="AE67" s="226">
        <f t="shared" si="18"/>
        <v>15216</v>
      </c>
      <c r="AF67" s="226">
        <f t="shared" si="19"/>
        <v>236</v>
      </c>
      <c r="AG67" s="226">
        <f t="shared" si="20"/>
        <v>45462</v>
      </c>
      <c r="AH67" s="226">
        <f t="shared" si="21"/>
        <v>2912.4569015601301</v>
      </c>
      <c r="AI67" s="226">
        <f t="shared" si="22"/>
        <v>6373679.5728326142</v>
      </c>
      <c r="AJ67" s="226">
        <f t="shared" si="23"/>
        <v>91138.891931045931</v>
      </c>
      <c r="AK67" s="226">
        <f t="shared" si="24"/>
        <v>12395807.253999066</v>
      </c>
      <c r="AL67" s="227">
        <f t="shared" si="25"/>
        <v>182.02855634750813</v>
      </c>
      <c r="AM67" s="227">
        <f t="shared" si="26"/>
        <v>418.88009810939894</v>
      </c>
      <c r="AN67" s="227">
        <f t="shared" si="27"/>
        <v>386.1817454705336</v>
      </c>
      <c r="AO67" s="227">
        <f t="shared" si="28"/>
        <v>272.66304284895222</v>
      </c>
      <c r="AP67" s="228">
        <f t="shared" si="29"/>
        <v>0</v>
      </c>
      <c r="AQ67" s="228">
        <f t="shared" si="30"/>
        <v>-1.0005865088347221E-4</v>
      </c>
      <c r="AR67" s="228">
        <f t="shared" si="31"/>
        <v>5.0676618876943635E-4</v>
      </c>
      <c r="AS67" s="228">
        <f t="shared" si="32"/>
        <v>-3.9921806804121829E-5</v>
      </c>
      <c r="AT67" s="227">
        <f>IF(ISERROR(VLOOKUP(A67,Mandatory!A:A,1,FALSE)),0,1)</f>
        <v>0</v>
      </c>
    </row>
    <row r="68" spans="1:46">
      <c r="A68" s="231">
        <v>300</v>
      </c>
      <c r="B68" s="222">
        <f>VLOOKUP(A68,OPATT_Activities!A:J,3,FALSE)</f>
        <v>8553</v>
      </c>
      <c r="C68" s="222">
        <f>VLOOKUP(A68,OPATT_Activities!A:J,4,FALSE)</f>
        <v>314363</v>
      </c>
      <c r="D68" s="222">
        <f>VLOOKUP(A68,OPATT_Activities!A:J,5,FALSE)</f>
        <v>10330</v>
      </c>
      <c r="E68" s="222">
        <f>VLOOKUP(A68,OPATT_Activities!A:J,6,FALSE)</f>
        <v>523667</v>
      </c>
      <c r="F68" s="222">
        <f>VLOOKUP(A68,OPATT_Cost_Quantum!A:F,2,FALSE)</f>
        <v>2076025.89766357</v>
      </c>
      <c r="G68" s="222">
        <f>VLOOKUP(A68,OPATT_Cost_Quantum!A:F,3,FALSE)</f>
        <v>57530391.022851601</v>
      </c>
      <c r="H68" s="222">
        <f>VLOOKUP(A68,OPATT_Cost_Quantum!A:F,4,FALSE)</f>
        <v>1881102.2518072999</v>
      </c>
      <c r="I68" s="222">
        <f>VLOOKUP(A68,OPATT_Cost_Quantum!A:F,5,FALSE)</f>
        <v>69443917.507073805</v>
      </c>
      <c r="J68" s="223">
        <f t="shared" si="12"/>
        <v>242.72487988583771</v>
      </c>
      <c r="K68" s="223">
        <f t="shared" si="12"/>
        <v>183.00624126519853</v>
      </c>
      <c r="L68" s="223">
        <f t="shared" si="12"/>
        <v>182.10089562510163</v>
      </c>
      <c r="M68" s="223">
        <f t="shared" si="12"/>
        <v>132.61083380673941</v>
      </c>
      <c r="N68" s="224">
        <f>IF(ISERROR(VLOOKUP($A68,'HRGs to TFCs % Split'!$A$8:$I$145,6,0)),0,VLOOKUP($A68,'HRGs to TFCs % Split'!$A$8:$I$145,6,0))</f>
        <v>4.2932676489402848E-5</v>
      </c>
      <c r="O68" s="224">
        <f>IF(ISERROR(VLOOKUP($A68,'HRGs to TFCs % Split'!$A$8:$I$145,6,0)),0,VLOOKUP($A68,'HRGs to TFCs % Split'!$A$8:$I$145,7,0))</f>
        <v>2.3096804208651246E-3</v>
      </c>
      <c r="P68" s="224">
        <f>IF(ISERROR(VLOOKUP($A68,'HRGs to TFCs % Split'!$A$8:$I$145,6,0)),0,VLOOKUP($A68,'HRGs to TFCs % Split'!$A$8:$I$145,8,0))</f>
        <v>4.4884161784375704E-5</v>
      </c>
      <c r="Q68" s="224">
        <f>IF(ISERROR(VLOOKUP($A68,'HRGs to TFCs % Split'!$A$8:$I$145,6,0)),0,VLOOKUP($A68,'HRGs to TFCs % Split'!$A$8:$I$145,9,0))</f>
        <v>2.4331118657721579E-3</v>
      </c>
      <c r="R68" s="225">
        <f t="shared" si="33"/>
        <v>58</v>
      </c>
      <c r="S68" s="225">
        <f t="shared" si="34"/>
        <v>3117</v>
      </c>
      <c r="T68" s="225">
        <f t="shared" si="35"/>
        <v>61</v>
      </c>
      <c r="U68" s="225">
        <f t="shared" si="36"/>
        <v>3283</v>
      </c>
      <c r="V68" s="224">
        <f>IF(ISERROR(VLOOKUP($A68,'HRGs to TFCs % Split'!$A$8:$I$145,6,0)),0,VLOOKUP($A68,'HRGs to TFCs % Split'!$A$8:$I$145,6,0))</f>
        <v>4.2932676489402848E-5</v>
      </c>
      <c r="W68" s="224">
        <f>IF(ISERROR(VLOOKUP($A68,'HRGs to TFCs % Split'!$A$8:$I$145,6,0)),0,VLOOKUP($A68,'HRGs to TFCs % Split'!$A$8:$I$145,7,0))</f>
        <v>2.3096804208651246E-3</v>
      </c>
      <c r="X68" s="224">
        <f>IF(ISERROR(VLOOKUP($A68,'HRGs to TFCs % Split'!$A$8:$I$145,6,0)),0,VLOOKUP($A68,'HRGs to TFCs % Split'!$A$8:$I$145,8,0))</f>
        <v>4.4884161784375704E-5</v>
      </c>
      <c r="Y68" s="224">
        <f>IF(ISERROR(VLOOKUP($A68,'HRGs to TFCs % Split'!$A$8:$I$145,6,0)),0,VLOOKUP($A68,'HRGs to TFCs % Split'!$A$8:$I$145,9,0))</f>
        <v>2.4331118657721579E-3</v>
      </c>
      <c r="Z68" s="225">
        <f t="shared" si="13"/>
        <v>6770.5315640354102</v>
      </c>
      <c r="AA68" s="225">
        <f t="shared" si="14"/>
        <v>364239.21057336865</v>
      </c>
      <c r="AB68" s="225">
        <f t="shared" si="15"/>
        <v>7078.2829987642926</v>
      </c>
      <c r="AC68" s="225">
        <f t="shared" si="16"/>
        <v>383704.48881997046</v>
      </c>
      <c r="AD68" s="226">
        <f t="shared" si="17"/>
        <v>8611</v>
      </c>
      <c r="AE68" s="226">
        <f t="shared" si="18"/>
        <v>317480</v>
      </c>
      <c r="AF68" s="226">
        <f t="shared" si="19"/>
        <v>10391</v>
      </c>
      <c r="AG68" s="226">
        <f t="shared" si="20"/>
        <v>526950</v>
      </c>
      <c r="AH68" s="226">
        <f t="shared" si="21"/>
        <v>2082796.4292276055</v>
      </c>
      <c r="AI68" s="226">
        <f t="shared" si="22"/>
        <v>57894630.233424969</v>
      </c>
      <c r="AJ68" s="226">
        <f t="shared" si="23"/>
        <v>1888180.5348060641</v>
      </c>
      <c r="AK68" s="226">
        <f t="shared" si="24"/>
        <v>69827621.995893776</v>
      </c>
      <c r="AL68" s="227">
        <f t="shared" si="25"/>
        <v>241.87625470068579</v>
      </c>
      <c r="AM68" s="227">
        <f t="shared" si="26"/>
        <v>182.35677911498351</v>
      </c>
      <c r="AN68" s="227">
        <f t="shared" si="27"/>
        <v>181.71307235165665</v>
      </c>
      <c r="AO68" s="227">
        <f t="shared" si="28"/>
        <v>132.51280386354262</v>
      </c>
      <c r="AP68" s="228">
        <f t="shared" si="29"/>
        <v>-3.4962430944494027E-3</v>
      </c>
      <c r="AQ68" s="228">
        <f t="shared" si="30"/>
        <v>-3.5488524638559449E-3</v>
      </c>
      <c r="AR68" s="228">
        <f t="shared" si="31"/>
        <v>-2.1297164525945211E-3</v>
      </c>
      <c r="AS68" s="228">
        <f t="shared" si="32"/>
        <v>-7.3923027540612196E-4</v>
      </c>
      <c r="AT68" s="227">
        <f>IF(ISERROR(VLOOKUP(A68,Mandatory!A:A,1,FALSE)),0,1)</f>
        <v>1</v>
      </c>
    </row>
    <row r="69" spans="1:46">
      <c r="A69" s="231">
        <v>301</v>
      </c>
      <c r="B69" s="222">
        <f>VLOOKUP(A69,OPATT_Activities!A:J,3,FALSE)</f>
        <v>4151</v>
      </c>
      <c r="C69" s="222">
        <f>VLOOKUP(A69,OPATT_Activities!A:J,4,FALSE)</f>
        <v>405402</v>
      </c>
      <c r="D69" s="222">
        <f>VLOOKUP(A69,OPATT_Activities!A:J,5,FALSE)</f>
        <v>13148</v>
      </c>
      <c r="E69" s="222">
        <f>VLOOKUP(A69,OPATT_Activities!A:J,6,FALSE)</f>
        <v>728756</v>
      </c>
      <c r="F69" s="222">
        <f>VLOOKUP(A69,OPATT_Cost_Quantum!A:F,2,FALSE)</f>
        <v>707032.478696501</v>
      </c>
      <c r="G69" s="222">
        <f>VLOOKUP(A69,OPATT_Cost_Quantum!A:F,3,FALSE)</f>
        <v>60643399.486221097</v>
      </c>
      <c r="H69" s="222">
        <f>VLOOKUP(A69,OPATT_Cost_Quantum!A:F,4,FALSE)</f>
        <v>2085987.2778838801</v>
      </c>
      <c r="I69" s="222">
        <f>VLOOKUP(A69,OPATT_Cost_Quantum!A:F,5,FALSE)</f>
        <v>79514889.096579805</v>
      </c>
      <c r="J69" s="223">
        <f t="shared" si="12"/>
        <v>170.32822902830668</v>
      </c>
      <c r="K69" s="223">
        <f t="shared" si="12"/>
        <v>149.58830860780435</v>
      </c>
      <c r="L69" s="223">
        <f t="shared" si="12"/>
        <v>158.65434118374506</v>
      </c>
      <c r="M69" s="223">
        <f t="shared" si="12"/>
        <v>109.11044176182399</v>
      </c>
      <c r="N69" s="224">
        <f>IF(ISERROR(VLOOKUP($A69,'HRGs to TFCs % Split'!$A$8:$I$145,6,0)),0,VLOOKUP($A69,'HRGs to TFCs % Split'!$A$8:$I$145,6,0))</f>
        <v>1.2099208828831711E-5</v>
      </c>
      <c r="O69" s="224">
        <f>IF(ISERROR(VLOOKUP($A69,'HRGs to TFCs % Split'!$A$8:$I$145,6,0)),0,VLOOKUP($A69,'HRGs to TFCs % Split'!$A$8:$I$145,7,0))</f>
        <v>1.7335043875243887E-3</v>
      </c>
      <c r="P69" s="224">
        <f>IF(ISERROR(VLOOKUP($A69,'HRGs to TFCs % Split'!$A$8:$I$145,6,0)),0,VLOOKUP($A69,'HRGs to TFCs % Split'!$A$8:$I$145,8,0))</f>
        <v>7.415644120896856E-6</v>
      </c>
      <c r="Q69" s="224">
        <f>IF(ISERROR(VLOOKUP($A69,'HRGs to TFCs % Split'!$A$8:$I$145,6,0)),0,VLOOKUP($A69,'HRGs to TFCs % Split'!$A$8:$I$145,9,0))</f>
        <v>1.375797132955864E-3</v>
      </c>
      <c r="R69" s="225">
        <f t="shared" si="33"/>
        <v>16</v>
      </c>
      <c r="S69" s="225">
        <f t="shared" si="34"/>
        <v>2339</v>
      </c>
      <c r="T69" s="225">
        <f t="shared" si="35"/>
        <v>10</v>
      </c>
      <c r="U69" s="225">
        <f t="shared" si="36"/>
        <v>1857</v>
      </c>
      <c r="V69" s="224">
        <f>IF(ISERROR(VLOOKUP($A69,'HRGs to TFCs % Split'!$A$8:$I$145,6,0)),0,VLOOKUP($A69,'HRGs to TFCs % Split'!$A$8:$I$145,6,0))</f>
        <v>1.2099208828831711E-5</v>
      </c>
      <c r="W69" s="224">
        <f>IF(ISERROR(VLOOKUP($A69,'HRGs to TFCs % Split'!$A$8:$I$145,6,0)),0,VLOOKUP($A69,'HRGs to TFCs % Split'!$A$8:$I$145,7,0))</f>
        <v>1.7335043875243887E-3</v>
      </c>
      <c r="X69" s="224">
        <f>IF(ISERROR(VLOOKUP($A69,'HRGs to TFCs % Split'!$A$8:$I$145,6,0)),0,VLOOKUP($A69,'HRGs to TFCs % Split'!$A$8:$I$145,8,0))</f>
        <v>7.415644120896856E-6</v>
      </c>
      <c r="Y69" s="224">
        <f>IF(ISERROR(VLOOKUP($A69,'HRGs to TFCs % Split'!$A$8:$I$145,6,0)),0,VLOOKUP($A69,'HRGs to TFCs % Split'!$A$8:$I$145,9,0))</f>
        <v>1.375797132955864E-3</v>
      </c>
      <c r="Z69" s="225">
        <f t="shared" si="13"/>
        <v>1908.0588953190702</v>
      </c>
      <c r="AA69" s="225">
        <f t="shared" si="14"/>
        <v>273375.59946966619</v>
      </c>
      <c r="AB69" s="225">
        <f t="shared" si="15"/>
        <v>1169.4554519697529</v>
      </c>
      <c r="AC69" s="225">
        <f t="shared" si="16"/>
        <v>216964.76148386204</v>
      </c>
      <c r="AD69" s="226">
        <f t="shared" si="17"/>
        <v>4167</v>
      </c>
      <c r="AE69" s="226">
        <f t="shared" si="18"/>
        <v>407741</v>
      </c>
      <c r="AF69" s="226">
        <f t="shared" si="19"/>
        <v>13158</v>
      </c>
      <c r="AG69" s="226">
        <f t="shared" si="20"/>
        <v>730613</v>
      </c>
      <c r="AH69" s="226">
        <f t="shared" si="21"/>
        <v>708940.53759182012</v>
      </c>
      <c r="AI69" s="226">
        <f t="shared" si="22"/>
        <v>60916775.085690767</v>
      </c>
      <c r="AJ69" s="226">
        <f t="shared" si="23"/>
        <v>2087156.7333358498</v>
      </c>
      <c r="AK69" s="226">
        <f t="shared" si="24"/>
        <v>79731853.858063668</v>
      </c>
      <c r="AL69" s="227">
        <f t="shared" si="25"/>
        <v>170.13211845256063</v>
      </c>
      <c r="AM69" s="227">
        <f t="shared" si="26"/>
        <v>149.40066141420846</v>
      </c>
      <c r="AN69" s="227">
        <f t="shared" si="27"/>
        <v>158.62264275238257</v>
      </c>
      <c r="AO69" s="227">
        <f t="shared" si="28"/>
        <v>109.13007824671018</v>
      </c>
      <c r="AP69" s="228">
        <f t="shared" si="29"/>
        <v>-1.1513686067472495E-3</v>
      </c>
      <c r="AQ69" s="228">
        <f t="shared" si="30"/>
        <v>-1.2544241949273838E-3</v>
      </c>
      <c r="AR69" s="228">
        <f t="shared" si="31"/>
        <v>-1.9979555003646343E-4</v>
      </c>
      <c r="AS69" s="228">
        <f t="shared" si="32"/>
        <v>1.7996888812032985E-4</v>
      </c>
      <c r="AT69" s="227">
        <f>IF(ISERROR(VLOOKUP(A69,Mandatory!A:A,1,FALSE)),0,1)</f>
        <v>1</v>
      </c>
    </row>
    <row r="70" spans="1:46">
      <c r="A70" s="231">
        <v>302</v>
      </c>
      <c r="B70" s="222">
        <f>VLOOKUP(A70,OPATT_Activities!A:J,3,FALSE)</f>
        <v>2849</v>
      </c>
      <c r="C70" s="222">
        <f>VLOOKUP(A70,OPATT_Activities!A:J,4,FALSE)</f>
        <v>109162</v>
      </c>
      <c r="D70" s="222">
        <f>VLOOKUP(A70,OPATT_Activities!A:J,5,FALSE)</f>
        <v>8866</v>
      </c>
      <c r="E70" s="222">
        <f>VLOOKUP(A70,OPATT_Activities!A:J,6,FALSE)</f>
        <v>353215</v>
      </c>
      <c r="F70" s="222">
        <f>VLOOKUP(A70,OPATT_Cost_Quantum!A:F,2,FALSE)</f>
        <v>545304.052307187</v>
      </c>
      <c r="G70" s="222">
        <f>VLOOKUP(A70,OPATT_Cost_Quantum!A:F,3,FALSE)</f>
        <v>18414757.135162398</v>
      </c>
      <c r="H70" s="222">
        <f>VLOOKUP(A70,OPATT_Cost_Quantum!A:F,4,FALSE)</f>
        <v>1383822.3331873999</v>
      </c>
      <c r="I70" s="222">
        <f>VLOOKUP(A70,OPATT_Cost_Quantum!A:F,5,FALSE)</f>
        <v>42597607.582523704</v>
      </c>
      <c r="J70" s="223">
        <f t="shared" si="12"/>
        <v>191.40191376173641</v>
      </c>
      <c r="K70" s="223">
        <f t="shared" si="12"/>
        <v>168.69200944616622</v>
      </c>
      <c r="L70" s="223">
        <f t="shared" si="12"/>
        <v>156.08192343643131</v>
      </c>
      <c r="M70" s="223">
        <f t="shared" si="12"/>
        <v>120.59965625050947</v>
      </c>
      <c r="N70" s="224">
        <f>IF(ISERROR(VLOOKUP($A70,'HRGs to TFCs % Split'!$A$8:$I$145,6,0)),0,VLOOKUP($A70,'HRGs to TFCs % Split'!$A$8:$I$145,6,0))</f>
        <v>9.4647036806183552E-6</v>
      </c>
      <c r="O70" s="224">
        <f>IF(ISERROR(VLOOKUP($A70,'HRGs to TFCs % Split'!$A$8:$I$145,6,0)),0,VLOOKUP($A70,'HRGs to TFCs % Split'!$A$8:$I$145,7,0))</f>
        <v>1.4167783241502939E-4</v>
      </c>
      <c r="P70" s="224">
        <f>IF(ISERROR(VLOOKUP($A70,'HRGs to TFCs % Split'!$A$8:$I$145,6,0)),0,VLOOKUP($A70,'HRGs to TFCs % Split'!$A$8:$I$145,8,0))</f>
        <v>1.0342872063356141E-5</v>
      </c>
      <c r="Q70" s="224">
        <f>IF(ISERROR(VLOOKUP($A70,'HRGs to TFCs % Split'!$A$8:$I$145,6,0)),0,VLOOKUP($A70,'HRGs to TFCs % Split'!$A$8:$I$145,9,0))</f>
        <v>1.2509020740776011E-4</v>
      </c>
      <c r="R70" s="225">
        <f t="shared" si="33"/>
        <v>13</v>
      </c>
      <c r="S70" s="225">
        <f t="shared" si="34"/>
        <v>191</v>
      </c>
      <c r="T70" s="225">
        <f t="shared" si="35"/>
        <v>14</v>
      </c>
      <c r="U70" s="225">
        <f t="shared" si="36"/>
        <v>169</v>
      </c>
      <c r="V70" s="224">
        <f>IF(ISERROR(VLOOKUP($A70,'HRGs to TFCs % Split'!$A$8:$I$145,6,0)),0,VLOOKUP($A70,'HRGs to TFCs % Split'!$A$8:$I$145,6,0))</f>
        <v>9.4647036806183552E-6</v>
      </c>
      <c r="W70" s="224">
        <f>IF(ISERROR(VLOOKUP($A70,'HRGs to TFCs % Split'!$A$8:$I$145,6,0)),0,VLOOKUP($A70,'HRGs to TFCs % Split'!$A$8:$I$145,7,0))</f>
        <v>1.4167783241502939E-4</v>
      </c>
      <c r="X70" s="224">
        <f>IF(ISERROR(VLOOKUP($A70,'HRGs to TFCs % Split'!$A$8:$I$145,6,0)),0,VLOOKUP($A70,'HRGs to TFCs % Split'!$A$8:$I$145,8,0))</f>
        <v>1.0342872063356141E-5</v>
      </c>
      <c r="Y70" s="224">
        <f>IF(ISERROR(VLOOKUP($A70,'HRGs to TFCs % Split'!$A$8:$I$145,6,0)),0,VLOOKUP($A70,'HRGs to TFCs % Split'!$A$8:$I$145,9,0))</f>
        <v>1.2509020740776011E-4</v>
      </c>
      <c r="Z70" s="225">
        <f t="shared" si="13"/>
        <v>1492.5944584350791</v>
      </c>
      <c r="AA70" s="225">
        <f t="shared" si="14"/>
        <v>22342.754161316854</v>
      </c>
      <c r="AB70" s="225">
        <f t="shared" si="15"/>
        <v>1631.0826040630761</v>
      </c>
      <c r="AC70" s="225">
        <f t="shared" si="16"/>
        <v>19726.866966121353</v>
      </c>
      <c r="AD70" s="226">
        <f t="shared" si="17"/>
        <v>2862</v>
      </c>
      <c r="AE70" s="226">
        <f t="shared" si="18"/>
        <v>109353</v>
      </c>
      <c r="AF70" s="226">
        <f t="shared" si="19"/>
        <v>8880</v>
      </c>
      <c r="AG70" s="226">
        <f t="shared" si="20"/>
        <v>353384</v>
      </c>
      <c r="AH70" s="226">
        <f t="shared" si="21"/>
        <v>546796.64676562208</v>
      </c>
      <c r="AI70" s="226">
        <f t="shared" si="22"/>
        <v>18437099.889323715</v>
      </c>
      <c r="AJ70" s="226">
        <f t="shared" si="23"/>
        <v>1385453.4157914629</v>
      </c>
      <c r="AK70" s="226">
        <f t="shared" si="24"/>
        <v>42617334.449489824</v>
      </c>
      <c r="AL70" s="227">
        <f t="shared" si="25"/>
        <v>191.05403450930191</v>
      </c>
      <c r="AM70" s="227">
        <f t="shared" si="26"/>
        <v>168.60168344100038</v>
      </c>
      <c r="AN70" s="227">
        <f t="shared" si="27"/>
        <v>156.01952880534492</v>
      </c>
      <c r="AO70" s="227">
        <f t="shared" si="28"/>
        <v>120.5978042285158</v>
      </c>
      <c r="AP70" s="228">
        <f t="shared" si="29"/>
        <v>-1.8175327800930008E-3</v>
      </c>
      <c r="AQ70" s="228">
        <f t="shared" si="30"/>
        <v>-5.354492217052309E-4</v>
      </c>
      <c r="AR70" s="228">
        <f t="shared" si="31"/>
        <v>-3.9975565211303188E-4</v>
      </c>
      <c r="AS70" s="228">
        <f t="shared" si="32"/>
        <v>-1.5356776721042742E-5</v>
      </c>
      <c r="AT70" s="227">
        <f>IF(ISERROR(VLOOKUP(A70,Mandatory!A:A,1,FALSE)),0,1)</f>
        <v>1</v>
      </c>
    </row>
    <row r="71" spans="1:46">
      <c r="A71" s="231">
        <v>303</v>
      </c>
      <c r="B71" s="222">
        <f>VLOOKUP(A71,OPATT_Activities!A:J,3,FALSE)</f>
        <v>4861</v>
      </c>
      <c r="C71" s="222">
        <f>VLOOKUP(A71,OPATT_Activities!A:J,4,FALSE)</f>
        <v>169417</v>
      </c>
      <c r="D71" s="222">
        <f>VLOOKUP(A71,OPATT_Activities!A:J,5,FALSE)</f>
        <v>42753</v>
      </c>
      <c r="E71" s="222">
        <f>VLOOKUP(A71,OPATT_Activities!A:J,6,FALSE)</f>
        <v>1068187</v>
      </c>
      <c r="F71" s="222">
        <f>VLOOKUP(A71,OPATT_Cost_Quantum!A:F,2,FALSE)</f>
        <v>1514329.5982516799</v>
      </c>
      <c r="G71" s="222">
        <f>VLOOKUP(A71,OPATT_Cost_Quantum!A:F,3,FALSE)</f>
        <v>32773391.130296599</v>
      </c>
      <c r="H71" s="222">
        <f>VLOOKUP(A71,OPATT_Cost_Quantum!A:F,4,FALSE)</f>
        <v>10621093.5337054</v>
      </c>
      <c r="I71" s="222">
        <f>VLOOKUP(A71,OPATT_Cost_Quantum!A:F,5,FALSE)</f>
        <v>152027064.75644001</v>
      </c>
      <c r="J71" s="223">
        <f t="shared" si="12"/>
        <v>311.52635224268255</v>
      </c>
      <c r="K71" s="223">
        <f t="shared" si="12"/>
        <v>193.44806678371472</v>
      </c>
      <c r="L71" s="223">
        <f t="shared" si="12"/>
        <v>248.42919873939607</v>
      </c>
      <c r="M71" s="223">
        <f t="shared" si="12"/>
        <v>142.32251914359566</v>
      </c>
      <c r="N71" s="224">
        <f>IF(ISERROR(VLOOKUP($A71,'HRGs to TFCs % Split'!$A$8:$I$145,6,0)),0,VLOOKUP($A71,'HRGs to TFCs % Split'!$A$8:$I$145,6,0))</f>
        <v>1.5709456624531496E-5</v>
      </c>
      <c r="O71" s="224">
        <f>IF(ISERROR(VLOOKUP($A71,'HRGs to TFCs % Split'!$A$8:$I$145,6,0)),0,VLOOKUP($A71,'HRGs to TFCs % Split'!$A$8:$I$145,7,0))</f>
        <v>2.0324719347142303E-4</v>
      </c>
      <c r="P71" s="224">
        <f>IF(ISERROR(VLOOKUP($A71,'HRGs to TFCs % Split'!$A$8:$I$145,6,0)),0,VLOOKUP($A71,'HRGs to TFCs % Split'!$A$8:$I$145,8,0))</f>
        <v>2.7525700085592145E-4</v>
      </c>
      <c r="Q71" s="224">
        <f>IF(ISERROR(VLOOKUP($A71,'HRGs to TFCs % Split'!$A$8:$I$145,6,0)),0,VLOOKUP($A71,'HRGs to TFCs % Split'!$A$8:$I$145,9,0))</f>
        <v>4.6776126777851893E-3</v>
      </c>
      <c r="R71" s="225">
        <f t="shared" si="33"/>
        <v>21</v>
      </c>
      <c r="S71" s="225">
        <f t="shared" si="34"/>
        <v>274</v>
      </c>
      <c r="T71" s="225">
        <f t="shared" si="35"/>
        <v>371</v>
      </c>
      <c r="U71" s="225">
        <f t="shared" si="36"/>
        <v>6312</v>
      </c>
      <c r="V71" s="224">
        <f>IF(ISERROR(VLOOKUP($A71,'HRGs to TFCs % Split'!$A$8:$I$145,6,0)),0,VLOOKUP($A71,'HRGs to TFCs % Split'!$A$8:$I$145,6,0))</f>
        <v>1.5709456624531496E-5</v>
      </c>
      <c r="W71" s="224">
        <f>IF(ISERROR(VLOOKUP($A71,'HRGs to TFCs % Split'!$A$8:$I$145,6,0)),0,VLOOKUP($A71,'HRGs to TFCs % Split'!$A$8:$I$145,7,0))</f>
        <v>2.0324719347142303E-4</v>
      </c>
      <c r="X71" s="224">
        <f>IF(ISERROR(VLOOKUP($A71,'HRGs to TFCs % Split'!$A$8:$I$145,6,0)),0,VLOOKUP($A71,'HRGs to TFCs % Split'!$A$8:$I$145,8,0))</f>
        <v>2.7525700085592145E-4</v>
      </c>
      <c r="Y71" s="224">
        <f>IF(ISERROR(VLOOKUP($A71,'HRGs to TFCs % Split'!$A$8:$I$145,6,0)),0,VLOOKUP($A71,'HRGs to TFCs % Split'!$A$8:$I$145,9,0))</f>
        <v>4.6776126777851893E-3</v>
      </c>
      <c r="Z71" s="225">
        <f t="shared" si="13"/>
        <v>2477.3990495675025</v>
      </c>
      <c r="AA71" s="225">
        <f t="shared" si="14"/>
        <v>32052.311927013092</v>
      </c>
      <c r="AB71" s="225">
        <f t="shared" si="15"/>
        <v>43408.339868508847</v>
      </c>
      <c r="AC71" s="225">
        <f t="shared" si="16"/>
        <v>737664.8014733945</v>
      </c>
      <c r="AD71" s="226">
        <f t="shared" si="17"/>
        <v>4882</v>
      </c>
      <c r="AE71" s="226">
        <f t="shared" si="18"/>
        <v>169691</v>
      </c>
      <c r="AF71" s="226">
        <f t="shared" si="19"/>
        <v>43124</v>
      </c>
      <c r="AG71" s="226">
        <f t="shared" si="20"/>
        <v>1074499</v>
      </c>
      <c r="AH71" s="226">
        <f t="shared" si="21"/>
        <v>1516806.9973012474</v>
      </c>
      <c r="AI71" s="226">
        <f t="shared" si="22"/>
        <v>32805443.442223612</v>
      </c>
      <c r="AJ71" s="226">
        <f t="shared" si="23"/>
        <v>10664501.873573909</v>
      </c>
      <c r="AK71" s="226">
        <f t="shared" si="24"/>
        <v>152764729.55791342</v>
      </c>
      <c r="AL71" s="227">
        <f t="shared" si="25"/>
        <v>310.69377249103798</v>
      </c>
      <c r="AM71" s="227">
        <f t="shared" si="26"/>
        <v>193.32459259609297</v>
      </c>
      <c r="AN71" s="227">
        <f t="shared" si="27"/>
        <v>247.29853152708256</v>
      </c>
      <c r="AO71" s="227">
        <f t="shared" si="28"/>
        <v>142.17298439357637</v>
      </c>
      <c r="AP71" s="228">
        <f t="shared" si="29"/>
        <v>-2.6725820966695402E-3</v>
      </c>
      <c r="AQ71" s="228">
        <f t="shared" si="30"/>
        <v>-6.3828080411787447E-4</v>
      </c>
      <c r="AR71" s="228">
        <f t="shared" si="31"/>
        <v>-4.5512653828569949E-3</v>
      </c>
      <c r="AS71" s="228">
        <f t="shared" si="32"/>
        <v>-1.0506752615052628E-3</v>
      </c>
      <c r="AT71" s="227">
        <f>IF(ISERROR(VLOOKUP(A71,Mandatory!A:A,1,FALSE)),0,1)</f>
        <v>1</v>
      </c>
    </row>
    <row r="72" spans="1:46">
      <c r="A72" s="231">
        <v>304</v>
      </c>
      <c r="B72" s="222">
        <f>VLOOKUP(A72,OPATT_Activities!A:J,3,FALSE)</f>
        <v>0</v>
      </c>
      <c r="C72" s="222">
        <f>VLOOKUP(A72,OPATT_Activities!A:J,4,FALSE)</f>
        <v>21313</v>
      </c>
      <c r="D72" s="222">
        <f>VLOOKUP(A72,OPATT_Activities!A:J,5,FALSE)</f>
        <v>0</v>
      </c>
      <c r="E72" s="222">
        <f>VLOOKUP(A72,OPATT_Activities!A:J,6,FALSE)</f>
        <v>14992</v>
      </c>
      <c r="F72" s="222">
        <f>VLOOKUP(A72,OPATT_Cost_Quantum!A:F,2,FALSE)</f>
        <v>0</v>
      </c>
      <c r="G72" s="222">
        <f>VLOOKUP(A72,OPATT_Cost_Quantum!A:F,3,FALSE)</f>
        <v>1862994.6897961199</v>
      </c>
      <c r="H72" s="222">
        <f>VLOOKUP(A72,OPATT_Cost_Quantum!A:F,4,FALSE)</f>
        <v>0</v>
      </c>
      <c r="I72" s="222">
        <f>VLOOKUP(A72,OPATT_Cost_Quantum!A:F,5,FALSE)</f>
        <v>1471593.5726981401</v>
      </c>
      <c r="J72" s="223">
        <f t="shared" si="12"/>
        <v>0</v>
      </c>
      <c r="K72" s="223">
        <f t="shared" si="12"/>
        <v>87.411189874542288</v>
      </c>
      <c r="L72" s="223">
        <f t="shared" si="12"/>
        <v>0</v>
      </c>
      <c r="M72" s="223">
        <f t="shared" si="12"/>
        <v>98.158589427570703</v>
      </c>
      <c r="N72" s="224">
        <f>IF(ISERROR(VLOOKUP($A72,'HRGs to TFCs % Split'!$A$8:$I$145,6,0)),0,VLOOKUP($A72,'HRGs to TFCs % Split'!$A$8:$I$145,6,0))</f>
        <v>8.1767233859362693E-5</v>
      </c>
      <c r="O72" s="224">
        <f>IF(ISERROR(VLOOKUP($A72,'HRGs to TFCs % Split'!$A$8:$I$145,6,0)),0,VLOOKUP($A72,'HRGs to TFCs % Split'!$A$8:$I$145,7,0))</f>
        <v>6.8061952632768328E-3</v>
      </c>
      <c r="P72" s="224">
        <f>IF(ISERROR(VLOOKUP($A72,'HRGs to TFCs % Split'!$A$8:$I$145,6,0)),0,VLOOKUP($A72,'HRGs to TFCs % Split'!$A$8:$I$145,8,0))</f>
        <v>6.4399014734104268E-5</v>
      </c>
      <c r="Q72" s="224">
        <f>IF(ISERROR(VLOOKUP($A72,'HRGs to TFCs % Split'!$A$8:$I$145,6,0)),0,VLOOKUP($A72,'HRGs to TFCs % Split'!$A$8:$I$145,9,0))</f>
        <v>4.6700994593995432E-3</v>
      </c>
      <c r="R72" s="225">
        <f t="shared" si="33"/>
        <v>110</v>
      </c>
      <c r="S72" s="225">
        <f t="shared" si="34"/>
        <v>9185</v>
      </c>
      <c r="T72" s="225">
        <f t="shared" si="35"/>
        <v>87</v>
      </c>
      <c r="U72" s="225">
        <f t="shared" si="36"/>
        <v>6302</v>
      </c>
      <c r="V72" s="224">
        <f>IF(ISERROR(VLOOKUP($A72,'HRGs to TFCs % Split'!$A$8:$I$145,6,0)),0,VLOOKUP($A72,'HRGs to TFCs % Split'!$A$8:$I$145,6,0))</f>
        <v>8.1767233859362693E-5</v>
      </c>
      <c r="W72" s="224">
        <f>IF(ISERROR(VLOOKUP($A72,'HRGs to TFCs % Split'!$A$8:$I$145,6,0)),0,VLOOKUP($A72,'HRGs to TFCs % Split'!$A$8:$I$145,7,0))</f>
        <v>6.8061952632768328E-3</v>
      </c>
      <c r="X72" s="224">
        <f>IF(ISERROR(VLOOKUP($A72,'HRGs to TFCs % Split'!$A$8:$I$145,6,0)),0,VLOOKUP($A72,'HRGs to TFCs % Split'!$A$8:$I$145,8,0))</f>
        <v>6.4399014734104268E-5</v>
      </c>
      <c r="Y72" s="224">
        <f>IF(ISERROR(VLOOKUP($A72,'HRGs to TFCs % Split'!$A$8:$I$145,6,0)),0,VLOOKUP($A72,'HRGs to TFCs % Split'!$A$8:$I$145,9,0))</f>
        <v>4.6700994593995432E-3</v>
      </c>
      <c r="Z72" s="225">
        <f t="shared" si="13"/>
        <v>12894.785115140168</v>
      </c>
      <c r="AA72" s="225">
        <f t="shared" si="14"/>
        <v>1073344.6789039229</v>
      </c>
      <c r="AB72" s="225">
        <f t="shared" si="15"/>
        <v>10155.797346053116</v>
      </c>
      <c r="AC72" s="225">
        <f t="shared" si="16"/>
        <v>736479.95844968816</v>
      </c>
      <c r="AD72" s="226">
        <f t="shared" si="17"/>
        <v>110</v>
      </c>
      <c r="AE72" s="226">
        <f t="shared" si="18"/>
        <v>30498</v>
      </c>
      <c r="AF72" s="226">
        <f t="shared" si="19"/>
        <v>87</v>
      </c>
      <c r="AG72" s="226">
        <f t="shared" si="20"/>
        <v>21294</v>
      </c>
      <c r="AH72" s="226">
        <f t="shared" si="21"/>
        <v>12894.785115140168</v>
      </c>
      <c r="AI72" s="226">
        <f t="shared" si="22"/>
        <v>2936339.3687000428</v>
      </c>
      <c r="AJ72" s="226">
        <f t="shared" si="23"/>
        <v>10155.797346053116</v>
      </c>
      <c r="AK72" s="226">
        <f t="shared" si="24"/>
        <v>2208073.5311478283</v>
      </c>
      <c r="AL72" s="227">
        <f t="shared" si="25"/>
        <v>117.22531922854698</v>
      </c>
      <c r="AM72" s="227">
        <f t="shared" si="26"/>
        <v>96.279735349860417</v>
      </c>
      <c r="AN72" s="227">
        <f t="shared" si="27"/>
        <v>116.73330282819673</v>
      </c>
      <c r="AO72" s="227">
        <f t="shared" si="28"/>
        <v>103.69463375353753</v>
      </c>
      <c r="AP72" s="228">
        <f t="shared" si="29"/>
        <v>0</v>
      </c>
      <c r="AQ72" s="228">
        <f t="shared" si="30"/>
        <v>0.10145778232794678</v>
      </c>
      <c r="AR72" s="228">
        <f t="shared" si="31"/>
        <v>0</v>
      </c>
      <c r="AS72" s="228">
        <f t="shared" si="32"/>
        <v>5.6398980040883284E-2</v>
      </c>
      <c r="AT72" s="227">
        <f>IF(ISERROR(VLOOKUP(A72,Mandatory!A:A,1,FALSE)),0,1)</f>
        <v>0</v>
      </c>
    </row>
    <row r="73" spans="1:46">
      <c r="A73" s="231">
        <v>305</v>
      </c>
      <c r="B73" s="222">
        <f>VLOOKUP(A73,OPATT_Activities!A:J,3,FALSE)</f>
        <v>0</v>
      </c>
      <c r="C73" s="222">
        <f>VLOOKUP(A73,OPATT_Activities!A:J,4,FALSE)</f>
        <v>2063</v>
      </c>
      <c r="D73" s="222">
        <f>VLOOKUP(A73,OPATT_Activities!A:J,5,FALSE)</f>
        <v>0</v>
      </c>
      <c r="E73" s="222">
        <f>VLOOKUP(A73,OPATT_Activities!A:J,6,FALSE)</f>
        <v>10358</v>
      </c>
      <c r="F73" s="222">
        <f>VLOOKUP(A73,OPATT_Cost_Quantum!A:F,2,FALSE)</f>
        <v>0</v>
      </c>
      <c r="G73" s="222">
        <f>VLOOKUP(A73,OPATT_Cost_Quantum!A:F,3,FALSE)</f>
        <v>251735.12354694301</v>
      </c>
      <c r="H73" s="222">
        <f>VLOOKUP(A73,OPATT_Cost_Quantum!A:F,4,FALSE)</f>
        <v>0</v>
      </c>
      <c r="I73" s="222">
        <f>VLOOKUP(A73,OPATT_Cost_Quantum!A:F,5,FALSE)</f>
        <v>1296251.91372256</v>
      </c>
      <c r="J73" s="223">
        <f t="shared" si="12"/>
        <v>0</v>
      </c>
      <c r="K73" s="223">
        <f t="shared" si="12"/>
        <v>122.02381170477121</v>
      </c>
      <c r="L73" s="223">
        <f t="shared" si="12"/>
        <v>0</v>
      </c>
      <c r="M73" s="223">
        <f t="shared" si="12"/>
        <v>125.14500035938985</v>
      </c>
      <c r="N73" s="224">
        <f>IF(ISERROR(VLOOKUP($A73,'HRGs to TFCs % Split'!$A$8:$I$145,6,0)),0,VLOOKUP($A73,'HRGs to TFCs % Split'!$A$8:$I$145,6,0))</f>
        <v>0</v>
      </c>
      <c r="O73" s="224">
        <f>IF(ISERROR(VLOOKUP($A73,'HRGs to TFCs % Split'!$A$8:$I$145,6,0)),0,VLOOKUP($A73,'HRGs to TFCs % Split'!$A$8:$I$145,7,0))</f>
        <v>2.536930883464714E-5</v>
      </c>
      <c r="P73" s="224">
        <f>IF(ISERROR(VLOOKUP($A73,'HRGs to TFCs % Split'!$A$8:$I$145,6,0)),0,VLOOKUP($A73,'HRGs to TFCs % Split'!$A$8:$I$145,8,0))</f>
        <v>0</v>
      </c>
      <c r="Q73" s="224">
        <f>IF(ISERROR(VLOOKUP($A73,'HRGs to TFCs % Split'!$A$8:$I$145,6,0)),0,VLOOKUP($A73,'HRGs to TFCs % Split'!$A$8:$I$145,9,0))</f>
        <v>1.7914635007850826E-4</v>
      </c>
      <c r="R73" s="225">
        <f t="shared" si="33"/>
        <v>0</v>
      </c>
      <c r="S73" s="225">
        <f t="shared" si="34"/>
        <v>34</v>
      </c>
      <c r="T73" s="225">
        <f t="shared" si="35"/>
        <v>0</v>
      </c>
      <c r="U73" s="225">
        <f t="shared" si="36"/>
        <v>242</v>
      </c>
      <c r="V73" s="224">
        <f>IF(ISERROR(VLOOKUP($A73,'HRGs to TFCs % Split'!$A$8:$I$145,6,0)),0,VLOOKUP($A73,'HRGs to TFCs % Split'!$A$8:$I$145,6,0))</f>
        <v>0</v>
      </c>
      <c r="W73" s="224">
        <f>IF(ISERROR(VLOOKUP($A73,'HRGs to TFCs % Split'!$A$8:$I$145,6,0)),0,VLOOKUP($A73,'HRGs to TFCs % Split'!$A$8:$I$145,7,0))</f>
        <v>2.536930883464714E-5</v>
      </c>
      <c r="X73" s="224">
        <f>IF(ISERROR(VLOOKUP($A73,'HRGs to TFCs % Split'!$A$8:$I$145,6,0)),0,VLOOKUP($A73,'HRGs to TFCs % Split'!$A$8:$I$145,8,0))</f>
        <v>0</v>
      </c>
      <c r="Y73" s="224">
        <f>IF(ISERROR(VLOOKUP($A73,'HRGs to TFCs % Split'!$A$8:$I$145,6,0)),0,VLOOKUP($A73,'HRGs to TFCs % Split'!$A$8:$I$145,9,0))</f>
        <v>1.7914635007850826E-4</v>
      </c>
      <c r="Z73" s="225">
        <f t="shared" si="13"/>
        <v>0</v>
      </c>
      <c r="AA73" s="225">
        <f t="shared" si="14"/>
        <v>4000.7686514754705</v>
      </c>
      <c r="AB73" s="225">
        <f t="shared" si="15"/>
        <v>0</v>
      </c>
      <c r="AC73" s="225">
        <f t="shared" si="16"/>
        <v>28251.581708111396</v>
      </c>
      <c r="AD73" s="226">
        <f t="shared" si="17"/>
        <v>0</v>
      </c>
      <c r="AE73" s="226">
        <f t="shared" si="18"/>
        <v>2097</v>
      </c>
      <c r="AF73" s="226">
        <f t="shared" si="19"/>
        <v>0</v>
      </c>
      <c r="AG73" s="226">
        <f t="shared" si="20"/>
        <v>10600</v>
      </c>
      <c r="AH73" s="226">
        <f t="shared" si="21"/>
        <v>0</v>
      </c>
      <c r="AI73" s="226">
        <f t="shared" si="22"/>
        <v>255735.89219841847</v>
      </c>
      <c r="AJ73" s="226">
        <f t="shared" si="23"/>
        <v>0</v>
      </c>
      <c r="AK73" s="226">
        <f t="shared" si="24"/>
        <v>1324503.4954306714</v>
      </c>
      <c r="AL73" s="227">
        <f t="shared" si="25"/>
        <v>0</v>
      </c>
      <c r="AM73" s="227">
        <f t="shared" si="26"/>
        <v>121.95321516376656</v>
      </c>
      <c r="AN73" s="227">
        <f t="shared" si="27"/>
        <v>0</v>
      </c>
      <c r="AO73" s="227">
        <f t="shared" si="28"/>
        <v>124.95315994628976</v>
      </c>
      <c r="AP73" s="228">
        <f t="shared" si="29"/>
        <v>0</v>
      </c>
      <c r="AQ73" s="228">
        <f t="shared" si="30"/>
        <v>-5.785472525268176E-4</v>
      </c>
      <c r="AR73" s="228">
        <f t="shared" si="31"/>
        <v>0</v>
      </c>
      <c r="AS73" s="228">
        <f t="shared" si="32"/>
        <v>-1.5329450840958492E-3</v>
      </c>
      <c r="AT73" s="227">
        <f>IF(ISERROR(VLOOKUP(A73,Mandatory!A:A,1,FALSE)),0,1)</f>
        <v>0</v>
      </c>
    </row>
    <row r="74" spans="1:46">
      <c r="A74" s="231">
        <v>306</v>
      </c>
      <c r="B74" s="222">
        <f>VLOOKUP(A74,OPATT_Activities!A:J,3,FALSE)</f>
        <v>2607</v>
      </c>
      <c r="C74" s="222">
        <f>VLOOKUP(A74,OPATT_Activities!A:J,4,FALSE)</f>
        <v>31448</v>
      </c>
      <c r="D74" s="222">
        <f>VLOOKUP(A74,OPATT_Activities!A:J,5,FALSE)</f>
        <v>14712</v>
      </c>
      <c r="E74" s="222">
        <f>VLOOKUP(A74,OPATT_Activities!A:J,6,FALSE)</f>
        <v>129977</v>
      </c>
      <c r="F74" s="222">
        <f>VLOOKUP(A74,OPATT_Cost_Quantum!A:F,2,FALSE)</f>
        <v>732011.96139574598</v>
      </c>
      <c r="G74" s="222">
        <f>VLOOKUP(A74,OPATT_Cost_Quantum!A:F,3,FALSE)</f>
        <v>6059471.5240565604</v>
      </c>
      <c r="H74" s="222">
        <f>VLOOKUP(A74,OPATT_Cost_Quantum!A:F,4,FALSE)</f>
        <v>3129102.4925816501</v>
      </c>
      <c r="I74" s="222">
        <f>VLOOKUP(A74,OPATT_Cost_Quantum!A:F,5,FALSE)</f>
        <v>20604781.965407699</v>
      </c>
      <c r="J74" s="223">
        <f t="shared" ref="J74:M119" si="93">IF(B74=0,0,F74/B74)</f>
        <v>280.78709681463215</v>
      </c>
      <c r="K74" s="223">
        <f t="shared" si="93"/>
        <v>192.68225400841263</v>
      </c>
      <c r="L74" s="223">
        <f t="shared" si="93"/>
        <v>212.69049025160754</v>
      </c>
      <c r="M74" s="223">
        <f t="shared" si="93"/>
        <v>158.52636978394409</v>
      </c>
      <c r="N74" s="224">
        <f>IF(ISERROR(VLOOKUP($A74,'HRGs to TFCs % Split'!$A$8:$I$145,6,0)),0,VLOOKUP($A74,'HRGs to TFCs % Split'!$A$8:$I$145,6,0))</f>
        <v>1.3660397064809997E-6</v>
      </c>
      <c r="O74" s="224">
        <f>IF(ISERROR(VLOOKUP($A74,'HRGs to TFCs % Split'!$A$8:$I$145,6,0)),0,VLOOKUP($A74,'HRGs to TFCs % Split'!$A$8:$I$145,7,0))</f>
        <v>3.9615151487948995E-5</v>
      </c>
      <c r="P74" s="224">
        <f>IF(ISERROR(VLOOKUP($A74,'HRGs to TFCs % Split'!$A$8:$I$145,6,0)),0,VLOOKUP($A74,'HRGs to TFCs % Split'!$A$8:$I$145,8,0))</f>
        <v>1.7075496331012499E-5</v>
      </c>
      <c r="Q74" s="224">
        <f>IF(ISERROR(VLOOKUP($A74,'HRGs to TFCs % Split'!$A$8:$I$145,6,0)),0,VLOOKUP($A74,'HRGs to TFCs % Split'!$A$8:$I$145,9,0))</f>
        <v>5.6593073554212849E-5</v>
      </c>
      <c r="R74" s="225">
        <f t="shared" ref="R74:R106" si="94">ROUND(N74*$R$3,0)</f>
        <v>2</v>
      </c>
      <c r="S74" s="225">
        <f t="shared" ref="S74:S106" si="95">ROUND(O74*$R$3,0)</f>
        <v>53</v>
      </c>
      <c r="T74" s="225">
        <f t="shared" ref="T74:T106" si="96">ROUND(P74*$R$3,0)</f>
        <v>23</v>
      </c>
      <c r="U74" s="225">
        <f t="shared" ref="U74:U106" si="97">ROUND(Q74*$R$3,0)</f>
        <v>76</v>
      </c>
      <c r="V74" s="224">
        <f>IF(ISERROR(VLOOKUP($A74,'HRGs to TFCs % Split'!$A$8:$I$145,6,0)),0,VLOOKUP($A74,'HRGs to TFCs % Split'!$A$8:$I$145,6,0))</f>
        <v>1.3660397064809997E-6</v>
      </c>
      <c r="W74" s="224">
        <f>IF(ISERROR(VLOOKUP($A74,'HRGs to TFCs % Split'!$A$8:$I$145,6,0)),0,VLOOKUP($A74,'HRGs to TFCs % Split'!$A$8:$I$145,7,0))</f>
        <v>3.9615151487948995E-5</v>
      </c>
      <c r="X74" s="224">
        <f>IF(ISERROR(VLOOKUP($A74,'HRGs to TFCs % Split'!$A$8:$I$145,6,0)),0,VLOOKUP($A74,'HRGs to TFCs % Split'!$A$8:$I$145,8,0))</f>
        <v>1.7075496331012499E-5</v>
      </c>
      <c r="Y74" s="224">
        <f>IF(ISERROR(VLOOKUP($A74,'HRGs to TFCs % Split'!$A$8:$I$145,6,0)),0,VLOOKUP($A74,'HRGs to TFCs % Split'!$A$8:$I$145,9,0))</f>
        <v>5.6593073554212849E-5</v>
      </c>
      <c r="Z74" s="225">
        <f t="shared" si="13"/>
        <v>215.42600431021762</v>
      </c>
      <c r="AA74" s="225">
        <f t="shared" si="14"/>
        <v>6247.3541249963109</v>
      </c>
      <c r="AB74" s="225">
        <f t="shared" si="15"/>
        <v>2692.8250538777206</v>
      </c>
      <c r="AC74" s="225">
        <f t="shared" si="16"/>
        <v>8924.7916071375876</v>
      </c>
      <c r="AD74" s="226">
        <f t="shared" ref="AD74:AD119" si="98">B74+R74</f>
        <v>2609</v>
      </c>
      <c r="AE74" s="226">
        <f t="shared" ref="AE74:AE119" si="99">C74+S74</f>
        <v>31501</v>
      </c>
      <c r="AF74" s="226">
        <f t="shared" ref="AF74:AF119" si="100">D74+T74</f>
        <v>14735</v>
      </c>
      <c r="AG74" s="226">
        <f t="shared" ref="AG74:AG119" si="101">E74+U74</f>
        <v>130053</v>
      </c>
      <c r="AH74" s="226">
        <f t="shared" ref="AH74:AH119" si="102">F74+Z74</f>
        <v>732227.38740005624</v>
      </c>
      <c r="AI74" s="226">
        <f t="shared" ref="AI74:AI119" si="103">G74+AA74</f>
        <v>6065718.8781815562</v>
      </c>
      <c r="AJ74" s="226">
        <f t="shared" ref="AJ74:AJ119" si="104">H74+AB74</f>
        <v>3131795.3176355278</v>
      </c>
      <c r="AK74" s="226">
        <f t="shared" ref="AK74:AK119" si="105">I74+AC74</f>
        <v>20613706.757014837</v>
      </c>
      <c r="AL74" s="227">
        <f t="shared" ref="AL74:AL119" si="106">IF(AD74=0,0,AH74/AD74)</f>
        <v>280.6544221541036</v>
      </c>
      <c r="AM74" s="227">
        <f t="shared" ref="AM74:AM119" si="107">IF(AE74=0,0,AI74/AE74)</f>
        <v>192.55639116794885</v>
      </c>
      <c r="AN74" s="227">
        <f t="shared" ref="AN74:AN119" si="108">IF(AF74=0,0,AJ74/AF74)</f>
        <v>212.54124992436564</v>
      </c>
      <c r="AO74" s="227">
        <f t="shared" ref="AO74:AO119" si="109">IF(AG74=0,0,AK74/AG74)</f>
        <v>158.50235486313147</v>
      </c>
      <c r="AP74" s="228">
        <f t="shared" si="29"/>
        <v>-4.725098198373745E-4</v>
      </c>
      <c r="AQ74" s="228">
        <f t="shared" si="30"/>
        <v>-6.5321449093225237E-4</v>
      </c>
      <c r="AR74" s="228">
        <f t="shared" si="31"/>
        <v>-7.0167842043789008E-4</v>
      </c>
      <c r="AS74" s="228">
        <f t="shared" si="32"/>
        <v>-1.5148849270529841E-4</v>
      </c>
      <c r="AT74" s="227">
        <f>IF(ISERROR(VLOOKUP(A74,Mandatory!A:A,1,FALSE)),0,1)</f>
        <v>1</v>
      </c>
    </row>
    <row r="75" spans="1:46">
      <c r="A75" s="231">
        <v>307</v>
      </c>
      <c r="B75" s="222">
        <f>VLOOKUP(A75,OPATT_Activities!A:J,3,FALSE)</f>
        <v>10887</v>
      </c>
      <c r="C75" s="222">
        <f>VLOOKUP(A75,OPATT_Activities!A:J,4,FALSE)</f>
        <v>107078</v>
      </c>
      <c r="D75" s="222">
        <f>VLOOKUP(A75,OPATT_Activities!A:J,5,FALSE)</f>
        <v>61793</v>
      </c>
      <c r="E75" s="222">
        <f>VLOOKUP(A75,OPATT_Activities!A:J,6,FALSE)</f>
        <v>549411</v>
      </c>
      <c r="F75" s="222">
        <f>VLOOKUP(A75,OPATT_Cost_Quantum!A:F,2,FALSE)</f>
        <v>2139253.6779073598</v>
      </c>
      <c r="G75" s="222">
        <f>VLOOKUP(A75,OPATT_Cost_Quantum!A:F,3,FALSE)</f>
        <v>16765556.9890093</v>
      </c>
      <c r="H75" s="222">
        <f>VLOOKUP(A75,OPATT_Cost_Quantum!A:F,4,FALSE)</f>
        <v>8609111.8080352899</v>
      </c>
      <c r="I75" s="222">
        <f>VLOOKUP(A75,OPATT_Cost_Quantum!A:F,5,FALSE)</f>
        <v>63979052.055383898</v>
      </c>
      <c r="J75" s="223">
        <f t="shared" si="93"/>
        <v>196.49615852919626</v>
      </c>
      <c r="K75" s="223">
        <f t="shared" si="93"/>
        <v>156.57331094164348</v>
      </c>
      <c r="L75" s="223">
        <f t="shared" si="93"/>
        <v>139.32179709732964</v>
      </c>
      <c r="M75" s="223">
        <f t="shared" si="93"/>
        <v>116.45025683028534</v>
      </c>
      <c r="N75" s="224">
        <f>IF(ISERROR(VLOOKUP($A75,'HRGs to TFCs % Split'!$A$8:$I$145,6,0)),0,VLOOKUP($A75,'HRGs to TFCs % Split'!$A$8:$I$145,6,0))</f>
        <v>1.2596837579049791E-4</v>
      </c>
      <c r="O75" s="224">
        <f>IF(ISERROR(VLOOKUP($A75,'HRGs to TFCs % Split'!$A$8:$I$145,6,0)),0,VLOOKUP($A75,'HRGs to TFCs % Split'!$A$8:$I$145,7,0))</f>
        <v>2.3700788907445345E-4</v>
      </c>
      <c r="P75" s="224">
        <f>IF(ISERROR(VLOOKUP($A75,'HRGs to TFCs % Split'!$A$8:$I$145,6,0)),0,VLOOKUP($A75,'HRGs to TFCs % Split'!$A$8:$I$145,8,0))</f>
        <v>1.0625837431127204E-3</v>
      </c>
      <c r="Q75" s="224">
        <f>IF(ISERROR(VLOOKUP($A75,'HRGs to TFCs % Split'!$A$8:$I$145,6,0)),0,VLOOKUP($A75,'HRGs to TFCs % Split'!$A$8:$I$145,9,0))</f>
        <v>1.9388006405555332E-3</v>
      </c>
      <c r="R75" s="225">
        <f t="shared" si="94"/>
        <v>170</v>
      </c>
      <c r="S75" s="225">
        <f t="shared" si="95"/>
        <v>320</v>
      </c>
      <c r="T75" s="225">
        <f t="shared" si="96"/>
        <v>1434</v>
      </c>
      <c r="U75" s="225">
        <f t="shared" si="97"/>
        <v>2616</v>
      </c>
      <c r="V75" s="224">
        <f>IF(ISERROR(VLOOKUP($A75,'HRGs to TFCs % Split'!$A$8:$I$145,6,0)),0,VLOOKUP($A75,'HRGs to TFCs % Split'!$A$8:$I$145,6,0))</f>
        <v>1.2596837579049791E-4</v>
      </c>
      <c r="W75" s="224">
        <f>IF(ISERROR(VLOOKUP($A75,'HRGs to TFCs % Split'!$A$8:$I$145,6,0)),0,VLOOKUP($A75,'HRGs to TFCs % Split'!$A$8:$I$145,7,0))</f>
        <v>2.3700788907445345E-4</v>
      </c>
      <c r="X75" s="224">
        <f>IF(ISERROR(VLOOKUP($A75,'HRGs to TFCs % Split'!$A$8:$I$145,6,0)),0,VLOOKUP($A75,'HRGs to TFCs % Split'!$A$8:$I$145,8,0))</f>
        <v>1.0625837431127204E-3</v>
      </c>
      <c r="Y75" s="224">
        <f>IF(ISERROR(VLOOKUP($A75,'HRGs to TFCs % Split'!$A$8:$I$145,6,0)),0,VLOOKUP($A75,'HRGs to TFCs % Split'!$A$8:$I$145,9,0))</f>
        <v>1.9388006405555332E-3</v>
      </c>
      <c r="Z75" s="225">
        <f t="shared" ref="Z75:Z119" si="110">V75*$Z$3</f>
        <v>19865.355111749352</v>
      </c>
      <c r="AA75" s="225">
        <f t="shared" ref="AA75:AA119" si="111">W75*$Z$3</f>
        <v>37376.411747822756</v>
      </c>
      <c r="AB75" s="225">
        <f t="shared" ref="AB75:AB119" si="112">X75*$Z$3</f>
        <v>167570.65620987641</v>
      </c>
      <c r="AC75" s="225">
        <f t="shared" ref="AC75:AC119" si="113">Y75*$Z$3</f>
        <v>305751.05040314456</v>
      </c>
      <c r="AD75" s="226">
        <f t="shared" si="98"/>
        <v>11057</v>
      </c>
      <c r="AE75" s="226">
        <f t="shared" si="99"/>
        <v>107398</v>
      </c>
      <c r="AF75" s="226">
        <f t="shared" si="100"/>
        <v>63227</v>
      </c>
      <c r="AG75" s="226">
        <f t="shared" si="101"/>
        <v>552027</v>
      </c>
      <c r="AH75" s="226">
        <f t="shared" si="102"/>
        <v>2159119.0330191092</v>
      </c>
      <c r="AI75" s="226">
        <f t="shared" si="103"/>
        <v>16802933.400757123</v>
      </c>
      <c r="AJ75" s="226">
        <f t="shared" si="104"/>
        <v>8776682.4642451666</v>
      </c>
      <c r="AK75" s="226">
        <f t="shared" si="105"/>
        <v>64284803.105787046</v>
      </c>
      <c r="AL75" s="227">
        <f t="shared" si="106"/>
        <v>195.27168608294377</v>
      </c>
      <c r="AM75" s="227">
        <f t="shared" si="107"/>
        <v>156.45480735914191</v>
      </c>
      <c r="AN75" s="227">
        <f t="shared" si="108"/>
        <v>138.81225527456888</v>
      </c>
      <c r="AO75" s="227">
        <f t="shared" si="109"/>
        <v>116.45228060545416</v>
      </c>
      <c r="AP75" s="228">
        <f t="shared" ref="AP75:AP119" si="114">IF(J75=0,0,AL75/J75-1)</f>
        <v>-6.2315337633970236E-3</v>
      </c>
      <c r="AQ75" s="228">
        <f t="shared" ref="AQ75:AQ119" si="115">IF(K75=0,0,AM75/K75-1)</f>
        <v>-7.5685684737003545E-4</v>
      </c>
      <c r="AR75" s="228">
        <f t="shared" ref="AR75:AR119" si="116">IF(L75=0,0,AN75/L75-1)</f>
        <v>-3.6573015377111551E-3</v>
      </c>
      <c r="AS75" s="228">
        <f t="shared" ref="AS75:AS119" si="117">IF(M75=0,0,AO75/M75-1)</f>
        <v>1.7378881111307365E-5</v>
      </c>
      <c r="AT75" s="227">
        <f>IF(ISERROR(VLOOKUP(A75,Mandatory!A:A,1,FALSE)),0,1)</f>
        <v>1</v>
      </c>
    </row>
    <row r="76" spans="1:46">
      <c r="A76" s="231">
        <v>308</v>
      </c>
      <c r="B76" s="222">
        <f>VLOOKUP(A76,OPATT_Activities!A:J,3,FALSE)</f>
        <v>2</v>
      </c>
      <c r="C76" s="222">
        <f>VLOOKUP(A76,OPATT_Activities!A:J,4,FALSE)</f>
        <v>861</v>
      </c>
      <c r="D76" s="222">
        <f>VLOOKUP(A76,OPATT_Activities!A:J,5,FALSE)</f>
        <v>97</v>
      </c>
      <c r="E76" s="222">
        <f>VLOOKUP(A76,OPATT_Activities!A:J,6,FALSE)</f>
        <v>14254</v>
      </c>
      <c r="F76" s="222">
        <f>VLOOKUP(A76,OPATT_Cost_Quantum!A:F,2,FALSE)</f>
        <v>849.26288215385898</v>
      </c>
      <c r="G76" s="222">
        <f>VLOOKUP(A76,OPATT_Cost_Quantum!A:F,3,FALSE)</f>
        <v>326378.14737491199</v>
      </c>
      <c r="H76" s="222">
        <f>VLOOKUP(A76,OPATT_Cost_Quantum!A:F,4,FALSE)</f>
        <v>34545.485048334303</v>
      </c>
      <c r="I76" s="222">
        <f>VLOOKUP(A76,OPATT_Cost_Quantum!A:F,5,FALSE)</f>
        <v>3781642.71554892</v>
      </c>
      <c r="J76" s="223">
        <f t="shared" si="93"/>
        <v>424.63144107692949</v>
      </c>
      <c r="K76" s="223">
        <f t="shared" si="93"/>
        <v>379.06869613810915</v>
      </c>
      <c r="L76" s="223">
        <f t="shared" si="93"/>
        <v>356.13902111684848</v>
      </c>
      <c r="M76" s="223">
        <f t="shared" si="93"/>
        <v>265.30396489048127</v>
      </c>
      <c r="N76" s="224">
        <f>IF(ISERROR(VLOOKUP($A76,'HRGs to TFCs % Split'!$A$8:$I$145,6,0)),0,VLOOKUP($A76,'HRGs to TFCs % Split'!$A$8:$I$145,6,0))</f>
        <v>0</v>
      </c>
      <c r="O76" s="224">
        <f>IF(ISERROR(VLOOKUP($A76,'HRGs to TFCs % Split'!$A$8:$I$145,6,0)),0,VLOOKUP($A76,'HRGs to TFCs % Split'!$A$8:$I$145,7,0))</f>
        <v>3.1223764719565707E-6</v>
      </c>
      <c r="P76" s="224">
        <f>IF(ISERROR(VLOOKUP($A76,'HRGs to TFCs % Split'!$A$8:$I$145,6,0)),0,VLOOKUP($A76,'HRGs to TFCs % Split'!$A$8:$I$145,8,0))</f>
        <v>3.5126735309511424E-6</v>
      </c>
      <c r="Q76" s="224">
        <f>IF(ISERROR(VLOOKUP($A76,'HRGs to TFCs % Split'!$A$8:$I$145,6,0)),0,VLOOKUP($A76,'HRGs to TFCs % Split'!$A$8:$I$145,9,0))</f>
        <v>8.4109016213330121E-5</v>
      </c>
      <c r="R76" s="225">
        <f t="shared" si="94"/>
        <v>0</v>
      </c>
      <c r="S76" s="225">
        <f t="shared" si="95"/>
        <v>4</v>
      </c>
      <c r="T76" s="225">
        <f t="shared" si="96"/>
        <v>5</v>
      </c>
      <c r="U76" s="225">
        <f t="shared" si="97"/>
        <v>114</v>
      </c>
      <c r="V76" s="224">
        <f>IF(ISERROR(VLOOKUP($A76,'HRGs to TFCs % Split'!$A$8:$I$145,6,0)),0,VLOOKUP($A76,'HRGs to TFCs % Split'!$A$8:$I$145,6,0))</f>
        <v>0</v>
      </c>
      <c r="W76" s="224">
        <f>IF(ISERROR(VLOOKUP($A76,'HRGs to TFCs % Split'!$A$8:$I$145,6,0)),0,VLOOKUP($A76,'HRGs to TFCs % Split'!$A$8:$I$145,7,0))</f>
        <v>3.1223764719565707E-6</v>
      </c>
      <c r="X76" s="224">
        <f>IF(ISERROR(VLOOKUP($A76,'HRGs to TFCs % Split'!$A$8:$I$145,6,0)),0,VLOOKUP($A76,'HRGs to TFCs % Split'!$A$8:$I$145,8,0))</f>
        <v>3.5126735309511424E-6</v>
      </c>
      <c r="Y76" s="224">
        <f>IF(ISERROR(VLOOKUP($A76,'HRGs to TFCs % Split'!$A$8:$I$145,6,0)),0,VLOOKUP($A76,'HRGs to TFCs % Split'!$A$8:$I$145,9,0))</f>
        <v>8.4109016213330121E-5</v>
      </c>
      <c r="Z76" s="225">
        <f t="shared" si="110"/>
        <v>0</v>
      </c>
      <c r="AA76" s="225">
        <f t="shared" si="111"/>
        <v>492.40229556621165</v>
      </c>
      <c r="AB76" s="225">
        <f t="shared" si="112"/>
        <v>553.95258251198823</v>
      </c>
      <c r="AC76" s="225">
        <f t="shared" si="113"/>
        <v>13264.086836814826</v>
      </c>
      <c r="AD76" s="226">
        <f t="shared" si="98"/>
        <v>2</v>
      </c>
      <c r="AE76" s="226">
        <f t="shared" si="99"/>
        <v>865</v>
      </c>
      <c r="AF76" s="226">
        <f t="shared" si="100"/>
        <v>102</v>
      </c>
      <c r="AG76" s="226">
        <f t="shared" si="101"/>
        <v>14368</v>
      </c>
      <c r="AH76" s="226">
        <f t="shared" si="102"/>
        <v>849.26288215385898</v>
      </c>
      <c r="AI76" s="226">
        <f t="shared" si="103"/>
        <v>326870.54967047821</v>
      </c>
      <c r="AJ76" s="226">
        <f t="shared" si="104"/>
        <v>35099.437630846289</v>
      </c>
      <c r="AK76" s="226">
        <f t="shared" si="105"/>
        <v>3794906.8023857349</v>
      </c>
      <c r="AL76" s="227">
        <f t="shared" si="106"/>
        <v>424.63144107692949</v>
      </c>
      <c r="AM76" s="227">
        <f t="shared" si="107"/>
        <v>377.88502852078403</v>
      </c>
      <c r="AN76" s="227">
        <f t="shared" si="108"/>
        <v>344.11213363574791</v>
      </c>
      <c r="AO76" s="227">
        <f t="shared" si="109"/>
        <v>264.12213268274883</v>
      </c>
      <c r="AP76" s="228">
        <f t="shared" si="114"/>
        <v>0</v>
      </c>
      <c r="AQ76" s="228">
        <f t="shared" si="115"/>
        <v>-3.1225675698999256E-3</v>
      </c>
      <c r="AR76" s="228">
        <f t="shared" si="116"/>
        <v>-3.3770204240423762E-2</v>
      </c>
      <c r="AS76" s="228">
        <f t="shared" si="117"/>
        <v>-4.4546345480374061E-3</v>
      </c>
      <c r="AT76" s="227">
        <f>IF(ISERROR(VLOOKUP(A76,Mandatory!A:A,1,FALSE)),0,1)</f>
        <v>0</v>
      </c>
    </row>
    <row r="77" spans="1:46">
      <c r="A77" s="231">
        <v>309</v>
      </c>
      <c r="B77" s="222">
        <f>VLOOKUP(A77,OPATT_Activities!A:J,3,FALSE)</f>
        <v>154</v>
      </c>
      <c r="C77" s="222">
        <f>VLOOKUP(A77,OPATT_Activities!A:J,4,FALSE)</f>
        <v>4016</v>
      </c>
      <c r="D77" s="222">
        <f>VLOOKUP(A77,OPATT_Activities!A:J,5,FALSE)</f>
        <v>908</v>
      </c>
      <c r="E77" s="222">
        <f>VLOOKUP(A77,OPATT_Activities!A:J,6,FALSE)</f>
        <v>20829</v>
      </c>
      <c r="F77" s="222">
        <f>VLOOKUP(A77,OPATT_Cost_Quantum!A:F,2,FALSE)</f>
        <v>129879.105098766</v>
      </c>
      <c r="G77" s="222">
        <f>VLOOKUP(A77,OPATT_Cost_Quantum!A:F,3,FALSE)</f>
        <v>3392534.06397114</v>
      </c>
      <c r="H77" s="222">
        <f>VLOOKUP(A77,OPATT_Cost_Quantum!A:F,4,FALSE)</f>
        <v>359128.61250677297</v>
      </c>
      <c r="I77" s="222">
        <f>VLOOKUP(A77,OPATT_Cost_Quantum!A:F,5,FALSE)</f>
        <v>18042671.299570601</v>
      </c>
      <c r="J77" s="223">
        <f t="shared" si="93"/>
        <v>843.37081232964931</v>
      </c>
      <c r="K77" s="223">
        <f t="shared" si="93"/>
        <v>844.75449800078184</v>
      </c>
      <c r="L77" s="223">
        <f t="shared" si="93"/>
        <v>395.51609306913321</v>
      </c>
      <c r="M77" s="223">
        <f t="shared" si="93"/>
        <v>866.2283978861492</v>
      </c>
      <c r="N77" s="224">
        <f>IF(ISERROR(VLOOKUP($A77,'HRGs to TFCs % Split'!$A$8:$I$145,6,0)),0,VLOOKUP($A77,'HRGs to TFCs % Split'!$A$8:$I$145,6,0))</f>
        <v>2.9272279424592851E-7</v>
      </c>
      <c r="O77" s="224">
        <f>IF(ISERROR(VLOOKUP($A77,'HRGs to TFCs % Split'!$A$8:$I$145,6,0)),0,VLOOKUP($A77,'HRGs to TFCs % Split'!$A$8:$I$145,7,0))</f>
        <v>4.8787132374321421E-7</v>
      </c>
      <c r="P77" s="224">
        <f>IF(ISERROR(VLOOKUP($A77,'HRGs to TFCs % Split'!$A$8:$I$145,6,0)),0,VLOOKUP($A77,'HRGs to TFCs % Split'!$A$8:$I$145,8,0))</f>
        <v>3.2882527220292639E-5</v>
      </c>
      <c r="Q77" s="224">
        <f>IF(ISERROR(VLOOKUP($A77,'HRGs to TFCs % Split'!$A$8:$I$145,6,0)),0,VLOOKUP($A77,'HRGs to TFCs % Split'!$A$8:$I$145,9,0))</f>
        <v>2.8296536777106422E-6</v>
      </c>
      <c r="R77" s="225">
        <f t="shared" si="94"/>
        <v>0</v>
      </c>
      <c r="S77" s="225">
        <f t="shared" si="95"/>
        <v>1</v>
      </c>
      <c r="T77" s="225">
        <f t="shared" si="96"/>
        <v>44</v>
      </c>
      <c r="U77" s="225">
        <f t="shared" si="97"/>
        <v>4</v>
      </c>
      <c r="V77" s="224">
        <f>IF(ISERROR(VLOOKUP($A77,'HRGs to TFCs % Split'!$A$8:$I$145,6,0)),0,VLOOKUP($A77,'HRGs to TFCs % Split'!$A$8:$I$145,6,0))</f>
        <v>2.9272279424592851E-7</v>
      </c>
      <c r="W77" s="224">
        <f>IF(ISERROR(VLOOKUP($A77,'HRGs to TFCs % Split'!$A$8:$I$145,6,0)),0,VLOOKUP($A77,'HRGs to TFCs % Split'!$A$8:$I$145,7,0))</f>
        <v>4.8787132374321421E-7</v>
      </c>
      <c r="X77" s="224">
        <f>IF(ISERROR(VLOOKUP($A77,'HRGs to TFCs % Split'!$A$8:$I$145,6,0)),0,VLOOKUP($A77,'HRGs to TFCs % Split'!$A$8:$I$145,8,0))</f>
        <v>3.2882527220292639E-5</v>
      </c>
      <c r="Y77" s="224">
        <f>IF(ISERROR(VLOOKUP($A77,'HRGs to TFCs % Split'!$A$8:$I$145,6,0)),0,VLOOKUP($A77,'HRGs to TFCs % Split'!$A$8:$I$145,9,0))</f>
        <v>2.8296536777106422E-6</v>
      </c>
      <c r="Z77" s="225">
        <f t="shared" si="110"/>
        <v>46.162715209332347</v>
      </c>
      <c r="AA77" s="225">
        <f t="shared" si="111"/>
        <v>76.937858682220579</v>
      </c>
      <c r="AB77" s="225">
        <f t="shared" si="112"/>
        <v>5185.6116751816671</v>
      </c>
      <c r="AC77" s="225">
        <f t="shared" si="113"/>
        <v>446.23958035687934</v>
      </c>
      <c r="AD77" s="226">
        <f t="shared" si="98"/>
        <v>154</v>
      </c>
      <c r="AE77" s="226">
        <f t="shared" si="99"/>
        <v>4017</v>
      </c>
      <c r="AF77" s="226">
        <f t="shared" si="100"/>
        <v>952</v>
      </c>
      <c r="AG77" s="226">
        <f t="shared" si="101"/>
        <v>20833</v>
      </c>
      <c r="AH77" s="226">
        <f t="shared" si="102"/>
        <v>129925.26781397533</v>
      </c>
      <c r="AI77" s="226">
        <f t="shared" si="103"/>
        <v>3392611.0018298221</v>
      </c>
      <c r="AJ77" s="226">
        <f t="shared" si="104"/>
        <v>364314.22418195463</v>
      </c>
      <c r="AK77" s="226">
        <f t="shared" si="105"/>
        <v>18043117.539150957</v>
      </c>
      <c r="AL77" s="227">
        <f t="shared" si="106"/>
        <v>843.67057022061897</v>
      </c>
      <c r="AM77" s="227">
        <f t="shared" si="107"/>
        <v>844.56335619363256</v>
      </c>
      <c r="AN77" s="227">
        <f t="shared" si="108"/>
        <v>382.68300859449016</v>
      </c>
      <c r="AO77" s="227">
        <f t="shared" si="109"/>
        <v>866.08349921523336</v>
      </c>
      <c r="AP77" s="228">
        <f t="shared" si="114"/>
        <v>3.5542834372193077E-4</v>
      </c>
      <c r="AQ77" s="228">
        <f t="shared" si="115"/>
        <v>-2.2626906113154543E-4</v>
      </c>
      <c r="AR77" s="228">
        <f t="shared" si="116"/>
        <v>-3.2446428096163271E-2</v>
      </c>
      <c r="AS77" s="228">
        <f t="shared" si="117"/>
        <v>-1.6727536440674928E-4</v>
      </c>
      <c r="AT77" s="227">
        <f>IF(ISERROR(VLOOKUP(A77,Mandatory!A:A,1,FALSE)),0,1)</f>
        <v>0</v>
      </c>
    </row>
    <row r="78" spans="1:46">
      <c r="A78" s="231">
        <v>310</v>
      </c>
      <c r="B78" s="222">
        <f>VLOOKUP(A78,OPATT_Activities!A:J,3,FALSE)</f>
        <v>300</v>
      </c>
      <c r="C78" s="222">
        <f>VLOOKUP(A78,OPATT_Activities!A:J,4,FALSE)</f>
        <v>29548</v>
      </c>
      <c r="D78" s="222">
        <f>VLOOKUP(A78,OPATT_Activities!A:J,5,FALSE)</f>
        <v>419</v>
      </c>
      <c r="E78" s="222">
        <f>VLOOKUP(A78,OPATT_Activities!A:J,6,FALSE)</f>
        <v>80405</v>
      </c>
      <c r="F78" s="222">
        <f>VLOOKUP(A78,OPATT_Cost_Quantum!A:F,2,FALSE)</f>
        <v>41991.2533128621</v>
      </c>
      <c r="G78" s="222">
        <f>VLOOKUP(A78,OPATT_Cost_Quantum!A:F,3,FALSE)</f>
        <v>2398535.97173722</v>
      </c>
      <c r="H78" s="222">
        <f>VLOOKUP(A78,OPATT_Cost_Quantum!A:F,4,FALSE)</f>
        <v>61583.167643827197</v>
      </c>
      <c r="I78" s="222">
        <f>VLOOKUP(A78,OPATT_Cost_Quantum!A:F,5,FALSE)</f>
        <v>4161040.9830755899</v>
      </c>
      <c r="J78" s="223">
        <f t="shared" si="93"/>
        <v>139.970844376207</v>
      </c>
      <c r="K78" s="223">
        <f t="shared" si="93"/>
        <v>81.174224033343037</v>
      </c>
      <c r="L78" s="223">
        <f t="shared" si="93"/>
        <v>146.97653375615081</v>
      </c>
      <c r="M78" s="223">
        <f t="shared" si="93"/>
        <v>51.751022735844657</v>
      </c>
      <c r="N78" s="224">
        <f>IF(ISERROR(VLOOKUP($A78,'HRGs to TFCs % Split'!$A$8:$I$145,6,0)),0,VLOOKUP($A78,'HRGs to TFCs % Split'!$A$8:$I$145,6,0))</f>
        <v>4.683564707934856E-5</v>
      </c>
      <c r="O78" s="224">
        <f>IF(ISERROR(VLOOKUP($A78,'HRGs to TFCs % Split'!$A$8:$I$145,6,0)),0,VLOOKUP($A78,'HRGs to TFCs % Split'!$A$8:$I$145,7,0))</f>
        <v>2.4762396907910579E-3</v>
      </c>
      <c r="P78" s="224">
        <f>IF(ISERROR(VLOOKUP($A78,'HRGs to TFCs % Split'!$A$8:$I$145,6,0)),0,VLOOKUP($A78,'HRGs to TFCs % Split'!$A$8:$I$145,8,0))</f>
        <v>5.3958568405999488E-5</v>
      </c>
      <c r="Q78" s="224">
        <f>IF(ISERROR(VLOOKUP($A78,'HRGs to TFCs % Split'!$A$8:$I$145,6,0)),0,VLOOKUP($A78,'HRGs to TFCs % Split'!$A$8:$I$145,9,0))</f>
        <v>2.7135403026597575E-3</v>
      </c>
      <c r="R78" s="225">
        <f t="shared" si="94"/>
        <v>63</v>
      </c>
      <c r="S78" s="225">
        <f t="shared" si="95"/>
        <v>3342</v>
      </c>
      <c r="T78" s="225">
        <f t="shared" si="96"/>
        <v>73</v>
      </c>
      <c r="U78" s="225">
        <f t="shared" si="97"/>
        <v>3662</v>
      </c>
      <c r="V78" s="224">
        <f>IF(ISERROR(VLOOKUP($A78,'HRGs to TFCs % Split'!$A$8:$I$145,6,0)),0,VLOOKUP($A78,'HRGs to TFCs % Split'!$A$8:$I$145,6,0))</f>
        <v>4.683564707934856E-5</v>
      </c>
      <c r="W78" s="224">
        <f>IF(ISERROR(VLOOKUP($A78,'HRGs to TFCs % Split'!$A$8:$I$145,6,0)),0,VLOOKUP($A78,'HRGs to TFCs % Split'!$A$8:$I$145,7,0))</f>
        <v>2.4762396907910579E-3</v>
      </c>
      <c r="X78" s="224">
        <f>IF(ISERROR(VLOOKUP($A78,'HRGs to TFCs % Split'!$A$8:$I$145,6,0)),0,VLOOKUP($A78,'HRGs to TFCs % Split'!$A$8:$I$145,8,0))</f>
        <v>5.3958568405999488E-5</v>
      </c>
      <c r="Y78" s="224">
        <f>IF(ISERROR(VLOOKUP($A78,'HRGs to TFCs % Split'!$A$8:$I$145,6,0)),0,VLOOKUP($A78,'HRGs to TFCs % Split'!$A$8:$I$145,9,0))</f>
        <v>2.7135403026597575E-3</v>
      </c>
      <c r="Z78" s="225">
        <f t="shared" si="110"/>
        <v>7386.0344334931751</v>
      </c>
      <c r="AA78" s="225">
        <f t="shared" si="111"/>
        <v>390505.79552747874</v>
      </c>
      <c r="AB78" s="225">
        <f t="shared" si="112"/>
        <v>8509.3271702535949</v>
      </c>
      <c r="AC78" s="225">
        <f t="shared" si="113"/>
        <v>427928.36999051087</v>
      </c>
      <c r="AD78" s="226">
        <f t="shared" si="98"/>
        <v>363</v>
      </c>
      <c r="AE78" s="226">
        <f t="shared" si="99"/>
        <v>32890</v>
      </c>
      <c r="AF78" s="226">
        <f t="shared" si="100"/>
        <v>492</v>
      </c>
      <c r="AG78" s="226">
        <f t="shared" si="101"/>
        <v>84067</v>
      </c>
      <c r="AH78" s="226">
        <f t="shared" si="102"/>
        <v>49377.287746355272</v>
      </c>
      <c r="AI78" s="226">
        <f t="shared" si="103"/>
        <v>2789041.7672646986</v>
      </c>
      <c r="AJ78" s="226">
        <f t="shared" si="104"/>
        <v>70092.494814080797</v>
      </c>
      <c r="AK78" s="226">
        <f t="shared" si="105"/>
        <v>4588969.3530661007</v>
      </c>
      <c r="AL78" s="227">
        <f t="shared" si="106"/>
        <v>136.02558607811369</v>
      </c>
      <c r="AM78" s="227">
        <f t="shared" si="107"/>
        <v>84.79908079248095</v>
      </c>
      <c r="AN78" s="227">
        <f t="shared" si="108"/>
        <v>142.46442035382276</v>
      </c>
      <c r="AO78" s="227">
        <f t="shared" si="109"/>
        <v>54.587047867368895</v>
      </c>
      <c r="AP78" s="228">
        <f t="shared" si="114"/>
        <v>-2.8186286334670019E-2</v>
      </c>
      <c r="AQ78" s="228">
        <f t="shared" si="115"/>
        <v>4.4655268372494339E-2</v>
      </c>
      <c r="AR78" s="228">
        <f t="shared" si="116"/>
        <v>-3.0699549696920458E-2</v>
      </c>
      <c r="AS78" s="228">
        <f t="shared" si="117"/>
        <v>5.4801334961055881E-2</v>
      </c>
      <c r="AT78" s="227">
        <f>IF(ISERROR(VLOOKUP(A78,Mandatory!A:A,1,FALSE)),0,1)</f>
        <v>0</v>
      </c>
    </row>
    <row r="79" spans="1:46">
      <c r="A79" s="231">
        <v>311</v>
      </c>
      <c r="B79" s="222">
        <f>VLOOKUP(A79,OPATT_Activities!A:J,3,FALSE)</f>
        <v>4694</v>
      </c>
      <c r="C79" s="222">
        <f>VLOOKUP(A79,OPATT_Activities!A:J,4,FALSE)</f>
        <v>43467</v>
      </c>
      <c r="D79" s="222">
        <f>VLOOKUP(A79,OPATT_Activities!A:J,5,FALSE)</f>
        <v>124</v>
      </c>
      <c r="E79" s="222">
        <f>VLOOKUP(A79,OPATT_Activities!A:J,6,FALSE)</f>
        <v>22623</v>
      </c>
      <c r="F79" s="222">
        <f>VLOOKUP(A79,OPATT_Cost_Quantum!A:F,2,FALSE)</f>
        <v>1561802.05997171</v>
      </c>
      <c r="G79" s="222">
        <f>VLOOKUP(A79,OPATT_Cost_Quantum!A:F,3,FALSE)</f>
        <v>20968333.717182402</v>
      </c>
      <c r="H79" s="222">
        <f>VLOOKUP(A79,OPATT_Cost_Quantum!A:F,4,FALSE)</f>
        <v>52821.469589493601</v>
      </c>
      <c r="I79" s="222">
        <f>VLOOKUP(A79,OPATT_Cost_Quantum!A:F,5,FALSE)</f>
        <v>8599185.4280992206</v>
      </c>
      <c r="J79" s="223">
        <f t="shared" si="93"/>
        <v>332.72306347927355</v>
      </c>
      <c r="K79" s="223">
        <f t="shared" si="93"/>
        <v>482.39661621879588</v>
      </c>
      <c r="L79" s="223">
        <f t="shared" si="93"/>
        <v>425.97959346365809</v>
      </c>
      <c r="M79" s="223">
        <f t="shared" si="93"/>
        <v>380.10809477519427</v>
      </c>
      <c r="N79" s="224">
        <f>IF(ISERROR(VLOOKUP($A79,'HRGs to TFCs % Split'!$A$8:$I$145,6,0)),0,VLOOKUP($A79,'HRGs to TFCs % Split'!$A$8:$I$145,6,0))</f>
        <v>1.853911030224214E-6</v>
      </c>
      <c r="O79" s="224">
        <f>IF(ISERROR(VLOOKUP($A79,'HRGs to TFCs % Split'!$A$8:$I$145,6,0)),0,VLOOKUP($A79,'HRGs to TFCs % Split'!$A$8:$I$145,7,0))</f>
        <v>5.9520301496672129E-6</v>
      </c>
      <c r="P79" s="224">
        <f>IF(ISERROR(VLOOKUP($A79,'HRGs to TFCs % Split'!$A$8:$I$145,6,0)),0,VLOOKUP($A79,'HRGs to TFCs % Split'!$A$8:$I$145,8,0))</f>
        <v>3.2199507367052139E-6</v>
      </c>
      <c r="Q79" s="224">
        <f>IF(ISERROR(VLOOKUP($A79,'HRGs to TFCs % Split'!$A$8:$I$145,6,0)),0,VLOOKUP($A79,'HRGs to TFCs % Split'!$A$8:$I$145,9,0))</f>
        <v>1.3660397064809997E-6</v>
      </c>
      <c r="R79" s="225">
        <f t="shared" si="94"/>
        <v>3</v>
      </c>
      <c r="S79" s="225">
        <f t="shared" si="95"/>
        <v>8</v>
      </c>
      <c r="T79" s="225">
        <f t="shared" si="96"/>
        <v>4</v>
      </c>
      <c r="U79" s="225">
        <f t="shared" si="97"/>
        <v>2</v>
      </c>
      <c r="V79" s="224">
        <f>IF(ISERROR(VLOOKUP($A79,'HRGs to TFCs % Split'!$A$8:$I$145,6,0)),0,VLOOKUP($A79,'HRGs to TFCs % Split'!$A$8:$I$145,6,0))</f>
        <v>1.853911030224214E-6</v>
      </c>
      <c r="W79" s="224">
        <f>IF(ISERROR(VLOOKUP($A79,'HRGs to TFCs % Split'!$A$8:$I$145,6,0)),0,VLOOKUP($A79,'HRGs to TFCs % Split'!$A$8:$I$145,7,0))</f>
        <v>5.9520301496672129E-6</v>
      </c>
      <c r="X79" s="224">
        <f>IF(ISERROR(VLOOKUP($A79,'HRGs to TFCs % Split'!$A$8:$I$145,6,0)),0,VLOOKUP($A79,'HRGs to TFCs % Split'!$A$8:$I$145,8,0))</f>
        <v>3.2199507367052139E-6</v>
      </c>
      <c r="Y79" s="224">
        <f>IF(ISERROR(VLOOKUP($A79,'HRGs to TFCs % Split'!$A$8:$I$145,6,0)),0,VLOOKUP($A79,'HRGs to TFCs % Split'!$A$8:$I$145,9,0))</f>
        <v>1.3660397064809997E-6</v>
      </c>
      <c r="Z79" s="225">
        <f t="shared" si="110"/>
        <v>292.36386299243821</v>
      </c>
      <c r="AA79" s="225">
        <f t="shared" si="111"/>
        <v>938.64187592309099</v>
      </c>
      <c r="AB79" s="225">
        <f t="shared" si="112"/>
        <v>507.78986730265586</v>
      </c>
      <c r="AC79" s="225">
        <f t="shared" si="113"/>
        <v>215.42600431021762</v>
      </c>
      <c r="AD79" s="226">
        <f t="shared" si="98"/>
        <v>4697</v>
      </c>
      <c r="AE79" s="226">
        <f t="shared" si="99"/>
        <v>43475</v>
      </c>
      <c r="AF79" s="226">
        <f t="shared" si="100"/>
        <v>128</v>
      </c>
      <c r="AG79" s="226">
        <f t="shared" si="101"/>
        <v>22625</v>
      </c>
      <c r="AH79" s="226">
        <f t="shared" si="102"/>
        <v>1562094.4238347025</v>
      </c>
      <c r="AI79" s="226">
        <f t="shared" si="103"/>
        <v>20969272.359058324</v>
      </c>
      <c r="AJ79" s="226">
        <f t="shared" si="104"/>
        <v>53329.259456796259</v>
      </c>
      <c r="AK79" s="226">
        <f t="shared" si="105"/>
        <v>8599400.8541035317</v>
      </c>
      <c r="AL79" s="227">
        <f t="shared" si="106"/>
        <v>332.57279621773523</v>
      </c>
      <c r="AM79" s="227">
        <f t="shared" si="107"/>
        <v>482.32943896626392</v>
      </c>
      <c r="AN79" s="227">
        <f t="shared" si="108"/>
        <v>416.63483950622077</v>
      </c>
      <c r="AO79" s="227">
        <f t="shared" si="109"/>
        <v>380.08401565098484</v>
      </c>
      <c r="AP79" s="228">
        <f t="shared" si="114"/>
        <v>-4.5162863063041847E-4</v>
      </c>
      <c r="AQ79" s="228">
        <f t="shared" si="115"/>
        <v>-1.3925730461905594E-4</v>
      </c>
      <c r="AR79" s="228">
        <f t="shared" si="116"/>
        <v>-2.1937092998879915E-2</v>
      </c>
      <c r="AS79" s="228">
        <f t="shared" si="117"/>
        <v>-6.33480963452282E-5</v>
      </c>
      <c r="AT79" s="227">
        <f>IF(ISERROR(VLOOKUP(A79,Mandatory!A:A,1,FALSE)),0,1)</f>
        <v>0</v>
      </c>
    </row>
    <row r="80" spans="1:46">
      <c r="A80" s="231">
        <v>313</v>
      </c>
      <c r="B80" s="222">
        <f>VLOOKUP(A80,OPATT_Activities!A:J,3,FALSE)</f>
        <v>774</v>
      </c>
      <c r="C80" s="222">
        <f>VLOOKUP(A80,OPATT_Activities!A:J,4,FALSE)</f>
        <v>11409</v>
      </c>
      <c r="D80" s="222">
        <f>VLOOKUP(A80,OPATT_Activities!A:J,5,FALSE)</f>
        <v>1571</v>
      </c>
      <c r="E80" s="222">
        <f>VLOOKUP(A80,OPATT_Activities!A:J,6,FALSE)</f>
        <v>20107</v>
      </c>
      <c r="F80" s="222">
        <f>VLOOKUP(A80,OPATT_Cost_Quantum!A:F,2,FALSE)</f>
        <v>214732.496673302</v>
      </c>
      <c r="G80" s="222">
        <f>VLOOKUP(A80,OPATT_Cost_Quantum!A:F,3,FALSE)</f>
        <v>1880439.1910936299</v>
      </c>
      <c r="H80" s="222">
        <f>VLOOKUP(A80,OPATT_Cost_Quantum!A:F,4,FALSE)</f>
        <v>203992.893013717</v>
      </c>
      <c r="I80" s="222">
        <f>VLOOKUP(A80,OPATT_Cost_Quantum!A:F,5,FALSE)</f>
        <v>2588732.5831486401</v>
      </c>
      <c r="J80" s="223">
        <f t="shared" si="93"/>
        <v>277.43216624457625</v>
      </c>
      <c r="K80" s="223">
        <f t="shared" si="93"/>
        <v>164.82068464314401</v>
      </c>
      <c r="L80" s="223">
        <f t="shared" si="93"/>
        <v>129.84907257397646</v>
      </c>
      <c r="M80" s="223">
        <f t="shared" si="93"/>
        <v>128.74782827615459</v>
      </c>
      <c r="N80" s="224">
        <f>IF(ISERROR(VLOOKUP($A80,'HRGs to TFCs % Split'!$A$8:$I$145,6,0)),0,VLOOKUP($A80,'HRGs to TFCs % Split'!$A$8:$I$145,6,0))</f>
        <v>7.0936490472263349E-5</v>
      </c>
      <c r="O80" s="224">
        <f>IF(ISERROR(VLOOKUP($A80,'HRGs to TFCs % Split'!$A$8:$I$145,6,0)),0,VLOOKUP($A80,'HRGs to TFCs % Split'!$A$8:$I$145,7,0))</f>
        <v>1.5543580374458805E-4</v>
      </c>
      <c r="P80" s="224">
        <f>IF(ISERROR(VLOOKUP($A80,'HRGs to TFCs % Split'!$A$8:$I$145,6,0)),0,VLOOKUP($A80,'HRGs to TFCs % Split'!$A$8:$I$145,8,0))</f>
        <v>8.3913867683832842E-6</v>
      </c>
      <c r="Q80" s="224">
        <f>IF(ISERROR(VLOOKUP($A80,'HRGs to TFCs % Split'!$A$8:$I$145,6,0)),0,VLOOKUP($A80,'HRGs to TFCs % Split'!$A$8:$I$145,9,0))</f>
        <v>6.1764509585890913E-5</v>
      </c>
      <c r="R80" s="225">
        <f t="shared" si="94"/>
        <v>96</v>
      </c>
      <c r="S80" s="225">
        <f t="shared" si="95"/>
        <v>210</v>
      </c>
      <c r="T80" s="225">
        <f t="shared" si="96"/>
        <v>11</v>
      </c>
      <c r="U80" s="225">
        <f t="shared" si="97"/>
        <v>83</v>
      </c>
      <c r="V80" s="224">
        <f>IF(ISERROR(VLOOKUP($A80,'HRGs to TFCs % Split'!$A$8:$I$145,6,0)),0,VLOOKUP($A80,'HRGs to TFCs % Split'!$A$8:$I$145,6,0))</f>
        <v>7.0936490472263349E-5</v>
      </c>
      <c r="W80" s="224">
        <f>IF(ISERROR(VLOOKUP($A80,'HRGs to TFCs % Split'!$A$8:$I$145,6,0)),0,VLOOKUP($A80,'HRGs to TFCs % Split'!$A$8:$I$145,7,0))</f>
        <v>1.5543580374458805E-4</v>
      </c>
      <c r="X80" s="224">
        <f>IF(ISERROR(VLOOKUP($A80,'HRGs to TFCs % Split'!$A$8:$I$145,6,0)),0,VLOOKUP($A80,'HRGs to TFCs % Split'!$A$8:$I$145,8,0))</f>
        <v>8.3913867683832842E-6</v>
      </c>
      <c r="Y80" s="224">
        <f>IF(ISERROR(VLOOKUP($A80,'HRGs to TFCs % Split'!$A$8:$I$145,6,0)),0,VLOOKUP($A80,'HRGs to TFCs % Split'!$A$8:$I$145,9,0))</f>
        <v>6.1764509585890913E-5</v>
      </c>
      <c r="Z80" s="225">
        <f t="shared" si="110"/>
        <v>11186.764652394873</v>
      </c>
      <c r="AA80" s="225">
        <f t="shared" si="111"/>
        <v>24512.401776155475</v>
      </c>
      <c r="AB80" s="225">
        <f t="shared" si="112"/>
        <v>1323.3311693341939</v>
      </c>
      <c r="AC80" s="225">
        <f t="shared" si="113"/>
        <v>9740.3329091691248</v>
      </c>
      <c r="AD80" s="226">
        <f t="shared" si="98"/>
        <v>870</v>
      </c>
      <c r="AE80" s="226">
        <f t="shared" si="99"/>
        <v>11619</v>
      </c>
      <c r="AF80" s="226">
        <f t="shared" si="100"/>
        <v>1582</v>
      </c>
      <c r="AG80" s="226">
        <f t="shared" si="101"/>
        <v>20190</v>
      </c>
      <c r="AH80" s="226">
        <f t="shared" si="102"/>
        <v>225919.26132569686</v>
      </c>
      <c r="AI80" s="226">
        <f t="shared" si="103"/>
        <v>1904951.5928697854</v>
      </c>
      <c r="AJ80" s="226">
        <f t="shared" si="104"/>
        <v>205316.22418305118</v>
      </c>
      <c r="AK80" s="226">
        <f t="shared" si="105"/>
        <v>2598472.9160578093</v>
      </c>
      <c r="AL80" s="227">
        <f t="shared" si="106"/>
        <v>259.6773118686171</v>
      </c>
      <c r="AM80" s="227">
        <f t="shared" si="107"/>
        <v>163.95142377741504</v>
      </c>
      <c r="AN80" s="227">
        <f t="shared" si="108"/>
        <v>129.78269543808545</v>
      </c>
      <c r="AO80" s="227">
        <f t="shared" si="109"/>
        <v>128.70098643178846</v>
      </c>
      <c r="AP80" s="228">
        <f t="shared" si="114"/>
        <v>-6.3997101043816951E-2</v>
      </c>
      <c r="AQ80" s="228">
        <f t="shared" si="115"/>
        <v>-5.2739792193620127E-3</v>
      </c>
      <c r="AR80" s="228">
        <f t="shared" si="116"/>
        <v>-5.1118683079687255E-4</v>
      </c>
      <c r="AS80" s="228">
        <f t="shared" si="117"/>
        <v>-3.6382628735032174E-4</v>
      </c>
      <c r="AT80" s="227">
        <f>IF(ISERROR(VLOOKUP(A80,Mandatory!A:A,1,FALSE)),0,1)</f>
        <v>0</v>
      </c>
    </row>
    <row r="81" spans="1:46">
      <c r="A81" s="231">
        <v>314</v>
      </c>
      <c r="B81" s="222">
        <f>VLOOKUP(A81,OPATT_Activities!A:J,3,FALSE)</f>
        <v>572</v>
      </c>
      <c r="C81" s="222">
        <f>VLOOKUP(A81,OPATT_Activities!A:J,4,FALSE)</f>
        <v>22835</v>
      </c>
      <c r="D81" s="222">
        <f>VLOOKUP(A81,OPATT_Activities!A:J,5,FALSE)</f>
        <v>597</v>
      </c>
      <c r="E81" s="222">
        <f>VLOOKUP(A81,OPATT_Activities!A:J,6,FALSE)</f>
        <v>53629</v>
      </c>
      <c r="F81" s="222">
        <f>VLOOKUP(A81,OPATT_Cost_Quantum!A:F,2,FALSE)</f>
        <v>108331.41397432701</v>
      </c>
      <c r="G81" s="222">
        <f>VLOOKUP(A81,OPATT_Cost_Quantum!A:F,3,FALSE)</f>
        <v>5869058.9739057999</v>
      </c>
      <c r="H81" s="222">
        <f>VLOOKUP(A81,OPATT_Cost_Quantum!A:F,4,FALSE)</f>
        <v>81755.211247702493</v>
      </c>
      <c r="I81" s="222">
        <f>VLOOKUP(A81,OPATT_Cost_Quantum!A:F,5,FALSE)</f>
        <v>10158878.7743956</v>
      </c>
      <c r="J81" s="223">
        <f t="shared" si="93"/>
        <v>189.39058387120107</v>
      </c>
      <c r="K81" s="223">
        <f t="shared" si="93"/>
        <v>257.02031854196628</v>
      </c>
      <c r="L81" s="223">
        <f t="shared" si="93"/>
        <v>136.9434024249623</v>
      </c>
      <c r="M81" s="223">
        <f t="shared" si="93"/>
        <v>189.42883093840274</v>
      </c>
      <c r="N81" s="224">
        <f>IF(ISERROR(VLOOKUP($A81,'HRGs to TFCs % Split'!$A$8:$I$145,6,0)),0,VLOOKUP($A81,'HRGs to TFCs % Split'!$A$8:$I$145,6,0))</f>
        <v>1.2099208828831711E-5</v>
      </c>
      <c r="O81" s="224">
        <f>IF(ISERROR(VLOOKUP($A81,'HRGs to TFCs % Split'!$A$8:$I$145,6,0)),0,VLOOKUP($A81,'HRGs to TFCs % Split'!$A$8:$I$145,7,0))</f>
        <v>6.3715994880863777E-5</v>
      </c>
      <c r="P81" s="224">
        <f>IF(ISERROR(VLOOKUP($A81,'HRGs to TFCs % Split'!$A$8:$I$145,6,0)),0,VLOOKUP($A81,'HRGs to TFCs % Split'!$A$8:$I$145,8,0))</f>
        <v>3.8541834575713919E-5</v>
      </c>
      <c r="Q81" s="224">
        <f>IF(ISERROR(VLOOKUP($A81,'HRGs to TFCs % Split'!$A$8:$I$145,6,0)),0,VLOOKUP($A81,'HRGs to TFCs % Split'!$A$8:$I$145,9,0))</f>
        <v>6.7814114000306778E-5</v>
      </c>
      <c r="R81" s="225">
        <f t="shared" si="94"/>
        <v>16</v>
      </c>
      <c r="S81" s="225">
        <f t="shared" si="95"/>
        <v>86</v>
      </c>
      <c r="T81" s="225">
        <f t="shared" si="96"/>
        <v>52</v>
      </c>
      <c r="U81" s="225">
        <f t="shared" si="97"/>
        <v>92</v>
      </c>
      <c r="V81" s="224">
        <f>IF(ISERROR(VLOOKUP($A81,'HRGs to TFCs % Split'!$A$8:$I$145,6,0)),0,VLOOKUP($A81,'HRGs to TFCs % Split'!$A$8:$I$145,6,0))</f>
        <v>1.2099208828831711E-5</v>
      </c>
      <c r="W81" s="224">
        <f>IF(ISERROR(VLOOKUP($A81,'HRGs to TFCs % Split'!$A$8:$I$145,6,0)),0,VLOOKUP($A81,'HRGs to TFCs % Split'!$A$8:$I$145,7,0))</f>
        <v>6.3715994880863777E-5</v>
      </c>
      <c r="X81" s="224">
        <f>IF(ISERROR(VLOOKUP($A81,'HRGs to TFCs % Split'!$A$8:$I$145,6,0)),0,VLOOKUP($A81,'HRGs to TFCs % Split'!$A$8:$I$145,8,0))</f>
        <v>3.8541834575713919E-5</v>
      </c>
      <c r="Y81" s="224">
        <f>IF(ISERROR(VLOOKUP($A81,'HRGs to TFCs % Split'!$A$8:$I$145,6,0)),0,VLOOKUP($A81,'HRGs to TFCs % Split'!$A$8:$I$145,9,0))</f>
        <v>6.7814114000306778E-5</v>
      </c>
      <c r="Z81" s="225">
        <f t="shared" si="110"/>
        <v>1908.0588953190702</v>
      </c>
      <c r="AA81" s="225">
        <f t="shared" si="111"/>
        <v>10048.084343898008</v>
      </c>
      <c r="AB81" s="225">
        <f t="shared" si="112"/>
        <v>6078.0908358954248</v>
      </c>
      <c r="AC81" s="225">
        <f t="shared" si="113"/>
        <v>10694.36235682866</v>
      </c>
      <c r="AD81" s="226">
        <f t="shared" si="98"/>
        <v>588</v>
      </c>
      <c r="AE81" s="226">
        <f t="shared" si="99"/>
        <v>22921</v>
      </c>
      <c r="AF81" s="226">
        <f t="shared" si="100"/>
        <v>649</v>
      </c>
      <c r="AG81" s="226">
        <f t="shared" si="101"/>
        <v>53721</v>
      </c>
      <c r="AH81" s="226">
        <f t="shared" si="102"/>
        <v>110239.47286964608</v>
      </c>
      <c r="AI81" s="226">
        <f t="shared" si="103"/>
        <v>5879107.058249698</v>
      </c>
      <c r="AJ81" s="226">
        <f t="shared" si="104"/>
        <v>87833.302083597911</v>
      </c>
      <c r="AK81" s="226">
        <f t="shared" si="105"/>
        <v>10169573.136752428</v>
      </c>
      <c r="AL81" s="227">
        <f t="shared" si="106"/>
        <v>187.48209671708517</v>
      </c>
      <c r="AM81" s="227">
        <f t="shared" si="107"/>
        <v>256.49435270056711</v>
      </c>
      <c r="AN81" s="227">
        <f t="shared" si="108"/>
        <v>135.33636684683808</v>
      </c>
      <c r="AO81" s="227">
        <f t="shared" si="109"/>
        <v>189.30349652375102</v>
      </c>
      <c r="AP81" s="228">
        <f t="shared" si="114"/>
        <v>-1.0076990709389277E-2</v>
      </c>
      <c r="AQ81" s="228">
        <f t="shared" si="115"/>
        <v>-2.0463979049706316E-3</v>
      </c>
      <c r="AR81" s="228">
        <f t="shared" si="116"/>
        <v>-1.1735034690735113E-2</v>
      </c>
      <c r="AS81" s="228">
        <f t="shared" si="117"/>
        <v>-6.6164381647093595E-4</v>
      </c>
      <c r="AT81" s="227">
        <f>IF(ISERROR(VLOOKUP(A81,Mandatory!A:A,1,FALSE)),0,1)</f>
        <v>0</v>
      </c>
    </row>
    <row r="82" spans="1:46">
      <c r="A82" s="231">
        <v>315</v>
      </c>
      <c r="B82" s="222">
        <f>VLOOKUP(A82,OPATT_Activities!A:J,3,FALSE)</f>
        <v>219</v>
      </c>
      <c r="C82" s="222">
        <f>VLOOKUP(A82,OPATT_Activities!A:J,4,FALSE)</f>
        <v>7929</v>
      </c>
      <c r="D82" s="222">
        <f>VLOOKUP(A82,OPATT_Activities!A:J,5,FALSE)</f>
        <v>587</v>
      </c>
      <c r="E82" s="222">
        <f>VLOOKUP(A82,OPATT_Activities!A:J,6,FALSE)</f>
        <v>17205</v>
      </c>
      <c r="F82" s="222">
        <f>VLOOKUP(A82,OPATT_Cost_Quantum!A:F,2,FALSE)</f>
        <v>52406.887443340704</v>
      </c>
      <c r="G82" s="222">
        <f>VLOOKUP(A82,OPATT_Cost_Quantum!A:F,3,FALSE)</f>
        <v>1456914.7395084801</v>
      </c>
      <c r="H82" s="222">
        <f>VLOOKUP(A82,OPATT_Cost_Quantum!A:F,4,FALSE)</f>
        <v>75665.154253400397</v>
      </c>
      <c r="I82" s="222">
        <f>VLOOKUP(A82,OPATT_Cost_Quantum!A:F,5,FALSE)</f>
        <v>2492116.3034175499</v>
      </c>
      <c r="J82" s="223">
        <f t="shared" si="93"/>
        <v>239.30085590566532</v>
      </c>
      <c r="K82" s="223">
        <f t="shared" si="93"/>
        <v>183.74508002377098</v>
      </c>
      <c r="L82" s="223">
        <f t="shared" si="93"/>
        <v>128.90145528688313</v>
      </c>
      <c r="M82" s="223">
        <f t="shared" si="93"/>
        <v>144.84837567088346</v>
      </c>
      <c r="N82" s="224">
        <f>IF(ISERROR(VLOOKUP($A82,'HRGs to TFCs % Split'!$A$8:$I$145,6,0)),0,VLOOKUP($A82,'HRGs to TFCs % Split'!$A$8:$I$145,6,0))</f>
        <v>9.7574264748642833E-8</v>
      </c>
      <c r="O82" s="224">
        <f>IF(ISERROR(VLOOKUP($A82,'HRGs to TFCs % Split'!$A$8:$I$145,6,0)),0,VLOOKUP($A82,'HRGs to TFCs % Split'!$A$8:$I$145,7,0))</f>
        <v>2.3417823539674281E-6</v>
      </c>
      <c r="P82" s="224">
        <f>IF(ISERROR(VLOOKUP($A82,'HRGs to TFCs % Split'!$A$8:$I$145,6,0)),0,VLOOKUP($A82,'HRGs to TFCs % Split'!$A$8:$I$145,8,0))</f>
        <v>3.9029705899457133E-7</v>
      </c>
      <c r="Q82" s="224">
        <f>IF(ISERROR(VLOOKUP($A82,'HRGs to TFCs % Split'!$A$8:$I$145,6,0)),0,VLOOKUP($A82,'HRGs to TFCs % Split'!$A$8:$I$145,9,0))</f>
        <v>1.3465248535312713E-5</v>
      </c>
      <c r="R82" s="225">
        <f t="shared" si="94"/>
        <v>0</v>
      </c>
      <c r="S82" s="225">
        <f t="shared" si="95"/>
        <v>3</v>
      </c>
      <c r="T82" s="225">
        <f t="shared" si="96"/>
        <v>1</v>
      </c>
      <c r="U82" s="225">
        <f t="shared" si="97"/>
        <v>18</v>
      </c>
      <c r="V82" s="224">
        <f>IF(ISERROR(VLOOKUP($A82,'HRGs to TFCs % Split'!$A$8:$I$145,6,0)),0,VLOOKUP($A82,'HRGs to TFCs % Split'!$A$8:$I$145,6,0))</f>
        <v>9.7574264748642833E-8</v>
      </c>
      <c r="W82" s="224">
        <f>IF(ISERROR(VLOOKUP($A82,'HRGs to TFCs % Split'!$A$8:$I$145,6,0)),0,VLOOKUP($A82,'HRGs to TFCs % Split'!$A$8:$I$145,7,0))</f>
        <v>2.3417823539674281E-6</v>
      </c>
      <c r="X82" s="224">
        <f>IF(ISERROR(VLOOKUP($A82,'HRGs to TFCs % Split'!$A$8:$I$145,6,0)),0,VLOOKUP($A82,'HRGs to TFCs % Split'!$A$8:$I$145,8,0))</f>
        <v>3.9029705899457133E-7</v>
      </c>
      <c r="Y82" s="224">
        <f>IF(ISERROR(VLOOKUP($A82,'HRGs to TFCs % Split'!$A$8:$I$145,6,0)),0,VLOOKUP($A82,'HRGs to TFCs % Split'!$A$8:$I$145,9,0))</f>
        <v>1.3465248535312713E-5</v>
      </c>
      <c r="Z82" s="225">
        <f t="shared" si="110"/>
        <v>15.387571736444114</v>
      </c>
      <c r="AA82" s="225">
        <f t="shared" si="111"/>
        <v>369.30172167465878</v>
      </c>
      <c r="AB82" s="225">
        <f t="shared" si="112"/>
        <v>61.550286945776456</v>
      </c>
      <c r="AC82" s="225">
        <f t="shared" si="113"/>
        <v>2123.4848996292881</v>
      </c>
      <c r="AD82" s="226">
        <f t="shared" si="98"/>
        <v>219</v>
      </c>
      <c r="AE82" s="226">
        <f t="shared" si="99"/>
        <v>7932</v>
      </c>
      <c r="AF82" s="226">
        <f t="shared" si="100"/>
        <v>588</v>
      </c>
      <c r="AG82" s="226">
        <f t="shared" si="101"/>
        <v>17223</v>
      </c>
      <c r="AH82" s="226">
        <f t="shared" si="102"/>
        <v>52422.275015077146</v>
      </c>
      <c r="AI82" s="226">
        <f t="shared" si="103"/>
        <v>1457284.0412301547</v>
      </c>
      <c r="AJ82" s="226">
        <f t="shared" si="104"/>
        <v>75726.704540346167</v>
      </c>
      <c r="AK82" s="226">
        <f t="shared" si="105"/>
        <v>2494239.7883171793</v>
      </c>
      <c r="AL82" s="227">
        <f t="shared" si="106"/>
        <v>239.37111879030661</v>
      </c>
      <c r="AM82" s="227">
        <f t="shared" si="107"/>
        <v>183.72214337243503</v>
      </c>
      <c r="AN82" s="227">
        <f t="shared" si="108"/>
        <v>128.78691248358192</v>
      </c>
      <c r="AO82" s="227">
        <f t="shared" si="109"/>
        <v>144.82028614742956</v>
      </c>
      <c r="AP82" s="228">
        <f t="shared" si="114"/>
        <v>2.9361735617450258E-4</v>
      </c>
      <c r="AQ82" s="228">
        <f t="shared" si="115"/>
        <v>-1.2482865572771562E-4</v>
      </c>
      <c r="AR82" s="228">
        <f t="shared" si="116"/>
        <v>-8.8860752616248817E-4</v>
      </c>
      <c r="AS82" s="228">
        <f t="shared" si="117"/>
        <v>-1.9392363444736826E-4</v>
      </c>
      <c r="AT82" s="227">
        <f>IF(ISERROR(VLOOKUP(A82,Mandatory!A:A,1,FALSE)),0,1)</f>
        <v>0</v>
      </c>
    </row>
    <row r="83" spans="1:46">
      <c r="A83" s="231">
        <v>316</v>
      </c>
      <c r="B83" s="222">
        <f>VLOOKUP(A83,OPATT_Activities!A:J,3,FALSE)</f>
        <v>655</v>
      </c>
      <c r="C83" s="222">
        <f>VLOOKUP(A83,OPATT_Activities!A:J,4,FALSE)</f>
        <v>5953</v>
      </c>
      <c r="D83" s="222">
        <f>VLOOKUP(A83,OPATT_Activities!A:J,5,FALSE)</f>
        <v>1960</v>
      </c>
      <c r="E83" s="222">
        <f>VLOOKUP(A83,OPATT_Activities!A:J,6,FALSE)</f>
        <v>12881</v>
      </c>
      <c r="F83" s="222">
        <f>VLOOKUP(A83,OPATT_Cost_Quantum!A:F,2,FALSE)</f>
        <v>185492.470015236</v>
      </c>
      <c r="G83" s="222">
        <f>VLOOKUP(A83,OPATT_Cost_Quantum!A:F,3,FALSE)</f>
        <v>1328212.30801219</v>
      </c>
      <c r="H83" s="222">
        <f>VLOOKUP(A83,OPATT_Cost_Quantum!A:F,4,FALSE)</f>
        <v>480285.03557486401</v>
      </c>
      <c r="I83" s="222">
        <f>VLOOKUP(A83,OPATT_Cost_Quantum!A:F,5,FALSE)</f>
        <v>2483949.7480444</v>
      </c>
      <c r="J83" s="223">
        <f t="shared" si="93"/>
        <v>283.194610710284</v>
      </c>
      <c r="K83" s="223">
        <f t="shared" si="93"/>
        <v>223.11646363383002</v>
      </c>
      <c r="L83" s="223">
        <f t="shared" si="93"/>
        <v>245.0433854973796</v>
      </c>
      <c r="M83" s="223">
        <f t="shared" si="93"/>
        <v>192.83826939246953</v>
      </c>
      <c r="N83" s="224">
        <f>IF(ISERROR(VLOOKUP($A83,'HRGs to TFCs % Split'!$A$8:$I$145,6,0)),0,VLOOKUP($A83,'HRGs to TFCs % Split'!$A$8:$I$145,6,0))</f>
        <v>6.8301985324049985E-7</v>
      </c>
      <c r="O83" s="224">
        <f>IF(ISERROR(VLOOKUP($A83,'HRGs to TFCs % Split'!$A$8:$I$145,6,0)),0,VLOOKUP($A83,'HRGs to TFCs % Split'!$A$8:$I$145,7,0))</f>
        <v>2.3612972069171566E-5</v>
      </c>
      <c r="P83" s="224">
        <f>IF(ISERROR(VLOOKUP($A83,'HRGs to TFCs % Split'!$A$8:$I$145,6,0)),0,VLOOKUP($A83,'HRGs to TFCs % Split'!$A$8:$I$145,8,0))</f>
        <v>9.7574264748642841E-7</v>
      </c>
      <c r="Q83" s="224">
        <f>IF(ISERROR(VLOOKUP($A83,'HRGs to TFCs % Split'!$A$8:$I$145,6,0)),0,VLOOKUP($A83,'HRGs to TFCs % Split'!$A$8:$I$145,9,0))</f>
        <v>6.2447529439131413E-6</v>
      </c>
      <c r="R83" s="225">
        <f t="shared" si="94"/>
        <v>1</v>
      </c>
      <c r="S83" s="225">
        <f t="shared" si="95"/>
        <v>32</v>
      </c>
      <c r="T83" s="225">
        <f t="shared" si="96"/>
        <v>1</v>
      </c>
      <c r="U83" s="225">
        <f t="shared" si="97"/>
        <v>8</v>
      </c>
      <c r="V83" s="224">
        <f>IF(ISERROR(VLOOKUP($A83,'HRGs to TFCs % Split'!$A$8:$I$145,6,0)),0,VLOOKUP($A83,'HRGs to TFCs % Split'!$A$8:$I$145,6,0))</f>
        <v>6.8301985324049985E-7</v>
      </c>
      <c r="W83" s="224">
        <f>IF(ISERROR(VLOOKUP($A83,'HRGs to TFCs % Split'!$A$8:$I$145,6,0)),0,VLOOKUP($A83,'HRGs to TFCs % Split'!$A$8:$I$145,7,0))</f>
        <v>2.3612972069171566E-5</v>
      </c>
      <c r="X83" s="224">
        <f>IF(ISERROR(VLOOKUP($A83,'HRGs to TFCs % Split'!$A$8:$I$145,6,0)),0,VLOOKUP($A83,'HRGs to TFCs % Split'!$A$8:$I$145,8,0))</f>
        <v>9.7574264748642841E-7</v>
      </c>
      <c r="Y83" s="224">
        <f>IF(ISERROR(VLOOKUP($A83,'HRGs to TFCs % Split'!$A$8:$I$145,6,0)),0,VLOOKUP($A83,'HRGs to TFCs % Split'!$A$8:$I$145,9,0))</f>
        <v>6.2447529439131413E-6</v>
      </c>
      <c r="Z83" s="225">
        <f t="shared" si="110"/>
        <v>107.71300215510881</v>
      </c>
      <c r="AA83" s="225">
        <f t="shared" si="111"/>
        <v>3723.7923602194755</v>
      </c>
      <c r="AB83" s="225">
        <f t="shared" si="112"/>
        <v>153.87571736444116</v>
      </c>
      <c r="AC83" s="225">
        <f t="shared" si="113"/>
        <v>984.8045911324233</v>
      </c>
      <c r="AD83" s="226">
        <f t="shared" si="98"/>
        <v>656</v>
      </c>
      <c r="AE83" s="226">
        <f t="shared" si="99"/>
        <v>5985</v>
      </c>
      <c r="AF83" s="226">
        <f t="shared" si="100"/>
        <v>1961</v>
      </c>
      <c r="AG83" s="226">
        <f t="shared" si="101"/>
        <v>12889</v>
      </c>
      <c r="AH83" s="226">
        <f t="shared" si="102"/>
        <v>185600.1830173911</v>
      </c>
      <c r="AI83" s="226">
        <f t="shared" si="103"/>
        <v>1331936.1003724094</v>
      </c>
      <c r="AJ83" s="226">
        <f t="shared" si="104"/>
        <v>480438.91129222844</v>
      </c>
      <c r="AK83" s="226">
        <f t="shared" si="105"/>
        <v>2484934.5526355323</v>
      </c>
      <c r="AL83" s="227">
        <f t="shared" si="106"/>
        <v>282.92710825821814</v>
      </c>
      <c r="AM83" s="227">
        <f t="shared" si="107"/>
        <v>222.54571434793809</v>
      </c>
      <c r="AN83" s="227">
        <f t="shared" si="108"/>
        <v>244.99689510057544</v>
      </c>
      <c r="AO83" s="227">
        <f t="shared" si="109"/>
        <v>192.79498429944388</v>
      </c>
      <c r="AP83" s="228">
        <f t="shared" si="114"/>
        <v>-9.4458878082082087E-4</v>
      </c>
      <c r="AQ83" s="228">
        <f t="shared" si="115"/>
        <v>-2.558077860308039E-3</v>
      </c>
      <c r="AR83" s="228">
        <f t="shared" si="116"/>
        <v>-1.8972312478382491E-4</v>
      </c>
      <c r="AS83" s="228">
        <f t="shared" si="117"/>
        <v>-2.2446318960445133E-4</v>
      </c>
      <c r="AT83" s="227">
        <f>IF(ISERROR(VLOOKUP(A83,Mandatory!A:A,1,FALSE)),0,1)</f>
        <v>0</v>
      </c>
    </row>
    <row r="84" spans="1:46">
      <c r="A84" s="231">
        <v>317</v>
      </c>
      <c r="B84" s="222">
        <f>VLOOKUP(A84,OPATT_Activities!A:J,3,FALSE)</f>
        <v>82</v>
      </c>
      <c r="C84" s="222">
        <f>VLOOKUP(A84,OPATT_Activities!A:J,4,FALSE)</f>
        <v>13132</v>
      </c>
      <c r="D84" s="222">
        <f>VLOOKUP(A84,OPATT_Activities!A:J,5,FALSE)</f>
        <v>753</v>
      </c>
      <c r="E84" s="222">
        <f>VLOOKUP(A84,OPATT_Activities!A:J,6,FALSE)</f>
        <v>16179</v>
      </c>
      <c r="F84" s="222">
        <f>VLOOKUP(A84,OPATT_Cost_Quantum!A:F,2,FALSE)</f>
        <v>10592.319493163701</v>
      </c>
      <c r="G84" s="222">
        <f>VLOOKUP(A84,OPATT_Cost_Quantum!A:F,3,FALSE)</f>
        <v>1972175.1088268701</v>
      </c>
      <c r="H84" s="222">
        <f>VLOOKUP(A84,OPATT_Cost_Quantum!A:F,4,FALSE)</f>
        <v>144455.24237442101</v>
      </c>
      <c r="I84" s="222">
        <f>VLOOKUP(A84,OPATT_Cost_Quantum!A:F,5,FALSE)</f>
        <v>1874648.12439834</v>
      </c>
      <c r="J84" s="223">
        <f t="shared" si="93"/>
        <v>129.17462796541099</v>
      </c>
      <c r="K84" s="223">
        <f t="shared" si="93"/>
        <v>150.18086421161058</v>
      </c>
      <c r="L84" s="223">
        <f t="shared" si="93"/>
        <v>191.83963130733201</v>
      </c>
      <c r="M84" s="223">
        <f t="shared" si="93"/>
        <v>115.86922086645281</v>
      </c>
      <c r="N84" s="224">
        <f>IF(ISERROR(VLOOKUP($A84,'HRGs to TFCs % Split'!$A$8:$I$145,6,0)),0,VLOOKUP($A84,'HRGs to TFCs % Split'!$A$8:$I$145,6,0))</f>
        <v>1.7338946845833831E-4</v>
      </c>
      <c r="O84" s="224">
        <f>IF(ISERROR(VLOOKUP($A84,'HRGs to TFCs % Split'!$A$8:$I$145,6,0)),0,VLOOKUP($A84,'HRGs to TFCs % Split'!$A$8:$I$145,7,0))</f>
        <v>3.2384898470074559E-4</v>
      </c>
      <c r="P84" s="224">
        <f>IF(ISERROR(VLOOKUP($A84,'HRGs to TFCs % Split'!$A$8:$I$145,6,0)),0,VLOOKUP($A84,'HRGs to TFCs % Split'!$A$8:$I$145,8,0))</f>
        <v>3.8151537516719348E-5</v>
      </c>
      <c r="Q84" s="224">
        <f>IF(ISERROR(VLOOKUP($A84,'HRGs to TFCs % Split'!$A$8:$I$145,6,0)),0,VLOOKUP($A84,'HRGs to TFCs % Split'!$A$8:$I$145,9,0))</f>
        <v>1.9124555890733997E-4</v>
      </c>
      <c r="R84" s="225">
        <f t="shared" si="94"/>
        <v>234</v>
      </c>
      <c r="S84" s="225">
        <f t="shared" si="95"/>
        <v>437</v>
      </c>
      <c r="T84" s="225">
        <f t="shared" si="96"/>
        <v>51</v>
      </c>
      <c r="U84" s="225">
        <f t="shared" si="97"/>
        <v>258</v>
      </c>
      <c r="V84" s="224">
        <f>IF(ISERROR(VLOOKUP($A84,'HRGs to TFCs % Split'!$A$8:$I$145,6,0)),0,VLOOKUP($A84,'HRGs to TFCs % Split'!$A$8:$I$145,6,0))</f>
        <v>1.7338946845833831E-4</v>
      </c>
      <c r="W84" s="224">
        <f>IF(ISERROR(VLOOKUP($A84,'HRGs to TFCs % Split'!$A$8:$I$145,6,0)),0,VLOOKUP($A84,'HRGs to TFCs % Split'!$A$8:$I$145,7,0))</f>
        <v>3.2384898470074559E-4</v>
      </c>
      <c r="X84" s="224">
        <f>IF(ISERROR(VLOOKUP($A84,'HRGs to TFCs % Split'!$A$8:$I$145,6,0)),0,VLOOKUP($A84,'HRGs to TFCs % Split'!$A$8:$I$145,8,0))</f>
        <v>3.8151537516719348E-5</v>
      </c>
      <c r="Y84" s="224">
        <f>IF(ISERROR(VLOOKUP($A84,'HRGs to TFCs % Split'!$A$8:$I$145,6,0)),0,VLOOKUP($A84,'HRGs to TFCs % Split'!$A$8:$I$145,9,0))</f>
        <v>1.9124555890733997E-4</v>
      </c>
      <c r="Z84" s="225">
        <f t="shared" si="110"/>
        <v>27343.714975661191</v>
      </c>
      <c r="AA84" s="225">
        <f t="shared" si="111"/>
        <v>51071.350593258023</v>
      </c>
      <c r="AB84" s="225">
        <f t="shared" si="112"/>
        <v>6016.5405489496488</v>
      </c>
      <c r="AC84" s="225">
        <f t="shared" si="113"/>
        <v>30159.640603430467</v>
      </c>
      <c r="AD84" s="226">
        <f t="shared" si="98"/>
        <v>316</v>
      </c>
      <c r="AE84" s="226">
        <f t="shared" si="99"/>
        <v>13569</v>
      </c>
      <c r="AF84" s="226">
        <f t="shared" si="100"/>
        <v>804</v>
      </c>
      <c r="AG84" s="226">
        <f t="shared" si="101"/>
        <v>16437</v>
      </c>
      <c r="AH84" s="226">
        <f t="shared" si="102"/>
        <v>37936.034468824888</v>
      </c>
      <c r="AI84" s="226">
        <f t="shared" si="103"/>
        <v>2023246.459420128</v>
      </c>
      <c r="AJ84" s="226">
        <f t="shared" si="104"/>
        <v>150471.78292337066</v>
      </c>
      <c r="AK84" s="226">
        <f t="shared" si="105"/>
        <v>1904807.7650017706</v>
      </c>
      <c r="AL84" s="227">
        <f t="shared" si="106"/>
        <v>120.05074198995217</v>
      </c>
      <c r="AM84" s="227">
        <f t="shared" si="107"/>
        <v>149.10800054684412</v>
      </c>
      <c r="AN84" s="227">
        <f t="shared" si="108"/>
        <v>187.15395885991376</v>
      </c>
      <c r="AO84" s="227">
        <f t="shared" si="109"/>
        <v>115.88536624698975</v>
      </c>
      <c r="AP84" s="228">
        <f t="shared" si="114"/>
        <v>-7.0632183108759738E-2</v>
      </c>
      <c r="AQ84" s="228">
        <f t="shared" si="115"/>
        <v>-7.1438107005080687E-3</v>
      </c>
      <c r="AR84" s="228">
        <f t="shared" si="116"/>
        <v>-2.4424945020414923E-2</v>
      </c>
      <c r="AS84" s="228">
        <f t="shared" si="117"/>
        <v>1.3934140935978334E-4</v>
      </c>
      <c r="AT84" s="227">
        <f>IF(ISERROR(VLOOKUP(A84,Mandatory!A:A,1,FALSE)),0,1)</f>
        <v>0</v>
      </c>
    </row>
    <row r="85" spans="1:46">
      <c r="A85" s="231">
        <v>318</v>
      </c>
      <c r="B85" s="222">
        <f>VLOOKUP(A85,OPATT_Activities!A:J,3,FALSE)</f>
        <v>0</v>
      </c>
      <c r="C85" s="222">
        <f>VLOOKUP(A85,OPATT_Activities!A:J,4,FALSE)</f>
        <v>457</v>
      </c>
      <c r="D85" s="222">
        <f>VLOOKUP(A85,OPATT_Activities!A:J,5,FALSE)</f>
        <v>0</v>
      </c>
      <c r="E85" s="222">
        <f>VLOOKUP(A85,OPATT_Activities!A:J,6,FALSE)</f>
        <v>81</v>
      </c>
      <c r="F85" s="222">
        <f>VLOOKUP(A85,OPATT_Cost_Quantum!A:F,2,FALSE)</f>
        <v>0</v>
      </c>
      <c r="G85" s="222">
        <f>VLOOKUP(A85,OPATT_Cost_Quantum!A:F,3,FALSE)</f>
        <v>48420.513646749001</v>
      </c>
      <c r="H85" s="222">
        <f>VLOOKUP(A85,OPATT_Cost_Quantum!A:F,4,FALSE)</f>
        <v>0</v>
      </c>
      <c r="I85" s="222">
        <f>VLOOKUP(A85,OPATT_Cost_Quantum!A:F,5,FALSE)</f>
        <v>5703.0218822609304</v>
      </c>
      <c r="J85" s="223">
        <f t="shared" si="93"/>
        <v>0</v>
      </c>
      <c r="K85" s="223">
        <f t="shared" si="93"/>
        <v>105.95298390973524</v>
      </c>
      <c r="L85" s="223">
        <f t="shared" si="93"/>
        <v>0</v>
      </c>
      <c r="M85" s="223">
        <f t="shared" si="93"/>
        <v>70.407677558776925</v>
      </c>
      <c r="N85" s="224">
        <f>IF(ISERROR(VLOOKUP($A85,'HRGs to TFCs % Split'!$A$8:$I$145,6,0)),0,VLOOKUP($A85,'HRGs to TFCs % Split'!$A$8:$I$145,6,0))</f>
        <v>0</v>
      </c>
      <c r="O85" s="224">
        <f>IF(ISERROR(VLOOKUP($A85,'HRGs to TFCs % Split'!$A$8:$I$145,6,0)),0,VLOOKUP($A85,'HRGs to TFCs % Split'!$A$8:$I$145,7,0))</f>
        <v>2.5759605893641711E-5</v>
      </c>
      <c r="P85" s="224">
        <f>IF(ISERROR(VLOOKUP($A85,'HRGs to TFCs % Split'!$A$8:$I$145,6,0)),0,VLOOKUP($A85,'HRGs to TFCs % Split'!$A$8:$I$145,8,0))</f>
        <v>0</v>
      </c>
      <c r="Q85" s="224">
        <f>IF(ISERROR(VLOOKUP($A85,'HRGs to TFCs % Split'!$A$8:$I$145,6,0)),0,VLOOKUP($A85,'HRGs to TFCs % Split'!$A$8:$I$145,9,0))</f>
        <v>3.8053963251970708E-6</v>
      </c>
      <c r="R85" s="225">
        <f t="shared" si="94"/>
        <v>0</v>
      </c>
      <c r="S85" s="225">
        <f t="shared" si="95"/>
        <v>35</v>
      </c>
      <c r="T85" s="225">
        <f t="shared" si="96"/>
        <v>0</v>
      </c>
      <c r="U85" s="225">
        <f t="shared" si="97"/>
        <v>5</v>
      </c>
      <c r="V85" s="224">
        <f>IF(ISERROR(VLOOKUP($A85,'HRGs to TFCs % Split'!$A$8:$I$145,6,0)),0,VLOOKUP($A85,'HRGs to TFCs % Split'!$A$8:$I$145,6,0))</f>
        <v>0</v>
      </c>
      <c r="W85" s="224">
        <f>IF(ISERROR(VLOOKUP($A85,'HRGs to TFCs % Split'!$A$8:$I$145,6,0)),0,VLOOKUP($A85,'HRGs to TFCs % Split'!$A$8:$I$145,7,0))</f>
        <v>2.5759605893641711E-5</v>
      </c>
      <c r="X85" s="224">
        <f>IF(ISERROR(VLOOKUP($A85,'HRGs to TFCs % Split'!$A$8:$I$145,6,0)),0,VLOOKUP($A85,'HRGs to TFCs % Split'!$A$8:$I$145,8,0))</f>
        <v>0</v>
      </c>
      <c r="Y85" s="224">
        <f>IF(ISERROR(VLOOKUP($A85,'HRGs to TFCs % Split'!$A$8:$I$145,6,0)),0,VLOOKUP($A85,'HRGs to TFCs % Split'!$A$8:$I$145,9,0))</f>
        <v>3.8053963251970708E-6</v>
      </c>
      <c r="Z85" s="225">
        <f t="shared" si="110"/>
        <v>0</v>
      </c>
      <c r="AA85" s="225">
        <f t="shared" si="111"/>
        <v>4062.3189384212469</v>
      </c>
      <c r="AB85" s="225">
        <f t="shared" si="112"/>
        <v>0</v>
      </c>
      <c r="AC85" s="225">
        <f t="shared" si="113"/>
        <v>600.11529772132053</v>
      </c>
      <c r="AD85" s="226">
        <f t="shared" si="98"/>
        <v>0</v>
      </c>
      <c r="AE85" s="226">
        <f t="shared" si="99"/>
        <v>492</v>
      </c>
      <c r="AF85" s="226">
        <f t="shared" si="100"/>
        <v>0</v>
      </c>
      <c r="AG85" s="226">
        <f t="shared" si="101"/>
        <v>86</v>
      </c>
      <c r="AH85" s="226">
        <f t="shared" si="102"/>
        <v>0</v>
      </c>
      <c r="AI85" s="226">
        <f t="shared" si="103"/>
        <v>52482.832585170247</v>
      </c>
      <c r="AJ85" s="226">
        <f t="shared" si="104"/>
        <v>0</v>
      </c>
      <c r="AK85" s="226">
        <f t="shared" si="105"/>
        <v>6303.1371799822509</v>
      </c>
      <c r="AL85" s="227">
        <f t="shared" si="106"/>
        <v>0</v>
      </c>
      <c r="AM85" s="227">
        <f t="shared" si="107"/>
        <v>106.67242395359806</v>
      </c>
      <c r="AN85" s="227">
        <f t="shared" si="108"/>
        <v>0</v>
      </c>
      <c r="AO85" s="227">
        <f t="shared" si="109"/>
        <v>73.292292790491288</v>
      </c>
      <c r="AP85" s="228">
        <f t="shared" si="114"/>
        <v>0</v>
      </c>
      <c r="AQ85" s="228">
        <f t="shared" si="115"/>
        <v>6.7901819969102828E-3</v>
      </c>
      <c r="AR85" s="228">
        <f t="shared" si="116"/>
        <v>0</v>
      </c>
      <c r="AS85" s="228">
        <f t="shared" si="117"/>
        <v>4.0970180124266342E-2</v>
      </c>
      <c r="AT85" s="227">
        <f>IF(ISERROR(VLOOKUP(A85,Mandatory!A:A,1,FALSE)),0,1)</f>
        <v>0</v>
      </c>
    </row>
    <row r="86" spans="1:46">
      <c r="A86" s="231">
        <v>320</v>
      </c>
      <c r="B86" s="222">
        <f>VLOOKUP(A86,OPATT_Activities!A:J,3,FALSE)</f>
        <v>14900</v>
      </c>
      <c r="C86" s="222">
        <f>VLOOKUP(A86,OPATT_Activities!A:J,4,FALSE)</f>
        <v>700534</v>
      </c>
      <c r="D86" s="222">
        <f>VLOOKUP(A86,OPATT_Activities!A:J,5,FALSE)</f>
        <v>33265</v>
      </c>
      <c r="E86" s="222">
        <f>VLOOKUP(A86,OPATT_Activities!A:J,6,FALSE)</f>
        <v>1031224</v>
      </c>
      <c r="F86" s="222">
        <f>VLOOKUP(A86,OPATT_Cost_Quantum!A:F,2,FALSE)</f>
        <v>3102294.2728605298</v>
      </c>
      <c r="G86" s="222">
        <f>VLOOKUP(A86,OPATT_Cost_Quantum!A:F,3,FALSE)</f>
        <v>102412096.42487299</v>
      </c>
      <c r="H86" s="222">
        <f>VLOOKUP(A86,OPATT_Cost_Quantum!A:F,4,FALSE)</f>
        <v>5148497.0843701297</v>
      </c>
      <c r="I86" s="222">
        <f>VLOOKUP(A86,OPATT_Cost_Quantum!A:F,5,FALSE)</f>
        <v>116227326.798315</v>
      </c>
      <c r="J86" s="223">
        <f t="shared" ref="J86" si="118">IF(B86=0,0,F86/B86)</f>
        <v>208.20766931949865</v>
      </c>
      <c r="K86" s="223">
        <f t="shared" ref="K86" si="119">IF(C86=0,0,G86/C86)</f>
        <v>146.19147168427656</v>
      </c>
      <c r="L86" s="223">
        <f t="shared" ref="L86" si="120">IF(D86=0,0,H86/D86)</f>
        <v>154.77219553194439</v>
      </c>
      <c r="M86" s="223">
        <f t="shared" ref="M86" si="121">IF(E86=0,0,I86/E86)</f>
        <v>112.70812820329532</v>
      </c>
      <c r="N86" s="224">
        <f>IF(ISERROR(VLOOKUP($A86,'HRGs to TFCs % Split'!$A$8:$I$145,6,0)),0,VLOOKUP($A86,'HRGs to TFCs % Split'!$A$8:$I$145,6,0))</f>
        <v>3.1048131043018149E-4</v>
      </c>
      <c r="O86" s="224">
        <f>IF(ISERROR(VLOOKUP($A86,'HRGs to TFCs % Split'!$A$8:$I$145,6,0)),0,VLOOKUP($A86,'HRGs to TFCs % Split'!$A$8:$I$145,7,0))</f>
        <v>2.4203686667959849E-2</v>
      </c>
      <c r="P86" s="224">
        <f>IF(ISERROR(VLOOKUP($A86,'HRGs to TFCs % Split'!$A$8:$I$145,6,0)),0,VLOOKUP($A86,'HRGs to TFCs % Split'!$A$8:$I$145,8,0))</f>
        <v>4.4659740975453826E-4</v>
      </c>
      <c r="Q86" s="224">
        <f>IF(ISERROR(VLOOKUP($A86,'HRGs to TFCs % Split'!$A$8:$I$145,6,0)),0,VLOOKUP($A86,'HRGs to TFCs % Split'!$A$8:$I$145,9,0))</f>
        <v>2.4315018904038053E-2</v>
      </c>
      <c r="R86" s="225">
        <f t="shared" ref="R86" si="122">ROUND(N86*$R$3,0)</f>
        <v>419</v>
      </c>
      <c r="S86" s="225">
        <f t="shared" ref="S86" si="123">ROUND(O86*$R$3,0)</f>
        <v>32662</v>
      </c>
      <c r="T86" s="225">
        <f t="shared" ref="T86" si="124">ROUND(P86*$R$3,0)</f>
        <v>603</v>
      </c>
      <c r="U86" s="225">
        <f t="shared" ref="U86" si="125">ROUND(Q86*$R$3,0)</f>
        <v>32812</v>
      </c>
      <c r="V86" s="224">
        <f>IF(ISERROR(VLOOKUP($A86,'HRGs to TFCs % Split'!$A$8:$I$145,6,0)),0,VLOOKUP($A86,'HRGs to TFCs % Split'!$A$8:$I$145,6,0))</f>
        <v>3.1048131043018149E-4</v>
      </c>
      <c r="W86" s="224">
        <f>IF(ISERROR(VLOOKUP($A86,'HRGs to TFCs % Split'!$A$8:$I$145,6,0)),0,VLOOKUP($A86,'HRGs to TFCs % Split'!$A$8:$I$145,7,0))</f>
        <v>2.4203686667959849E-2</v>
      </c>
      <c r="X86" s="224">
        <f>IF(ISERROR(VLOOKUP($A86,'HRGs to TFCs % Split'!$A$8:$I$145,6,0)),0,VLOOKUP($A86,'HRGs to TFCs % Split'!$A$8:$I$145,8,0))</f>
        <v>4.4659740975453826E-4</v>
      </c>
      <c r="Y86" s="224">
        <f>IF(ISERROR(VLOOKUP($A86,'HRGs to TFCs % Split'!$A$8:$I$145,6,0)),0,VLOOKUP($A86,'HRGs to TFCs % Split'!$A$8:$I$145,9,0))</f>
        <v>2.4315018904038053E-2</v>
      </c>
      <c r="Z86" s="225">
        <f t="shared" ref="Z86" si="126">V86*$Z$3</f>
        <v>48963.253265365172</v>
      </c>
      <c r="AA86" s="225">
        <f t="shared" ref="AA86" si="127">W86*$Z$3</f>
        <v>3816948.7195119085</v>
      </c>
      <c r="AB86" s="225">
        <f t="shared" ref="AB86" si="128">X86*$Z$3</f>
        <v>70428.915837704713</v>
      </c>
      <c r="AC86" s="225">
        <f t="shared" ref="AC86" si="129">Y86*$Z$3</f>
        <v>3834505.9388631918</v>
      </c>
      <c r="AD86" s="226">
        <f t="shared" ref="AD86" si="130">B86+R86</f>
        <v>15319</v>
      </c>
      <c r="AE86" s="226">
        <f t="shared" ref="AE86" si="131">C86+S86</f>
        <v>733196</v>
      </c>
      <c r="AF86" s="226">
        <f t="shared" ref="AF86" si="132">D86+T86</f>
        <v>33868</v>
      </c>
      <c r="AG86" s="226">
        <f t="shared" ref="AG86" si="133">E86+U86</f>
        <v>1064036</v>
      </c>
      <c r="AH86" s="226">
        <f t="shared" ref="AH86" si="134">F86+Z86</f>
        <v>3151257.5261258949</v>
      </c>
      <c r="AI86" s="226">
        <f t="shared" ref="AI86" si="135">G86+AA86</f>
        <v>106229045.14438491</v>
      </c>
      <c r="AJ86" s="226">
        <f t="shared" ref="AJ86" si="136">H86+AB86</f>
        <v>5218926.0002078349</v>
      </c>
      <c r="AK86" s="226">
        <f t="shared" ref="AK86" si="137">I86+AC86</f>
        <v>120061832.73717819</v>
      </c>
      <c r="AL86" s="227">
        <f t="shared" ref="AL86" si="138">IF(AD86=0,0,AH86/AD86)</f>
        <v>205.70908846046706</v>
      </c>
      <c r="AM86" s="227">
        <f t="shared" ref="AM86" si="139">IF(AE86=0,0,AI86/AE86)</f>
        <v>144.88492182770352</v>
      </c>
      <c r="AN86" s="227">
        <f t="shared" ref="AN86" si="140">IF(AF86=0,0,AJ86/AF86)</f>
        <v>154.09607890066832</v>
      </c>
      <c r="AO86" s="227">
        <f t="shared" ref="AO86" si="141">IF(AG86=0,0,AK86/AG86)</f>
        <v>112.83625059413234</v>
      </c>
      <c r="AP86" s="228">
        <f t="shared" ref="AP86" si="142">IF(J86=0,0,AL86/J86-1)</f>
        <v>-1.200042662788503E-2</v>
      </c>
      <c r="AQ86" s="228">
        <f t="shared" ref="AQ86" si="143">IF(K86=0,0,AM86/K86-1)</f>
        <v>-8.9372508636805792E-3</v>
      </c>
      <c r="AR86" s="228">
        <f t="shared" ref="AR86" si="144">IF(L86=0,0,AN86/L86-1)</f>
        <v>-4.3684631399864005E-3</v>
      </c>
      <c r="AS86" s="228">
        <f t="shared" ref="AS86" si="145">IF(M86=0,0,AO86/M86-1)</f>
        <v>1.1367626530529584E-3</v>
      </c>
      <c r="AT86" s="227">
        <f>IF(ISERROR(VLOOKUP(A86,Mandatory!A:A,1,FALSE)),0,1)</f>
        <v>1</v>
      </c>
    </row>
    <row r="87" spans="1:46">
      <c r="A87" s="231">
        <v>321</v>
      </c>
      <c r="B87" s="222">
        <f>VLOOKUP(A87,OPATT_Activities!A:J,3,FALSE)</f>
        <v>1482</v>
      </c>
      <c r="C87" s="222">
        <f>VLOOKUP(A87,OPATT_Activities!A:J,4,FALSE)</f>
        <v>28130</v>
      </c>
      <c r="D87" s="222">
        <f>VLOOKUP(A87,OPATT_Activities!A:J,5,FALSE)</f>
        <v>3487</v>
      </c>
      <c r="E87" s="222">
        <f>VLOOKUP(A87,OPATT_Activities!A:J,6,FALSE)</f>
        <v>76405</v>
      </c>
      <c r="F87" s="222">
        <f>VLOOKUP(A87,OPATT_Cost_Quantum!A:F,2,FALSE)</f>
        <v>267913.79141358298</v>
      </c>
      <c r="G87" s="222">
        <f>VLOOKUP(A87,OPATT_Cost_Quantum!A:F,3,FALSE)</f>
        <v>5797429.0449858801</v>
      </c>
      <c r="H87" s="222">
        <f>VLOOKUP(A87,OPATT_Cost_Quantum!A:F,4,FALSE)</f>
        <v>670672.20117656502</v>
      </c>
      <c r="I87" s="222">
        <f>VLOOKUP(A87,OPATT_Cost_Quantum!A:F,5,FALSE)</f>
        <v>11203160.4613661</v>
      </c>
      <c r="J87" s="223">
        <f t="shared" si="93"/>
        <v>180.7785367163178</v>
      </c>
      <c r="K87" s="223">
        <f t="shared" si="93"/>
        <v>206.09417152456027</v>
      </c>
      <c r="L87" s="223">
        <f t="shared" si="93"/>
        <v>192.33501611028535</v>
      </c>
      <c r="M87" s="223">
        <f t="shared" si="93"/>
        <v>146.62862981959427</v>
      </c>
      <c r="N87" s="224">
        <f>IF(ISERROR(VLOOKUP($A87,'HRGs to TFCs % Split'!$A$8:$I$145,6,0)),0,VLOOKUP($A87,'HRGs to TFCs % Split'!$A$8:$I$145,6,0))</f>
        <v>6.0983915467901778E-5</v>
      </c>
      <c r="O87" s="224">
        <f>IF(ISERROR(VLOOKUP($A87,'HRGs to TFCs % Split'!$A$8:$I$145,6,0)),0,VLOOKUP($A87,'HRGs to TFCs % Split'!$A$8:$I$145,7,0))</f>
        <v>8.0732946653027087E-4</v>
      </c>
      <c r="P87" s="224">
        <f>IF(ISERROR(VLOOKUP($A87,'HRGs to TFCs % Split'!$A$8:$I$145,6,0)),0,VLOOKUP($A87,'HRGs to TFCs % Split'!$A$8:$I$145,8,0))</f>
        <v>5.2787677229015774E-5</v>
      </c>
      <c r="Q87" s="224">
        <f>IF(ISERROR(VLOOKUP($A87,'HRGs to TFCs % Split'!$A$8:$I$145,6,0)),0,VLOOKUP($A87,'HRGs to TFCs % Split'!$A$8:$I$145,9,0))</f>
        <v>1.0093081945599615E-3</v>
      </c>
      <c r="R87" s="225">
        <f t="shared" si="94"/>
        <v>82</v>
      </c>
      <c r="S87" s="225">
        <f t="shared" si="95"/>
        <v>1089</v>
      </c>
      <c r="T87" s="225">
        <f t="shared" si="96"/>
        <v>71</v>
      </c>
      <c r="U87" s="225">
        <f t="shared" si="97"/>
        <v>1362</v>
      </c>
      <c r="V87" s="224">
        <f>IF(ISERROR(VLOOKUP($A87,'HRGs to TFCs % Split'!$A$8:$I$145,6,0)),0,VLOOKUP($A87,'HRGs to TFCs % Split'!$A$8:$I$145,6,0))</f>
        <v>6.0983915467901778E-5</v>
      </c>
      <c r="W87" s="224">
        <f>IF(ISERROR(VLOOKUP($A87,'HRGs to TFCs % Split'!$A$8:$I$145,6,0)),0,VLOOKUP($A87,'HRGs to TFCs % Split'!$A$8:$I$145,7,0))</f>
        <v>8.0732946653027087E-4</v>
      </c>
      <c r="X87" s="224">
        <f>IF(ISERROR(VLOOKUP($A87,'HRGs to TFCs % Split'!$A$8:$I$145,6,0)),0,VLOOKUP($A87,'HRGs to TFCs % Split'!$A$8:$I$145,8,0))</f>
        <v>5.2787677229015774E-5</v>
      </c>
      <c r="Y87" s="224">
        <f>IF(ISERROR(VLOOKUP($A87,'HRGs to TFCs % Split'!$A$8:$I$145,6,0)),0,VLOOKUP($A87,'HRGs to TFCs % Split'!$A$8:$I$145,9,0))</f>
        <v>1.0093081945599615E-3</v>
      </c>
      <c r="Z87" s="225">
        <f t="shared" si="110"/>
        <v>9617.2323352775729</v>
      </c>
      <c r="AA87" s="225">
        <f t="shared" si="111"/>
        <v>127316.76854733861</v>
      </c>
      <c r="AB87" s="225">
        <f t="shared" si="112"/>
        <v>8324.676309416267</v>
      </c>
      <c r="AC87" s="225">
        <f t="shared" si="113"/>
        <v>159169.04204177792</v>
      </c>
      <c r="AD87" s="226">
        <f t="shared" si="98"/>
        <v>1564</v>
      </c>
      <c r="AE87" s="226">
        <f t="shared" si="99"/>
        <v>29219</v>
      </c>
      <c r="AF87" s="226">
        <f t="shared" si="100"/>
        <v>3558</v>
      </c>
      <c r="AG87" s="226">
        <f t="shared" si="101"/>
        <v>77767</v>
      </c>
      <c r="AH87" s="226">
        <f t="shared" si="102"/>
        <v>277531.02374886058</v>
      </c>
      <c r="AI87" s="226">
        <f t="shared" si="103"/>
        <v>5924745.8135332186</v>
      </c>
      <c r="AJ87" s="226">
        <f t="shared" si="104"/>
        <v>678996.87748598133</v>
      </c>
      <c r="AK87" s="226">
        <f t="shared" si="105"/>
        <v>11362329.503407879</v>
      </c>
      <c r="AL87" s="227">
        <f t="shared" si="106"/>
        <v>177.44950367574205</v>
      </c>
      <c r="AM87" s="227">
        <f t="shared" si="107"/>
        <v>202.77031430005198</v>
      </c>
      <c r="AN87" s="227">
        <f t="shared" si="108"/>
        <v>190.83667158122017</v>
      </c>
      <c r="AO87" s="227">
        <f t="shared" si="109"/>
        <v>146.10733991806137</v>
      </c>
      <c r="AP87" s="228">
        <f t="shared" si="114"/>
        <v>-1.8414979460751768E-2</v>
      </c>
      <c r="AQ87" s="228">
        <f t="shared" si="115"/>
        <v>-1.6127856503269311E-2</v>
      </c>
      <c r="AR87" s="228">
        <f t="shared" si="116"/>
        <v>-7.7902846780953938E-3</v>
      </c>
      <c r="AS87" s="228">
        <f t="shared" si="117"/>
        <v>-3.5551713343722202E-3</v>
      </c>
      <c r="AT87" s="227">
        <f>IF(ISERROR(VLOOKUP(A87,Mandatory!A:A,1,FALSE)),0,1)</f>
        <v>1</v>
      </c>
    </row>
    <row r="88" spans="1:46">
      <c r="A88" s="231">
        <v>322</v>
      </c>
      <c r="B88" s="222">
        <f>VLOOKUP(A88,OPATT_Activities!A:J,3,FALSE)</f>
        <v>0</v>
      </c>
      <c r="C88" s="222">
        <f>VLOOKUP(A88,OPATT_Activities!A:J,4,FALSE)</f>
        <v>209</v>
      </c>
      <c r="D88" s="222">
        <f>VLOOKUP(A88,OPATT_Activities!A:J,5,FALSE)</f>
        <v>0</v>
      </c>
      <c r="E88" s="222">
        <f>VLOOKUP(A88,OPATT_Activities!A:J,6,FALSE)</f>
        <v>459</v>
      </c>
      <c r="F88" s="222">
        <f>VLOOKUP(A88,OPATT_Cost_Quantum!A:F,2,FALSE)</f>
        <v>0</v>
      </c>
      <c r="G88" s="222">
        <f>VLOOKUP(A88,OPATT_Cost_Quantum!A:F,3,FALSE)</f>
        <v>39508.030174899301</v>
      </c>
      <c r="H88" s="222">
        <f>VLOOKUP(A88,OPATT_Cost_Quantum!A:F,4,FALSE)</f>
        <v>0</v>
      </c>
      <c r="I88" s="222">
        <f>VLOOKUP(A88,OPATT_Cost_Quantum!A:F,5,FALSE)</f>
        <v>39579.387166239103</v>
      </c>
      <c r="J88" s="223">
        <f t="shared" si="93"/>
        <v>0</v>
      </c>
      <c r="K88" s="223">
        <f t="shared" si="93"/>
        <v>189.03363720047511</v>
      </c>
      <c r="L88" s="223">
        <f t="shared" si="93"/>
        <v>0</v>
      </c>
      <c r="M88" s="223">
        <f t="shared" si="93"/>
        <v>86.229601669366232</v>
      </c>
      <c r="N88" s="224">
        <f>IF(ISERROR(VLOOKUP($A88,'HRGs to TFCs % Split'!$A$8:$I$145,6,0)),0,VLOOKUP($A88,'HRGs to TFCs % Split'!$A$8:$I$145,6,0))</f>
        <v>0</v>
      </c>
      <c r="O88" s="224">
        <f>IF(ISERROR(VLOOKUP($A88,'HRGs to TFCs % Split'!$A$8:$I$145,6,0)),0,VLOOKUP($A88,'HRGs to TFCs % Split'!$A$8:$I$145,7,0))</f>
        <v>4.8787132374321421E-7</v>
      </c>
      <c r="P88" s="224">
        <f>IF(ISERROR(VLOOKUP($A88,'HRGs to TFCs % Split'!$A$8:$I$145,6,0)),0,VLOOKUP($A88,'HRGs to TFCs % Split'!$A$8:$I$145,8,0))</f>
        <v>0</v>
      </c>
      <c r="Q88" s="224">
        <f>IF(ISERROR(VLOOKUP($A88,'HRGs to TFCs % Split'!$A$8:$I$145,6,0)),0,VLOOKUP($A88,'HRGs to TFCs % Split'!$A$8:$I$145,9,0))</f>
        <v>7.3180698561482132E-6</v>
      </c>
      <c r="R88" s="225">
        <f t="shared" si="94"/>
        <v>0</v>
      </c>
      <c r="S88" s="225">
        <f t="shared" si="95"/>
        <v>1</v>
      </c>
      <c r="T88" s="225">
        <f t="shared" si="96"/>
        <v>0</v>
      </c>
      <c r="U88" s="225">
        <f t="shared" si="97"/>
        <v>10</v>
      </c>
      <c r="V88" s="224">
        <f>IF(ISERROR(VLOOKUP($A88,'HRGs to TFCs % Split'!$A$8:$I$145,6,0)),0,VLOOKUP($A88,'HRGs to TFCs % Split'!$A$8:$I$145,6,0))</f>
        <v>0</v>
      </c>
      <c r="W88" s="224">
        <f>IF(ISERROR(VLOOKUP($A88,'HRGs to TFCs % Split'!$A$8:$I$145,6,0)),0,VLOOKUP($A88,'HRGs to TFCs % Split'!$A$8:$I$145,7,0))</f>
        <v>4.8787132374321421E-7</v>
      </c>
      <c r="X88" s="224">
        <f>IF(ISERROR(VLOOKUP($A88,'HRGs to TFCs % Split'!$A$8:$I$145,6,0)),0,VLOOKUP($A88,'HRGs to TFCs % Split'!$A$8:$I$145,8,0))</f>
        <v>0</v>
      </c>
      <c r="Y88" s="224">
        <f>IF(ISERROR(VLOOKUP($A88,'HRGs to TFCs % Split'!$A$8:$I$145,6,0)),0,VLOOKUP($A88,'HRGs to TFCs % Split'!$A$8:$I$145,9,0))</f>
        <v>7.3180698561482132E-6</v>
      </c>
      <c r="Z88" s="225">
        <f t="shared" si="110"/>
        <v>0</v>
      </c>
      <c r="AA88" s="225">
        <f t="shared" si="111"/>
        <v>76.937858682220579</v>
      </c>
      <c r="AB88" s="225">
        <f t="shared" si="112"/>
        <v>0</v>
      </c>
      <c r="AC88" s="225">
        <f t="shared" si="113"/>
        <v>1154.0678802333086</v>
      </c>
      <c r="AD88" s="226">
        <f t="shared" si="98"/>
        <v>0</v>
      </c>
      <c r="AE88" s="226">
        <f t="shared" si="99"/>
        <v>210</v>
      </c>
      <c r="AF88" s="226">
        <f t="shared" si="100"/>
        <v>0</v>
      </c>
      <c r="AG88" s="226">
        <f t="shared" si="101"/>
        <v>469</v>
      </c>
      <c r="AH88" s="226">
        <f t="shared" si="102"/>
        <v>0</v>
      </c>
      <c r="AI88" s="226">
        <f t="shared" si="103"/>
        <v>39584.968033581521</v>
      </c>
      <c r="AJ88" s="226">
        <f t="shared" si="104"/>
        <v>0</v>
      </c>
      <c r="AK88" s="226">
        <f t="shared" si="105"/>
        <v>40733.455046472409</v>
      </c>
      <c r="AL88" s="227">
        <f t="shared" si="106"/>
        <v>0</v>
      </c>
      <c r="AM88" s="227">
        <f t="shared" si="107"/>
        <v>188.49984777895963</v>
      </c>
      <c r="AN88" s="227">
        <f t="shared" si="108"/>
        <v>0</v>
      </c>
      <c r="AO88" s="227">
        <f t="shared" si="109"/>
        <v>86.851716516998735</v>
      </c>
      <c r="AP88" s="228">
        <f t="shared" si="114"/>
        <v>0</v>
      </c>
      <c r="AQ88" s="228">
        <f t="shared" si="115"/>
        <v>-2.8237800923726075E-3</v>
      </c>
      <c r="AR88" s="228">
        <f t="shared" si="116"/>
        <v>0</v>
      </c>
      <c r="AS88" s="228">
        <f t="shared" si="117"/>
        <v>7.2146320473323033E-3</v>
      </c>
      <c r="AT88" s="227">
        <f>IF(ISERROR(VLOOKUP(A88,Mandatory!A:A,1,FALSE)),0,1)</f>
        <v>0</v>
      </c>
    </row>
    <row r="89" spans="1:46">
      <c r="A89" s="231">
        <v>323</v>
      </c>
      <c r="B89" s="222">
        <f>VLOOKUP(A89,OPATT_Activities!A:J,3,FALSE)</f>
        <v>17</v>
      </c>
      <c r="C89" s="222">
        <f>VLOOKUP(A89,OPATT_Activities!A:J,4,FALSE)</f>
        <v>1165</v>
      </c>
      <c r="D89" s="222">
        <f>VLOOKUP(A89,OPATT_Activities!A:J,5,FALSE)</f>
        <v>79</v>
      </c>
      <c r="E89" s="222">
        <f>VLOOKUP(A89,OPATT_Activities!A:J,6,FALSE)</f>
        <v>11237</v>
      </c>
      <c r="F89" s="222">
        <f>VLOOKUP(A89,OPATT_Cost_Quantum!A:F,2,FALSE)</f>
        <v>5572.6013244338301</v>
      </c>
      <c r="G89" s="222">
        <f>VLOOKUP(A89,OPATT_Cost_Quantum!A:F,3,FALSE)</f>
        <v>513540.49208916002</v>
      </c>
      <c r="H89" s="222">
        <f>VLOOKUP(A89,OPATT_Cost_Quantum!A:F,4,FALSE)</f>
        <v>22583.148078392602</v>
      </c>
      <c r="I89" s="222">
        <f>VLOOKUP(A89,OPATT_Cost_Quantum!A:F,5,FALSE)</f>
        <v>2794732.0508968802</v>
      </c>
      <c r="J89" s="223">
        <f t="shared" si="93"/>
        <v>327.80007790787238</v>
      </c>
      <c r="K89" s="223">
        <f t="shared" si="93"/>
        <v>440.80728934691848</v>
      </c>
      <c r="L89" s="223">
        <f t="shared" si="93"/>
        <v>285.8626339037038</v>
      </c>
      <c r="M89" s="223">
        <f t="shared" si="93"/>
        <v>248.70802268371276</v>
      </c>
      <c r="N89" s="224">
        <f>IF(ISERROR(VLOOKUP($A89,'HRGs to TFCs % Split'!$A$8:$I$145,6,0)),0,VLOOKUP($A89,'HRGs to TFCs % Split'!$A$8:$I$145,6,0))</f>
        <v>0</v>
      </c>
      <c r="O89" s="224">
        <f>IF(ISERROR(VLOOKUP($A89,'HRGs to TFCs % Split'!$A$8:$I$145,6,0)),0,VLOOKUP($A89,'HRGs to TFCs % Split'!$A$8:$I$145,7,0))</f>
        <v>1.3660397064809997E-6</v>
      </c>
      <c r="P89" s="224">
        <f>IF(ISERROR(VLOOKUP($A89,'HRGs to TFCs % Split'!$A$8:$I$145,6,0)),0,VLOOKUP($A89,'HRGs to TFCs % Split'!$A$8:$I$145,8,0))</f>
        <v>2.9272279424592851E-7</v>
      </c>
      <c r="Q89" s="224">
        <f>IF(ISERROR(VLOOKUP($A89,'HRGs to TFCs % Split'!$A$8:$I$145,6,0)),0,VLOOKUP($A89,'HRGs to TFCs % Split'!$A$8:$I$145,9,0))</f>
        <v>9.4647036806183552E-5</v>
      </c>
      <c r="R89" s="225">
        <f t="shared" si="94"/>
        <v>0</v>
      </c>
      <c r="S89" s="225">
        <f t="shared" si="95"/>
        <v>2</v>
      </c>
      <c r="T89" s="225">
        <f t="shared" si="96"/>
        <v>0</v>
      </c>
      <c r="U89" s="225">
        <f t="shared" si="97"/>
        <v>128</v>
      </c>
      <c r="V89" s="224">
        <f>IF(ISERROR(VLOOKUP($A89,'HRGs to TFCs % Split'!$A$8:$I$145,6,0)),0,VLOOKUP($A89,'HRGs to TFCs % Split'!$A$8:$I$145,6,0))</f>
        <v>0</v>
      </c>
      <c r="W89" s="224">
        <f>IF(ISERROR(VLOOKUP($A89,'HRGs to TFCs % Split'!$A$8:$I$145,6,0)),0,VLOOKUP($A89,'HRGs to TFCs % Split'!$A$8:$I$145,7,0))</f>
        <v>1.3660397064809997E-6</v>
      </c>
      <c r="X89" s="224">
        <f>IF(ISERROR(VLOOKUP($A89,'HRGs to TFCs % Split'!$A$8:$I$145,6,0)),0,VLOOKUP($A89,'HRGs to TFCs % Split'!$A$8:$I$145,8,0))</f>
        <v>2.9272279424592851E-7</v>
      </c>
      <c r="Y89" s="224">
        <f>IF(ISERROR(VLOOKUP($A89,'HRGs to TFCs % Split'!$A$8:$I$145,6,0)),0,VLOOKUP($A89,'HRGs to TFCs % Split'!$A$8:$I$145,9,0))</f>
        <v>9.4647036806183552E-5</v>
      </c>
      <c r="Z89" s="225">
        <f t="shared" si="110"/>
        <v>0</v>
      </c>
      <c r="AA89" s="225">
        <f t="shared" si="111"/>
        <v>215.42600431021762</v>
      </c>
      <c r="AB89" s="225">
        <f t="shared" si="112"/>
        <v>46.162715209332347</v>
      </c>
      <c r="AC89" s="225">
        <f t="shared" si="113"/>
        <v>14925.944584350791</v>
      </c>
      <c r="AD89" s="226">
        <f t="shared" si="98"/>
        <v>17</v>
      </c>
      <c r="AE89" s="226">
        <f t="shared" si="99"/>
        <v>1167</v>
      </c>
      <c r="AF89" s="226">
        <f t="shared" si="100"/>
        <v>79</v>
      </c>
      <c r="AG89" s="226">
        <f t="shared" si="101"/>
        <v>11365</v>
      </c>
      <c r="AH89" s="226">
        <f t="shared" si="102"/>
        <v>5572.6013244338301</v>
      </c>
      <c r="AI89" s="226">
        <f t="shared" si="103"/>
        <v>513755.91809347022</v>
      </c>
      <c r="AJ89" s="226">
        <f t="shared" si="104"/>
        <v>22629.310793601933</v>
      </c>
      <c r="AK89" s="226">
        <f t="shared" si="105"/>
        <v>2809657.9954812308</v>
      </c>
      <c r="AL89" s="227">
        <f t="shared" si="106"/>
        <v>327.80007790787238</v>
      </c>
      <c r="AM89" s="227">
        <f t="shared" si="107"/>
        <v>440.23643367049721</v>
      </c>
      <c r="AN89" s="227">
        <f t="shared" si="108"/>
        <v>286.44697207091053</v>
      </c>
      <c r="AO89" s="227">
        <f t="shared" si="109"/>
        <v>247.22023717388745</v>
      </c>
      <c r="AP89" s="228">
        <f t="shared" si="114"/>
        <v>0</v>
      </c>
      <c r="AQ89" s="228">
        <f t="shared" si="115"/>
        <v>-1.2950232226581759E-3</v>
      </c>
      <c r="AR89" s="228">
        <f t="shared" si="116"/>
        <v>2.0441222388078994E-3</v>
      </c>
      <c r="AS89" s="228">
        <f t="shared" si="117"/>
        <v>-5.9820567658862567E-3</v>
      </c>
      <c r="AT89" s="227">
        <f>IF(ISERROR(VLOOKUP(A89,Mandatory!A:A,1,FALSE)),0,1)</f>
        <v>0</v>
      </c>
    </row>
    <row r="90" spans="1:46">
      <c r="A90" s="231">
        <v>324</v>
      </c>
      <c r="B90" s="222">
        <f>VLOOKUP(A90,OPATT_Activities!A:J,3,FALSE)</f>
        <v>429</v>
      </c>
      <c r="C90" s="222">
        <f>VLOOKUP(A90,OPATT_Activities!A:J,4,FALSE)</f>
        <v>88097</v>
      </c>
      <c r="D90" s="222">
        <f>VLOOKUP(A90,OPATT_Activities!A:J,5,FALSE)</f>
        <v>304</v>
      </c>
      <c r="E90" s="222">
        <f>VLOOKUP(A90,OPATT_Activities!A:J,6,FALSE)</f>
        <v>1400160</v>
      </c>
      <c r="F90" s="222">
        <f>VLOOKUP(A90,OPATT_Cost_Quantum!A:F,2,FALSE)</f>
        <v>23641.312589888701</v>
      </c>
      <c r="G90" s="222">
        <f>VLOOKUP(A90,OPATT_Cost_Quantum!A:F,3,FALSE)</f>
        <v>4421333.6522655599</v>
      </c>
      <c r="H90" s="222">
        <f>VLOOKUP(A90,OPATT_Cost_Quantum!A:F,4,FALSE)</f>
        <v>13553.9766688368</v>
      </c>
      <c r="I90" s="222">
        <f>VLOOKUP(A90,OPATT_Cost_Quantum!A:F,5,FALSE)</f>
        <v>40336574.311298303</v>
      </c>
      <c r="J90" s="223">
        <f t="shared" si="93"/>
        <v>55.107954754985315</v>
      </c>
      <c r="K90" s="223">
        <f t="shared" si="93"/>
        <v>50.187107986260145</v>
      </c>
      <c r="L90" s="223">
        <f t="shared" si="93"/>
        <v>44.585449568542103</v>
      </c>
      <c r="M90" s="223">
        <f t="shared" si="93"/>
        <v>28.808546388482963</v>
      </c>
      <c r="N90" s="224">
        <f>IF(ISERROR(VLOOKUP($A90,'HRGs to TFCs % Split'!$A$8:$I$145,6,0)),0,VLOOKUP($A90,'HRGs to TFCs % Split'!$A$8:$I$145,6,0))</f>
        <v>7.8059411798914267E-7</v>
      </c>
      <c r="O90" s="224">
        <f>IF(ISERROR(VLOOKUP($A90,'HRGs to TFCs % Split'!$A$8:$I$145,6,0)),0,VLOOKUP($A90,'HRGs to TFCs % Split'!$A$8:$I$145,7,0))</f>
        <v>5.6885796348458776E-5</v>
      </c>
      <c r="P90" s="224">
        <f>IF(ISERROR(VLOOKUP($A90,'HRGs to TFCs % Split'!$A$8:$I$145,6,0)),0,VLOOKUP($A90,'HRGs to TFCs % Split'!$A$8:$I$145,8,0))</f>
        <v>8.7816838273778559E-7</v>
      </c>
      <c r="Q90" s="224">
        <f>IF(ISERROR(VLOOKUP($A90,'HRGs to TFCs % Split'!$A$8:$I$145,6,0)),0,VLOOKUP($A90,'HRGs to TFCs % Split'!$A$8:$I$145,9,0))</f>
        <v>1.4050694123804569E-5</v>
      </c>
      <c r="R90" s="225">
        <f t="shared" si="94"/>
        <v>1</v>
      </c>
      <c r="S90" s="225">
        <f t="shared" si="95"/>
        <v>77</v>
      </c>
      <c r="T90" s="225">
        <f t="shared" si="96"/>
        <v>1</v>
      </c>
      <c r="U90" s="225">
        <f t="shared" si="97"/>
        <v>19</v>
      </c>
      <c r="V90" s="224">
        <f>IF(ISERROR(VLOOKUP($A90,'HRGs to TFCs % Split'!$A$8:$I$145,6,0)),0,VLOOKUP($A90,'HRGs to TFCs % Split'!$A$8:$I$145,6,0))</f>
        <v>7.8059411798914267E-7</v>
      </c>
      <c r="W90" s="224">
        <f>IF(ISERROR(VLOOKUP($A90,'HRGs to TFCs % Split'!$A$8:$I$145,6,0)),0,VLOOKUP($A90,'HRGs to TFCs % Split'!$A$8:$I$145,7,0))</f>
        <v>5.6885796348458776E-5</v>
      </c>
      <c r="X90" s="224">
        <f>IF(ISERROR(VLOOKUP($A90,'HRGs to TFCs % Split'!$A$8:$I$145,6,0)),0,VLOOKUP($A90,'HRGs to TFCs % Split'!$A$8:$I$145,8,0))</f>
        <v>8.7816838273778559E-7</v>
      </c>
      <c r="Y90" s="224">
        <f>IF(ISERROR(VLOOKUP($A90,'HRGs to TFCs % Split'!$A$8:$I$145,6,0)),0,VLOOKUP($A90,'HRGs to TFCs % Split'!$A$8:$I$145,9,0))</f>
        <v>1.4050694123804569E-5</v>
      </c>
      <c r="Z90" s="225">
        <f t="shared" si="110"/>
        <v>123.10057389155291</v>
      </c>
      <c r="AA90" s="225">
        <f t="shared" si="111"/>
        <v>8970.9543223469191</v>
      </c>
      <c r="AB90" s="225">
        <f t="shared" si="112"/>
        <v>138.48814562799706</v>
      </c>
      <c r="AC90" s="225">
        <f t="shared" si="113"/>
        <v>2215.8103300479529</v>
      </c>
      <c r="AD90" s="226">
        <f t="shared" si="98"/>
        <v>430</v>
      </c>
      <c r="AE90" s="226">
        <f t="shared" si="99"/>
        <v>88174</v>
      </c>
      <c r="AF90" s="226">
        <f t="shared" si="100"/>
        <v>305</v>
      </c>
      <c r="AG90" s="226">
        <f t="shared" si="101"/>
        <v>1400179</v>
      </c>
      <c r="AH90" s="226">
        <f t="shared" si="102"/>
        <v>23764.413163780253</v>
      </c>
      <c r="AI90" s="226">
        <f t="shared" si="103"/>
        <v>4430304.6065879064</v>
      </c>
      <c r="AJ90" s="226">
        <f t="shared" si="104"/>
        <v>13692.464814464796</v>
      </c>
      <c r="AK90" s="226">
        <f t="shared" si="105"/>
        <v>40338790.121628352</v>
      </c>
      <c r="AL90" s="227">
        <f t="shared" si="106"/>
        <v>55.266077125070353</v>
      </c>
      <c r="AM90" s="227">
        <f t="shared" si="107"/>
        <v>50.245022416901882</v>
      </c>
      <c r="AN90" s="227">
        <f t="shared" si="108"/>
        <v>44.893327260540318</v>
      </c>
      <c r="AO90" s="227">
        <f t="shared" si="109"/>
        <v>28.809737984663641</v>
      </c>
      <c r="AP90" s="228">
        <f t="shared" si="114"/>
        <v>2.869320242205653E-3</v>
      </c>
      <c r="AQ90" s="228">
        <f t="shared" si="115"/>
        <v>1.1539702717597855E-3</v>
      </c>
      <c r="AR90" s="228">
        <f t="shared" si="116"/>
        <v>6.9053400824166111E-3</v>
      </c>
      <c r="AS90" s="228">
        <f t="shared" si="117"/>
        <v>4.1362593051763596E-5</v>
      </c>
      <c r="AT90" s="227">
        <f>IF(ISERROR(VLOOKUP(A90,Mandatory!A:A,1,FALSE)),0,1)</f>
        <v>0</v>
      </c>
    </row>
    <row r="91" spans="1:46">
      <c r="A91" s="231">
        <v>325</v>
      </c>
      <c r="B91" s="222">
        <f>VLOOKUP(A91,OPATT_Activities!A:J,3,FALSE)</f>
        <v>43</v>
      </c>
      <c r="C91" s="222">
        <f>VLOOKUP(A91,OPATT_Activities!A:J,4,FALSE)</f>
        <v>1317</v>
      </c>
      <c r="D91" s="222">
        <f>VLOOKUP(A91,OPATT_Activities!A:J,5,FALSE)</f>
        <v>0</v>
      </c>
      <c r="E91" s="222">
        <f>VLOOKUP(A91,OPATT_Activities!A:J,6,FALSE)</f>
        <v>2262</v>
      </c>
      <c r="F91" s="222">
        <f>VLOOKUP(A91,OPATT_Cost_Quantum!A:F,2,FALSE)</f>
        <v>4520.37490930884</v>
      </c>
      <c r="G91" s="222">
        <f>VLOOKUP(A91,OPATT_Cost_Quantum!A:F,3,FALSE)</f>
        <v>135014.566431707</v>
      </c>
      <c r="H91" s="222">
        <f>VLOOKUP(A91,OPATT_Cost_Quantum!A:F,4,FALSE)</f>
        <v>0</v>
      </c>
      <c r="I91" s="222">
        <f>VLOOKUP(A91,OPATT_Cost_Quantum!A:F,5,FALSE)</f>
        <v>154376.506958871</v>
      </c>
      <c r="J91" s="223">
        <f t="shared" si="93"/>
        <v>105.12499789090326</v>
      </c>
      <c r="K91" s="223">
        <f t="shared" si="93"/>
        <v>102.51675507342976</v>
      </c>
      <c r="L91" s="223">
        <f t="shared" si="93"/>
        <v>0</v>
      </c>
      <c r="M91" s="223">
        <f t="shared" si="93"/>
        <v>68.247792643179039</v>
      </c>
      <c r="N91" s="224">
        <f>IF(ISERROR(VLOOKUP($A91,'HRGs to TFCs % Split'!$A$8:$I$145,6,0)),0,VLOOKUP($A91,'HRGs to TFCs % Split'!$A$8:$I$145,6,0))</f>
        <v>0</v>
      </c>
      <c r="O91" s="224">
        <f>IF(ISERROR(VLOOKUP($A91,'HRGs to TFCs % Split'!$A$8:$I$145,6,0)),0,VLOOKUP($A91,'HRGs to TFCs % Split'!$A$8:$I$145,7,0))</f>
        <v>1.9514852949728567E-7</v>
      </c>
      <c r="P91" s="224">
        <f>IF(ISERROR(VLOOKUP($A91,'HRGs to TFCs % Split'!$A$8:$I$145,6,0)),0,VLOOKUP($A91,'HRGs to TFCs % Split'!$A$8:$I$145,8,0))</f>
        <v>0</v>
      </c>
      <c r="Q91" s="224">
        <f>IF(ISERROR(VLOOKUP($A91,'HRGs to TFCs % Split'!$A$8:$I$145,6,0)),0,VLOOKUP($A91,'HRGs to TFCs % Split'!$A$8:$I$145,9,0))</f>
        <v>1.3660397064809997E-6</v>
      </c>
      <c r="R91" s="225">
        <f t="shared" si="94"/>
        <v>0</v>
      </c>
      <c r="S91" s="225">
        <f t="shared" si="95"/>
        <v>0</v>
      </c>
      <c r="T91" s="225">
        <f t="shared" si="96"/>
        <v>0</v>
      </c>
      <c r="U91" s="225">
        <f t="shared" si="97"/>
        <v>2</v>
      </c>
      <c r="V91" s="224">
        <f>IF(ISERROR(VLOOKUP($A91,'HRGs to TFCs % Split'!$A$8:$I$145,6,0)),0,VLOOKUP($A91,'HRGs to TFCs % Split'!$A$8:$I$145,6,0))</f>
        <v>0</v>
      </c>
      <c r="W91" s="224">
        <f>IF(ISERROR(VLOOKUP($A91,'HRGs to TFCs % Split'!$A$8:$I$145,6,0)),0,VLOOKUP($A91,'HRGs to TFCs % Split'!$A$8:$I$145,7,0))</f>
        <v>1.9514852949728567E-7</v>
      </c>
      <c r="X91" s="224">
        <f>IF(ISERROR(VLOOKUP($A91,'HRGs to TFCs % Split'!$A$8:$I$145,6,0)),0,VLOOKUP($A91,'HRGs to TFCs % Split'!$A$8:$I$145,8,0))</f>
        <v>0</v>
      </c>
      <c r="Y91" s="224">
        <f>IF(ISERROR(VLOOKUP($A91,'HRGs to TFCs % Split'!$A$8:$I$145,6,0)),0,VLOOKUP($A91,'HRGs to TFCs % Split'!$A$8:$I$145,9,0))</f>
        <v>1.3660397064809997E-6</v>
      </c>
      <c r="Z91" s="225">
        <f t="shared" si="110"/>
        <v>0</v>
      </c>
      <c r="AA91" s="225">
        <f t="shared" si="111"/>
        <v>30.775143472888228</v>
      </c>
      <c r="AB91" s="225">
        <f t="shared" si="112"/>
        <v>0</v>
      </c>
      <c r="AC91" s="225">
        <f t="shared" si="113"/>
        <v>215.42600431021762</v>
      </c>
      <c r="AD91" s="226">
        <f t="shared" si="98"/>
        <v>43</v>
      </c>
      <c r="AE91" s="226">
        <f t="shared" si="99"/>
        <v>1317</v>
      </c>
      <c r="AF91" s="226">
        <f t="shared" si="100"/>
        <v>0</v>
      </c>
      <c r="AG91" s="226">
        <f t="shared" si="101"/>
        <v>2264</v>
      </c>
      <c r="AH91" s="226">
        <f t="shared" si="102"/>
        <v>4520.37490930884</v>
      </c>
      <c r="AI91" s="226">
        <f t="shared" si="103"/>
        <v>135045.34157517989</v>
      </c>
      <c r="AJ91" s="226">
        <f t="shared" si="104"/>
        <v>0</v>
      </c>
      <c r="AK91" s="226">
        <f t="shared" si="105"/>
        <v>154591.93296318123</v>
      </c>
      <c r="AL91" s="227">
        <f t="shared" si="106"/>
        <v>105.12499789090326</v>
      </c>
      <c r="AM91" s="227">
        <f t="shared" si="107"/>
        <v>102.54012268426719</v>
      </c>
      <c r="AN91" s="227">
        <f t="shared" si="108"/>
        <v>0</v>
      </c>
      <c r="AO91" s="227">
        <f t="shared" si="109"/>
        <v>68.282655902465208</v>
      </c>
      <c r="AP91" s="228">
        <f t="shared" si="114"/>
        <v>0</v>
      </c>
      <c r="AQ91" s="228">
        <f t="shared" si="115"/>
        <v>2.2793943117571658E-4</v>
      </c>
      <c r="AR91" s="228">
        <f t="shared" si="116"/>
        <v>0</v>
      </c>
      <c r="AS91" s="228">
        <f t="shared" si="117"/>
        <v>5.1083350736980115E-4</v>
      </c>
      <c r="AT91" s="227">
        <f>IF(ISERROR(VLOOKUP(A91,Mandatory!A:A,1,FALSE)),0,1)</f>
        <v>0</v>
      </c>
    </row>
    <row r="92" spans="1:46">
      <c r="A92" s="231">
        <v>327</v>
      </c>
      <c r="B92" s="222">
        <f>VLOOKUP(A92,OPATT_Activities!A:J,3,FALSE)</f>
        <v>427</v>
      </c>
      <c r="C92" s="222">
        <f>VLOOKUP(A92,OPATT_Activities!A:J,4,FALSE)</f>
        <v>2309</v>
      </c>
      <c r="D92" s="222">
        <f>VLOOKUP(A92,OPATT_Activities!A:J,5,FALSE)</f>
        <v>1478</v>
      </c>
      <c r="E92" s="222">
        <f>VLOOKUP(A92,OPATT_Activities!A:J,6,FALSE)</f>
        <v>21695</v>
      </c>
      <c r="F92" s="222">
        <f>VLOOKUP(A92,OPATT_Cost_Quantum!A:F,2,FALSE)</f>
        <v>94540.386741250302</v>
      </c>
      <c r="G92" s="222">
        <f>VLOOKUP(A92,OPATT_Cost_Quantum!A:F,3,FALSE)</f>
        <v>264918.02318237501</v>
      </c>
      <c r="H92" s="222">
        <f>VLOOKUP(A92,OPATT_Cost_Quantum!A:F,4,FALSE)</f>
        <v>132689.97111362999</v>
      </c>
      <c r="I92" s="222">
        <f>VLOOKUP(A92,OPATT_Cost_Quantum!A:F,5,FALSE)</f>
        <v>809039.438119011</v>
      </c>
      <c r="J92" s="223">
        <f t="shared" si="93"/>
        <v>221.40605794203819</v>
      </c>
      <c r="K92" s="223">
        <f t="shared" si="93"/>
        <v>114.73279479531183</v>
      </c>
      <c r="L92" s="223">
        <f t="shared" si="93"/>
        <v>89.776705760236794</v>
      </c>
      <c r="M92" s="223">
        <f t="shared" si="93"/>
        <v>37.291515930814057</v>
      </c>
      <c r="N92" s="224">
        <f>IF(ISERROR(VLOOKUP($A92,'HRGs to TFCs % Split'!$A$8:$I$145,6,0)),0,VLOOKUP($A92,'HRGs to TFCs % Split'!$A$8:$I$145,6,0))</f>
        <v>0</v>
      </c>
      <c r="O92" s="224">
        <f>IF(ISERROR(VLOOKUP($A92,'HRGs to TFCs % Split'!$A$8:$I$145,6,0)),0,VLOOKUP($A92,'HRGs to TFCs % Split'!$A$8:$I$145,7,0))</f>
        <v>3.9029705899457133E-7</v>
      </c>
      <c r="P92" s="224">
        <f>IF(ISERROR(VLOOKUP($A92,'HRGs to TFCs % Split'!$A$8:$I$145,6,0)),0,VLOOKUP($A92,'HRGs to TFCs % Split'!$A$8:$I$145,8,0))</f>
        <v>0</v>
      </c>
      <c r="Q92" s="224">
        <f>IF(ISERROR(VLOOKUP($A92,'HRGs to TFCs % Split'!$A$8:$I$145,6,0)),0,VLOOKUP($A92,'HRGs to TFCs % Split'!$A$8:$I$145,9,0))</f>
        <v>4.4884161784375706E-6</v>
      </c>
      <c r="R92" s="225">
        <f t="shared" si="94"/>
        <v>0</v>
      </c>
      <c r="S92" s="225">
        <f t="shared" si="95"/>
        <v>1</v>
      </c>
      <c r="T92" s="225">
        <f t="shared" si="96"/>
        <v>0</v>
      </c>
      <c r="U92" s="225">
        <f t="shared" si="97"/>
        <v>6</v>
      </c>
      <c r="V92" s="224">
        <f>IF(ISERROR(VLOOKUP($A92,'HRGs to TFCs % Split'!$A$8:$I$145,6,0)),0,VLOOKUP($A92,'HRGs to TFCs % Split'!$A$8:$I$145,6,0))</f>
        <v>0</v>
      </c>
      <c r="W92" s="224">
        <f>IF(ISERROR(VLOOKUP($A92,'HRGs to TFCs % Split'!$A$8:$I$145,6,0)),0,VLOOKUP($A92,'HRGs to TFCs % Split'!$A$8:$I$145,7,0))</f>
        <v>3.9029705899457133E-7</v>
      </c>
      <c r="X92" s="224">
        <f>IF(ISERROR(VLOOKUP($A92,'HRGs to TFCs % Split'!$A$8:$I$145,6,0)),0,VLOOKUP($A92,'HRGs to TFCs % Split'!$A$8:$I$145,8,0))</f>
        <v>0</v>
      </c>
      <c r="Y92" s="224">
        <f>IF(ISERROR(VLOOKUP($A92,'HRGs to TFCs % Split'!$A$8:$I$145,6,0)),0,VLOOKUP($A92,'HRGs to TFCs % Split'!$A$8:$I$145,9,0))</f>
        <v>4.4884161784375706E-6</v>
      </c>
      <c r="Z92" s="225">
        <f t="shared" si="110"/>
        <v>0</v>
      </c>
      <c r="AA92" s="225">
        <f t="shared" si="111"/>
        <v>61.550286945776456</v>
      </c>
      <c r="AB92" s="225">
        <f t="shared" si="112"/>
        <v>0</v>
      </c>
      <c r="AC92" s="225">
        <f t="shared" si="113"/>
        <v>707.82829987642936</v>
      </c>
      <c r="AD92" s="226">
        <f t="shared" si="98"/>
        <v>427</v>
      </c>
      <c r="AE92" s="226">
        <f t="shared" si="99"/>
        <v>2310</v>
      </c>
      <c r="AF92" s="226">
        <f t="shared" si="100"/>
        <v>1478</v>
      </c>
      <c r="AG92" s="226">
        <f t="shared" si="101"/>
        <v>21701</v>
      </c>
      <c r="AH92" s="226">
        <f t="shared" si="102"/>
        <v>94540.386741250302</v>
      </c>
      <c r="AI92" s="226">
        <f t="shared" si="103"/>
        <v>264979.57346932078</v>
      </c>
      <c r="AJ92" s="226">
        <f t="shared" si="104"/>
        <v>132689.97111362999</v>
      </c>
      <c r="AK92" s="226">
        <f t="shared" si="105"/>
        <v>809747.26641888742</v>
      </c>
      <c r="AL92" s="227">
        <f t="shared" si="106"/>
        <v>221.40605794203819</v>
      </c>
      <c r="AM92" s="227">
        <f t="shared" si="107"/>
        <v>114.70977206464103</v>
      </c>
      <c r="AN92" s="227">
        <f t="shared" si="108"/>
        <v>89.776705760236794</v>
      </c>
      <c r="AO92" s="227">
        <f t="shared" si="109"/>
        <v>37.313822700285122</v>
      </c>
      <c r="AP92" s="228">
        <f t="shared" si="114"/>
        <v>0</v>
      </c>
      <c r="AQ92" s="228">
        <f t="shared" si="115"/>
        <v>-2.0066390531037204E-4</v>
      </c>
      <c r="AR92" s="228">
        <f t="shared" si="116"/>
        <v>0</v>
      </c>
      <c r="AS92" s="228">
        <f t="shared" si="117"/>
        <v>5.9817277239271327E-4</v>
      </c>
      <c r="AT92" s="227">
        <f>IF(ISERROR(VLOOKUP(A92,Mandatory!A:A,1,FALSE)),0,1)</f>
        <v>0</v>
      </c>
    </row>
    <row r="93" spans="1:46">
      <c r="A93" s="231">
        <v>328</v>
      </c>
      <c r="B93" s="222">
        <f>VLOOKUP(A93,OPATT_Activities!A:J,3,FALSE)</f>
        <v>562</v>
      </c>
      <c r="C93" s="222">
        <f>VLOOKUP(A93,OPATT_Activities!A:J,4,FALSE)</f>
        <v>15882</v>
      </c>
      <c r="D93" s="222">
        <f>VLOOKUP(A93,OPATT_Activities!A:J,5,FALSE)</f>
        <v>505</v>
      </c>
      <c r="E93" s="222">
        <f>VLOOKUP(A93,OPATT_Activities!A:J,6,FALSE)</f>
        <v>13870</v>
      </c>
      <c r="F93" s="222">
        <f>VLOOKUP(A93,OPATT_Cost_Quantum!A:F,2,FALSE)</f>
        <v>92131.920301095699</v>
      </c>
      <c r="G93" s="222">
        <f>VLOOKUP(A93,OPATT_Cost_Quantum!A:F,3,FALSE)</f>
        <v>3627297.5787235</v>
      </c>
      <c r="H93" s="222">
        <f>VLOOKUP(A93,OPATT_Cost_Quantum!A:F,4,FALSE)</f>
        <v>74950.948211365205</v>
      </c>
      <c r="I93" s="222">
        <f>VLOOKUP(A93,OPATT_Cost_Quantum!A:F,5,FALSE)</f>
        <v>2382512.9197820802</v>
      </c>
      <c r="J93" s="223">
        <f t="shared" si="93"/>
        <v>163.93580124750125</v>
      </c>
      <c r="K93" s="223">
        <f t="shared" si="93"/>
        <v>228.39047844877848</v>
      </c>
      <c r="L93" s="223">
        <f t="shared" si="93"/>
        <v>148.41771923042614</v>
      </c>
      <c r="M93" s="223">
        <f t="shared" si="93"/>
        <v>171.77454360361068</v>
      </c>
      <c r="N93" s="224">
        <f>IF(ISERROR(VLOOKUP($A93,'HRGs to TFCs % Split'!$A$8:$I$145,6,0)),0,VLOOKUP($A93,'HRGs to TFCs % Split'!$A$8:$I$145,6,0))</f>
        <v>1.3660397064809997E-6</v>
      </c>
      <c r="O93" s="224">
        <f>IF(ISERROR(VLOOKUP($A93,'HRGs to TFCs % Split'!$A$8:$I$145,6,0)),0,VLOOKUP($A93,'HRGs to TFCs % Split'!$A$8:$I$145,7,0))</f>
        <v>5.6105202230469633E-5</v>
      </c>
      <c r="P93" s="224">
        <f>IF(ISERROR(VLOOKUP($A93,'HRGs to TFCs % Split'!$A$8:$I$145,6,0)),0,VLOOKUP($A93,'HRGs to TFCs % Split'!$A$8:$I$145,8,0))</f>
        <v>1.9514852949728567E-7</v>
      </c>
      <c r="Q93" s="224">
        <f>IF(ISERROR(VLOOKUP($A93,'HRGs to TFCs % Split'!$A$8:$I$145,6,0)),0,VLOOKUP($A93,'HRGs to TFCs % Split'!$A$8:$I$145,9,0))</f>
        <v>2.4588714716657994E-5</v>
      </c>
      <c r="R93" s="225">
        <f t="shared" si="94"/>
        <v>2</v>
      </c>
      <c r="S93" s="225">
        <f t="shared" si="95"/>
        <v>76</v>
      </c>
      <c r="T93" s="225">
        <f t="shared" si="96"/>
        <v>0</v>
      </c>
      <c r="U93" s="225">
        <f t="shared" si="97"/>
        <v>33</v>
      </c>
      <c r="V93" s="224">
        <f>IF(ISERROR(VLOOKUP($A93,'HRGs to TFCs % Split'!$A$8:$I$145,6,0)),0,VLOOKUP($A93,'HRGs to TFCs % Split'!$A$8:$I$145,6,0))</f>
        <v>1.3660397064809997E-6</v>
      </c>
      <c r="W93" s="224">
        <f>IF(ISERROR(VLOOKUP($A93,'HRGs to TFCs % Split'!$A$8:$I$145,6,0)),0,VLOOKUP($A93,'HRGs to TFCs % Split'!$A$8:$I$145,7,0))</f>
        <v>5.6105202230469633E-5</v>
      </c>
      <c r="X93" s="224">
        <f>IF(ISERROR(VLOOKUP($A93,'HRGs to TFCs % Split'!$A$8:$I$145,6,0)),0,VLOOKUP($A93,'HRGs to TFCs % Split'!$A$8:$I$145,8,0))</f>
        <v>1.9514852949728567E-7</v>
      </c>
      <c r="Y93" s="224">
        <f>IF(ISERROR(VLOOKUP($A93,'HRGs to TFCs % Split'!$A$8:$I$145,6,0)),0,VLOOKUP($A93,'HRGs to TFCs % Split'!$A$8:$I$145,9,0))</f>
        <v>2.4588714716657994E-5</v>
      </c>
      <c r="Z93" s="225">
        <f t="shared" si="110"/>
        <v>215.42600431021762</v>
      </c>
      <c r="AA93" s="225">
        <f t="shared" si="111"/>
        <v>8847.8537484553672</v>
      </c>
      <c r="AB93" s="225">
        <f t="shared" si="112"/>
        <v>30.775143472888228</v>
      </c>
      <c r="AC93" s="225">
        <f t="shared" si="113"/>
        <v>3877.6680775839168</v>
      </c>
      <c r="AD93" s="226">
        <f t="shared" si="98"/>
        <v>564</v>
      </c>
      <c r="AE93" s="226">
        <f t="shared" si="99"/>
        <v>15958</v>
      </c>
      <c r="AF93" s="226">
        <f t="shared" si="100"/>
        <v>505</v>
      </c>
      <c r="AG93" s="226">
        <f t="shared" si="101"/>
        <v>13903</v>
      </c>
      <c r="AH93" s="226">
        <f t="shared" si="102"/>
        <v>92347.34630540591</v>
      </c>
      <c r="AI93" s="226">
        <f t="shared" si="103"/>
        <v>3636145.4324719552</v>
      </c>
      <c r="AJ93" s="226">
        <f t="shared" si="104"/>
        <v>74981.72335483809</v>
      </c>
      <c r="AK93" s="226">
        <f t="shared" si="105"/>
        <v>2386390.5878596641</v>
      </c>
      <c r="AL93" s="227">
        <f t="shared" si="106"/>
        <v>163.73642961951401</v>
      </c>
      <c r="AM93" s="227">
        <f t="shared" si="107"/>
        <v>227.8572147181323</v>
      </c>
      <c r="AN93" s="227">
        <f t="shared" si="108"/>
        <v>148.47866010859028</v>
      </c>
      <c r="AO93" s="227">
        <f t="shared" si="109"/>
        <v>171.64573026394766</v>
      </c>
      <c r="AP93" s="228">
        <f t="shared" si="114"/>
        <v>-1.216156730074025E-3</v>
      </c>
      <c r="AQ93" s="228">
        <f t="shared" si="115"/>
        <v>-2.3348772429923059E-3</v>
      </c>
      <c r="AR93" s="228">
        <f t="shared" si="116"/>
        <v>4.1060379097679345E-4</v>
      </c>
      <c r="AS93" s="228">
        <f t="shared" si="117"/>
        <v>-7.4989772617461981E-4</v>
      </c>
      <c r="AT93" s="227">
        <f>IF(ISERROR(VLOOKUP(A93,Mandatory!A:A,1,FALSE)),0,1)</f>
        <v>0</v>
      </c>
    </row>
    <row r="94" spans="1:46">
      <c r="A94" s="231">
        <v>329</v>
      </c>
      <c r="B94" s="222">
        <f>VLOOKUP(A94,OPATT_Activities!A:J,3,FALSE)</f>
        <v>2837</v>
      </c>
      <c r="C94" s="222">
        <f>VLOOKUP(A94,OPATT_Activities!A:J,4,FALSE)</f>
        <v>31477</v>
      </c>
      <c r="D94" s="222">
        <f>VLOOKUP(A94,OPATT_Activities!A:J,5,FALSE)</f>
        <v>116</v>
      </c>
      <c r="E94" s="222">
        <f>VLOOKUP(A94,OPATT_Activities!A:J,6,FALSE)</f>
        <v>10806</v>
      </c>
      <c r="F94" s="222">
        <f>VLOOKUP(A94,OPATT_Cost_Quantum!A:F,2,FALSE)</f>
        <v>642920.850415583</v>
      </c>
      <c r="G94" s="222">
        <f>VLOOKUP(A94,OPATT_Cost_Quantum!A:F,3,FALSE)</f>
        <v>5752837.80522204</v>
      </c>
      <c r="H94" s="222">
        <f>VLOOKUP(A94,OPATT_Cost_Quantum!A:F,4,FALSE)</f>
        <v>15097.034350276101</v>
      </c>
      <c r="I94" s="222">
        <f>VLOOKUP(A94,OPATT_Cost_Quantum!A:F,5,FALSE)</f>
        <v>1198664.0696694001</v>
      </c>
      <c r="J94" s="223">
        <f t="shared" si="93"/>
        <v>226.61996842283503</v>
      </c>
      <c r="K94" s="223">
        <f t="shared" si="93"/>
        <v>182.76321775334497</v>
      </c>
      <c r="L94" s="223">
        <f t="shared" si="93"/>
        <v>130.14684784720777</v>
      </c>
      <c r="M94" s="223">
        <f t="shared" si="93"/>
        <v>110.92578842026653</v>
      </c>
      <c r="N94" s="224">
        <f>IF(ISERROR(VLOOKUP($A94,'HRGs to TFCs % Split'!$A$8:$I$145,6,0)),0,VLOOKUP($A94,'HRGs to TFCs % Split'!$A$8:$I$145,6,0))</f>
        <v>1.3172525741066784E-5</v>
      </c>
      <c r="O94" s="224">
        <f>IF(ISERROR(VLOOKUP($A94,'HRGs to TFCs % Split'!$A$8:$I$145,6,0)),0,VLOOKUP($A94,'HRGs to TFCs % Split'!$A$8:$I$145,7,0))</f>
        <v>2.8257507071206969E-4</v>
      </c>
      <c r="P94" s="224">
        <f>IF(ISERROR(VLOOKUP($A94,'HRGs to TFCs % Split'!$A$8:$I$145,6,0)),0,VLOOKUP($A94,'HRGs to TFCs % Split'!$A$8:$I$145,8,0))</f>
        <v>1.9514852949728567E-7</v>
      </c>
      <c r="Q94" s="224">
        <f>IF(ISERROR(VLOOKUP($A94,'HRGs to TFCs % Split'!$A$8:$I$145,6,0)),0,VLOOKUP($A94,'HRGs to TFCs % Split'!$A$8:$I$145,9,0))</f>
        <v>9.0744066216237839E-6</v>
      </c>
      <c r="R94" s="225">
        <f t="shared" si="94"/>
        <v>18</v>
      </c>
      <c r="S94" s="225">
        <f t="shared" si="95"/>
        <v>381</v>
      </c>
      <c r="T94" s="225">
        <f t="shared" si="96"/>
        <v>0</v>
      </c>
      <c r="U94" s="225">
        <f t="shared" si="97"/>
        <v>12</v>
      </c>
      <c r="V94" s="224">
        <f>IF(ISERROR(VLOOKUP($A94,'HRGs to TFCs % Split'!$A$8:$I$145,6,0)),0,VLOOKUP($A94,'HRGs to TFCs % Split'!$A$8:$I$145,6,0))</f>
        <v>1.3172525741066784E-5</v>
      </c>
      <c r="W94" s="224">
        <f>IF(ISERROR(VLOOKUP($A94,'HRGs to TFCs % Split'!$A$8:$I$145,6,0)),0,VLOOKUP($A94,'HRGs to TFCs % Split'!$A$8:$I$145,7,0))</f>
        <v>2.8257507071206969E-4</v>
      </c>
      <c r="X94" s="224">
        <f>IF(ISERROR(VLOOKUP($A94,'HRGs to TFCs % Split'!$A$8:$I$145,6,0)),0,VLOOKUP($A94,'HRGs to TFCs % Split'!$A$8:$I$145,8,0))</f>
        <v>1.9514852949728567E-7</v>
      </c>
      <c r="Y94" s="224">
        <f>IF(ISERROR(VLOOKUP($A94,'HRGs to TFCs % Split'!$A$8:$I$145,6,0)),0,VLOOKUP($A94,'HRGs to TFCs % Split'!$A$8:$I$145,9,0))</f>
        <v>9.0744066216237839E-6</v>
      </c>
      <c r="Z94" s="225">
        <f t="shared" si="110"/>
        <v>2077.3221844199556</v>
      </c>
      <c r="AA94" s="225">
        <f t="shared" si="111"/>
        <v>44562.40774874216</v>
      </c>
      <c r="AB94" s="225">
        <f t="shared" si="112"/>
        <v>30.775143472888228</v>
      </c>
      <c r="AC94" s="225">
        <f t="shared" si="113"/>
        <v>1431.0441714893027</v>
      </c>
      <c r="AD94" s="226">
        <f t="shared" si="98"/>
        <v>2855</v>
      </c>
      <c r="AE94" s="226">
        <f t="shared" si="99"/>
        <v>31858</v>
      </c>
      <c r="AF94" s="226">
        <f t="shared" si="100"/>
        <v>116</v>
      </c>
      <c r="AG94" s="226">
        <f t="shared" si="101"/>
        <v>10818</v>
      </c>
      <c r="AH94" s="226">
        <f t="shared" si="102"/>
        <v>644998.17260000296</v>
      </c>
      <c r="AI94" s="226">
        <f t="shared" si="103"/>
        <v>5797400.2129707821</v>
      </c>
      <c r="AJ94" s="226">
        <f t="shared" si="104"/>
        <v>15127.80949374899</v>
      </c>
      <c r="AK94" s="226">
        <f t="shared" si="105"/>
        <v>1200095.1138408894</v>
      </c>
      <c r="AL94" s="227">
        <f t="shared" si="106"/>
        <v>225.91879950963326</v>
      </c>
      <c r="AM94" s="227">
        <f t="shared" si="107"/>
        <v>181.9762763817811</v>
      </c>
      <c r="AN94" s="227">
        <f t="shared" si="108"/>
        <v>130.41215080818094</v>
      </c>
      <c r="AO94" s="227">
        <f t="shared" si="109"/>
        <v>110.93502623783411</v>
      </c>
      <c r="AP94" s="228">
        <f t="shared" si="114"/>
        <v>-3.0940297012728157E-3</v>
      </c>
      <c r="AQ94" s="228">
        <f t="shared" si="115"/>
        <v>-4.3057973110646186E-3</v>
      </c>
      <c r="AR94" s="228">
        <f t="shared" si="116"/>
        <v>2.0384893323319719E-3</v>
      </c>
      <c r="AS94" s="228">
        <f t="shared" si="117"/>
        <v>8.3279259937008021E-5</v>
      </c>
      <c r="AT94" s="227">
        <f>IF(ISERROR(VLOOKUP(A94,Mandatory!A:A,1,FALSE)),0,1)</f>
        <v>1</v>
      </c>
    </row>
    <row r="95" spans="1:46">
      <c r="A95" s="231">
        <v>330</v>
      </c>
      <c r="B95" s="222">
        <f>VLOOKUP(A95,OPATT_Activities!A:J,3,FALSE)</f>
        <v>7691</v>
      </c>
      <c r="C95" s="222">
        <f>VLOOKUP(A95,OPATT_Activities!A:J,4,FALSE)</f>
        <v>691579</v>
      </c>
      <c r="D95" s="222">
        <f>VLOOKUP(A95,OPATT_Activities!A:J,5,FALSE)</f>
        <v>16510</v>
      </c>
      <c r="E95" s="222">
        <f>VLOOKUP(A95,OPATT_Activities!A:J,6,FALSE)</f>
        <v>1210311</v>
      </c>
      <c r="F95" s="222">
        <f>VLOOKUP(A95,OPATT_Cost_Quantum!A:F,2,FALSE)</f>
        <v>901913.98111721105</v>
      </c>
      <c r="G95" s="222">
        <f>VLOOKUP(A95,OPATT_Cost_Quantum!A:F,3,FALSE)</f>
        <v>69012208.382910699</v>
      </c>
      <c r="H95" s="222">
        <f>VLOOKUP(A95,OPATT_Cost_Quantum!A:F,4,FALSE)</f>
        <v>1686309.11102103</v>
      </c>
      <c r="I95" s="222">
        <f>VLOOKUP(A95,OPATT_Cost_Quantum!A:F,5,FALSE)</f>
        <v>103049065.012302</v>
      </c>
      <c r="J95" s="223">
        <f t="shared" si="93"/>
        <v>117.2687532332871</v>
      </c>
      <c r="K95" s="223">
        <f t="shared" si="93"/>
        <v>99.789334816283755</v>
      </c>
      <c r="L95" s="223">
        <f t="shared" si="93"/>
        <v>102.13864997098909</v>
      </c>
      <c r="M95" s="223">
        <f t="shared" si="93"/>
        <v>85.142632771495911</v>
      </c>
      <c r="N95" s="224">
        <f>IF(ISERROR(VLOOKUP($A95,'HRGs to TFCs % Split'!$A$8:$I$145,6,0)),0,VLOOKUP($A95,'HRGs to TFCs % Split'!$A$8:$I$145,6,0))</f>
        <v>2.3700788907445345E-4</v>
      </c>
      <c r="O95" s="224">
        <f>IF(ISERROR(VLOOKUP($A95,'HRGs to TFCs % Split'!$A$8:$I$145,6,0)),0,VLOOKUP($A95,'HRGs to TFCs % Split'!$A$8:$I$145,7,0))</f>
        <v>1.5770830837058394E-2</v>
      </c>
      <c r="P95" s="224">
        <f>IF(ISERROR(VLOOKUP($A95,'HRGs to TFCs % Split'!$A$8:$I$145,6,0)),0,VLOOKUP($A95,'HRGs to TFCs % Split'!$A$8:$I$145,8,0))</f>
        <v>4.9801904727707303E-4</v>
      </c>
      <c r="Q95" s="224">
        <f>IF(ISERROR(VLOOKUP($A95,'HRGs to TFCs % Split'!$A$8:$I$145,6,0)),0,VLOOKUP($A95,'HRGs to TFCs % Split'!$A$8:$I$145,9,0))</f>
        <v>8.4493849113498776E-2</v>
      </c>
      <c r="R95" s="225">
        <f t="shared" si="94"/>
        <v>320</v>
      </c>
      <c r="S95" s="225">
        <f t="shared" si="95"/>
        <v>21282</v>
      </c>
      <c r="T95" s="225">
        <f t="shared" si="96"/>
        <v>672</v>
      </c>
      <c r="U95" s="225">
        <f t="shared" si="97"/>
        <v>114020</v>
      </c>
      <c r="V95" s="224">
        <f>IF(ISERROR(VLOOKUP($A95,'HRGs to TFCs % Split'!$A$8:$I$145,6,0)),0,VLOOKUP($A95,'HRGs to TFCs % Split'!$A$8:$I$145,6,0))</f>
        <v>2.3700788907445345E-4</v>
      </c>
      <c r="W95" s="224">
        <f>IF(ISERROR(VLOOKUP($A95,'HRGs to TFCs % Split'!$A$8:$I$145,6,0)),0,VLOOKUP($A95,'HRGs to TFCs % Split'!$A$8:$I$145,7,0))</f>
        <v>1.5770830837058394E-2</v>
      </c>
      <c r="X95" s="224">
        <f>IF(ISERROR(VLOOKUP($A95,'HRGs to TFCs % Split'!$A$8:$I$145,6,0)),0,VLOOKUP($A95,'HRGs to TFCs % Split'!$A$8:$I$145,8,0))</f>
        <v>4.9801904727707303E-4</v>
      </c>
      <c r="Y95" s="224">
        <f>IF(ISERROR(VLOOKUP($A95,'HRGs to TFCs % Split'!$A$8:$I$145,6,0)),0,VLOOKUP($A95,'HRGs to TFCs % Split'!$A$8:$I$145,9,0))</f>
        <v>8.4493849113498776E-2</v>
      </c>
      <c r="Z95" s="225">
        <f t="shared" si="110"/>
        <v>37376.411747822756</v>
      </c>
      <c r="AA95" s="225">
        <f t="shared" si="111"/>
        <v>2487077.8321897262</v>
      </c>
      <c r="AB95" s="225">
        <f t="shared" si="112"/>
        <v>78538.166142810762</v>
      </c>
      <c r="AC95" s="225">
        <f t="shared" si="113"/>
        <v>13324775.419743363</v>
      </c>
      <c r="AD95" s="226">
        <f t="shared" si="98"/>
        <v>8011</v>
      </c>
      <c r="AE95" s="226">
        <f t="shared" si="99"/>
        <v>712861</v>
      </c>
      <c r="AF95" s="226">
        <f t="shared" si="100"/>
        <v>17182</v>
      </c>
      <c r="AG95" s="226">
        <f t="shared" si="101"/>
        <v>1324331</v>
      </c>
      <c r="AH95" s="226">
        <f t="shared" si="102"/>
        <v>939290.39286503382</v>
      </c>
      <c r="AI95" s="226">
        <f t="shared" si="103"/>
        <v>71499286.215100423</v>
      </c>
      <c r="AJ95" s="226">
        <f t="shared" si="104"/>
        <v>1764847.2771638408</v>
      </c>
      <c r="AK95" s="226">
        <f t="shared" si="105"/>
        <v>116373840.43204536</v>
      </c>
      <c r="AL95" s="227">
        <f t="shared" si="106"/>
        <v>117.25008024778852</v>
      </c>
      <c r="AM95" s="227">
        <f t="shared" si="107"/>
        <v>100.29905720063297</v>
      </c>
      <c r="AN95" s="227">
        <f t="shared" si="108"/>
        <v>102.71489216411598</v>
      </c>
      <c r="AO95" s="227">
        <f t="shared" si="109"/>
        <v>87.873681452782847</v>
      </c>
      <c r="AP95" s="228">
        <f t="shared" si="114"/>
        <v>-1.5923240406112704E-4</v>
      </c>
      <c r="AQ95" s="228">
        <f t="shared" si="115"/>
        <v>5.1079845886099484E-3</v>
      </c>
      <c r="AR95" s="228">
        <f t="shared" si="116"/>
        <v>5.6417643398514183E-3</v>
      </c>
      <c r="AS95" s="228">
        <f t="shared" si="117"/>
        <v>3.2076159643976032E-2</v>
      </c>
      <c r="AT95" s="227">
        <f>IF(ISERROR(VLOOKUP(A95,Mandatory!A:A,1,FALSE)),0,1)</f>
        <v>1</v>
      </c>
    </row>
    <row r="96" spans="1:46">
      <c r="A96" s="231">
        <v>331</v>
      </c>
      <c r="B96" s="222">
        <f>VLOOKUP(A96,OPATT_Activities!A:J,3,FALSE)</f>
        <v>3</v>
      </c>
      <c r="C96" s="222">
        <f>VLOOKUP(A96,OPATT_Activities!A:J,4,FALSE)</f>
        <v>1297</v>
      </c>
      <c r="D96" s="222">
        <f>VLOOKUP(A96,OPATT_Activities!A:J,5,FALSE)</f>
        <v>0</v>
      </c>
      <c r="E96" s="222">
        <f>VLOOKUP(A96,OPATT_Activities!A:J,6,FALSE)</f>
        <v>5382</v>
      </c>
      <c r="F96" s="222">
        <f>VLOOKUP(A96,OPATT_Cost_Quantum!A:F,2,FALSE)</f>
        <v>589.92240550594101</v>
      </c>
      <c r="G96" s="222">
        <f>VLOOKUP(A96,OPATT_Cost_Quantum!A:F,3,FALSE)</f>
        <v>135162.38634838499</v>
      </c>
      <c r="H96" s="222">
        <f>VLOOKUP(A96,OPATT_Cost_Quantum!A:F,4,FALSE)</f>
        <v>0</v>
      </c>
      <c r="I96" s="222">
        <f>VLOOKUP(A96,OPATT_Cost_Quantum!A:F,5,FALSE)</f>
        <v>392492.27632812801</v>
      </c>
      <c r="J96" s="223">
        <f t="shared" si="93"/>
        <v>196.64080183531368</v>
      </c>
      <c r="K96" s="223">
        <f t="shared" si="93"/>
        <v>104.21155462481495</v>
      </c>
      <c r="L96" s="223">
        <f t="shared" si="93"/>
        <v>0</v>
      </c>
      <c r="M96" s="223">
        <f t="shared" si="93"/>
        <v>72.926844356768484</v>
      </c>
      <c r="N96" s="224">
        <f>IF(ISERROR(VLOOKUP($A96,'HRGs to TFCs % Split'!$A$8:$I$145,6,0)),0,VLOOKUP($A96,'HRGs to TFCs % Split'!$A$8:$I$145,6,0))</f>
        <v>0</v>
      </c>
      <c r="O96" s="224">
        <f>IF(ISERROR(VLOOKUP($A96,'HRGs to TFCs % Split'!$A$8:$I$145,6,0)),0,VLOOKUP($A96,'HRGs to TFCs % Split'!$A$8:$I$145,7,0))</f>
        <v>3.3175250014538567E-6</v>
      </c>
      <c r="P96" s="224">
        <f>IF(ISERROR(VLOOKUP($A96,'HRGs to TFCs % Split'!$A$8:$I$145,6,0)),0,VLOOKUP($A96,'HRGs to TFCs % Split'!$A$8:$I$145,8,0))</f>
        <v>0</v>
      </c>
      <c r="Q96" s="224">
        <f>IF(ISERROR(VLOOKUP($A96,'HRGs to TFCs % Split'!$A$8:$I$145,6,0)),0,VLOOKUP($A96,'HRGs to TFCs % Split'!$A$8:$I$145,9,0))</f>
        <v>7.1229213266509275E-6</v>
      </c>
      <c r="R96" s="225">
        <f t="shared" si="94"/>
        <v>0</v>
      </c>
      <c r="S96" s="225">
        <f t="shared" si="95"/>
        <v>4</v>
      </c>
      <c r="T96" s="225">
        <f t="shared" si="96"/>
        <v>0</v>
      </c>
      <c r="U96" s="225">
        <f t="shared" si="97"/>
        <v>10</v>
      </c>
      <c r="V96" s="224">
        <f>IF(ISERROR(VLOOKUP($A96,'HRGs to TFCs % Split'!$A$8:$I$145,6,0)),0,VLOOKUP($A96,'HRGs to TFCs % Split'!$A$8:$I$145,6,0))</f>
        <v>0</v>
      </c>
      <c r="W96" s="224">
        <f>IF(ISERROR(VLOOKUP($A96,'HRGs to TFCs % Split'!$A$8:$I$145,6,0)),0,VLOOKUP($A96,'HRGs to TFCs % Split'!$A$8:$I$145,7,0))</f>
        <v>3.3175250014538567E-6</v>
      </c>
      <c r="X96" s="224">
        <f>IF(ISERROR(VLOOKUP($A96,'HRGs to TFCs % Split'!$A$8:$I$145,6,0)),0,VLOOKUP($A96,'HRGs to TFCs % Split'!$A$8:$I$145,8,0))</f>
        <v>0</v>
      </c>
      <c r="Y96" s="224">
        <f>IF(ISERROR(VLOOKUP($A96,'HRGs to TFCs % Split'!$A$8:$I$145,6,0)),0,VLOOKUP($A96,'HRGs to TFCs % Split'!$A$8:$I$145,9,0))</f>
        <v>7.1229213266509275E-6</v>
      </c>
      <c r="Z96" s="225">
        <f t="shared" si="110"/>
        <v>0</v>
      </c>
      <c r="AA96" s="225">
        <f t="shared" si="111"/>
        <v>523.17743903909991</v>
      </c>
      <c r="AB96" s="225">
        <f t="shared" si="112"/>
        <v>0</v>
      </c>
      <c r="AC96" s="225">
        <f t="shared" si="113"/>
        <v>1123.2927367604204</v>
      </c>
      <c r="AD96" s="226">
        <f t="shared" si="98"/>
        <v>3</v>
      </c>
      <c r="AE96" s="226">
        <f t="shared" si="99"/>
        <v>1301</v>
      </c>
      <c r="AF96" s="226">
        <f t="shared" si="100"/>
        <v>0</v>
      </c>
      <c r="AG96" s="226">
        <f t="shared" si="101"/>
        <v>5392</v>
      </c>
      <c r="AH96" s="226">
        <f t="shared" si="102"/>
        <v>589.92240550594101</v>
      </c>
      <c r="AI96" s="226">
        <f t="shared" si="103"/>
        <v>135685.56378742409</v>
      </c>
      <c r="AJ96" s="226">
        <f t="shared" si="104"/>
        <v>0</v>
      </c>
      <c r="AK96" s="226">
        <f t="shared" si="105"/>
        <v>393615.5690648884</v>
      </c>
      <c r="AL96" s="227">
        <f t="shared" si="106"/>
        <v>196.64080183531368</v>
      </c>
      <c r="AM96" s="227">
        <f t="shared" si="107"/>
        <v>104.29328500186325</v>
      </c>
      <c r="AN96" s="227">
        <f t="shared" si="108"/>
        <v>0</v>
      </c>
      <c r="AO96" s="227">
        <f t="shared" si="109"/>
        <v>72.999920078799775</v>
      </c>
      <c r="AP96" s="228">
        <f t="shared" si="114"/>
        <v>0</v>
      </c>
      <c r="AQ96" s="228">
        <f t="shared" si="115"/>
        <v>7.8427365701005947E-4</v>
      </c>
      <c r="AR96" s="228">
        <f t="shared" si="116"/>
        <v>0</v>
      </c>
      <c r="AS96" s="228">
        <f t="shared" si="117"/>
        <v>1.0020414660174559E-3</v>
      </c>
      <c r="AT96" s="227">
        <f>IF(ISERROR(VLOOKUP(A96,Mandatory!A:A,1,FALSE)),0,1)</f>
        <v>0</v>
      </c>
    </row>
    <row r="97" spans="1:46">
      <c r="A97" s="231">
        <v>340</v>
      </c>
      <c r="B97" s="222">
        <f>VLOOKUP(A97,OPATT_Activities!A:J,3,FALSE)</f>
        <v>12524</v>
      </c>
      <c r="C97" s="222">
        <f>VLOOKUP(A97,OPATT_Activities!A:J,4,FALSE)</f>
        <v>323610</v>
      </c>
      <c r="D97" s="222">
        <f>VLOOKUP(A97,OPATT_Activities!A:J,5,FALSE)</f>
        <v>34069</v>
      </c>
      <c r="E97" s="222">
        <f>VLOOKUP(A97,OPATT_Activities!A:J,6,FALSE)</f>
        <v>710741</v>
      </c>
      <c r="F97" s="222">
        <f>VLOOKUP(A97,OPATT_Cost_Quantum!A:F,2,FALSE)</f>
        <v>2722047.7636541901</v>
      </c>
      <c r="G97" s="222">
        <f>VLOOKUP(A97,OPATT_Cost_Quantum!A:F,3,FALSE)</f>
        <v>55300942.504360102</v>
      </c>
      <c r="H97" s="222">
        <f>VLOOKUP(A97,OPATT_Cost_Quantum!A:F,4,FALSE)</f>
        <v>6094953.1061175298</v>
      </c>
      <c r="I97" s="222">
        <f>VLOOKUP(A97,OPATT_Cost_Quantum!A:F,5,FALSE)</f>
        <v>88123851.949168995</v>
      </c>
      <c r="J97" s="223">
        <f t="shared" si="93"/>
        <v>217.34651578203369</v>
      </c>
      <c r="K97" s="223">
        <f t="shared" si="93"/>
        <v>170.88761937010631</v>
      </c>
      <c r="L97" s="223">
        <f t="shared" si="93"/>
        <v>178.90026434933606</v>
      </c>
      <c r="M97" s="223">
        <f t="shared" si="93"/>
        <v>123.98869904672587</v>
      </c>
      <c r="N97" s="224">
        <f>IF(ISERROR(VLOOKUP($A97,'HRGs to TFCs % Split'!$A$8:$I$145,6,0)),0,VLOOKUP($A97,'HRGs to TFCs % Split'!$A$8:$I$145,6,0))</f>
        <v>4.2483834871559094E-4</v>
      </c>
      <c r="O97" s="224">
        <f>IF(ISERROR(VLOOKUP($A97,'HRGs to TFCs % Split'!$A$8:$I$145,6,0)),0,VLOOKUP($A97,'HRGs to TFCs % Split'!$A$8:$I$145,7,0))</f>
        <v>8.1810166535852095E-3</v>
      </c>
      <c r="P97" s="224">
        <f>IF(ISERROR(VLOOKUP($A97,'HRGs to TFCs % Split'!$A$8:$I$145,6,0)),0,VLOOKUP($A97,'HRGs to TFCs % Split'!$A$8:$I$145,8,0))</f>
        <v>5.9198306423001608E-4</v>
      </c>
      <c r="Q97" s="224">
        <f>IF(ISERROR(VLOOKUP($A97,'HRGs to TFCs % Split'!$A$8:$I$145,6,0)),0,VLOOKUP($A97,'HRGs to TFCs % Split'!$A$8:$I$145,9,0))</f>
        <v>1.223376373992009E-2</v>
      </c>
      <c r="R97" s="225">
        <f t="shared" si="94"/>
        <v>573</v>
      </c>
      <c r="S97" s="225">
        <f t="shared" si="95"/>
        <v>11040</v>
      </c>
      <c r="T97" s="225">
        <f t="shared" si="96"/>
        <v>799</v>
      </c>
      <c r="U97" s="225">
        <f t="shared" si="97"/>
        <v>16509</v>
      </c>
      <c r="V97" s="224">
        <f>IF(ISERROR(VLOOKUP($A97,'HRGs to TFCs % Split'!$A$8:$I$145,6,0)),0,VLOOKUP($A97,'HRGs to TFCs % Split'!$A$8:$I$145,6,0))</f>
        <v>4.2483834871559094E-4</v>
      </c>
      <c r="W97" s="224">
        <f>IF(ISERROR(VLOOKUP($A97,'HRGs to TFCs % Split'!$A$8:$I$145,6,0)),0,VLOOKUP($A97,'HRGs to TFCs % Split'!$A$8:$I$145,7,0))</f>
        <v>8.1810166535852095E-3</v>
      </c>
      <c r="X97" s="224">
        <f>IF(ISERROR(VLOOKUP($A97,'HRGs to TFCs % Split'!$A$8:$I$145,6,0)),0,VLOOKUP($A97,'HRGs to TFCs % Split'!$A$8:$I$145,8,0))</f>
        <v>5.9198306423001608E-4</v>
      </c>
      <c r="Y97" s="224">
        <f>IF(ISERROR(VLOOKUP($A97,'HRGs to TFCs % Split'!$A$8:$I$145,6,0)),0,VLOOKUP($A97,'HRGs to TFCs % Split'!$A$8:$I$145,9,0))</f>
        <v>1.223376373992009E-2</v>
      </c>
      <c r="Z97" s="225">
        <f t="shared" si="110"/>
        <v>66997.487340477688</v>
      </c>
      <c r="AA97" s="225">
        <f t="shared" si="111"/>
        <v>1290155.5646704203</v>
      </c>
      <c r="AB97" s="225">
        <f t="shared" si="112"/>
        <v>93356.397725006449</v>
      </c>
      <c r="AC97" s="225">
        <f t="shared" si="113"/>
        <v>1929278.3567436268</v>
      </c>
      <c r="AD97" s="226">
        <f t="shared" si="98"/>
        <v>13097</v>
      </c>
      <c r="AE97" s="226">
        <f t="shared" si="99"/>
        <v>334650</v>
      </c>
      <c r="AF97" s="226">
        <f t="shared" si="100"/>
        <v>34868</v>
      </c>
      <c r="AG97" s="226">
        <f t="shared" si="101"/>
        <v>727250</v>
      </c>
      <c r="AH97" s="226">
        <f t="shared" si="102"/>
        <v>2789045.2509946679</v>
      </c>
      <c r="AI97" s="226">
        <f t="shared" si="103"/>
        <v>56591098.069030523</v>
      </c>
      <c r="AJ97" s="226">
        <f t="shared" si="104"/>
        <v>6188309.5038425364</v>
      </c>
      <c r="AK97" s="226">
        <f t="shared" si="105"/>
        <v>90053130.305912629</v>
      </c>
      <c r="AL97" s="227">
        <f t="shared" si="106"/>
        <v>212.95298549245385</v>
      </c>
      <c r="AM97" s="227">
        <f t="shared" si="107"/>
        <v>169.10532816085617</v>
      </c>
      <c r="AN97" s="227">
        <f t="shared" si="108"/>
        <v>177.4781892807886</v>
      </c>
      <c r="AO97" s="227">
        <f t="shared" si="109"/>
        <v>123.82692376199742</v>
      </c>
      <c r="AP97" s="228">
        <f t="shared" si="114"/>
        <v>-2.0214404053230384E-2</v>
      </c>
      <c r="AQ97" s="228">
        <f t="shared" si="115"/>
        <v>-1.0429609914513915E-2</v>
      </c>
      <c r="AR97" s="228">
        <f t="shared" si="116"/>
        <v>-7.9489824887603033E-3</v>
      </c>
      <c r="AS97" s="228">
        <f t="shared" si="117"/>
        <v>-1.3047583043636068E-3</v>
      </c>
      <c r="AT97" s="227">
        <f>IF(ISERROR(VLOOKUP(A97,Mandatory!A:A,1,FALSE)),0,1)</f>
        <v>1</v>
      </c>
    </row>
    <row r="98" spans="1:46">
      <c r="A98" s="231">
        <v>341</v>
      </c>
      <c r="B98" s="222">
        <f>VLOOKUP(A98,OPATT_Activities!A:J,3,FALSE)</f>
        <v>254</v>
      </c>
      <c r="C98" s="222">
        <f>VLOOKUP(A98,OPATT_Activities!A:J,4,FALSE)</f>
        <v>26203</v>
      </c>
      <c r="D98" s="222">
        <f>VLOOKUP(A98,OPATT_Activities!A:J,5,FALSE)</f>
        <v>193</v>
      </c>
      <c r="E98" s="222">
        <f>VLOOKUP(A98,OPATT_Activities!A:J,6,FALSE)</f>
        <v>67524</v>
      </c>
      <c r="F98" s="222">
        <f>VLOOKUP(A98,OPATT_Cost_Quantum!A:F,2,FALSE)</f>
        <v>9637.4798808346404</v>
      </c>
      <c r="G98" s="222">
        <f>VLOOKUP(A98,OPATT_Cost_Quantum!A:F,3,FALSE)</f>
        <v>3051523.9582584999</v>
      </c>
      <c r="H98" s="222">
        <f>VLOOKUP(A98,OPATT_Cost_Quantum!A:F,4,FALSE)</f>
        <v>17598.279790049201</v>
      </c>
      <c r="I98" s="222">
        <f>VLOOKUP(A98,OPATT_Cost_Quantum!A:F,5,FALSE)</f>
        <v>8865697.4340354409</v>
      </c>
      <c r="J98" s="223">
        <f t="shared" si="93"/>
        <v>37.942834176514332</v>
      </c>
      <c r="K98" s="223">
        <f t="shared" si="93"/>
        <v>116.45704531002175</v>
      </c>
      <c r="L98" s="223">
        <f t="shared" si="93"/>
        <v>91.18279683963317</v>
      </c>
      <c r="M98" s="223">
        <f t="shared" si="93"/>
        <v>131.29698231792312</v>
      </c>
      <c r="N98" s="224">
        <f>IF(ISERROR(VLOOKUP($A98,'HRGs to TFCs % Split'!$A$8:$I$145,6,0)),0,VLOOKUP($A98,'HRGs to TFCs % Split'!$A$8:$I$145,6,0))</f>
        <v>1.6587625007269284E-6</v>
      </c>
      <c r="O98" s="224">
        <f>IF(ISERROR(VLOOKUP($A98,'HRGs to TFCs % Split'!$A$8:$I$145,6,0)),0,VLOOKUP($A98,'HRGs to TFCs % Split'!$A$8:$I$145,7,0))</f>
        <v>2.0339355486854601E-3</v>
      </c>
      <c r="P98" s="224">
        <f>IF(ISERROR(VLOOKUP($A98,'HRGs to TFCs % Split'!$A$8:$I$145,6,0)),0,VLOOKUP($A98,'HRGs to TFCs % Split'!$A$8:$I$145,8,0))</f>
        <v>2.3417823539674281E-6</v>
      </c>
      <c r="Q98" s="224">
        <f>IF(ISERROR(VLOOKUP($A98,'HRGs to TFCs % Split'!$A$8:$I$145,6,0)),0,VLOOKUP($A98,'HRGs to TFCs % Split'!$A$8:$I$145,9,0))</f>
        <v>1.4749325859404851E-3</v>
      </c>
      <c r="R98" s="225">
        <f t="shared" si="94"/>
        <v>2</v>
      </c>
      <c r="S98" s="225">
        <f t="shared" si="95"/>
        <v>2745</v>
      </c>
      <c r="T98" s="225">
        <f t="shared" si="96"/>
        <v>3</v>
      </c>
      <c r="U98" s="225">
        <f t="shared" si="97"/>
        <v>1990</v>
      </c>
      <c r="V98" s="224">
        <f>IF(ISERROR(VLOOKUP($A98,'HRGs to TFCs % Split'!$A$8:$I$145,6,0)),0,VLOOKUP($A98,'HRGs to TFCs % Split'!$A$8:$I$145,6,0))</f>
        <v>1.6587625007269284E-6</v>
      </c>
      <c r="W98" s="224">
        <f>IF(ISERROR(VLOOKUP($A98,'HRGs to TFCs % Split'!$A$8:$I$145,6,0)),0,VLOOKUP($A98,'HRGs to TFCs % Split'!$A$8:$I$145,7,0))</f>
        <v>2.0339355486854601E-3</v>
      </c>
      <c r="X98" s="224">
        <f>IF(ISERROR(VLOOKUP($A98,'HRGs to TFCs % Split'!$A$8:$I$145,6,0)),0,VLOOKUP($A98,'HRGs to TFCs % Split'!$A$8:$I$145,8,0))</f>
        <v>2.3417823539674281E-6</v>
      </c>
      <c r="Y98" s="224">
        <f>IF(ISERROR(VLOOKUP($A98,'HRGs to TFCs % Split'!$A$8:$I$145,6,0)),0,VLOOKUP($A98,'HRGs to TFCs % Split'!$A$8:$I$145,9,0))</f>
        <v>1.4749325859404851E-3</v>
      </c>
      <c r="Z98" s="225">
        <f t="shared" si="110"/>
        <v>261.58871951954995</v>
      </c>
      <c r="AA98" s="225">
        <f t="shared" si="111"/>
        <v>320753.9328461776</v>
      </c>
      <c r="AB98" s="225">
        <f t="shared" si="112"/>
        <v>369.30172167465878</v>
      </c>
      <c r="AC98" s="225">
        <f t="shared" si="113"/>
        <v>232598.53436808925</v>
      </c>
      <c r="AD98" s="226">
        <f t="shared" si="98"/>
        <v>256</v>
      </c>
      <c r="AE98" s="226">
        <f t="shared" si="99"/>
        <v>28948</v>
      </c>
      <c r="AF98" s="226">
        <f t="shared" si="100"/>
        <v>196</v>
      </c>
      <c r="AG98" s="226">
        <f t="shared" si="101"/>
        <v>69514</v>
      </c>
      <c r="AH98" s="226">
        <f t="shared" si="102"/>
        <v>9899.0686003541905</v>
      </c>
      <c r="AI98" s="226">
        <f t="shared" si="103"/>
        <v>3372277.8911046777</v>
      </c>
      <c r="AJ98" s="226">
        <f t="shared" si="104"/>
        <v>17967.58151172386</v>
      </c>
      <c r="AK98" s="226">
        <f t="shared" si="105"/>
        <v>9098295.9684035294</v>
      </c>
      <c r="AL98" s="227">
        <f t="shared" si="106"/>
        <v>38.668236720133557</v>
      </c>
      <c r="AM98" s="227">
        <f t="shared" si="107"/>
        <v>116.49433090730544</v>
      </c>
      <c r="AN98" s="227">
        <f t="shared" si="108"/>
        <v>91.671334243489085</v>
      </c>
      <c r="AO98" s="227">
        <f t="shared" si="109"/>
        <v>130.8843681618599</v>
      </c>
      <c r="AP98" s="228">
        <f t="shared" si="114"/>
        <v>1.9118301501795276E-2</v>
      </c>
      <c r="AQ98" s="228">
        <f t="shared" si="115"/>
        <v>3.2016609372509386E-4</v>
      </c>
      <c r="AR98" s="228">
        <f t="shared" si="116"/>
        <v>5.3577804233744253E-3</v>
      </c>
      <c r="AS98" s="228">
        <f t="shared" si="117"/>
        <v>-3.1426019759092094E-3</v>
      </c>
      <c r="AT98" s="227">
        <f>IF(ISERROR(VLOOKUP(A98,Mandatory!A:A,1,FALSE)),0,1)</f>
        <v>1</v>
      </c>
    </row>
    <row r="99" spans="1:46">
      <c r="A99" s="231">
        <v>342</v>
      </c>
      <c r="B99" s="222">
        <f>VLOOKUP(A99,OPATT_Activities!A:J,3,FALSE)</f>
        <v>0</v>
      </c>
      <c r="C99" s="222">
        <f>VLOOKUP(A99,OPATT_Activities!A:J,4,FALSE)</f>
        <v>28</v>
      </c>
      <c r="D99" s="222">
        <f>VLOOKUP(A99,OPATT_Activities!A:J,5,FALSE)</f>
        <v>446</v>
      </c>
      <c r="E99" s="222">
        <f>VLOOKUP(A99,OPATT_Activities!A:J,6,FALSE)</f>
        <v>45</v>
      </c>
      <c r="F99" s="222">
        <f>VLOOKUP(A99,OPATT_Cost_Quantum!A:F,2,FALSE)</f>
        <v>0</v>
      </c>
      <c r="G99" s="222">
        <f>VLOOKUP(A99,OPATT_Cost_Quantum!A:F,3,FALSE)</f>
        <v>4556.2575236201301</v>
      </c>
      <c r="H99" s="222">
        <f>VLOOKUP(A99,OPATT_Cost_Quantum!A:F,4,FALSE)</f>
        <v>12200.500806215699</v>
      </c>
      <c r="I99" s="222">
        <f>VLOOKUP(A99,OPATT_Cost_Quantum!A:F,5,FALSE)</f>
        <v>4034.1927658800901</v>
      </c>
      <c r="J99" s="223">
        <f t="shared" si="93"/>
        <v>0</v>
      </c>
      <c r="K99" s="223">
        <f t="shared" si="93"/>
        <v>162.72348298643323</v>
      </c>
      <c r="L99" s="223">
        <f t="shared" si="93"/>
        <v>27.3553829735778</v>
      </c>
      <c r="M99" s="223">
        <f t="shared" si="93"/>
        <v>89.648728130668673</v>
      </c>
      <c r="N99" s="224">
        <f>IF(ISERROR(VLOOKUP($A99,'HRGs to TFCs % Split'!$A$8:$I$145,6,0)),0,VLOOKUP($A99,'HRGs to TFCs % Split'!$A$8:$I$145,6,0))</f>
        <v>0</v>
      </c>
      <c r="O99" s="224">
        <f>IF(ISERROR(VLOOKUP($A99,'HRGs to TFCs % Split'!$A$8:$I$145,6,0)),0,VLOOKUP($A99,'HRGs to TFCs % Split'!$A$8:$I$145,7,0))</f>
        <v>6.6350500029077131E-5</v>
      </c>
      <c r="P99" s="224">
        <f>IF(ISERROR(VLOOKUP($A99,'HRGs to TFCs % Split'!$A$8:$I$145,6,0)),0,VLOOKUP($A99,'HRGs to TFCs % Split'!$A$8:$I$145,8,0))</f>
        <v>0</v>
      </c>
      <c r="Q99" s="224">
        <f>IF(ISERROR(VLOOKUP($A99,'HRGs to TFCs % Split'!$A$8:$I$145,6,0)),0,VLOOKUP($A99,'HRGs to TFCs % Split'!$A$8:$I$145,9,0))</f>
        <v>2.0734531259086603E-4</v>
      </c>
      <c r="R99" s="225">
        <f t="shared" si="94"/>
        <v>0</v>
      </c>
      <c r="S99" s="225">
        <f t="shared" si="95"/>
        <v>90</v>
      </c>
      <c r="T99" s="225">
        <f t="shared" si="96"/>
        <v>0</v>
      </c>
      <c r="U99" s="225">
        <f t="shared" si="97"/>
        <v>280</v>
      </c>
      <c r="V99" s="224">
        <f>IF(ISERROR(VLOOKUP($A99,'HRGs to TFCs % Split'!$A$8:$I$145,6,0)),0,VLOOKUP($A99,'HRGs to TFCs % Split'!$A$8:$I$145,6,0))</f>
        <v>0</v>
      </c>
      <c r="W99" s="224">
        <f>IF(ISERROR(VLOOKUP($A99,'HRGs to TFCs % Split'!$A$8:$I$145,6,0)),0,VLOOKUP($A99,'HRGs to TFCs % Split'!$A$8:$I$145,7,0))</f>
        <v>6.6350500029077131E-5</v>
      </c>
      <c r="X99" s="224">
        <f>IF(ISERROR(VLOOKUP($A99,'HRGs to TFCs % Split'!$A$8:$I$145,6,0)),0,VLOOKUP($A99,'HRGs to TFCs % Split'!$A$8:$I$145,8,0))</f>
        <v>0</v>
      </c>
      <c r="Y99" s="224">
        <f>IF(ISERROR(VLOOKUP($A99,'HRGs to TFCs % Split'!$A$8:$I$145,6,0)),0,VLOOKUP($A99,'HRGs to TFCs % Split'!$A$8:$I$145,9,0))</f>
        <v>2.0734531259086603E-4</v>
      </c>
      <c r="Z99" s="225">
        <f t="shared" si="110"/>
        <v>0</v>
      </c>
      <c r="AA99" s="225">
        <f t="shared" si="111"/>
        <v>10463.548780781999</v>
      </c>
      <c r="AB99" s="225">
        <f t="shared" si="112"/>
        <v>0</v>
      </c>
      <c r="AC99" s="225">
        <f t="shared" si="113"/>
        <v>32698.589939943744</v>
      </c>
      <c r="AD99" s="226">
        <f t="shared" si="98"/>
        <v>0</v>
      </c>
      <c r="AE99" s="226">
        <f t="shared" si="99"/>
        <v>118</v>
      </c>
      <c r="AF99" s="226">
        <f t="shared" si="100"/>
        <v>446</v>
      </c>
      <c r="AG99" s="226">
        <f t="shared" si="101"/>
        <v>325</v>
      </c>
      <c r="AH99" s="226">
        <f t="shared" si="102"/>
        <v>0</v>
      </c>
      <c r="AI99" s="226">
        <f t="shared" si="103"/>
        <v>15019.806304402129</v>
      </c>
      <c r="AJ99" s="226">
        <f t="shared" si="104"/>
        <v>12200.500806215699</v>
      </c>
      <c r="AK99" s="226">
        <f t="shared" si="105"/>
        <v>36732.782705823833</v>
      </c>
      <c r="AL99" s="227">
        <f t="shared" si="106"/>
        <v>0</v>
      </c>
      <c r="AM99" s="227">
        <f t="shared" si="107"/>
        <v>127.28649410510279</v>
      </c>
      <c r="AN99" s="227">
        <f t="shared" si="108"/>
        <v>27.3553829735778</v>
      </c>
      <c r="AO99" s="227">
        <f t="shared" si="109"/>
        <v>113.02394678715025</v>
      </c>
      <c r="AP99" s="228">
        <f t="shared" si="114"/>
        <v>0</v>
      </c>
      <c r="AQ99" s="228">
        <f t="shared" si="115"/>
        <v>-0.21777427714157849</v>
      </c>
      <c r="AR99" s="228">
        <f t="shared" si="116"/>
        <v>0</v>
      </c>
      <c r="AS99" s="228">
        <f t="shared" si="117"/>
        <v>0.26074233448589168</v>
      </c>
      <c r="AT99" s="227">
        <f>IF(ISERROR(VLOOKUP(A99,Mandatory!A:A,1,FALSE)),0,1)</f>
        <v>0</v>
      </c>
    </row>
    <row r="100" spans="1:46">
      <c r="A100" s="231">
        <v>346</v>
      </c>
      <c r="B100" s="222">
        <f>VLOOKUP(A100,OPATT_Activities!A:J,3,FALSE)</f>
        <v>0</v>
      </c>
      <c r="C100" s="222">
        <f>VLOOKUP(A100,OPATT_Activities!A:J,4,FALSE)</f>
        <v>0</v>
      </c>
      <c r="D100" s="222">
        <f>VLOOKUP(A100,OPATT_Activities!A:J,5,FALSE)</f>
        <v>0</v>
      </c>
      <c r="E100" s="222">
        <f>VLOOKUP(A100,OPATT_Activities!A:J,6,FALSE)</f>
        <v>0</v>
      </c>
      <c r="F100" s="222">
        <f>VLOOKUP(A100,OPATT_Cost_Quantum!A:F,2,FALSE)</f>
        <v>0</v>
      </c>
      <c r="G100" s="222">
        <f>VLOOKUP(A100,OPATT_Cost_Quantum!A:F,3,FALSE)</f>
        <v>0</v>
      </c>
      <c r="H100" s="222">
        <f>VLOOKUP(A100,OPATT_Cost_Quantum!A:F,4,FALSE)</f>
        <v>0</v>
      </c>
      <c r="I100" s="222">
        <f>VLOOKUP(A100,OPATT_Cost_Quantum!A:F,5,FALSE)</f>
        <v>0</v>
      </c>
      <c r="J100" s="223">
        <f t="shared" ref="J100" si="146">IF(B100=0,0,F100/B100)</f>
        <v>0</v>
      </c>
      <c r="K100" s="223">
        <f t="shared" ref="K100" si="147">IF(C100=0,0,G100/C100)</f>
        <v>0</v>
      </c>
      <c r="L100" s="223">
        <f t="shared" ref="L100" si="148">IF(D100=0,0,H100/D100)</f>
        <v>0</v>
      </c>
      <c r="M100" s="223">
        <f t="shared" ref="M100" si="149">IF(E100=0,0,I100/E100)</f>
        <v>0</v>
      </c>
      <c r="N100" s="224">
        <f>IF(ISERROR(VLOOKUP($A100,'HRGs to TFCs % Split'!$A$8:$I$145,6,0)),0,VLOOKUP($A100,'HRGs to TFCs % Split'!$A$8:$I$145,6,0))</f>
        <v>0</v>
      </c>
      <c r="O100" s="224">
        <f>IF(ISERROR(VLOOKUP($A100,'HRGs to TFCs % Split'!$A$8:$I$145,6,0)),0,VLOOKUP($A100,'HRGs to TFCs % Split'!$A$8:$I$145,7,0))</f>
        <v>0</v>
      </c>
      <c r="P100" s="224">
        <f>IF(ISERROR(VLOOKUP($A100,'HRGs to TFCs % Split'!$A$8:$I$145,6,0)),0,VLOOKUP($A100,'HRGs to TFCs % Split'!$A$8:$I$145,8,0))</f>
        <v>0</v>
      </c>
      <c r="Q100" s="224">
        <f>IF(ISERROR(VLOOKUP($A100,'HRGs to TFCs % Split'!$A$8:$I$145,6,0)),0,VLOOKUP($A100,'HRGs to TFCs % Split'!$A$8:$I$145,9,0))</f>
        <v>0</v>
      </c>
      <c r="R100" s="225">
        <f t="shared" ref="R100" si="150">ROUND(N100*$R$3,0)</f>
        <v>0</v>
      </c>
      <c r="S100" s="225">
        <f t="shared" ref="S100" si="151">ROUND(O100*$R$3,0)</f>
        <v>0</v>
      </c>
      <c r="T100" s="225">
        <f t="shared" ref="T100" si="152">ROUND(P100*$R$3,0)</f>
        <v>0</v>
      </c>
      <c r="U100" s="225">
        <f t="shared" ref="U100" si="153">ROUND(Q100*$R$3,0)</f>
        <v>0</v>
      </c>
      <c r="V100" s="224">
        <f>IF(ISERROR(VLOOKUP($A100,'HRGs to TFCs % Split'!$A$8:$I$145,6,0)),0,VLOOKUP($A100,'HRGs to TFCs % Split'!$A$8:$I$145,6,0))</f>
        <v>0</v>
      </c>
      <c r="W100" s="224">
        <f>IF(ISERROR(VLOOKUP($A100,'HRGs to TFCs % Split'!$A$8:$I$145,6,0)),0,VLOOKUP($A100,'HRGs to TFCs % Split'!$A$8:$I$145,7,0))</f>
        <v>0</v>
      </c>
      <c r="X100" s="224">
        <f>IF(ISERROR(VLOOKUP($A100,'HRGs to TFCs % Split'!$A$8:$I$145,6,0)),0,VLOOKUP($A100,'HRGs to TFCs % Split'!$A$8:$I$145,8,0))</f>
        <v>0</v>
      </c>
      <c r="Y100" s="224">
        <f>IF(ISERROR(VLOOKUP($A100,'HRGs to TFCs % Split'!$A$8:$I$145,6,0)),0,VLOOKUP($A100,'HRGs to TFCs % Split'!$A$8:$I$145,9,0))</f>
        <v>0</v>
      </c>
      <c r="Z100" s="225">
        <f t="shared" ref="Z100" si="154">V100*$Z$3</f>
        <v>0</v>
      </c>
      <c r="AA100" s="225">
        <f t="shared" ref="AA100" si="155">W100*$Z$3</f>
        <v>0</v>
      </c>
      <c r="AB100" s="225">
        <f t="shared" ref="AB100" si="156">X100*$Z$3</f>
        <v>0</v>
      </c>
      <c r="AC100" s="225">
        <f t="shared" ref="AC100" si="157">Y100*$Z$3</f>
        <v>0</v>
      </c>
      <c r="AD100" s="226">
        <f t="shared" ref="AD100" si="158">B100+R100</f>
        <v>0</v>
      </c>
      <c r="AE100" s="226">
        <f t="shared" ref="AE100" si="159">C100+S100</f>
        <v>0</v>
      </c>
      <c r="AF100" s="226">
        <f t="shared" ref="AF100" si="160">D100+T100</f>
        <v>0</v>
      </c>
      <c r="AG100" s="226">
        <f t="shared" ref="AG100" si="161">E100+U100</f>
        <v>0</v>
      </c>
      <c r="AH100" s="226">
        <f t="shared" ref="AH100" si="162">F100+Z100</f>
        <v>0</v>
      </c>
      <c r="AI100" s="226">
        <f t="shared" ref="AI100" si="163">G100+AA100</f>
        <v>0</v>
      </c>
      <c r="AJ100" s="226">
        <f t="shared" ref="AJ100" si="164">H100+AB100</f>
        <v>0</v>
      </c>
      <c r="AK100" s="226">
        <f t="shared" ref="AK100" si="165">I100+AC100</f>
        <v>0</v>
      </c>
      <c r="AL100" s="227">
        <f t="shared" ref="AL100" si="166">IF(AD100=0,0,AH100/AD100)</f>
        <v>0</v>
      </c>
      <c r="AM100" s="227">
        <f t="shared" ref="AM100" si="167">IF(AE100=0,0,AI100/AE100)</f>
        <v>0</v>
      </c>
      <c r="AN100" s="227">
        <f t="shared" ref="AN100" si="168">IF(AF100=0,0,AJ100/AF100)</f>
        <v>0</v>
      </c>
      <c r="AO100" s="227">
        <f t="shared" ref="AO100" si="169">IF(AG100=0,0,AK100/AG100)</f>
        <v>0</v>
      </c>
      <c r="AP100" s="228">
        <f t="shared" ref="AP100" si="170">IF(J100=0,0,AL100/J100-1)</f>
        <v>0</v>
      </c>
      <c r="AQ100" s="228">
        <f t="shared" ref="AQ100" si="171">IF(K100=0,0,AM100/K100-1)</f>
        <v>0</v>
      </c>
      <c r="AR100" s="228">
        <f t="shared" ref="AR100" si="172">IF(L100=0,0,AN100/L100-1)</f>
        <v>0</v>
      </c>
      <c r="AS100" s="228">
        <f t="shared" ref="AS100" si="173">IF(M100=0,0,AO100/M100-1)</f>
        <v>0</v>
      </c>
      <c r="AT100" s="227">
        <f>IF(ISERROR(VLOOKUP(A100,Mandatory!A:A,1,FALSE)),0,1)</f>
        <v>0</v>
      </c>
    </row>
    <row r="101" spans="1:46">
      <c r="A101" s="231">
        <v>350</v>
      </c>
      <c r="B101" s="222">
        <f>VLOOKUP(A101,OPATT_Activities!A:J,3,FALSE)</f>
        <v>1599</v>
      </c>
      <c r="C101" s="222">
        <f>VLOOKUP(A101,OPATT_Activities!A:J,4,FALSE)</f>
        <v>20425</v>
      </c>
      <c r="D101" s="222">
        <f>VLOOKUP(A101,OPATT_Activities!A:J,5,FALSE)</f>
        <v>4934</v>
      </c>
      <c r="E101" s="222">
        <f>VLOOKUP(A101,OPATT_Activities!A:J,6,FALSE)</f>
        <v>70369</v>
      </c>
      <c r="F101" s="222">
        <f>VLOOKUP(A101,OPATT_Cost_Quantum!A:F,2,FALSE)</f>
        <v>291046.826313367</v>
      </c>
      <c r="G101" s="222">
        <f>VLOOKUP(A101,OPATT_Cost_Quantum!A:F,3,FALSE)</f>
        <v>4819286.3252555197</v>
      </c>
      <c r="H101" s="222">
        <f>VLOOKUP(A101,OPATT_Cost_Quantum!A:F,4,FALSE)</f>
        <v>933741.79022067401</v>
      </c>
      <c r="I101" s="222">
        <f>VLOOKUP(A101,OPATT_Cost_Quantum!A:F,5,FALSE)</f>
        <v>14577225.0722783</v>
      </c>
      <c r="J101" s="223">
        <f t="shared" si="93"/>
        <v>182.01802771317512</v>
      </c>
      <c r="K101" s="223">
        <f t="shared" si="93"/>
        <v>235.95037088154319</v>
      </c>
      <c r="L101" s="223">
        <f t="shared" si="93"/>
        <v>189.24641066491162</v>
      </c>
      <c r="M101" s="223">
        <f t="shared" si="93"/>
        <v>207.15407455382768</v>
      </c>
      <c r="N101" s="224">
        <f>IF(ISERROR(VLOOKUP($A101,'HRGs to TFCs % Split'!$A$8:$I$145,6,0)),0,VLOOKUP($A101,'HRGs to TFCs % Split'!$A$8:$I$145,6,0))</f>
        <v>5.9520301496672129E-6</v>
      </c>
      <c r="O101" s="224">
        <f>IF(ISERROR(VLOOKUP($A101,'HRGs to TFCs % Split'!$A$8:$I$145,6,0)),0,VLOOKUP($A101,'HRGs to TFCs % Split'!$A$8:$I$145,7,0))</f>
        <v>4.8982280903818706E-5</v>
      </c>
      <c r="P101" s="224">
        <f>IF(ISERROR(VLOOKUP($A101,'HRGs to TFCs % Split'!$A$8:$I$145,6,0)),0,VLOOKUP($A101,'HRGs to TFCs % Split'!$A$8:$I$145,8,0))</f>
        <v>2.0490595597214996E-6</v>
      </c>
      <c r="Q101" s="224">
        <f>IF(ISERROR(VLOOKUP($A101,'HRGs to TFCs % Split'!$A$8:$I$145,6,0)),0,VLOOKUP($A101,'HRGs to TFCs % Split'!$A$8:$I$145,9,0))</f>
        <v>1.0459961181054513E-4</v>
      </c>
      <c r="R101" s="225">
        <f t="shared" si="94"/>
        <v>8</v>
      </c>
      <c r="S101" s="225">
        <f t="shared" si="95"/>
        <v>66</v>
      </c>
      <c r="T101" s="225">
        <f t="shared" si="96"/>
        <v>3</v>
      </c>
      <c r="U101" s="225">
        <f t="shared" si="97"/>
        <v>141</v>
      </c>
      <c r="V101" s="224">
        <f>IF(ISERROR(VLOOKUP($A101,'HRGs to TFCs % Split'!$A$8:$I$145,6,0)),0,VLOOKUP($A101,'HRGs to TFCs % Split'!$A$8:$I$145,6,0))</f>
        <v>5.9520301496672129E-6</v>
      </c>
      <c r="W101" s="224">
        <f>IF(ISERROR(VLOOKUP($A101,'HRGs to TFCs % Split'!$A$8:$I$145,6,0)),0,VLOOKUP($A101,'HRGs to TFCs % Split'!$A$8:$I$145,7,0))</f>
        <v>4.8982280903818706E-5</v>
      </c>
      <c r="X101" s="224">
        <f>IF(ISERROR(VLOOKUP($A101,'HRGs to TFCs % Split'!$A$8:$I$145,6,0)),0,VLOOKUP($A101,'HRGs to TFCs % Split'!$A$8:$I$145,8,0))</f>
        <v>2.0490595597214996E-6</v>
      </c>
      <c r="Y101" s="224">
        <f>IF(ISERROR(VLOOKUP($A101,'HRGs to TFCs % Split'!$A$8:$I$145,6,0)),0,VLOOKUP($A101,'HRGs to TFCs % Split'!$A$8:$I$145,9,0))</f>
        <v>1.0459961181054513E-4</v>
      </c>
      <c r="Z101" s="225">
        <f t="shared" si="110"/>
        <v>938.64187592309099</v>
      </c>
      <c r="AA101" s="225">
        <f t="shared" si="111"/>
        <v>7724.5610116949465</v>
      </c>
      <c r="AB101" s="225">
        <f t="shared" si="112"/>
        <v>323.13900646532642</v>
      </c>
      <c r="AC101" s="225">
        <f t="shared" si="113"/>
        <v>16495.476901468093</v>
      </c>
      <c r="AD101" s="226">
        <f t="shared" si="98"/>
        <v>1607</v>
      </c>
      <c r="AE101" s="226">
        <f t="shared" si="99"/>
        <v>20491</v>
      </c>
      <c r="AF101" s="226">
        <f t="shared" si="100"/>
        <v>4937</v>
      </c>
      <c r="AG101" s="226">
        <f t="shared" si="101"/>
        <v>70510</v>
      </c>
      <c r="AH101" s="226">
        <f t="shared" si="102"/>
        <v>291985.46818929008</v>
      </c>
      <c r="AI101" s="226">
        <f t="shared" si="103"/>
        <v>4827010.886267215</v>
      </c>
      <c r="AJ101" s="226">
        <f t="shared" si="104"/>
        <v>934064.92922713934</v>
      </c>
      <c r="AK101" s="226">
        <f t="shared" si="105"/>
        <v>14593720.549179768</v>
      </c>
      <c r="AL101" s="227">
        <f t="shared" si="106"/>
        <v>181.69599762868083</v>
      </c>
      <c r="AM101" s="227">
        <f t="shared" si="107"/>
        <v>235.56736549056731</v>
      </c>
      <c r="AN101" s="227">
        <f t="shared" si="108"/>
        <v>189.19686636158383</v>
      </c>
      <c r="AO101" s="227">
        <f t="shared" si="109"/>
        <v>206.97377037554628</v>
      </c>
      <c r="AP101" s="228">
        <f t="shared" si="114"/>
        <v>-1.7692208213668792E-3</v>
      </c>
      <c r="AQ101" s="228">
        <f t="shared" si="115"/>
        <v>-1.6232455560248882E-3</v>
      </c>
      <c r="AR101" s="228">
        <f t="shared" si="116"/>
        <v>-2.6179784944779794E-4</v>
      </c>
      <c r="AS101" s="228">
        <f t="shared" si="117"/>
        <v>-8.7038683004303508E-4</v>
      </c>
      <c r="AT101" s="227">
        <f>IF(ISERROR(VLOOKUP(A101,Mandatory!A:A,1,FALSE)),0,1)</f>
        <v>1</v>
      </c>
    </row>
    <row r="102" spans="1:46">
      <c r="A102" s="231">
        <v>352</v>
      </c>
      <c r="B102" s="222">
        <f>VLOOKUP(A102,OPATT_Activities!A:J,3,FALSE)</f>
        <v>2645</v>
      </c>
      <c r="C102" s="222">
        <f>VLOOKUP(A102,OPATT_Activities!A:J,4,FALSE)</f>
        <v>1859</v>
      </c>
      <c r="D102" s="222">
        <f>VLOOKUP(A102,OPATT_Activities!A:J,5,FALSE)</f>
        <v>69</v>
      </c>
      <c r="E102" s="222">
        <f>VLOOKUP(A102,OPATT_Activities!A:J,6,FALSE)</f>
        <v>1639</v>
      </c>
      <c r="F102" s="222">
        <f>VLOOKUP(A102,OPATT_Cost_Quantum!A:F,2,FALSE)</f>
        <v>365533.07937721402</v>
      </c>
      <c r="G102" s="222">
        <f>VLOOKUP(A102,OPATT_Cost_Quantum!A:F,3,FALSE)</f>
        <v>357517.68235107203</v>
      </c>
      <c r="H102" s="222">
        <f>VLOOKUP(A102,OPATT_Cost_Quantum!A:F,4,FALSE)</f>
        <v>9877.0209151917006</v>
      </c>
      <c r="I102" s="222">
        <f>VLOOKUP(A102,OPATT_Cost_Quantum!A:F,5,FALSE)</f>
        <v>246329.22103756201</v>
      </c>
      <c r="J102" s="223">
        <f t="shared" si="93"/>
        <v>138.19776157928698</v>
      </c>
      <c r="K102" s="223">
        <f t="shared" si="93"/>
        <v>192.31720406189996</v>
      </c>
      <c r="L102" s="223">
        <f t="shared" si="93"/>
        <v>143.14523065495217</v>
      </c>
      <c r="M102" s="223">
        <f t="shared" si="93"/>
        <v>150.29238623402196</v>
      </c>
      <c r="N102" s="224">
        <f>IF(ISERROR(VLOOKUP($A102,'HRGs to TFCs % Split'!$A$8:$I$145,6,0)),0,VLOOKUP($A102,'HRGs to TFCs % Split'!$A$8:$I$145,6,0))</f>
        <v>1.5611882359782853E-6</v>
      </c>
      <c r="O102" s="224">
        <f>IF(ISERROR(VLOOKUP($A102,'HRGs to TFCs % Split'!$A$8:$I$145,6,0)),0,VLOOKUP($A102,'HRGs to TFCs % Split'!$A$8:$I$145,7,0))</f>
        <v>1.4636139712296425E-6</v>
      </c>
      <c r="P102" s="224">
        <f>IF(ISERROR(VLOOKUP($A102,'HRGs to TFCs % Split'!$A$8:$I$145,6,0)),0,VLOOKUP($A102,'HRGs to TFCs % Split'!$A$8:$I$145,8,0))</f>
        <v>2.6345051482133566E-6</v>
      </c>
      <c r="Q102" s="224">
        <f>IF(ISERROR(VLOOKUP($A102,'HRGs to TFCs % Split'!$A$8:$I$145,6,0)),0,VLOOKUP($A102,'HRGs to TFCs % Split'!$A$8:$I$145,9,0))</f>
        <v>1.7563367654755712E-6</v>
      </c>
      <c r="R102" s="225">
        <f t="shared" si="94"/>
        <v>2</v>
      </c>
      <c r="S102" s="225">
        <f t="shared" si="95"/>
        <v>2</v>
      </c>
      <c r="T102" s="225">
        <f t="shared" si="96"/>
        <v>4</v>
      </c>
      <c r="U102" s="225">
        <f t="shared" si="97"/>
        <v>2</v>
      </c>
      <c r="V102" s="224">
        <f>IF(ISERROR(VLOOKUP($A102,'HRGs to TFCs % Split'!$A$8:$I$145,6,0)),0,VLOOKUP($A102,'HRGs to TFCs % Split'!$A$8:$I$145,6,0))</f>
        <v>1.5611882359782853E-6</v>
      </c>
      <c r="W102" s="224">
        <f>IF(ISERROR(VLOOKUP($A102,'HRGs to TFCs % Split'!$A$8:$I$145,6,0)),0,VLOOKUP($A102,'HRGs to TFCs % Split'!$A$8:$I$145,7,0))</f>
        <v>1.4636139712296425E-6</v>
      </c>
      <c r="X102" s="224">
        <f>IF(ISERROR(VLOOKUP($A102,'HRGs to TFCs % Split'!$A$8:$I$145,6,0)),0,VLOOKUP($A102,'HRGs to TFCs % Split'!$A$8:$I$145,8,0))</f>
        <v>2.6345051482133566E-6</v>
      </c>
      <c r="Y102" s="224">
        <f>IF(ISERROR(VLOOKUP($A102,'HRGs to TFCs % Split'!$A$8:$I$145,6,0)),0,VLOOKUP($A102,'HRGs to TFCs % Split'!$A$8:$I$145,9,0))</f>
        <v>1.7563367654755712E-6</v>
      </c>
      <c r="Z102" s="225">
        <f t="shared" si="110"/>
        <v>246.20114778310582</v>
      </c>
      <c r="AA102" s="225">
        <f t="shared" si="111"/>
        <v>230.81357604666172</v>
      </c>
      <c r="AB102" s="225">
        <f t="shared" si="112"/>
        <v>415.46443688399108</v>
      </c>
      <c r="AC102" s="225">
        <f t="shared" si="113"/>
        <v>276.97629125599411</v>
      </c>
      <c r="AD102" s="226">
        <f t="shared" si="98"/>
        <v>2647</v>
      </c>
      <c r="AE102" s="226">
        <f t="shared" si="99"/>
        <v>1861</v>
      </c>
      <c r="AF102" s="226">
        <f t="shared" si="100"/>
        <v>73</v>
      </c>
      <c r="AG102" s="226">
        <f t="shared" si="101"/>
        <v>1641</v>
      </c>
      <c r="AH102" s="226">
        <f t="shared" si="102"/>
        <v>365779.2805249971</v>
      </c>
      <c r="AI102" s="226">
        <f t="shared" si="103"/>
        <v>357748.4959271187</v>
      </c>
      <c r="AJ102" s="226">
        <f t="shared" si="104"/>
        <v>10292.485352075691</v>
      </c>
      <c r="AK102" s="226">
        <f t="shared" si="105"/>
        <v>246606.197328818</v>
      </c>
      <c r="AL102" s="227">
        <f t="shared" si="106"/>
        <v>138.18635456176693</v>
      </c>
      <c r="AM102" s="227">
        <f t="shared" si="107"/>
        <v>192.23454912795202</v>
      </c>
      <c r="AN102" s="227">
        <f t="shared" si="108"/>
        <v>140.99295002843414</v>
      </c>
      <c r="AO102" s="227">
        <f t="shared" si="109"/>
        <v>150.27799959099207</v>
      </c>
      <c r="AP102" s="228">
        <f t="shared" si="114"/>
        <v>-8.2541261086199746E-5</v>
      </c>
      <c r="AQ102" s="228">
        <f t="shared" si="115"/>
        <v>-4.297843989107264E-4</v>
      </c>
      <c r="AR102" s="228">
        <f t="shared" si="116"/>
        <v>-1.5035643288081713E-2</v>
      </c>
      <c r="AS102" s="228">
        <f t="shared" si="117"/>
        <v>-9.5724363624705155E-5</v>
      </c>
      <c r="AT102" s="227">
        <f>IF(ISERROR(VLOOKUP(A102,Mandatory!A:A,1,FALSE)),0,1)</f>
        <v>0</v>
      </c>
    </row>
    <row r="103" spans="1:46">
      <c r="A103" s="231">
        <v>360</v>
      </c>
      <c r="B103" s="222">
        <f>VLOOKUP(A103,OPATT_Activities!A:J,3,FALSE)</f>
        <v>19749</v>
      </c>
      <c r="C103" s="222">
        <f>VLOOKUP(A103,OPATT_Activities!A:J,4,FALSE)</f>
        <v>1181384</v>
      </c>
      <c r="D103" s="222">
        <f>VLOOKUP(A103,OPATT_Activities!A:J,5,FALSE)</f>
        <v>15811</v>
      </c>
      <c r="E103" s="222">
        <f>VLOOKUP(A103,OPATT_Activities!A:J,6,FALSE)</f>
        <v>539573</v>
      </c>
      <c r="F103" s="222">
        <f>VLOOKUP(A103,OPATT_Cost_Quantum!A:F,2,FALSE)</f>
        <v>2069966.06798235</v>
      </c>
      <c r="G103" s="222">
        <f>VLOOKUP(A103,OPATT_Cost_Quantum!A:F,3,FALSE)</f>
        <v>140347703.40633801</v>
      </c>
      <c r="H103" s="222">
        <f>VLOOKUP(A103,OPATT_Cost_Quantum!A:F,4,FALSE)</f>
        <v>1390384.5443764699</v>
      </c>
      <c r="I103" s="222">
        <f>VLOOKUP(A103,OPATT_Cost_Quantum!A:F,5,FALSE)</f>
        <v>45420716.679748602</v>
      </c>
      <c r="J103" s="223">
        <f t="shared" si="93"/>
        <v>104.81371552900653</v>
      </c>
      <c r="K103" s="223">
        <f t="shared" si="93"/>
        <v>118.79939410584366</v>
      </c>
      <c r="L103" s="223">
        <f t="shared" si="93"/>
        <v>87.937799277494776</v>
      </c>
      <c r="M103" s="223">
        <f t="shared" si="93"/>
        <v>84.179002062276282</v>
      </c>
      <c r="N103" s="224">
        <f>IF(ISERROR(VLOOKUP($A103,'HRGs to TFCs % Split'!$A$8:$I$145,6,0)),0,VLOOKUP($A103,'HRGs to TFCs % Split'!$A$8:$I$145,6,0))</f>
        <v>0</v>
      </c>
      <c r="O103" s="224">
        <f>IF(ISERROR(VLOOKUP($A103,'HRGs to TFCs % Split'!$A$8:$I$145,6,0)),0,VLOOKUP($A103,'HRGs to TFCs % Split'!$A$8:$I$145,7,0))</f>
        <v>2.2598199715785682E-4</v>
      </c>
      <c r="P103" s="224">
        <f>IF(ISERROR(VLOOKUP($A103,'HRGs to TFCs % Split'!$A$8:$I$145,6,0)),0,VLOOKUP($A103,'HRGs to TFCs % Split'!$A$8:$I$145,8,0))</f>
        <v>0</v>
      </c>
      <c r="Q103" s="224">
        <f>IF(ISERROR(VLOOKUP($A103,'HRGs to TFCs % Split'!$A$8:$I$145,6,0)),0,VLOOKUP($A103,'HRGs to TFCs % Split'!$A$8:$I$145,9,0))</f>
        <v>5.7471241936950629E-5</v>
      </c>
      <c r="R103" s="225">
        <f t="shared" si="94"/>
        <v>0</v>
      </c>
      <c r="S103" s="225">
        <f t="shared" si="95"/>
        <v>305</v>
      </c>
      <c r="T103" s="225">
        <f t="shared" si="96"/>
        <v>0</v>
      </c>
      <c r="U103" s="225">
        <f t="shared" si="97"/>
        <v>78</v>
      </c>
      <c r="V103" s="224">
        <f>IF(ISERROR(VLOOKUP($A103,'HRGs to TFCs % Split'!$A$8:$I$145,6,0)),0,VLOOKUP($A103,'HRGs to TFCs % Split'!$A$8:$I$145,6,0))</f>
        <v>0</v>
      </c>
      <c r="W103" s="224">
        <f>IF(ISERROR(VLOOKUP($A103,'HRGs to TFCs % Split'!$A$8:$I$145,6,0)),0,VLOOKUP($A103,'HRGs to TFCs % Split'!$A$8:$I$145,7,0))</f>
        <v>2.2598199715785682E-4</v>
      </c>
      <c r="X103" s="224">
        <f>IF(ISERROR(VLOOKUP($A103,'HRGs to TFCs % Split'!$A$8:$I$145,6,0)),0,VLOOKUP($A103,'HRGs to TFCs % Split'!$A$8:$I$145,8,0))</f>
        <v>0</v>
      </c>
      <c r="Y103" s="224">
        <f>IF(ISERROR(VLOOKUP($A103,'HRGs to TFCs % Split'!$A$8:$I$145,6,0)),0,VLOOKUP($A103,'HRGs to TFCs % Split'!$A$8:$I$145,9,0))</f>
        <v>5.7471241936950629E-5</v>
      </c>
      <c r="Z103" s="225">
        <f t="shared" si="110"/>
        <v>0</v>
      </c>
      <c r="AA103" s="225">
        <f t="shared" si="111"/>
        <v>35637.616141604572</v>
      </c>
      <c r="AB103" s="225">
        <f t="shared" si="112"/>
        <v>0</v>
      </c>
      <c r="AC103" s="225">
        <f t="shared" si="113"/>
        <v>9063.2797527655839</v>
      </c>
      <c r="AD103" s="226">
        <f t="shared" si="98"/>
        <v>19749</v>
      </c>
      <c r="AE103" s="226">
        <f t="shared" si="99"/>
        <v>1181689</v>
      </c>
      <c r="AF103" s="226">
        <f t="shared" si="100"/>
        <v>15811</v>
      </c>
      <c r="AG103" s="226">
        <f t="shared" si="101"/>
        <v>539651</v>
      </c>
      <c r="AH103" s="226">
        <f t="shared" si="102"/>
        <v>2069966.06798235</v>
      </c>
      <c r="AI103" s="226">
        <f t="shared" si="103"/>
        <v>140383341.02247962</v>
      </c>
      <c r="AJ103" s="226">
        <f t="shared" si="104"/>
        <v>1390384.5443764699</v>
      </c>
      <c r="AK103" s="226">
        <f t="shared" si="105"/>
        <v>45429779.959501371</v>
      </c>
      <c r="AL103" s="227">
        <f t="shared" si="106"/>
        <v>104.81371552900653</v>
      </c>
      <c r="AM103" s="227">
        <f t="shared" si="107"/>
        <v>118.79888957456626</v>
      </c>
      <c r="AN103" s="227">
        <f t="shared" si="108"/>
        <v>87.937799277494776</v>
      </c>
      <c r="AO103" s="227">
        <f t="shared" si="109"/>
        <v>84.183629715318546</v>
      </c>
      <c r="AP103" s="228">
        <f t="shared" si="114"/>
        <v>0</v>
      </c>
      <c r="AQ103" s="228">
        <f t="shared" si="115"/>
        <v>-4.2469179342141672E-6</v>
      </c>
      <c r="AR103" s="228">
        <f t="shared" si="116"/>
        <v>0</v>
      </c>
      <c r="AS103" s="228">
        <f t="shared" si="117"/>
        <v>5.4973959406678929E-5</v>
      </c>
      <c r="AT103" s="227">
        <f>IF(ISERROR(VLOOKUP(A103,Mandatory!A:A,1,FALSE)),0,1)</f>
        <v>0</v>
      </c>
    </row>
    <row r="104" spans="1:46">
      <c r="A104" s="231">
        <v>361</v>
      </c>
      <c r="B104" s="222">
        <f>VLOOKUP(A104,OPATT_Activities!A:J,3,FALSE)</f>
        <v>2809</v>
      </c>
      <c r="C104" s="222">
        <f>VLOOKUP(A104,OPATT_Activities!A:J,4,FALSE)</f>
        <v>85206</v>
      </c>
      <c r="D104" s="222">
        <f>VLOOKUP(A104,OPATT_Activities!A:J,5,FALSE)</f>
        <v>24233</v>
      </c>
      <c r="E104" s="222">
        <f>VLOOKUP(A104,OPATT_Activities!A:J,6,FALSE)</f>
        <v>652678</v>
      </c>
      <c r="F104" s="222">
        <f>VLOOKUP(A104,OPATT_Cost_Quantum!A:F,2,FALSE)</f>
        <v>629955.88026868901</v>
      </c>
      <c r="G104" s="222">
        <f>VLOOKUP(A104,OPATT_Cost_Quantum!A:F,3,FALSE)</f>
        <v>14473008.8207008</v>
      </c>
      <c r="H104" s="222">
        <f>VLOOKUP(A104,OPATT_Cost_Quantum!A:F,4,FALSE)</f>
        <v>4328957.5791386701</v>
      </c>
      <c r="I104" s="222">
        <f>VLOOKUP(A104,OPATT_Cost_Quantum!A:F,5,FALSE)</f>
        <v>86212385.825199097</v>
      </c>
      <c r="J104" s="223">
        <f t="shared" si="93"/>
        <v>224.26339632206799</v>
      </c>
      <c r="K104" s="223">
        <f t="shared" si="93"/>
        <v>169.85903364435367</v>
      </c>
      <c r="L104" s="223">
        <f t="shared" si="93"/>
        <v>178.6389460297392</v>
      </c>
      <c r="M104" s="223">
        <f t="shared" si="93"/>
        <v>132.09022799174952</v>
      </c>
      <c r="N104" s="224">
        <f>IF(ISERROR(VLOOKUP($A104,'HRGs to TFCs % Split'!$A$8:$I$145,6,0)),0,VLOOKUP($A104,'HRGs to TFCs % Split'!$A$8:$I$145,6,0))</f>
        <v>1.239193162307764E-5</v>
      </c>
      <c r="O104" s="224">
        <f>IF(ISERROR(VLOOKUP($A104,'HRGs to TFCs % Split'!$A$8:$I$145,6,0)),0,VLOOKUP($A104,'HRGs to TFCs % Split'!$A$8:$I$145,7,0))</f>
        <v>1.7426763684107611E-4</v>
      </c>
      <c r="P104" s="224">
        <f>IF(ISERROR(VLOOKUP($A104,'HRGs to TFCs % Split'!$A$8:$I$145,6,0)),0,VLOOKUP($A104,'HRGs to TFCs % Split'!$A$8:$I$145,8,0))</f>
        <v>1.3231070299915968E-4</v>
      </c>
      <c r="Q104" s="224">
        <f>IF(ISERROR(VLOOKUP($A104,'HRGs to TFCs % Split'!$A$8:$I$145,6,0)),0,VLOOKUP($A104,'HRGs to TFCs % Split'!$A$8:$I$145,9,0))</f>
        <v>1.9356782640835768E-3</v>
      </c>
      <c r="R104" s="225">
        <f t="shared" si="94"/>
        <v>17</v>
      </c>
      <c r="S104" s="225">
        <f t="shared" si="95"/>
        <v>235</v>
      </c>
      <c r="T104" s="225">
        <f t="shared" si="96"/>
        <v>179</v>
      </c>
      <c r="U104" s="225">
        <f t="shared" si="97"/>
        <v>2612</v>
      </c>
      <c r="V104" s="224">
        <f>IF(ISERROR(VLOOKUP($A104,'HRGs to TFCs % Split'!$A$8:$I$145,6,0)),0,VLOOKUP($A104,'HRGs to TFCs % Split'!$A$8:$I$145,6,0))</f>
        <v>1.239193162307764E-5</v>
      </c>
      <c r="W104" s="224">
        <f>IF(ISERROR(VLOOKUP($A104,'HRGs to TFCs % Split'!$A$8:$I$145,6,0)),0,VLOOKUP($A104,'HRGs to TFCs % Split'!$A$8:$I$145,7,0))</f>
        <v>1.7426763684107611E-4</v>
      </c>
      <c r="X104" s="224">
        <f>IF(ISERROR(VLOOKUP($A104,'HRGs to TFCs % Split'!$A$8:$I$145,6,0)),0,VLOOKUP($A104,'HRGs to TFCs % Split'!$A$8:$I$145,8,0))</f>
        <v>1.3231070299915968E-4</v>
      </c>
      <c r="Y104" s="224">
        <f>IF(ISERROR(VLOOKUP($A104,'HRGs to TFCs % Split'!$A$8:$I$145,6,0)),0,VLOOKUP($A104,'HRGs to TFCs % Split'!$A$8:$I$145,9,0))</f>
        <v>1.9356782640835768E-3</v>
      </c>
      <c r="Z104" s="225">
        <f t="shared" si="110"/>
        <v>1954.2216105284026</v>
      </c>
      <c r="AA104" s="225">
        <f t="shared" si="111"/>
        <v>27482.203121289189</v>
      </c>
      <c r="AB104" s="225">
        <f t="shared" si="112"/>
        <v>20865.54727461822</v>
      </c>
      <c r="AC104" s="225">
        <f t="shared" si="113"/>
        <v>305258.6481075784</v>
      </c>
      <c r="AD104" s="226">
        <f t="shared" si="98"/>
        <v>2826</v>
      </c>
      <c r="AE104" s="226">
        <f t="shared" si="99"/>
        <v>85441</v>
      </c>
      <c r="AF104" s="226">
        <f t="shared" si="100"/>
        <v>24412</v>
      </c>
      <c r="AG104" s="226">
        <f t="shared" si="101"/>
        <v>655290</v>
      </c>
      <c r="AH104" s="226">
        <f t="shared" si="102"/>
        <v>631910.10187921743</v>
      </c>
      <c r="AI104" s="226">
        <f t="shared" si="103"/>
        <v>14500491.02382209</v>
      </c>
      <c r="AJ104" s="226">
        <f t="shared" si="104"/>
        <v>4349823.1264132885</v>
      </c>
      <c r="AK104" s="226">
        <f t="shared" si="105"/>
        <v>86517644.473306671</v>
      </c>
      <c r="AL104" s="227">
        <f t="shared" si="106"/>
        <v>223.60583930616329</v>
      </c>
      <c r="AM104" s="227">
        <f t="shared" si="107"/>
        <v>169.71349848225196</v>
      </c>
      <c r="AN104" s="227">
        <f t="shared" si="108"/>
        <v>178.18380822600724</v>
      </c>
      <c r="AO104" s="227">
        <f t="shared" si="109"/>
        <v>132.02955099773638</v>
      </c>
      <c r="AP104" s="228">
        <f t="shared" si="114"/>
        <v>-2.9320746349545956E-3</v>
      </c>
      <c r="AQ104" s="228">
        <f t="shared" si="115"/>
        <v>-8.5679965898322052E-4</v>
      </c>
      <c r="AR104" s="228">
        <f t="shared" si="116"/>
        <v>-2.5478083802408236E-3</v>
      </c>
      <c r="AS104" s="228">
        <f t="shared" si="117"/>
        <v>-4.5936020351877715E-4</v>
      </c>
      <c r="AT104" s="227">
        <f>IF(ISERROR(VLOOKUP(A104,Mandatory!A:A,1,FALSE)),0,1)</f>
        <v>1</v>
      </c>
    </row>
    <row r="105" spans="1:46">
      <c r="A105" s="231">
        <v>370</v>
      </c>
      <c r="B105" s="222">
        <f>VLOOKUP(A105,OPATT_Activities!A:J,3,FALSE)</f>
        <v>6712</v>
      </c>
      <c r="C105" s="222">
        <f>VLOOKUP(A105,OPATT_Activities!A:J,4,FALSE)</f>
        <v>87673</v>
      </c>
      <c r="D105" s="222">
        <f>VLOOKUP(A105,OPATT_Activities!A:J,5,FALSE)</f>
        <v>43409</v>
      </c>
      <c r="E105" s="222">
        <f>VLOOKUP(A105,OPATT_Activities!A:J,6,FALSE)</f>
        <v>672336</v>
      </c>
      <c r="F105" s="222">
        <f>VLOOKUP(A105,OPATT_Cost_Quantum!A:F,2,FALSE)</f>
        <v>1291665.17019679</v>
      </c>
      <c r="G105" s="222">
        <f>VLOOKUP(A105,OPATT_Cost_Quantum!A:F,3,FALSE)</f>
        <v>14443480.4559722</v>
      </c>
      <c r="H105" s="222">
        <f>VLOOKUP(A105,OPATT_Cost_Quantum!A:F,4,FALSE)</f>
        <v>7353612.4359914996</v>
      </c>
      <c r="I105" s="222">
        <f>VLOOKUP(A105,OPATT_Cost_Quantum!A:F,5,FALSE)</f>
        <v>86903374.0272865</v>
      </c>
      <c r="J105" s="223">
        <f t="shared" si="93"/>
        <v>192.44117553587455</v>
      </c>
      <c r="K105" s="223">
        <f t="shared" si="93"/>
        <v>164.74262835733009</v>
      </c>
      <c r="L105" s="223">
        <f t="shared" si="93"/>
        <v>169.40294491906056</v>
      </c>
      <c r="M105" s="223">
        <f t="shared" si="93"/>
        <v>129.25586912984951</v>
      </c>
      <c r="N105" s="224">
        <f>IF(ISERROR(VLOOKUP($A105,'HRGs to TFCs % Split'!$A$8:$I$145,6,0)),0,VLOOKUP($A105,'HRGs to TFCs % Split'!$A$8:$I$145,6,0))</f>
        <v>5.4641588259239988E-6</v>
      </c>
      <c r="O105" s="224">
        <f>IF(ISERROR(VLOOKUP($A105,'HRGs to TFCs % Split'!$A$8:$I$145,6,0)),0,VLOOKUP($A105,'HRGs to TFCs % Split'!$A$8:$I$145,7,0))</f>
        <v>4.0756770385508116E-4</v>
      </c>
      <c r="P105" s="224">
        <f>IF(ISERROR(VLOOKUP($A105,'HRGs to TFCs % Split'!$A$8:$I$145,6,0)),0,VLOOKUP($A105,'HRGs to TFCs % Split'!$A$8:$I$145,8,0))</f>
        <v>1.8675714272890239E-4</v>
      </c>
      <c r="Q105" s="224">
        <f>IF(ISERROR(VLOOKUP($A105,'HRGs to TFCs % Split'!$A$8:$I$145,6,0)),0,VLOOKUP($A105,'HRGs to TFCs % Split'!$A$8:$I$145,9,0))</f>
        <v>1.4883295324904738E-2</v>
      </c>
      <c r="R105" s="225">
        <f t="shared" si="94"/>
        <v>7</v>
      </c>
      <c r="S105" s="225">
        <f t="shared" si="95"/>
        <v>550</v>
      </c>
      <c r="T105" s="225">
        <f t="shared" si="96"/>
        <v>252</v>
      </c>
      <c r="U105" s="225">
        <f t="shared" si="97"/>
        <v>20084</v>
      </c>
      <c r="V105" s="224">
        <f>IF(ISERROR(VLOOKUP($A105,'HRGs to TFCs % Split'!$A$8:$I$145,6,0)),0,VLOOKUP($A105,'HRGs to TFCs % Split'!$A$8:$I$145,6,0))</f>
        <v>5.4641588259239988E-6</v>
      </c>
      <c r="W105" s="224">
        <f>IF(ISERROR(VLOOKUP($A105,'HRGs to TFCs % Split'!$A$8:$I$145,6,0)),0,VLOOKUP($A105,'HRGs to TFCs % Split'!$A$8:$I$145,7,0))</f>
        <v>4.0756770385508116E-4</v>
      </c>
      <c r="X105" s="224">
        <f>IF(ISERROR(VLOOKUP($A105,'HRGs to TFCs % Split'!$A$8:$I$145,6,0)),0,VLOOKUP($A105,'HRGs to TFCs % Split'!$A$8:$I$145,8,0))</f>
        <v>1.8675714272890239E-4</v>
      </c>
      <c r="Y105" s="224">
        <f>IF(ISERROR(VLOOKUP($A105,'HRGs to TFCs % Split'!$A$8:$I$145,6,0)),0,VLOOKUP($A105,'HRGs to TFCs % Split'!$A$8:$I$145,9,0))</f>
        <v>1.4883295324904738E-2</v>
      </c>
      <c r="Z105" s="225">
        <f t="shared" si="110"/>
        <v>861.70401724087048</v>
      </c>
      <c r="AA105" s="225">
        <f t="shared" si="111"/>
        <v>64273.887143127075</v>
      </c>
      <c r="AB105" s="225">
        <f t="shared" si="112"/>
        <v>29451.812303554037</v>
      </c>
      <c r="AC105" s="225">
        <f t="shared" si="113"/>
        <v>2347112.4796750303</v>
      </c>
      <c r="AD105" s="226">
        <f t="shared" si="98"/>
        <v>6719</v>
      </c>
      <c r="AE105" s="226">
        <f t="shared" si="99"/>
        <v>88223</v>
      </c>
      <c r="AF105" s="226">
        <f t="shared" si="100"/>
        <v>43661</v>
      </c>
      <c r="AG105" s="226">
        <f t="shared" si="101"/>
        <v>692420</v>
      </c>
      <c r="AH105" s="226">
        <f t="shared" si="102"/>
        <v>1292526.8742140308</v>
      </c>
      <c r="AI105" s="226">
        <f t="shared" si="103"/>
        <v>14507754.343115328</v>
      </c>
      <c r="AJ105" s="226">
        <f t="shared" si="104"/>
        <v>7383064.2482950538</v>
      </c>
      <c r="AK105" s="226">
        <f t="shared" si="105"/>
        <v>89250486.506961524</v>
      </c>
      <c r="AL105" s="227">
        <f t="shared" si="106"/>
        <v>192.36893499241418</v>
      </c>
      <c r="AM105" s="227">
        <f t="shared" si="107"/>
        <v>164.44412843720264</v>
      </c>
      <c r="AN105" s="227">
        <f t="shared" si="108"/>
        <v>169.09975145541912</v>
      </c>
      <c r="AO105" s="227">
        <f t="shared" si="109"/>
        <v>128.89645952884308</v>
      </c>
      <c r="AP105" s="228">
        <f t="shared" si="114"/>
        <v>-3.7539026281252497E-4</v>
      </c>
      <c r="AQ105" s="228">
        <f t="shared" si="115"/>
        <v>-1.8119167036718675E-3</v>
      </c>
      <c r="AR105" s="228">
        <f t="shared" si="116"/>
        <v>-1.7897768175535456E-3</v>
      </c>
      <c r="AS105" s="228">
        <f t="shared" si="117"/>
        <v>-2.7806056578009164E-3</v>
      </c>
      <c r="AT105" s="227">
        <f>IF(ISERROR(VLOOKUP(A105,Mandatory!A:A,1,FALSE)),0,1)</f>
        <v>1</v>
      </c>
    </row>
    <row r="106" spans="1:46">
      <c r="A106" s="231">
        <v>371</v>
      </c>
      <c r="B106" s="222">
        <f>VLOOKUP(A106,OPATT_Activities!A:J,3,FALSE)</f>
        <v>92</v>
      </c>
      <c r="C106" s="222">
        <f>VLOOKUP(A106,OPATT_Activities!A:J,4,FALSE)</f>
        <v>5039</v>
      </c>
      <c r="D106" s="222">
        <f>VLOOKUP(A106,OPATT_Activities!A:J,5,FALSE)</f>
        <v>518</v>
      </c>
      <c r="E106" s="222">
        <f>VLOOKUP(A106,OPATT_Activities!A:J,6,FALSE)</f>
        <v>4655</v>
      </c>
      <c r="F106" s="222">
        <f>VLOOKUP(A106,OPATT_Cost_Quantum!A:F,2,FALSE)</f>
        <v>4596.2360529388698</v>
      </c>
      <c r="G106" s="222">
        <f>VLOOKUP(A106,OPATT_Cost_Quantum!A:F,3,FALSE)</f>
        <v>1107007.49375744</v>
      </c>
      <c r="H106" s="222">
        <f>VLOOKUP(A106,OPATT_Cost_Quantum!A:F,4,FALSE)</f>
        <v>24673.726472867402</v>
      </c>
      <c r="I106" s="222">
        <f>VLOOKUP(A106,OPATT_Cost_Quantum!A:F,5,FALSE)</f>
        <v>740440.79812755203</v>
      </c>
      <c r="J106" s="223">
        <f t="shared" si="93"/>
        <v>49.959087531944235</v>
      </c>
      <c r="K106" s="223">
        <f t="shared" si="93"/>
        <v>219.6879328750625</v>
      </c>
      <c r="L106" s="223">
        <f t="shared" si="93"/>
        <v>47.632676588547106</v>
      </c>
      <c r="M106" s="223">
        <f t="shared" si="93"/>
        <v>159.06354417348055</v>
      </c>
      <c r="N106" s="224">
        <f>IF(ISERROR(VLOOKUP($A106,'HRGs to TFCs % Split'!$A$8:$I$145,6,0)),0,VLOOKUP($A106,'HRGs to TFCs % Split'!$A$8:$I$145,6,0))</f>
        <v>0</v>
      </c>
      <c r="O106" s="224">
        <f>IF(ISERROR(VLOOKUP($A106,'HRGs to TFCs % Split'!$A$8:$I$145,6,0)),0,VLOOKUP($A106,'HRGs to TFCs % Split'!$A$8:$I$145,7,0))</f>
        <v>8.9768323568751411E-6</v>
      </c>
      <c r="P106" s="224">
        <f>IF(ISERROR(VLOOKUP($A106,'HRGs to TFCs % Split'!$A$8:$I$145,6,0)),0,VLOOKUP($A106,'HRGs to TFCs % Split'!$A$8:$I$145,8,0))</f>
        <v>0</v>
      </c>
      <c r="Q106" s="224">
        <f>IF(ISERROR(VLOOKUP($A106,'HRGs to TFCs % Split'!$A$8:$I$145,6,0)),0,VLOOKUP($A106,'HRGs to TFCs % Split'!$A$8:$I$145,9,0))</f>
        <v>1.5709456624531496E-5</v>
      </c>
      <c r="R106" s="225">
        <f t="shared" si="94"/>
        <v>0</v>
      </c>
      <c r="S106" s="225">
        <f t="shared" si="95"/>
        <v>12</v>
      </c>
      <c r="T106" s="225">
        <f t="shared" si="96"/>
        <v>0</v>
      </c>
      <c r="U106" s="225">
        <f t="shared" si="97"/>
        <v>21</v>
      </c>
      <c r="V106" s="224">
        <f>IF(ISERROR(VLOOKUP($A106,'HRGs to TFCs % Split'!$A$8:$I$145,6,0)),0,VLOOKUP($A106,'HRGs to TFCs % Split'!$A$8:$I$145,6,0))</f>
        <v>0</v>
      </c>
      <c r="W106" s="224">
        <f>IF(ISERROR(VLOOKUP($A106,'HRGs to TFCs % Split'!$A$8:$I$145,6,0)),0,VLOOKUP($A106,'HRGs to TFCs % Split'!$A$8:$I$145,7,0))</f>
        <v>8.9768323568751411E-6</v>
      </c>
      <c r="X106" s="224">
        <f>IF(ISERROR(VLOOKUP($A106,'HRGs to TFCs % Split'!$A$8:$I$145,6,0)),0,VLOOKUP($A106,'HRGs to TFCs % Split'!$A$8:$I$145,8,0))</f>
        <v>0</v>
      </c>
      <c r="Y106" s="224">
        <f>IF(ISERROR(VLOOKUP($A106,'HRGs to TFCs % Split'!$A$8:$I$145,6,0)),0,VLOOKUP($A106,'HRGs to TFCs % Split'!$A$8:$I$145,9,0))</f>
        <v>1.5709456624531496E-5</v>
      </c>
      <c r="Z106" s="225">
        <f t="shared" si="110"/>
        <v>0</v>
      </c>
      <c r="AA106" s="225">
        <f t="shared" si="111"/>
        <v>1415.6565997528587</v>
      </c>
      <c r="AB106" s="225">
        <f t="shared" si="112"/>
        <v>0</v>
      </c>
      <c r="AC106" s="225">
        <f t="shared" si="113"/>
        <v>2477.3990495675025</v>
      </c>
      <c r="AD106" s="226">
        <f t="shared" si="98"/>
        <v>92</v>
      </c>
      <c r="AE106" s="226">
        <f t="shared" si="99"/>
        <v>5051</v>
      </c>
      <c r="AF106" s="226">
        <f t="shared" si="100"/>
        <v>518</v>
      </c>
      <c r="AG106" s="226">
        <f t="shared" si="101"/>
        <v>4676</v>
      </c>
      <c r="AH106" s="226">
        <f t="shared" si="102"/>
        <v>4596.2360529388698</v>
      </c>
      <c r="AI106" s="226">
        <f t="shared" si="103"/>
        <v>1108423.1503571928</v>
      </c>
      <c r="AJ106" s="226">
        <f t="shared" si="104"/>
        <v>24673.726472867402</v>
      </c>
      <c r="AK106" s="226">
        <f t="shared" si="105"/>
        <v>742918.19717711955</v>
      </c>
      <c r="AL106" s="227">
        <f t="shared" si="106"/>
        <v>49.959087531944235</v>
      </c>
      <c r="AM106" s="227">
        <f t="shared" si="107"/>
        <v>219.44627803547669</v>
      </c>
      <c r="AN106" s="227">
        <f t="shared" si="108"/>
        <v>47.632676588547106</v>
      </c>
      <c r="AO106" s="227">
        <f t="shared" si="109"/>
        <v>158.87899854087246</v>
      </c>
      <c r="AP106" s="228">
        <f t="shared" si="114"/>
        <v>0</v>
      </c>
      <c r="AQ106" s="228">
        <f t="shared" si="115"/>
        <v>-1.0999914124697474E-3</v>
      </c>
      <c r="AR106" s="228">
        <f t="shared" si="116"/>
        <v>0</v>
      </c>
      <c r="AS106" s="228">
        <f t="shared" si="117"/>
        <v>-1.1602006831107348E-3</v>
      </c>
      <c r="AT106" s="227">
        <f>IF(ISERROR(VLOOKUP(A106,Mandatory!A:A,1,FALSE)),0,1)</f>
        <v>0</v>
      </c>
    </row>
    <row r="107" spans="1:46">
      <c r="A107" s="231">
        <v>400</v>
      </c>
      <c r="B107" s="222">
        <f>VLOOKUP(A107,OPATT_Activities!A:J,3,FALSE)</f>
        <v>3280</v>
      </c>
      <c r="C107" s="222">
        <f>VLOOKUP(A107,OPATT_Activities!A:J,4,FALSE)</f>
        <v>419464</v>
      </c>
      <c r="D107" s="222">
        <f>VLOOKUP(A107,OPATT_Activities!A:J,5,FALSE)</f>
        <v>7968</v>
      </c>
      <c r="E107" s="222">
        <f>VLOOKUP(A107,OPATT_Activities!A:J,6,FALSE)</f>
        <v>630018</v>
      </c>
      <c r="F107" s="222">
        <f>VLOOKUP(A107,OPATT_Cost_Quantum!A:F,2,FALSE)</f>
        <v>799971.86519385502</v>
      </c>
      <c r="G107" s="222">
        <f>VLOOKUP(A107,OPATT_Cost_Quantum!A:F,3,FALSE)</f>
        <v>79002001.533219099</v>
      </c>
      <c r="H107" s="222">
        <f>VLOOKUP(A107,OPATT_Cost_Quantum!A:F,4,FALSE)</f>
        <v>1764273.40034146</v>
      </c>
      <c r="I107" s="222">
        <f>VLOOKUP(A107,OPATT_Cost_Quantum!A:F,5,FALSE)</f>
        <v>89251810.431522697</v>
      </c>
      <c r="J107" s="223">
        <f t="shared" si="93"/>
        <v>243.89386133958993</v>
      </c>
      <c r="K107" s="223">
        <f t="shared" si="93"/>
        <v>188.340361826567</v>
      </c>
      <c r="L107" s="223">
        <f t="shared" si="93"/>
        <v>221.41985446052459</v>
      </c>
      <c r="M107" s="223">
        <f t="shared" si="93"/>
        <v>141.66549278198829</v>
      </c>
      <c r="N107" s="224">
        <f>IF(ISERROR(VLOOKUP($A107,'HRGs to TFCs % Split'!$A$8:$I$145,6,0)),0,VLOOKUP($A107,'HRGs to TFCs % Split'!$A$8:$I$145,6,0))</f>
        <v>2.2929952215931068E-5</v>
      </c>
      <c r="O107" s="224">
        <f>IF(ISERROR(VLOOKUP($A107,'HRGs to TFCs % Split'!$A$8:$I$145,6,0)),0,VLOOKUP($A107,'HRGs to TFCs % Split'!$A$8:$I$145,7,0))</f>
        <v>1.548991452884705E-3</v>
      </c>
      <c r="P107" s="224">
        <f>IF(ISERROR(VLOOKUP($A107,'HRGs to TFCs % Split'!$A$8:$I$145,6,0)),0,VLOOKUP($A107,'HRGs to TFCs % Split'!$A$8:$I$145,8,0))</f>
        <v>2.1759061038947354E-5</v>
      </c>
      <c r="Q107" s="224">
        <f>IF(ISERROR(VLOOKUP($A107,'HRGs to TFCs % Split'!$A$8:$I$145,6,0)),0,VLOOKUP($A107,'HRGs to TFCs % Split'!$A$8:$I$145,9,0))</f>
        <v>8.2996669595195602E-4</v>
      </c>
      <c r="R107" s="225">
        <f t="shared" ref="R107:R119" si="174">ROUND(N107*$R$3,0)</f>
        <v>31</v>
      </c>
      <c r="S107" s="225">
        <f t="shared" ref="S107:S119" si="175">ROUND(O107*$R$3,0)</f>
        <v>2090</v>
      </c>
      <c r="T107" s="225">
        <f t="shared" ref="T107:T119" si="176">ROUND(P107*$R$3,0)</f>
        <v>29</v>
      </c>
      <c r="U107" s="225">
        <f t="shared" ref="U107:U119" si="177">ROUND(Q107*$R$3,0)</f>
        <v>1120</v>
      </c>
      <c r="V107" s="224">
        <f>IF(ISERROR(VLOOKUP($A107,'HRGs to TFCs % Split'!$A$8:$I$145,6,0)),0,VLOOKUP($A107,'HRGs to TFCs % Split'!$A$8:$I$145,6,0))</f>
        <v>2.2929952215931068E-5</v>
      </c>
      <c r="W107" s="224">
        <f>IF(ISERROR(VLOOKUP($A107,'HRGs to TFCs % Split'!$A$8:$I$145,6,0)),0,VLOOKUP($A107,'HRGs to TFCs % Split'!$A$8:$I$145,7,0))</f>
        <v>1.548991452884705E-3</v>
      </c>
      <c r="X107" s="224">
        <f>IF(ISERROR(VLOOKUP($A107,'HRGs to TFCs % Split'!$A$8:$I$145,6,0)),0,VLOOKUP($A107,'HRGs to TFCs % Split'!$A$8:$I$145,8,0))</f>
        <v>2.1759061038947354E-5</v>
      </c>
      <c r="Y107" s="224">
        <f>IF(ISERROR(VLOOKUP($A107,'HRGs to TFCs % Split'!$A$8:$I$145,6,0)),0,VLOOKUP($A107,'HRGs to TFCs % Split'!$A$8:$I$145,9,0))</f>
        <v>8.2996669595195602E-4</v>
      </c>
      <c r="Z107" s="225">
        <f t="shared" si="110"/>
        <v>3616.0793580643672</v>
      </c>
      <c r="AA107" s="225">
        <f t="shared" si="111"/>
        <v>244277.70131605031</v>
      </c>
      <c r="AB107" s="225">
        <f t="shared" si="112"/>
        <v>3431.428497227038</v>
      </c>
      <c r="AC107" s="225">
        <f t="shared" si="113"/>
        <v>130886.68519019365</v>
      </c>
      <c r="AD107" s="226">
        <f t="shared" si="98"/>
        <v>3311</v>
      </c>
      <c r="AE107" s="226">
        <f t="shared" si="99"/>
        <v>421554</v>
      </c>
      <c r="AF107" s="226">
        <f t="shared" si="100"/>
        <v>7997</v>
      </c>
      <c r="AG107" s="226">
        <f t="shared" si="101"/>
        <v>631138</v>
      </c>
      <c r="AH107" s="226">
        <f t="shared" si="102"/>
        <v>803587.94455191935</v>
      </c>
      <c r="AI107" s="226">
        <f t="shared" si="103"/>
        <v>79246279.234535143</v>
      </c>
      <c r="AJ107" s="226">
        <f t="shared" si="104"/>
        <v>1767704.8288386872</v>
      </c>
      <c r="AK107" s="226">
        <f t="shared" si="105"/>
        <v>89382697.116712898</v>
      </c>
      <c r="AL107" s="227">
        <f t="shared" si="106"/>
        <v>242.70249004890346</v>
      </c>
      <c r="AM107" s="227">
        <f t="shared" si="107"/>
        <v>187.98606877063233</v>
      </c>
      <c r="AN107" s="227">
        <f t="shared" si="108"/>
        <v>221.04599585328089</v>
      </c>
      <c r="AO107" s="227">
        <f t="shared" si="109"/>
        <v>141.62147916416521</v>
      </c>
      <c r="AP107" s="228">
        <f t="shared" si="114"/>
        <v>-4.8847940827327907E-3</v>
      </c>
      <c r="AQ107" s="228">
        <f t="shared" si="115"/>
        <v>-1.8811318641350772E-3</v>
      </c>
      <c r="AR107" s="228">
        <f t="shared" si="116"/>
        <v>-1.6884601796645082E-3</v>
      </c>
      <c r="AS107" s="228">
        <f t="shared" si="117"/>
        <v>-3.1068693553215621E-4</v>
      </c>
      <c r="AT107" s="227">
        <f>IF(ISERROR(VLOOKUP(A107,Mandatory!A:A,1,FALSE)),0,1)</f>
        <v>1</v>
      </c>
    </row>
    <row r="108" spans="1:46">
      <c r="A108" s="231">
        <v>401</v>
      </c>
      <c r="B108" s="222">
        <f>VLOOKUP(A108,OPATT_Activities!A:J,3,FALSE)</f>
        <v>435</v>
      </c>
      <c r="C108" s="222">
        <f>VLOOKUP(A108,OPATT_Activities!A:J,4,FALSE)</f>
        <v>61967</v>
      </c>
      <c r="D108" s="222">
        <f>VLOOKUP(A108,OPATT_Activities!A:J,5,FALSE)</f>
        <v>21</v>
      </c>
      <c r="E108" s="222">
        <f>VLOOKUP(A108,OPATT_Activities!A:J,6,FALSE)</f>
        <v>7783</v>
      </c>
      <c r="F108" s="222">
        <f>VLOOKUP(A108,OPATT_Cost_Quantum!A:F,2,FALSE)</f>
        <v>139308.11463842899</v>
      </c>
      <c r="G108" s="222">
        <f>VLOOKUP(A108,OPATT_Cost_Quantum!A:F,3,FALSE)</f>
        <v>9319248.3788944501</v>
      </c>
      <c r="H108" s="222">
        <f>VLOOKUP(A108,OPATT_Cost_Quantum!A:F,4,FALSE)</f>
        <v>5967.6628870079403</v>
      </c>
      <c r="I108" s="222">
        <f>VLOOKUP(A108,OPATT_Cost_Quantum!A:F,5,FALSE)</f>
        <v>874661.32005261094</v>
      </c>
      <c r="J108" s="223">
        <f t="shared" si="93"/>
        <v>320.24853939868734</v>
      </c>
      <c r="K108" s="223">
        <f t="shared" si="93"/>
        <v>150.39050428283522</v>
      </c>
      <c r="L108" s="223">
        <f t="shared" si="93"/>
        <v>284.17442319085433</v>
      </c>
      <c r="M108" s="223">
        <f t="shared" si="93"/>
        <v>112.38099962130424</v>
      </c>
      <c r="N108" s="224">
        <f>IF(ISERROR(VLOOKUP($A108,'HRGs to TFCs % Split'!$A$8:$I$145,6,0)),0,VLOOKUP($A108,'HRGs to TFCs % Split'!$A$8:$I$145,6,0))</f>
        <v>9.0744066216237839E-6</v>
      </c>
      <c r="O108" s="224">
        <f>IF(ISERROR(VLOOKUP($A108,'HRGs to TFCs % Split'!$A$8:$I$145,6,0)),0,VLOOKUP($A108,'HRGs to TFCs % Split'!$A$8:$I$145,7,0))</f>
        <v>3.5488735831728886E-3</v>
      </c>
      <c r="P108" s="224">
        <f>IF(ISERROR(VLOOKUP($A108,'HRGs to TFCs % Split'!$A$8:$I$145,6,0)),0,VLOOKUP($A108,'HRGs to TFCs % Split'!$A$8:$I$145,8,0))</f>
        <v>0</v>
      </c>
      <c r="Q108" s="224">
        <f>IF(ISERROR(VLOOKUP($A108,'HRGs to TFCs % Split'!$A$8:$I$145,6,0)),0,VLOOKUP($A108,'HRGs to TFCs % Split'!$A$8:$I$145,9,0))</f>
        <v>2.448138302543449E-4</v>
      </c>
      <c r="R108" s="225">
        <f t="shared" si="174"/>
        <v>12</v>
      </c>
      <c r="S108" s="225">
        <f t="shared" si="175"/>
        <v>4789</v>
      </c>
      <c r="T108" s="225">
        <f t="shared" si="176"/>
        <v>0</v>
      </c>
      <c r="U108" s="225">
        <f t="shared" si="177"/>
        <v>330</v>
      </c>
      <c r="V108" s="224">
        <f>IF(ISERROR(VLOOKUP($A108,'HRGs to TFCs % Split'!$A$8:$I$145,6,0)),0,VLOOKUP($A108,'HRGs to TFCs % Split'!$A$8:$I$145,6,0))</f>
        <v>9.0744066216237839E-6</v>
      </c>
      <c r="W108" s="224">
        <f>IF(ISERROR(VLOOKUP($A108,'HRGs to TFCs % Split'!$A$8:$I$145,6,0)),0,VLOOKUP($A108,'HRGs to TFCs % Split'!$A$8:$I$145,7,0))</f>
        <v>3.5488735831728886E-3</v>
      </c>
      <c r="X108" s="224">
        <f>IF(ISERROR(VLOOKUP($A108,'HRGs to TFCs % Split'!$A$8:$I$145,6,0)),0,VLOOKUP($A108,'HRGs to TFCs % Split'!$A$8:$I$145,8,0))</f>
        <v>0</v>
      </c>
      <c r="Y108" s="224">
        <f>IF(ISERROR(VLOOKUP($A108,'HRGs to TFCs % Split'!$A$8:$I$145,6,0)),0,VLOOKUP($A108,'HRGs to TFCs % Split'!$A$8:$I$145,9,0))</f>
        <v>2.448138302543449E-4</v>
      </c>
      <c r="Z108" s="225">
        <f t="shared" si="110"/>
        <v>1431.0441714893027</v>
      </c>
      <c r="AA108" s="225">
        <f t="shared" si="111"/>
        <v>559661.37162620889</v>
      </c>
      <c r="AB108" s="225">
        <f t="shared" si="112"/>
        <v>0</v>
      </c>
      <c r="AC108" s="225">
        <f t="shared" si="113"/>
        <v>38607.41748673829</v>
      </c>
      <c r="AD108" s="226">
        <f t="shared" si="98"/>
        <v>447</v>
      </c>
      <c r="AE108" s="226">
        <f t="shared" si="99"/>
        <v>66756</v>
      </c>
      <c r="AF108" s="226">
        <f t="shared" si="100"/>
        <v>21</v>
      </c>
      <c r="AG108" s="226">
        <f t="shared" si="101"/>
        <v>8113</v>
      </c>
      <c r="AH108" s="226">
        <f t="shared" si="102"/>
        <v>140739.1588099183</v>
      </c>
      <c r="AI108" s="226">
        <f t="shared" si="103"/>
        <v>9878909.7505206596</v>
      </c>
      <c r="AJ108" s="226">
        <f t="shared" si="104"/>
        <v>5967.6628870079403</v>
      </c>
      <c r="AK108" s="226">
        <f t="shared" si="105"/>
        <v>913268.73753934924</v>
      </c>
      <c r="AL108" s="227">
        <f t="shared" si="106"/>
        <v>314.85270427274787</v>
      </c>
      <c r="AM108" s="227">
        <f t="shared" si="107"/>
        <v>147.98534589431151</v>
      </c>
      <c r="AN108" s="227">
        <f t="shared" si="108"/>
        <v>284.17442319085433</v>
      </c>
      <c r="AO108" s="227">
        <f t="shared" si="109"/>
        <v>112.56856126455679</v>
      </c>
      <c r="AP108" s="228">
        <f t="shared" si="114"/>
        <v>-1.684889847139015E-2</v>
      </c>
      <c r="AQ108" s="228">
        <f t="shared" si="115"/>
        <v>-1.5992754329757441E-2</v>
      </c>
      <c r="AR108" s="228">
        <f t="shared" si="116"/>
        <v>0</v>
      </c>
      <c r="AS108" s="228">
        <f t="shared" si="117"/>
        <v>1.6689800222866591E-3</v>
      </c>
      <c r="AT108" s="227">
        <f>IF(ISERROR(VLOOKUP(A108,Mandatory!A:A,1,FALSE)),0,1)</f>
        <v>0</v>
      </c>
    </row>
    <row r="109" spans="1:46">
      <c r="A109" s="231">
        <v>410</v>
      </c>
      <c r="B109" s="222">
        <f>VLOOKUP(A109,OPATT_Activities!A:J,3,FALSE)</f>
        <v>3211</v>
      </c>
      <c r="C109" s="222">
        <f>VLOOKUP(A109,OPATT_Activities!A:J,4,FALSE)</f>
        <v>367690</v>
      </c>
      <c r="D109" s="222">
        <f>VLOOKUP(A109,OPATT_Activities!A:J,5,FALSE)</f>
        <v>7495</v>
      </c>
      <c r="E109" s="222">
        <f>VLOOKUP(A109,OPATT_Activities!A:J,6,FALSE)</f>
        <v>1291196</v>
      </c>
      <c r="F109" s="222">
        <f>VLOOKUP(A109,OPATT_Cost_Quantum!A:F,2,FALSE)</f>
        <v>615750.964891874</v>
      </c>
      <c r="G109" s="222">
        <f>VLOOKUP(A109,OPATT_Cost_Quantum!A:F,3,FALSE)</f>
        <v>63247231.775291599</v>
      </c>
      <c r="H109" s="222">
        <f>VLOOKUP(A109,OPATT_Cost_Quantum!A:F,4,FALSE)</f>
        <v>950339.30550113402</v>
      </c>
      <c r="I109" s="222">
        <f>VLOOKUP(A109,OPATT_Cost_Quantum!A:F,5,FALSE)</f>
        <v>150755441.181344</v>
      </c>
      <c r="J109" s="223">
        <f t="shared" si="93"/>
        <v>191.76299124630145</v>
      </c>
      <c r="K109" s="223">
        <f t="shared" si="93"/>
        <v>172.01237938288122</v>
      </c>
      <c r="L109" s="223">
        <f t="shared" si="93"/>
        <v>126.79643835905723</v>
      </c>
      <c r="M109" s="223">
        <f t="shared" si="93"/>
        <v>116.75643448503868</v>
      </c>
      <c r="N109" s="224">
        <f>IF(ISERROR(VLOOKUP($A109,'HRGs to TFCs % Split'!$A$8:$I$145,6,0)),0,VLOOKUP($A109,'HRGs to TFCs % Split'!$A$8:$I$145,6,0))</f>
        <v>8.6841095626292127E-6</v>
      </c>
      <c r="O109" s="224">
        <f>IF(ISERROR(VLOOKUP($A109,'HRGs to TFCs % Split'!$A$8:$I$145,6,0)),0,VLOOKUP($A109,'HRGs to TFCs % Split'!$A$8:$I$145,7,0))</f>
        <v>7.2917248046660795E-4</v>
      </c>
      <c r="P109" s="224">
        <f>IF(ISERROR(VLOOKUP($A109,'HRGs to TFCs % Split'!$A$8:$I$145,6,0)),0,VLOOKUP($A109,'HRGs to TFCs % Split'!$A$8:$I$145,8,0))</f>
        <v>3.3370398544035848E-5</v>
      </c>
      <c r="Q109" s="224">
        <f>IF(ISERROR(VLOOKUP($A109,'HRGs to TFCs % Split'!$A$8:$I$145,6,0)),0,VLOOKUP($A109,'HRGs to TFCs % Split'!$A$8:$I$145,9,0))</f>
        <v>2.2484037826029772E-3</v>
      </c>
      <c r="R109" s="225">
        <f t="shared" si="174"/>
        <v>12</v>
      </c>
      <c r="S109" s="225">
        <f t="shared" si="175"/>
        <v>984</v>
      </c>
      <c r="T109" s="225">
        <f t="shared" si="176"/>
        <v>45</v>
      </c>
      <c r="U109" s="225">
        <f t="shared" si="177"/>
        <v>3034</v>
      </c>
      <c r="V109" s="224">
        <f>IF(ISERROR(VLOOKUP($A109,'HRGs to TFCs % Split'!$A$8:$I$145,6,0)),0,VLOOKUP($A109,'HRGs to TFCs % Split'!$A$8:$I$145,6,0))</f>
        <v>8.6841095626292127E-6</v>
      </c>
      <c r="W109" s="224">
        <f>IF(ISERROR(VLOOKUP($A109,'HRGs to TFCs % Split'!$A$8:$I$145,6,0)),0,VLOOKUP($A109,'HRGs to TFCs % Split'!$A$8:$I$145,7,0))</f>
        <v>7.2917248046660795E-4</v>
      </c>
      <c r="X109" s="224">
        <f>IF(ISERROR(VLOOKUP($A109,'HRGs to TFCs % Split'!$A$8:$I$145,6,0)),0,VLOOKUP($A109,'HRGs to TFCs % Split'!$A$8:$I$145,8,0))</f>
        <v>3.3370398544035848E-5</v>
      </c>
      <c r="Y109" s="224">
        <f>IF(ISERROR(VLOOKUP($A109,'HRGs to TFCs % Split'!$A$8:$I$145,6,0)),0,VLOOKUP($A109,'HRGs to TFCs % Split'!$A$8:$I$145,9,0))</f>
        <v>2.2484037826029772E-3</v>
      </c>
      <c r="Z109" s="225">
        <f t="shared" si="110"/>
        <v>1369.4938845435263</v>
      </c>
      <c r="AA109" s="225">
        <f t="shared" si="111"/>
        <v>114991.32358644687</v>
      </c>
      <c r="AB109" s="225">
        <f t="shared" si="112"/>
        <v>5262.5495338638866</v>
      </c>
      <c r="AC109" s="225">
        <f t="shared" si="113"/>
        <v>354575.81552288181</v>
      </c>
      <c r="AD109" s="226">
        <f t="shared" si="98"/>
        <v>3223</v>
      </c>
      <c r="AE109" s="226">
        <f t="shared" si="99"/>
        <v>368674</v>
      </c>
      <c r="AF109" s="226">
        <f t="shared" si="100"/>
        <v>7540</v>
      </c>
      <c r="AG109" s="226">
        <f t="shared" si="101"/>
        <v>1294230</v>
      </c>
      <c r="AH109" s="226">
        <f t="shared" si="102"/>
        <v>617120.45877641754</v>
      </c>
      <c r="AI109" s="226">
        <f t="shared" si="103"/>
        <v>63362223.098878048</v>
      </c>
      <c r="AJ109" s="226">
        <f t="shared" si="104"/>
        <v>955601.85503499792</v>
      </c>
      <c r="AK109" s="226">
        <f t="shared" si="105"/>
        <v>151110016.99686688</v>
      </c>
      <c r="AL109" s="227">
        <f t="shared" si="106"/>
        <v>191.47392453503491</v>
      </c>
      <c r="AM109" s="227">
        <f t="shared" si="107"/>
        <v>171.86517926102206</v>
      </c>
      <c r="AN109" s="227">
        <f t="shared" si="108"/>
        <v>126.73764655636577</v>
      </c>
      <c r="AO109" s="227">
        <f t="shared" si="109"/>
        <v>116.75669471181079</v>
      </c>
      <c r="AP109" s="228">
        <f t="shared" si="114"/>
        <v>-1.507416573906406E-3</v>
      </c>
      <c r="AQ109" s="228">
        <f t="shared" si="115"/>
        <v>-8.5575307072238704E-4</v>
      </c>
      <c r="AR109" s="228">
        <f t="shared" si="116"/>
        <v>-4.6367077381914701E-4</v>
      </c>
      <c r="AS109" s="228">
        <f t="shared" si="117"/>
        <v>2.2288002650139305E-6</v>
      </c>
      <c r="AT109" s="227">
        <f>IF(ISERROR(VLOOKUP(A109,Mandatory!A:A,1,FALSE)),0,1)</f>
        <v>1</v>
      </c>
    </row>
    <row r="110" spans="1:46">
      <c r="A110" s="231">
        <v>420</v>
      </c>
      <c r="B110" s="222">
        <f>VLOOKUP(A110,OPATT_Activities!A:J,3,FALSE)</f>
        <v>8980</v>
      </c>
      <c r="C110" s="222">
        <f>VLOOKUP(A110,OPATT_Activities!A:J,4,FALSE)</f>
        <v>574937</v>
      </c>
      <c r="D110" s="222">
        <f>VLOOKUP(A110,OPATT_Activities!A:J,5,FALSE)</f>
        <v>22789</v>
      </c>
      <c r="E110" s="222">
        <f>VLOOKUP(A110,OPATT_Activities!A:J,6,FALSE)</f>
        <v>791305</v>
      </c>
      <c r="F110" s="222">
        <f>VLOOKUP(A110,OPATT_Cost_Quantum!A:F,2,FALSE)</f>
        <v>2187851.5723851901</v>
      </c>
      <c r="G110" s="222">
        <f>VLOOKUP(A110,OPATT_Cost_Quantum!A:F,3,FALSE)</f>
        <v>124867897.169328</v>
      </c>
      <c r="H110" s="222">
        <f>VLOOKUP(A110,OPATT_Cost_Quantum!A:F,4,FALSE)</f>
        <v>4251173.8800505903</v>
      </c>
      <c r="I110" s="222">
        <f>VLOOKUP(A110,OPATT_Cost_Quantum!A:F,5,FALSE)</f>
        <v>128487196.93730401</v>
      </c>
      <c r="J110" s="223">
        <f t="shared" ref="J110:J114" si="178">IF(B110=0,0,F110/B110)</f>
        <v>243.63603255959799</v>
      </c>
      <c r="K110" s="223">
        <f t="shared" ref="K110:K114" si="179">IF(C110=0,0,G110/C110)</f>
        <v>217.18535625525581</v>
      </c>
      <c r="L110" s="223">
        <f t="shared" ref="L110:L114" si="180">IF(D110=0,0,H110/D110)</f>
        <v>186.54499451711749</v>
      </c>
      <c r="M110" s="223">
        <f t="shared" ref="M110:M114" si="181">IF(E110=0,0,I110/E110)</f>
        <v>162.37379637093662</v>
      </c>
      <c r="N110" s="224">
        <f>IF(ISERROR(VLOOKUP($A110,'HRGs to TFCs % Split'!$A$8:$I$145,6,0)),0,VLOOKUP($A110,'HRGs to TFCs % Split'!$A$8:$I$145,6,0))</f>
        <v>1.3601852505960811E-4</v>
      </c>
      <c r="O110" s="224">
        <f>IF(ISERROR(VLOOKUP($A110,'HRGs to TFCs % Split'!$A$8:$I$145,6,0)),0,VLOOKUP($A110,'HRGs to TFCs % Split'!$A$8:$I$145,7,0))</f>
        <v>1.8265902360945939E-3</v>
      </c>
      <c r="P110" s="224">
        <f>IF(ISERROR(VLOOKUP($A110,'HRGs to TFCs % Split'!$A$8:$I$145,6,0)),0,VLOOKUP($A110,'HRGs to TFCs % Split'!$A$8:$I$145,8,0))</f>
        <v>2.043205103836581E-4</v>
      </c>
      <c r="Q110" s="224">
        <f>IF(ISERROR(VLOOKUP($A110,'HRGs to TFCs % Split'!$A$8:$I$145,6,0)),0,VLOOKUP($A110,'HRGs to TFCs % Split'!$A$8:$I$145,9,0))</f>
        <v>1.7017927514810798E-3</v>
      </c>
      <c r="R110" s="225">
        <f t="shared" si="174"/>
        <v>184</v>
      </c>
      <c r="S110" s="225">
        <f t="shared" si="175"/>
        <v>2465</v>
      </c>
      <c r="T110" s="225">
        <f t="shared" si="176"/>
        <v>276</v>
      </c>
      <c r="U110" s="225">
        <f t="shared" si="177"/>
        <v>2296</v>
      </c>
      <c r="V110" s="224">
        <f>IF(ISERROR(VLOOKUP($A110,'HRGs to TFCs % Split'!$A$8:$I$145,6,0)),0,VLOOKUP($A110,'HRGs to TFCs % Split'!$A$8:$I$145,6,0))</f>
        <v>1.3601852505960811E-4</v>
      </c>
      <c r="W110" s="224">
        <f>IF(ISERROR(VLOOKUP($A110,'HRGs to TFCs % Split'!$A$8:$I$145,6,0)),0,VLOOKUP($A110,'HRGs to TFCs % Split'!$A$8:$I$145,7,0))</f>
        <v>1.8265902360945939E-3</v>
      </c>
      <c r="X110" s="224">
        <f>IF(ISERROR(VLOOKUP($A110,'HRGs to TFCs % Split'!$A$8:$I$145,6,0)),0,VLOOKUP($A110,'HRGs to TFCs % Split'!$A$8:$I$145,8,0))</f>
        <v>2.043205103836581E-4</v>
      </c>
      <c r="Y110" s="224">
        <f>IF(ISERROR(VLOOKUP($A110,'HRGs to TFCs % Split'!$A$8:$I$145,6,0)),0,VLOOKUP($A110,'HRGs to TFCs % Split'!$A$8:$I$145,9,0))</f>
        <v>1.7017927514810798E-3</v>
      </c>
      <c r="Z110" s="225">
        <f t="shared" si="110"/>
        <v>21450.275000603095</v>
      </c>
      <c r="AA110" s="225">
        <f t="shared" si="111"/>
        <v>288055.34290623385</v>
      </c>
      <c r="AB110" s="225">
        <f t="shared" si="112"/>
        <v>32221.575216113979</v>
      </c>
      <c r="AC110" s="225">
        <f t="shared" si="113"/>
        <v>268374.63865532185</v>
      </c>
      <c r="AD110" s="226">
        <f t="shared" si="98"/>
        <v>9164</v>
      </c>
      <c r="AE110" s="226">
        <f t="shared" si="99"/>
        <v>577402</v>
      </c>
      <c r="AF110" s="226">
        <f t="shared" si="100"/>
        <v>23065</v>
      </c>
      <c r="AG110" s="226">
        <f t="shared" si="101"/>
        <v>793601</v>
      </c>
      <c r="AH110" s="226">
        <f t="shared" si="102"/>
        <v>2209301.847385793</v>
      </c>
      <c r="AI110" s="226">
        <f t="shared" si="103"/>
        <v>125155952.51223424</v>
      </c>
      <c r="AJ110" s="226">
        <f t="shared" si="104"/>
        <v>4283395.4552667039</v>
      </c>
      <c r="AK110" s="226">
        <f t="shared" si="105"/>
        <v>128755571.57595932</v>
      </c>
      <c r="AL110" s="227">
        <f t="shared" si="106"/>
        <v>241.08488077103809</v>
      </c>
      <c r="AM110" s="227">
        <f t="shared" si="107"/>
        <v>216.75704710450299</v>
      </c>
      <c r="AN110" s="227">
        <f t="shared" si="108"/>
        <v>185.70975310065919</v>
      </c>
      <c r="AO110" s="227">
        <f t="shared" si="109"/>
        <v>162.24219926129041</v>
      </c>
      <c r="AP110" s="228">
        <f t="shared" si="114"/>
        <v>-1.0471159630034754E-2</v>
      </c>
      <c r="AQ110" s="228">
        <f t="shared" si="115"/>
        <v>-1.972090375418456E-3</v>
      </c>
      <c r="AR110" s="228">
        <f t="shared" si="116"/>
        <v>-4.4774260420139544E-3</v>
      </c>
      <c r="AS110" s="228">
        <f t="shared" si="117"/>
        <v>-8.1045779914867833E-4</v>
      </c>
      <c r="AT110" s="227">
        <f>IF(ISERROR(VLOOKUP(A110,Mandatory!A:A,1,FALSE)),0,1)</f>
        <v>1</v>
      </c>
    </row>
    <row r="111" spans="1:46">
      <c r="A111" s="231">
        <v>421</v>
      </c>
      <c r="B111" s="222">
        <f>VLOOKUP(A111,OPATT_Activities!A:J,3,FALSE)</f>
        <v>1233</v>
      </c>
      <c r="C111" s="222">
        <f>VLOOKUP(A111,OPATT_Activities!A:J,4,FALSE)</f>
        <v>17140</v>
      </c>
      <c r="D111" s="222">
        <f>VLOOKUP(A111,OPATT_Activities!A:J,5,FALSE)</f>
        <v>3522</v>
      </c>
      <c r="E111" s="222">
        <f>VLOOKUP(A111,OPATT_Activities!A:J,6,FALSE)</f>
        <v>35802</v>
      </c>
      <c r="F111" s="222">
        <f>VLOOKUP(A111,OPATT_Cost_Quantum!A:F,2,FALSE)</f>
        <v>451691.601254554</v>
      </c>
      <c r="G111" s="222">
        <f>VLOOKUP(A111,OPATT_Cost_Quantum!A:F,3,FALSE)</f>
        <v>5180628.1913320003</v>
      </c>
      <c r="H111" s="222">
        <f>VLOOKUP(A111,OPATT_Cost_Quantum!A:F,4,FALSE)</f>
        <v>917875.14875974006</v>
      </c>
      <c r="I111" s="222">
        <f>VLOOKUP(A111,OPATT_Cost_Quantum!A:F,5,FALSE)</f>
        <v>9022879.2702700403</v>
      </c>
      <c r="J111" s="223">
        <f t="shared" si="178"/>
        <v>366.33544302883536</v>
      </c>
      <c r="K111" s="223">
        <f t="shared" si="179"/>
        <v>302.25368677549591</v>
      </c>
      <c r="L111" s="223">
        <f t="shared" si="180"/>
        <v>260.61191049396365</v>
      </c>
      <c r="M111" s="223">
        <f t="shared" si="181"/>
        <v>252.02165438439306</v>
      </c>
      <c r="N111" s="224">
        <f>IF(ISERROR(VLOOKUP($A111,'HRGs to TFCs % Split'!$A$8:$I$145,6,0)),0,VLOOKUP($A111,'HRGs to TFCs % Split'!$A$8:$I$145,6,0))</f>
        <v>9.7574264748642841E-7</v>
      </c>
      <c r="O111" s="224">
        <f>IF(ISERROR(VLOOKUP($A111,'HRGs to TFCs % Split'!$A$8:$I$145,6,0)),0,VLOOKUP($A111,'HRGs to TFCs % Split'!$A$8:$I$145,7,0))</f>
        <v>2.4003269128166137E-5</v>
      </c>
      <c r="P111" s="224">
        <f>IF(ISERROR(VLOOKUP($A111,'HRGs to TFCs % Split'!$A$8:$I$145,6,0)),0,VLOOKUP($A111,'HRGs to TFCs % Split'!$A$8:$I$145,8,0))</f>
        <v>2.8296536777106422E-6</v>
      </c>
      <c r="Q111" s="224">
        <f>IF(ISERROR(VLOOKUP($A111,'HRGs to TFCs % Split'!$A$8:$I$145,6,0)),0,VLOOKUP($A111,'HRGs to TFCs % Split'!$A$8:$I$145,9,0))</f>
        <v>9.7574264748642837E-6</v>
      </c>
      <c r="R111" s="225">
        <f t="shared" si="174"/>
        <v>1</v>
      </c>
      <c r="S111" s="225">
        <f t="shared" si="175"/>
        <v>32</v>
      </c>
      <c r="T111" s="225">
        <f t="shared" si="176"/>
        <v>4</v>
      </c>
      <c r="U111" s="225">
        <f t="shared" si="177"/>
        <v>13</v>
      </c>
      <c r="V111" s="224">
        <f>IF(ISERROR(VLOOKUP($A111,'HRGs to TFCs % Split'!$A$8:$I$145,6,0)),0,VLOOKUP($A111,'HRGs to TFCs % Split'!$A$8:$I$145,6,0))</f>
        <v>9.7574264748642841E-7</v>
      </c>
      <c r="W111" s="224">
        <f>IF(ISERROR(VLOOKUP($A111,'HRGs to TFCs % Split'!$A$8:$I$145,6,0)),0,VLOOKUP($A111,'HRGs to TFCs % Split'!$A$8:$I$145,7,0))</f>
        <v>2.4003269128166137E-5</v>
      </c>
      <c r="X111" s="224">
        <f>IF(ISERROR(VLOOKUP($A111,'HRGs to TFCs % Split'!$A$8:$I$145,6,0)),0,VLOOKUP($A111,'HRGs to TFCs % Split'!$A$8:$I$145,8,0))</f>
        <v>2.8296536777106422E-6</v>
      </c>
      <c r="Y111" s="224">
        <f>IF(ISERROR(VLOOKUP($A111,'HRGs to TFCs % Split'!$A$8:$I$145,6,0)),0,VLOOKUP($A111,'HRGs to TFCs % Split'!$A$8:$I$145,9,0))</f>
        <v>9.7574264748642837E-6</v>
      </c>
      <c r="Z111" s="225">
        <f t="shared" si="110"/>
        <v>153.87571736444116</v>
      </c>
      <c r="AA111" s="225">
        <f t="shared" si="111"/>
        <v>3785.3426471652524</v>
      </c>
      <c r="AB111" s="225">
        <f t="shared" si="112"/>
        <v>446.23958035687934</v>
      </c>
      <c r="AC111" s="225">
        <f t="shared" si="113"/>
        <v>1538.7571736444115</v>
      </c>
      <c r="AD111" s="226">
        <f t="shared" si="98"/>
        <v>1234</v>
      </c>
      <c r="AE111" s="226">
        <f t="shared" si="99"/>
        <v>17172</v>
      </c>
      <c r="AF111" s="226">
        <f t="shared" si="100"/>
        <v>3526</v>
      </c>
      <c r="AG111" s="226">
        <f t="shared" si="101"/>
        <v>35815</v>
      </c>
      <c r="AH111" s="226">
        <f t="shared" si="102"/>
        <v>451845.47697191843</v>
      </c>
      <c r="AI111" s="226">
        <f t="shared" si="103"/>
        <v>5184413.5339791654</v>
      </c>
      <c r="AJ111" s="226">
        <f t="shared" si="104"/>
        <v>918321.38834009692</v>
      </c>
      <c r="AK111" s="226">
        <f t="shared" si="105"/>
        <v>9024418.0274436846</v>
      </c>
      <c r="AL111" s="227">
        <f t="shared" si="106"/>
        <v>366.16327145212188</v>
      </c>
      <c r="AM111" s="227">
        <f t="shared" si="107"/>
        <v>301.91087432909188</v>
      </c>
      <c r="AN111" s="227">
        <f t="shared" si="108"/>
        <v>260.44282142373709</v>
      </c>
      <c r="AO111" s="227">
        <f t="shared" si="109"/>
        <v>251.97314051217882</v>
      </c>
      <c r="AP111" s="228">
        <f t="shared" si="114"/>
        <v>-4.6998339906723086E-4</v>
      </c>
      <c r="AQ111" s="228">
        <f t="shared" si="115"/>
        <v>-1.1341878078021672E-3</v>
      </c>
      <c r="AR111" s="228">
        <f t="shared" si="116"/>
        <v>-6.4881558907292636E-4</v>
      </c>
      <c r="AS111" s="228">
        <f t="shared" si="117"/>
        <v>-1.9249882448690858E-4</v>
      </c>
      <c r="AT111" s="227">
        <f>IF(ISERROR(VLOOKUP(A111,Mandatory!A:A,1,FALSE)),0,1)</f>
        <v>1</v>
      </c>
    </row>
    <row r="112" spans="1:46">
      <c r="A112" s="231">
        <v>422</v>
      </c>
      <c r="B112" s="222">
        <f>VLOOKUP(A112,OPATT_Activities!A:J,3,FALSE)</f>
        <v>109</v>
      </c>
      <c r="C112" s="222">
        <f>VLOOKUP(A112,OPATT_Activities!A:J,4,FALSE)</f>
        <v>13075</v>
      </c>
      <c r="D112" s="222">
        <f>VLOOKUP(A112,OPATT_Activities!A:J,5,FALSE)</f>
        <v>557</v>
      </c>
      <c r="E112" s="222">
        <f>VLOOKUP(A112,OPATT_Activities!A:J,6,FALSE)</f>
        <v>19807</v>
      </c>
      <c r="F112" s="222">
        <f>VLOOKUP(A112,OPATT_Cost_Quantum!A:F,2,FALSE)</f>
        <v>7563.2167157986896</v>
      </c>
      <c r="G112" s="222">
        <f>VLOOKUP(A112,OPATT_Cost_Quantum!A:F,3,FALSE)</f>
        <v>1960999.52997493</v>
      </c>
      <c r="H112" s="222">
        <f>VLOOKUP(A112,OPATT_Cost_Quantum!A:F,4,FALSE)</f>
        <v>60409.228656157102</v>
      </c>
      <c r="I112" s="222">
        <f>VLOOKUP(A112,OPATT_Cost_Quantum!A:F,5,FALSE)</f>
        <v>3191721.13315049</v>
      </c>
      <c r="J112" s="223">
        <f t="shared" si="178"/>
        <v>69.38730931925403</v>
      </c>
      <c r="K112" s="223">
        <f t="shared" si="179"/>
        <v>149.98084359272886</v>
      </c>
      <c r="L112" s="223">
        <f t="shared" si="180"/>
        <v>108.45462954426769</v>
      </c>
      <c r="M112" s="223">
        <f t="shared" si="181"/>
        <v>161.14106796337103</v>
      </c>
      <c r="N112" s="224">
        <f>IF(ISERROR(VLOOKUP($A112,'HRGs to TFCs % Split'!$A$8:$I$145,6,0)),0,VLOOKUP($A112,'HRGs to TFCs % Split'!$A$8:$I$145,6,0))</f>
        <v>9.7574264748642833E-8</v>
      </c>
      <c r="O112" s="224">
        <f>IF(ISERROR(VLOOKUP($A112,'HRGs to TFCs % Split'!$A$8:$I$145,6,0)),0,VLOOKUP($A112,'HRGs to TFCs % Split'!$A$8:$I$145,7,0))</f>
        <v>3.6980646339735634E-5</v>
      </c>
      <c r="P112" s="224">
        <f>IF(ISERROR(VLOOKUP($A112,'HRGs to TFCs % Split'!$A$8:$I$145,6,0)),0,VLOOKUP($A112,'HRGs to TFCs % Split'!$A$8:$I$145,8,0))</f>
        <v>0</v>
      </c>
      <c r="Q112" s="224">
        <f>IF(ISERROR(VLOOKUP($A112,'HRGs to TFCs % Split'!$A$8:$I$145,6,0)),0,VLOOKUP($A112,'HRGs to TFCs % Split'!$A$8:$I$145,9,0))</f>
        <v>2.1076041185706852E-5</v>
      </c>
      <c r="R112" s="225">
        <f t="shared" si="174"/>
        <v>0</v>
      </c>
      <c r="S112" s="225">
        <f t="shared" si="175"/>
        <v>50</v>
      </c>
      <c r="T112" s="225">
        <f t="shared" si="176"/>
        <v>0</v>
      </c>
      <c r="U112" s="225">
        <f t="shared" si="177"/>
        <v>28</v>
      </c>
      <c r="V112" s="224">
        <f>IF(ISERROR(VLOOKUP($A112,'HRGs to TFCs % Split'!$A$8:$I$145,6,0)),0,VLOOKUP($A112,'HRGs to TFCs % Split'!$A$8:$I$145,6,0))</f>
        <v>9.7574264748642833E-8</v>
      </c>
      <c r="W112" s="224">
        <f>IF(ISERROR(VLOOKUP($A112,'HRGs to TFCs % Split'!$A$8:$I$145,6,0)),0,VLOOKUP($A112,'HRGs to TFCs % Split'!$A$8:$I$145,7,0))</f>
        <v>3.6980646339735634E-5</v>
      </c>
      <c r="X112" s="224">
        <f>IF(ISERROR(VLOOKUP($A112,'HRGs to TFCs % Split'!$A$8:$I$145,6,0)),0,VLOOKUP($A112,'HRGs to TFCs % Split'!$A$8:$I$145,8,0))</f>
        <v>0</v>
      </c>
      <c r="Y112" s="224">
        <f>IF(ISERROR(VLOOKUP($A112,'HRGs to TFCs % Split'!$A$8:$I$145,6,0)),0,VLOOKUP($A112,'HRGs to TFCs % Split'!$A$8:$I$145,9,0))</f>
        <v>2.1076041185706852E-5</v>
      </c>
      <c r="Z112" s="225">
        <f t="shared" si="110"/>
        <v>15.387571736444114</v>
      </c>
      <c r="AA112" s="225">
        <f t="shared" si="111"/>
        <v>5831.8896881123192</v>
      </c>
      <c r="AB112" s="225">
        <f t="shared" si="112"/>
        <v>0</v>
      </c>
      <c r="AC112" s="225">
        <f t="shared" si="113"/>
        <v>3323.7154950719287</v>
      </c>
      <c r="AD112" s="226">
        <f t="shared" si="98"/>
        <v>109</v>
      </c>
      <c r="AE112" s="226">
        <f t="shared" si="99"/>
        <v>13125</v>
      </c>
      <c r="AF112" s="226">
        <f t="shared" si="100"/>
        <v>557</v>
      </c>
      <c r="AG112" s="226">
        <f t="shared" si="101"/>
        <v>19835</v>
      </c>
      <c r="AH112" s="226">
        <f t="shared" si="102"/>
        <v>7578.6042875351341</v>
      </c>
      <c r="AI112" s="226">
        <f t="shared" si="103"/>
        <v>1966831.4196630423</v>
      </c>
      <c r="AJ112" s="226">
        <f t="shared" si="104"/>
        <v>60409.228656157102</v>
      </c>
      <c r="AK112" s="226">
        <f t="shared" si="105"/>
        <v>3195044.8486455618</v>
      </c>
      <c r="AL112" s="227">
        <f t="shared" si="106"/>
        <v>69.528479702157199</v>
      </c>
      <c r="AM112" s="227">
        <f t="shared" si="107"/>
        <v>149.8538224505175</v>
      </c>
      <c r="AN112" s="227">
        <f t="shared" si="108"/>
        <v>108.45462954426769</v>
      </c>
      <c r="AO112" s="227">
        <f t="shared" si="109"/>
        <v>161.08116201893429</v>
      </c>
      <c r="AP112" s="228">
        <f t="shared" si="114"/>
        <v>2.034527412694942E-3</v>
      </c>
      <c r="AQ112" s="228">
        <f t="shared" si="115"/>
        <v>-8.4691577383233518E-4</v>
      </c>
      <c r="AR112" s="228">
        <f t="shared" si="116"/>
        <v>0</v>
      </c>
      <c r="AS112" s="228">
        <f t="shared" si="117"/>
        <v>-3.717608750759549E-4</v>
      </c>
      <c r="AT112" s="227">
        <f>IF(ISERROR(VLOOKUP(A112,Mandatory!A:A,1,FALSE)),0,1)</f>
        <v>0</v>
      </c>
    </row>
    <row r="113" spans="1:46">
      <c r="A113" s="231">
        <v>430</v>
      </c>
      <c r="B113" s="222">
        <f>VLOOKUP(A113,OPATT_Activities!A:J,3,FALSE)</f>
        <v>4177</v>
      </c>
      <c r="C113" s="222">
        <f>VLOOKUP(A113,OPATT_Activities!A:J,4,FALSE)</f>
        <v>166308</v>
      </c>
      <c r="D113" s="222">
        <f>VLOOKUP(A113,OPATT_Activities!A:J,5,FALSE)</f>
        <v>4377</v>
      </c>
      <c r="E113" s="222">
        <f>VLOOKUP(A113,OPATT_Activities!A:J,6,FALSE)</f>
        <v>236035</v>
      </c>
      <c r="F113" s="222">
        <f>VLOOKUP(A113,OPATT_Cost_Quantum!A:F,2,FALSE)</f>
        <v>867238.14529945899</v>
      </c>
      <c r="G113" s="222">
        <f>VLOOKUP(A113,OPATT_Cost_Quantum!A:F,3,FALSE)</f>
        <v>38555187.5752462</v>
      </c>
      <c r="H113" s="222">
        <f>VLOOKUP(A113,OPATT_Cost_Quantum!A:F,4,FALSE)</f>
        <v>634926.12901547598</v>
      </c>
      <c r="I113" s="222">
        <f>VLOOKUP(A113,OPATT_Cost_Quantum!A:F,5,FALSE)</f>
        <v>38903641.438348502</v>
      </c>
      <c r="J113" s="223">
        <f t="shared" si="178"/>
        <v>207.6222516876847</v>
      </c>
      <c r="K113" s="223">
        <f t="shared" si="179"/>
        <v>231.83002366239867</v>
      </c>
      <c r="L113" s="223">
        <f t="shared" si="180"/>
        <v>145.05965935925886</v>
      </c>
      <c r="M113" s="223">
        <f t="shared" si="181"/>
        <v>164.82149443238714</v>
      </c>
      <c r="N113" s="224">
        <f>IF(ISERROR(VLOOKUP($A113,'HRGs to TFCs % Split'!$A$8:$I$145,6,0)),0,VLOOKUP($A113,'HRGs to TFCs % Split'!$A$8:$I$145,6,0))</f>
        <v>6.0788766938404489E-5</v>
      </c>
      <c r="O113" s="224">
        <f>IF(ISERROR(VLOOKUP($A113,'HRGs to TFCs % Split'!$A$8:$I$145,6,0)),0,VLOOKUP($A113,'HRGs to TFCs % Split'!$A$8:$I$145,7,0))</f>
        <v>7.0975520178162804E-4</v>
      </c>
      <c r="P113" s="224">
        <f>IF(ISERROR(VLOOKUP($A113,'HRGs to TFCs % Split'!$A$8:$I$145,6,0)),0,VLOOKUP($A113,'HRGs to TFCs % Split'!$A$8:$I$145,8,0))</f>
        <v>4.6835647079348562E-6</v>
      </c>
      <c r="Q113" s="224">
        <f>IF(ISERROR(VLOOKUP($A113,'HRGs to TFCs % Split'!$A$8:$I$145,6,0)),0,VLOOKUP($A113,'HRGs to TFCs % Split'!$A$8:$I$145,9,0))</f>
        <v>3.3126462882164244E-4</v>
      </c>
      <c r="R113" s="225">
        <f t="shared" si="174"/>
        <v>82</v>
      </c>
      <c r="S113" s="225">
        <f t="shared" si="175"/>
        <v>958</v>
      </c>
      <c r="T113" s="225">
        <f t="shared" si="176"/>
        <v>6</v>
      </c>
      <c r="U113" s="225">
        <f t="shared" si="177"/>
        <v>447</v>
      </c>
      <c r="V113" s="224">
        <f>IF(ISERROR(VLOOKUP($A113,'HRGs to TFCs % Split'!$A$8:$I$145,6,0)),0,VLOOKUP($A113,'HRGs to TFCs % Split'!$A$8:$I$145,6,0))</f>
        <v>6.0788766938404489E-5</v>
      </c>
      <c r="W113" s="224">
        <f>IF(ISERROR(VLOOKUP($A113,'HRGs to TFCs % Split'!$A$8:$I$145,6,0)),0,VLOOKUP($A113,'HRGs to TFCs % Split'!$A$8:$I$145,7,0))</f>
        <v>7.0975520178162804E-4</v>
      </c>
      <c r="X113" s="224">
        <f>IF(ISERROR(VLOOKUP($A113,'HRGs to TFCs % Split'!$A$8:$I$145,6,0)),0,VLOOKUP($A113,'HRGs to TFCs % Split'!$A$8:$I$145,8,0))</f>
        <v>4.6835647079348562E-6</v>
      </c>
      <c r="Y113" s="224">
        <f>IF(ISERROR(VLOOKUP($A113,'HRGs to TFCs % Split'!$A$8:$I$145,6,0)),0,VLOOKUP($A113,'HRGs to TFCs % Split'!$A$8:$I$145,9,0))</f>
        <v>3.3126462882164244E-4</v>
      </c>
      <c r="Z113" s="225">
        <f t="shared" si="110"/>
        <v>9586.457191804684</v>
      </c>
      <c r="AA113" s="225">
        <f t="shared" si="111"/>
        <v>111929.1968108945</v>
      </c>
      <c r="AB113" s="225">
        <f t="shared" si="112"/>
        <v>738.60344334931756</v>
      </c>
      <c r="AC113" s="225">
        <f t="shared" si="113"/>
        <v>52240.806045227771</v>
      </c>
      <c r="AD113" s="226">
        <f t="shared" si="98"/>
        <v>4259</v>
      </c>
      <c r="AE113" s="226">
        <f t="shared" si="99"/>
        <v>167266</v>
      </c>
      <c r="AF113" s="226">
        <f t="shared" si="100"/>
        <v>4383</v>
      </c>
      <c r="AG113" s="226">
        <f t="shared" si="101"/>
        <v>236482</v>
      </c>
      <c r="AH113" s="226">
        <f t="shared" si="102"/>
        <v>876824.60249126365</v>
      </c>
      <c r="AI113" s="226">
        <f t="shared" si="103"/>
        <v>38667116.772057094</v>
      </c>
      <c r="AJ113" s="226">
        <f t="shared" si="104"/>
        <v>635664.73245882534</v>
      </c>
      <c r="AK113" s="226">
        <f t="shared" si="105"/>
        <v>38955882.244393729</v>
      </c>
      <c r="AL113" s="227">
        <f t="shared" si="106"/>
        <v>205.87569910572051</v>
      </c>
      <c r="AM113" s="227">
        <f t="shared" si="107"/>
        <v>231.17140824828175</v>
      </c>
      <c r="AN113" s="227">
        <f t="shared" si="108"/>
        <v>145.02959900954264</v>
      </c>
      <c r="AO113" s="227">
        <f t="shared" si="109"/>
        <v>164.7308558131009</v>
      </c>
      <c r="AP113" s="228">
        <f t="shared" si="114"/>
        <v>-8.4121647259246535E-3</v>
      </c>
      <c r="AQ113" s="228">
        <f t="shared" si="115"/>
        <v>-2.8409409778434869E-3</v>
      </c>
      <c r="AR113" s="228">
        <f t="shared" si="116"/>
        <v>-2.0722749418411457E-4</v>
      </c>
      <c r="AS113" s="228">
        <f t="shared" si="117"/>
        <v>-5.4991989727060098E-4</v>
      </c>
      <c r="AT113" s="227">
        <f>IF(ISERROR(VLOOKUP(A113,Mandatory!A:A,1,FALSE)),0,1)</f>
        <v>1</v>
      </c>
    </row>
    <row r="114" spans="1:46">
      <c r="A114" s="231">
        <v>450</v>
      </c>
      <c r="B114" s="222">
        <f>VLOOKUP(A114,OPATT_Activities!A:J,3,FALSE)</f>
        <v>123</v>
      </c>
      <c r="C114" s="222">
        <f>VLOOKUP(A114,OPATT_Activities!A:J,4,FALSE)</f>
        <v>26630</v>
      </c>
      <c r="D114" s="222">
        <f>VLOOKUP(A114,OPATT_Activities!A:J,5,FALSE)</f>
        <v>645</v>
      </c>
      <c r="E114" s="222">
        <f>VLOOKUP(A114,OPATT_Activities!A:J,6,FALSE)</f>
        <v>34717</v>
      </c>
      <c r="F114" s="222">
        <f>VLOOKUP(A114,OPATT_Cost_Quantum!A:F,2,FALSE)</f>
        <v>26596.7000350776</v>
      </c>
      <c r="G114" s="222">
        <f>VLOOKUP(A114,OPATT_Cost_Quantum!A:F,3,FALSE)</f>
        <v>2924362.2683302602</v>
      </c>
      <c r="H114" s="222">
        <f>VLOOKUP(A114,OPATT_Cost_Quantum!A:F,4,FALSE)</f>
        <v>117089.621642599</v>
      </c>
      <c r="I114" s="222">
        <f>VLOOKUP(A114,OPATT_Cost_Quantum!A:F,5,FALSE)</f>
        <v>3398883.2314402498</v>
      </c>
      <c r="J114" s="223">
        <f t="shared" si="178"/>
        <v>216.23333361851707</v>
      </c>
      <c r="K114" s="223">
        <f t="shared" si="179"/>
        <v>109.81458011003606</v>
      </c>
      <c r="L114" s="223">
        <f t="shared" si="180"/>
        <v>181.53429712030854</v>
      </c>
      <c r="M114" s="223">
        <f t="shared" si="181"/>
        <v>97.902561610745451</v>
      </c>
      <c r="N114" s="224">
        <f>IF(ISERROR(VLOOKUP($A114,'HRGs to TFCs % Split'!$A$8:$I$145,6,0)),0,VLOOKUP($A114,'HRGs to TFCs % Split'!$A$8:$I$145,6,0))</f>
        <v>1.0733169122350712E-6</v>
      </c>
      <c r="O114" s="224">
        <f>IF(ISERROR(VLOOKUP($A114,'HRGs to TFCs % Split'!$A$8:$I$145,6,0)),0,VLOOKUP($A114,'HRGs to TFCs % Split'!$A$8:$I$145,7,0))</f>
        <v>1.5338674418486655E-4</v>
      </c>
      <c r="P114" s="224">
        <f>IF(ISERROR(VLOOKUP($A114,'HRGs to TFCs % Split'!$A$8:$I$145,6,0)),0,VLOOKUP($A114,'HRGs to TFCs % Split'!$A$8:$I$145,8,0))</f>
        <v>3.9029705899457133E-7</v>
      </c>
      <c r="Q114" s="224">
        <f>IF(ISERROR(VLOOKUP($A114,'HRGs to TFCs % Split'!$A$8:$I$145,6,0)),0,VLOOKUP($A114,'HRGs to TFCs % Split'!$A$8:$I$145,9,0))</f>
        <v>4.7108855020644761E-4</v>
      </c>
      <c r="R114" s="225">
        <f t="shared" si="174"/>
        <v>1</v>
      </c>
      <c r="S114" s="225">
        <f t="shared" si="175"/>
        <v>207</v>
      </c>
      <c r="T114" s="225">
        <f t="shared" si="176"/>
        <v>1</v>
      </c>
      <c r="U114" s="225">
        <f t="shared" si="177"/>
        <v>636</v>
      </c>
      <c r="V114" s="224">
        <f>IF(ISERROR(VLOOKUP($A114,'HRGs to TFCs % Split'!$A$8:$I$145,6,0)),0,VLOOKUP($A114,'HRGs to TFCs % Split'!$A$8:$I$145,6,0))</f>
        <v>1.0733169122350712E-6</v>
      </c>
      <c r="W114" s="224">
        <f>IF(ISERROR(VLOOKUP($A114,'HRGs to TFCs % Split'!$A$8:$I$145,6,0)),0,VLOOKUP($A114,'HRGs to TFCs % Split'!$A$8:$I$145,7,0))</f>
        <v>1.5338674418486655E-4</v>
      </c>
      <c r="X114" s="224">
        <f>IF(ISERROR(VLOOKUP($A114,'HRGs to TFCs % Split'!$A$8:$I$145,6,0)),0,VLOOKUP($A114,'HRGs to TFCs % Split'!$A$8:$I$145,8,0))</f>
        <v>3.9029705899457133E-7</v>
      </c>
      <c r="Y114" s="224">
        <f>IF(ISERROR(VLOOKUP($A114,'HRGs to TFCs % Split'!$A$8:$I$145,6,0)),0,VLOOKUP($A114,'HRGs to TFCs % Split'!$A$8:$I$145,9,0))</f>
        <v>4.7108855020644761E-4</v>
      </c>
      <c r="Z114" s="225">
        <f t="shared" si="110"/>
        <v>169.26328910088526</v>
      </c>
      <c r="AA114" s="225">
        <f t="shared" si="111"/>
        <v>24189.262769690151</v>
      </c>
      <c r="AB114" s="225">
        <f t="shared" si="112"/>
        <v>61.550286945776456</v>
      </c>
      <c r="AC114" s="225">
        <f t="shared" si="113"/>
        <v>74291.19634355219</v>
      </c>
      <c r="AD114" s="226">
        <f t="shared" si="98"/>
        <v>124</v>
      </c>
      <c r="AE114" s="226">
        <f t="shared" si="99"/>
        <v>26837</v>
      </c>
      <c r="AF114" s="226">
        <f t="shared" si="100"/>
        <v>646</v>
      </c>
      <c r="AG114" s="226">
        <f t="shared" si="101"/>
        <v>35353</v>
      </c>
      <c r="AH114" s="226">
        <f t="shared" si="102"/>
        <v>26765.963324178487</v>
      </c>
      <c r="AI114" s="226">
        <f t="shared" si="103"/>
        <v>2948551.5310999504</v>
      </c>
      <c r="AJ114" s="226">
        <f t="shared" si="104"/>
        <v>117151.17192954477</v>
      </c>
      <c r="AK114" s="226">
        <f t="shared" si="105"/>
        <v>3473174.4277838022</v>
      </c>
      <c r="AL114" s="227">
        <f t="shared" si="106"/>
        <v>215.85454293692328</v>
      </c>
      <c r="AM114" s="227">
        <f t="shared" si="107"/>
        <v>109.86889485039127</v>
      </c>
      <c r="AN114" s="227">
        <f t="shared" si="108"/>
        <v>181.34856335842844</v>
      </c>
      <c r="AO114" s="227">
        <f t="shared" si="109"/>
        <v>98.242707204022352</v>
      </c>
      <c r="AP114" s="228">
        <f t="shared" si="114"/>
        <v>-1.7517682184100547E-3</v>
      </c>
      <c r="AQ114" s="228">
        <f t="shared" si="115"/>
        <v>4.9460408900880992E-4</v>
      </c>
      <c r="AR114" s="228">
        <f t="shared" si="116"/>
        <v>-1.0231331755288231E-3</v>
      </c>
      <c r="AS114" s="228">
        <f t="shared" si="117"/>
        <v>3.4743278181963433E-3</v>
      </c>
      <c r="AT114" s="227">
        <f>IF(ISERROR(VLOOKUP(A114,Mandatory!A:A,1,FALSE)),0,1)</f>
        <v>0</v>
      </c>
    </row>
    <row r="115" spans="1:46">
      <c r="A115" s="231">
        <v>460</v>
      </c>
      <c r="B115" s="222">
        <f>VLOOKUP(A115,OPATT_Activities!A:J,3,FALSE)</f>
        <v>27</v>
      </c>
      <c r="C115" s="222">
        <f>VLOOKUP(A115,OPATT_Activities!A:J,4,FALSE)</f>
        <v>4719</v>
      </c>
      <c r="D115" s="222">
        <f>VLOOKUP(A115,OPATT_Activities!A:J,5,FALSE)</f>
        <v>396</v>
      </c>
      <c r="E115" s="222">
        <f>VLOOKUP(A115,OPATT_Activities!A:J,6,FALSE)</f>
        <v>16353</v>
      </c>
      <c r="F115" s="222">
        <f>VLOOKUP(A115,OPATT_Cost_Quantum!A:F,2,FALSE)</f>
        <v>7181.0335759691998</v>
      </c>
      <c r="G115" s="222">
        <f>VLOOKUP(A115,OPATT_Cost_Quantum!A:F,3,FALSE)</f>
        <v>333315.19268235302</v>
      </c>
      <c r="H115" s="222">
        <f>VLOOKUP(A115,OPATT_Cost_Quantum!A:F,4,FALSE)</f>
        <v>67019.342234083306</v>
      </c>
      <c r="I115" s="222">
        <f>VLOOKUP(A115,OPATT_Cost_Quantum!A:F,5,FALSE)</f>
        <v>986126.99876631796</v>
      </c>
      <c r="J115" s="223">
        <f t="shared" si="93"/>
        <v>265.96420651737776</v>
      </c>
      <c r="K115" s="223">
        <f t="shared" si="93"/>
        <v>70.632590100095996</v>
      </c>
      <c r="L115" s="223">
        <f t="shared" si="93"/>
        <v>169.2407632173821</v>
      </c>
      <c r="M115" s="223">
        <f t="shared" si="93"/>
        <v>60.302513224871156</v>
      </c>
      <c r="N115" s="224">
        <f>IF(ISERROR(VLOOKUP($A115,'HRGs to TFCs % Split'!$A$8:$I$145,6,0)),0,VLOOKUP($A115,'HRGs to TFCs % Split'!$A$8:$I$145,6,0))</f>
        <v>1.3660397064809997E-6</v>
      </c>
      <c r="O115" s="224">
        <f>IF(ISERROR(VLOOKUP($A115,'HRGs to TFCs % Split'!$A$8:$I$145,6,0)),0,VLOOKUP($A115,'HRGs to TFCs % Split'!$A$8:$I$145,7,0))</f>
        <v>3.7048948325059687E-4</v>
      </c>
      <c r="P115" s="224">
        <f>IF(ISERROR(VLOOKUP($A115,'HRGs to TFCs % Split'!$A$8:$I$145,6,0)),0,VLOOKUP($A115,'HRGs to TFCs % Split'!$A$8:$I$145,8,0))</f>
        <v>1.5611882359782855E-5</v>
      </c>
      <c r="Q115" s="224">
        <f>IF(ISERROR(VLOOKUP($A115,'HRGs to TFCs % Split'!$A$8:$I$145,6,0)),0,VLOOKUP($A115,'HRGs to TFCs % Split'!$A$8:$I$145,9,0))</f>
        <v>2.6141121268808904E-3</v>
      </c>
      <c r="R115" s="225">
        <f t="shared" si="174"/>
        <v>2</v>
      </c>
      <c r="S115" s="225">
        <f t="shared" si="175"/>
        <v>500</v>
      </c>
      <c r="T115" s="225">
        <f t="shared" si="176"/>
        <v>21</v>
      </c>
      <c r="U115" s="225">
        <f t="shared" si="177"/>
        <v>3528</v>
      </c>
      <c r="V115" s="224">
        <f>IF(ISERROR(VLOOKUP($A115,'HRGs to TFCs % Split'!$A$8:$I$145,6,0)),0,VLOOKUP($A115,'HRGs to TFCs % Split'!$A$8:$I$145,6,0))</f>
        <v>1.3660397064809997E-6</v>
      </c>
      <c r="W115" s="224">
        <f>IF(ISERROR(VLOOKUP($A115,'HRGs to TFCs % Split'!$A$8:$I$145,6,0)),0,VLOOKUP($A115,'HRGs to TFCs % Split'!$A$8:$I$145,7,0))</f>
        <v>3.7048948325059687E-4</v>
      </c>
      <c r="X115" s="224">
        <f>IF(ISERROR(VLOOKUP($A115,'HRGs to TFCs % Split'!$A$8:$I$145,6,0)),0,VLOOKUP($A115,'HRGs to TFCs % Split'!$A$8:$I$145,8,0))</f>
        <v>1.5611882359782855E-5</v>
      </c>
      <c r="Y115" s="224">
        <f>IF(ISERROR(VLOOKUP($A115,'HRGs to TFCs % Split'!$A$8:$I$145,6,0)),0,VLOOKUP($A115,'HRGs to TFCs % Split'!$A$8:$I$145,9,0))</f>
        <v>2.6141121268808904E-3</v>
      </c>
      <c r="Z115" s="225">
        <f t="shared" si="110"/>
        <v>215.42600431021762</v>
      </c>
      <c r="AA115" s="225">
        <f t="shared" si="111"/>
        <v>58426.60988327831</v>
      </c>
      <c r="AB115" s="225">
        <f t="shared" si="112"/>
        <v>2462.0114778310585</v>
      </c>
      <c r="AC115" s="225">
        <f t="shared" si="113"/>
        <v>412248.43439107429</v>
      </c>
      <c r="AD115" s="226">
        <f t="shared" si="98"/>
        <v>29</v>
      </c>
      <c r="AE115" s="226">
        <f t="shared" si="99"/>
        <v>5219</v>
      </c>
      <c r="AF115" s="226">
        <f t="shared" si="100"/>
        <v>417</v>
      </c>
      <c r="AG115" s="226">
        <f t="shared" si="101"/>
        <v>19881</v>
      </c>
      <c r="AH115" s="226">
        <f t="shared" si="102"/>
        <v>7396.4595802794174</v>
      </c>
      <c r="AI115" s="226">
        <f t="shared" si="103"/>
        <v>391741.80256563134</v>
      </c>
      <c r="AJ115" s="226">
        <f t="shared" si="104"/>
        <v>69481.353711914358</v>
      </c>
      <c r="AK115" s="226">
        <f t="shared" si="105"/>
        <v>1398375.4331573923</v>
      </c>
      <c r="AL115" s="227">
        <f t="shared" si="106"/>
        <v>255.05033035446266</v>
      </c>
      <c r="AM115" s="227">
        <f t="shared" si="107"/>
        <v>75.060701775365274</v>
      </c>
      <c r="AN115" s="227">
        <f t="shared" si="108"/>
        <v>166.62195134751644</v>
      </c>
      <c r="AO115" s="227">
        <f t="shared" si="109"/>
        <v>70.337278464734794</v>
      </c>
      <c r="AP115" s="228">
        <f t="shared" si="114"/>
        <v>-4.1035131402924363E-2</v>
      </c>
      <c r="AQ115" s="228">
        <f t="shared" si="115"/>
        <v>6.2692188818136874E-2</v>
      </c>
      <c r="AR115" s="228">
        <f t="shared" si="116"/>
        <v>-1.5473883596837212E-2</v>
      </c>
      <c r="AS115" s="228">
        <f t="shared" si="117"/>
        <v>0.16640708161604278</v>
      </c>
      <c r="AT115" s="227">
        <f>IF(ISERROR(VLOOKUP(A115,Mandatory!A:A,1,FALSE)),0,1)</f>
        <v>0</v>
      </c>
    </row>
    <row r="116" spans="1:46">
      <c r="A116" s="231">
        <v>501</v>
      </c>
      <c r="B116" s="222">
        <f>VLOOKUP(A116,OPATT_Activities!A:J,3,FALSE)</f>
        <v>45297</v>
      </c>
      <c r="C116" s="222">
        <f>VLOOKUP(A116,OPATT_Activities!A:J,4,FALSE)</f>
        <v>689213</v>
      </c>
      <c r="D116" s="222">
        <f>VLOOKUP(A116,OPATT_Activities!A:J,5,FALSE)</f>
        <v>83225</v>
      </c>
      <c r="E116" s="222">
        <f>VLOOKUP(A116,OPATT_Activities!A:J,6,FALSE)</f>
        <v>1762522</v>
      </c>
      <c r="F116" s="222">
        <f>VLOOKUP(A116,OPATT_Cost_Quantum!A:F,2,FALSE)</f>
        <v>6585996.34482738</v>
      </c>
      <c r="G116" s="222">
        <f>VLOOKUP(A116,OPATT_Cost_Quantum!A:F,3,FALSE)</f>
        <v>91751333.760581896</v>
      </c>
      <c r="H116" s="222">
        <f>VLOOKUP(A116,OPATT_Cost_Quantum!A:F,4,FALSE)</f>
        <v>10678592.718970099</v>
      </c>
      <c r="I116" s="222">
        <f>VLOOKUP(A116,OPATT_Cost_Quantum!A:F,5,FALSE)</f>
        <v>172673743.81172401</v>
      </c>
      <c r="J116" s="223">
        <f t="shared" si="93"/>
        <v>145.3958616426558</v>
      </c>
      <c r="K116" s="223">
        <f t="shared" si="93"/>
        <v>133.12478690997108</v>
      </c>
      <c r="L116" s="223">
        <f t="shared" si="93"/>
        <v>128.30991551781435</v>
      </c>
      <c r="M116" s="223">
        <f t="shared" si="93"/>
        <v>97.969695590593489</v>
      </c>
      <c r="N116" s="224">
        <f>IF(ISERROR(VLOOKUP($A116,'HRGs to TFCs % Split'!$A$8:$I$145,6,0)),0,VLOOKUP($A116,'HRGs to TFCs % Split'!$A$8:$I$145,6,0))</f>
        <v>1.3062266821900817E-3</v>
      </c>
      <c r="O116" s="224">
        <f>IF(ISERROR(VLOOKUP($A116,'HRGs to TFCs % Split'!$A$8:$I$145,6,0)),0,VLOOKUP($A116,'HRGs to TFCs % Split'!$A$8:$I$145,7,0))</f>
        <v>1.7248300353882345E-2</v>
      </c>
      <c r="P116" s="224">
        <f>IF(ISERROR(VLOOKUP($A116,'HRGs to TFCs % Split'!$A$8:$I$145,6,0)),0,VLOOKUP($A116,'HRGs to TFCs % Split'!$A$8:$I$145,8,0))</f>
        <v>2.1928840259609994E-3</v>
      </c>
      <c r="Q116" s="224">
        <f>IF(ISERROR(VLOOKUP($A116,'HRGs to TFCs % Split'!$A$8:$I$145,6,0)),0,VLOOKUP($A116,'HRGs to TFCs % Split'!$A$8:$I$145,9,0))</f>
        <v>3.8245599107937039E-2</v>
      </c>
      <c r="R116" s="225">
        <f t="shared" si="174"/>
        <v>1763</v>
      </c>
      <c r="S116" s="225">
        <f t="shared" si="175"/>
        <v>23276</v>
      </c>
      <c r="T116" s="225">
        <f t="shared" si="176"/>
        <v>2959</v>
      </c>
      <c r="U116" s="225">
        <f t="shared" si="177"/>
        <v>51610</v>
      </c>
      <c r="V116" s="224">
        <f>IF(ISERROR(VLOOKUP($A116,'HRGs to TFCs % Split'!$A$8:$I$145,6,0)),0,VLOOKUP($A116,'HRGs to TFCs % Split'!$A$8:$I$145,6,0))</f>
        <v>1.3062266821900817E-3</v>
      </c>
      <c r="W116" s="224">
        <f>IF(ISERROR(VLOOKUP($A116,'HRGs to TFCs % Split'!$A$8:$I$145,6,0)),0,VLOOKUP($A116,'HRGs to TFCs % Split'!$A$8:$I$145,7,0))</f>
        <v>1.7248300353882345E-2</v>
      </c>
      <c r="X116" s="224">
        <f>IF(ISERROR(VLOOKUP($A116,'HRGs to TFCs % Split'!$A$8:$I$145,6,0)),0,VLOOKUP($A116,'HRGs to TFCs % Split'!$A$8:$I$145,8,0))</f>
        <v>2.1928840259609994E-3</v>
      </c>
      <c r="Y116" s="224">
        <f>IF(ISERROR(VLOOKUP($A116,'HRGs to TFCs % Split'!$A$8:$I$145,6,0)),0,VLOOKUP($A116,'HRGs to TFCs % Split'!$A$8:$I$145,9,0))</f>
        <v>3.8245599107937039E-2</v>
      </c>
      <c r="Z116" s="225">
        <f t="shared" si="110"/>
        <v>205993.42283577737</v>
      </c>
      <c r="AA116" s="225">
        <f t="shared" si="111"/>
        <v>2720076.4434229629</v>
      </c>
      <c r="AB116" s="225">
        <f t="shared" si="112"/>
        <v>345820.28720484511</v>
      </c>
      <c r="AC116" s="225">
        <f t="shared" si="113"/>
        <v>6031374.1681035813</v>
      </c>
      <c r="AD116" s="226">
        <f t="shared" si="98"/>
        <v>47060</v>
      </c>
      <c r="AE116" s="226">
        <f t="shared" si="99"/>
        <v>712489</v>
      </c>
      <c r="AF116" s="226">
        <f t="shared" si="100"/>
        <v>86184</v>
      </c>
      <c r="AG116" s="226">
        <f t="shared" si="101"/>
        <v>1814132</v>
      </c>
      <c r="AH116" s="226">
        <f t="shared" si="102"/>
        <v>6791989.7676631575</v>
      </c>
      <c r="AI116" s="226">
        <f t="shared" si="103"/>
        <v>94471410.204004854</v>
      </c>
      <c r="AJ116" s="226">
        <f t="shared" si="104"/>
        <v>11024413.006174944</v>
      </c>
      <c r="AK116" s="226">
        <f t="shared" si="105"/>
        <v>178705117.97982758</v>
      </c>
      <c r="AL116" s="227">
        <f t="shared" si="106"/>
        <v>144.32617440848188</v>
      </c>
      <c r="AM116" s="227">
        <f t="shared" si="107"/>
        <v>132.59349997544504</v>
      </c>
      <c r="AN116" s="227">
        <f t="shared" si="108"/>
        <v>127.91716567083152</v>
      </c>
      <c r="AO116" s="227">
        <f t="shared" si="109"/>
        <v>98.507229892768322</v>
      </c>
      <c r="AP116" s="228">
        <f t="shared" si="114"/>
        <v>-7.3570679528893734E-3</v>
      </c>
      <c r="AQ116" s="228">
        <f t="shared" si="115"/>
        <v>-3.9908941592171621E-3</v>
      </c>
      <c r="AR116" s="228">
        <f t="shared" si="116"/>
        <v>-3.0609469688902546E-3</v>
      </c>
      <c r="AS116" s="228">
        <f t="shared" si="117"/>
        <v>5.4867405572140981E-3</v>
      </c>
      <c r="AT116" s="227">
        <f>IF(ISERROR(VLOOKUP(A116,Mandatory!A:A,1,FALSE)),0,1)</f>
        <v>0</v>
      </c>
    </row>
    <row r="117" spans="1:46">
      <c r="A117" s="231">
        <v>502</v>
      </c>
      <c r="B117" s="222">
        <f>VLOOKUP(A117,OPATT_Activities!A:J,3,FALSE)</f>
        <v>33553</v>
      </c>
      <c r="C117" s="222">
        <f>VLOOKUP(A117,OPATT_Activities!A:J,4,FALSE)</f>
        <v>789471</v>
      </c>
      <c r="D117" s="222">
        <f>VLOOKUP(A117,OPATT_Activities!A:J,5,FALSE)</f>
        <v>31224</v>
      </c>
      <c r="E117" s="222">
        <f>VLOOKUP(A117,OPATT_Activities!A:J,6,FALSE)</f>
        <v>983519</v>
      </c>
      <c r="F117" s="222">
        <f>VLOOKUP(A117,OPATT_Cost_Quantum!A:F,2,FALSE)</f>
        <v>5440531.18769807</v>
      </c>
      <c r="G117" s="222">
        <f>VLOOKUP(A117,OPATT_Cost_Quantum!A:F,3,FALSE)</f>
        <v>109244628.389081</v>
      </c>
      <c r="H117" s="222">
        <f>VLOOKUP(A117,OPATT_Cost_Quantum!A:F,4,FALSE)</f>
        <v>4709003.8111806596</v>
      </c>
      <c r="I117" s="222">
        <f>VLOOKUP(A117,OPATT_Cost_Quantum!A:F,5,FALSE)</f>
        <v>107284615.821917</v>
      </c>
      <c r="J117" s="223">
        <f t="shared" si="93"/>
        <v>162.14738436795727</v>
      </c>
      <c r="K117" s="223">
        <f t="shared" si="93"/>
        <v>138.37699977463518</v>
      </c>
      <c r="L117" s="223">
        <f t="shared" si="93"/>
        <v>150.81359887204263</v>
      </c>
      <c r="M117" s="223">
        <f t="shared" si="93"/>
        <v>109.0824029041808</v>
      </c>
      <c r="N117" s="224">
        <f>IF(ISERROR(VLOOKUP($A117,'HRGs to TFCs % Split'!$A$8:$I$145,6,0)),0,VLOOKUP($A117,'HRGs to TFCs % Split'!$A$8:$I$145,6,0))</f>
        <v>2.8578526402230002E-3</v>
      </c>
      <c r="O117" s="224">
        <f>IF(ISERROR(VLOOKUP($A117,'HRGs to TFCs % Split'!$A$8:$I$145,6,0)),0,VLOOKUP($A117,'HRGs to TFCs % Split'!$A$8:$I$145,7,0))</f>
        <v>4.92021157222974E-2</v>
      </c>
      <c r="P117" s="224">
        <f>IF(ISERROR(VLOOKUP($A117,'HRGs to TFCs % Split'!$A$8:$I$145,6,0)),0,VLOOKUP($A117,'HRGs to TFCs % Split'!$A$8:$I$145,8,0))</f>
        <v>2.1031157023922477E-3</v>
      </c>
      <c r="Q117" s="224">
        <f>IF(ISERROR(VLOOKUP($A117,'HRGs to TFCs % Split'!$A$8:$I$145,6,0)),0,VLOOKUP($A117,'HRGs to TFCs % Split'!$A$8:$I$145,9,0))</f>
        <v>3.72132633868964E-2</v>
      </c>
      <c r="R117" s="225">
        <f t="shared" si="174"/>
        <v>3857</v>
      </c>
      <c r="S117" s="225">
        <f t="shared" si="175"/>
        <v>66395</v>
      </c>
      <c r="T117" s="225">
        <f t="shared" si="176"/>
        <v>2838</v>
      </c>
      <c r="U117" s="225">
        <f t="shared" si="177"/>
        <v>50217</v>
      </c>
      <c r="V117" s="224">
        <f>IF(ISERROR(VLOOKUP($A117,'HRGs to TFCs % Split'!$A$8:$I$145,6,0)),0,VLOOKUP($A117,'HRGs to TFCs % Split'!$A$8:$I$145,6,0))</f>
        <v>2.8578526402230002E-3</v>
      </c>
      <c r="W117" s="224">
        <f>IF(ISERROR(VLOOKUP($A117,'HRGs to TFCs % Split'!$A$8:$I$145,6,0)),0,VLOOKUP($A117,'HRGs to TFCs % Split'!$A$8:$I$145,7,0))</f>
        <v>4.92021157222974E-2</v>
      </c>
      <c r="X117" s="224">
        <f>IF(ISERROR(VLOOKUP($A117,'HRGs to TFCs % Split'!$A$8:$I$145,6,0)),0,VLOOKUP($A117,'HRGs to TFCs % Split'!$A$8:$I$145,8,0))</f>
        <v>2.1031157023922477E-3</v>
      </c>
      <c r="Y117" s="224">
        <f>IF(ISERROR(VLOOKUP($A117,'HRGs to TFCs % Split'!$A$8:$I$145,6,0)),0,VLOOKUP($A117,'HRGs to TFCs % Split'!$A$8:$I$145,9,0))</f>
        <v>3.72132633868964E-2</v>
      </c>
      <c r="Z117" s="225">
        <f t="shared" si="110"/>
        <v>450686.58858871169</v>
      </c>
      <c r="AA117" s="225">
        <f t="shared" si="111"/>
        <v>7759229.2108171554</v>
      </c>
      <c r="AB117" s="225">
        <f t="shared" si="112"/>
        <v>331663.72120731644</v>
      </c>
      <c r="AC117" s="225">
        <f t="shared" si="113"/>
        <v>5868573.6591320029</v>
      </c>
      <c r="AD117" s="226">
        <f t="shared" si="98"/>
        <v>37410</v>
      </c>
      <c r="AE117" s="226">
        <f t="shared" si="99"/>
        <v>855866</v>
      </c>
      <c r="AF117" s="226">
        <f t="shared" si="100"/>
        <v>34062</v>
      </c>
      <c r="AG117" s="226">
        <f t="shared" si="101"/>
        <v>1033736</v>
      </c>
      <c r="AH117" s="226">
        <f t="shared" si="102"/>
        <v>5891217.7762867818</v>
      </c>
      <c r="AI117" s="226">
        <f t="shared" si="103"/>
        <v>117003857.59989816</v>
      </c>
      <c r="AJ117" s="226">
        <f t="shared" si="104"/>
        <v>5040667.5323879756</v>
      </c>
      <c r="AK117" s="226">
        <f t="shared" si="105"/>
        <v>113153189.481049</v>
      </c>
      <c r="AL117" s="227">
        <f t="shared" si="106"/>
        <v>157.47708570667686</v>
      </c>
      <c r="AM117" s="227">
        <f t="shared" si="107"/>
        <v>136.70815010749132</v>
      </c>
      <c r="AN117" s="227">
        <f t="shared" si="108"/>
        <v>147.98507229135035</v>
      </c>
      <c r="AO117" s="227">
        <f t="shared" si="109"/>
        <v>109.46043233576948</v>
      </c>
      <c r="AP117" s="228">
        <f t="shared" si="114"/>
        <v>-2.8802799869298013E-2</v>
      </c>
      <c r="AQ117" s="228">
        <f t="shared" si="115"/>
        <v>-1.2060166572926079E-2</v>
      </c>
      <c r="AR117" s="228">
        <f t="shared" si="116"/>
        <v>-1.8755116261711557E-2</v>
      </c>
      <c r="AS117" s="228">
        <f t="shared" si="117"/>
        <v>3.4655400094252276E-3</v>
      </c>
      <c r="AT117" s="227">
        <f>IF(ISERROR(VLOOKUP(A117,Mandatory!A:A,1,FALSE)),0,1)</f>
        <v>1</v>
      </c>
    </row>
    <row r="118" spans="1:46">
      <c r="A118" s="231">
        <v>503</v>
      </c>
      <c r="B118" s="222">
        <f>VLOOKUP(A118,OPATT_Activities!A:J,3,FALSE)</f>
        <v>1681</v>
      </c>
      <c r="C118" s="222">
        <f>VLOOKUP(A118,OPATT_Activities!A:J,4,FALSE)</f>
        <v>28549</v>
      </c>
      <c r="D118" s="222">
        <f>VLOOKUP(A118,OPATT_Activities!A:J,5,FALSE)</f>
        <v>6346</v>
      </c>
      <c r="E118" s="222">
        <f>VLOOKUP(A118,OPATT_Activities!A:J,6,FALSE)</f>
        <v>62779</v>
      </c>
      <c r="F118" s="222">
        <f>VLOOKUP(A118,OPATT_Cost_Quantum!A:F,2,FALSE)</f>
        <v>348114.95460105903</v>
      </c>
      <c r="G118" s="222">
        <f>VLOOKUP(A118,OPATT_Cost_Quantum!A:F,3,FALSE)</f>
        <v>4122114.46648663</v>
      </c>
      <c r="H118" s="222">
        <f>VLOOKUP(A118,OPATT_Cost_Quantum!A:F,4,FALSE)</f>
        <v>1242302.0994710601</v>
      </c>
      <c r="I118" s="222">
        <f>VLOOKUP(A118,OPATT_Cost_Quantum!A:F,5,FALSE)</f>
        <v>6975985.8508822899</v>
      </c>
      <c r="J118" s="223">
        <f t="shared" si="93"/>
        <v>207.08801582454433</v>
      </c>
      <c r="K118" s="223">
        <f t="shared" si="93"/>
        <v>144.38735039709377</v>
      </c>
      <c r="L118" s="223">
        <f t="shared" si="93"/>
        <v>195.76144019398993</v>
      </c>
      <c r="M118" s="223">
        <f t="shared" si="93"/>
        <v>111.11973511655633</v>
      </c>
      <c r="N118" s="224">
        <f>IF(ISERROR(VLOOKUP($A118,'HRGs to TFCs % Split'!$A$8:$I$145,6,0)),0,VLOOKUP($A118,'HRGs to TFCs % Split'!$A$8:$I$145,6,0))</f>
        <v>1.4606867432871834E-4</v>
      </c>
      <c r="O118" s="224">
        <f>IF(ISERROR(VLOOKUP($A118,'HRGs to TFCs % Split'!$A$8:$I$145,6,0)),0,VLOOKUP($A118,'HRGs to TFCs % Split'!$A$8:$I$145,7,0))</f>
        <v>2.8258482813854455E-3</v>
      </c>
      <c r="P118" s="224">
        <f>IF(ISERROR(VLOOKUP($A118,'HRGs to TFCs % Split'!$A$8:$I$145,6,0)),0,VLOOKUP($A118,'HRGs to TFCs % Split'!$A$8:$I$145,8,0))</f>
        <v>1.1094193901920691E-4</v>
      </c>
      <c r="Q118" s="224">
        <f>IF(ISERROR(VLOOKUP($A118,'HRGs to TFCs % Split'!$A$8:$I$145,6,0)),0,VLOOKUP($A118,'HRGs to TFCs % Split'!$A$8:$I$145,9,0))</f>
        <v>1.8245411765348725E-3</v>
      </c>
      <c r="R118" s="225">
        <f t="shared" si="174"/>
        <v>197</v>
      </c>
      <c r="S118" s="225">
        <f t="shared" si="175"/>
        <v>3813</v>
      </c>
      <c r="T118" s="225">
        <f t="shared" si="176"/>
        <v>150</v>
      </c>
      <c r="U118" s="225">
        <f t="shared" si="177"/>
        <v>2462</v>
      </c>
      <c r="V118" s="224">
        <f>IF(ISERROR(VLOOKUP($A118,'HRGs to TFCs % Split'!$A$8:$I$145,6,0)),0,VLOOKUP($A118,'HRGs to TFCs % Split'!$A$8:$I$145,6,0))</f>
        <v>1.4606867432871834E-4</v>
      </c>
      <c r="W118" s="224">
        <f>IF(ISERROR(VLOOKUP($A118,'HRGs to TFCs % Split'!$A$8:$I$145,6,0)),0,VLOOKUP($A118,'HRGs to TFCs % Split'!$A$8:$I$145,7,0))</f>
        <v>2.8258482813854455E-3</v>
      </c>
      <c r="X118" s="224">
        <f>IF(ISERROR(VLOOKUP($A118,'HRGs to TFCs % Split'!$A$8:$I$145,6,0)),0,VLOOKUP($A118,'HRGs to TFCs % Split'!$A$8:$I$145,8,0))</f>
        <v>1.1094193901920691E-4</v>
      </c>
      <c r="Y118" s="224">
        <f>IF(ISERROR(VLOOKUP($A118,'HRGs to TFCs % Split'!$A$8:$I$145,6,0)),0,VLOOKUP($A118,'HRGs to TFCs % Split'!$A$8:$I$145,9,0))</f>
        <v>1.8245411765348725E-3</v>
      </c>
      <c r="Z118" s="225">
        <f t="shared" si="110"/>
        <v>23035.194889456841</v>
      </c>
      <c r="AA118" s="225">
        <f t="shared" si="111"/>
        <v>445639.46505915804</v>
      </c>
      <c r="AB118" s="225">
        <f t="shared" si="112"/>
        <v>17495.669064336958</v>
      </c>
      <c r="AC118" s="225">
        <f t="shared" si="113"/>
        <v>287732.20389976853</v>
      </c>
      <c r="AD118" s="226">
        <f t="shared" si="98"/>
        <v>1878</v>
      </c>
      <c r="AE118" s="226">
        <f t="shared" si="99"/>
        <v>32362</v>
      </c>
      <c r="AF118" s="226">
        <f t="shared" si="100"/>
        <v>6496</v>
      </c>
      <c r="AG118" s="226">
        <f t="shared" si="101"/>
        <v>65241</v>
      </c>
      <c r="AH118" s="226">
        <f t="shared" si="102"/>
        <v>371150.14949051588</v>
      </c>
      <c r="AI118" s="226">
        <f t="shared" si="103"/>
        <v>4567753.9315457884</v>
      </c>
      <c r="AJ118" s="226">
        <f t="shared" si="104"/>
        <v>1259797.768535397</v>
      </c>
      <c r="AK118" s="226">
        <f t="shared" si="105"/>
        <v>7263718.0547820581</v>
      </c>
      <c r="AL118" s="227">
        <f t="shared" si="106"/>
        <v>197.63053753488597</v>
      </c>
      <c r="AM118" s="227">
        <f t="shared" si="107"/>
        <v>141.14560075229554</v>
      </c>
      <c r="AN118" s="227">
        <f t="shared" si="108"/>
        <v>193.93438555039978</v>
      </c>
      <c r="AO118" s="227">
        <f t="shared" si="109"/>
        <v>111.33670628564948</v>
      </c>
      <c r="AP118" s="228">
        <f t="shared" si="114"/>
        <v>-4.5668882634286367E-2</v>
      </c>
      <c r="AQ118" s="228">
        <f t="shared" si="115"/>
        <v>-2.2451756583127147E-2</v>
      </c>
      <c r="AR118" s="228">
        <f t="shared" si="116"/>
        <v>-9.3330670318916287E-3</v>
      </c>
      <c r="AS118" s="228">
        <f t="shared" si="117"/>
        <v>1.9525889695972687E-3</v>
      </c>
      <c r="AT118" s="227">
        <f>IF(ISERROR(VLOOKUP(A118,Mandatory!A:A,1,FALSE)),0,1)</f>
        <v>1</v>
      </c>
    </row>
    <row r="119" spans="1:46">
      <c r="A119" s="231">
        <v>560</v>
      </c>
      <c r="B119" s="222">
        <f>VLOOKUP(A119,OPATT_Activities!A:J,3,FALSE)</f>
        <v>7502</v>
      </c>
      <c r="C119" s="222">
        <f>VLOOKUP(A119,OPATT_Activities!A:J,4,FALSE)</f>
        <v>475374</v>
      </c>
      <c r="D119" s="222">
        <f>VLOOKUP(A119,OPATT_Activities!A:J,5,FALSE)</f>
        <v>28719</v>
      </c>
      <c r="E119" s="222">
        <f>VLOOKUP(A119,OPATT_Activities!A:J,6,FALSE)</f>
        <v>1764840</v>
      </c>
      <c r="F119" s="222">
        <f>VLOOKUP(A119,OPATT_Cost_Quantum!A:F,2,FALSE)</f>
        <v>783693.07319398597</v>
      </c>
      <c r="G119" s="222">
        <f>VLOOKUP(A119,OPATT_Cost_Quantum!A:F,3,FALSE)</f>
        <v>45914490.713372998</v>
      </c>
      <c r="H119" s="222">
        <f>VLOOKUP(A119,OPATT_Cost_Quantum!A:F,4,FALSE)</f>
        <v>1118677.2613609801</v>
      </c>
      <c r="I119" s="222">
        <f>VLOOKUP(A119,OPATT_Cost_Quantum!A:F,5,FALSE)</f>
        <v>101126405.16372301</v>
      </c>
      <c r="J119" s="223">
        <f t="shared" si="93"/>
        <v>104.46455254518608</v>
      </c>
      <c r="K119" s="223">
        <f t="shared" si="93"/>
        <v>96.586036916981158</v>
      </c>
      <c r="L119" s="223">
        <f t="shared" si="93"/>
        <v>38.952514410703024</v>
      </c>
      <c r="M119" s="223">
        <f t="shared" si="93"/>
        <v>57.300608079895632</v>
      </c>
      <c r="N119" s="224">
        <f>IF(ISERROR(VLOOKUP($A119,'HRGs to TFCs % Split'!$A$8:$I$145,6,0)),0,VLOOKUP($A119,'HRGs to TFCs % Split'!$A$8:$I$145,6,0))</f>
        <v>6.0008172820415347E-4</v>
      </c>
      <c r="O119" s="224">
        <f>IF(ISERROR(VLOOKUP($A119,'HRGs to TFCs % Split'!$A$8:$I$145,6,0)),0,VLOOKUP($A119,'HRGs to TFCs % Split'!$A$8:$I$145,7,0))</f>
        <v>6.0653138710403875E-3</v>
      </c>
      <c r="P119" s="224">
        <f>IF(ISERROR(VLOOKUP($A119,'HRGs to TFCs % Split'!$A$8:$I$145,6,0)),0,VLOOKUP($A119,'HRGs to TFCs % Split'!$A$8:$I$145,8,0))</f>
        <v>1.6092923484993663E-3</v>
      </c>
      <c r="Q119" s="224">
        <f>IF(ISERROR(VLOOKUP($A119,'HRGs to TFCs % Split'!$A$8:$I$145,6,0)),0,VLOOKUP($A119,'HRGs to TFCs % Split'!$A$8:$I$145,9,0))</f>
        <v>1.6924061072122604E-2</v>
      </c>
      <c r="R119" s="225">
        <f t="shared" si="174"/>
        <v>810</v>
      </c>
      <c r="S119" s="225">
        <f t="shared" si="175"/>
        <v>8185</v>
      </c>
      <c r="T119" s="225">
        <f t="shared" si="176"/>
        <v>2172</v>
      </c>
      <c r="U119" s="225">
        <f t="shared" si="177"/>
        <v>22838</v>
      </c>
      <c r="V119" s="224">
        <f>IF(ISERROR(VLOOKUP($A119,'HRGs to TFCs % Split'!$A$8:$I$145,6,0)),0,VLOOKUP($A119,'HRGs to TFCs % Split'!$A$8:$I$145,6,0))</f>
        <v>6.0008172820415347E-4</v>
      </c>
      <c r="W119" s="224">
        <f>IF(ISERROR(VLOOKUP($A119,'HRGs to TFCs % Split'!$A$8:$I$145,6,0)),0,VLOOKUP($A119,'HRGs to TFCs % Split'!$A$8:$I$145,7,0))</f>
        <v>6.0653138710403875E-3</v>
      </c>
      <c r="X119" s="224">
        <f>IF(ISERROR(VLOOKUP($A119,'HRGs to TFCs % Split'!$A$8:$I$145,6,0)),0,VLOOKUP($A119,'HRGs to TFCs % Split'!$A$8:$I$145,8,0))</f>
        <v>1.6092923484993663E-3</v>
      </c>
      <c r="Y119" s="224">
        <f>IF(ISERROR(VLOOKUP($A119,'HRGs to TFCs % Split'!$A$8:$I$145,6,0)),0,VLOOKUP($A119,'HRGs to TFCs % Split'!$A$8:$I$145,9,0))</f>
        <v>1.6924061072122604E-2</v>
      </c>
      <c r="Z119" s="225">
        <f t="shared" si="110"/>
        <v>94633.566179131318</v>
      </c>
      <c r="AA119" s="225">
        <f t="shared" si="111"/>
        <v>956506.84670910263</v>
      </c>
      <c r="AB119" s="225">
        <f t="shared" si="112"/>
        <v>253787.22064917278</v>
      </c>
      <c r="AC119" s="225">
        <f t="shared" si="113"/>
        <v>2668943.5425427589</v>
      </c>
      <c r="AD119" s="226">
        <f t="shared" si="98"/>
        <v>8312</v>
      </c>
      <c r="AE119" s="226">
        <f t="shared" si="99"/>
        <v>483559</v>
      </c>
      <c r="AF119" s="226">
        <f t="shared" si="100"/>
        <v>30891</v>
      </c>
      <c r="AG119" s="226">
        <f t="shared" si="101"/>
        <v>1787678</v>
      </c>
      <c r="AH119" s="226">
        <f t="shared" si="102"/>
        <v>878326.63937311724</v>
      </c>
      <c r="AI119" s="226">
        <f t="shared" si="103"/>
        <v>46870997.5600821</v>
      </c>
      <c r="AJ119" s="226">
        <f t="shared" si="104"/>
        <v>1372464.4820101529</v>
      </c>
      <c r="AK119" s="226">
        <f t="shared" si="105"/>
        <v>103795348.70626576</v>
      </c>
      <c r="AL119" s="227">
        <f t="shared" si="106"/>
        <v>105.66971118540872</v>
      </c>
      <c r="AM119" s="227">
        <f t="shared" si="107"/>
        <v>96.929221791099124</v>
      </c>
      <c r="AN119" s="227">
        <f t="shared" si="108"/>
        <v>44.429266841803532</v>
      </c>
      <c r="AO119" s="227">
        <f t="shared" si="109"/>
        <v>58.061546154433721</v>
      </c>
      <c r="AP119" s="228">
        <f t="shared" si="114"/>
        <v>1.1536531874784428E-2</v>
      </c>
      <c r="AQ119" s="228">
        <f t="shared" si="115"/>
        <v>3.5531520401126393E-3</v>
      </c>
      <c r="AR119" s="228">
        <f t="shared" si="116"/>
        <v>0.14060074205622142</v>
      </c>
      <c r="AS119" s="228">
        <f t="shared" si="117"/>
        <v>1.3279755661180781E-2</v>
      </c>
      <c r="AT119" s="227">
        <f>IF(ISERROR(VLOOKUP(A119,Mandatory!A:A,1,FALSE)),0,1)</f>
        <v>0</v>
      </c>
    </row>
    <row r="120" spans="1:46">
      <c r="A120" s="231">
        <v>650</v>
      </c>
      <c r="B120" s="222">
        <f>VLOOKUP(A120,OPATT_Activities!A:J,3,FALSE)</f>
        <v>15</v>
      </c>
      <c r="C120" s="222">
        <f>VLOOKUP(A120,OPATT_Activities!A:J,4,FALSE)</f>
        <v>186521</v>
      </c>
      <c r="D120" s="222">
        <f>VLOOKUP(A120,OPATT_Activities!A:J,5,FALSE)</f>
        <v>11</v>
      </c>
      <c r="E120" s="222">
        <f>VLOOKUP(A120,OPATT_Activities!A:J,6,FALSE)</f>
        <v>383246</v>
      </c>
      <c r="F120" s="222">
        <f>VLOOKUP(A120,OPATT_Cost_Quantum!A:F,2,FALSE)</f>
        <v>2326.82721668064</v>
      </c>
      <c r="G120" s="222">
        <f>VLOOKUP(A120,OPATT_Cost_Quantum!A:F,3,FALSE)</f>
        <v>9408008.3605140895</v>
      </c>
      <c r="H120" s="222">
        <f>VLOOKUP(A120,OPATT_Cost_Quantum!A:F,4,FALSE)</f>
        <v>484.495383730311</v>
      </c>
      <c r="I120" s="222">
        <f>VLOOKUP(A120,OPATT_Cost_Quantum!A:F,5,FALSE)</f>
        <v>20496625.454855502</v>
      </c>
      <c r="J120" s="223">
        <f t="shared" ref="J120:J144" si="182">IF(B120=0,0,F120/B120)</f>
        <v>155.121814445376</v>
      </c>
      <c r="K120" s="223">
        <f t="shared" ref="K120:K144" si="183">IF(C120=0,0,G120/C120)</f>
        <v>50.439405538862054</v>
      </c>
      <c r="L120" s="223">
        <f t="shared" ref="L120:L144" si="184">IF(D120=0,0,H120/D120)</f>
        <v>44.045034884573731</v>
      </c>
      <c r="M120" s="223">
        <f t="shared" ref="M120:M144" si="185">IF(E120=0,0,I120/E120)</f>
        <v>53.48164222159005</v>
      </c>
      <c r="N120" s="224">
        <f>IF(ISERROR(VLOOKUP($A120,'HRGs to TFCs % Split'!$A$8:$I$145,6,0)),0,VLOOKUP($A120,'HRGs to TFCs % Split'!$A$8:$I$145,6,0))</f>
        <v>7.5132183856454988E-6</v>
      </c>
      <c r="O120" s="224">
        <f>IF(ISERROR(VLOOKUP($A120,'HRGs to TFCs % Split'!$A$8:$I$145,6,0)),0,VLOOKUP($A120,'HRGs to TFCs % Split'!$A$8:$I$145,7,0))</f>
        <v>1.0009168077915783E-3</v>
      </c>
      <c r="P120" s="224">
        <f>IF(ISERROR(VLOOKUP($A120,'HRGs to TFCs % Split'!$A$8:$I$145,6,0)),0,VLOOKUP($A120,'HRGs to TFCs % Split'!$A$8:$I$145,8,0))</f>
        <v>2.2929952215931068E-5</v>
      </c>
      <c r="Q120" s="224">
        <f>IF(ISERROR(VLOOKUP($A120,'HRGs to TFCs % Split'!$A$8:$I$145,6,0)),0,VLOOKUP($A120,'HRGs to TFCs % Split'!$A$8:$I$145,9,0))</f>
        <v>3.1742859808028489E-3</v>
      </c>
      <c r="R120" s="225">
        <f t="shared" ref="R120:R144" si="186">ROUND(N120*$R$3,0)</f>
        <v>10</v>
      </c>
      <c r="S120" s="225">
        <f t="shared" ref="S120:S144" si="187">ROUND(O120*$R$3,0)</f>
        <v>1351</v>
      </c>
      <c r="T120" s="225">
        <f t="shared" ref="T120:T144" si="188">ROUND(P120*$R$3,0)</f>
        <v>31</v>
      </c>
      <c r="U120" s="225">
        <f t="shared" ref="U120:U144" si="189">ROUND(Q120*$R$3,0)</f>
        <v>4284</v>
      </c>
      <c r="V120" s="224">
        <f>IF(ISERROR(VLOOKUP($A120,'HRGs to TFCs % Split'!$A$8:$I$145,6,0)),0,VLOOKUP($A120,'HRGs to TFCs % Split'!$A$8:$I$145,6,0))</f>
        <v>7.5132183856454988E-6</v>
      </c>
      <c r="W120" s="224">
        <f>IF(ISERROR(VLOOKUP($A120,'HRGs to TFCs % Split'!$A$8:$I$145,6,0)),0,VLOOKUP($A120,'HRGs to TFCs % Split'!$A$8:$I$145,7,0))</f>
        <v>1.0009168077915783E-3</v>
      </c>
      <c r="X120" s="224">
        <f>IF(ISERROR(VLOOKUP($A120,'HRGs to TFCs % Split'!$A$8:$I$145,6,0)),0,VLOOKUP($A120,'HRGs to TFCs % Split'!$A$8:$I$145,8,0))</f>
        <v>2.2929952215931068E-5</v>
      </c>
      <c r="Y120" s="224">
        <f>IF(ISERROR(VLOOKUP($A120,'HRGs to TFCs % Split'!$A$8:$I$145,6,0)),0,VLOOKUP($A120,'HRGs to TFCs % Split'!$A$8:$I$145,9,0))</f>
        <v>3.1742859808028489E-3</v>
      </c>
      <c r="Z120" s="225">
        <f t="shared" ref="Z120:Z144" si="190">V120*$Z$3</f>
        <v>1184.8430237061968</v>
      </c>
      <c r="AA120" s="225">
        <f t="shared" ref="AA120:AA144" si="191">W120*$Z$3</f>
        <v>157845.71087244374</v>
      </c>
      <c r="AB120" s="225">
        <f t="shared" ref="AB120:AB144" si="192">X120*$Z$3</f>
        <v>3616.0793580643672</v>
      </c>
      <c r="AC120" s="225">
        <f t="shared" ref="AC120:AC144" si="193">Y120*$Z$3</f>
        <v>500588.48372999998</v>
      </c>
      <c r="AD120" s="226">
        <f t="shared" ref="AD120:AD144" si="194">B120+R120</f>
        <v>25</v>
      </c>
      <c r="AE120" s="226">
        <f t="shared" ref="AE120:AE144" si="195">C120+S120</f>
        <v>187872</v>
      </c>
      <c r="AF120" s="226">
        <f t="shared" ref="AF120:AF144" si="196">D120+T120</f>
        <v>42</v>
      </c>
      <c r="AG120" s="226">
        <f t="shared" ref="AG120:AG144" si="197">E120+U120</f>
        <v>387530</v>
      </c>
      <c r="AH120" s="226">
        <f t="shared" ref="AH120:AH144" si="198">F120+Z120</f>
        <v>3511.6702403868367</v>
      </c>
      <c r="AI120" s="226">
        <f t="shared" ref="AI120:AI144" si="199">G120+AA120</f>
        <v>9565854.0713865329</v>
      </c>
      <c r="AJ120" s="226">
        <f t="shared" ref="AJ120:AJ144" si="200">H120+AB120</f>
        <v>4100.5747417946786</v>
      </c>
      <c r="AK120" s="226">
        <f t="shared" ref="AK120:AK144" si="201">I120+AC120</f>
        <v>20997213.938585501</v>
      </c>
      <c r="AL120" s="227">
        <f t="shared" ref="AL120:AL144" si="202">IF(AD120=0,0,AH120/AD120)</f>
        <v>140.46680961547347</v>
      </c>
      <c r="AM120" s="227">
        <f t="shared" ref="AM120:AM144" si="203">IF(AE120=0,0,AI120/AE120)</f>
        <v>50.916869312013141</v>
      </c>
      <c r="AN120" s="227">
        <f t="shared" ref="AN120:AN144" si="204">IF(AF120=0,0,AJ120/AF120)</f>
        <v>97.632731947492346</v>
      </c>
      <c r="AO120" s="227">
        <f t="shared" ref="AO120:AO144" si="205">IF(AG120=0,0,AK120/AG120)</f>
        <v>54.182163803022995</v>
      </c>
      <c r="AP120" s="228">
        <f t="shared" ref="AP120:AP144" si="206">IF(J120=0,0,AL120/J120-1)</f>
        <v>-9.4474171039709565E-2</v>
      </c>
      <c r="AQ120" s="228">
        <f t="shared" ref="AQ120:AQ144" si="207">IF(K120=0,0,AM120/K120-1)</f>
        <v>9.4660864467011052E-3</v>
      </c>
      <c r="AR120" s="228">
        <f t="shared" ref="AR120:AR144" si="208">IF(L120=0,0,AN120/L120-1)</f>
        <v>1.216656933144741</v>
      </c>
      <c r="AS120" s="228">
        <f t="shared" ref="AS120:AS144" si="209">IF(M120=0,0,AO120/M120-1)</f>
        <v>1.309835585321939E-2</v>
      </c>
      <c r="AT120" s="227">
        <f>IF(ISERROR(VLOOKUP(A120,Mandatory!A:A,1,FALSE)),0,1)</f>
        <v>0</v>
      </c>
    </row>
    <row r="121" spans="1:46">
      <c r="A121" s="231">
        <v>651</v>
      </c>
      <c r="B121" s="222">
        <f>VLOOKUP(A121,OPATT_Activities!A:J,3,FALSE)</f>
        <v>3</v>
      </c>
      <c r="C121" s="222">
        <f>VLOOKUP(A121,OPATT_Activities!A:J,4,FALSE)</f>
        <v>17652</v>
      </c>
      <c r="D121" s="222">
        <f>VLOOKUP(A121,OPATT_Activities!A:J,5,FALSE)</f>
        <v>19</v>
      </c>
      <c r="E121" s="222">
        <f>VLOOKUP(A121,OPATT_Activities!A:J,6,FALSE)</f>
        <v>38613</v>
      </c>
      <c r="F121" s="222">
        <f>VLOOKUP(A121,OPATT_Cost_Quantum!A:F,2,FALSE)</f>
        <v>210.34735743927899</v>
      </c>
      <c r="G121" s="222">
        <f>VLOOKUP(A121,OPATT_Cost_Quantum!A:F,3,FALSE)</f>
        <v>1059372.3914752901</v>
      </c>
      <c r="H121" s="222">
        <f>VLOOKUP(A121,OPATT_Cost_Quantum!A:F,4,FALSE)</f>
        <v>873.63333392363199</v>
      </c>
      <c r="I121" s="222">
        <f>VLOOKUP(A121,OPATT_Cost_Quantum!A:F,5,FALSE)</f>
        <v>2305167.34422629</v>
      </c>
      <c r="J121" s="223">
        <f t="shared" si="182"/>
        <v>70.115785813092998</v>
      </c>
      <c r="K121" s="223">
        <f t="shared" si="183"/>
        <v>60.014298180109343</v>
      </c>
      <c r="L121" s="223">
        <f t="shared" si="184"/>
        <v>45.980701785454315</v>
      </c>
      <c r="M121" s="223">
        <f t="shared" si="185"/>
        <v>59.699255282580737</v>
      </c>
      <c r="N121" s="224">
        <f>IF(ISERROR(VLOOKUP($A121,'HRGs to TFCs % Split'!$A$8:$I$145,6,0)),0,VLOOKUP($A121,'HRGs to TFCs % Split'!$A$8:$I$145,6,0))</f>
        <v>1.0733169122350712E-6</v>
      </c>
      <c r="O121" s="224">
        <f>IF(ISERROR(VLOOKUP($A121,'HRGs to TFCs % Split'!$A$8:$I$145,6,0)),0,VLOOKUP($A121,'HRGs to TFCs % Split'!$A$8:$I$145,7,0))</f>
        <v>6.0008172820415346E-5</v>
      </c>
      <c r="P121" s="224">
        <f>IF(ISERROR(VLOOKUP($A121,'HRGs to TFCs % Split'!$A$8:$I$145,6,0)),0,VLOOKUP($A121,'HRGs to TFCs % Split'!$A$8:$I$145,8,0))</f>
        <v>1.9514852949728568E-6</v>
      </c>
      <c r="Q121" s="224">
        <f>IF(ISERROR(VLOOKUP($A121,'HRGs to TFCs % Split'!$A$8:$I$145,6,0)),0,VLOOKUP($A121,'HRGs to TFCs % Split'!$A$8:$I$145,9,0))</f>
        <v>1.1933332578759019E-4</v>
      </c>
      <c r="R121" s="225">
        <f t="shared" si="186"/>
        <v>1</v>
      </c>
      <c r="S121" s="225">
        <f t="shared" si="187"/>
        <v>81</v>
      </c>
      <c r="T121" s="225">
        <f t="shared" si="188"/>
        <v>3</v>
      </c>
      <c r="U121" s="225">
        <f t="shared" si="189"/>
        <v>161</v>
      </c>
      <c r="V121" s="224">
        <f>IF(ISERROR(VLOOKUP($A121,'HRGs to TFCs % Split'!$A$8:$I$145,6,0)),0,VLOOKUP($A121,'HRGs to TFCs % Split'!$A$8:$I$145,6,0))</f>
        <v>1.0733169122350712E-6</v>
      </c>
      <c r="W121" s="224">
        <f>IF(ISERROR(VLOOKUP($A121,'HRGs to TFCs % Split'!$A$8:$I$145,6,0)),0,VLOOKUP($A121,'HRGs to TFCs % Split'!$A$8:$I$145,7,0))</f>
        <v>6.0008172820415346E-5</v>
      </c>
      <c r="X121" s="224">
        <f>IF(ISERROR(VLOOKUP($A121,'HRGs to TFCs % Split'!$A$8:$I$145,6,0)),0,VLOOKUP($A121,'HRGs to TFCs % Split'!$A$8:$I$145,8,0))</f>
        <v>1.9514852949728568E-6</v>
      </c>
      <c r="Y121" s="224">
        <f>IF(ISERROR(VLOOKUP($A121,'HRGs to TFCs % Split'!$A$8:$I$145,6,0)),0,VLOOKUP($A121,'HRGs to TFCs % Split'!$A$8:$I$145,9,0))</f>
        <v>1.1933332578759019E-4</v>
      </c>
      <c r="Z121" s="225">
        <f t="shared" si="190"/>
        <v>169.26328910088526</v>
      </c>
      <c r="AA121" s="225">
        <f t="shared" si="191"/>
        <v>9463.3566179131303</v>
      </c>
      <c r="AB121" s="225">
        <f t="shared" si="192"/>
        <v>307.75143472888232</v>
      </c>
      <c r="AC121" s="225">
        <f t="shared" si="193"/>
        <v>18819.000233671151</v>
      </c>
      <c r="AD121" s="226">
        <f t="shared" si="194"/>
        <v>4</v>
      </c>
      <c r="AE121" s="226">
        <f t="shared" si="195"/>
        <v>17733</v>
      </c>
      <c r="AF121" s="226">
        <f t="shared" si="196"/>
        <v>22</v>
      </c>
      <c r="AG121" s="226">
        <f t="shared" si="197"/>
        <v>38774</v>
      </c>
      <c r="AH121" s="226">
        <f t="shared" si="198"/>
        <v>379.61064654016423</v>
      </c>
      <c r="AI121" s="226">
        <f t="shared" si="199"/>
        <v>1068835.7480932032</v>
      </c>
      <c r="AJ121" s="226">
        <f t="shared" si="200"/>
        <v>1181.3847686525144</v>
      </c>
      <c r="AK121" s="226">
        <f t="shared" si="201"/>
        <v>2323986.3444599612</v>
      </c>
      <c r="AL121" s="227">
        <f t="shared" si="202"/>
        <v>94.902661635041056</v>
      </c>
      <c r="AM121" s="227">
        <f t="shared" si="203"/>
        <v>60.273825528292065</v>
      </c>
      <c r="AN121" s="227">
        <f t="shared" si="204"/>
        <v>53.69930766602338</v>
      </c>
      <c r="AO121" s="227">
        <f t="shared" si="205"/>
        <v>59.936719050393592</v>
      </c>
      <c r="AP121" s="228">
        <f t="shared" si="206"/>
        <v>0.35351348536579486</v>
      </c>
      <c r="AQ121" s="228">
        <f t="shared" si="207"/>
        <v>4.3244252795200389E-3</v>
      </c>
      <c r="AR121" s="228">
        <f t="shared" si="208"/>
        <v>0.16786620431728161</v>
      </c>
      <c r="AS121" s="228">
        <f t="shared" si="209"/>
        <v>3.9776671700315624E-3</v>
      </c>
      <c r="AT121" s="227">
        <f>IF(ISERROR(VLOOKUP(A121,Mandatory!A:A,1,FALSE)),0,1)</f>
        <v>0</v>
      </c>
    </row>
    <row r="122" spans="1:46">
      <c r="A122" s="231">
        <v>652</v>
      </c>
      <c r="B122" s="222">
        <f>VLOOKUP(A122,OPATT_Activities!A:J,3,FALSE)</f>
        <v>0</v>
      </c>
      <c r="C122" s="222">
        <f>VLOOKUP(A122,OPATT_Activities!A:J,4,FALSE)</f>
        <v>8671</v>
      </c>
      <c r="D122" s="222">
        <f>VLOOKUP(A122,OPATT_Activities!A:J,5,FALSE)</f>
        <v>0</v>
      </c>
      <c r="E122" s="222">
        <f>VLOOKUP(A122,OPATT_Activities!A:J,6,FALSE)</f>
        <v>5130</v>
      </c>
      <c r="F122" s="222">
        <f>VLOOKUP(A122,OPATT_Cost_Quantum!A:F,2,FALSE)</f>
        <v>0</v>
      </c>
      <c r="G122" s="222">
        <f>VLOOKUP(A122,OPATT_Cost_Quantum!A:F,3,FALSE)</f>
        <v>493743.46796575002</v>
      </c>
      <c r="H122" s="222">
        <f>VLOOKUP(A122,OPATT_Cost_Quantum!A:F,4,FALSE)</f>
        <v>0</v>
      </c>
      <c r="I122" s="222">
        <f>VLOOKUP(A122,OPATT_Cost_Quantum!A:F,5,FALSE)</f>
        <v>979075.66397005797</v>
      </c>
      <c r="J122" s="223">
        <f t="shared" si="182"/>
        <v>0</v>
      </c>
      <c r="K122" s="223">
        <f t="shared" si="183"/>
        <v>56.941929185301582</v>
      </c>
      <c r="L122" s="223">
        <f t="shared" si="184"/>
        <v>0</v>
      </c>
      <c r="M122" s="223">
        <f t="shared" si="185"/>
        <v>190.85295593958244</v>
      </c>
      <c r="N122" s="224">
        <f>IF(ISERROR(VLOOKUP($A122,'HRGs to TFCs % Split'!$A$8:$I$145,6,0)),0,VLOOKUP($A122,'HRGs to TFCs % Split'!$A$8:$I$145,6,0))</f>
        <v>1.1708911769837141E-6</v>
      </c>
      <c r="O122" s="224">
        <f>IF(ISERROR(VLOOKUP($A122,'HRGs to TFCs % Split'!$A$8:$I$145,6,0)),0,VLOOKUP($A122,'HRGs to TFCs % Split'!$A$8:$I$145,7,0))</f>
        <v>1.9905150008723139E-5</v>
      </c>
      <c r="P122" s="224">
        <f>IF(ISERROR(VLOOKUP($A122,'HRGs to TFCs % Split'!$A$8:$I$145,6,0)),0,VLOOKUP($A122,'HRGs to TFCs % Split'!$A$8:$I$145,8,0))</f>
        <v>5.7568816201699272E-6</v>
      </c>
      <c r="Q122" s="224">
        <f>IF(ISERROR(VLOOKUP($A122,'HRGs to TFCs % Split'!$A$8:$I$145,6,0)),0,VLOOKUP($A122,'HRGs to TFCs % Split'!$A$8:$I$145,9,0))</f>
        <v>7.474188679746041E-5</v>
      </c>
      <c r="R122" s="225">
        <f t="shared" si="186"/>
        <v>2</v>
      </c>
      <c r="S122" s="225">
        <f t="shared" si="187"/>
        <v>27</v>
      </c>
      <c r="T122" s="225">
        <f t="shared" si="188"/>
        <v>8</v>
      </c>
      <c r="U122" s="225">
        <f t="shared" si="189"/>
        <v>101</v>
      </c>
      <c r="V122" s="224">
        <f>IF(ISERROR(VLOOKUP($A122,'HRGs to TFCs % Split'!$A$8:$I$145,6,0)),0,VLOOKUP($A122,'HRGs to TFCs % Split'!$A$8:$I$145,6,0))</f>
        <v>1.1708911769837141E-6</v>
      </c>
      <c r="W122" s="224">
        <f>IF(ISERROR(VLOOKUP($A122,'HRGs to TFCs % Split'!$A$8:$I$145,6,0)),0,VLOOKUP($A122,'HRGs to TFCs % Split'!$A$8:$I$145,7,0))</f>
        <v>1.9905150008723139E-5</v>
      </c>
      <c r="X122" s="224">
        <f>IF(ISERROR(VLOOKUP($A122,'HRGs to TFCs % Split'!$A$8:$I$145,6,0)),0,VLOOKUP($A122,'HRGs to TFCs % Split'!$A$8:$I$145,8,0))</f>
        <v>5.7568816201699272E-6</v>
      </c>
      <c r="Y122" s="224">
        <f>IF(ISERROR(VLOOKUP($A122,'HRGs to TFCs % Split'!$A$8:$I$145,6,0)),0,VLOOKUP($A122,'HRGs to TFCs % Split'!$A$8:$I$145,9,0))</f>
        <v>7.474188679746041E-5</v>
      </c>
      <c r="Z122" s="225">
        <f t="shared" si="190"/>
        <v>184.65086083732939</v>
      </c>
      <c r="AA122" s="225">
        <f t="shared" si="191"/>
        <v>3139.0646342345995</v>
      </c>
      <c r="AB122" s="225">
        <f t="shared" si="192"/>
        <v>907.86673245020279</v>
      </c>
      <c r="AC122" s="225">
        <f t="shared" si="193"/>
        <v>11786.879950116192</v>
      </c>
      <c r="AD122" s="226">
        <f t="shared" si="194"/>
        <v>2</v>
      </c>
      <c r="AE122" s="226">
        <f t="shared" si="195"/>
        <v>8698</v>
      </c>
      <c r="AF122" s="226">
        <f t="shared" si="196"/>
        <v>8</v>
      </c>
      <c r="AG122" s="226">
        <f t="shared" si="197"/>
        <v>5231</v>
      </c>
      <c r="AH122" s="226">
        <f t="shared" si="198"/>
        <v>184.65086083732939</v>
      </c>
      <c r="AI122" s="226">
        <f t="shared" si="199"/>
        <v>496882.53259998461</v>
      </c>
      <c r="AJ122" s="226">
        <f t="shared" si="200"/>
        <v>907.86673245020279</v>
      </c>
      <c r="AK122" s="226">
        <f t="shared" si="201"/>
        <v>990862.54392017412</v>
      </c>
      <c r="AL122" s="227">
        <f t="shared" si="202"/>
        <v>92.325430418664695</v>
      </c>
      <c r="AM122" s="227">
        <f t="shared" si="203"/>
        <v>57.126067210851303</v>
      </c>
      <c r="AN122" s="227">
        <f t="shared" si="204"/>
        <v>113.48334155627535</v>
      </c>
      <c r="AO122" s="227">
        <f t="shared" si="205"/>
        <v>189.42124716501129</v>
      </c>
      <c r="AP122" s="228">
        <f t="shared" si="206"/>
        <v>0</v>
      </c>
      <c r="AQ122" s="228">
        <f t="shared" si="207"/>
        <v>3.2337862131521788E-3</v>
      </c>
      <c r="AR122" s="228">
        <f t="shared" si="208"/>
        <v>0</v>
      </c>
      <c r="AS122" s="228">
        <f t="shared" si="209"/>
        <v>-7.50163269687254E-3</v>
      </c>
      <c r="AT122" s="227">
        <f>IF(ISERROR(VLOOKUP(A122,Mandatory!A:A,1,FALSE)),0,1)</f>
        <v>0</v>
      </c>
    </row>
    <row r="123" spans="1:46">
      <c r="A123" s="231">
        <v>653</v>
      </c>
      <c r="B123" s="222">
        <f>VLOOKUP(A123,OPATT_Activities!A:J,3,FALSE)</f>
        <v>63</v>
      </c>
      <c r="C123" s="222">
        <f>VLOOKUP(A123,OPATT_Activities!A:J,4,FALSE)</f>
        <v>89617</v>
      </c>
      <c r="D123" s="222">
        <f>VLOOKUP(A123,OPATT_Activities!A:J,5,FALSE)</f>
        <v>2160</v>
      </c>
      <c r="E123" s="222">
        <f>VLOOKUP(A123,OPATT_Activities!A:J,6,FALSE)</f>
        <v>186941</v>
      </c>
      <c r="F123" s="222">
        <f>VLOOKUP(A123,OPATT_Cost_Quantum!A:F,2,FALSE)</f>
        <v>6626.7267141583798</v>
      </c>
      <c r="G123" s="222">
        <f>VLOOKUP(A123,OPATT_Cost_Quantum!A:F,3,FALSE)</f>
        <v>4211442.7394299498</v>
      </c>
      <c r="H123" s="222">
        <f>VLOOKUP(A123,OPATT_Cost_Quantum!A:F,4,FALSE)</f>
        <v>163209.37791604199</v>
      </c>
      <c r="I123" s="222">
        <f>VLOOKUP(A123,OPATT_Cost_Quantum!A:F,5,FALSE)</f>
        <v>8163649.3438863596</v>
      </c>
      <c r="J123" s="223">
        <f t="shared" si="182"/>
        <v>105.18613831997428</v>
      </c>
      <c r="K123" s="223">
        <f t="shared" si="183"/>
        <v>46.993792912393296</v>
      </c>
      <c r="L123" s="223">
        <f t="shared" si="184"/>
        <v>75.559897183352774</v>
      </c>
      <c r="M123" s="223">
        <f t="shared" si="185"/>
        <v>43.669656971377918</v>
      </c>
      <c r="N123" s="224">
        <f>IF(ISERROR(VLOOKUP($A123,'HRGs to TFCs % Split'!$A$8:$I$145,6,0)),0,VLOOKUP($A123,'HRGs to TFCs % Split'!$A$8:$I$145,6,0))</f>
        <v>9.1719808863724268E-6</v>
      </c>
      <c r="O123" s="224">
        <f>IF(ISERROR(VLOOKUP($A123,'HRGs to TFCs % Split'!$A$8:$I$145,6,0)),0,VLOOKUP($A123,'HRGs to TFCs % Split'!$A$8:$I$145,7,0))</f>
        <v>9.3378571364451194E-5</v>
      </c>
      <c r="P123" s="224">
        <f>IF(ISERROR(VLOOKUP($A123,'HRGs to TFCs % Split'!$A$8:$I$145,6,0)),0,VLOOKUP($A123,'HRGs to TFCs % Split'!$A$8:$I$145,8,0))</f>
        <v>6.4916158337272078E-4</v>
      </c>
      <c r="Q123" s="224">
        <f>IF(ISERROR(VLOOKUP($A123,'HRGs to TFCs % Split'!$A$8:$I$145,6,0)),0,VLOOKUP($A123,'HRGs to TFCs % Split'!$A$8:$I$145,9,0))</f>
        <v>1.0946856762150241E-3</v>
      </c>
      <c r="R123" s="225">
        <f t="shared" si="186"/>
        <v>12</v>
      </c>
      <c r="S123" s="225">
        <f t="shared" si="187"/>
        <v>126</v>
      </c>
      <c r="T123" s="225">
        <f t="shared" si="188"/>
        <v>876</v>
      </c>
      <c r="U123" s="225">
        <f t="shared" si="189"/>
        <v>1477</v>
      </c>
      <c r="V123" s="224">
        <f>IF(ISERROR(VLOOKUP($A123,'HRGs to TFCs % Split'!$A$8:$I$145,6,0)),0,VLOOKUP($A123,'HRGs to TFCs % Split'!$A$8:$I$145,6,0))</f>
        <v>9.1719808863724268E-6</v>
      </c>
      <c r="W123" s="224">
        <f>IF(ISERROR(VLOOKUP($A123,'HRGs to TFCs % Split'!$A$8:$I$145,6,0)),0,VLOOKUP($A123,'HRGs to TFCs % Split'!$A$8:$I$145,7,0))</f>
        <v>9.3378571364451194E-5</v>
      </c>
      <c r="X123" s="224">
        <f>IF(ISERROR(VLOOKUP($A123,'HRGs to TFCs % Split'!$A$8:$I$145,6,0)),0,VLOOKUP($A123,'HRGs to TFCs % Split'!$A$8:$I$145,8,0))</f>
        <v>6.4916158337272078E-4</v>
      </c>
      <c r="Y123" s="224">
        <f>IF(ISERROR(VLOOKUP($A123,'HRGs to TFCs % Split'!$A$8:$I$145,6,0)),0,VLOOKUP($A123,'HRGs to TFCs % Split'!$A$8:$I$145,9,0))</f>
        <v>1.0946856762150241E-3</v>
      </c>
      <c r="Z123" s="225">
        <f t="shared" si="190"/>
        <v>1446.4317432257469</v>
      </c>
      <c r="AA123" s="225">
        <f t="shared" si="191"/>
        <v>14725.906151777019</v>
      </c>
      <c r="AB123" s="225">
        <f t="shared" si="192"/>
        <v>102373.5147625627</v>
      </c>
      <c r="AC123" s="225">
        <f t="shared" si="193"/>
        <v>172633.16731116653</v>
      </c>
      <c r="AD123" s="226">
        <f t="shared" si="194"/>
        <v>75</v>
      </c>
      <c r="AE123" s="226">
        <f t="shared" si="195"/>
        <v>89743</v>
      </c>
      <c r="AF123" s="226">
        <f t="shared" si="196"/>
        <v>3036</v>
      </c>
      <c r="AG123" s="226">
        <f t="shared" si="197"/>
        <v>188418</v>
      </c>
      <c r="AH123" s="226">
        <f t="shared" si="198"/>
        <v>8073.1584573841265</v>
      </c>
      <c r="AI123" s="226">
        <f t="shared" si="199"/>
        <v>4226168.6455817269</v>
      </c>
      <c r="AJ123" s="226">
        <f t="shared" si="200"/>
        <v>265582.89267860469</v>
      </c>
      <c r="AK123" s="226">
        <f t="shared" si="201"/>
        <v>8336282.511197526</v>
      </c>
      <c r="AL123" s="227">
        <f t="shared" si="202"/>
        <v>107.64211276512168</v>
      </c>
      <c r="AM123" s="227">
        <f t="shared" si="203"/>
        <v>47.091902940415707</v>
      </c>
      <c r="AN123" s="227">
        <f t="shared" si="204"/>
        <v>87.477896139197853</v>
      </c>
      <c r="AO123" s="227">
        <f t="shared" si="205"/>
        <v>44.243556938283632</v>
      </c>
      <c r="AP123" s="228">
        <f t="shared" si="206"/>
        <v>2.3348841248229668E-2</v>
      </c>
      <c r="AQ123" s="228">
        <f t="shared" si="207"/>
        <v>2.0877231213345393E-3</v>
      </c>
      <c r="AR123" s="228">
        <f t="shared" si="208"/>
        <v>0.15772915792784903</v>
      </c>
      <c r="AS123" s="228">
        <f t="shared" si="209"/>
        <v>1.314184737658608E-2</v>
      </c>
      <c r="AT123" s="227">
        <f>IF(ISERROR(VLOOKUP(A123,Mandatory!A:A,1,FALSE)),0,1)</f>
        <v>0</v>
      </c>
    </row>
    <row r="124" spans="1:46">
      <c r="A124" s="231">
        <v>654</v>
      </c>
      <c r="B124" s="222">
        <f>VLOOKUP(A124,OPATT_Activities!A:J,3,FALSE)</f>
        <v>29</v>
      </c>
      <c r="C124" s="222">
        <f>VLOOKUP(A124,OPATT_Activities!A:J,4,FALSE)</f>
        <v>21155</v>
      </c>
      <c r="D124" s="222">
        <f>VLOOKUP(A124,OPATT_Activities!A:J,5,FALSE)</f>
        <v>20</v>
      </c>
      <c r="E124" s="222">
        <f>VLOOKUP(A124,OPATT_Activities!A:J,6,FALSE)</f>
        <v>24185</v>
      </c>
      <c r="F124" s="222">
        <f>VLOOKUP(A124,OPATT_Cost_Quantum!A:F,2,FALSE)</f>
        <v>2610.11106123641</v>
      </c>
      <c r="G124" s="222">
        <f>VLOOKUP(A124,OPATT_Cost_Quantum!A:F,3,FALSE)</f>
        <v>1669225.1045095599</v>
      </c>
      <c r="H124" s="222">
        <f>VLOOKUP(A124,OPATT_Cost_Quantum!A:F,4,FALSE)</f>
        <v>1710.1296341350501</v>
      </c>
      <c r="I124" s="222">
        <f>VLOOKUP(A124,OPATT_Cost_Quantum!A:F,5,FALSE)</f>
        <v>1702554.45794881</v>
      </c>
      <c r="J124" s="223">
        <f t="shared" si="182"/>
        <v>90.003829697807248</v>
      </c>
      <c r="K124" s="223">
        <f t="shared" si="183"/>
        <v>78.904519239402504</v>
      </c>
      <c r="L124" s="223">
        <f t="shared" si="184"/>
        <v>85.50648170675251</v>
      </c>
      <c r="M124" s="223">
        <f t="shared" si="185"/>
        <v>70.397124579235481</v>
      </c>
      <c r="N124" s="224">
        <f>IF(ISERROR(VLOOKUP($A124,'HRGs to TFCs % Split'!$A$8:$I$145,6,0)),0,VLOOKUP($A124,'HRGs to TFCs % Split'!$A$8:$I$145,6,0))</f>
        <v>9.7574264748642841E-7</v>
      </c>
      <c r="O124" s="224">
        <f>IF(ISERROR(VLOOKUP($A124,'HRGs to TFCs % Split'!$A$8:$I$145,6,0)),0,VLOOKUP($A124,'HRGs to TFCs % Split'!$A$8:$I$145,7,0))</f>
        <v>2.0783318391460926E-5</v>
      </c>
      <c r="P124" s="224">
        <f>IF(ISERROR(VLOOKUP($A124,'HRGs to TFCs % Split'!$A$8:$I$145,6,0)),0,VLOOKUP($A124,'HRGs to TFCs % Split'!$A$8:$I$145,8,0))</f>
        <v>1.9514852949728567E-7</v>
      </c>
      <c r="Q124" s="224">
        <f>IF(ISERROR(VLOOKUP($A124,'HRGs to TFCs % Split'!$A$8:$I$145,6,0)),0,VLOOKUP($A124,'HRGs to TFCs % Split'!$A$8:$I$145,9,0))</f>
        <v>1.6587625007269283E-5</v>
      </c>
      <c r="R124" s="225">
        <f t="shared" si="186"/>
        <v>1</v>
      </c>
      <c r="S124" s="225">
        <f t="shared" si="187"/>
        <v>28</v>
      </c>
      <c r="T124" s="225">
        <f t="shared" si="188"/>
        <v>0</v>
      </c>
      <c r="U124" s="225">
        <f t="shared" si="189"/>
        <v>22</v>
      </c>
      <c r="V124" s="224">
        <f>IF(ISERROR(VLOOKUP($A124,'HRGs to TFCs % Split'!$A$8:$I$145,6,0)),0,VLOOKUP($A124,'HRGs to TFCs % Split'!$A$8:$I$145,6,0))</f>
        <v>9.7574264748642841E-7</v>
      </c>
      <c r="W124" s="224">
        <f>IF(ISERROR(VLOOKUP($A124,'HRGs to TFCs % Split'!$A$8:$I$145,6,0)),0,VLOOKUP($A124,'HRGs to TFCs % Split'!$A$8:$I$145,7,0))</f>
        <v>2.0783318391460926E-5</v>
      </c>
      <c r="X124" s="224">
        <f>IF(ISERROR(VLOOKUP($A124,'HRGs to TFCs % Split'!$A$8:$I$145,6,0)),0,VLOOKUP($A124,'HRGs to TFCs % Split'!$A$8:$I$145,8,0))</f>
        <v>1.9514852949728567E-7</v>
      </c>
      <c r="Y124" s="224">
        <f>IF(ISERROR(VLOOKUP($A124,'HRGs to TFCs % Split'!$A$8:$I$145,6,0)),0,VLOOKUP($A124,'HRGs to TFCs % Split'!$A$8:$I$145,9,0))</f>
        <v>1.6587625007269283E-5</v>
      </c>
      <c r="Z124" s="225">
        <f t="shared" si="190"/>
        <v>153.87571736444116</v>
      </c>
      <c r="AA124" s="225">
        <f t="shared" si="191"/>
        <v>3277.5527798625967</v>
      </c>
      <c r="AB124" s="225">
        <f t="shared" si="192"/>
        <v>30.775143472888228</v>
      </c>
      <c r="AC124" s="225">
        <f t="shared" si="193"/>
        <v>2615.8871951954998</v>
      </c>
      <c r="AD124" s="226">
        <f t="shared" si="194"/>
        <v>30</v>
      </c>
      <c r="AE124" s="226">
        <f t="shared" si="195"/>
        <v>21183</v>
      </c>
      <c r="AF124" s="226">
        <f t="shared" si="196"/>
        <v>20</v>
      </c>
      <c r="AG124" s="226">
        <f t="shared" si="197"/>
        <v>24207</v>
      </c>
      <c r="AH124" s="226">
        <f t="shared" si="198"/>
        <v>2763.9867786008513</v>
      </c>
      <c r="AI124" s="226">
        <f t="shared" si="199"/>
        <v>1672502.6572894226</v>
      </c>
      <c r="AJ124" s="226">
        <f t="shared" si="200"/>
        <v>1740.9047776079383</v>
      </c>
      <c r="AK124" s="226">
        <f t="shared" si="201"/>
        <v>1705170.3451440055</v>
      </c>
      <c r="AL124" s="227">
        <f t="shared" si="202"/>
        <v>92.132892620028372</v>
      </c>
      <c r="AM124" s="227">
        <f t="shared" si="203"/>
        <v>78.954947707568451</v>
      </c>
      <c r="AN124" s="227">
        <f t="shared" si="204"/>
        <v>87.045238880396909</v>
      </c>
      <c r="AO124" s="227">
        <f t="shared" si="205"/>
        <v>70.441208953773923</v>
      </c>
      <c r="AP124" s="228">
        <f t="shared" si="206"/>
        <v>2.365524810854791E-2</v>
      </c>
      <c r="AQ124" s="228">
        <f t="shared" si="207"/>
        <v>6.3910747637851983E-4</v>
      </c>
      <c r="AR124" s="228">
        <f t="shared" si="208"/>
        <v>1.7995795674550452E-2</v>
      </c>
      <c r="AS124" s="228">
        <f t="shared" si="209"/>
        <v>6.2622407949097791E-4</v>
      </c>
      <c r="AT124" s="227">
        <f>IF(ISERROR(VLOOKUP(A124,Mandatory!A:A,1,FALSE)),0,1)</f>
        <v>0</v>
      </c>
    </row>
    <row r="125" spans="1:46">
      <c r="A125" s="231">
        <v>655</v>
      </c>
      <c r="B125" s="222">
        <f>VLOOKUP(A125,OPATT_Activities!A:J,3,FALSE)</f>
        <v>7</v>
      </c>
      <c r="C125" s="222">
        <f>VLOOKUP(A125,OPATT_Activities!A:J,4,FALSE)</f>
        <v>25888</v>
      </c>
      <c r="D125" s="222">
        <f>VLOOKUP(A125,OPATT_Activities!A:J,5,FALSE)</f>
        <v>52</v>
      </c>
      <c r="E125" s="222">
        <f>VLOOKUP(A125,OPATT_Activities!A:J,6,FALSE)</f>
        <v>93513</v>
      </c>
      <c r="F125" s="222">
        <f>VLOOKUP(A125,OPATT_Cost_Quantum!A:F,2,FALSE)</f>
        <v>546.82083916302804</v>
      </c>
      <c r="G125" s="222">
        <f>VLOOKUP(A125,OPATT_Cost_Quantum!A:F,3,FALSE)</f>
        <v>1547821.03800697</v>
      </c>
      <c r="H125" s="222">
        <f>VLOOKUP(A125,OPATT_Cost_Quantum!A:F,4,FALSE)</f>
        <v>4077.6480224011498</v>
      </c>
      <c r="I125" s="222">
        <f>VLOOKUP(A125,OPATT_Cost_Quantum!A:F,5,FALSE)</f>
        <v>4797831.3892130898</v>
      </c>
      <c r="J125" s="223">
        <f t="shared" si="182"/>
        <v>78.11726273757543</v>
      </c>
      <c r="K125" s="223">
        <f t="shared" si="183"/>
        <v>59.789131567018309</v>
      </c>
      <c r="L125" s="223">
        <f t="shared" si="184"/>
        <v>78.416308123099029</v>
      </c>
      <c r="M125" s="223">
        <f t="shared" si="185"/>
        <v>51.306571163507641</v>
      </c>
      <c r="N125" s="224">
        <f>IF(ISERROR(VLOOKUP($A125,'HRGs to TFCs % Split'!$A$8:$I$145,6,0)),0,VLOOKUP($A125,'HRGs to TFCs % Split'!$A$8:$I$145,6,0))</f>
        <v>1.6587625007269284E-6</v>
      </c>
      <c r="O125" s="224">
        <f>IF(ISERROR(VLOOKUP($A125,'HRGs to TFCs % Split'!$A$8:$I$145,6,0)),0,VLOOKUP($A125,'HRGs to TFCs % Split'!$A$8:$I$145,7,0))</f>
        <v>2.0734531259086603E-4</v>
      </c>
      <c r="P125" s="224">
        <f>IF(ISERROR(VLOOKUP($A125,'HRGs to TFCs % Split'!$A$8:$I$145,6,0)),0,VLOOKUP($A125,'HRGs to TFCs % Split'!$A$8:$I$145,8,0))</f>
        <v>3.2199507367052139E-6</v>
      </c>
      <c r="Q125" s="224">
        <f>IF(ISERROR(VLOOKUP($A125,'HRGs to TFCs % Split'!$A$8:$I$145,6,0)),0,VLOOKUP($A125,'HRGs to TFCs % Split'!$A$8:$I$145,9,0))</f>
        <v>6.5033247454970454E-4</v>
      </c>
      <c r="R125" s="225">
        <f t="shared" si="186"/>
        <v>2</v>
      </c>
      <c r="S125" s="225">
        <f t="shared" si="187"/>
        <v>280</v>
      </c>
      <c r="T125" s="225">
        <f t="shared" si="188"/>
        <v>4</v>
      </c>
      <c r="U125" s="225">
        <f t="shared" si="189"/>
        <v>878</v>
      </c>
      <c r="V125" s="224">
        <f>IF(ISERROR(VLOOKUP($A125,'HRGs to TFCs % Split'!$A$8:$I$145,6,0)),0,VLOOKUP($A125,'HRGs to TFCs % Split'!$A$8:$I$145,6,0))</f>
        <v>1.6587625007269284E-6</v>
      </c>
      <c r="W125" s="224">
        <f>IF(ISERROR(VLOOKUP($A125,'HRGs to TFCs % Split'!$A$8:$I$145,6,0)),0,VLOOKUP($A125,'HRGs to TFCs % Split'!$A$8:$I$145,7,0))</f>
        <v>2.0734531259086603E-4</v>
      </c>
      <c r="X125" s="224">
        <f>IF(ISERROR(VLOOKUP($A125,'HRGs to TFCs % Split'!$A$8:$I$145,6,0)),0,VLOOKUP($A125,'HRGs to TFCs % Split'!$A$8:$I$145,8,0))</f>
        <v>3.2199507367052139E-6</v>
      </c>
      <c r="Y125" s="224">
        <f>IF(ISERROR(VLOOKUP($A125,'HRGs to TFCs % Split'!$A$8:$I$145,6,0)),0,VLOOKUP($A125,'HRGs to TFCs % Split'!$A$8:$I$145,9,0))</f>
        <v>6.5033247454970454E-4</v>
      </c>
      <c r="Z125" s="225">
        <f t="shared" si="190"/>
        <v>261.58871951954995</v>
      </c>
      <c r="AA125" s="225">
        <f t="shared" si="191"/>
        <v>32698.589939943744</v>
      </c>
      <c r="AB125" s="225">
        <f t="shared" si="192"/>
        <v>507.78986730265586</v>
      </c>
      <c r="AC125" s="225">
        <f t="shared" si="193"/>
        <v>102558.16562340003</v>
      </c>
      <c r="AD125" s="226">
        <f t="shared" si="194"/>
        <v>9</v>
      </c>
      <c r="AE125" s="226">
        <f t="shared" si="195"/>
        <v>26168</v>
      </c>
      <c r="AF125" s="226">
        <f t="shared" si="196"/>
        <v>56</v>
      </c>
      <c r="AG125" s="226">
        <f t="shared" si="197"/>
        <v>94391</v>
      </c>
      <c r="AH125" s="226">
        <f t="shared" si="198"/>
        <v>808.40955868257799</v>
      </c>
      <c r="AI125" s="226">
        <f t="shared" si="199"/>
        <v>1580519.6279469137</v>
      </c>
      <c r="AJ125" s="226">
        <f t="shared" si="200"/>
        <v>4585.4378897038059</v>
      </c>
      <c r="AK125" s="226">
        <f t="shared" si="201"/>
        <v>4900389.5548364902</v>
      </c>
      <c r="AL125" s="227">
        <f t="shared" si="202"/>
        <v>89.823284298064223</v>
      </c>
      <c r="AM125" s="227">
        <f t="shared" si="203"/>
        <v>60.398946344654298</v>
      </c>
      <c r="AN125" s="227">
        <f t="shared" si="204"/>
        <v>81.882819458996536</v>
      </c>
      <c r="AO125" s="227">
        <f t="shared" si="205"/>
        <v>51.915855906140315</v>
      </c>
      <c r="AP125" s="228">
        <f t="shared" si="206"/>
        <v>0.14985191685240706</v>
      </c>
      <c r="AQ125" s="228">
        <f t="shared" si="207"/>
        <v>1.0199425240897453E-2</v>
      </c>
      <c r="AR125" s="228">
        <f t="shared" si="208"/>
        <v>4.4206510340371263E-2</v>
      </c>
      <c r="AS125" s="228">
        <f t="shared" si="209"/>
        <v>1.1875374417264384E-2</v>
      </c>
      <c r="AT125" s="227">
        <f>IF(ISERROR(VLOOKUP(A125,Mandatory!A:A,1,FALSE)),0,1)</f>
        <v>0</v>
      </c>
    </row>
    <row r="126" spans="1:46">
      <c r="A126" s="231">
        <v>656</v>
      </c>
      <c r="B126" s="222">
        <f>VLOOKUP(A126,OPATT_Activities!A:J,3,FALSE)</f>
        <v>102</v>
      </c>
      <c r="C126" s="222">
        <f>VLOOKUP(A126,OPATT_Activities!A:J,4,FALSE)</f>
        <v>12157</v>
      </c>
      <c r="D126" s="222">
        <f>VLOOKUP(A126,OPATT_Activities!A:J,5,FALSE)</f>
        <v>251</v>
      </c>
      <c r="E126" s="222">
        <f>VLOOKUP(A126,OPATT_Activities!A:J,6,FALSE)</f>
        <v>24847</v>
      </c>
      <c r="F126" s="222">
        <f>VLOOKUP(A126,OPATT_Cost_Quantum!A:F,2,FALSE)</f>
        <v>15629.8950826979</v>
      </c>
      <c r="G126" s="222">
        <f>VLOOKUP(A126,OPATT_Cost_Quantum!A:F,3,FALSE)</f>
        <v>2234045.7813937902</v>
      </c>
      <c r="H126" s="222">
        <f>VLOOKUP(A126,OPATT_Cost_Quantum!A:F,4,FALSE)</f>
        <v>31654.975794646401</v>
      </c>
      <c r="I126" s="222">
        <f>VLOOKUP(A126,OPATT_Cost_Quantum!A:F,5,FALSE)</f>
        <v>4961808.8254757104</v>
      </c>
      <c r="J126" s="223">
        <f t="shared" si="182"/>
        <v>153.23426551664608</v>
      </c>
      <c r="K126" s="223">
        <f t="shared" si="183"/>
        <v>183.76620723811715</v>
      </c>
      <c r="L126" s="223">
        <f t="shared" si="184"/>
        <v>126.11544141293388</v>
      </c>
      <c r="M126" s="223">
        <f t="shared" si="185"/>
        <v>199.69448325655856</v>
      </c>
      <c r="N126" s="224">
        <f>IF(ISERROR(VLOOKUP($A126,'HRGs to TFCs % Split'!$A$8:$I$145,6,0)),0,VLOOKUP($A126,'HRGs to TFCs % Split'!$A$8:$I$145,6,0))</f>
        <v>0</v>
      </c>
      <c r="O126" s="224">
        <f>IF(ISERROR(VLOOKUP($A126,'HRGs to TFCs % Split'!$A$8:$I$145,6,0)),0,VLOOKUP($A126,'HRGs to TFCs % Split'!$A$8:$I$145,7,0))</f>
        <v>1.2684654417323569E-6</v>
      </c>
      <c r="P126" s="224">
        <f>IF(ISERROR(VLOOKUP($A126,'HRGs to TFCs % Split'!$A$8:$I$145,6,0)),0,VLOOKUP($A126,'HRGs to TFCs % Split'!$A$8:$I$145,8,0))</f>
        <v>0</v>
      </c>
      <c r="Q126" s="224">
        <f>IF(ISERROR(VLOOKUP($A126,'HRGs to TFCs % Split'!$A$8:$I$145,6,0)),0,VLOOKUP($A126,'HRGs to TFCs % Split'!$A$8:$I$145,9,0))</f>
        <v>4.3908419136889277E-6</v>
      </c>
      <c r="R126" s="225">
        <f t="shared" si="186"/>
        <v>0</v>
      </c>
      <c r="S126" s="225">
        <f t="shared" si="187"/>
        <v>2</v>
      </c>
      <c r="T126" s="225">
        <f t="shared" si="188"/>
        <v>0</v>
      </c>
      <c r="U126" s="225">
        <f t="shared" si="189"/>
        <v>6</v>
      </c>
      <c r="V126" s="224">
        <f>IF(ISERROR(VLOOKUP($A126,'HRGs to TFCs % Split'!$A$8:$I$145,6,0)),0,VLOOKUP($A126,'HRGs to TFCs % Split'!$A$8:$I$145,6,0))</f>
        <v>0</v>
      </c>
      <c r="W126" s="224">
        <f>IF(ISERROR(VLOOKUP($A126,'HRGs to TFCs % Split'!$A$8:$I$145,6,0)),0,VLOOKUP($A126,'HRGs to TFCs % Split'!$A$8:$I$145,7,0))</f>
        <v>1.2684654417323569E-6</v>
      </c>
      <c r="X126" s="224">
        <f>IF(ISERROR(VLOOKUP($A126,'HRGs to TFCs % Split'!$A$8:$I$145,6,0)),0,VLOOKUP($A126,'HRGs to TFCs % Split'!$A$8:$I$145,8,0))</f>
        <v>0</v>
      </c>
      <c r="Y126" s="224">
        <f>IF(ISERROR(VLOOKUP($A126,'HRGs to TFCs % Split'!$A$8:$I$145,6,0)),0,VLOOKUP($A126,'HRGs to TFCs % Split'!$A$8:$I$145,9,0))</f>
        <v>4.3908419136889277E-6</v>
      </c>
      <c r="Z126" s="225">
        <f t="shared" si="190"/>
        <v>0</v>
      </c>
      <c r="AA126" s="225">
        <f t="shared" si="191"/>
        <v>200.03843257377349</v>
      </c>
      <c r="AB126" s="225">
        <f t="shared" si="192"/>
        <v>0</v>
      </c>
      <c r="AC126" s="225">
        <f t="shared" si="193"/>
        <v>692.44072813998514</v>
      </c>
      <c r="AD126" s="226">
        <f t="shared" si="194"/>
        <v>102</v>
      </c>
      <c r="AE126" s="226">
        <f t="shared" si="195"/>
        <v>12159</v>
      </c>
      <c r="AF126" s="226">
        <f t="shared" si="196"/>
        <v>251</v>
      </c>
      <c r="AG126" s="226">
        <f t="shared" si="197"/>
        <v>24853</v>
      </c>
      <c r="AH126" s="226">
        <f t="shared" si="198"/>
        <v>15629.8950826979</v>
      </c>
      <c r="AI126" s="226">
        <f t="shared" si="199"/>
        <v>2234245.8198263641</v>
      </c>
      <c r="AJ126" s="226">
        <f t="shared" si="200"/>
        <v>31654.975794646401</v>
      </c>
      <c r="AK126" s="226">
        <f t="shared" si="201"/>
        <v>4962501.2662038505</v>
      </c>
      <c r="AL126" s="227">
        <f t="shared" si="202"/>
        <v>153.23426551664608</v>
      </c>
      <c r="AM126" s="227">
        <f t="shared" si="203"/>
        <v>183.75243192913595</v>
      </c>
      <c r="AN126" s="227">
        <f t="shared" si="204"/>
        <v>126.11544141293388</v>
      </c>
      <c r="AO126" s="227">
        <f t="shared" si="205"/>
        <v>199.67413455936307</v>
      </c>
      <c r="AP126" s="228">
        <f t="shared" si="206"/>
        <v>0</v>
      </c>
      <c r="AQ126" s="228">
        <f t="shared" si="207"/>
        <v>-7.4961056160560702E-5</v>
      </c>
      <c r="AR126" s="228">
        <f t="shared" si="208"/>
        <v>0</v>
      </c>
      <c r="AS126" s="228">
        <f t="shared" si="209"/>
        <v>-1.0189914545277734E-4</v>
      </c>
      <c r="AT126" s="227">
        <f>IF(ISERROR(VLOOKUP(A126,Mandatory!A:A,1,FALSE)),0,1)</f>
        <v>0</v>
      </c>
    </row>
    <row r="127" spans="1:46">
      <c r="A127" s="231">
        <v>657</v>
      </c>
      <c r="B127" s="222">
        <f>VLOOKUP(A127,OPATT_Activities!A:J,3,FALSE)</f>
        <v>0</v>
      </c>
      <c r="C127" s="222">
        <f>VLOOKUP(A127,OPATT_Activities!A:J,4,FALSE)</f>
        <v>402</v>
      </c>
      <c r="D127" s="222">
        <f>VLOOKUP(A127,OPATT_Activities!A:J,5,FALSE)</f>
        <v>0</v>
      </c>
      <c r="E127" s="222">
        <f>VLOOKUP(A127,OPATT_Activities!A:J,6,FALSE)</f>
        <v>2699</v>
      </c>
      <c r="F127" s="222">
        <f>VLOOKUP(A127,OPATT_Cost_Quantum!A:F,2,FALSE)</f>
        <v>0</v>
      </c>
      <c r="G127" s="222">
        <f>VLOOKUP(A127,OPATT_Cost_Quantum!A:F,3,FALSE)</f>
        <v>29302.9351750235</v>
      </c>
      <c r="H127" s="222">
        <f>VLOOKUP(A127,OPATT_Cost_Quantum!A:F,4,FALSE)</f>
        <v>0</v>
      </c>
      <c r="I127" s="222">
        <f>VLOOKUP(A127,OPATT_Cost_Quantum!A:F,5,FALSE)</f>
        <v>184618.90360427901</v>
      </c>
      <c r="J127" s="223">
        <f t="shared" si="182"/>
        <v>0</v>
      </c>
      <c r="K127" s="223">
        <f t="shared" si="183"/>
        <v>72.892873569710204</v>
      </c>
      <c r="L127" s="223">
        <f t="shared" si="184"/>
        <v>0</v>
      </c>
      <c r="M127" s="223">
        <f t="shared" si="185"/>
        <v>68.402706040859215</v>
      </c>
      <c r="N127" s="224">
        <f>IF(ISERROR(VLOOKUP($A127,'HRGs to TFCs % Split'!$A$8:$I$145,6,0)),0,VLOOKUP($A127,'HRGs to TFCs % Split'!$A$8:$I$145,6,0))</f>
        <v>0</v>
      </c>
      <c r="O127" s="224">
        <f>IF(ISERROR(VLOOKUP($A127,'HRGs to TFCs % Split'!$A$8:$I$145,6,0)),0,VLOOKUP($A127,'HRGs to TFCs % Split'!$A$8:$I$145,7,0))</f>
        <v>9.7574264748642833E-8</v>
      </c>
      <c r="P127" s="224">
        <f>IF(ISERROR(VLOOKUP($A127,'HRGs to TFCs % Split'!$A$8:$I$145,6,0)),0,VLOOKUP($A127,'HRGs to TFCs % Split'!$A$8:$I$145,8,0))</f>
        <v>1.9514852949728567E-7</v>
      </c>
      <c r="Q127" s="224">
        <f>IF(ISERROR(VLOOKUP($A127,'HRGs to TFCs % Split'!$A$8:$I$145,6,0)),0,VLOOKUP($A127,'HRGs to TFCs % Split'!$A$8:$I$145,9,0))</f>
        <v>2.0490595597214996E-6</v>
      </c>
      <c r="R127" s="225">
        <f t="shared" si="186"/>
        <v>0</v>
      </c>
      <c r="S127" s="225">
        <f t="shared" si="187"/>
        <v>0</v>
      </c>
      <c r="T127" s="225">
        <f t="shared" si="188"/>
        <v>0</v>
      </c>
      <c r="U127" s="225">
        <f t="shared" si="189"/>
        <v>3</v>
      </c>
      <c r="V127" s="224">
        <f>IF(ISERROR(VLOOKUP($A127,'HRGs to TFCs % Split'!$A$8:$I$145,6,0)),0,VLOOKUP($A127,'HRGs to TFCs % Split'!$A$8:$I$145,6,0))</f>
        <v>0</v>
      </c>
      <c r="W127" s="224">
        <f>IF(ISERROR(VLOOKUP($A127,'HRGs to TFCs % Split'!$A$8:$I$145,6,0)),0,VLOOKUP($A127,'HRGs to TFCs % Split'!$A$8:$I$145,7,0))</f>
        <v>9.7574264748642833E-8</v>
      </c>
      <c r="X127" s="224">
        <f>IF(ISERROR(VLOOKUP($A127,'HRGs to TFCs % Split'!$A$8:$I$145,6,0)),0,VLOOKUP($A127,'HRGs to TFCs % Split'!$A$8:$I$145,8,0))</f>
        <v>1.9514852949728567E-7</v>
      </c>
      <c r="Y127" s="224">
        <f>IF(ISERROR(VLOOKUP($A127,'HRGs to TFCs % Split'!$A$8:$I$145,6,0)),0,VLOOKUP($A127,'HRGs to TFCs % Split'!$A$8:$I$145,9,0))</f>
        <v>2.0490595597214996E-6</v>
      </c>
      <c r="Z127" s="225">
        <f t="shared" si="190"/>
        <v>0</v>
      </c>
      <c r="AA127" s="225">
        <f t="shared" si="191"/>
        <v>15.387571736444114</v>
      </c>
      <c r="AB127" s="225">
        <f t="shared" si="192"/>
        <v>30.775143472888228</v>
      </c>
      <c r="AC127" s="225">
        <f t="shared" si="193"/>
        <v>323.13900646532642</v>
      </c>
      <c r="AD127" s="226">
        <f t="shared" si="194"/>
        <v>0</v>
      </c>
      <c r="AE127" s="226">
        <f t="shared" si="195"/>
        <v>402</v>
      </c>
      <c r="AF127" s="226">
        <f t="shared" si="196"/>
        <v>0</v>
      </c>
      <c r="AG127" s="226">
        <f t="shared" si="197"/>
        <v>2702</v>
      </c>
      <c r="AH127" s="226">
        <f t="shared" si="198"/>
        <v>0</v>
      </c>
      <c r="AI127" s="226">
        <f t="shared" si="199"/>
        <v>29318.322746759943</v>
      </c>
      <c r="AJ127" s="226">
        <f t="shared" si="200"/>
        <v>30.775143472888228</v>
      </c>
      <c r="AK127" s="226">
        <f t="shared" si="201"/>
        <v>184942.04261074433</v>
      </c>
      <c r="AL127" s="227">
        <f t="shared" si="202"/>
        <v>0</v>
      </c>
      <c r="AM127" s="227">
        <f t="shared" si="203"/>
        <v>72.931151111343141</v>
      </c>
      <c r="AN127" s="227">
        <f t="shared" si="204"/>
        <v>0</v>
      </c>
      <c r="AO127" s="227">
        <f t="shared" si="205"/>
        <v>68.446351817447933</v>
      </c>
      <c r="AP127" s="228">
        <f t="shared" si="206"/>
        <v>0</v>
      </c>
      <c r="AQ127" s="228">
        <f t="shared" si="207"/>
        <v>5.2512049200981181E-4</v>
      </c>
      <c r="AR127" s="228">
        <f t="shared" si="208"/>
        <v>0</v>
      </c>
      <c r="AS127" s="228">
        <f t="shared" si="209"/>
        <v>6.3807090559619972E-4</v>
      </c>
      <c r="AT127" s="227">
        <f>IF(ISERROR(VLOOKUP(A127,Mandatory!A:A,1,FALSE)),0,1)</f>
        <v>0</v>
      </c>
    </row>
    <row r="128" spans="1:46">
      <c r="A128" s="231">
        <v>658</v>
      </c>
      <c r="B128" s="222">
        <f>VLOOKUP(A128,OPATT_Activities!A:J,3,FALSE)</f>
        <v>0</v>
      </c>
      <c r="C128" s="222">
        <f>VLOOKUP(A128,OPATT_Activities!A:J,4,FALSE)</f>
        <v>20152</v>
      </c>
      <c r="D128" s="222">
        <f>VLOOKUP(A128,OPATT_Activities!A:J,5,FALSE)</f>
        <v>0</v>
      </c>
      <c r="E128" s="222">
        <f>VLOOKUP(A128,OPATT_Activities!A:J,6,FALSE)</f>
        <v>24550</v>
      </c>
      <c r="F128" s="222">
        <f>VLOOKUP(A128,OPATT_Cost_Quantum!A:F,2,FALSE)</f>
        <v>0</v>
      </c>
      <c r="G128" s="222">
        <f>VLOOKUP(A128,OPATT_Cost_Quantum!A:F,3,FALSE)</f>
        <v>2160936.68217147</v>
      </c>
      <c r="H128" s="222">
        <f>VLOOKUP(A128,OPATT_Cost_Quantum!A:F,4,FALSE)</f>
        <v>0</v>
      </c>
      <c r="I128" s="222">
        <f>VLOOKUP(A128,OPATT_Cost_Quantum!A:F,5,FALSE)</f>
        <v>3469455.3847356802</v>
      </c>
      <c r="J128" s="223">
        <f t="shared" si="182"/>
        <v>0</v>
      </c>
      <c r="K128" s="223">
        <f t="shared" si="183"/>
        <v>107.23187188226827</v>
      </c>
      <c r="L128" s="223">
        <f t="shared" si="184"/>
        <v>0</v>
      </c>
      <c r="M128" s="223">
        <f t="shared" si="185"/>
        <v>141.32201159819471</v>
      </c>
      <c r="N128" s="224">
        <f>IF(ISERROR(VLOOKUP($A128,'HRGs to TFCs % Split'!$A$8:$I$145,6,0)),0,VLOOKUP($A128,'HRGs to TFCs % Split'!$A$8:$I$145,6,0))</f>
        <v>0</v>
      </c>
      <c r="O128" s="224">
        <f>IF(ISERROR(VLOOKUP($A128,'HRGs to TFCs % Split'!$A$8:$I$145,6,0)),0,VLOOKUP($A128,'HRGs to TFCs % Split'!$A$8:$I$145,7,0))</f>
        <v>2.7320794129619994E-6</v>
      </c>
      <c r="P128" s="224">
        <f>IF(ISERROR(VLOOKUP($A128,'HRGs to TFCs % Split'!$A$8:$I$145,6,0)),0,VLOOKUP($A128,'HRGs to TFCs % Split'!$A$8:$I$145,8,0))</f>
        <v>0</v>
      </c>
      <c r="Q128" s="224">
        <f>IF(ISERROR(VLOOKUP($A128,'HRGs to TFCs % Split'!$A$8:$I$145,6,0)),0,VLOOKUP($A128,'HRGs to TFCs % Split'!$A$8:$I$145,9,0))</f>
        <v>1.7270644860509784E-5</v>
      </c>
      <c r="R128" s="225">
        <f t="shared" si="186"/>
        <v>0</v>
      </c>
      <c r="S128" s="225">
        <f t="shared" si="187"/>
        <v>4</v>
      </c>
      <c r="T128" s="225">
        <f t="shared" si="188"/>
        <v>0</v>
      </c>
      <c r="U128" s="225">
        <f t="shared" si="189"/>
        <v>23</v>
      </c>
      <c r="V128" s="224">
        <f>IF(ISERROR(VLOOKUP($A128,'HRGs to TFCs % Split'!$A$8:$I$145,6,0)),0,VLOOKUP($A128,'HRGs to TFCs % Split'!$A$8:$I$145,6,0))</f>
        <v>0</v>
      </c>
      <c r="W128" s="224">
        <f>IF(ISERROR(VLOOKUP($A128,'HRGs to TFCs % Split'!$A$8:$I$145,6,0)),0,VLOOKUP($A128,'HRGs to TFCs % Split'!$A$8:$I$145,7,0))</f>
        <v>2.7320794129619994E-6</v>
      </c>
      <c r="X128" s="224">
        <f>IF(ISERROR(VLOOKUP($A128,'HRGs to TFCs % Split'!$A$8:$I$145,6,0)),0,VLOOKUP($A128,'HRGs to TFCs % Split'!$A$8:$I$145,8,0))</f>
        <v>0</v>
      </c>
      <c r="Y128" s="224">
        <f>IF(ISERROR(VLOOKUP($A128,'HRGs to TFCs % Split'!$A$8:$I$145,6,0)),0,VLOOKUP($A128,'HRGs to TFCs % Split'!$A$8:$I$145,9,0))</f>
        <v>1.7270644860509784E-5</v>
      </c>
      <c r="Z128" s="225">
        <f t="shared" si="190"/>
        <v>0</v>
      </c>
      <c r="AA128" s="225">
        <f t="shared" si="191"/>
        <v>430.85200862043524</v>
      </c>
      <c r="AB128" s="225">
        <f t="shared" si="192"/>
        <v>0</v>
      </c>
      <c r="AC128" s="225">
        <f t="shared" si="193"/>
        <v>2723.6001973506086</v>
      </c>
      <c r="AD128" s="226">
        <f t="shared" si="194"/>
        <v>0</v>
      </c>
      <c r="AE128" s="226">
        <f t="shared" si="195"/>
        <v>20156</v>
      </c>
      <c r="AF128" s="226">
        <f t="shared" si="196"/>
        <v>0</v>
      </c>
      <c r="AG128" s="226">
        <f t="shared" si="197"/>
        <v>24573</v>
      </c>
      <c r="AH128" s="226">
        <f t="shared" si="198"/>
        <v>0</v>
      </c>
      <c r="AI128" s="226">
        <f t="shared" si="199"/>
        <v>2161367.5341800903</v>
      </c>
      <c r="AJ128" s="226">
        <f t="shared" si="200"/>
        <v>0</v>
      </c>
      <c r="AK128" s="226">
        <f t="shared" si="201"/>
        <v>3472178.9849330308</v>
      </c>
      <c r="AL128" s="227">
        <f t="shared" si="202"/>
        <v>0</v>
      </c>
      <c r="AM128" s="227">
        <f t="shared" si="203"/>
        <v>107.23196736356869</v>
      </c>
      <c r="AN128" s="227">
        <f t="shared" si="204"/>
        <v>0</v>
      </c>
      <c r="AO128" s="227">
        <f t="shared" si="205"/>
        <v>141.30057318736135</v>
      </c>
      <c r="AP128" s="228">
        <f t="shared" si="206"/>
        <v>0</v>
      </c>
      <c r="AQ128" s="228">
        <f t="shared" si="207"/>
        <v>8.9041904005604522E-7</v>
      </c>
      <c r="AR128" s="228">
        <f t="shared" si="208"/>
        <v>0</v>
      </c>
      <c r="AS128" s="228">
        <f t="shared" si="209"/>
        <v>-1.516990211992697E-4</v>
      </c>
      <c r="AT128" s="227">
        <f>IF(ISERROR(VLOOKUP(A128,Mandatory!A:A,1,FALSE)),0,1)</f>
        <v>0</v>
      </c>
    </row>
    <row r="129" spans="1:46">
      <c r="A129" s="231">
        <v>662</v>
      </c>
      <c r="B129" s="222">
        <f>VLOOKUP(A129,OPATT_Activities!A:J,3,FALSE)</f>
        <v>9</v>
      </c>
      <c r="C129" s="222">
        <f>VLOOKUP(A129,OPATT_Activities!A:J,4,FALSE)</f>
        <v>3972</v>
      </c>
      <c r="D129" s="222">
        <f>VLOOKUP(A129,OPATT_Activities!A:J,5,FALSE)</f>
        <v>11</v>
      </c>
      <c r="E129" s="222">
        <f>VLOOKUP(A129,OPATT_Activities!A:J,6,FALSE)</f>
        <v>5616</v>
      </c>
      <c r="F129" s="222">
        <f>VLOOKUP(A129,OPATT_Cost_Quantum!A:F,2,FALSE)</f>
        <v>613.90385927195302</v>
      </c>
      <c r="G129" s="222">
        <f>VLOOKUP(A129,OPATT_Cost_Quantum!A:F,3,FALSE)</f>
        <v>202212.51860691601</v>
      </c>
      <c r="H129" s="222">
        <f>VLOOKUP(A129,OPATT_Cost_Quantum!A:F,4,FALSE)</f>
        <v>642.67326318099299</v>
      </c>
      <c r="I129" s="222">
        <f>VLOOKUP(A129,OPATT_Cost_Quantum!A:F,5,FALSE)</f>
        <v>646940.25084408699</v>
      </c>
      <c r="J129" s="223">
        <f t="shared" si="182"/>
        <v>68.211539919105888</v>
      </c>
      <c r="K129" s="223">
        <f t="shared" si="183"/>
        <v>50.909496124601212</v>
      </c>
      <c r="L129" s="223">
        <f t="shared" si="184"/>
        <v>58.424842107362998</v>
      </c>
      <c r="M129" s="223">
        <f t="shared" si="185"/>
        <v>115.19591361183885</v>
      </c>
      <c r="N129" s="224">
        <f>IF(ISERROR(VLOOKUP($A129,'HRGs to TFCs % Split'!$A$8:$I$145,6,0)),0,VLOOKUP($A129,'HRGs to TFCs % Split'!$A$8:$I$145,6,0))</f>
        <v>0</v>
      </c>
      <c r="O129" s="224">
        <f>IF(ISERROR(VLOOKUP($A129,'HRGs to TFCs % Split'!$A$8:$I$145,6,0)),0,VLOOKUP($A129,'HRGs to TFCs % Split'!$A$8:$I$145,7,0))</f>
        <v>1.2831015814446535E-4</v>
      </c>
      <c r="P129" s="224">
        <f>IF(ISERROR(VLOOKUP($A129,'HRGs to TFCs % Split'!$A$8:$I$145,6,0)),0,VLOOKUP($A129,'HRGs to TFCs % Split'!$A$8:$I$145,8,0))</f>
        <v>2.9272279424592851E-7</v>
      </c>
      <c r="Q129" s="224">
        <f>IF(ISERROR(VLOOKUP($A129,'HRGs to TFCs % Split'!$A$8:$I$145,6,0)),0,VLOOKUP($A129,'HRGs to TFCs % Split'!$A$8:$I$145,9,0))</f>
        <v>1.5475278389134756E-4</v>
      </c>
      <c r="R129" s="225">
        <f t="shared" si="186"/>
        <v>0</v>
      </c>
      <c r="S129" s="225">
        <f t="shared" si="187"/>
        <v>173</v>
      </c>
      <c r="T129" s="225">
        <f t="shared" si="188"/>
        <v>0</v>
      </c>
      <c r="U129" s="225">
        <f t="shared" si="189"/>
        <v>209</v>
      </c>
      <c r="V129" s="224">
        <f>IF(ISERROR(VLOOKUP($A129,'HRGs to TFCs % Split'!$A$8:$I$145,6,0)),0,VLOOKUP($A129,'HRGs to TFCs % Split'!$A$8:$I$145,6,0))</f>
        <v>0</v>
      </c>
      <c r="W129" s="224">
        <f>IF(ISERROR(VLOOKUP($A129,'HRGs to TFCs % Split'!$A$8:$I$145,6,0)),0,VLOOKUP($A129,'HRGs to TFCs % Split'!$A$8:$I$145,7,0))</f>
        <v>1.2831015814446535E-4</v>
      </c>
      <c r="X129" s="224">
        <f>IF(ISERROR(VLOOKUP($A129,'HRGs to TFCs % Split'!$A$8:$I$145,6,0)),0,VLOOKUP($A129,'HRGs to TFCs % Split'!$A$8:$I$145,8,0))</f>
        <v>2.9272279424592851E-7</v>
      </c>
      <c r="Y129" s="224">
        <f>IF(ISERROR(VLOOKUP($A129,'HRGs to TFCs % Split'!$A$8:$I$145,6,0)),0,VLOOKUP($A129,'HRGs to TFCs % Split'!$A$8:$I$145,9,0))</f>
        <v>1.5475278389134756E-4</v>
      </c>
      <c r="Z129" s="225">
        <f t="shared" si="190"/>
        <v>0</v>
      </c>
      <c r="AA129" s="225">
        <f t="shared" si="191"/>
        <v>20234.656833424015</v>
      </c>
      <c r="AB129" s="225">
        <f t="shared" si="192"/>
        <v>46.162715209332347</v>
      </c>
      <c r="AC129" s="225">
        <f t="shared" si="193"/>
        <v>24404.688774000369</v>
      </c>
      <c r="AD129" s="226">
        <f t="shared" si="194"/>
        <v>9</v>
      </c>
      <c r="AE129" s="226">
        <f t="shared" si="195"/>
        <v>4145</v>
      </c>
      <c r="AF129" s="226">
        <f t="shared" si="196"/>
        <v>11</v>
      </c>
      <c r="AG129" s="226">
        <f t="shared" si="197"/>
        <v>5825</v>
      </c>
      <c r="AH129" s="226">
        <f t="shared" si="198"/>
        <v>613.90385927195302</v>
      </c>
      <c r="AI129" s="226">
        <f t="shared" si="199"/>
        <v>222447.17544034001</v>
      </c>
      <c r="AJ129" s="226">
        <f t="shared" si="200"/>
        <v>688.83597839032529</v>
      </c>
      <c r="AK129" s="226">
        <f t="shared" si="201"/>
        <v>671344.93961808737</v>
      </c>
      <c r="AL129" s="227">
        <f t="shared" si="202"/>
        <v>68.211539919105888</v>
      </c>
      <c r="AM129" s="227">
        <f t="shared" si="203"/>
        <v>53.666387319744274</v>
      </c>
      <c r="AN129" s="227">
        <f t="shared" si="204"/>
        <v>62.621452580938666</v>
      </c>
      <c r="AO129" s="227">
        <f t="shared" si="205"/>
        <v>115.25235014902788</v>
      </c>
      <c r="AP129" s="228">
        <f t="shared" si="206"/>
        <v>0</v>
      </c>
      <c r="AQ129" s="228">
        <f t="shared" si="207"/>
        <v>5.4152788870578394E-2</v>
      </c>
      <c r="AR129" s="228">
        <f t="shared" si="208"/>
        <v>7.182921377628837E-2</v>
      </c>
      <c r="AS129" s="228">
        <f t="shared" si="209"/>
        <v>4.899178748578592E-4</v>
      </c>
      <c r="AT129" s="227">
        <f>IF(ISERROR(VLOOKUP(A129,Mandatory!A:A,1,FALSE)),0,1)</f>
        <v>0</v>
      </c>
    </row>
    <row r="130" spans="1:46">
      <c r="A130" s="231">
        <v>663</v>
      </c>
      <c r="B130" s="222">
        <f>VLOOKUP(A130,OPATT_Activities!A:J,3,FALSE)</f>
        <v>0</v>
      </c>
      <c r="C130" s="222">
        <f>VLOOKUP(A130,OPATT_Activities!A:J,4,FALSE)</f>
        <v>1317</v>
      </c>
      <c r="D130" s="222">
        <f>VLOOKUP(A130,OPATT_Activities!A:J,5,FALSE)</f>
        <v>0</v>
      </c>
      <c r="E130" s="222">
        <f>VLOOKUP(A130,OPATT_Activities!A:J,6,FALSE)</f>
        <v>8606</v>
      </c>
      <c r="F130" s="222">
        <f>VLOOKUP(A130,OPATT_Cost_Quantum!A:F,2,FALSE)</f>
        <v>0</v>
      </c>
      <c r="G130" s="222">
        <f>VLOOKUP(A130,OPATT_Cost_Quantum!A:F,3,FALSE)</f>
        <v>136350.39474689899</v>
      </c>
      <c r="H130" s="222">
        <f>VLOOKUP(A130,OPATT_Cost_Quantum!A:F,4,FALSE)</f>
        <v>0</v>
      </c>
      <c r="I130" s="222">
        <f>VLOOKUP(A130,OPATT_Cost_Quantum!A:F,5,FALSE)</f>
        <v>488342.264263627</v>
      </c>
      <c r="J130" s="223">
        <f t="shared" si="182"/>
        <v>0</v>
      </c>
      <c r="K130" s="223">
        <f t="shared" si="183"/>
        <v>103.53105144031814</v>
      </c>
      <c r="L130" s="223">
        <f t="shared" si="184"/>
        <v>0</v>
      </c>
      <c r="M130" s="223">
        <f t="shared" si="185"/>
        <v>56.744395103837675</v>
      </c>
      <c r="N130" s="224">
        <f>IF(ISERROR(VLOOKUP($A130,'HRGs to TFCs % Split'!$A$8:$I$145,6,0)),0,VLOOKUP($A130,'HRGs to TFCs % Split'!$A$8:$I$145,6,0))</f>
        <v>0</v>
      </c>
      <c r="O130" s="224">
        <f>IF(ISERROR(VLOOKUP($A130,'HRGs to TFCs % Split'!$A$8:$I$145,6,0)),0,VLOOKUP($A130,'HRGs to TFCs % Split'!$A$8:$I$145,7,0))</f>
        <v>0</v>
      </c>
      <c r="P130" s="224">
        <f>IF(ISERROR(VLOOKUP($A130,'HRGs to TFCs % Split'!$A$8:$I$145,6,0)),0,VLOOKUP($A130,'HRGs to TFCs % Split'!$A$8:$I$145,8,0))</f>
        <v>0</v>
      </c>
      <c r="Q130" s="224">
        <f>IF(ISERROR(VLOOKUP($A130,'HRGs to TFCs % Split'!$A$8:$I$145,6,0)),0,VLOOKUP($A130,'HRGs to TFCs % Split'!$A$8:$I$145,9,0))</f>
        <v>0</v>
      </c>
      <c r="R130" s="225">
        <f t="shared" si="186"/>
        <v>0</v>
      </c>
      <c r="S130" s="225">
        <f t="shared" si="187"/>
        <v>0</v>
      </c>
      <c r="T130" s="225">
        <f t="shared" si="188"/>
        <v>0</v>
      </c>
      <c r="U130" s="225">
        <f t="shared" si="189"/>
        <v>0</v>
      </c>
      <c r="V130" s="224">
        <f>IF(ISERROR(VLOOKUP($A130,'HRGs to TFCs % Split'!$A$8:$I$145,6,0)),0,VLOOKUP($A130,'HRGs to TFCs % Split'!$A$8:$I$145,6,0))</f>
        <v>0</v>
      </c>
      <c r="W130" s="224">
        <f>IF(ISERROR(VLOOKUP($A130,'HRGs to TFCs % Split'!$A$8:$I$145,6,0)),0,VLOOKUP($A130,'HRGs to TFCs % Split'!$A$8:$I$145,7,0))</f>
        <v>0</v>
      </c>
      <c r="X130" s="224">
        <f>IF(ISERROR(VLOOKUP($A130,'HRGs to TFCs % Split'!$A$8:$I$145,6,0)),0,VLOOKUP($A130,'HRGs to TFCs % Split'!$A$8:$I$145,8,0))</f>
        <v>0</v>
      </c>
      <c r="Y130" s="224">
        <f>IF(ISERROR(VLOOKUP($A130,'HRGs to TFCs % Split'!$A$8:$I$145,6,0)),0,VLOOKUP($A130,'HRGs to TFCs % Split'!$A$8:$I$145,9,0))</f>
        <v>0</v>
      </c>
      <c r="Z130" s="225">
        <f t="shared" si="190"/>
        <v>0</v>
      </c>
      <c r="AA130" s="225">
        <f t="shared" si="191"/>
        <v>0</v>
      </c>
      <c r="AB130" s="225">
        <f t="shared" si="192"/>
        <v>0</v>
      </c>
      <c r="AC130" s="225">
        <f t="shared" si="193"/>
        <v>0</v>
      </c>
      <c r="AD130" s="226">
        <f t="shared" si="194"/>
        <v>0</v>
      </c>
      <c r="AE130" s="226">
        <f t="shared" si="195"/>
        <v>1317</v>
      </c>
      <c r="AF130" s="226">
        <f t="shared" si="196"/>
        <v>0</v>
      </c>
      <c r="AG130" s="226">
        <f t="shared" si="197"/>
        <v>8606</v>
      </c>
      <c r="AH130" s="226">
        <f t="shared" si="198"/>
        <v>0</v>
      </c>
      <c r="AI130" s="226">
        <f t="shared" si="199"/>
        <v>136350.39474689899</v>
      </c>
      <c r="AJ130" s="226">
        <f t="shared" si="200"/>
        <v>0</v>
      </c>
      <c r="AK130" s="226">
        <f t="shared" si="201"/>
        <v>488342.264263627</v>
      </c>
      <c r="AL130" s="227">
        <f t="shared" si="202"/>
        <v>0</v>
      </c>
      <c r="AM130" s="227">
        <f t="shared" si="203"/>
        <v>103.53105144031814</v>
      </c>
      <c r="AN130" s="227">
        <f t="shared" si="204"/>
        <v>0</v>
      </c>
      <c r="AO130" s="227">
        <f t="shared" si="205"/>
        <v>56.744395103837675</v>
      </c>
      <c r="AP130" s="228">
        <f t="shared" si="206"/>
        <v>0</v>
      </c>
      <c r="AQ130" s="228">
        <f t="shared" si="207"/>
        <v>0</v>
      </c>
      <c r="AR130" s="228">
        <f t="shared" si="208"/>
        <v>0</v>
      </c>
      <c r="AS130" s="228">
        <f t="shared" si="209"/>
        <v>0</v>
      </c>
      <c r="AT130" s="227">
        <f>IF(ISERROR(VLOOKUP(A130,Mandatory!A:A,1,FALSE)),0,1)</f>
        <v>0</v>
      </c>
    </row>
    <row r="131" spans="1:46">
      <c r="A131" s="231">
        <v>710</v>
      </c>
      <c r="B131" s="222">
        <f>VLOOKUP(A131,OPATT_Activities!A:J,3,FALSE)</f>
        <v>0</v>
      </c>
      <c r="C131" s="222">
        <f>VLOOKUP(A131,OPATT_Activities!A:J,4,FALSE)</f>
        <v>1136</v>
      </c>
      <c r="D131" s="222">
        <f>VLOOKUP(A131,OPATT_Activities!A:J,5,FALSE)</f>
        <v>0</v>
      </c>
      <c r="E131" s="222">
        <f>VLOOKUP(A131,OPATT_Activities!A:J,6,FALSE)</f>
        <v>4172</v>
      </c>
      <c r="F131" s="222">
        <f>VLOOKUP(A131,OPATT_Cost_Quantum!A:F,2,FALSE)</f>
        <v>0</v>
      </c>
      <c r="G131" s="222">
        <f>VLOOKUP(A131,OPATT_Cost_Quantum!A:F,3,FALSE)</f>
        <v>307571.65740103897</v>
      </c>
      <c r="H131" s="222">
        <f>VLOOKUP(A131,OPATT_Cost_Quantum!A:F,4,FALSE)</f>
        <v>0</v>
      </c>
      <c r="I131" s="222">
        <f>VLOOKUP(A131,OPATT_Cost_Quantum!A:F,5,FALSE)</f>
        <v>735429.25943506998</v>
      </c>
      <c r="J131" s="223">
        <f t="shared" si="182"/>
        <v>0</v>
      </c>
      <c r="K131" s="223">
        <f t="shared" si="183"/>
        <v>270.74969841640757</v>
      </c>
      <c r="L131" s="223">
        <f t="shared" si="184"/>
        <v>0</v>
      </c>
      <c r="M131" s="223">
        <f t="shared" si="185"/>
        <v>176.27738720878955</v>
      </c>
      <c r="N131" s="224">
        <f>IF(ISERROR(VLOOKUP($A131,'HRGs to TFCs % Split'!$A$8:$I$145,6,0)),0,VLOOKUP($A131,'HRGs to TFCs % Split'!$A$8:$I$145,6,0))</f>
        <v>0</v>
      </c>
      <c r="O131" s="224">
        <f>IF(ISERROR(VLOOKUP($A131,'HRGs to TFCs % Split'!$A$8:$I$145,6,0)),0,VLOOKUP($A131,'HRGs to TFCs % Split'!$A$8:$I$145,7,0))</f>
        <v>0</v>
      </c>
      <c r="P131" s="224">
        <f>IF(ISERROR(VLOOKUP($A131,'HRGs to TFCs % Split'!$A$8:$I$145,6,0)),0,VLOOKUP($A131,'HRGs to TFCs % Split'!$A$8:$I$145,8,0))</f>
        <v>0</v>
      </c>
      <c r="Q131" s="224">
        <f>IF(ISERROR(VLOOKUP($A131,'HRGs to TFCs % Split'!$A$8:$I$145,6,0)),0,VLOOKUP($A131,'HRGs to TFCs % Split'!$A$8:$I$145,9,0))</f>
        <v>9.7574264748642833E-8</v>
      </c>
      <c r="R131" s="225">
        <f t="shared" si="186"/>
        <v>0</v>
      </c>
      <c r="S131" s="225">
        <f t="shared" si="187"/>
        <v>0</v>
      </c>
      <c r="T131" s="225">
        <f t="shared" si="188"/>
        <v>0</v>
      </c>
      <c r="U131" s="225">
        <f t="shared" si="189"/>
        <v>0</v>
      </c>
      <c r="V131" s="224">
        <f>IF(ISERROR(VLOOKUP($A131,'HRGs to TFCs % Split'!$A$8:$I$145,6,0)),0,VLOOKUP($A131,'HRGs to TFCs % Split'!$A$8:$I$145,6,0))</f>
        <v>0</v>
      </c>
      <c r="W131" s="224">
        <f>IF(ISERROR(VLOOKUP($A131,'HRGs to TFCs % Split'!$A$8:$I$145,6,0)),0,VLOOKUP($A131,'HRGs to TFCs % Split'!$A$8:$I$145,7,0))</f>
        <v>0</v>
      </c>
      <c r="X131" s="224">
        <f>IF(ISERROR(VLOOKUP($A131,'HRGs to TFCs % Split'!$A$8:$I$145,6,0)),0,VLOOKUP($A131,'HRGs to TFCs % Split'!$A$8:$I$145,8,0))</f>
        <v>0</v>
      </c>
      <c r="Y131" s="224">
        <f>IF(ISERROR(VLOOKUP($A131,'HRGs to TFCs % Split'!$A$8:$I$145,6,0)),0,VLOOKUP($A131,'HRGs to TFCs % Split'!$A$8:$I$145,9,0))</f>
        <v>9.7574264748642833E-8</v>
      </c>
      <c r="Z131" s="225">
        <f t="shared" si="190"/>
        <v>0</v>
      </c>
      <c r="AA131" s="225">
        <f t="shared" si="191"/>
        <v>0</v>
      </c>
      <c r="AB131" s="225">
        <f t="shared" si="192"/>
        <v>0</v>
      </c>
      <c r="AC131" s="225">
        <f t="shared" si="193"/>
        <v>15.387571736444114</v>
      </c>
      <c r="AD131" s="226">
        <f t="shared" si="194"/>
        <v>0</v>
      </c>
      <c r="AE131" s="226">
        <f t="shared" si="195"/>
        <v>1136</v>
      </c>
      <c r="AF131" s="226">
        <f t="shared" si="196"/>
        <v>0</v>
      </c>
      <c r="AG131" s="226">
        <f t="shared" si="197"/>
        <v>4172</v>
      </c>
      <c r="AH131" s="226">
        <f t="shared" si="198"/>
        <v>0</v>
      </c>
      <c r="AI131" s="226">
        <f t="shared" si="199"/>
        <v>307571.65740103897</v>
      </c>
      <c r="AJ131" s="226">
        <f t="shared" si="200"/>
        <v>0</v>
      </c>
      <c r="AK131" s="226">
        <f t="shared" si="201"/>
        <v>735444.64700680645</v>
      </c>
      <c r="AL131" s="227">
        <f t="shared" si="202"/>
        <v>0</v>
      </c>
      <c r="AM131" s="227">
        <f t="shared" si="203"/>
        <v>270.74969841640757</v>
      </c>
      <c r="AN131" s="227">
        <f t="shared" si="204"/>
        <v>0</v>
      </c>
      <c r="AO131" s="227">
        <f t="shared" si="205"/>
        <v>176.28107550498717</v>
      </c>
      <c r="AP131" s="228">
        <f t="shared" si="206"/>
        <v>0</v>
      </c>
      <c r="AQ131" s="228">
        <f t="shared" si="207"/>
        <v>0</v>
      </c>
      <c r="AR131" s="228">
        <f t="shared" si="208"/>
        <v>0</v>
      </c>
      <c r="AS131" s="228">
        <f t="shared" si="209"/>
        <v>2.0923252017857052E-5</v>
      </c>
      <c r="AT131" s="227">
        <f>IF(ISERROR(VLOOKUP(A131,Mandatory!A:A,1,FALSE)),0,1)</f>
        <v>0</v>
      </c>
    </row>
    <row r="132" spans="1:46">
      <c r="A132" s="231">
        <v>711</v>
      </c>
      <c r="B132" s="222">
        <f>VLOOKUP(A132,OPATT_Activities!A:J,3,FALSE)</f>
        <v>65</v>
      </c>
      <c r="C132" s="222">
        <f>VLOOKUP(A132,OPATT_Activities!A:J,4,FALSE)</f>
        <v>2040</v>
      </c>
      <c r="D132" s="222">
        <f>VLOOKUP(A132,OPATT_Activities!A:J,5,FALSE)</f>
        <v>8</v>
      </c>
      <c r="E132" s="222">
        <f>VLOOKUP(A132,OPATT_Activities!A:J,6,FALSE)</f>
        <v>9149</v>
      </c>
      <c r="F132" s="222">
        <f>VLOOKUP(A132,OPATT_Cost_Quantum!A:F,2,FALSE)</f>
        <v>73324.758883858201</v>
      </c>
      <c r="G132" s="222">
        <f>VLOOKUP(A132,OPATT_Cost_Quantum!A:F,3,FALSE)</f>
        <v>616448.39788246399</v>
      </c>
      <c r="H132" s="222">
        <f>VLOOKUP(A132,OPATT_Cost_Quantum!A:F,4,FALSE)</f>
        <v>1620.6329420141999</v>
      </c>
      <c r="I132" s="222">
        <f>VLOOKUP(A132,OPATT_Cost_Quantum!A:F,5,FALSE)</f>
        <v>2579302.4945634599</v>
      </c>
      <c r="J132" s="223">
        <f t="shared" si="182"/>
        <v>1128.0732135978185</v>
      </c>
      <c r="K132" s="223">
        <f t="shared" si="183"/>
        <v>302.18058719728629</v>
      </c>
      <c r="L132" s="223">
        <f t="shared" si="184"/>
        <v>202.57911775177499</v>
      </c>
      <c r="M132" s="223">
        <f t="shared" si="185"/>
        <v>281.9217941374423</v>
      </c>
      <c r="N132" s="224">
        <f>IF(ISERROR(VLOOKUP($A132,'HRGs to TFCs % Split'!$A$8:$I$145,6,0)),0,VLOOKUP($A132,'HRGs to TFCs % Split'!$A$8:$I$145,6,0))</f>
        <v>0</v>
      </c>
      <c r="O132" s="224">
        <f>IF(ISERROR(VLOOKUP($A132,'HRGs to TFCs % Split'!$A$8:$I$145,6,0)),0,VLOOKUP($A132,'HRGs to TFCs % Split'!$A$8:$I$145,7,0))</f>
        <v>3.9029705899457133E-7</v>
      </c>
      <c r="P132" s="224">
        <f>IF(ISERROR(VLOOKUP($A132,'HRGs to TFCs % Split'!$A$8:$I$145,6,0)),0,VLOOKUP($A132,'HRGs to TFCs % Split'!$A$8:$I$145,8,0))</f>
        <v>0</v>
      </c>
      <c r="Q132" s="224">
        <f>IF(ISERROR(VLOOKUP($A132,'HRGs to TFCs % Split'!$A$8:$I$145,6,0)),0,VLOOKUP($A132,'HRGs to TFCs % Split'!$A$8:$I$145,9,0))</f>
        <v>3.9029705899457133E-7</v>
      </c>
      <c r="R132" s="225">
        <f t="shared" si="186"/>
        <v>0</v>
      </c>
      <c r="S132" s="225">
        <f t="shared" si="187"/>
        <v>1</v>
      </c>
      <c r="T132" s="225">
        <f t="shared" si="188"/>
        <v>0</v>
      </c>
      <c r="U132" s="225">
        <f t="shared" si="189"/>
        <v>1</v>
      </c>
      <c r="V132" s="224">
        <f>IF(ISERROR(VLOOKUP($A132,'HRGs to TFCs % Split'!$A$8:$I$145,6,0)),0,VLOOKUP($A132,'HRGs to TFCs % Split'!$A$8:$I$145,6,0))</f>
        <v>0</v>
      </c>
      <c r="W132" s="224">
        <f>IF(ISERROR(VLOOKUP($A132,'HRGs to TFCs % Split'!$A$8:$I$145,6,0)),0,VLOOKUP($A132,'HRGs to TFCs % Split'!$A$8:$I$145,7,0))</f>
        <v>3.9029705899457133E-7</v>
      </c>
      <c r="X132" s="224">
        <f>IF(ISERROR(VLOOKUP($A132,'HRGs to TFCs % Split'!$A$8:$I$145,6,0)),0,VLOOKUP($A132,'HRGs to TFCs % Split'!$A$8:$I$145,8,0))</f>
        <v>0</v>
      </c>
      <c r="Y132" s="224">
        <f>IF(ISERROR(VLOOKUP($A132,'HRGs to TFCs % Split'!$A$8:$I$145,6,0)),0,VLOOKUP($A132,'HRGs to TFCs % Split'!$A$8:$I$145,9,0))</f>
        <v>3.9029705899457133E-7</v>
      </c>
      <c r="Z132" s="225">
        <f t="shared" si="190"/>
        <v>0</v>
      </c>
      <c r="AA132" s="225">
        <f t="shared" si="191"/>
        <v>61.550286945776456</v>
      </c>
      <c r="AB132" s="225">
        <f t="shared" si="192"/>
        <v>0</v>
      </c>
      <c r="AC132" s="225">
        <f t="shared" si="193"/>
        <v>61.550286945776456</v>
      </c>
      <c r="AD132" s="226">
        <f t="shared" si="194"/>
        <v>65</v>
      </c>
      <c r="AE132" s="226">
        <f t="shared" si="195"/>
        <v>2041</v>
      </c>
      <c r="AF132" s="226">
        <f t="shared" si="196"/>
        <v>8</v>
      </c>
      <c r="AG132" s="226">
        <f t="shared" si="197"/>
        <v>9150</v>
      </c>
      <c r="AH132" s="226">
        <f t="shared" si="198"/>
        <v>73324.758883858201</v>
      </c>
      <c r="AI132" s="226">
        <f t="shared" si="199"/>
        <v>616509.94816940976</v>
      </c>
      <c r="AJ132" s="226">
        <f t="shared" si="200"/>
        <v>1620.6329420141999</v>
      </c>
      <c r="AK132" s="226">
        <f t="shared" si="201"/>
        <v>2579364.0448504058</v>
      </c>
      <c r="AL132" s="227">
        <f t="shared" si="202"/>
        <v>1128.0732135978185</v>
      </c>
      <c r="AM132" s="227">
        <f t="shared" si="203"/>
        <v>302.06268896100431</v>
      </c>
      <c r="AN132" s="227">
        <f t="shared" si="204"/>
        <v>202.57911775177499</v>
      </c>
      <c r="AO132" s="227">
        <f t="shared" si="205"/>
        <v>281.89770981971645</v>
      </c>
      <c r="AP132" s="228">
        <f t="shared" si="206"/>
        <v>0</v>
      </c>
      <c r="AQ132" s="228">
        <f t="shared" si="207"/>
        <v>-3.9015820763166342E-4</v>
      </c>
      <c r="AR132" s="228">
        <f t="shared" si="208"/>
        <v>0</v>
      </c>
      <c r="AS132" s="228">
        <f t="shared" si="209"/>
        <v>-8.5429073688803037E-5</v>
      </c>
      <c r="AT132" s="227">
        <f>IF(ISERROR(VLOOKUP(A132,Mandatory!A:A,1,FALSE)),0,1)</f>
        <v>0</v>
      </c>
    </row>
    <row r="133" spans="1:46">
      <c r="A133" s="231">
        <v>712</v>
      </c>
      <c r="B133" s="222">
        <f>VLOOKUP(A133,OPATT_Activities!A:J,3,FALSE)</f>
        <v>0</v>
      </c>
      <c r="C133" s="222">
        <f>VLOOKUP(A133,OPATT_Activities!A:J,4,FALSE)</f>
        <v>42</v>
      </c>
      <c r="D133" s="222">
        <f>VLOOKUP(A133,OPATT_Activities!A:J,5,FALSE)</f>
        <v>0</v>
      </c>
      <c r="E133" s="222">
        <f>VLOOKUP(A133,OPATT_Activities!A:J,6,FALSE)</f>
        <v>794</v>
      </c>
      <c r="F133" s="222">
        <f>VLOOKUP(A133,OPATT_Cost_Quantum!A:F,2,FALSE)</f>
        <v>0</v>
      </c>
      <c r="G133" s="222">
        <f>VLOOKUP(A133,OPATT_Cost_Quantum!A:F,3,FALSE)</f>
        <v>23921.241945780701</v>
      </c>
      <c r="H133" s="222">
        <f>VLOOKUP(A133,OPATT_Cost_Quantum!A:F,4,FALSE)</f>
        <v>0</v>
      </c>
      <c r="I133" s="222">
        <f>VLOOKUP(A133,OPATT_Cost_Quantum!A:F,5,FALSE)</f>
        <v>325787.294865829</v>
      </c>
      <c r="J133" s="223">
        <f t="shared" si="182"/>
        <v>0</v>
      </c>
      <c r="K133" s="223">
        <f t="shared" si="183"/>
        <v>569.55337966144521</v>
      </c>
      <c r="L133" s="223">
        <f t="shared" si="184"/>
        <v>0</v>
      </c>
      <c r="M133" s="223">
        <f t="shared" si="185"/>
        <v>410.31145449096852</v>
      </c>
      <c r="N133" s="224">
        <f>IF(ISERROR(VLOOKUP($A133,'HRGs to TFCs % Split'!$A$8:$I$145,6,0)),0,VLOOKUP($A133,'HRGs to TFCs % Split'!$A$8:$I$145,6,0))</f>
        <v>0</v>
      </c>
      <c r="O133" s="224">
        <f>IF(ISERROR(VLOOKUP($A133,'HRGs to TFCs % Split'!$A$8:$I$145,6,0)),0,VLOOKUP($A133,'HRGs to TFCs % Split'!$A$8:$I$145,7,0))</f>
        <v>9.7574264748642833E-8</v>
      </c>
      <c r="P133" s="224">
        <f>IF(ISERROR(VLOOKUP($A133,'HRGs to TFCs % Split'!$A$8:$I$145,6,0)),0,VLOOKUP($A133,'HRGs to TFCs % Split'!$A$8:$I$145,8,0))</f>
        <v>0</v>
      </c>
      <c r="Q133" s="224">
        <f>IF(ISERROR(VLOOKUP($A133,'HRGs to TFCs % Split'!$A$8:$I$145,6,0)),0,VLOOKUP($A133,'HRGs to TFCs % Split'!$A$8:$I$145,9,0))</f>
        <v>0</v>
      </c>
      <c r="R133" s="225">
        <f t="shared" si="186"/>
        <v>0</v>
      </c>
      <c r="S133" s="225">
        <f t="shared" si="187"/>
        <v>0</v>
      </c>
      <c r="T133" s="225">
        <f t="shared" si="188"/>
        <v>0</v>
      </c>
      <c r="U133" s="225">
        <f t="shared" si="189"/>
        <v>0</v>
      </c>
      <c r="V133" s="224">
        <f>IF(ISERROR(VLOOKUP($A133,'HRGs to TFCs % Split'!$A$8:$I$145,6,0)),0,VLOOKUP($A133,'HRGs to TFCs % Split'!$A$8:$I$145,6,0))</f>
        <v>0</v>
      </c>
      <c r="W133" s="224">
        <f>IF(ISERROR(VLOOKUP($A133,'HRGs to TFCs % Split'!$A$8:$I$145,6,0)),0,VLOOKUP($A133,'HRGs to TFCs % Split'!$A$8:$I$145,7,0))</f>
        <v>9.7574264748642833E-8</v>
      </c>
      <c r="X133" s="224">
        <f>IF(ISERROR(VLOOKUP($A133,'HRGs to TFCs % Split'!$A$8:$I$145,6,0)),0,VLOOKUP($A133,'HRGs to TFCs % Split'!$A$8:$I$145,8,0))</f>
        <v>0</v>
      </c>
      <c r="Y133" s="224">
        <f>IF(ISERROR(VLOOKUP($A133,'HRGs to TFCs % Split'!$A$8:$I$145,6,0)),0,VLOOKUP($A133,'HRGs to TFCs % Split'!$A$8:$I$145,9,0))</f>
        <v>0</v>
      </c>
      <c r="Z133" s="225">
        <f t="shared" si="190"/>
        <v>0</v>
      </c>
      <c r="AA133" s="225">
        <f t="shared" si="191"/>
        <v>15.387571736444114</v>
      </c>
      <c r="AB133" s="225">
        <f t="shared" si="192"/>
        <v>0</v>
      </c>
      <c r="AC133" s="225">
        <f t="shared" si="193"/>
        <v>0</v>
      </c>
      <c r="AD133" s="226">
        <f t="shared" si="194"/>
        <v>0</v>
      </c>
      <c r="AE133" s="226">
        <f t="shared" si="195"/>
        <v>42</v>
      </c>
      <c r="AF133" s="226">
        <f t="shared" si="196"/>
        <v>0</v>
      </c>
      <c r="AG133" s="226">
        <f t="shared" si="197"/>
        <v>794</v>
      </c>
      <c r="AH133" s="226">
        <f t="shared" si="198"/>
        <v>0</v>
      </c>
      <c r="AI133" s="226">
        <f t="shared" si="199"/>
        <v>23936.629517517144</v>
      </c>
      <c r="AJ133" s="226">
        <f t="shared" si="200"/>
        <v>0</v>
      </c>
      <c r="AK133" s="226">
        <f t="shared" si="201"/>
        <v>325787.294865829</v>
      </c>
      <c r="AL133" s="227">
        <f t="shared" si="202"/>
        <v>0</v>
      </c>
      <c r="AM133" s="227">
        <f t="shared" si="203"/>
        <v>569.91975041707485</v>
      </c>
      <c r="AN133" s="227">
        <f t="shared" si="204"/>
        <v>0</v>
      </c>
      <c r="AO133" s="227">
        <f t="shared" si="205"/>
        <v>410.31145449096852</v>
      </c>
      <c r="AP133" s="228">
        <f t="shared" si="206"/>
        <v>0</v>
      </c>
      <c r="AQ133" s="228">
        <f t="shared" si="207"/>
        <v>6.4325973422785232E-4</v>
      </c>
      <c r="AR133" s="228">
        <f t="shared" si="208"/>
        <v>0</v>
      </c>
      <c r="AS133" s="228">
        <f t="shared" si="209"/>
        <v>0</v>
      </c>
      <c r="AT133" s="227">
        <f>IF(ISERROR(VLOOKUP(A133,Mandatory!A:A,1,FALSE)),0,1)</f>
        <v>0</v>
      </c>
    </row>
    <row r="134" spans="1:46">
      <c r="A134" s="231">
        <v>713</v>
      </c>
      <c r="B134" s="222">
        <f>VLOOKUP(A134,OPATT_Activities!A:J,3,FALSE)</f>
        <v>0</v>
      </c>
      <c r="C134" s="222">
        <f>VLOOKUP(A134,OPATT_Activities!A:J,4,FALSE)</f>
        <v>187</v>
      </c>
      <c r="D134" s="222">
        <f>VLOOKUP(A134,OPATT_Activities!A:J,5,FALSE)</f>
        <v>0</v>
      </c>
      <c r="E134" s="222">
        <f>VLOOKUP(A134,OPATT_Activities!A:J,6,FALSE)</f>
        <v>2886</v>
      </c>
      <c r="F134" s="222">
        <f>VLOOKUP(A134,OPATT_Cost_Quantum!A:F,2,FALSE)</f>
        <v>0</v>
      </c>
      <c r="G134" s="222">
        <f>VLOOKUP(A134,OPATT_Cost_Quantum!A:F,3,FALSE)</f>
        <v>28439.5504024398</v>
      </c>
      <c r="H134" s="222">
        <f>VLOOKUP(A134,OPATT_Cost_Quantum!A:F,4,FALSE)</f>
        <v>0</v>
      </c>
      <c r="I134" s="222">
        <f>VLOOKUP(A134,OPATT_Cost_Quantum!A:F,5,FALSE)</f>
        <v>380484.59551986499</v>
      </c>
      <c r="J134" s="223">
        <f t="shared" si="182"/>
        <v>0</v>
      </c>
      <c r="K134" s="223">
        <f t="shared" si="183"/>
        <v>152.08315723229839</v>
      </c>
      <c r="L134" s="223">
        <f t="shared" si="184"/>
        <v>0</v>
      </c>
      <c r="M134" s="223">
        <f t="shared" si="185"/>
        <v>131.8380441856774</v>
      </c>
      <c r="N134" s="224">
        <f>IF(ISERROR(VLOOKUP($A134,'HRGs to TFCs % Split'!$A$8:$I$145,6,0)),0,VLOOKUP($A134,'HRGs to TFCs % Split'!$A$8:$I$145,6,0))</f>
        <v>0</v>
      </c>
      <c r="O134" s="224">
        <f>IF(ISERROR(VLOOKUP($A134,'HRGs to TFCs % Split'!$A$8:$I$145,6,0)),0,VLOOKUP($A134,'HRGs to TFCs % Split'!$A$8:$I$145,7,0))</f>
        <v>0</v>
      </c>
      <c r="P134" s="224">
        <f>IF(ISERROR(VLOOKUP($A134,'HRGs to TFCs % Split'!$A$8:$I$145,6,0)),0,VLOOKUP($A134,'HRGs to TFCs % Split'!$A$8:$I$145,8,0))</f>
        <v>0</v>
      </c>
      <c r="Q134" s="224">
        <f>IF(ISERROR(VLOOKUP($A134,'HRGs to TFCs % Split'!$A$8:$I$145,6,0)),0,VLOOKUP($A134,'HRGs to TFCs % Split'!$A$8:$I$145,9,0))</f>
        <v>1.9514852949728567E-7</v>
      </c>
      <c r="R134" s="225">
        <f t="shared" si="186"/>
        <v>0</v>
      </c>
      <c r="S134" s="225">
        <f t="shared" si="187"/>
        <v>0</v>
      </c>
      <c r="T134" s="225">
        <f t="shared" si="188"/>
        <v>0</v>
      </c>
      <c r="U134" s="225">
        <f t="shared" si="189"/>
        <v>0</v>
      </c>
      <c r="V134" s="224">
        <f>IF(ISERROR(VLOOKUP($A134,'HRGs to TFCs % Split'!$A$8:$I$145,6,0)),0,VLOOKUP($A134,'HRGs to TFCs % Split'!$A$8:$I$145,6,0))</f>
        <v>0</v>
      </c>
      <c r="W134" s="224">
        <f>IF(ISERROR(VLOOKUP($A134,'HRGs to TFCs % Split'!$A$8:$I$145,6,0)),0,VLOOKUP($A134,'HRGs to TFCs % Split'!$A$8:$I$145,7,0))</f>
        <v>0</v>
      </c>
      <c r="X134" s="224">
        <f>IF(ISERROR(VLOOKUP($A134,'HRGs to TFCs % Split'!$A$8:$I$145,6,0)),0,VLOOKUP($A134,'HRGs to TFCs % Split'!$A$8:$I$145,8,0))</f>
        <v>0</v>
      </c>
      <c r="Y134" s="224">
        <f>IF(ISERROR(VLOOKUP($A134,'HRGs to TFCs % Split'!$A$8:$I$145,6,0)),0,VLOOKUP($A134,'HRGs to TFCs % Split'!$A$8:$I$145,9,0))</f>
        <v>1.9514852949728567E-7</v>
      </c>
      <c r="Z134" s="225">
        <f t="shared" si="190"/>
        <v>0</v>
      </c>
      <c r="AA134" s="225">
        <f t="shared" si="191"/>
        <v>0</v>
      </c>
      <c r="AB134" s="225">
        <f t="shared" si="192"/>
        <v>0</v>
      </c>
      <c r="AC134" s="225">
        <f t="shared" si="193"/>
        <v>30.775143472888228</v>
      </c>
      <c r="AD134" s="226">
        <f t="shared" si="194"/>
        <v>0</v>
      </c>
      <c r="AE134" s="226">
        <f t="shared" si="195"/>
        <v>187</v>
      </c>
      <c r="AF134" s="226">
        <f t="shared" si="196"/>
        <v>0</v>
      </c>
      <c r="AG134" s="226">
        <f t="shared" si="197"/>
        <v>2886</v>
      </c>
      <c r="AH134" s="226">
        <f t="shared" si="198"/>
        <v>0</v>
      </c>
      <c r="AI134" s="226">
        <f t="shared" si="199"/>
        <v>28439.5504024398</v>
      </c>
      <c r="AJ134" s="226">
        <f t="shared" si="200"/>
        <v>0</v>
      </c>
      <c r="AK134" s="226">
        <f t="shared" si="201"/>
        <v>380515.37066333788</v>
      </c>
      <c r="AL134" s="227">
        <f t="shared" si="202"/>
        <v>0</v>
      </c>
      <c r="AM134" s="227">
        <f t="shared" si="203"/>
        <v>152.08315723229839</v>
      </c>
      <c r="AN134" s="227">
        <f t="shared" si="204"/>
        <v>0</v>
      </c>
      <c r="AO134" s="227">
        <f t="shared" si="205"/>
        <v>131.84870778355435</v>
      </c>
      <c r="AP134" s="228">
        <f t="shared" si="206"/>
        <v>0</v>
      </c>
      <c r="AQ134" s="228">
        <f t="shared" si="207"/>
        <v>0</v>
      </c>
      <c r="AR134" s="228">
        <f t="shared" si="208"/>
        <v>0</v>
      </c>
      <c r="AS134" s="228">
        <f t="shared" si="209"/>
        <v>8.0884072141795826E-5</v>
      </c>
      <c r="AT134" s="227">
        <f>IF(ISERROR(VLOOKUP(A134,Mandatory!A:A,1,FALSE)),0,1)</f>
        <v>0</v>
      </c>
    </row>
    <row r="135" spans="1:46">
      <c r="A135" s="231">
        <v>715</v>
      </c>
      <c r="B135" s="222">
        <f>VLOOKUP(A135,OPATT_Activities!A:J,3,FALSE)</f>
        <v>0</v>
      </c>
      <c r="C135" s="222">
        <f>VLOOKUP(A135,OPATT_Activities!A:J,4,FALSE)</f>
        <v>943</v>
      </c>
      <c r="D135" s="222">
        <f>VLOOKUP(A135,OPATT_Activities!A:J,5,FALSE)</f>
        <v>0</v>
      </c>
      <c r="E135" s="222">
        <f>VLOOKUP(A135,OPATT_Activities!A:J,6,FALSE)</f>
        <v>3018</v>
      </c>
      <c r="F135" s="222">
        <f>VLOOKUP(A135,OPATT_Cost_Quantum!A:F,2,FALSE)</f>
        <v>0</v>
      </c>
      <c r="G135" s="222">
        <f>VLOOKUP(A135,OPATT_Cost_Quantum!A:F,3,FALSE)</f>
        <v>98879.352720607203</v>
      </c>
      <c r="H135" s="222">
        <f>VLOOKUP(A135,OPATT_Cost_Quantum!A:F,4,FALSE)</f>
        <v>0</v>
      </c>
      <c r="I135" s="222">
        <f>VLOOKUP(A135,OPATT_Cost_Quantum!A:F,5,FALSE)</f>
        <v>315249.266054212</v>
      </c>
      <c r="J135" s="223">
        <f t="shared" si="182"/>
        <v>0</v>
      </c>
      <c r="K135" s="223">
        <f t="shared" si="183"/>
        <v>104.85615346830032</v>
      </c>
      <c r="L135" s="223">
        <f t="shared" si="184"/>
        <v>0</v>
      </c>
      <c r="M135" s="223">
        <f t="shared" si="185"/>
        <v>104.45635058124984</v>
      </c>
      <c r="N135" s="224">
        <f>IF(ISERROR(VLOOKUP($A135,'HRGs to TFCs % Split'!$A$8:$I$145,6,0)),0,VLOOKUP($A135,'HRGs to TFCs % Split'!$A$8:$I$145,6,0))</f>
        <v>0</v>
      </c>
      <c r="O135" s="224">
        <f>IF(ISERROR(VLOOKUP($A135,'HRGs to TFCs % Split'!$A$8:$I$145,6,0)),0,VLOOKUP($A135,'HRGs to TFCs % Split'!$A$8:$I$145,7,0))</f>
        <v>0</v>
      </c>
      <c r="P135" s="224">
        <f>IF(ISERROR(VLOOKUP($A135,'HRGs to TFCs % Split'!$A$8:$I$145,6,0)),0,VLOOKUP($A135,'HRGs to TFCs % Split'!$A$8:$I$145,8,0))</f>
        <v>0</v>
      </c>
      <c r="Q135" s="224">
        <f>IF(ISERROR(VLOOKUP($A135,'HRGs to TFCs % Split'!$A$8:$I$145,6,0)),0,VLOOKUP($A135,'HRGs to TFCs % Split'!$A$8:$I$145,9,0))</f>
        <v>0</v>
      </c>
      <c r="R135" s="225">
        <f t="shared" si="186"/>
        <v>0</v>
      </c>
      <c r="S135" s="225">
        <f t="shared" si="187"/>
        <v>0</v>
      </c>
      <c r="T135" s="225">
        <f t="shared" si="188"/>
        <v>0</v>
      </c>
      <c r="U135" s="225">
        <f t="shared" si="189"/>
        <v>0</v>
      </c>
      <c r="V135" s="224">
        <f>IF(ISERROR(VLOOKUP($A135,'HRGs to TFCs % Split'!$A$8:$I$145,6,0)),0,VLOOKUP($A135,'HRGs to TFCs % Split'!$A$8:$I$145,6,0))</f>
        <v>0</v>
      </c>
      <c r="W135" s="224">
        <f>IF(ISERROR(VLOOKUP($A135,'HRGs to TFCs % Split'!$A$8:$I$145,6,0)),0,VLOOKUP($A135,'HRGs to TFCs % Split'!$A$8:$I$145,7,0))</f>
        <v>0</v>
      </c>
      <c r="X135" s="224">
        <f>IF(ISERROR(VLOOKUP($A135,'HRGs to TFCs % Split'!$A$8:$I$145,6,0)),0,VLOOKUP($A135,'HRGs to TFCs % Split'!$A$8:$I$145,8,0))</f>
        <v>0</v>
      </c>
      <c r="Y135" s="224">
        <f>IF(ISERROR(VLOOKUP($A135,'HRGs to TFCs % Split'!$A$8:$I$145,6,0)),0,VLOOKUP($A135,'HRGs to TFCs % Split'!$A$8:$I$145,9,0))</f>
        <v>0</v>
      </c>
      <c r="Z135" s="225">
        <f t="shared" si="190"/>
        <v>0</v>
      </c>
      <c r="AA135" s="225">
        <f t="shared" si="191"/>
        <v>0</v>
      </c>
      <c r="AB135" s="225">
        <f t="shared" si="192"/>
        <v>0</v>
      </c>
      <c r="AC135" s="225">
        <f t="shared" si="193"/>
        <v>0</v>
      </c>
      <c r="AD135" s="226">
        <f t="shared" si="194"/>
        <v>0</v>
      </c>
      <c r="AE135" s="226">
        <f t="shared" si="195"/>
        <v>943</v>
      </c>
      <c r="AF135" s="226">
        <f t="shared" si="196"/>
        <v>0</v>
      </c>
      <c r="AG135" s="226">
        <f t="shared" si="197"/>
        <v>3018</v>
      </c>
      <c r="AH135" s="226">
        <f t="shared" si="198"/>
        <v>0</v>
      </c>
      <c r="AI135" s="226">
        <f t="shared" si="199"/>
        <v>98879.352720607203</v>
      </c>
      <c r="AJ135" s="226">
        <f t="shared" si="200"/>
        <v>0</v>
      </c>
      <c r="AK135" s="226">
        <f t="shared" si="201"/>
        <v>315249.266054212</v>
      </c>
      <c r="AL135" s="227">
        <f t="shared" si="202"/>
        <v>0</v>
      </c>
      <c r="AM135" s="227">
        <f t="shared" si="203"/>
        <v>104.85615346830032</v>
      </c>
      <c r="AN135" s="227">
        <f t="shared" si="204"/>
        <v>0</v>
      </c>
      <c r="AO135" s="227">
        <f t="shared" si="205"/>
        <v>104.45635058124984</v>
      </c>
      <c r="AP135" s="228">
        <f t="shared" si="206"/>
        <v>0</v>
      </c>
      <c r="AQ135" s="228">
        <f t="shared" si="207"/>
        <v>0</v>
      </c>
      <c r="AR135" s="228">
        <f t="shared" si="208"/>
        <v>0</v>
      </c>
      <c r="AS135" s="228">
        <f t="shared" si="209"/>
        <v>0</v>
      </c>
      <c r="AT135" s="227">
        <f>IF(ISERROR(VLOOKUP(A135,Mandatory!A:A,1,FALSE)),0,1)</f>
        <v>0</v>
      </c>
    </row>
    <row r="136" spans="1:46">
      <c r="A136" s="231">
        <v>721</v>
      </c>
      <c r="B136" s="222">
        <f>VLOOKUP(A136,OPATT_Activities!A:J,3,FALSE)</f>
        <v>0</v>
      </c>
      <c r="C136" s="222">
        <f>VLOOKUP(A136,OPATT_Activities!A:J,4,FALSE)</f>
        <v>78</v>
      </c>
      <c r="D136" s="222">
        <f>VLOOKUP(A136,OPATT_Activities!A:J,5,FALSE)</f>
        <v>0</v>
      </c>
      <c r="E136" s="222">
        <f>VLOOKUP(A136,OPATT_Activities!A:J,6,FALSE)</f>
        <v>190</v>
      </c>
      <c r="F136" s="222">
        <f>VLOOKUP(A136,OPATT_Cost_Quantum!A:F,2,FALSE)</f>
        <v>0</v>
      </c>
      <c r="G136" s="222">
        <f>VLOOKUP(A136,OPATT_Cost_Quantum!A:F,3,FALSE)</f>
        <v>6477.0299416301004</v>
      </c>
      <c r="H136" s="222">
        <f>VLOOKUP(A136,OPATT_Cost_Quantum!A:F,4,FALSE)</f>
        <v>0</v>
      </c>
      <c r="I136" s="222">
        <f>VLOOKUP(A136,OPATT_Cost_Quantum!A:F,5,FALSE)</f>
        <v>12343.3316743299</v>
      </c>
      <c r="J136" s="223">
        <f t="shared" si="182"/>
        <v>0</v>
      </c>
      <c r="K136" s="223">
        <f t="shared" si="183"/>
        <v>83.03884540551411</v>
      </c>
      <c r="L136" s="223">
        <f t="shared" si="184"/>
        <v>0</v>
      </c>
      <c r="M136" s="223">
        <f t="shared" si="185"/>
        <v>64.964903549104733</v>
      </c>
      <c r="N136" s="224">
        <f>IF(ISERROR(VLOOKUP($A136,'HRGs to TFCs % Split'!$A$8:$I$145,6,0)),0,VLOOKUP($A136,'HRGs to TFCs % Split'!$A$8:$I$145,6,0))</f>
        <v>0</v>
      </c>
      <c r="O136" s="224">
        <f>IF(ISERROR(VLOOKUP($A136,'HRGs to TFCs % Split'!$A$8:$I$145,6,0)),0,VLOOKUP($A136,'HRGs to TFCs % Split'!$A$8:$I$145,7,0))</f>
        <v>0</v>
      </c>
      <c r="P136" s="224">
        <f>IF(ISERROR(VLOOKUP($A136,'HRGs to TFCs % Split'!$A$8:$I$145,6,0)),0,VLOOKUP($A136,'HRGs to TFCs % Split'!$A$8:$I$145,8,0))</f>
        <v>0</v>
      </c>
      <c r="Q136" s="224">
        <f>IF(ISERROR(VLOOKUP($A136,'HRGs to TFCs % Split'!$A$8:$I$145,6,0)),0,VLOOKUP($A136,'HRGs to TFCs % Split'!$A$8:$I$145,9,0))</f>
        <v>2.9272279424592851E-7</v>
      </c>
      <c r="R136" s="225">
        <f t="shared" si="186"/>
        <v>0</v>
      </c>
      <c r="S136" s="225">
        <f t="shared" si="187"/>
        <v>0</v>
      </c>
      <c r="T136" s="225">
        <f t="shared" si="188"/>
        <v>0</v>
      </c>
      <c r="U136" s="225">
        <f t="shared" si="189"/>
        <v>0</v>
      </c>
      <c r="V136" s="224">
        <f>IF(ISERROR(VLOOKUP($A136,'HRGs to TFCs % Split'!$A$8:$I$145,6,0)),0,VLOOKUP($A136,'HRGs to TFCs % Split'!$A$8:$I$145,6,0))</f>
        <v>0</v>
      </c>
      <c r="W136" s="224">
        <f>IF(ISERROR(VLOOKUP($A136,'HRGs to TFCs % Split'!$A$8:$I$145,6,0)),0,VLOOKUP($A136,'HRGs to TFCs % Split'!$A$8:$I$145,7,0))</f>
        <v>0</v>
      </c>
      <c r="X136" s="224">
        <f>IF(ISERROR(VLOOKUP($A136,'HRGs to TFCs % Split'!$A$8:$I$145,6,0)),0,VLOOKUP($A136,'HRGs to TFCs % Split'!$A$8:$I$145,8,0))</f>
        <v>0</v>
      </c>
      <c r="Y136" s="224">
        <f>IF(ISERROR(VLOOKUP($A136,'HRGs to TFCs % Split'!$A$8:$I$145,6,0)),0,VLOOKUP($A136,'HRGs to TFCs % Split'!$A$8:$I$145,9,0))</f>
        <v>2.9272279424592851E-7</v>
      </c>
      <c r="Z136" s="225">
        <f t="shared" si="190"/>
        <v>0</v>
      </c>
      <c r="AA136" s="225">
        <f t="shared" si="191"/>
        <v>0</v>
      </c>
      <c r="AB136" s="225">
        <f t="shared" si="192"/>
        <v>0</v>
      </c>
      <c r="AC136" s="225">
        <f t="shared" si="193"/>
        <v>46.162715209332347</v>
      </c>
      <c r="AD136" s="226">
        <f t="shared" si="194"/>
        <v>0</v>
      </c>
      <c r="AE136" s="226">
        <f t="shared" si="195"/>
        <v>78</v>
      </c>
      <c r="AF136" s="226">
        <f t="shared" si="196"/>
        <v>0</v>
      </c>
      <c r="AG136" s="226">
        <f t="shared" si="197"/>
        <v>190</v>
      </c>
      <c r="AH136" s="226">
        <f t="shared" si="198"/>
        <v>0</v>
      </c>
      <c r="AI136" s="226">
        <f t="shared" si="199"/>
        <v>6477.0299416301004</v>
      </c>
      <c r="AJ136" s="226">
        <f t="shared" si="200"/>
        <v>0</v>
      </c>
      <c r="AK136" s="226">
        <f t="shared" si="201"/>
        <v>12389.494389539232</v>
      </c>
      <c r="AL136" s="227">
        <f t="shared" si="202"/>
        <v>0</v>
      </c>
      <c r="AM136" s="227">
        <f t="shared" si="203"/>
        <v>83.03884540551411</v>
      </c>
      <c r="AN136" s="227">
        <f t="shared" si="204"/>
        <v>0</v>
      </c>
      <c r="AO136" s="227">
        <f t="shared" si="205"/>
        <v>65.207865208101225</v>
      </c>
      <c r="AP136" s="228">
        <f t="shared" si="206"/>
        <v>0</v>
      </c>
      <c r="AQ136" s="228">
        <f t="shared" si="207"/>
        <v>0</v>
      </c>
      <c r="AR136" s="228">
        <f t="shared" si="208"/>
        <v>0</v>
      </c>
      <c r="AS136" s="228">
        <f t="shared" si="209"/>
        <v>3.7398910138124464E-3</v>
      </c>
      <c r="AT136" s="227">
        <f>IF(ISERROR(VLOOKUP(A136,Mandatory!A:A,1,FALSE)),0,1)</f>
        <v>0</v>
      </c>
    </row>
    <row r="137" spans="1:46">
      <c r="A137" s="231">
        <v>722</v>
      </c>
      <c r="B137" s="222">
        <f>VLOOKUP(A137,OPATT_Activities!A:J,3,FALSE)</f>
        <v>0</v>
      </c>
      <c r="C137" s="222">
        <f>VLOOKUP(A137,OPATT_Activities!A:J,4,FALSE)</f>
        <v>2087</v>
      </c>
      <c r="D137" s="222">
        <f>VLOOKUP(A137,OPATT_Activities!A:J,5,FALSE)</f>
        <v>0</v>
      </c>
      <c r="E137" s="222">
        <f>VLOOKUP(A137,OPATT_Activities!A:J,6,FALSE)</f>
        <v>3571</v>
      </c>
      <c r="F137" s="222">
        <f>VLOOKUP(A137,OPATT_Cost_Quantum!A:F,2,FALSE)</f>
        <v>0</v>
      </c>
      <c r="G137" s="222">
        <f>VLOOKUP(A137,OPATT_Cost_Quantum!A:F,3,FALSE)</f>
        <v>257894.51633592401</v>
      </c>
      <c r="H137" s="222">
        <f>VLOOKUP(A137,OPATT_Cost_Quantum!A:F,4,FALSE)</f>
        <v>0</v>
      </c>
      <c r="I137" s="222">
        <f>VLOOKUP(A137,OPATT_Cost_Quantum!A:F,5,FALSE)</f>
        <v>400772.015008057</v>
      </c>
      <c r="J137" s="223">
        <f t="shared" si="182"/>
        <v>0</v>
      </c>
      <c r="K137" s="223">
        <f t="shared" si="183"/>
        <v>123.57188133010254</v>
      </c>
      <c r="L137" s="223">
        <f t="shared" si="184"/>
        <v>0</v>
      </c>
      <c r="M137" s="223">
        <f t="shared" si="185"/>
        <v>112.22963175806693</v>
      </c>
      <c r="N137" s="224">
        <f>IF(ISERROR(VLOOKUP($A137,'HRGs to TFCs % Split'!$A$8:$I$145,6,0)),0,VLOOKUP($A137,'HRGs to TFCs % Split'!$A$8:$I$145,6,0))</f>
        <v>0</v>
      </c>
      <c r="O137" s="224">
        <f>IF(ISERROR(VLOOKUP($A137,'HRGs to TFCs % Split'!$A$8:$I$145,6,0)),0,VLOOKUP($A137,'HRGs to TFCs % Split'!$A$8:$I$145,7,0))</f>
        <v>0</v>
      </c>
      <c r="P137" s="224">
        <f>IF(ISERROR(VLOOKUP($A137,'HRGs to TFCs % Split'!$A$8:$I$145,6,0)),0,VLOOKUP($A137,'HRGs to TFCs % Split'!$A$8:$I$145,8,0))</f>
        <v>0</v>
      </c>
      <c r="Q137" s="224">
        <f>IF(ISERROR(VLOOKUP($A137,'HRGs to TFCs % Split'!$A$8:$I$145,6,0)),0,VLOOKUP($A137,'HRGs to TFCs % Split'!$A$8:$I$145,9,0))</f>
        <v>7.5132183856454988E-6</v>
      </c>
      <c r="R137" s="225">
        <f t="shared" si="186"/>
        <v>0</v>
      </c>
      <c r="S137" s="225">
        <f t="shared" si="187"/>
        <v>0</v>
      </c>
      <c r="T137" s="225">
        <f t="shared" si="188"/>
        <v>0</v>
      </c>
      <c r="U137" s="225">
        <f t="shared" si="189"/>
        <v>10</v>
      </c>
      <c r="V137" s="224">
        <f>IF(ISERROR(VLOOKUP($A137,'HRGs to TFCs % Split'!$A$8:$I$145,6,0)),0,VLOOKUP($A137,'HRGs to TFCs % Split'!$A$8:$I$145,6,0))</f>
        <v>0</v>
      </c>
      <c r="W137" s="224">
        <f>IF(ISERROR(VLOOKUP($A137,'HRGs to TFCs % Split'!$A$8:$I$145,6,0)),0,VLOOKUP($A137,'HRGs to TFCs % Split'!$A$8:$I$145,7,0))</f>
        <v>0</v>
      </c>
      <c r="X137" s="224">
        <f>IF(ISERROR(VLOOKUP($A137,'HRGs to TFCs % Split'!$A$8:$I$145,6,0)),0,VLOOKUP($A137,'HRGs to TFCs % Split'!$A$8:$I$145,8,0))</f>
        <v>0</v>
      </c>
      <c r="Y137" s="224">
        <f>IF(ISERROR(VLOOKUP($A137,'HRGs to TFCs % Split'!$A$8:$I$145,6,0)),0,VLOOKUP($A137,'HRGs to TFCs % Split'!$A$8:$I$145,9,0))</f>
        <v>7.5132183856454988E-6</v>
      </c>
      <c r="Z137" s="225">
        <f t="shared" si="190"/>
        <v>0</v>
      </c>
      <c r="AA137" s="225">
        <f t="shared" si="191"/>
        <v>0</v>
      </c>
      <c r="AB137" s="225">
        <f t="shared" si="192"/>
        <v>0</v>
      </c>
      <c r="AC137" s="225">
        <f t="shared" si="193"/>
        <v>1184.8430237061968</v>
      </c>
      <c r="AD137" s="226">
        <f t="shared" si="194"/>
        <v>0</v>
      </c>
      <c r="AE137" s="226">
        <f t="shared" si="195"/>
        <v>2087</v>
      </c>
      <c r="AF137" s="226">
        <f t="shared" si="196"/>
        <v>0</v>
      </c>
      <c r="AG137" s="226">
        <f t="shared" si="197"/>
        <v>3581</v>
      </c>
      <c r="AH137" s="226">
        <f t="shared" si="198"/>
        <v>0</v>
      </c>
      <c r="AI137" s="226">
        <f t="shared" si="199"/>
        <v>257894.51633592401</v>
      </c>
      <c r="AJ137" s="226">
        <f t="shared" si="200"/>
        <v>0</v>
      </c>
      <c r="AK137" s="226">
        <f t="shared" si="201"/>
        <v>401956.85803176317</v>
      </c>
      <c r="AL137" s="227">
        <f t="shared" si="202"/>
        <v>0</v>
      </c>
      <c r="AM137" s="227">
        <f t="shared" si="203"/>
        <v>123.57188133010254</v>
      </c>
      <c r="AN137" s="227">
        <f t="shared" si="204"/>
        <v>0</v>
      </c>
      <c r="AO137" s="227">
        <f t="shared" si="205"/>
        <v>112.24709802618352</v>
      </c>
      <c r="AP137" s="228">
        <f t="shared" si="206"/>
        <v>0</v>
      </c>
      <c r="AQ137" s="228">
        <f t="shared" si="207"/>
        <v>0</v>
      </c>
      <c r="AR137" s="228">
        <f t="shared" si="208"/>
        <v>0</v>
      </c>
      <c r="AS137" s="228">
        <f t="shared" si="209"/>
        <v>1.5562973737859309E-4</v>
      </c>
      <c r="AT137" s="227">
        <f>IF(ISERROR(VLOOKUP(A137,Mandatory!A:A,1,FALSE)),0,1)</f>
        <v>0</v>
      </c>
    </row>
    <row r="138" spans="1:46">
      <c r="A138" s="231">
        <v>800</v>
      </c>
      <c r="B138" s="222">
        <f>VLOOKUP(A138,OPATT_Activities!A:J,3,FALSE)</f>
        <v>13098</v>
      </c>
      <c r="C138" s="222">
        <f>VLOOKUP(A138,OPATT_Activities!A:J,4,FALSE)</f>
        <v>152991</v>
      </c>
      <c r="D138" s="222">
        <f>VLOOKUP(A138,OPATT_Activities!A:J,5,FALSE)</f>
        <v>67117</v>
      </c>
      <c r="E138" s="222">
        <f>VLOOKUP(A138,OPATT_Activities!A:J,6,FALSE)</f>
        <v>879954</v>
      </c>
      <c r="F138" s="222">
        <f>VLOOKUP(A138,OPATT_Cost_Quantum!A:F,2,FALSE)</f>
        <v>2195593.6430112398</v>
      </c>
      <c r="G138" s="222">
        <f>VLOOKUP(A138,OPATT_Cost_Quantum!A:F,3,FALSE)</f>
        <v>23207213.720642202</v>
      </c>
      <c r="H138" s="222">
        <f>VLOOKUP(A138,OPATT_Cost_Quantum!A:F,4,FALSE)</f>
        <v>9750635.3915862199</v>
      </c>
      <c r="I138" s="222">
        <f>VLOOKUP(A138,OPATT_Cost_Quantum!A:F,5,FALSE)</f>
        <v>101326137.31218</v>
      </c>
      <c r="J138" s="223">
        <f t="shared" si="182"/>
        <v>167.62816025433196</v>
      </c>
      <c r="K138" s="223">
        <f t="shared" si="183"/>
        <v>151.69005837364421</v>
      </c>
      <c r="L138" s="223">
        <f t="shared" si="184"/>
        <v>145.27817678957967</v>
      </c>
      <c r="M138" s="223">
        <f t="shared" si="185"/>
        <v>115.14935702568543</v>
      </c>
      <c r="N138" s="224">
        <f>IF(ISERROR(VLOOKUP($A138,'HRGs to TFCs % Split'!$A$8:$I$145,6,0)),0,VLOOKUP($A138,'HRGs to TFCs % Split'!$A$8:$I$145,6,0))</f>
        <v>1.6490050742520638E-5</v>
      </c>
      <c r="O138" s="224">
        <f>IF(ISERROR(VLOOKUP($A138,'HRGs to TFCs % Split'!$A$8:$I$145,6,0)),0,VLOOKUP($A138,'HRGs to TFCs % Split'!$A$8:$I$145,7,0))</f>
        <v>2.4843383547651955E-3</v>
      </c>
      <c r="P138" s="224">
        <f>IF(ISERROR(VLOOKUP($A138,'HRGs to TFCs % Split'!$A$8:$I$145,6,0)),0,VLOOKUP($A138,'HRGs to TFCs % Split'!$A$8:$I$145,8,0))</f>
        <v>5.6661375539536897E-4</v>
      </c>
      <c r="Q138" s="224">
        <f>IF(ISERROR(VLOOKUP($A138,'HRGs to TFCs % Split'!$A$8:$I$145,6,0)),0,VLOOKUP($A138,'HRGs to TFCs % Split'!$A$8:$I$145,9,0))</f>
        <v>7.6872908739570769E-2</v>
      </c>
      <c r="R138" s="225">
        <f t="shared" si="186"/>
        <v>22</v>
      </c>
      <c r="S138" s="225">
        <f t="shared" si="187"/>
        <v>3352</v>
      </c>
      <c r="T138" s="225">
        <f t="shared" si="188"/>
        <v>765</v>
      </c>
      <c r="U138" s="225">
        <f t="shared" si="189"/>
        <v>103736</v>
      </c>
      <c r="V138" s="224">
        <f>IF(ISERROR(VLOOKUP($A138,'HRGs to TFCs % Split'!$A$8:$I$145,6,0)),0,VLOOKUP($A138,'HRGs to TFCs % Split'!$A$8:$I$145,6,0))</f>
        <v>1.6490050742520638E-5</v>
      </c>
      <c r="W138" s="224">
        <f>IF(ISERROR(VLOOKUP($A138,'HRGs to TFCs % Split'!$A$8:$I$145,6,0)),0,VLOOKUP($A138,'HRGs to TFCs % Split'!$A$8:$I$145,7,0))</f>
        <v>2.4843383547651955E-3</v>
      </c>
      <c r="X138" s="224">
        <f>IF(ISERROR(VLOOKUP($A138,'HRGs to TFCs % Split'!$A$8:$I$145,6,0)),0,VLOOKUP($A138,'HRGs to TFCs % Split'!$A$8:$I$145,8,0))</f>
        <v>5.6661375539536897E-4</v>
      </c>
      <c r="Y138" s="224">
        <f>IF(ISERROR(VLOOKUP($A138,'HRGs to TFCs % Split'!$A$8:$I$145,6,0)),0,VLOOKUP($A138,'HRGs to TFCs % Split'!$A$8:$I$145,9,0))</f>
        <v>7.6872908739570769E-2</v>
      </c>
      <c r="Z138" s="225">
        <f t="shared" si="190"/>
        <v>2600.4996234590553</v>
      </c>
      <c r="AA138" s="225">
        <f t="shared" si="191"/>
        <v>391782.96398160368</v>
      </c>
      <c r="AB138" s="225">
        <f t="shared" si="192"/>
        <v>89355.629073530974</v>
      </c>
      <c r="AC138" s="225">
        <f t="shared" si="193"/>
        <v>12122944.516840132</v>
      </c>
      <c r="AD138" s="226">
        <f t="shared" si="194"/>
        <v>13120</v>
      </c>
      <c r="AE138" s="226">
        <f t="shared" si="195"/>
        <v>156343</v>
      </c>
      <c r="AF138" s="226">
        <f t="shared" si="196"/>
        <v>67882</v>
      </c>
      <c r="AG138" s="226">
        <f t="shared" si="197"/>
        <v>983690</v>
      </c>
      <c r="AH138" s="226">
        <f t="shared" si="198"/>
        <v>2198194.1426346987</v>
      </c>
      <c r="AI138" s="226">
        <f t="shared" si="199"/>
        <v>23598996.684623804</v>
      </c>
      <c r="AJ138" s="226">
        <f t="shared" si="200"/>
        <v>9839991.0206597503</v>
      </c>
      <c r="AK138" s="226">
        <f t="shared" si="201"/>
        <v>113449081.82902013</v>
      </c>
      <c r="AL138" s="227">
        <f t="shared" si="202"/>
        <v>167.54528526179107</v>
      </c>
      <c r="AM138" s="227">
        <f t="shared" si="203"/>
        <v>150.94373706928872</v>
      </c>
      <c r="AN138" s="227">
        <f t="shared" si="204"/>
        <v>144.95729384313589</v>
      </c>
      <c r="AO138" s="227">
        <f t="shared" si="205"/>
        <v>115.33011602132798</v>
      </c>
      <c r="AP138" s="228">
        <f t="shared" si="206"/>
        <v>-4.9439779339677248E-4</v>
      </c>
      <c r="AQ138" s="228">
        <f t="shared" si="207"/>
        <v>-4.9200409859236904E-3</v>
      </c>
      <c r="AR138" s="228">
        <f t="shared" si="208"/>
        <v>-2.2087484406453362E-3</v>
      </c>
      <c r="AS138" s="228">
        <f t="shared" si="209"/>
        <v>1.5697785928776575E-3</v>
      </c>
      <c r="AT138" s="227">
        <f>IF(ISERROR(VLOOKUP(A138,Mandatory!A:A,1,FALSE)),0,1)</f>
        <v>1</v>
      </c>
    </row>
    <row r="139" spans="1:46">
      <c r="A139" s="231">
        <v>811</v>
      </c>
      <c r="B139" s="222">
        <f>VLOOKUP(A139,OPATT_Activities!A:J,3,FALSE)</f>
        <v>63</v>
      </c>
      <c r="C139" s="222">
        <f>VLOOKUP(A139,OPATT_Activities!A:J,4,FALSE)</f>
        <v>4654</v>
      </c>
      <c r="D139" s="222">
        <f>VLOOKUP(A139,OPATT_Activities!A:J,5,FALSE)</f>
        <v>105</v>
      </c>
      <c r="E139" s="222">
        <f>VLOOKUP(A139,OPATT_Activities!A:J,6,FALSE)</f>
        <v>2694</v>
      </c>
      <c r="F139" s="222">
        <f>VLOOKUP(A139,OPATT_Cost_Quantum!A:F,2,FALSE)</f>
        <v>12356.218217780801</v>
      </c>
      <c r="G139" s="222">
        <f>VLOOKUP(A139,OPATT_Cost_Quantum!A:F,3,FALSE)</f>
        <v>694593.713030527</v>
      </c>
      <c r="H139" s="222">
        <f>VLOOKUP(A139,OPATT_Cost_Quantum!A:F,4,FALSE)</f>
        <v>50136.250884095498</v>
      </c>
      <c r="I139" s="222">
        <f>VLOOKUP(A139,OPATT_Cost_Quantum!A:F,5,FALSE)</f>
        <v>586913.85827492201</v>
      </c>
      <c r="J139" s="223">
        <f t="shared" si="182"/>
        <v>196.13044790128257</v>
      </c>
      <c r="K139" s="223">
        <f t="shared" si="183"/>
        <v>149.24660787076215</v>
      </c>
      <c r="L139" s="223">
        <f t="shared" si="184"/>
        <v>477.48810365805235</v>
      </c>
      <c r="M139" s="223">
        <f t="shared" si="185"/>
        <v>217.85963558831551</v>
      </c>
      <c r="N139" s="224">
        <f>IF(ISERROR(VLOOKUP($A139,'HRGs to TFCs % Split'!$A$8:$I$145,6,0)),0,VLOOKUP($A139,'HRGs to TFCs % Split'!$A$8:$I$145,6,0))</f>
        <v>1.7075496331012499E-5</v>
      </c>
      <c r="O139" s="224">
        <f>IF(ISERROR(VLOOKUP($A139,'HRGs to TFCs % Split'!$A$8:$I$145,6,0)),0,VLOOKUP($A139,'HRGs to TFCs % Split'!$A$8:$I$145,7,0))</f>
        <v>1.2080669718529469E-3</v>
      </c>
      <c r="P139" s="224">
        <f>IF(ISERROR(VLOOKUP($A139,'HRGs to TFCs % Split'!$A$8:$I$145,6,0)),0,VLOOKUP($A139,'HRGs to TFCs % Split'!$A$8:$I$145,8,0))</f>
        <v>5.2690102964267131E-6</v>
      </c>
      <c r="Q139" s="224">
        <f>IF(ISERROR(VLOOKUP($A139,'HRGs to TFCs % Split'!$A$8:$I$145,6,0)),0,VLOOKUP($A139,'HRGs to TFCs % Split'!$A$8:$I$145,9,0))</f>
        <v>2.2705531407009189E-4</v>
      </c>
      <c r="R139" s="225">
        <f t="shared" si="186"/>
        <v>23</v>
      </c>
      <c r="S139" s="225">
        <f t="shared" si="187"/>
        <v>1630</v>
      </c>
      <c r="T139" s="225">
        <f t="shared" si="188"/>
        <v>7</v>
      </c>
      <c r="U139" s="225">
        <f t="shared" si="189"/>
        <v>306</v>
      </c>
      <c r="V139" s="224">
        <f>IF(ISERROR(VLOOKUP($A139,'HRGs to TFCs % Split'!$A$8:$I$145,6,0)),0,VLOOKUP($A139,'HRGs to TFCs % Split'!$A$8:$I$145,6,0))</f>
        <v>1.7075496331012499E-5</v>
      </c>
      <c r="W139" s="224">
        <f>IF(ISERROR(VLOOKUP($A139,'HRGs to TFCs % Split'!$A$8:$I$145,6,0)),0,VLOOKUP($A139,'HRGs to TFCs % Split'!$A$8:$I$145,7,0))</f>
        <v>1.2080669718529469E-3</v>
      </c>
      <c r="X139" s="224">
        <f>IF(ISERROR(VLOOKUP($A139,'HRGs to TFCs % Split'!$A$8:$I$145,6,0)),0,VLOOKUP($A139,'HRGs to TFCs % Split'!$A$8:$I$145,8,0))</f>
        <v>5.2690102964267131E-6</v>
      </c>
      <c r="Y139" s="224">
        <f>IF(ISERROR(VLOOKUP($A139,'HRGs to TFCs % Split'!$A$8:$I$145,6,0)),0,VLOOKUP($A139,'HRGs to TFCs % Split'!$A$8:$I$145,9,0))</f>
        <v>2.2705531407009189E-4</v>
      </c>
      <c r="Z139" s="225">
        <f t="shared" si="190"/>
        <v>2692.8250538777206</v>
      </c>
      <c r="AA139" s="225">
        <f t="shared" si="191"/>
        <v>190513.52566891458</v>
      </c>
      <c r="AB139" s="225">
        <f t="shared" si="192"/>
        <v>830.92887376798217</v>
      </c>
      <c r="AC139" s="225">
        <f t="shared" si="193"/>
        <v>35806.879430705456</v>
      </c>
      <c r="AD139" s="226">
        <f t="shared" si="194"/>
        <v>86</v>
      </c>
      <c r="AE139" s="226">
        <f t="shared" si="195"/>
        <v>6284</v>
      </c>
      <c r="AF139" s="226">
        <f t="shared" si="196"/>
        <v>112</v>
      </c>
      <c r="AG139" s="226">
        <f t="shared" si="197"/>
        <v>3000</v>
      </c>
      <c r="AH139" s="226">
        <f t="shared" si="198"/>
        <v>15049.043271658522</v>
      </c>
      <c r="AI139" s="226">
        <f t="shared" si="199"/>
        <v>885107.23869944154</v>
      </c>
      <c r="AJ139" s="226">
        <f t="shared" si="200"/>
        <v>50967.17975786348</v>
      </c>
      <c r="AK139" s="226">
        <f t="shared" si="201"/>
        <v>622720.73770562746</v>
      </c>
      <c r="AL139" s="227">
        <f t="shared" si="202"/>
        <v>174.98887525184327</v>
      </c>
      <c r="AM139" s="227">
        <f t="shared" si="203"/>
        <v>140.85092913740317</v>
      </c>
      <c r="AN139" s="227">
        <f t="shared" si="204"/>
        <v>455.0641049809239</v>
      </c>
      <c r="AO139" s="227">
        <f t="shared" si="205"/>
        <v>207.57357923520914</v>
      </c>
      <c r="AP139" s="228">
        <f t="shared" si="206"/>
        <v>-0.10779342460932118</v>
      </c>
      <c r="AQ139" s="228">
        <f t="shared" si="207"/>
        <v>-5.6253732350346586E-2</v>
      </c>
      <c r="AR139" s="228">
        <f t="shared" si="208"/>
        <v>-4.6962423786765517E-2</v>
      </c>
      <c r="AS139" s="228">
        <f t="shared" si="209"/>
        <v>-4.721414467314955E-2</v>
      </c>
      <c r="AT139" s="227">
        <f>IF(ISERROR(VLOOKUP(A139,Mandatory!A:A,1,FALSE)),0,1)</f>
        <v>0</v>
      </c>
    </row>
    <row r="140" spans="1:46">
      <c r="A140" s="231">
        <v>812</v>
      </c>
      <c r="B140" s="222">
        <f>VLOOKUP(A140,OPATT_Activities!A:J,3,FALSE)</f>
        <v>135</v>
      </c>
      <c r="C140" s="222">
        <f>VLOOKUP(A140,OPATT_Activities!A:J,4,FALSE)</f>
        <v>163895</v>
      </c>
      <c r="D140" s="222">
        <f>VLOOKUP(A140,OPATT_Activities!A:J,5,FALSE)</f>
        <v>1</v>
      </c>
      <c r="E140" s="222">
        <f>VLOOKUP(A140,OPATT_Activities!A:J,6,FALSE)</f>
        <v>31242</v>
      </c>
      <c r="F140" s="222">
        <f>VLOOKUP(A140,OPATT_Cost_Quantum!A:F,2,FALSE)</f>
        <v>1392.82292350591</v>
      </c>
      <c r="G140" s="222">
        <f>VLOOKUP(A140,OPATT_Cost_Quantum!A:F,3,FALSE)</f>
        <v>5198307.2763774302</v>
      </c>
      <c r="H140" s="222">
        <f>VLOOKUP(A140,OPATT_Cost_Quantum!A:F,4,FALSE)</f>
        <v>31.288699417954099</v>
      </c>
      <c r="I140" s="222">
        <f>VLOOKUP(A140,OPATT_Cost_Quantum!A:F,5,FALSE)</f>
        <v>1084730.20341907</v>
      </c>
      <c r="J140" s="223">
        <f t="shared" si="182"/>
        <v>10.317206840784518</v>
      </c>
      <c r="K140" s="223">
        <f t="shared" si="183"/>
        <v>31.717302397128833</v>
      </c>
      <c r="L140" s="223">
        <f t="shared" si="184"/>
        <v>31.288699417954099</v>
      </c>
      <c r="M140" s="223">
        <f t="shared" si="185"/>
        <v>34.72025489466327</v>
      </c>
      <c r="N140" s="224">
        <f>IF(ISERROR(VLOOKUP($A140,'HRGs to TFCs % Split'!$A$8:$I$145,6,0)),0,VLOOKUP($A140,'HRGs to TFCs % Split'!$A$8:$I$145,6,0))</f>
        <v>3.161406177856028E-5</v>
      </c>
      <c r="O140" s="224">
        <f>IF(ISERROR(VLOOKUP($A140,'HRGs to TFCs % Split'!$A$8:$I$145,6,0)),0,VLOOKUP($A140,'HRGs to TFCs % Split'!$A$8:$I$145,7,0))</f>
        <v>8.4092428588322856E-3</v>
      </c>
      <c r="P140" s="224">
        <f>IF(ISERROR(VLOOKUP($A140,'HRGs to TFCs % Split'!$A$8:$I$145,6,0)),0,VLOOKUP($A140,'HRGs to TFCs % Split'!$A$8:$I$145,8,0))</f>
        <v>9.7574264748642833E-8</v>
      </c>
      <c r="Q140" s="224">
        <f>IF(ISERROR(VLOOKUP($A140,'HRGs to TFCs % Split'!$A$8:$I$145,6,0)),0,VLOOKUP($A140,'HRGs to TFCs % Split'!$A$8:$I$145,9,0))</f>
        <v>8.9967375068838642E-3</v>
      </c>
      <c r="R140" s="225">
        <f t="shared" si="186"/>
        <v>43</v>
      </c>
      <c r="S140" s="225">
        <f t="shared" si="187"/>
        <v>11348</v>
      </c>
      <c r="T140" s="225">
        <f t="shared" si="188"/>
        <v>0</v>
      </c>
      <c r="U140" s="225">
        <f t="shared" si="189"/>
        <v>12141</v>
      </c>
      <c r="V140" s="224">
        <f>IF(ISERROR(VLOOKUP($A140,'HRGs to TFCs % Split'!$A$8:$I$145,6,0)),0,VLOOKUP($A140,'HRGs to TFCs % Split'!$A$8:$I$145,6,0))</f>
        <v>3.161406177856028E-5</v>
      </c>
      <c r="W140" s="224">
        <f>IF(ISERROR(VLOOKUP($A140,'HRGs to TFCs % Split'!$A$8:$I$145,6,0)),0,VLOOKUP($A140,'HRGs to TFCs % Split'!$A$8:$I$145,7,0))</f>
        <v>8.4092428588322856E-3</v>
      </c>
      <c r="X140" s="224">
        <f>IF(ISERROR(VLOOKUP($A140,'HRGs to TFCs % Split'!$A$8:$I$145,6,0)),0,VLOOKUP($A140,'HRGs to TFCs % Split'!$A$8:$I$145,8,0))</f>
        <v>9.7574264748642833E-8</v>
      </c>
      <c r="Y140" s="224">
        <f>IF(ISERROR(VLOOKUP($A140,'HRGs to TFCs % Split'!$A$8:$I$145,6,0)),0,VLOOKUP($A140,'HRGs to TFCs % Split'!$A$8:$I$145,9,0))</f>
        <v>8.9967375068838642E-3</v>
      </c>
      <c r="Z140" s="225">
        <f t="shared" si="190"/>
        <v>4985.5732426078939</v>
      </c>
      <c r="AA140" s="225">
        <f t="shared" si="191"/>
        <v>1326147.0949619631</v>
      </c>
      <c r="AB140" s="225">
        <f t="shared" si="192"/>
        <v>15.387571736444114</v>
      </c>
      <c r="AC140" s="225">
        <f t="shared" si="193"/>
        <v>1418795.6643870932</v>
      </c>
      <c r="AD140" s="226">
        <f t="shared" si="194"/>
        <v>178</v>
      </c>
      <c r="AE140" s="226">
        <f t="shared" si="195"/>
        <v>175243</v>
      </c>
      <c r="AF140" s="226">
        <f t="shared" si="196"/>
        <v>1</v>
      </c>
      <c r="AG140" s="226">
        <f t="shared" si="197"/>
        <v>43383</v>
      </c>
      <c r="AH140" s="226">
        <f t="shared" si="198"/>
        <v>6378.3961661138037</v>
      </c>
      <c r="AI140" s="226">
        <f t="shared" si="199"/>
        <v>6524454.3713393938</v>
      </c>
      <c r="AJ140" s="226">
        <f t="shared" si="200"/>
        <v>46.676271154398215</v>
      </c>
      <c r="AK140" s="226">
        <f t="shared" si="201"/>
        <v>2503525.8678061632</v>
      </c>
      <c r="AL140" s="227">
        <f t="shared" si="202"/>
        <v>35.833686326482045</v>
      </c>
      <c r="AM140" s="227">
        <f t="shared" si="203"/>
        <v>37.230898645534452</v>
      </c>
      <c r="AN140" s="227">
        <f t="shared" si="204"/>
        <v>46.676271154398215</v>
      </c>
      <c r="AO140" s="227">
        <f t="shared" si="205"/>
        <v>57.707532162509814</v>
      </c>
      <c r="AP140" s="228">
        <f t="shared" si="206"/>
        <v>2.4731964648444773</v>
      </c>
      <c r="AQ140" s="228">
        <f t="shared" si="207"/>
        <v>0.173835598607047</v>
      </c>
      <c r="AR140" s="228">
        <f t="shared" si="208"/>
        <v>0.49179326794307121</v>
      </c>
      <c r="AS140" s="228">
        <f t="shared" si="209"/>
        <v>0.66207109762261096</v>
      </c>
      <c r="AT140" s="227">
        <f>IF(ISERROR(VLOOKUP(A140,Mandatory!A:A,1,FALSE)),0,1)</f>
        <v>1</v>
      </c>
    </row>
    <row r="141" spans="1:46">
      <c r="A141" s="231">
        <v>822</v>
      </c>
      <c r="B141" s="222">
        <f>VLOOKUP(A141,OPATT_Activities!A:J,3,FALSE)</f>
        <v>153</v>
      </c>
      <c r="C141" s="222">
        <f>VLOOKUP(A141,OPATT_Activities!A:J,4,FALSE)</f>
        <v>14196</v>
      </c>
      <c r="D141" s="222">
        <f>VLOOKUP(A141,OPATT_Activities!A:J,5,FALSE)</f>
        <v>116</v>
      </c>
      <c r="E141" s="222">
        <f>VLOOKUP(A141,OPATT_Activities!A:J,6,FALSE)</f>
        <v>39045</v>
      </c>
      <c r="F141" s="222">
        <f>VLOOKUP(A141,OPATT_Cost_Quantum!A:F,2,FALSE)</f>
        <v>15626.790252373199</v>
      </c>
      <c r="G141" s="222">
        <f>VLOOKUP(A141,OPATT_Cost_Quantum!A:F,3,FALSE)</f>
        <v>1245566.81477949</v>
      </c>
      <c r="H141" s="222">
        <f>VLOOKUP(A141,OPATT_Cost_Quantum!A:F,4,FALSE)</f>
        <v>16938.253835351701</v>
      </c>
      <c r="I141" s="222">
        <f>VLOOKUP(A141,OPATT_Cost_Quantum!A:F,5,FALSE)</f>
        <v>3150790.84332082</v>
      </c>
      <c r="J141" s="223">
        <f t="shared" si="182"/>
        <v>102.13588400243921</v>
      </c>
      <c r="K141" s="223">
        <f t="shared" si="183"/>
        <v>87.740688558713018</v>
      </c>
      <c r="L141" s="223">
        <f t="shared" si="184"/>
        <v>146.01942961510088</v>
      </c>
      <c r="M141" s="223">
        <f t="shared" si="185"/>
        <v>80.696397575126653</v>
      </c>
      <c r="N141" s="224">
        <f>IF(ISERROR(VLOOKUP($A141,'HRGs to TFCs % Split'!$A$8:$I$145,6,0)),0,VLOOKUP($A141,'HRGs to TFCs % Split'!$A$8:$I$145,6,0))</f>
        <v>2.5369308834647137E-6</v>
      </c>
      <c r="O141" s="224">
        <f>IF(ISERROR(VLOOKUP($A141,'HRGs to TFCs % Split'!$A$8:$I$145,6,0)),0,VLOOKUP($A141,'HRGs to TFCs % Split'!$A$8:$I$145,7,0))</f>
        <v>7.415644120896856E-6</v>
      </c>
      <c r="P141" s="224">
        <f>IF(ISERROR(VLOOKUP($A141,'HRGs to TFCs % Split'!$A$8:$I$145,6,0)),0,VLOOKUP($A141,'HRGs to TFCs % Split'!$A$8:$I$145,8,0))</f>
        <v>9.7574264748642833E-8</v>
      </c>
      <c r="Q141" s="224">
        <f>IF(ISERROR(VLOOKUP($A141,'HRGs to TFCs % Split'!$A$8:$I$145,6,0)),0,VLOOKUP($A141,'HRGs to TFCs % Split'!$A$8:$I$145,9,0))</f>
        <v>9.3671294158697124E-6</v>
      </c>
      <c r="R141" s="225">
        <f t="shared" si="186"/>
        <v>3</v>
      </c>
      <c r="S141" s="225">
        <f t="shared" si="187"/>
        <v>10</v>
      </c>
      <c r="T141" s="225">
        <f t="shared" si="188"/>
        <v>0</v>
      </c>
      <c r="U141" s="225">
        <f t="shared" si="189"/>
        <v>13</v>
      </c>
      <c r="V141" s="224">
        <f>IF(ISERROR(VLOOKUP($A141,'HRGs to TFCs % Split'!$A$8:$I$145,6,0)),0,VLOOKUP($A141,'HRGs to TFCs % Split'!$A$8:$I$145,6,0))</f>
        <v>2.5369308834647137E-6</v>
      </c>
      <c r="W141" s="224">
        <f>IF(ISERROR(VLOOKUP($A141,'HRGs to TFCs % Split'!$A$8:$I$145,6,0)),0,VLOOKUP($A141,'HRGs to TFCs % Split'!$A$8:$I$145,7,0))</f>
        <v>7.415644120896856E-6</v>
      </c>
      <c r="X141" s="224">
        <f>IF(ISERROR(VLOOKUP($A141,'HRGs to TFCs % Split'!$A$8:$I$145,6,0)),0,VLOOKUP($A141,'HRGs to TFCs % Split'!$A$8:$I$145,8,0))</f>
        <v>9.7574264748642833E-8</v>
      </c>
      <c r="Y141" s="224">
        <f>IF(ISERROR(VLOOKUP($A141,'HRGs to TFCs % Split'!$A$8:$I$145,6,0)),0,VLOOKUP($A141,'HRGs to TFCs % Split'!$A$8:$I$145,9,0))</f>
        <v>9.3671294158697124E-6</v>
      </c>
      <c r="Z141" s="225">
        <f t="shared" si="190"/>
        <v>400.07686514754698</v>
      </c>
      <c r="AA141" s="225">
        <f t="shared" si="191"/>
        <v>1169.4554519697529</v>
      </c>
      <c r="AB141" s="225">
        <f t="shared" si="192"/>
        <v>15.387571736444114</v>
      </c>
      <c r="AC141" s="225">
        <f t="shared" si="193"/>
        <v>1477.2068866986351</v>
      </c>
      <c r="AD141" s="226">
        <f t="shared" si="194"/>
        <v>156</v>
      </c>
      <c r="AE141" s="226">
        <f t="shared" si="195"/>
        <v>14206</v>
      </c>
      <c r="AF141" s="226">
        <f t="shared" si="196"/>
        <v>116</v>
      </c>
      <c r="AG141" s="226">
        <f t="shared" si="197"/>
        <v>39058</v>
      </c>
      <c r="AH141" s="226">
        <f t="shared" si="198"/>
        <v>16026.867117520746</v>
      </c>
      <c r="AI141" s="226">
        <f t="shared" si="199"/>
        <v>1246736.2702314598</v>
      </c>
      <c r="AJ141" s="226">
        <f t="shared" si="200"/>
        <v>16953.641407088144</v>
      </c>
      <c r="AK141" s="226">
        <f t="shared" si="201"/>
        <v>3152268.0502075185</v>
      </c>
      <c r="AL141" s="227">
        <f t="shared" si="202"/>
        <v>102.73632767641503</v>
      </c>
      <c r="AM141" s="227">
        <f t="shared" si="203"/>
        <v>87.761246672635494</v>
      </c>
      <c r="AN141" s="227">
        <f t="shared" si="204"/>
        <v>146.15208109558745</v>
      </c>
      <c r="AO141" s="227">
        <f t="shared" si="205"/>
        <v>80.707359573135292</v>
      </c>
      <c r="AP141" s="228">
        <f t="shared" si="206"/>
        <v>5.8788708771686515E-3</v>
      </c>
      <c r="AQ141" s="228">
        <f t="shared" si="207"/>
        <v>2.3430536345436792E-4</v>
      </c>
      <c r="AR141" s="228">
        <f t="shared" si="208"/>
        <v>9.0845088791424722E-4</v>
      </c>
      <c r="AS141" s="228">
        <f t="shared" si="209"/>
        <v>1.3584247051956488E-4</v>
      </c>
      <c r="AT141" s="227">
        <f>IF(ISERROR(VLOOKUP(A141,Mandatory!A:A,1,FALSE)),0,1)</f>
        <v>0</v>
      </c>
    </row>
    <row r="142" spans="1:46">
      <c r="A142" s="231">
        <v>834</v>
      </c>
      <c r="B142" s="222">
        <f>VLOOKUP(A142,OPATT_Activities!A:J,3,FALSE)</f>
        <v>0</v>
      </c>
      <c r="C142" s="222">
        <f>VLOOKUP(A142,OPATT_Activities!A:J,4,FALSE)</f>
        <v>18</v>
      </c>
      <c r="D142" s="222">
        <f>VLOOKUP(A142,OPATT_Activities!A:J,5,FALSE)</f>
        <v>0</v>
      </c>
      <c r="E142" s="222">
        <f>VLOOKUP(A142,OPATT_Activities!A:J,6,FALSE)</f>
        <v>205</v>
      </c>
      <c r="F142" s="222">
        <f>VLOOKUP(A142,OPATT_Cost_Quantum!A:F,2,FALSE)</f>
        <v>0</v>
      </c>
      <c r="G142" s="222">
        <f>VLOOKUP(A142,OPATT_Cost_Quantum!A:F,3,FALSE)</f>
        <v>7247.3150526448399</v>
      </c>
      <c r="H142" s="222">
        <f>VLOOKUP(A142,OPATT_Cost_Quantum!A:F,4,FALSE)</f>
        <v>0</v>
      </c>
      <c r="I142" s="222">
        <f>VLOOKUP(A142,OPATT_Cost_Quantum!A:F,5,FALSE)</f>
        <v>123623.69261872501</v>
      </c>
      <c r="J142" s="223">
        <f t="shared" si="182"/>
        <v>0</v>
      </c>
      <c r="K142" s="223">
        <f t="shared" si="183"/>
        <v>402.62861403582446</v>
      </c>
      <c r="L142" s="223">
        <f t="shared" si="184"/>
        <v>0</v>
      </c>
      <c r="M142" s="223">
        <f t="shared" si="185"/>
        <v>603.04240301817072</v>
      </c>
      <c r="N142" s="224">
        <f>IF(ISERROR(VLOOKUP($A142,'HRGs to TFCs % Split'!$A$8:$I$145,6,0)),0,VLOOKUP($A142,'HRGs to TFCs % Split'!$A$8:$I$145,6,0))</f>
        <v>0</v>
      </c>
      <c r="O142" s="224">
        <f>IF(ISERROR(VLOOKUP($A142,'HRGs to TFCs % Split'!$A$8:$I$145,6,0)),0,VLOOKUP($A142,'HRGs to TFCs % Split'!$A$8:$I$145,7,0))</f>
        <v>0</v>
      </c>
      <c r="P142" s="224">
        <f>IF(ISERROR(VLOOKUP($A142,'HRGs to TFCs % Split'!$A$8:$I$145,6,0)),0,VLOOKUP($A142,'HRGs to TFCs % Split'!$A$8:$I$145,8,0))</f>
        <v>0</v>
      </c>
      <c r="Q142" s="224">
        <f>IF(ISERROR(VLOOKUP($A142,'HRGs to TFCs % Split'!$A$8:$I$145,6,0)),0,VLOOKUP($A142,'HRGs to TFCs % Split'!$A$8:$I$145,9,0))</f>
        <v>9.7574264748642833E-8</v>
      </c>
      <c r="R142" s="225">
        <f t="shared" si="186"/>
        <v>0</v>
      </c>
      <c r="S142" s="225">
        <f t="shared" si="187"/>
        <v>0</v>
      </c>
      <c r="T142" s="225">
        <f t="shared" si="188"/>
        <v>0</v>
      </c>
      <c r="U142" s="225">
        <f t="shared" si="189"/>
        <v>0</v>
      </c>
      <c r="V142" s="224">
        <f>IF(ISERROR(VLOOKUP($A142,'HRGs to TFCs % Split'!$A$8:$I$145,6,0)),0,VLOOKUP($A142,'HRGs to TFCs % Split'!$A$8:$I$145,6,0))</f>
        <v>0</v>
      </c>
      <c r="W142" s="224">
        <f>IF(ISERROR(VLOOKUP($A142,'HRGs to TFCs % Split'!$A$8:$I$145,6,0)),0,VLOOKUP($A142,'HRGs to TFCs % Split'!$A$8:$I$145,7,0))</f>
        <v>0</v>
      </c>
      <c r="X142" s="224">
        <f>IF(ISERROR(VLOOKUP($A142,'HRGs to TFCs % Split'!$A$8:$I$145,6,0)),0,VLOOKUP($A142,'HRGs to TFCs % Split'!$A$8:$I$145,8,0))</f>
        <v>0</v>
      </c>
      <c r="Y142" s="224">
        <f>IF(ISERROR(VLOOKUP($A142,'HRGs to TFCs % Split'!$A$8:$I$145,6,0)),0,VLOOKUP($A142,'HRGs to TFCs % Split'!$A$8:$I$145,9,0))</f>
        <v>9.7574264748642833E-8</v>
      </c>
      <c r="Z142" s="225">
        <f t="shared" si="190"/>
        <v>0</v>
      </c>
      <c r="AA142" s="225">
        <f t="shared" si="191"/>
        <v>0</v>
      </c>
      <c r="AB142" s="225">
        <f t="shared" si="192"/>
        <v>0</v>
      </c>
      <c r="AC142" s="225">
        <f t="shared" si="193"/>
        <v>15.387571736444114</v>
      </c>
      <c r="AD142" s="226">
        <f t="shared" si="194"/>
        <v>0</v>
      </c>
      <c r="AE142" s="226">
        <f t="shared" si="195"/>
        <v>18</v>
      </c>
      <c r="AF142" s="226">
        <f t="shared" si="196"/>
        <v>0</v>
      </c>
      <c r="AG142" s="226">
        <f t="shared" si="197"/>
        <v>205</v>
      </c>
      <c r="AH142" s="226">
        <f t="shared" si="198"/>
        <v>0</v>
      </c>
      <c r="AI142" s="226">
        <f t="shared" si="199"/>
        <v>7247.3150526448399</v>
      </c>
      <c r="AJ142" s="226">
        <f t="shared" si="200"/>
        <v>0</v>
      </c>
      <c r="AK142" s="226">
        <f t="shared" si="201"/>
        <v>123639.08019046145</v>
      </c>
      <c r="AL142" s="227">
        <f t="shared" si="202"/>
        <v>0</v>
      </c>
      <c r="AM142" s="227">
        <f t="shared" si="203"/>
        <v>402.62861403582446</v>
      </c>
      <c r="AN142" s="227">
        <f t="shared" si="204"/>
        <v>0</v>
      </c>
      <c r="AO142" s="227">
        <f t="shared" si="205"/>
        <v>603.11746434371435</v>
      </c>
      <c r="AP142" s="228">
        <f t="shared" si="206"/>
        <v>0</v>
      </c>
      <c r="AQ142" s="228">
        <f t="shared" si="207"/>
        <v>0</v>
      </c>
      <c r="AR142" s="228">
        <f t="shared" si="208"/>
        <v>0</v>
      </c>
      <c r="AS142" s="228">
        <f t="shared" si="209"/>
        <v>1.2447105737178887E-4</v>
      </c>
      <c r="AT142" s="227">
        <f>IF(ISERROR(VLOOKUP(A142,Mandatory!A:A,1,FALSE)),0,1)</f>
        <v>0</v>
      </c>
    </row>
    <row r="143" spans="1:46">
      <c r="A143" s="231">
        <v>840</v>
      </c>
      <c r="B143" s="222">
        <f>VLOOKUP(A143,OPATT_Activities!A:J,3,FALSE)</f>
        <v>0</v>
      </c>
      <c r="C143" s="222">
        <f>VLOOKUP(A143,OPATT_Activities!A:J,4,FALSE)</f>
        <v>5501</v>
      </c>
      <c r="D143" s="222">
        <f>VLOOKUP(A143,OPATT_Activities!A:J,5,FALSE)</f>
        <v>0</v>
      </c>
      <c r="E143" s="222">
        <f>VLOOKUP(A143,OPATT_Activities!A:J,6,FALSE)</f>
        <v>8617</v>
      </c>
      <c r="F143" s="222">
        <f>VLOOKUP(A143,OPATT_Cost_Quantum!A:F,2,FALSE)</f>
        <v>0</v>
      </c>
      <c r="G143" s="222">
        <f>VLOOKUP(A143,OPATT_Cost_Quantum!A:F,3,FALSE)</f>
        <v>1142172.18011431</v>
      </c>
      <c r="H143" s="222">
        <f>VLOOKUP(A143,OPATT_Cost_Quantum!A:F,4,FALSE)</f>
        <v>0</v>
      </c>
      <c r="I143" s="222">
        <f>VLOOKUP(A143,OPATT_Cost_Quantum!A:F,5,FALSE)</f>
        <v>1196211.35420875</v>
      </c>
      <c r="J143" s="223">
        <f t="shared" si="182"/>
        <v>0</v>
      </c>
      <c r="K143" s="223">
        <f t="shared" si="183"/>
        <v>207.62991821747136</v>
      </c>
      <c r="L143" s="223">
        <f t="shared" si="184"/>
        <v>0</v>
      </c>
      <c r="M143" s="223">
        <f t="shared" si="185"/>
        <v>138.81993201911916</v>
      </c>
      <c r="N143" s="224">
        <f>IF(ISERROR(VLOOKUP($A143,'HRGs to TFCs % Split'!$A$8:$I$145,6,0)),0,VLOOKUP($A143,'HRGs to TFCs % Split'!$A$8:$I$145,6,0))</f>
        <v>7.8059411798914267E-7</v>
      </c>
      <c r="O143" s="224">
        <f>IF(ISERROR(VLOOKUP($A143,'HRGs to TFCs % Split'!$A$8:$I$145,6,0)),0,VLOOKUP($A143,'HRGs to TFCs % Split'!$A$8:$I$145,7,0))</f>
        <v>4.3967939438385954E-3</v>
      </c>
      <c r="P143" s="224">
        <f>IF(ISERROR(VLOOKUP($A143,'HRGs to TFCs % Split'!$A$8:$I$145,6,0)),0,VLOOKUP($A143,'HRGs to TFCs % Split'!$A$8:$I$145,8,0))</f>
        <v>1.9514852949728568E-6</v>
      </c>
      <c r="Q143" s="224">
        <f>IF(ISERROR(VLOOKUP($A143,'HRGs to TFCs % Split'!$A$8:$I$145,6,0)),0,VLOOKUP($A143,'HRGs to TFCs % Split'!$A$8:$I$145,9,0))</f>
        <v>4.4109422122271483E-3</v>
      </c>
      <c r="R143" s="225">
        <f t="shared" si="186"/>
        <v>1</v>
      </c>
      <c r="S143" s="225">
        <f t="shared" si="187"/>
        <v>5933</v>
      </c>
      <c r="T143" s="225">
        <f t="shared" si="188"/>
        <v>3</v>
      </c>
      <c r="U143" s="225">
        <f t="shared" si="189"/>
        <v>5952</v>
      </c>
      <c r="V143" s="224">
        <f>IF(ISERROR(VLOOKUP($A143,'HRGs to TFCs % Split'!$A$8:$I$145,6,0)),0,VLOOKUP($A143,'HRGs to TFCs % Split'!$A$8:$I$145,6,0))</f>
        <v>7.8059411798914267E-7</v>
      </c>
      <c r="W143" s="224">
        <f>IF(ISERROR(VLOOKUP($A143,'HRGs to TFCs % Split'!$A$8:$I$145,6,0)),0,VLOOKUP($A143,'HRGs to TFCs % Split'!$A$8:$I$145,7,0))</f>
        <v>4.3967939438385954E-3</v>
      </c>
      <c r="X143" s="224">
        <f>IF(ISERROR(VLOOKUP($A143,'HRGs to TFCs % Split'!$A$8:$I$145,6,0)),0,VLOOKUP($A143,'HRGs to TFCs % Split'!$A$8:$I$145,8,0))</f>
        <v>1.9514852949728568E-6</v>
      </c>
      <c r="Y143" s="224">
        <f>IF(ISERROR(VLOOKUP($A143,'HRGs to TFCs % Split'!$A$8:$I$145,6,0)),0,VLOOKUP($A143,'HRGs to TFCs % Split'!$A$8:$I$145,9,0))</f>
        <v>4.4109422122271483E-3</v>
      </c>
      <c r="Z143" s="225">
        <f t="shared" si="190"/>
        <v>123.10057389155291</v>
      </c>
      <c r="AA143" s="225">
        <f t="shared" si="191"/>
        <v>693379.37001590838</v>
      </c>
      <c r="AB143" s="225">
        <f t="shared" si="192"/>
        <v>307.75143472888232</v>
      </c>
      <c r="AC143" s="225">
        <f t="shared" si="193"/>
        <v>695610.56791769271</v>
      </c>
      <c r="AD143" s="226">
        <f t="shared" si="194"/>
        <v>1</v>
      </c>
      <c r="AE143" s="226">
        <f t="shared" si="195"/>
        <v>11434</v>
      </c>
      <c r="AF143" s="226">
        <f t="shared" si="196"/>
        <v>3</v>
      </c>
      <c r="AG143" s="226">
        <f t="shared" si="197"/>
        <v>14569</v>
      </c>
      <c r="AH143" s="226">
        <f t="shared" si="198"/>
        <v>123.10057389155291</v>
      </c>
      <c r="AI143" s="226">
        <f t="shared" si="199"/>
        <v>1835551.5501302183</v>
      </c>
      <c r="AJ143" s="226">
        <f t="shared" si="200"/>
        <v>307.75143472888232</v>
      </c>
      <c r="AK143" s="226">
        <f t="shared" si="201"/>
        <v>1891821.9221264427</v>
      </c>
      <c r="AL143" s="227">
        <f t="shared" si="202"/>
        <v>123.10057389155291</v>
      </c>
      <c r="AM143" s="227">
        <f t="shared" si="203"/>
        <v>160.5345067456899</v>
      </c>
      <c r="AN143" s="227">
        <f t="shared" si="204"/>
        <v>102.58381157629411</v>
      </c>
      <c r="AO143" s="227">
        <f t="shared" si="205"/>
        <v>129.85255831741662</v>
      </c>
      <c r="AP143" s="228">
        <f t="shared" si="206"/>
        <v>0</v>
      </c>
      <c r="AQ143" s="228">
        <f t="shared" si="207"/>
        <v>-0.2268238213264322</v>
      </c>
      <c r="AR143" s="228">
        <f t="shared" si="208"/>
        <v>0</v>
      </c>
      <c r="AS143" s="228">
        <f t="shared" si="209"/>
        <v>-6.4597162462718183E-2</v>
      </c>
      <c r="AT143" s="227">
        <f>IF(ISERROR(VLOOKUP(A143,Mandatory!A:A,1,FALSE)),0,1)</f>
        <v>0</v>
      </c>
    </row>
    <row r="144" spans="1:46">
      <c r="A144" s="231">
        <v>920</v>
      </c>
      <c r="B144" s="222">
        <f>VLOOKUP(A144,OPATT_Activities!A:J,3,FALSE)</f>
        <v>0</v>
      </c>
      <c r="C144" s="222">
        <f>VLOOKUP(A144,OPATT_Activities!A:J,4,FALSE)</f>
        <v>12</v>
      </c>
      <c r="D144" s="222">
        <f>VLOOKUP(A144,OPATT_Activities!A:J,5,FALSE)</f>
        <v>0</v>
      </c>
      <c r="E144" s="222">
        <f>VLOOKUP(A144,OPATT_Activities!A:J,6,FALSE)</f>
        <v>19</v>
      </c>
      <c r="F144" s="222">
        <f>VLOOKUP(A144,OPATT_Cost_Quantum!A:F,2,FALSE)</f>
        <v>0</v>
      </c>
      <c r="G144" s="222">
        <f>VLOOKUP(A144,OPATT_Cost_Quantum!A:F,3,FALSE)</f>
        <v>181.356981207057</v>
      </c>
      <c r="H144" s="222">
        <f>VLOOKUP(A144,OPATT_Cost_Quantum!A:F,4,FALSE)</f>
        <v>0</v>
      </c>
      <c r="I144" s="222">
        <f>VLOOKUP(A144,OPATT_Cost_Quantum!A:F,5,FALSE)</f>
        <v>166.90442164526399</v>
      </c>
      <c r="J144" s="223">
        <f t="shared" si="182"/>
        <v>0</v>
      </c>
      <c r="K144" s="223">
        <f t="shared" si="183"/>
        <v>15.11308176725475</v>
      </c>
      <c r="L144" s="223">
        <f t="shared" si="184"/>
        <v>0</v>
      </c>
      <c r="M144" s="223">
        <f t="shared" si="185"/>
        <v>8.7844432444875782</v>
      </c>
      <c r="N144" s="224">
        <f>IF(ISERROR(VLOOKUP($A144,'HRGs to TFCs % Split'!$A$8:$I$145,6,0)),0,VLOOKUP($A144,'HRGs to TFCs % Split'!$A$8:$I$145,6,0))</f>
        <v>0</v>
      </c>
      <c r="O144" s="224">
        <f>IF(ISERROR(VLOOKUP($A144,'HRGs to TFCs % Split'!$A$8:$I$145,6,0)),0,VLOOKUP($A144,'HRGs to TFCs % Split'!$A$8:$I$145,7,0))</f>
        <v>0</v>
      </c>
      <c r="P144" s="224">
        <f>IF(ISERROR(VLOOKUP($A144,'HRGs to TFCs % Split'!$A$8:$I$145,6,0)),0,VLOOKUP($A144,'HRGs to TFCs % Split'!$A$8:$I$145,8,0))</f>
        <v>0</v>
      </c>
      <c r="Q144" s="224">
        <f>IF(ISERROR(VLOOKUP($A144,'HRGs to TFCs % Split'!$A$8:$I$145,6,0)),0,VLOOKUP($A144,'HRGs to TFCs % Split'!$A$8:$I$145,9,0))</f>
        <v>0</v>
      </c>
      <c r="R144" s="225">
        <f t="shared" si="186"/>
        <v>0</v>
      </c>
      <c r="S144" s="225">
        <f t="shared" si="187"/>
        <v>0</v>
      </c>
      <c r="T144" s="225">
        <f t="shared" si="188"/>
        <v>0</v>
      </c>
      <c r="U144" s="225">
        <f t="shared" si="189"/>
        <v>0</v>
      </c>
      <c r="V144" s="224">
        <f>IF(ISERROR(VLOOKUP($A144,'HRGs to TFCs % Split'!$A$8:$I$145,6,0)),0,VLOOKUP($A144,'HRGs to TFCs % Split'!$A$8:$I$145,6,0))</f>
        <v>0</v>
      </c>
      <c r="W144" s="224">
        <f>IF(ISERROR(VLOOKUP($A144,'HRGs to TFCs % Split'!$A$8:$I$145,6,0)),0,VLOOKUP($A144,'HRGs to TFCs % Split'!$A$8:$I$145,7,0))</f>
        <v>0</v>
      </c>
      <c r="X144" s="224">
        <f>IF(ISERROR(VLOOKUP($A144,'HRGs to TFCs % Split'!$A$8:$I$145,6,0)),0,VLOOKUP($A144,'HRGs to TFCs % Split'!$A$8:$I$145,8,0))</f>
        <v>0</v>
      </c>
      <c r="Y144" s="224">
        <f>IF(ISERROR(VLOOKUP($A144,'HRGs to TFCs % Split'!$A$8:$I$145,6,0)),0,VLOOKUP($A144,'HRGs to TFCs % Split'!$A$8:$I$145,9,0))</f>
        <v>0</v>
      </c>
      <c r="Z144" s="225">
        <f t="shared" si="190"/>
        <v>0</v>
      </c>
      <c r="AA144" s="225">
        <f t="shared" si="191"/>
        <v>0</v>
      </c>
      <c r="AB144" s="225">
        <f t="shared" si="192"/>
        <v>0</v>
      </c>
      <c r="AC144" s="225">
        <f t="shared" si="193"/>
        <v>0</v>
      </c>
      <c r="AD144" s="226">
        <f t="shared" si="194"/>
        <v>0</v>
      </c>
      <c r="AE144" s="226">
        <f t="shared" si="195"/>
        <v>12</v>
      </c>
      <c r="AF144" s="226">
        <f t="shared" si="196"/>
        <v>0</v>
      </c>
      <c r="AG144" s="226">
        <f t="shared" si="197"/>
        <v>19</v>
      </c>
      <c r="AH144" s="226">
        <f t="shared" si="198"/>
        <v>0</v>
      </c>
      <c r="AI144" s="226">
        <f t="shared" si="199"/>
        <v>181.356981207057</v>
      </c>
      <c r="AJ144" s="226">
        <f t="shared" si="200"/>
        <v>0</v>
      </c>
      <c r="AK144" s="226">
        <f t="shared" si="201"/>
        <v>166.90442164526399</v>
      </c>
      <c r="AL144" s="227">
        <f t="shared" si="202"/>
        <v>0</v>
      </c>
      <c r="AM144" s="227">
        <f t="shared" si="203"/>
        <v>15.11308176725475</v>
      </c>
      <c r="AN144" s="227">
        <f t="shared" si="204"/>
        <v>0</v>
      </c>
      <c r="AO144" s="227">
        <f t="shared" si="205"/>
        <v>8.7844432444875782</v>
      </c>
      <c r="AP144" s="228">
        <f t="shared" si="206"/>
        <v>0</v>
      </c>
      <c r="AQ144" s="228">
        <f t="shared" si="207"/>
        <v>0</v>
      </c>
      <c r="AR144" s="228">
        <f t="shared" si="208"/>
        <v>0</v>
      </c>
      <c r="AS144" s="228">
        <f t="shared" si="209"/>
        <v>0</v>
      </c>
      <c r="AT144" s="227">
        <f>IF(ISERROR(VLOOKUP(A144,Mandatory!A:A,1,FALSE)),0,1)</f>
        <v>0</v>
      </c>
    </row>
  </sheetData>
  <mergeCells count="16">
    <mergeCell ref="AP5:AS5"/>
    <mergeCell ref="AP6:AS6"/>
    <mergeCell ref="B6:E6"/>
    <mergeCell ref="F6:I6"/>
    <mergeCell ref="J6:M6"/>
    <mergeCell ref="N6:Q6"/>
    <mergeCell ref="R6:U6"/>
    <mergeCell ref="AH6:AK6"/>
    <mergeCell ref="AD6:AG6"/>
    <mergeCell ref="AD5:AO5"/>
    <mergeCell ref="B5:M5"/>
    <mergeCell ref="N5:U5"/>
    <mergeCell ref="V5:AC5"/>
    <mergeCell ref="V6:Y6"/>
    <mergeCell ref="Z6:AC6"/>
    <mergeCell ref="AL6:AO6"/>
  </mergeCells>
  <hyperlinks>
    <hyperlink ref="A2"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H25"/>
  <sheetViews>
    <sheetView zoomScaleNormal="100" workbookViewId="0">
      <pane xSplit="3" ySplit="2" topLeftCell="D3" activePane="bottomRight" state="frozen"/>
      <selection pane="topRight" activeCell="D1" sqref="D1"/>
      <selection pane="bottomLeft" activeCell="A3" sqref="A3"/>
      <selection pane="bottomRight"/>
    </sheetView>
  </sheetViews>
  <sheetFormatPr defaultColWidth="9.140625" defaultRowHeight="12.75"/>
  <cols>
    <col min="1" max="1" width="2.5703125" style="126" customWidth="1"/>
    <col min="2" max="2" width="29.42578125" style="126" customWidth="1"/>
    <col min="3" max="3" width="32.28515625" style="126" customWidth="1"/>
    <col min="4" max="4" width="92.140625" style="126" customWidth="1"/>
    <col min="5" max="5" width="41" style="22" customWidth="1"/>
    <col min="6" max="6" width="18.5703125" style="126" customWidth="1"/>
    <col min="7" max="7" width="7.42578125" style="126" bestFit="1" customWidth="1"/>
    <col min="8" max="8" width="9.140625" style="127"/>
    <col min="9" max="16384" width="9.140625" style="126"/>
  </cols>
  <sheetData>
    <row r="1" spans="2:8" ht="13.5" thickBot="1"/>
    <row r="2" spans="2:8" ht="13.5" thickBot="1">
      <c r="B2" s="494" t="s">
        <v>301</v>
      </c>
      <c r="C2" s="495" t="s">
        <v>518</v>
      </c>
      <c r="D2" s="496" t="s">
        <v>302</v>
      </c>
      <c r="E2" s="497" t="s">
        <v>379</v>
      </c>
      <c r="F2" s="497" t="s">
        <v>1010</v>
      </c>
      <c r="H2" s="126"/>
    </row>
    <row r="3" spans="2:8" ht="21" customHeight="1" thickBot="1">
      <c r="B3" s="498" t="s">
        <v>1625</v>
      </c>
      <c r="C3" s="486" t="s">
        <v>1125</v>
      </c>
      <c r="D3" s="499" t="s">
        <v>1108</v>
      </c>
      <c r="E3" s="500"/>
      <c r="F3" s="500"/>
      <c r="G3" s="127"/>
      <c r="H3" s="126"/>
    </row>
    <row r="4" spans="2:8">
      <c r="B4" s="498" t="s">
        <v>567</v>
      </c>
      <c r="C4" s="414" t="s">
        <v>569</v>
      </c>
      <c r="D4" s="501" t="s">
        <v>568</v>
      </c>
      <c r="E4" s="502" t="s">
        <v>251</v>
      </c>
      <c r="F4" s="502"/>
      <c r="G4" s="127"/>
      <c r="H4" s="126"/>
    </row>
    <row r="5" spans="2:8" ht="25.5">
      <c r="B5" s="556" t="s">
        <v>1626</v>
      </c>
      <c r="C5" s="131" t="s">
        <v>523</v>
      </c>
      <c r="D5" s="503" t="s">
        <v>1109</v>
      </c>
      <c r="E5" s="504" t="s">
        <v>1042</v>
      </c>
      <c r="F5" s="505">
        <v>42124</v>
      </c>
      <c r="G5" s="127"/>
      <c r="H5" s="126"/>
    </row>
    <row r="6" spans="2:8" ht="24" customHeight="1">
      <c r="B6" s="556"/>
      <c r="C6" s="506" t="s">
        <v>524</v>
      </c>
      <c r="D6" s="507" t="s">
        <v>1111</v>
      </c>
      <c r="E6" s="508" t="s">
        <v>1043</v>
      </c>
      <c r="F6" s="505">
        <v>42124</v>
      </c>
      <c r="G6" s="127"/>
      <c r="H6" s="126"/>
    </row>
    <row r="7" spans="2:8" ht="64.5" thickBot="1">
      <c r="B7" s="556"/>
      <c r="C7" s="509" t="s">
        <v>522</v>
      </c>
      <c r="D7" s="510" t="s">
        <v>1627</v>
      </c>
      <c r="E7" s="511" t="s">
        <v>521</v>
      </c>
      <c r="F7" s="505">
        <v>42124</v>
      </c>
      <c r="G7" s="127"/>
      <c r="H7" s="126"/>
    </row>
    <row r="8" spans="2:8">
      <c r="B8" s="559" t="s">
        <v>570</v>
      </c>
      <c r="C8" s="423" t="s">
        <v>1107</v>
      </c>
      <c r="D8" s="512" t="s">
        <v>1110</v>
      </c>
      <c r="E8" s="513" t="s">
        <v>1607</v>
      </c>
      <c r="F8" s="514">
        <v>42121</v>
      </c>
      <c r="G8" s="127"/>
      <c r="H8" s="126"/>
    </row>
    <row r="9" spans="2:8" ht="25.5">
      <c r="B9" s="557"/>
      <c r="C9" s="515" t="s">
        <v>513</v>
      </c>
      <c r="D9" s="516" t="s">
        <v>1628</v>
      </c>
      <c r="E9" s="517" t="s">
        <v>435</v>
      </c>
      <c r="F9" s="505">
        <v>42121</v>
      </c>
      <c r="G9" s="127"/>
      <c r="H9" s="126"/>
    </row>
    <row r="10" spans="2:8">
      <c r="B10" s="557"/>
      <c r="C10" s="165" t="s">
        <v>220</v>
      </c>
      <c r="D10" s="518" t="s">
        <v>1114</v>
      </c>
      <c r="E10" s="519" t="s">
        <v>381</v>
      </c>
      <c r="F10" s="520">
        <v>42121</v>
      </c>
      <c r="G10" s="127"/>
      <c r="H10" s="126"/>
    </row>
    <row r="11" spans="2:8">
      <c r="B11" s="557"/>
      <c r="C11" s="165" t="s">
        <v>526</v>
      </c>
      <c r="D11" s="507" t="s">
        <v>1112</v>
      </c>
      <c r="E11" s="519" t="s">
        <v>391</v>
      </c>
      <c r="F11" s="520">
        <v>42121</v>
      </c>
      <c r="G11" s="127"/>
      <c r="H11" s="126"/>
    </row>
    <row r="12" spans="2:8">
      <c r="B12" s="557"/>
      <c r="C12" s="165" t="s">
        <v>1113</v>
      </c>
      <c r="D12" s="518" t="s">
        <v>587</v>
      </c>
      <c r="E12" s="519" t="s">
        <v>435</v>
      </c>
      <c r="F12" s="520">
        <v>42121</v>
      </c>
      <c r="G12" s="127"/>
      <c r="H12" s="126"/>
    </row>
    <row r="13" spans="2:8">
      <c r="B13" s="557"/>
      <c r="C13" s="424" t="s">
        <v>544</v>
      </c>
      <c r="D13" s="510" t="s">
        <v>535</v>
      </c>
      <c r="E13" s="521" t="s">
        <v>529</v>
      </c>
      <c r="F13" s="522">
        <v>42121</v>
      </c>
      <c r="G13" s="127"/>
      <c r="H13" s="126"/>
    </row>
    <row r="14" spans="2:8">
      <c r="B14" s="557"/>
      <c r="C14" s="424" t="s">
        <v>585</v>
      </c>
      <c r="D14" s="510" t="s">
        <v>586</v>
      </c>
      <c r="E14" s="521" t="s">
        <v>529</v>
      </c>
      <c r="F14" s="522">
        <v>42121</v>
      </c>
      <c r="G14" s="127"/>
      <c r="H14" s="126"/>
    </row>
    <row r="15" spans="2:8">
      <c r="B15" s="557"/>
      <c r="C15" s="424" t="s">
        <v>1613</v>
      </c>
      <c r="D15" s="510" t="s">
        <v>1115</v>
      </c>
      <c r="E15" s="523" t="s">
        <v>391</v>
      </c>
      <c r="F15" s="524">
        <v>42121</v>
      </c>
      <c r="G15" s="127"/>
      <c r="H15" s="126"/>
    </row>
    <row r="16" spans="2:8" ht="13.5" thickBot="1">
      <c r="B16" s="558"/>
      <c r="C16" s="525" t="s">
        <v>565</v>
      </c>
      <c r="D16" s="526" t="s">
        <v>1118</v>
      </c>
      <c r="E16" s="527" t="s">
        <v>391</v>
      </c>
      <c r="F16" s="528">
        <v>42121</v>
      </c>
      <c r="G16" s="127"/>
      <c r="H16" s="126"/>
    </row>
    <row r="17" spans="2:8">
      <c r="B17" s="557" t="s">
        <v>571</v>
      </c>
      <c r="C17" s="178" t="s">
        <v>1119</v>
      </c>
      <c r="D17" s="516" t="s">
        <v>303</v>
      </c>
      <c r="E17" s="529"/>
      <c r="F17" s="505">
        <v>42121</v>
      </c>
      <c r="G17" s="127"/>
      <c r="H17" s="126"/>
    </row>
    <row r="18" spans="2:8">
      <c r="B18" s="557"/>
      <c r="C18" s="530" t="s">
        <v>527</v>
      </c>
      <c r="D18" s="507" t="s">
        <v>303</v>
      </c>
      <c r="E18" s="519"/>
      <c r="F18" s="520">
        <v>42121</v>
      </c>
      <c r="G18" s="127"/>
      <c r="H18" s="126"/>
    </row>
    <row r="19" spans="2:8">
      <c r="B19" s="557"/>
      <c r="C19" s="530" t="s">
        <v>440</v>
      </c>
      <c r="D19" s="507" t="s">
        <v>304</v>
      </c>
      <c r="E19" s="519"/>
      <c r="F19" s="520">
        <v>42121</v>
      </c>
      <c r="G19" s="127"/>
      <c r="H19" s="126"/>
    </row>
    <row r="20" spans="2:8">
      <c r="B20" s="557"/>
      <c r="C20" s="530" t="s">
        <v>441</v>
      </c>
      <c r="D20" s="507" t="s">
        <v>305</v>
      </c>
      <c r="E20" s="519"/>
      <c r="F20" s="520">
        <v>42121</v>
      </c>
      <c r="G20" s="127"/>
      <c r="H20" s="126"/>
    </row>
    <row r="21" spans="2:8">
      <c r="B21" s="557"/>
      <c r="C21" s="530" t="s">
        <v>442</v>
      </c>
      <c r="D21" s="507" t="s">
        <v>1629</v>
      </c>
      <c r="E21" s="519"/>
      <c r="F21" s="520">
        <v>42121</v>
      </c>
      <c r="G21" s="127"/>
      <c r="H21" s="126"/>
    </row>
    <row r="22" spans="2:8" ht="13.5" thickBot="1">
      <c r="B22" s="558"/>
      <c r="C22" s="531" t="s">
        <v>534</v>
      </c>
      <c r="D22" s="532" t="s">
        <v>540</v>
      </c>
      <c r="E22" s="533"/>
      <c r="F22" s="534">
        <v>42121</v>
      </c>
      <c r="G22" s="127"/>
      <c r="H22" s="126"/>
    </row>
    <row r="23" spans="2:8">
      <c r="B23" s="559" t="s">
        <v>572</v>
      </c>
      <c r="C23" s="535" t="s">
        <v>380</v>
      </c>
      <c r="D23" s="512" t="s">
        <v>306</v>
      </c>
      <c r="E23" s="513"/>
      <c r="F23" s="536">
        <v>42121</v>
      </c>
      <c r="G23" s="127"/>
      <c r="H23" s="126"/>
    </row>
    <row r="24" spans="2:8">
      <c r="B24" s="557"/>
      <c r="C24" s="487" t="s">
        <v>588</v>
      </c>
      <c r="D24" s="507" t="s">
        <v>1623</v>
      </c>
      <c r="E24" s="508"/>
      <c r="F24" s="537">
        <v>42121</v>
      </c>
      <c r="G24" s="127"/>
      <c r="H24" s="126"/>
    </row>
    <row r="25" spans="2:8" ht="13.5" thickBot="1">
      <c r="B25" s="558"/>
      <c r="C25" s="538" t="s">
        <v>538</v>
      </c>
      <c r="D25" s="526" t="s">
        <v>539</v>
      </c>
      <c r="E25" s="539"/>
      <c r="F25" s="540">
        <v>42121</v>
      </c>
      <c r="G25" s="127"/>
      <c r="H25" s="126"/>
    </row>
  </sheetData>
  <mergeCells count="4">
    <mergeCell ref="B5:B7"/>
    <mergeCell ref="B17:B22"/>
    <mergeCell ref="B8:B16"/>
    <mergeCell ref="B23:B25"/>
  </mergeCells>
  <hyperlinks>
    <hyperlink ref="C10" location="Mandatory!A1" display="Mandatory"/>
    <hyperlink ref="C7" location="'Non-mandatory OPROC HRGs'!A1" display="Non-mandatory OPROC HRGs"/>
    <hyperlink ref="C11" location="'Mapping HRGs to TFCs'!A1" display="Mapping HRGs to TFCs"/>
    <hyperlink ref="C13" location="'14-15 tariff'!A1" display="14-15 tariff"/>
    <hyperlink ref="C12" location="'Manual adjustment requests'!A1" display="Manual adjustment requests"/>
    <hyperlink ref="C6" location="OPATT_Activities!A1" display="OPATT_Activities"/>
    <hyperlink ref="C15" location="'Output for BPT'!A1" display="Output for BPT"/>
    <hyperlink ref="C25" location="'Post manual recon'!A1" display="Post manual recon"/>
    <hyperlink ref="C24" location="'OPATT prices'!A1" display="OPATT Prices"/>
    <hyperlink ref="C22" location="'Manual adjustments'!A1" display="Manual adjustments"/>
    <hyperlink ref="C18" location="'HRGs to TFCs % Split'!A1" display="HRGs to TFCs % Split"/>
    <hyperlink ref="C17" location="'HRGs to TFCs'!A1" display="HRGs to TFCs"/>
    <hyperlink ref="C21" location="'Further adjustment'!A1" display="Further adjustment"/>
    <hyperlink ref="C20" location="'Front-loading'!A1" display="Front-loading"/>
    <hyperlink ref="C19" location="'Allocate OPROC cost'!A1" display="Allocate OPROC cost"/>
    <hyperlink ref="C23" location="Prices!A1" display="Prices"/>
    <hyperlink ref="C16" location="'Output for non-mandatory'!A1" display="Output for non-mandatory"/>
    <hyperlink ref="C3" location="'Linked sheet'!A1" display="Linked sheet"/>
    <hyperlink ref="C4" location="'OPATT SQL code'!A1" display="OPATT SQL code"/>
    <hyperlink ref="C14" location="'15-16 tariff'!A1" display="15-16 tariff"/>
    <hyperlink ref="C5" location="OPATT_Cost_Quantum!A1" display="OPATT_Cost_Quantum"/>
    <hyperlink ref="C9" location="'Price Adjustments'!A1" display="Price Adjustments"/>
    <hyperlink ref="C8" location="'201314 RC list'!A1" display="201314 RC list"/>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249977111117893"/>
  </sheetPr>
  <dimension ref="A1:AG145"/>
  <sheetViews>
    <sheetView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ols>
    <col min="1" max="1" width="12.7109375" style="128" customWidth="1"/>
    <col min="2" max="2" width="9.28515625" style="128" bestFit="1" customWidth="1"/>
    <col min="3" max="3" width="11.42578125" style="128" customWidth="1"/>
    <col min="4" max="4" width="10.28515625" style="128" customWidth="1"/>
    <col min="5" max="5" width="11.42578125" style="128" customWidth="1"/>
    <col min="6" max="6" width="11.140625" style="128" customWidth="1"/>
    <col min="7" max="7" width="14" style="128" customWidth="1"/>
    <col min="8" max="8" width="12.85546875" style="128" customWidth="1"/>
    <col min="9" max="9" width="13.85546875" style="128" customWidth="1"/>
    <col min="10" max="14" width="9.140625" style="128"/>
    <col min="15" max="16" width="9.140625" style="128" customWidth="1"/>
    <col min="17" max="17" width="9.140625" style="128"/>
    <col min="18" max="18" width="10.140625" style="128" customWidth="1"/>
    <col min="19" max="19" width="10.28515625" style="128" customWidth="1"/>
    <col min="20" max="20" width="10.140625" style="128" customWidth="1"/>
    <col min="21" max="21" width="9.140625" style="128"/>
    <col min="22" max="22" width="12" style="128" customWidth="1"/>
    <col min="23" max="25" width="14.28515625" style="128" customWidth="1"/>
    <col min="26" max="16384" width="9.140625" style="128"/>
  </cols>
  <sheetData>
    <row r="1" spans="1:33">
      <c r="O1" s="232" t="s">
        <v>382</v>
      </c>
      <c r="P1" s="232" t="s">
        <v>383</v>
      </c>
      <c r="Y1" s="233">
        <f>Y2/SUM(V4:Y4)</f>
        <v>-1.3449616921991337E-3</v>
      </c>
      <c r="Z1" s="128" t="s">
        <v>547</v>
      </c>
    </row>
    <row r="2" spans="1:33" ht="20.25" customHeight="1">
      <c r="A2" s="480" t="s">
        <v>545</v>
      </c>
      <c r="D2" s="232"/>
      <c r="E2" s="234"/>
      <c r="I2" s="234"/>
      <c r="O2" s="235" t="s">
        <v>385</v>
      </c>
      <c r="P2" s="235" t="s">
        <v>384</v>
      </c>
      <c r="Y2" s="236">
        <f>SUM(V4:Y4)-SUM(F4:I4)</f>
        <v>-7919019.0009632111</v>
      </c>
      <c r="Z2" s="128" t="s">
        <v>578</v>
      </c>
    </row>
    <row r="3" spans="1:33" ht="13.5" thickBot="1">
      <c r="O3" s="237" t="s">
        <v>386</v>
      </c>
      <c r="P3" s="237" t="s">
        <v>387</v>
      </c>
      <c r="R3" s="149"/>
      <c r="S3" s="149"/>
      <c r="T3" s="149"/>
      <c r="V3" s="238">
        <f>V4/F4-1</f>
        <v>0.17150598799297323</v>
      </c>
      <c r="W3" s="238">
        <f t="shared" ref="W3:Y3" si="0">W4/G4-1</f>
        <v>0.14610640137936981</v>
      </c>
      <c r="X3" s="238">
        <f t="shared" si="0"/>
        <v>-0.10000000000000031</v>
      </c>
      <c r="Y3" s="238">
        <f t="shared" si="0"/>
        <v>-9.9999999999999534E-2</v>
      </c>
      <c r="Z3" s="149" t="s">
        <v>546</v>
      </c>
    </row>
    <row r="4" spans="1:33" ht="13.5" thickBot="1">
      <c r="B4" s="193">
        <f t="shared" ref="B4:I4" si="1">SUM(B9:B120)</f>
        <v>485043</v>
      </c>
      <c r="C4" s="194">
        <f t="shared" si="1"/>
        <v>16528524</v>
      </c>
      <c r="D4" s="194">
        <f t="shared" si="1"/>
        <v>1028059</v>
      </c>
      <c r="E4" s="195">
        <f t="shared" si="1"/>
        <v>32693755</v>
      </c>
      <c r="F4" s="193">
        <f t="shared" si="1"/>
        <v>82418557.515018865</v>
      </c>
      <c r="G4" s="194">
        <f t="shared" si="1"/>
        <v>2272542138.4090457</v>
      </c>
      <c r="H4" s="194">
        <f t="shared" si="1"/>
        <v>149806160.23459125</v>
      </c>
      <c r="I4" s="195">
        <f t="shared" si="1"/>
        <v>3391066329.3899803</v>
      </c>
      <c r="O4" s="239">
        <v>0.1</v>
      </c>
      <c r="P4" s="240">
        <f>1-$O$4</f>
        <v>0.9</v>
      </c>
      <c r="R4" s="241"/>
      <c r="S4" s="239">
        <v>1.5</v>
      </c>
      <c r="T4" s="149"/>
      <c r="U4" s="149"/>
      <c r="V4" s="242">
        <f>SUM(V9:V120)</f>
        <v>96553833.650587872</v>
      </c>
      <c r="W4" s="243">
        <f>SUM(W9:W120)</f>
        <v>2604575092.2349691</v>
      </c>
      <c r="X4" s="243">
        <f>SUM(X9:X120)</f>
        <v>134825544.21113208</v>
      </c>
      <c r="Y4" s="244">
        <f>SUM(Y9:Y120)</f>
        <v>3051959696.450984</v>
      </c>
    </row>
    <row r="5" spans="1:33" ht="13.5" thickBot="1">
      <c r="A5" s="128">
        <v>1</v>
      </c>
      <c r="B5" s="128">
        <f>A5+1</f>
        <v>2</v>
      </c>
      <c r="C5" s="128">
        <f t="shared" ref="C5:AG5" si="2">B5+1</f>
        <v>3</v>
      </c>
      <c r="D5" s="128">
        <f t="shared" si="2"/>
        <v>4</v>
      </c>
      <c r="E5" s="128">
        <f t="shared" si="2"/>
        <v>5</v>
      </c>
      <c r="F5" s="128">
        <f t="shared" si="2"/>
        <v>6</v>
      </c>
      <c r="G5" s="128">
        <f t="shared" si="2"/>
        <v>7</v>
      </c>
      <c r="H5" s="128">
        <f t="shared" si="2"/>
        <v>8</v>
      </c>
      <c r="I5" s="128">
        <f t="shared" si="2"/>
        <v>9</v>
      </c>
      <c r="J5" s="128">
        <f t="shared" si="2"/>
        <v>10</v>
      </c>
      <c r="K5" s="128">
        <f t="shared" si="2"/>
        <v>11</v>
      </c>
      <c r="L5" s="128">
        <f t="shared" si="2"/>
        <v>12</v>
      </c>
      <c r="M5" s="128">
        <f t="shared" si="2"/>
        <v>13</v>
      </c>
      <c r="N5" s="128">
        <f t="shared" si="2"/>
        <v>14</v>
      </c>
      <c r="O5" s="128">
        <f t="shared" si="2"/>
        <v>15</v>
      </c>
      <c r="P5" s="128">
        <f t="shared" si="2"/>
        <v>16</v>
      </c>
      <c r="Q5" s="128">
        <f t="shared" si="2"/>
        <v>17</v>
      </c>
      <c r="R5" s="128">
        <f t="shared" si="2"/>
        <v>18</v>
      </c>
      <c r="S5" s="128">
        <f t="shared" si="2"/>
        <v>19</v>
      </c>
      <c r="T5" s="128">
        <f t="shared" si="2"/>
        <v>20</v>
      </c>
      <c r="U5" s="128">
        <f t="shared" si="2"/>
        <v>21</v>
      </c>
      <c r="V5" s="128">
        <f t="shared" si="2"/>
        <v>22</v>
      </c>
      <c r="W5" s="128">
        <f t="shared" si="2"/>
        <v>23</v>
      </c>
      <c r="X5" s="128">
        <f t="shared" si="2"/>
        <v>24</v>
      </c>
      <c r="Y5" s="128">
        <f t="shared" si="2"/>
        <v>25</v>
      </c>
      <c r="Z5" s="128">
        <f t="shared" si="2"/>
        <v>26</v>
      </c>
      <c r="AA5" s="128">
        <f t="shared" si="2"/>
        <v>27</v>
      </c>
      <c r="AB5" s="128">
        <f t="shared" si="2"/>
        <v>28</v>
      </c>
      <c r="AC5" s="128">
        <f t="shared" si="2"/>
        <v>29</v>
      </c>
      <c r="AD5" s="128">
        <f t="shared" si="2"/>
        <v>30</v>
      </c>
      <c r="AE5" s="128">
        <f t="shared" si="2"/>
        <v>31</v>
      </c>
      <c r="AF5" s="128">
        <f t="shared" si="2"/>
        <v>32</v>
      </c>
      <c r="AG5" s="128">
        <f t="shared" si="2"/>
        <v>33</v>
      </c>
    </row>
    <row r="6" spans="1:33" ht="13.5" thickBot="1">
      <c r="A6" s="217"/>
      <c r="B6" s="587" t="s">
        <v>228</v>
      </c>
      <c r="C6" s="587"/>
      <c r="D6" s="587"/>
      <c r="E6" s="587"/>
      <c r="F6" s="587"/>
      <c r="G6" s="587"/>
      <c r="H6" s="587"/>
      <c r="I6" s="587"/>
      <c r="J6" s="587"/>
      <c r="K6" s="587"/>
      <c r="L6" s="587"/>
      <c r="M6" s="587"/>
      <c r="N6" s="587" t="str">
        <f>IF(S4="no limit","FRONT LOADING &amp; NO LIMIT TO COST INCREASE","FRONT LOADING &amp; LIMITING COSTS INCREASE TO "&amp;S4*100&amp;"%")</f>
        <v>FRONT LOADING &amp; LIMITING COSTS INCREASE TO 150%</v>
      </c>
      <c r="O6" s="587"/>
      <c r="P6" s="587"/>
      <c r="Q6" s="587"/>
      <c r="R6" s="587"/>
      <c r="S6" s="587"/>
      <c r="T6" s="587"/>
      <c r="U6" s="587"/>
      <c r="V6" s="587"/>
      <c r="W6" s="587"/>
      <c r="X6" s="587"/>
      <c r="Y6" s="587"/>
      <c r="Z6" s="587" t="s">
        <v>232</v>
      </c>
      <c r="AA6" s="587"/>
      <c r="AB6" s="587"/>
      <c r="AC6" s="587"/>
      <c r="AD6" s="587"/>
      <c r="AE6" s="587"/>
      <c r="AF6" s="587"/>
      <c r="AG6" s="587"/>
    </row>
    <row r="7" spans="1:33" ht="13.5" thickBot="1">
      <c r="A7" s="229"/>
      <c r="B7" s="585" t="s">
        <v>210</v>
      </c>
      <c r="C7" s="585"/>
      <c r="D7" s="585"/>
      <c r="E7" s="585"/>
      <c r="F7" s="585" t="s">
        <v>389</v>
      </c>
      <c r="G7" s="585"/>
      <c r="H7" s="585"/>
      <c r="I7" s="585"/>
      <c r="J7" s="585" t="s">
        <v>206</v>
      </c>
      <c r="K7" s="585"/>
      <c r="L7" s="585"/>
      <c r="M7" s="585"/>
      <c r="N7" s="245" t="str">
        <f>O4*100&amp;"% Frontloading"</f>
        <v>10% Frontloading</v>
      </c>
      <c r="O7" s="246"/>
      <c r="P7" s="246"/>
      <c r="Q7" s="246"/>
      <c r="R7" s="219" t="s">
        <v>296</v>
      </c>
      <c r="S7" s="219"/>
      <c r="T7" s="219"/>
      <c r="U7" s="247">
        <f>S4</f>
        <v>1.5</v>
      </c>
      <c r="V7" s="586" t="s">
        <v>388</v>
      </c>
      <c r="W7" s="586"/>
      <c r="X7" s="586"/>
      <c r="Y7" s="586"/>
      <c r="Z7" s="583" t="s">
        <v>206</v>
      </c>
      <c r="AA7" s="583"/>
      <c r="AB7" s="583"/>
      <c r="AC7" s="583"/>
      <c r="AD7" s="583" t="s">
        <v>213</v>
      </c>
      <c r="AE7" s="583"/>
      <c r="AF7" s="583"/>
      <c r="AG7" s="583"/>
    </row>
    <row r="8" spans="1:33">
      <c r="A8" s="248" t="s">
        <v>0</v>
      </c>
      <c r="B8" s="249" t="s">
        <v>66</v>
      </c>
      <c r="C8" s="249" t="s">
        <v>67</v>
      </c>
      <c r="D8" s="249" t="s">
        <v>68</v>
      </c>
      <c r="E8" s="249" t="s">
        <v>69</v>
      </c>
      <c r="F8" s="249" t="s">
        <v>66</v>
      </c>
      <c r="G8" s="249" t="s">
        <v>67</v>
      </c>
      <c r="H8" s="249" t="s">
        <v>68</v>
      </c>
      <c r="I8" s="249" t="s">
        <v>69</v>
      </c>
      <c r="J8" s="249" t="s">
        <v>66</v>
      </c>
      <c r="K8" s="249" t="s">
        <v>67</v>
      </c>
      <c r="L8" s="249" t="s">
        <v>68</v>
      </c>
      <c r="M8" s="249" t="s">
        <v>69</v>
      </c>
      <c r="N8" s="250" t="s">
        <v>66</v>
      </c>
      <c r="O8" s="250" t="s">
        <v>67</v>
      </c>
      <c r="P8" s="250" t="s">
        <v>68</v>
      </c>
      <c r="Q8" s="250" t="s">
        <v>69</v>
      </c>
      <c r="R8" s="250" t="s">
        <v>66</v>
      </c>
      <c r="S8" s="250" t="s">
        <v>67</v>
      </c>
      <c r="T8" s="250" t="s">
        <v>68</v>
      </c>
      <c r="U8" s="250" t="s">
        <v>69</v>
      </c>
      <c r="V8" s="250" t="s">
        <v>66</v>
      </c>
      <c r="W8" s="250" t="s">
        <v>67</v>
      </c>
      <c r="X8" s="250" t="s">
        <v>68</v>
      </c>
      <c r="Y8" s="250" t="s">
        <v>69</v>
      </c>
      <c r="Z8" s="251" t="s">
        <v>66</v>
      </c>
      <c r="AA8" s="251" t="s">
        <v>67</v>
      </c>
      <c r="AB8" s="251" t="s">
        <v>68</v>
      </c>
      <c r="AC8" s="251" t="s">
        <v>69</v>
      </c>
      <c r="AD8" s="251" t="s">
        <v>66</v>
      </c>
      <c r="AE8" s="251" t="s">
        <v>67</v>
      </c>
      <c r="AF8" s="251" t="s">
        <v>68</v>
      </c>
      <c r="AG8" s="251" t="s">
        <v>69</v>
      </c>
    </row>
    <row r="9" spans="1:33">
      <c r="A9" s="231">
        <v>100</v>
      </c>
      <c r="B9" s="222">
        <f>VLOOKUP($A9,'Allocate OPROC cost'!$A:$AO,30,FALSE)</f>
        <v>9575</v>
      </c>
      <c r="C9" s="222">
        <f>VLOOKUP($A9,'Allocate OPROC cost'!$A:$AO,31,FALSE)</f>
        <v>657468</v>
      </c>
      <c r="D9" s="222">
        <f>VLOOKUP($A9,'Allocate OPROC cost'!$A:$AO,32,FALSE)</f>
        <v>12498</v>
      </c>
      <c r="E9" s="222">
        <f>VLOOKUP($A9,'Allocate OPROC cost'!$A:$AO,33,FALSE)</f>
        <v>908710</v>
      </c>
      <c r="F9" s="222">
        <f>VLOOKUP($A9,'Allocate OPROC cost'!$A:$AO,34,FALSE)</f>
        <v>1617230.1240413827</v>
      </c>
      <c r="G9" s="222">
        <f>VLOOKUP($A9,'Allocate OPROC cost'!$A:$AO,35,FALSE)</f>
        <v>90856222.852761865</v>
      </c>
      <c r="H9" s="222">
        <f>VLOOKUP($A9,'Allocate OPROC cost'!$A:$AO,36,FALSE)</f>
        <v>2005880.6284445887</v>
      </c>
      <c r="I9" s="222">
        <f>VLOOKUP($A9,'Allocate OPROC cost'!$A:$AO,37,FALSE)</f>
        <v>94317819.71265322</v>
      </c>
      <c r="J9" s="223">
        <f>IF(B9=0,0,F9/B9)</f>
        <v>168.9013184377423</v>
      </c>
      <c r="K9" s="223">
        <f t="shared" ref="K9:M24" si="3">IF(C9=0,0,G9/C9)</f>
        <v>138.19109500806405</v>
      </c>
      <c r="L9" s="223">
        <f t="shared" si="3"/>
        <v>160.49612965631212</v>
      </c>
      <c r="M9" s="223">
        <f t="shared" si="3"/>
        <v>103.79309098904295</v>
      </c>
      <c r="N9" s="224">
        <f>IF(F9=0,1,1+(H9*$O$4)/F9)</f>
        <v>1.1240318615530105</v>
      </c>
      <c r="O9" s="224">
        <f>IF(G9=0,1,1+(I9*$O$4)/G9)</f>
        <v>1.1038099722299717</v>
      </c>
      <c r="P9" s="224">
        <f>$P$4</f>
        <v>0.9</v>
      </c>
      <c r="Q9" s="224">
        <f>$P$4</f>
        <v>0.9</v>
      </c>
      <c r="R9" s="224">
        <f>IF($S$4="No limit",N9,IF(N9&gt;$S$4,$S$4,N9))</f>
        <v>1.1240318615530105</v>
      </c>
      <c r="S9" s="224">
        <f>IF($S$4="No limit",O9,IF(O9&gt;$S$4,$S$4,O9))</f>
        <v>1.1038099722299717</v>
      </c>
      <c r="T9" s="224">
        <f>$P$9</f>
        <v>0.9</v>
      </c>
      <c r="U9" s="224">
        <f>$Q$9</f>
        <v>0.9</v>
      </c>
      <c r="V9" s="225">
        <f>R9*F9</f>
        <v>1817818.1868858414</v>
      </c>
      <c r="W9" s="225">
        <f t="shared" ref="W9:Y9" si="4">S9*G9</f>
        <v>100288004.8240272</v>
      </c>
      <c r="X9" s="225">
        <f t="shared" si="4"/>
        <v>1805292.56560013</v>
      </c>
      <c r="Y9" s="225">
        <f t="shared" si="4"/>
        <v>84886037.741387904</v>
      </c>
      <c r="Z9" s="227">
        <f>IF(B9=0,0,V9/B9)</f>
        <v>189.85046338233332</v>
      </c>
      <c r="AA9" s="227">
        <f t="shared" ref="AA9:AC9" si="5">IF(C9=0,0,W9/C9)</f>
        <v>152.53670874328057</v>
      </c>
      <c r="AB9" s="227">
        <f t="shared" si="5"/>
        <v>144.44651669068091</v>
      </c>
      <c r="AC9" s="227">
        <f t="shared" si="5"/>
        <v>93.413781890138665</v>
      </c>
      <c r="AD9" s="228">
        <f t="shared" ref="AD9:AD40" si="6">IF(J9=0,0,Z9/J9-1)</f>
        <v>0.12403186155301071</v>
      </c>
      <c r="AE9" s="228">
        <f t="shared" ref="AE9:AE40" si="7">IF(K9=0,0,AA9/K9-1)</f>
        <v>0.10380997222997168</v>
      </c>
      <c r="AF9" s="228">
        <f t="shared" ref="AF9:AF40" si="8">IF(L9=0,0,AB9/L9-1)</f>
        <v>-9.9999999999999978E-2</v>
      </c>
      <c r="AG9" s="228">
        <f t="shared" ref="AG9:AG40" si="9">IF(M9=0,0,AC9/M9-1)</f>
        <v>-9.9999999999999867E-2</v>
      </c>
    </row>
    <row r="10" spans="1:33">
      <c r="A10" s="231">
        <v>101</v>
      </c>
      <c r="B10" s="222">
        <f>VLOOKUP($A10,'Allocate OPROC cost'!$A:$AO,30,FALSE)</f>
        <v>6807</v>
      </c>
      <c r="C10" s="222">
        <f>VLOOKUP($A10,'Allocate OPROC cost'!$A:$AO,31,FALSE)</f>
        <v>551537</v>
      </c>
      <c r="D10" s="222">
        <f>VLOOKUP($A10,'Allocate OPROC cost'!$A:$AO,32,FALSE)</f>
        <v>20413</v>
      </c>
      <c r="E10" s="222">
        <f>VLOOKUP($A10,'Allocate OPROC cost'!$A:$AO,33,FALSE)</f>
        <v>1092671</v>
      </c>
      <c r="F10" s="222">
        <f>VLOOKUP($A10,'Allocate OPROC cost'!$A:$AO,34,FALSE)</f>
        <v>1079313.2246503886</v>
      </c>
      <c r="G10" s="222">
        <f>VLOOKUP($A10,'Allocate OPROC cost'!$A:$AO,35,FALSE)</f>
        <v>60025552.070042595</v>
      </c>
      <c r="H10" s="222">
        <f>VLOOKUP($A10,'Allocate OPROC cost'!$A:$AO,36,FALSE)</f>
        <v>2843085.209303922</v>
      </c>
      <c r="I10" s="222">
        <f>VLOOKUP($A10,'Allocate OPROC cost'!$A:$AO,37,FALSE)</f>
        <v>93787405.830535635</v>
      </c>
      <c r="J10" s="223">
        <f t="shared" ref="J10:M74" si="10">IF(B10=0,0,F10/B10)</f>
        <v>158.55931021748032</v>
      </c>
      <c r="K10" s="223">
        <f t="shared" si="3"/>
        <v>108.8332279974736</v>
      </c>
      <c r="L10" s="223">
        <f t="shared" si="3"/>
        <v>139.27816633047186</v>
      </c>
      <c r="M10" s="223">
        <f t="shared" si="3"/>
        <v>85.833160970260607</v>
      </c>
      <c r="N10" s="224">
        <f t="shared" ref="N10:N75" si="11">IF(F10=0,1,1+(H10*$O$4)/F10)</f>
        <v>1.2634161376300059</v>
      </c>
      <c r="O10" s="224">
        <f t="shared" ref="O10:O75" si="12">IF(G10=0,1,1+(I10*$O$4)/G10)</f>
        <v>1.1562458029891953</v>
      </c>
      <c r="P10" s="224">
        <f t="shared" ref="P10:Q41" si="13">$P$4</f>
        <v>0.9</v>
      </c>
      <c r="Q10" s="224">
        <f t="shared" si="13"/>
        <v>0.9</v>
      </c>
      <c r="R10" s="224">
        <f t="shared" ref="R10:R75" si="14">IF($S$4="No limit",N10,IF(N10&gt;$S$4,$S$4,N10))</f>
        <v>1.2634161376300059</v>
      </c>
      <c r="S10" s="224">
        <f t="shared" ref="S10:S75" si="15">IF($S$4="No limit",O10,IF(O10&gt;$S$4,$S$4,O10))</f>
        <v>1.1562458029891953</v>
      </c>
      <c r="T10" s="224">
        <f t="shared" ref="T10:T75" si="16">$P$9</f>
        <v>0.9</v>
      </c>
      <c r="U10" s="224">
        <f t="shared" ref="U10:U75" si="17">$Q$9</f>
        <v>0.9</v>
      </c>
      <c r="V10" s="225">
        <f t="shared" ref="V10:V75" si="18">R10*F10</f>
        <v>1363621.7455807808</v>
      </c>
      <c r="W10" s="225">
        <f t="shared" ref="W10:W75" si="19">S10*G10</f>
        <v>69404292.653096154</v>
      </c>
      <c r="X10" s="225">
        <f t="shared" ref="X10:X75" si="20">T10*H10</f>
        <v>2558776.6883735298</v>
      </c>
      <c r="Y10" s="225">
        <f t="shared" ref="Y10:Y75" si="21">U10*I10</f>
        <v>84408665.247482076</v>
      </c>
      <c r="Z10" s="227">
        <f t="shared" ref="Z10:Z75" si="22">IF(B10=0,0,V10/B10)</f>
        <v>200.32639130024691</v>
      </c>
      <c r="AA10" s="227">
        <f t="shared" ref="AA10:AA75" si="23">IF(C10=0,0,W10/C10)</f>
        <v>125.83796309784503</v>
      </c>
      <c r="AB10" s="227">
        <f t="shared" ref="AB10:AB75" si="24">IF(D10=0,0,X10/D10)</f>
        <v>125.35034969742468</v>
      </c>
      <c r="AC10" s="227">
        <f t="shared" ref="AC10:AC75" si="25">IF(E10=0,0,Y10/E10)</f>
        <v>77.249844873234551</v>
      </c>
      <c r="AD10" s="228">
        <f t="shared" si="6"/>
        <v>0.26341613763000593</v>
      </c>
      <c r="AE10" s="228">
        <f t="shared" si="7"/>
        <v>0.15624580298919533</v>
      </c>
      <c r="AF10" s="228">
        <f t="shared" si="8"/>
        <v>-9.9999999999999978E-2</v>
      </c>
      <c r="AG10" s="228">
        <f t="shared" si="9"/>
        <v>-9.9999999999999978E-2</v>
      </c>
    </row>
    <row r="11" spans="1:33">
      <c r="A11" s="231">
        <v>102</v>
      </c>
      <c r="B11" s="222">
        <f>VLOOKUP($A11,'Allocate OPROC cost'!$A:$AO,30,FALSE)</f>
        <v>607</v>
      </c>
      <c r="C11" s="222">
        <f>VLOOKUP($A11,'Allocate OPROC cost'!$A:$AO,31,FALSE)</f>
        <v>5136</v>
      </c>
      <c r="D11" s="222">
        <f>VLOOKUP($A11,'Allocate OPROC cost'!$A:$AO,32,FALSE)</f>
        <v>6683</v>
      </c>
      <c r="E11" s="222">
        <f>VLOOKUP($A11,'Allocate OPROC cost'!$A:$AO,33,FALSE)</f>
        <v>66938</v>
      </c>
      <c r="F11" s="222">
        <f>VLOOKUP($A11,'Allocate OPROC cost'!$A:$AO,34,FALSE)</f>
        <v>200460.75845894698</v>
      </c>
      <c r="G11" s="222">
        <f>VLOOKUP($A11,'Allocate OPROC cost'!$A:$AO,35,FALSE)</f>
        <v>1448793.6049233279</v>
      </c>
      <c r="H11" s="222">
        <f>VLOOKUP($A11,'Allocate OPROC cost'!$A:$AO,36,FALSE)</f>
        <v>1997641.2077228951</v>
      </c>
      <c r="I11" s="222">
        <f>VLOOKUP($A11,'Allocate OPROC cost'!$A:$AO,37,FALSE)</f>
        <v>15536483.709270772</v>
      </c>
      <c r="J11" s="223">
        <f t="shared" si="10"/>
        <v>330.24836648920427</v>
      </c>
      <c r="K11" s="223">
        <f t="shared" si="3"/>
        <v>282.08598226700309</v>
      </c>
      <c r="L11" s="223">
        <f t="shared" si="3"/>
        <v>298.91384224493419</v>
      </c>
      <c r="M11" s="223">
        <f t="shared" si="3"/>
        <v>232.10259806493727</v>
      </c>
      <c r="N11" s="224">
        <f t="shared" si="11"/>
        <v>1.9965248176649988</v>
      </c>
      <c r="O11" s="224">
        <f t="shared" si="12"/>
        <v>2.0723738465212911</v>
      </c>
      <c r="P11" s="224">
        <f t="shared" si="13"/>
        <v>0.9</v>
      </c>
      <c r="Q11" s="224">
        <f t="shared" si="13"/>
        <v>0.9</v>
      </c>
      <c r="R11" s="224">
        <f t="shared" si="14"/>
        <v>1.5</v>
      </c>
      <c r="S11" s="224">
        <f t="shared" si="15"/>
        <v>1.5</v>
      </c>
      <c r="T11" s="224">
        <f t="shared" si="16"/>
        <v>0.9</v>
      </c>
      <c r="U11" s="224">
        <f t="shared" si="17"/>
        <v>0.9</v>
      </c>
      <c r="V11" s="225">
        <f t="shared" si="18"/>
        <v>300691.13768842048</v>
      </c>
      <c r="W11" s="225">
        <f t="shared" si="19"/>
        <v>2173190.4073849916</v>
      </c>
      <c r="X11" s="225">
        <f t="shared" si="20"/>
        <v>1797877.0869506055</v>
      </c>
      <c r="Y11" s="225">
        <f t="shared" si="21"/>
        <v>13982835.338343695</v>
      </c>
      <c r="Z11" s="227">
        <f t="shared" si="22"/>
        <v>495.37254973380641</v>
      </c>
      <c r="AA11" s="227">
        <f t="shared" si="23"/>
        <v>423.12897340050461</v>
      </c>
      <c r="AB11" s="227">
        <f t="shared" si="24"/>
        <v>269.02245802044075</v>
      </c>
      <c r="AC11" s="227">
        <f t="shared" si="25"/>
        <v>208.89233825844354</v>
      </c>
      <c r="AD11" s="228">
        <f t="shared" si="6"/>
        <v>0.5</v>
      </c>
      <c r="AE11" s="228">
        <f t="shared" si="7"/>
        <v>0.5</v>
      </c>
      <c r="AF11" s="228">
        <f t="shared" si="8"/>
        <v>-0.10000000000000009</v>
      </c>
      <c r="AG11" s="228">
        <f t="shared" si="9"/>
        <v>-9.9999999999999978E-2</v>
      </c>
    </row>
    <row r="12" spans="1:33">
      <c r="A12" s="231">
        <v>103</v>
      </c>
      <c r="B12" s="222">
        <f>VLOOKUP($A12,'Allocate OPROC cost'!$A:$AO,30,FALSE)</f>
        <v>59739</v>
      </c>
      <c r="C12" s="222">
        <f>VLOOKUP($A12,'Allocate OPROC cost'!$A:$AO,31,FALSE)</f>
        <v>351185</v>
      </c>
      <c r="D12" s="222">
        <f>VLOOKUP($A12,'Allocate OPROC cost'!$A:$AO,32,FALSE)</f>
        <v>37980</v>
      </c>
      <c r="E12" s="222">
        <f>VLOOKUP($A12,'Allocate OPROC cost'!$A:$AO,33,FALSE)</f>
        <v>449529</v>
      </c>
      <c r="F12" s="222">
        <f>VLOOKUP($A12,'Allocate OPROC cost'!$A:$AO,34,FALSE)</f>
        <v>10341448.831077276</v>
      </c>
      <c r="G12" s="222">
        <f>VLOOKUP($A12,'Allocate OPROC cost'!$A:$AO,35,FALSE)</f>
        <v>54416120.789214343</v>
      </c>
      <c r="H12" s="222">
        <f>VLOOKUP($A12,'Allocate OPROC cost'!$A:$AO,36,FALSE)</f>
        <v>5071397.3222971596</v>
      </c>
      <c r="I12" s="222">
        <f>VLOOKUP($A12,'Allocate OPROC cost'!$A:$AO,37,FALSE)</f>
        <v>49406432.80524499</v>
      </c>
      <c r="J12" s="223">
        <f t="shared" si="10"/>
        <v>173.11051124185667</v>
      </c>
      <c r="K12" s="223">
        <f t="shared" si="3"/>
        <v>154.95001434917307</v>
      </c>
      <c r="L12" s="223">
        <f t="shared" si="3"/>
        <v>133.52810221951447</v>
      </c>
      <c r="M12" s="223">
        <f t="shared" si="3"/>
        <v>109.90710900797276</v>
      </c>
      <c r="N12" s="224">
        <f t="shared" si="11"/>
        <v>1.0490395243948509</v>
      </c>
      <c r="O12" s="224">
        <f t="shared" si="12"/>
        <v>1.090793742899508</v>
      </c>
      <c r="P12" s="224">
        <f t="shared" si="13"/>
        <v>0.9</v>
      </c>
      <c r="Q12" s="224">
        <f t="shared" si="13"/>
        <v>0.9</v>
      </c>
      <c r="R12" s="224">
        <f t="shared" si="14"/>
        <v>1.0490395243948509</v>
      </c>
      <c r="S12" s="224">
        <f t="shared" si="15"/>
        <v>1.090793742899508</v>
      </c>
      <c r="T12" s="224">
        <f t="shared" si="16"/>
        <v>0.9</v>
      </c>
      <c r="U12" s="224">
        <f t="shared" si="17"/>
        <v>0.9</v>
      </c>
      <c r="V12" s="225">
        <f t="shared" si="18"/>
        <v>10848588.563306993</v>
      </c>
      <c r="W12" s="225">
        <f t="shared" si="19"/>
        <v>59356764.069738843</v>
      </c>
      <c r="X12" s="225">
        <f t="shared" si="20"/>
        <v>4564257.5900674434</v>
      </c>
      <c r="Y12" s="225">
        <f t="shared" si="21"/>
        <v>44465789.52472049</v>
      </c>
      <c r="Z12" s="227">
        <f t="shared" si="22"/>
        <v>181.59976838090682</v>
      </c>
      <c r="AA12" s="227">
        <f t="shared" si="23"/>
        <v>169.01850611426696</v>
      </c>
      <c r="AB12" s="227">
        <f t="shared" si="24"/>
        <v>120.17529199756302</v>
      </c>
      <c r="AC12" s="227">
        <f t="shared" si="25"/>
        <v>98.916398107175482</v>
      </c>
      <c r="AD12" s="228">
        <f t="shared" si="6"/>
        <v>4.9039524394850931E-2</v>
      </c>
      <c r="AE12" s="228">
        <f t="shared" si="7"/>
        <v>9.0793742899507812E-2</v>
      </c>
      <c r="AF12" s="228">
        <f t="shared" si="8"/>
        <v>-9.9999999999999978E-2</v>
      </c>
      <c r="AG12" s="228">
        <f t="shared" si="9"/>
        <v>-0.10000000000000009</v>
      </c>
    </row>
    <row r="13" spans="1:33">
      <c r="A13" s="231">
        <v>104</v>
      </c>
      <c r="B13" s="222">
        <f>VLOOKUP($A13,'Allocate OPROC cost'!$A:$AO,30,FALSE)</f>
        <v>3058</v>
      </c>
      <c r="C13" s="222">
        <f>VLOOKUP($A13,'Allocate OPROC cost'!$A:$AO,31,FALSE)</f>
        <v>195049</v>
      </c>
      <c r="D13" s="222">
        <f>VLOOKUP($A13,'Allocate OPROC cost'!$A:$AO,32,FALSE)</f>
        <v>9234</v>
      </c>
      <c r="E13" s="222">
        <f>VLOOKUP($A13,'Allocate OPROC cost'!$A:$AO,33,FALSE)</f>
        <v>261043</v>
      </c>
      <c r="F13" s="222">
        <f>VLOOKUP($A13,'Allocate OPROC cost'!$A:$AO,34,FALSE)</f>
        <v>514544.3828376726</v>
      </c>
      <c r="G13" s="222">
        <f>VLOOKUP($A13,'Allocate OPROC cost'!$A:$AO,35,FALSE)</f>
        <v>23245642.349589638</v>
      </c>
      <c r="H13" s="222">
        <f>VLOOKUP($A13,'Allocate OPROC cost'!$A:$AO,36,FALSE)</f>
        <v>2291393.084676038</v>
      </c>
      <c r="I13" s="222">
        <f>VLOOKUP($A13,'Allocate OPROC cost'!$A:$AO,37,FALSE)</f>
        <v>25358532.753490668</v>
      </c>
      <c r="J13" s="223">
        <f t="shared" si="10"/>
        <v>168.26173408687791</v>
      </c>
      <c r="K13" s="223">
        <f t="shared" si="3"/>
        <v>119.17847489394786</v>
      </c>
      <c r="L13" s="223">
        <f t="shared" si="3"/>
        <v>248.14739925016656</v>
      </c>
      <c r="M13" s="223">
        <f t="shared" si="3"/>
        <v>97.143124900842651</v>
      </c>
      <c r="N13" s="224">
        <f t="shared" si="11"/>
        <v>1.4453246719047212</v>
      </c>
      <c r="O13" s="224">
        <f t="shared" si="12"/>
        <v>1.1090894042510222</v>
      </c>
      <c r="P13" s="224">
        <f t="shared" si="13"/>
        <v>0.9</v>
      </c>
      <c r="Q13" s="224">
        <f t="shared" si="13"/>
        <v>0.9</v>
      </c>
      <c r="R13" s="224">
        <f t="shared" si="14"/>
        <v>1.4453246719047212</v>
      </c>
      <c r="S13" s="224">
        <f t="shared" si="15"/>
        <v>1.1090894042510222</v>
      </c>
      <c r="T13" s="224">
        <f t="shared" si="16"/>
        <v>0.9</v>
      </c>
      <c r="U13" s="224">
        <f t="shared" si="17"/>
        <v>0.9</v>
      </c>
      <c r="V13" s="225">
        <f t="shared" si="18"/>
        <v>743683.69130527647</v>
      </c>
      <c r="W13" s="225">
        <f t="shared" si="19"/>
        <v>25781495.624938704</v>
      </c>
      <c r="X13" s="225">
        <f t="shared" si="20"/>
        <v>2062253.7762084343</v>
      </c>
      <c r="Y13" s="225">
        <f t="shared" si="21"/>
        <v>22822679.478141602</v>
      </c>
      <c r="Z13" s="227">
        <f t="shared" si="22"/>
        <v>243.19283561323627</v>
      </c>
      <c r="AA13" s="227">
        <f t="shared" si="23"/>
        <v>132.17958371967404</v>
      </c>
      <c r="AB13" s="227">
        <f t="shared" si="24"/>
        <v>223.3326593251499</v>
      </c>
      <c r="AC13" s="227">
        <f t="shared" si="25"/>
        <v>87.428812410758383</v>
      </c>
      <c r="AD13" s="228">
        <f t="shared" si="6"/>
        <v>0.44532467190472125</v>
      </c>
      <c r="AE13" s="228">
        <f t="shared" si="7"/>
        <v>0.1090894042510222</v>
      </c>
      <c r="AF13" s="228">
        <f t="shared" si="8"/>
        <v>-9.9999999999999978E-2</v>
      </c>
      <c r="AG13" s="228">
        <f t="shared" si="9"/>
        <v>-9.9999999999999978E-2</v>
      </c>
    </row>
    <row r="14" spans="1:33">
      <c r="A14" s="231">
        <v>105</v>
      </c>
      <c r="B14" s="222">
        <f>VLOOKUP($A14,'Allocate OPROC cost'!$A:$AO,30,FALSE)</f>
        <v>1595</v>
      </c>
      <c r="C14" s="222">
        <f>VLOOKUP($A14,'Allocate OPROC cost'!$A:$AO,31,FALSE)</f>
        <v>12389</v>
      </c>
      <c r="D14" s="222">
        <f>VLOOKUP($A14,'Allocate OPROC cost'!$A:$AO,32,FALSE)</f>
        <v>4088</v>
      </c>
      <c r="E14" s="222">
        <f>VLOOKUP($A14,'Allocate OPROC cost'!$A:$AO,33,FALSE)</f>
        <v>28799</v>
      </c>
      <c r="F14" s="222">
        <f>VLOOKUP($A14,'Allocate OPROC cost'!$A:$AO,34,FALSE)</f>
        <v>330588.88445591251</v>
      </c>
      <c r="G14" s="222">
        <f>VLOOKUP($A14,'Allocate OPROC cost'!$A:$AO,35,FALSE)</f>
        <v>1795884.0419779541</v>
      </c>
      <c r="H14" s="222">
        <f>VLOOKUP($A14,'Allocate OPROC cost'!$A:$AO,36,FALSE)</f>
        <v>828054.68620635988</v>
      </c>
      <c r="I14" s="222">
        <f>VLOOKUP($A14,'Allocate OPROC cost'!$A:$AO,37,FALSE)</f>
        <v>3779916.7279821285</v>
      </c>
      <c r="J14" s="223">
        <f t="shared" si="10"/>
        <v>207.26575827956898</v>
      </c>
      <c r="K14" s="223">
        <f t="shared" si="3"/>
        <v>144.9579499538263</v>
      </c>
      <c r="L14" s="223">
        <f t="shared" si="3"/>
        <v>202.55740856319957</v>
      </c>
      <c r="M14" s="223">
        <f t="shared" si="3"/>
        <v>131.25166596000307</v>
      </c>
      <c r="N14" s="224">
        <f t="shared" si="11"/>
        <v>1.2504786836887098</v>
      </c>
      <c r="O14" s="224">
        <f t="shared" si="12"/>
        <v>1.2104766588280944</v>
      </c>
      <c r="P14" s="224">
        <f t="shared" si="13"/>
        <v>0.9</v>
      </c>
      <c r="Q14" s="224">
        <f t="shared" si="13"/>
        <v>0.9</v>
      </c>
      <c r="R14" s="224">
        <f t="shared" si="14"/>
        <v>1.2504786836887098</v>
      </c>
      <c r="S14" s="224">
        <f t="shared" si="15"/>
        <v>1.2104766588280944</v>
      </c>
      <c r="T14" s="224">
        <f t="shared" si="16"/>
        <v>0.9</v>
      </c>
      <c r="U14" s="224">
        <f t="shared" si="17"/>
        <v>0.9</v>
      </c>
      <c r="V14" s="225">
        <f t="shared" si="18"/>
        <v>413394.35307654849</v>
      </c>
      <c r="W14" s="225">
        <f t="shared" si="19"/>
        <v>2173875.7147761672</v>
      </c>
      <c r="X14" s="225">
        <f t="shared" si="20"/>
        <v>745249.21758572396</v>
      </c>
      <c r="Y14" s="225">
        <f t="shared" si="21"/>
        <v>3401925.0551839159</v>
      </c>
      <c r="Z14" s="227">
        <f t="shared" si="22"/>
        <v>259.18141258717776</v>
      </c>
      <c r="AA14" s="227">
        <f t="shared" si="23"/>
        <v>175.46821493067779</v>
      </c>
      <c r="AB14" s="227">
        <f t="shared" si="24"/>
        <v>182.30166770687964</v>
      </c>
      <c r="AC14" s="227">
        <f t="shared" si="25"/>
        <v>118.12649936400277</v>
      </c>
      <c r="AD14" s="228">
        <f t="shared" si="6"/>
        <v>0.25047868368870985</v>
      </c>
      <c r="AE14" s="228">
        <f t="shared" si="7"/>
        <v>0.21047665882809441</v>
      </c>
      <c r="AF14" s="228">
        <f t="shared" si="8"/>
        <v>-9.9999999999999867E-2</v>
      </c>
      <c r="AG14" s="228">
        <f t="shared" si="9"/>
        <v>-9.9999999999999978E-2</v>
      </c>
    </row>
    <row r="15" spans="1:33">
      <c r="A15" s="231">
        <v>106</v>
      </c>
      <c r="B15" s="222">
        <f>VLOOKUP($A15,'Allocate OPROC cost'!$A:$AO,30,FALSE)</f>
        <v>869</v>
      </c>
      <c r="C15" s="222">
        <f>VLOOKUP($A15,'Allocate OPROC cost'!$A:$AO,31,FALSE)</f>
        <v>56998</v>
      </c>
      <c r="D15" s="222">
        <f>VLOOKUP($A15,'Allocate OPROC cost'!$A:$AO,32,FALSE)</f>
        <v>2028</v>
      </c>
      <c r="E15" s="222">
        <f>VLOOKUP($A15,'Allocate OPROC cost'!$A:$AO,33,FALSE)</f>
        <v>71619</v>
      </c>
      <c r="F15" s="222">
        <f>VLOOKUP($A15,'Allocate OPROC cost'!$A:$AO,34,FALSE)</f>
        <v>185378.97558873365</v>
      </c>
      <c r="G15" s="222">
        <f>VLOOKUP($A15,'Allocate OPROC cost'!$A:$AO,35,FALSE)</f>
        <v>7847675.6635961905</v>
      </c>
      <c r="H15" s="222">
        <f>VLOOKUP($A15,'Allocate OPROC cost'!$A:$AO,36,FALSE)</f>
        <v>314997.73643773567</v>
      </c>
      <c r="I15" s="222">
        <f>VLOOKUP($A15,'Allocate OPROC cost'!$A:$AO,37,FALSE)</f>
        <v>7869607.4535918804</v>
      </c>
      <c r="J15" s="223">
        <f t="shared" si="10"/>
        <v>213.32448284089028</v>
      </c>
      <c r="K15" s="223">
        <f t="shared" si="3"/>
        <v>137.68335140875453</v>
      </c>
      <c r="L15" s="223">
        <f t="shared" si="3"/>
        <v>155.32432763201956</v>
      </c>
      <c r="M15" s="223">
        <f t="shared" si="3"/>
        <v>109.88156011103032</v>
      </c>
      <c r="N15" s="224">
        <f t="shared" si="11"/>
        <v>1.1699209607979297</v>
      </c>
      <c r="O15" s="224">
        <f t="shared" si="12"/>
        <v>1.1002794686087427</v>
      </c>
      <c r="P15" s="224">
        <f t="shared" si="13"/>
        <v>0.9</v>
      </c>
      <c r="Q15" s="224">
        <f t="shared" si="13"/>
        <v>0.9</v>
      </c>
      <c r="R15" s="224">
        <f t="shared" si="14"/>
        <v>1.1699209607979297</v>
      </c>
      <c r="S15" s="224">
        <f t="shared" si="15"/>
        <v>1.1002794686087427</v>
      </c>
      <c r="T15" s="224">
        <f t="shared" si="16"/>
        <v>0.9</v>
      </c>
      <c r="U15" s="224">
        <f t="shared" si="17"/>
        <v>0.9</v>
      </c>
      <c r="V15" s="225">
        <f t="shared" si="18"/>
        <v>216878.74923250722</v>
      </c>
      <c r="W15" s="225">
        <f t="shared" si="19"/>
        <v>8634636.4089553785</v>
      </c>
      <c r="X15" s="225">
        <f t="shared" si="20"/>
        <v>283497.9627939621</v>
      </c>
      <c r="Y15" s="225">
        <f t="shared" si="21"/>
        <v>7082646.7082326924</v>
      </c>
      <c r="Z15" s="227">
        <f t="shared" si="22"/>
        <v>249.57278392693581</v>
      </c>
      <c r="AA15" s="227">
        <f t="shared" si="23"/>
        <v>151.4901647242952</v>
      </c>
      <c r="AB15" s="227">
        <f t="shared" si="24"/>
        <v>139.79189486881759</v>
      </c>
      <c r="AC15" s="227">
        <f t="shared" si="25"/>
        <v>98.893404099927281</v>
      </c>
      <c r="AD15" s="228">
        <f t="shared" si="6"/>
        <v>0.16992096079792973</v>
      </c>
      <c r="AE15" s="228">
        <f t="shared" si="7"/>
        <v>0.10027946860874248</v>
      </c>
      <c r="AF15" s="228">
        <f t="shared" si="8"/>
        <v>-0.10000000000000009</v>
      </c>
      <c r="AG15" s="228">
        <f t="shared" si="9"/>
        <v>-0.10000000000000009</v>
      </c>
    </row>
    <row r="16" spans="1:33">
      <c r="A16" s="231">
        <v>107</v>
      </c>
      <c r="B16" s="222">
        <f>VLOOKUP($A16,'Allocate OPROC cost'!$A:$AO,30,FALSE)</f>
        <v>3277</v>
      </c>
      <c r="C16" s="222">
        <f>VLOOKUP($A16,'Allocate OPROC cost'!$A:$AO,31,FALSE)</f>
        <v>161188</v>
      </c>
      <c r="D16" s="222">
        <f>VLOOKUP($A16,'Allocate OPROC cost'!$A:$AO,32,FALSE)</f>
        <v>5003</v>
      </c>
      <c r="E16" s="222">
        <f>VLOOKUP($A16,'Allocate OPROC cost'!$A:$AO,33,FALSE)</f>
        <v>204153</v>
      </c>
      <c r="F16" s="222">
        <f>VLOOKUP($A16,'Allocate OPROC cost'!$A:$AO,34,FALSE)</f>
        <v>778746.0257614624</v>
      </c>
      <c r="G16" s="222">
        <f>VLOOKUP($A16,'Allocate OPROC cost'!$A:$AO,35,FALSE)</f>
        <v>25166998.181468561</v>
      </c>
      <c r="H16" s="222">
        <f>VLOOKUP($A16,'Allocate OPROC cost'!$A:$AO,36,FALSE)</f>
        <v>1052198.5637431326</v>
      </c>
      <c r="I16" s="222">
        <f>VLOOKUP($A16,'Allocate OPROC cost'!$A:$AO,37,FALSE)</f>
        <v>26565188.431682188</v>
      </c>
      <c r="J16" s="223">
        <f t="shared" si="10"/>
        <v>237.63992241729093</v>
      </c>
      <c r="K16" s="223">
        <f t="shared" si="3"/>
        <v>156.13444041410378</v>
      </c>
      <c r="L16" s="223">
        <f t="shared" si="3"/>
        <v>210.31352463384621</v>
      </c>
      <c r="M16" s="223">
        <f t="shared" si="3"/>
        <v>130.12391898077516</v>
      </c>
      <c r="N16" s="224">
        <f t="shared" si="11"/>
        <v>1.1351144697931892</v>
      </c>
      <c r="O16" s="224">
        <f t="shared" si="12"/>
        <v>1.1055556496652159</v>
      </c>
      <c r="P16" s="224">
        <f t="shared" si="13"/>
        <v>0.9</v>
      </c>
      <c r="Q16" s="224">
        <f t="shared" si="13"/>
        <v>0.9</v>
      </c>
      <c r="R16" s="224">
        <f t="shared" si="14"/>
        <v>1.1351144697931892</v>
      </c>
      <c r="S16" s="224">
        <f t="shared" si="15"/>
        <v>1.1055556496652159</v>
      </c>
      <c r="T16" s="224">
        <f t="shared" si="16"/>
        <v>0.9</v>
      </c>
      <c r="U16" s="224">
        <f t="shared" si="17"/>
        <v>0.9</v>
      </c>
      <c r="V16" s="225">
        <f t="shared" si="18"/>
        <v>883965.88213577564</v>
      </c>
      <c r="W16" s="225">
        <f t="shared" si="19"/>
        <v>27823517.024636783</v>
      </c>
      <c r="X16" s="225">
        <f t="shared" si="20"/>
        <v>946978.70736881939</v>
      </c>
      <c r="Y16" s="225">
        <f t="shared" si="21"/>
        <v>23908669.58851397</v>
      </c>
      <c r="Z16" s="227">
        <f t="shared" si="22"/>
        <v>269.74851453639781</v>
      </c>
      <c r="AA16" s="227">
        <f t="shared" si="23"/>
        <v>172.61531270712945</v>
      </c>
      <c r="AB16" s="227">
        <f t="shared" si="24"/>
        <v>189.28217217046159</v>
      </c>
      <c r="AC16" s="227">
        <f t="shared" si="25"/>
        <v>117.11152708269763</v>
      </c>
      <c r="AD16" s="228">
        <f t="shared" si="6"/>
        <v>0.1351144697931892</v>
      </c>
      <c r="AE16" s="228">
        <f t="shared" si="7"/>
        <v>0.10555564966521591</v>
      </c>
      <c r="AF16" s="228">
        <f t="shared" si="8"/>
        <v>-9.9999999999999978E-2</v>
      </c>
      <c r="AG16" s="228">
        <f t="shared" si="9"/>
        <v>-0.10000000000000009</v>
      </c>
    </row>
    <row r="17" spans="1:33">
      <c r="A17" s="231">
        <v>108</v>
      </c>
      <c r="B17" s="222">
        <f>VLOOKUP($A17,'Allocate OPROC cost'!$A:$AO,30,FALSE)</f>
        <v>258</v>
      </c>
      <c r="C17" s="222">
        <f>VLOOKUP($A17,'Allocate OPROC cost'!$A:$AO,31,FALSE)</f>
        <v>14517</v>
      </c>
      <c r="D17" s="222">
        <f>VLOOKUP($A17,'Allocate OPROC cost'!$A:$AO,32,FALSE)</f>
        <v>872</v>
      </c>
      <c r="E17" s="222">
        <f>VLOOKUP($A17,'Allocate OPROC cost'!$A:$AO,33,FALSE)</f>
        <v>33756</v>
      </c>
      <c r="F17" s="222">
        <f>VLOOKUP($A17,'Allocate OPROC cost'!$A:$AO,34,FALSE)</f>
        <v>12070.970914973699</v>
      </c>
      <c r="G17" s="222">
        <f>VLOOKUP($A17,'Allocate OPROC cost'!$A:$AO,35,FALSE)</f>
        <v>2278171.664931186</v>
      </c>
      <c r="H17" s="222">
        <f>VLOOKUP($A17,'Allocate OPROC cost'!$A:$AO,36,FALSE)</f>
        <v>54619.49644667234</v>
      </c>
      <c r="I17" s="222">
        <f>VLOOKUP($A17,'Allocate OPROC cost'!$A:$AO,37,FALSE)</f>
        <v>4340403.4847216755</v>
      </c>
      <c r="J17" s="223">
        <f t="shared" si="10"/>
        <v>46.786708972766277</v>
      </c>
      <c r="K17" s="223">
        <f t="shared" si="3"/>
        <v>156.93129881733043</v>
      </c>
      <c r="L17" s="223">
        <f t="shared" si="3"/>
        <v>62.637037209486628</v>
      </c>
      <c r="M17" s="223">
        <f t="shared" si="3"/>
        <v>128.58168872857198</v>
      </c>
      <c r="N17" s="224">
        <f t="shared" si="11"/>
        <v>1.4524863561631021</v>
      </c>
      <c r="O17" s="224">
        <f t="shared" si="12"/>
        <v>1.1905213532208856</v>
      </c>
      <c r="P17" s="224">
        <f t="shared" si="13"/>
        <v>0.9</v>
      </c>
      <c r="Q17" s="224">
        <f t="shared" si="13"/>
        <v>0.9</v>
      </c>
      <c r="R17" s="224">
        <f t="shared" si="14"/>
        <v>1.4524863561631021</v>
      </c>
      <c r="S17" s="224">
        <f t="shared" si="15"/>
        <v>1.1905213532208856</v>
      </c>
      <c r="T17" s="224">
        <f t="shared" si="16"/>
        <v>0.9</v>
      </c>
      <c r="U17" s="224">
        <f t="shared" si="17"/>
        <v>0.9</v>
      </c>
      <c r="V17" s="225">
        <f t="shared" si="18"/>
        <v>17532.920559640934</v>
      </c>
      <c r="W17" s="225">
        <f t="shared" si="19"/>
        <v>2712212.0134033537</v>
      </c>
      <c r="X17" s="225">
        <f t="shared" si="20"/>
        <v>49157.546802005105</v>
      </c>
      <c r="Y17" s="225">
        <f t="shared" si="21"/>
        <v>3906363.1362495082</v>
      </c>
      <c r="Z17" s="227">
        <f t="shared" si="22"/>
        <v>67.957056432716797</v>
      </c>
      <c r="AA17" s="227">
        <f t="shared" si="23"/>
        <v>186.83006223071942</v>
      </c>
      <c r="AB17" s="227">
        <f t="shared" si="24"/>
        <v>56.373333488537966</v>
      </c>
      <c r="AC17" s="227">
        <f t="shared" si="25"/>
        <v>115.72351985571478</v>
      </c>
      <c r="AD17" s="228">
        <f t="shared" si="6"/>
        <v>0.45248635616310207</v>
      </c>
      <c r="AE17" s="228">
        <f t="shared" si="7"/>
        <v>0.19052135322088581</v>
      </c>
      <c r="AF17" s="228">
        <f t="shared" si="8"/>
        <v>-9.9999999999999978E-2</v>
      </c>
      <c r="AG17" s="228">
        <f t="shared" si="9"/>
        <v>-9.9999999999999978E-2</v>
      </c>
    </row>
    <row r="18" spans="1:33">
      <c r="A18" s="231">
        <v>110</v>
      </c>
      <c r="B18" s="222">
        <f>VLOOKUP($A18,'Allocate OPROC cost'!$A:$AO,30,FALSE)</f>
        <v>43770</v>
      </c>
      <c r="C18" s="222">
        <f>VLOOKUP($A18,'Allocate OPROC cost'!$A:$AO,31,FALSE)</f>
        <v>2077780</v>
      </c>
      <c r="D18" s="222">
        <f>VLOOKUP($A18,'Allocate OPROC cost'!$A:$AO,32,FALSE)</f>
        <v>78786</v>
      </c>
      <c r="E18" s="222">
        <f>VLOOKUP($A18,'Allocate OPROC cost'!$A:$AO,33,FALSE)</f>
        <v>3655213</v>
      </c>
      <c r="F18" s="222">
        <f>VLOOKUP($A18,'Allocate OPROC cost'!$A:$AO,34,FALSE)</f>
        <v>5755608.971085961</v>
      </c>
      <c r="G18" s="222">
        <f>VLOOKUP($A18,'Allocate OPROC cost'!$A:$AO,35,FALSE)</f>
        <v>254573859.78632534</v>
      </c>
      <c r="H18" s="222">
        <f>VLOOKUP($A18,'Allocate OPROC cost'!$A:$AO,36,FALSE)</f>
        <v>8112006.6743387189</v>
      </c>
      <c r="I18" s="222">
        <f>VLOOKUP($A18,'Allocate OPROC cost'!$A:$AO,37,FALSE)</f>
        <v>356820754.4114607</v>
      </c>
      <c r="J18" s="223">
        <f t="shared" si="10"/>
        <v>131.49666372140646</v>
      </c>
      <c r="K18" s="223">
        <f t="shared" si="3"/>
        <v>122.52204746716464</v>
      </c>
      <c r="L18" s="223">
        <f t="shared" si="3"/>
        <v>102.96253997332926</v>
      </c>
      <c r="M18" s="223">
        <f t="shared" si="3"/>
        <v>97.619688486405778</v>
      </c>
      <c r="N18" s="224">
        <f t="shared" si="11"/>
        <v>1.1409408928766778</v>
      </c>
      <c r="O18" s="224">
        <f t="shared" si="12"/>
        <v>1.1401639409132405</v>
      </c>
      <c r="P18" s="224">
        <f t="shared" si="13"/>
        <v>0.9</v>
      </c>
      <c r="Q18" s="224">
        <f t="shared" si="13"/>
        <v>0.9</v>
      </c>
      <c r="R18" s="224">
        <f t="shared" si="14"/>
        <v>1.1409408928766778</v>
      </c>
      <c r="S18" s="224">
        <f t="shared" si="15"/>
        <v>1.1401639409132405</v>
      </c>
      <c r="T18" s="224">
        <f t="shared" si="16"/>
        <v>0.9</v>
      </c>
      <c r="U18" s="224">
        <f t="shared" si="17"/>
        <v>0.9</v>
      </c>
      <c r="V18" s="225">
        <f t="shared" si="18"/>
        <v>6566809.6385198329</v>
      </c>
      <c r="W18" s="225">
        <f t="shared" si="19"/>
        <v>290255935.22747141</v>
      </c>
      <c r="X18" s="225">
        <f t="shared" si="20"/>
        <v>7300806.006904847</v>
      </c>
      <c r="Y18" s="225">
        <f t="shared" si="21"/>
        <v>321138678.97031462</v>
      </c>
      <c r="Z18" s="227">
        <f t="shared" si="22"/>
        <v>150.02992091660573</v>
      </c>
      <c r="AA18" s="227">
        <f t="shared" si="23"/>
        <v>139.69522048892154</v>
      </c>
      <c r="AB18" s="227">
        <f t="shared" si="24"/>
        <v>92.666285975996331</v>
      </c>
      <c r="AC18" s="227">
        <f t="shared" si="25"/>
        <v>87.857719637765186</v>
      </c>
      <c r="AD18" s="228">
        <f t="shared" si="6"/>
        <v>0.14094089287667777</v>
      </c>
      <c r="AE18" s="228">
        <f t="shared" si="7"/>
        <v>0.14016394091324047</v>
      </c>
      <c r="AF18" s="228">
        <f t="shared" si="8"/>
        <v>-9.9999999999999978E-2</v>
      </c>
      <c r="AG18" s="228">
        <f t="shared" si="9"/>
        <v>-0.1000000000000002</v>
      </c>
    </row>
    <row r="19" spans="1:33">
      <c r="A19" s="231">
        <v>120</v>
      </c>
      <c r="B19" s="222">
        <f>VLOOKUP($A19,'Allocate OPROC cost'!$A:$AO,30,FALSE)</f>
        <v>8832</v>
      </c>
      <c r="C19" s="222">
        <f>VLOOKUP($A19,'Allocate OPROC cost'!$A:$AO,31,FALSE)</f>
        <v>621493</v>
      </c>
      <c r="D19" s="222">
        <f>VLOOKUP($A19,'Allocate OPROC cost'!$A:$AO,32,FALSE)</f>
        <v>19259</v>
      </c>
      <c r="E19" s="222">
        <f>VLOOKUP($A19,'Allocate OPROC cost'!$A:$AO,33,FALSE)</f>
        <v>899844</v>
      </c>
      <c r="F19" s="222">
        <f>VLOOKUP($A19,'Allocate OPROC cost'!$A:$AO,34,FALSE)</f>
        <v>1166631.7386057358</v>
      </c>
      <c r="G19" s="222">
        <f>VLOOKUP($A19,'Allocate OPROC cost'!$A:$AO,35,FALSE)</f>
        <v>62449766.362257563</v>
      </c>
      <c r="H19" s="222">
        <f>VLOOKUP($A19,'Allocate OPROC cost'!$A:$AO,36,FALSE)</f>
        <v>2291795.83459451</v>
      </c>
      <c r="I19" s="222">
        <f>VLOOKUP($A19,'Allocate OPROC cost'!$A:$AO,37,FALSE)</f>
        <v>71788967.475733623</v>
      </c>
      <c r="J19" s="223">
        <f t="shared" si="10"/>
        <v>132.09145591097553</v>
      </c>
      <c r="K19" s="223">
        <f t="shared" si="3"/>
        <v>100.483458964554</v>
      </c>
      <c r="L19" s="223">
        <f t="shared" si="3"/>
        <v>118.99869331712499</v>
      </c>
      <c r="M19" s="223">
        <f t="shared" si="3"/>
        <v>79.779347837773685</v>
      </c>
      <c r="N19" s="224">
        <f t="shared" si="11"/>
        <v>1.1964455242177348</v>
      </c>
      <c r="O19" s="224">
        <f t="shared" si="12"/>
        <v>1.1149547414786172</v>
      </c>
      <c r="P19" s="224">
        <f t="shared" si="13"/>
        <v>0.9</v>
      </c>
      <c r="Q19" s="224">
        <f t="shared" si="13"/>
        <v>0.9</v>
      </c>
      <c r="R19" s="224">
        <f t="shared" si="14"/>
        <v>1.1964455242177348</v>
      </c>
      <c r="S19" s="224">
        <f t="shared" si="15"/>
        <v>1.1149547414786172</v>
      </c>
      <c r="T19" s="224">
        <f t="shared" si="16"/>
        <v>0.9</v>
      </c>
      <c r="U19" s="224">
        <f t="shared" si="17"/>
        <v>0.9</v>
      </c>
      <c r="V19" s="225">
        <f t="shared" si="18"/>
        <v>1395811.3220651869</v>
      </c>
      <c r="W19" s="225">
        <f t="shared" si="19"/>
        <v>69628663.109830931</v>
      </c>
      <c r="X19" s="225">
        <f t="shared" si="20"/>
        <v>2062616.2511350592</v>
      </c>
      <c r="Y19" s="225">
        <f t="shared" si="21"/>
        <v>64610070.728160262</v>
      </c>
      <c r="Z19" s="227">
        <f t="shared" si="22"/>
        <v>158.0402312120909</v>
      </c>
      <c r="AA19" s="227">
        <f t="shared" si="23"/>
        <v>112.03450901270156</v>
      </c>
      <c r="AB19" s="227">
        <f t="shared" si="24"/>
        <v>107.09882398541249</v>
      </c>
      <c r="AC19" s="227">
        <f t="shared" si="25"/>
        <v>71.801413053996313</v>
      </c>
      <c r="AD19" s="228">
        <f t="shared" si="6"/>
        <v>0.19644552421773476</v>
      </c>
      <c r="AE19" s="228">
        <f t="shared" si="7"/>
        <v>0.11495474147861739</v>
      </c>
      <c r="AF19" s="228">
        <f t="shared" si="8"/>
        <v>-9.9999999999999978E-2</v>
      </c>
      <c r="AG19" s="228">
        <f t="shared" si="9"/>
        <v>-0.10000000000000009</v>
      </c>
    </row>
    <row r="20" spans="1:33">
      <c r="A20" s="231">
        <v>130</v>
      </c>
      <c r="B20" s="222">
        <f>VLOOKUP($A20,'Allocate OPROC cost'!$A:$AO,30,FALSE)</f>
        <v>51082</v>
      </c>
      <c r="C20" s="222">
        <f>VLOOKUP($A20,'Allocate OPROC cost'!$A:$AO,31,FALSE)</f>
        <v>1321856</v>
      </c>
      <c r="D20" s="222">
        <f>VLOOKUP($A20,'Allocate OPROC cost'!$A:$AO,32,FALSE)</f>
        <v>158104</v>
      </c>
      <c r="E20" s="222">
        <f>VLOOKUP($A20,'Allocate OPROC cost'!$A:$AO,33,FALSE)</f>
        <v>3456443</v>
      </c>
      <c r="F20" s="222">
        <f>VLOOKUP($A20,'Allocate OPROC cost'!$A:$AO,34,FALSE)</f>
        <v>6200401.9346487755</v>
      </c>
      <c r="G20" s="222">
        <f>VLOOKUP($A20,'Allocate OPROC cost'!$A:$AO,35,FALSE)</f>
        <v>127465455.68314254</v>
      </c>
      <c r="H20" s="222">
        <f>VLOOKUP($A20,'Allocate OPROC cost'!$A:$AO,36,FALSE)</f>
        <v>15955961.946413226</v>
      </c>
      <c r="I20" s="222">
        <f>VLOOKUP($A20,'Allocate OPROC cost'!$A:$AO,37,FALSE)</f>
        <v>265794290.55076611</v>
      </c>
      <c r="J20" s="223">
        <f t="shared" si="10"/>
        <v>121.38134635779288</v>
      </c>
      <c r="K20" s="223">
        <f t="shared" si="3"/>
        <v>96.429153919294194</v>
      </c>
      <c r="L20" s="223">
        <f t="shared" si="3"/>
        <v>100.92067212982104</v>
      </c>
      <c r="M20" s="223">
        <f t="shared" si="3"/>
        <v>76.898213148825576</v>
      </c>
      <c r="N20" s="224">
        <f t="shared" si="11"/>
        <v>1.2573375422204314</v>
      </c>
      <c r="O20" s="224">
        <f t="shared" si="12"/>
        <v>1.2085226064789549</v>
      </c>
      <c r="P20" s="224">
        <f t="shared" si="13"/>
        <v>0.9</v>
      </c>
      <c r="Q20" s="224">
        <f t="shared" si="13"/>
        <v>0.9</v>
      </c>
      <c r="R20" s="224">
        <f t="shared" si="14"/>
        <v>1.2573375422204314</v>
      </c>
      <c r="S20" s="224">
        <f t="shared" si="15"/>
        <v>1.2085226064789549</v>
      </c>
      <c r="T20" s="224">
        <f t="shared" si="16"/>
        <v>0.9</v>
      </c>
      <c r="U20" s="224">
        <f t="shared" si="17"/>
        <v>0.9</v>
      </c>
      <c r="V20" s="225">
        <f t="shared" si="18"/>
        <v>7795998.1292900993</v>
      </c>
      <c r="W20" s="225">
        <f t="shared" si="19"/>
        <v>154044884.73821914</v>
      </c>
      <c r="X20" s="225">
        <f t="shared" si="20"/>
        <v>14360365.751771905</v>
      </c>
      <c r="Y20" s="225">
        <f t="shared" si="21"/>
        <v>239214861.49568951</v>
      </c>
      <c r="Z20" s="227">
        <f t="shared" si="22"/>
        <v>152.6173237009142</v>
      </c>
      <c r="AA20" s="227">
        <f t="shared" si="23"/>
        <v>116.53681243510574</v>
      </c>
      <c r="AB20" s="227">
        <f t="shared" si="24"/>
        <v>90.828604916838941</v>
      </c>
      <c r="AC20" s="227">
        <f t="shared" si="25"/>
        <v>69.208391833943026</v>
      </c>
      <c r="AD20" s="228">
        <f t="shared" si="6"/>
        <v>0.25733754222043137</v>
      </c>
      <c r="AE20" s="228">
        <f t="shared" si="7"/>
        <v>0.20852260647895493</v>
      </c>
      <c r="AF20" s="228">
        <f t="shared" si="8"/>
        <v>-9.9999999999999978E-2</v>
      </c>
      <c r="AG20" s="228">
        <f t="shared" si="9"/>
        <v>-9.9999999999999867E-2</v>
      </c>
    </row>
    <row r="21" spans="1:33">
      <c r="A21" s="231">
        <v>140</v>
      </c>
      <c r="B21" s="222">
        <f>VLOOKUP($A21,'Allocate OPROC cost'!$A:$AO,30,FALSE)</f>
        <v>4792</v>
      </c>
      <c r="C21" s="222">
        <f>VLOOKUP($A21,'Allocate OPROC cost'!$A:$AO,31,FALSE)</f>
        <v>373923</v>
      </c>
      <c r="D21" s="222">
        <f>VLOOKUP($A21,'Allocate OPROC cost'!$A:$AO,32,FALSE)</f>
        <v>8705</v>
      </c>
      <c r="E21" s="222">
        <f>VLOOKUP($A21,'Allocate OPROC cost'!$A:$AO,33,FALSE)</f>
        <v>396505</v>
      </c>
      <c r="F21" s="222">
        <f>VLOOKUP($A21,'Allocate OPROC cost'!$A:$AO,34,FALSE)</f>
        <v>863450.33059731754</v>
      </c>
      <c r="G21" s="222">
        <f>VLOOKUP($A21,'Allocate OPROC cost'!$A:$AO,35,FALSE)</f>
        <v>44701350.727619618</v>
      </c>
      <c r="H21" s="222">
        <f>VLOOKUP($A21,'Allocate OPROC cost'!$A:$AO,36,FALSE)</f>
        <v>1373668.7429925615</v>
      </c>
      <c r="I21" s="222">
        <f>VLOOKUP($A21,'Allocate OPROC cost'!$A:$AO,37,FALSE)</f>
        <v>36969571.621218652</v>
      </c>
      <c r="J21" s="223">
        <f t="shared" si="10"/>
        <v>180.18579519977411</v>
      </c>
      <c r="K21" s="223">
        <f t="shared" si="3"/>
        <v>119.54694075416495</v>
      </c>
      <c r="L21" s="223">
        <f t="shared" si="3"/>
        <v>157.80226800603808</v>
      </c>
      <c r="M21" s="223">
        <f t="shared" si="3"/>
        <v>93.238601332186605</v>
      </c>
      <c r="N21" s="224">
        <f t="shared" si="11"/>
        <v>1.1590906499557752</v>
      </c>
      <c r="O21" s="224">
        <f t="shared" si="12"/>
        <v>1.0827034776789781</v>
      </c>
      <c r="P21" s="224">
        <f t="shared" si="13"/>
        <v>0.9</v>
      </c>
      <c r="Q21" s="224">
        <f t="shared" si="13"/>
        <v>0.9</v>
      </c>
      <c r="R21" s="224">
        <f t="shared" si="14"/>
        <v>1.1590906499557752</v>
      </c>
      <c r="S21" s="224">
        <f t="shared" si="15"/>
        <v>1.0827034776789781</v>
      </c>
      <c r="T21" s="224">
        <f t="shared" si="16"/>
        <v>0.9</v>
      </c>
      <c r="U21" s="224">
        <f t="shared" si="17"/>
        <v>0.9</v>
      </c>
      <c r="V21" s="225">
        <f t="shared" si="18"/>
        <v>1000817.2048965737</v>
      </c>
      <c r="W21" s="225">
        <f t="shared" si="19"/>
        <v>48398307.88974148</v>
      </c>
      <c r="X21" s="225">
        <f t="shared" si="20"/>
        <v>1236301.8686933054</v>
      </c>
      <c r="Y21" s="225">
        <f t="shared" si="21"/>
        <v>33272614.459096786</v>
      </c>
      <c r="Z21" s="227">
        <f t="shared" si="22"/>
        <v>208.85167047090437</v>
      </c>
      <c r="AA21" s="227">
        <f t="shared" si="23"/>
        <v>129.43388850041714</v>
      </c>
      <c r="AB21" s="227">
        <f t="shared" si="24"/>
        <v>142.02204120543428</v>
      </c>
      <c r="AC21" s="227">
        <f t="shared" si="25"/>
        <v>83.914741198967945</v>
      </c>
      <c r="AD21" s="228">
        <f t="shared" si="6"/>
        <v>0.15909064995577515</v>
      </c>
      <c r="AE21" s="228">
        <f t="shared" si="7"/>
        <v>8.2703477678978121E-2</v>
      </c>
      <c r="AF21" s="228">
        <f t="shared" si="8"/>
        <v>-9.9999999999999978E-2</v>
      </c>
      <c r="AG21" s="228">
        <f t="shared" si="9"/>
        <v>-9.9999999999999978E-2</v>
      </c>
    </row>
    <row r="22" spans="1:33">
      <c r="A22" s="231">
        <v>141</v>
      </c>
      <c r="B22" s="222">
        <f>VLOOKUP($A22,'Allocate OPROC cost'!$A:$AO,30,FALSE)</f>
        <v>1154</v>
      </c>
      <c r="C22" s="222">
        <f>VLOOKUP($A22,'Allocate OPROC cost'!$A:$AO,31,FALSE)</f>
        <v>89404</v>
      </c>
      <c r="D22" s="222">
        <f>VLOOKUP($A22,'Allocate OPROC cost'!$A:$AO,32,FALSE)</f>
        <v>687</v>
      </c>
      <c r="E22" s="222">
        <f>VLOOKUP($A22,'Allocate OPROC cost'!$A:$AO,33,FALSE)</f>
        <v>204469</v>
      </c>
      <c r="F22" s="222">
        <f>VLOOKUP($A22,'Allocate OPROC cost'!$A:$AO,34,FALSE)</f>
        <v>154200.60123739156</v>
      </c>
      <c r="G22" s="222">
        <f>VLOOKUP($A22,'Allocate OPROC cost'!$A:$AO,35,FALSE)</f>
        <v>8781608.5621426385</v>
      </c>
      <c r="H22" s="222">
        <f>VLOOKUP($A22,'Allocate OPROC cost'!$A:$AO,36,FALSE)</f>
        <v>64308.679279745207</v>
      </c>
      <c r="I22" s="222">
        <f>VLOOKUP($A22,'Allocate OPROC cost'!$A:$AO,37,FALSE)</f>
        <v>20832361.195145003</v>
      </c>
      <c r="J22" s="223">
        <f t="shared" si="10"/>
        <v>133.62270471177777</v>
      </c>
      <c r="K22" s="223">
        <f t="shared" si="3"/>
        <v>98.223888887998726</v>
      </c>
      <c r="L22" s="223">
        <f t="shared" si="3"/>
        <v>93.607975661928975</v>
      </c>
      <c r="M22" s="223">
        <f t="shared" si="3"/>
        <v>101.88518159302879</v>
      </c>
      <c r="N22" s="224">
        <f t="shared" si="11"/>
        <v>1.0417045580650766</v>
      </c>
      <c r="O22" s="224">
        <f t="shared" si="12"/>
        <v>1.2372271668422223</v>
      </c>
      <c r="P22" s="224">
        <f t="shared" si="13"/>
        <v>0.9</v>
      </c>
      <c r="Q22" s="224">
        <f t="shared" si="13"/>
        <v>0.9</v>
      </c>
      <c r="R22" s="224">
        <f t="shared" si="14"/>
        <v>1.0417045580650766</v>
      </c>
      <c r="S22" s="224">
        <f t="shared" si="15"/>
        <v>1.2372271668422223</v>
      </c>
      <c r="T22" s="224">
        <f t="shared" si="16"/>
        <v>0.9</v>
      </c>
      <c r="U22" s="224">
        <f t="shared" si="17"/>
        <v>0.9</v>
      </c>
      <c r="V22" s="225">
        <f t="shared" si="18"/>
        <v>160631.46916536608</v>
      </c>
      <c r="W22" s="225">
        <f t="shared" si="19"/>
        <v>10864844.681657139</v>
      </c>
      <c r="X22" s="225">
        <f t="shared" si="20"/>
        <v>57877.811351770688</v>
      </c>
      <c r="Y22" s="225">
        <f t="shared" si="21"/>
        <v>18749125.075630505</v>
      </c>
      <c r="Z22" s="227">
        <f t="shared" si="22"/>
        <v>139.19538055924272</v>
      </c>
      <c r="AA22" s="227">
        <f t="shared" si="23"/>
        <v>121.52526376512392</v>
      </c>
      <c r="AB22" s="227">
        <f t="shared" si="24"/>
        <v>84.247178095736075</v>
      </c>
      <c r="AC22" s="227">
        <f t="shared" si="25"/>
        <v>91.696663433725917</v>
      </c>
      <c r="AD22" s="228">
        <f t="shared" si="6"/>
        <v>4.170455806507678E-2</v>
      </c>
      <c r="AE22" s="228">
        <f t="shared" si="7"/>
        <v>0.23722716684222256</v>
      </c>
      <c r="AF22" s="228">
        <f t="shared" si="8"/>
        <v>-9.9999999999999978E-2</v>
      </c>
      <c r="AG22" s="228">
        <f t="shared" si="9"/>
        <v>-9.9999999999999978E-2</v>
      </c>
    </row>
    <row r="23" spans="1:33">
      <c r="A23" s="231">
        <v>142</v>
      </c>
      <c r="B23" s="222">
        <f>VLOOKUP($A23,'Allocate OPROC cost'!$A:$AO,30,FALSE)</f>
        <v>100</v>
      </c>
      <c r="C23" s="222">
        <f>VLOOKUP($A23,'Allocate OPROC cost'!$A:$AO,31,FALSE)</f>
        <v>28426</v>
      </c>
      <c r="D23" s="222">
        <f>VLOOKUP($A23,'Allocate OPROC cost'!$A:$AO,32,FALSE)</f>
        <v>291</v>
      </c>
      <c r="E23" s="222">
        <f>VLOOKUP($A23,'Allocate OPROC cost'!$A:$AO,33,FALSE)</f>
        <v>55056</v>
      </c>
      <c r="F23" s="222">
        <f>VLOOKUP($A23,'Allocate OPROC cost'!$A:$AO,34,FALSE)</f>
        <v>5343.3796899311674</v>
      </c>
      <c r="G23" s="222">
        <f>VLOOKUP($A23,'Allocate OPROC cost'!$A:$AO,35,FALSE)</f>
        <v>2435782.9742313274</v>
      </c>
      <c r="H23" s="222">
        <f>VLOOKUP($A23,'Allocate OPROC cost'!$A:$AO,36,FALSE)</f>
        <v>19922.89367891592</v>
      </c>
      <c r="I23" s="222">
        <f>VLOOKUP($A23,'Allocate OPROC cost'!$A:$AO,37,FALSE)</f>
        <v>5484355.2085958999</v>
      </c>
      <c r="J23" s="223">
        <f t="shared" si="10"/>
        <v>53.433796899311673</v>
      </c>
      <c r="K23" s="223">
        <f t="shared" si="3"/>
        <v>85.688558862707637</v>
      </c>
      <c r="L23" s="223">
        <f t="shared" si="3"/>
        <v>68.463552161223092</v>
      </c>
      <c r="M23" s="223">
        <f t="shared" si="3"/>
        <v>99.614123957350699</v>
      </c>
      <c r="N23" s="224">
        <f t="shared" si="11"/>
        <v>1.3728519183553014</v>
      </c>
      <c r="O23" s="224">
        <f t="shared" si="12"/>
        <v>1.2251577938845979</v>
      </c>
      <c r="P23" s="224">
        <f t="shared" si="13"/>
        <v>0.9</v>
      </c>
      <c r="Q23" s="224">
        <f t="shared" si="13"/>
        <v>0.9</v>
      </c>
      <c r="R23" s="224">
        <f t="shared" si="14"/>
        <v>1.3728519183553014</v>
      </c>
      <c r="S23" s="224">
        <f t="shared" si="15"/>
        <v>1.2251577938845979</v>
      </c>
      <c r="T23" s="224">
        <f t="shared" si="16"/>
        <v>0.9</v>
      </c>
      <c r="U23" s="224">
        <f t="shared" si="17"/>
        <v>0.9</v>
      </c>
      <c r="V23" s="225">
        <f t="shared" si="18"/>
        <v>7335.669057822759</v>
      </c>
      <c r="W23" s="225">
        <f t="shared" si="19"/>
        <v>2984218.4950909172</v>
      </c>
      <c r="X23" s="225">
        <f t="shared" si="20"/>
        <v>17930.60431102433</v>
      </c>
      <c r="Y23" s="225">
        <f t="shared" si="21"/>
        <v>4935919.6877363101</v>
      </c>
      <c r="Z23" s="227">
        <f t="shared" si="22"/>
        <v>73.356690578227585</v>
      </c>
      <c r="AA23" s="227">
        <f t="shared" si="23"/>
        <v>104.98200573738539</v>
      </c>
      <c r="AB23" s="227">
        <f t="shared" si="24"/>
        <v>61.617196945100787</v>
      </c>
      <c r="AC23" s="227">
        <f t="shared" si="25"/>
        <v>89.652711561615632</v>
      </c>
      <c r="AD23" s="228">
        <f t="shared" si="6"/>
        <v>0.3728519183553014</v>
      </c>
      <c r="AE23" s="228">
        <f t="shared" si="7"/>
        <v>0.22515779388459789</v>
      </c>
      <c r="AF23" s="228">
        <f t="shared" si="8"/>
        <v>-9.9999999999999978E-2</v>
      </c>
      <c r="AG23" s="228">
        <f t="shared" si="9"/>
        <v>-9.9999999999999978E-2</v>
      </c>
    </row>
    <row r="24" spans="1:33">
      <c r="A24" s="231">
        <v>143</v>
      </c>
      <c r="B24" s="222">
        <f>VLOOKUP($A24,'Allocate OPROC cost'!$A:$AO,30,FALSE)</f>
        <v>1601</v>
      </c>
      <c r="C24" s="222">
        <f>VLOOKUP($A24,'Allocate OPROC cost'!$A:$AO,31,FALSE)</f>
        <v>59900</v>
      </c>
      <c r="D24" s="222">
        <f>VLOOKUP($A24,'Allocate OPROC cost'!$A:$AO,32,FALSE)</f>
        <v>7363</v>
      </c>
      <c r="E24" s="222">
        <f>VLOOKUP($A24,'Allocate OPROC cost'!$A:$AO,33,FALSE)</f>
        <v>264666</v>
      </c>
      <c r="F24" s="222">
        <f>VLOOKUP($A24,'Allocate OPROC cost'!$A:$AO,34,FALSE)</f>
        <v>211700.24985107366</v>
      </c>
      <c r="G24" s="222">
        <f>VLOOKUP($A24,'Allocate OPROC cost'!$A:$AO,35,FALSE)</f>
        <v>7340160.5181420306</v>
      </c>
      <c r="H24" s="222">
        <f>VLOOKUP($A24,'Allocate OPROC cost'!$A:$AO,36,FALSE)</f>
        <v>852231.51189547975</v>
      </c>
      <c r="I24" s="222">
        <f>VLOOKUP($A24,'Allocate OPROC cost'!$A:$AO,37,FALSE)</f>
        <v>25197433.504699364</v>
      </c>
      <c r="J24" s="223">
        <f t="shared" si="10"/>
        <v>132.23001239917156</v>
      </c>
      <c r="K24" s="223">
        <f t="shared" si="3"/>
        <v>122.54024237298883</v>
      </c>
      <c r="L24" s="223">
        <f t="shared" si="3"/>
        <v>115.7451462577047</v>
      </c>
      <c r="M24" s="223">
        <f t="shared" si="3"/>
        <v>95.204648518129886</v>
      </c>
      <c r="N24" s="224">
        <f t="shared" si="11"/>
        <v>1.4025651894577382</v>
      </c>
      <c r="O24" s="224">
        <f t="shared" si="12"/>
        <v>1.3432817775908452</v>
      </c>
      <c r="P24" s="224">
        <f t="shared" si="13"/>
        <v>0.9</v>
      </c>
      <c r="Q24" s="224">
        <f t="shared" si="13"/>
        <v>0.9</v>
      </c>
      <c r="R24" s="224">
        <f t="shared" si="14"/>
        <v>1.4025651894577382</v>
      </c>
      <c r="S24" s="224">
        <f t="shared" si="15"/>
        <v>1.3432817775908452</v>
      </c>
      <c r="T24" s="224">
        <f t="shared" si="16"/>
        <v>0.9</v>
      </c>
      <c r="U24" s="224">
        <f t="shared" si="17"/>
        <v>0.9</v>
      </c>
      <c r="V24" s="225">
        <f t="shared" si="18"/>
        <v>296923.40104062163</v>
      </c>
      <c r="W24" s="225">
        <f t="shared" si="19"/>
        <v>9859903.8686119672</v>
      </c>
      <c r="X24" s="225">
        <f t="shared" si="20"/>
        <v>767008.36070593179</v>
      </c>
      <c r="Y24" s="225">
        <f t="shared" si="21"/>
        <v>22677690.154229429</v>
      </c>
      <c r="Z24" s="227">
        <f t="shared" si="22"/>
        <v>185.46121239264312</v>
      </c>
      <c r="AA24" s="227">
        <f t="shared" si="23"/>
        <v>164.60607460120144</v>
      </c>
      <c r="AB24" s="227">
        <f t="shared" si="24"/>
        <v>104.17063163193424</v>
      </c>
      <c r="AC24" s="227">
        <f t="shared" si="25"/>
        <v>85.684183666316898</v>
      </c>
      <c r="AD24" s="228">
        <f t="shared" si="6"/>
        <v>0.40256518945773823</v>
      </c>
      <c r="AE24" s="228">
        <f t="shared" si="7"/>
        <v>0.34328177759084522</v>
      </c>
      <c r="AF24" s="228">
        <f t="shared" si="8"/>
        <v>-9.9999999999999978E-2</v>
      </c>
      <c r="AG24" s="228">
        <f t="shared" si="9"/>
        <v>-9.9999999999999978E-2</v>
      </c>
    </row>
    <row r="25" spans="1:33">
      <c r="A25" s="231">
        <v>144</v>
      </c>
      <c r="B25" s="222">
        <f>VLOOKUP($A25,'Allocate OPROC cost'!$A:$AO,30,FALSE)</f>
        <v>1406</v>
      </c>
      <c r="C25" s="222">
        <f>VLOOKUP($A25,'Allocate OPROC cost'!$A:$AO,31,FALSE)</f>
        <v>159842</v>
      </c>
      <c r="D25" s="222">
        <f>VLOOKUP($A25,'Allocate OPROC cost'!$A:$AO,32,FALSE)</f>
        <v>5827</v>
      </c>
      <c r="E25" s="222">
        <f>VLOOKUP($A25,'Allocate OPROC cost'!$A:$AO,33,FALSE)</f>
        <v>188376</v>
      </c>
      <c r="F25" s="222">
        <f>VLOOKUP($A25,'Allocate OPROC cost'!$A:$AO,34,FALSE)</f>
        <v>163829.83538667415</v>
      </c>
      <c r="G25" s="222">
        <f>VLOOKUP($A25,'Allocate OPROC cost'!$A:$AO,35,FALSE)</f>
        <v>17520826.552780796</v>
      </c>
      <c r="H25" s="222">
        <f>VLOOKUP($A25,'Allocate OPROC cost'!$A:$AO,36,FALSE)</f>
        <v>543591.8576867443</v>
      </c>
      <c r="I25" s="222">
        <f>VLOOKUP($A25,'Allocate OPROC cost'!$A:$AO,37,FALSE)</f>
        <v>18211031.046021901</v>
      </c>
      <c r="J25" s="223">
        <f t="shared" si="10"/>
        <v>116.5219312849745</v>
      </c>
      <c r="K25" s="223">
        <f t="shared" si="10"/>
        <v>109.61340919646148</v>
      </c>
      <c r="L25" s="223">
        <f t="shared" si="10"/>
        <v>93.288460217392199</v>
      </c>
      <c r="M25" s="223">
        <f t="shared" si="10"/>
        <v>96.673838737535036</v>
      </c>
      <c r="N25" s="224">
        <f t="shared" si="11"/>
        <v>1.331802724701364</v>
      </c>
      <c r="O25" s="224">
        <f t="shared" si="12"/>
        <v>1.1039393375144826</v>
      </c>
      <c r="P25" s="224">
        <f t="shared" si="13"/>
        <v>0.9</v>
      </c>
      <c r="Q25" s="224">
        <f t="shared" si="13"/>
        <v>0.9</v>
      </c>
      <c r="R25" s="224">
        <f t="shared" si="14"/>
        <v>1.331802724701364</v>
      </c>
      <c r="S25" s="224">
        <f t="shared" si="15"/>
        <v>1.1039393375144826</v>
      </c>
      <c r="T25" s="224">
        <f t="shared" si="16"/>
        <v>0.9</v>
      </c>
      <c r="U25" s="224">
        <f t="shared" si="17"/>
        <v>0.9</v>
      </c>
      <c r="V25" s="225">
        <f t="shared" si="18"/>
        <v>218189.02115534857</v>
      </c>
      <c r="W25" s="225">
        <f t="shared" si="19"/>
        <v>19341929.657382987</v>
      </c>
      <c r="X25" s="225">
        <f t="shared" si="20"/>
        <v>489232.67191806989</v>
      </c>
      <c r="Y25" s="225">
        <f t="shared" si="21"/>
        <v>16389927.941419711</v>
      </c>
      <c r="Z25" s="227">
        <f t="shared" si="22"/>
        <v>155.18422557279413</v>
      </c>
      <c r="AA25" s="227">
        <f t="shared" si="23"/>
        <v>121.00655433104558</v>
      </c>
      <c r="AB25" s="227">
        <f t="shared" si="24"/>
        <v>83.959614195652975</v>
      </c>
      <c r="AC25" s="227">
        <f t="shared" si="25"/>
        <v>87.006454863781542</v>
      </c>
      <c r="AD25" s="228">
        <f t="shared" si="6"/>
        <v>0.33180272470136396</v>
      </c>
      <c r="AE25" s="228">
        <f t="shared" si="7"/>
        <v>0.10393933751448259</v>
      </c>
      <c r="AF25" s="228">
        <f t="shared" si="8"/>
        <v>-0.10000000000000009</v>
      </c>
      <c r="AG25" s="228">
        <f t="shared" si="9"/>
        <v>-9.9999999999999867E-2</v>
      </c>
    </row>
    <row r="26" spans="1:33">
      <c r="A26" s="231">
        <v>150</v>
      </c>
      <c r="B26" s="222">
        <f>VLOOKUP($A26,'Allocate OPROC cost'!$A:$AO,30,FALSE)</f>
        <v>4955</v>
      </c>
      <c r="C26" s="222">
        <f>VLOOKUP($A26,'Allocate OPROC cost'!$A:$AO,31,FALSE)</f>
        <v>95890</v>
      </c>
      <c r="D26" s="222">
        <f>VLOOKUP($A26,'Allocate OPROC cost'!$A:$AO,32,FALSE)</f>
        <v>4685</v>
      </c>
      <c r="E26" s="222">
        <f>VLOOKUP($A26,'Allocate OPROC cost'!$A:$AO,33,FALSE)</f>
        <v>150093</v>
      </c>
      <c r="F26" s="222">
        <f>VLOOKUP($A26,'Allocate OPROC cost'!$A:$AO,34,FALSE)</f>
        <v>1149765.6935442446</v>
      </c>
      <c r="G26" s="222">
        <f>VLOOKUP($A26,'Allocate OPROC cost'!$A:$AO,35,FALSE)</f>
        <v>17227510.155194968</v>
      </c>
      <c r="H26" s="222">
        <f>VLOOKUP($A26,'Allocate OPROC cost'!$A:$AO,36,FALSE)</f>
        <v>954265.76091095537</v>
      </c>
      <c r="I26" s="222">
        <f>VLOOKUP($A26,'Allocate OPROC cost'!$A:$AO,37,FALSE)</f>
        <v>23127360.195723586</v>
      </c>
      <c r="J26" s="223">
        <f t="shared" si="10"/>
        <v>232.04151231972645</v>
      </c>
      <c r="K26" s="223">
        <f t="shared" si="10"/>
        <v>179.65909015741963</v>
      </c>
      <c r="L26" s="223">
        <f t="shared" si="10"/>
        <v>203.68532783584959</v>
      </c>
      <c r="M26" s="223">
        <f t="shared" si="10"/>
        <v>154.08686744700677</v>
      </c>
      <c r="N26" s="224">
        <f t="shared" si="11"/>
        <v>1.0829965414926719</v>
      </c>
      <c r="O26" s="224">
        <f t="shared" si="12"/>
        <v>1.1342466786400327</v>
      </c>
      <c r="P26" s="224">
        <f t="shared" si="13"/>
        <v>0.9</v>
      </c>
      <c r="Q26" s="224">
        <f t="shared" si="13"/>
        <v>0.9</v>
      </c>
      <c r="R26" s="224">
        <f t="shared" si="14"/>
        <v>1.0829965414926719</v>
      </c>
      <c r="S26" s="224">
        <f t="shared" si="15"/>
        <v>1.1342466786400327</v>
      </c>
      <c r="T26" s="224">
        <f t="shared" si="16"/>
        <v>0.9</v>
      </c>
      <c r="U26" s="224">
        <f t="shared" si="17"/>
        <v>0.9</v>
      </c>
      <c r="V26" s="225">
        <f t="shared" si="18"/>
        <v>1245192.2696353402</v>
      </c>
      <c r="W26" s="225">
        <f t="shared" si="19"/>
        <v>19540246.174767327</v>
      </c>
      <c r="X26" s="225">
        <f t="shared" si="20"/>
        <v>858839.1848198598</v>
      </c>
      <c r="Y26" s="225">
        <f t="shared" si="21"/>
        <v>20814624.176151227</v>
      </c>
      <c r="Z26" s="227">
        <f t="shared" si="22"/>
        <v>251.30015532499297</v>
      </c>
      <c r="AA26" s="227">
        <f t="shared" si="23"/>
        <v>203.7777262985434</v>
      </c>
      <c r="AB26" s="227">
        <f t="shared" si="24"/>
        <v>183.31679505226464</v>
      </c>
      <c r="AC26" s="227">
        <f t="shared" si="25"/>
        <v>138.67818070230609</v>
      </c>
      <c r="AD26" s="228">
        <f t="shared" si="6"/>
        <v>8.2996541492671883E-2</v>
      </c>
      <c r="AE26" s="228">
        <f t="shared" si="7"/>
        <v>0.1342466786400327</v>
      </c>
      <c r="AF26" s="228">
        <f t="shared" si="8"/>
        <v>-9.9999999999999978E-2</v>
      </c>
      <c r="AG26" s="228">
        <f t="shared" si="9"/>
        <v>-9.9999999999999978E-2</v>
      </c>
    </row>
    <row r="27" spans="1:33">
      <c r="A27" s="231">
        <v>160</v>
      </c>
      <c r="B27" s="222">
        <f>VLOOKUP($A27,'Allocate OPROC cost'!$A:$AO,30,FALSE)</f>
        <v>12223</v>
      </c>
      <c r="C27" s="222">
        <f>VLOOKUP($A27,'Allocate OPROC cost'!$A:$AO,31,FALSE)</f>
        <v>229186</v>
      </c>
      <c r="D27" s="222">
        <f>VLOOKUP($A27,'Allocate OPROC cost'!$A:$AO,32,FALSE)</f>
        <v>15370</v>
      </c>
      <c r="E27" s="222">
        <f>VLOOKUP($A27,'Allocate OPROC cost'!$A:$AO,33,FALSE)</f>
        <v>467890</v>
      </c>
      <c r="F27" s="222">
        <f>VLOOKUP($A27,'Allocate OPROC cost'!$A:$AO,34,FALSE)</f>
        <v>1863918.3541555973</v>
      </c>
      <c r="G27" s="222">
        <f>VLOOKUP($A27,'Allocate OPROC cost'!$A:$AO,35,FALSE)</f>
        <v>22810200.377521511</v>
      </c>
      <c r="H27" s="222">
        <f>VLOOKUP($A27,'Allocate OPROC cost'!$A:$AO,36,FALSE)</f>
        <v>2117781.1285621449</v>
      </c>
      <c r="I27" s="222">
        <f>VLOOKUP($A27,'Allocate OPROC cost'!$A:$AO,37,FALSE)</f>
        <v>37116815.864352405</v>
      </c>
      <c r="J27" s="223">
        <f t="shared" si="10"/>
        <v>152.49270671321258</v>
      </c>
      <c r="K27" s="223">
        <f t="shared" si="10"/>
        <v>99.527023367577044</v>
      </c>
      <c r="L27" s="223">
        <f t="shared" si="10"/>
        <v>137.78667069369843</v>
      </c>
      <c r="M27" s="223">
        <f t="shared" si="10"/>
        <v>79.328081096737279</v>
      </c>
      <c r="N27" s="224">
        <f t="shared" si="11"/>
        <v>1.113619844122494</v>
      </c>
      <c r="O27" s="224">
        <f t="shared" si="12"/>
        <v>1.1627202534394632</v>
      </c>
      <c r="P27" s="224">
        <f t="shared" si="13"/>
        <v>0.9</v>
      </c>
      <c r="Q27" s="224">
        <f t="shared" si="13"/>
        <v>0.9</v>
      </c>
      <c r="R27" s="224">
        <f t="shared" si="14"/>
        <v>1.113619844122494</v>
      </c>
      <c r="S27" s="224">
        <f t="shared" si="15"/>
        <v>1.1627202534394632</v>
      </c>
      <c r="T27" s="224">
        <f t="shared" si="16"/>
        <v>0.9</v>
      </c>
      <c r="U27" s="224">
        <f t="shared" si="17"/>
        <v>0.9</v>
      </c>
      <c r="V27" s="225">
        <f t="shared" si="18"/>
        <v>2075696.4670118119</v>
      </c>
      <c r="W27" s="225">
        <f t="shared" si="19"/>
        <v>26521881.963956751</v>
      </c>
      <c r="X27" s="225">
        <f t="shared" si="20"/>
        <v>1906003.0157059305</v>
      </c>
      <c r="Y27" s="225">
        <f t="shared" si="21"/>
        <v>33405134.277917165</v>
      </c>
      <c r="Z27" s="227">
        <f t="shared" si="22"/>
        <v>169.81890427978499</v>
      </c>
      <c r="AA27" s="227">
        <f t="shared" si="23"/>
        <v>115.72208583402455</v>
      </c>
      <c r="AB27" s="227">
        <f t="shared" si="24"/>
        <v>124.00800362432859</v>
      </c>
      <c r="AC27" s="227">
        <f t="shared" si="25"/>
        <v>71.395272987063549</v>
      </c>
      <c r="AD27" s="228">
        <f t="shared" si="6"/>
        <v>0.11361984412249404</v>
      </c>
      <c r="AE27" s="228">
        <f t="shared" si="7"/>
        <v>0.16272025343946317</v>
      </c>
      <c r="AF27" s="228">
        <f t="shared" si="8"/>
        <v>-9.9999999999999867E-2</v>
      </c>
      <c r="AG27" s="228">
        <f t="shared" si="9"/>
        <v>-9.9999999999999978E-2</v>
      </c>
    </row>
    <row r="28" spans="1:33">
      <c r="A28" s="231">
        <v>161</v>
      </c>
      <c r="B28" s="222">
        <f>VLOOKUP($A28,'Allocate OPROC cost'!$A:$AO,30,FALSE)</f>
        <v>91</v>
      </c>
      <c r="C28" s="222">
        <f>VLOOKUP($A28,'Allocate OPROC cost'!$A:$AO,31,FALSE)</f>
        <v>17784</v>
      </c>
      <c r="D28" s="222">
        <f>VLOOKUP($A28,'Allocate OPROC cost'!$A:$AO,32,FALSE)</f>
        <v>942</v>
      </c>
      <c r="E28" s="222">
        <f>VLOOKUP($A28,'Allocate OPROC cost'!$A:$AO,33,FALSE)</f>
        <v>15816</v>
      </c>
      <c r="F28" s="222">
        <f>VLOOKUP($A28,'Allocate OPROC cost'!$A:$AO,34,FALSE)</f>
        <v>11990.825564565013</v>
      </c>
      <c r="G28" s="222">
        <f>VLOOKUP($A28,'Allocate OPROC cost'!$A:$AO,35,FALSE)</f>
        <v>1647600.3908078796</v>
      </c>
      <c r="H28" s="222">
        <f>VLOOKUP($A28,'Allocate OPROC cost'!$A:$AO,36,FALSE)</f>
        <v>143360.87654779194</v>
      </c>
      <c r="I28" s="222">
        <f>VLOOKUP($A28,'Allocate OPROC cost'!$A:$AO,37,FALSE)</f>
        <v>2081869.6820266889</v>
      </c>
      <c r="J28" s="223">
        <f t="shared" si="10"/>
        <v>131.76731389631883</v>
      </c>
      <c r="K28" s="223">
        <f t="shared" si="10"/>
        <v>92.645096199273482</v>
      </c>
      <c r="L28" s="223">
        <f t="shared" si="10"/>
        <v>152.18776703587255</v>
      </c>
      <c r="M28" s="223">
        <f t="shared" si="10"/>
        <v>131.63060710841484</v>
      </c>
      <c r="N28" s="224">
        <f t="shared" si="11"/>
        <v>2.1955880416728637</v>
      </c>
      <c r="O28" s="224">
        <f t="shared" si="12"/>
        <v>1.1263576831883289</v>
      </c>
      <c r="P28" s="224">
        <f t="shared" si="13"/>
        <v>0.9</v>
      </c>
      <c r="Q28" s="224">
        <f t="shared" si="13"/>
        <v>0.9</v>
      </c>
      <c r="R28" s="224">
        <f t="shared" si="14"/>
        <v>1.5</v>
      </c>
      <c r="S28" s="224">
        <f t="shared" si="15"/>
        <v>1.1263576831883289</v>
      </c>
      <c r="T28" s="224">
        <f t="shared" si="16"/>
        <v>0.9</v>
      </c>
      <c r="U28" s="224">
        <f t="shared" si="17"/>
        <v>0.9</v>
      </c>
      <c r="V28" s="225">
        <f t="shared" si="18"/>
        <v>17986.23834684752</v>
      </c>
      <c r="W28" s="225">
        <f t="shared" si="19"/>
        <v>1855787.3590105486</v>
      </c>
      <c r="X28" s="225">
        <f t="shared" si="20"/>
        <v>129024.78889301275</v>
      </c>
      <c r="Y28" s="225">
        <f t="shared" si="21"/>
        <v>1873682.71382402</v>
      </c>
      <c r="Z28" s="227">
        <f t="shared" si="22"/>
        <v>197.65097084447825</v>
      </c>
      <c r="AA28" s="227">
        <f t="shared" si="23"/>
        <v>104.35151591377354</v>
      </c>
      <c r="AB28" s="227">
        <f t="shared" si="24"/>
        <v>136.9689903322853</v>
      </c>
      <c r="AC28" s="227">
        <f t="shared" si="25"/>
        <v>118.46754639757334</v>
      </c>
      <c r="AD28" s="228">
        <f t="shared" si="6"/>
        <v>0.5</v>
      </c>
      <c r="AE28" s="228">
        <f t="shared" si="7"/>
        <v>0.12635768318832885</v>
      </c>
      <c r="AF28" s="228">
        <f t="shared" si="8"/>
        <v>-9.9999999999999978E-2</v>
      </c>
      <c r="AG28" s="228">
        <f t="shared" si="9"/>
        <v>-0.10000000000000009</v>
      </c>
    </row>
    <row r="29" spans="1:33">
      <c r="A29" s="231">
        <v>170</v>
      </c>
      <c r="B29" s="222">
        <f>VLOOKUP($A29,'Allocate OPROC cost'!$A:$AO,30,FALSE)</f>
        <v>243</v>
      </c>
      <c r="C29" s="222">
        <f>VLOOKUP($A29,'Allocate OPROC cost'!$A:$AO,31,FALSE)</f>
        <v>23738</v>
      </c>
      <c r="D29" s="222">
        <f>VLOOKUP($A29,'Allocate OPROC cost'!$A:$AO,32,FALSE)</f>
        <v>487</v>
      </c>
      <c r="E29" s="222">
        <f>VLOOKUP($A29,'Allocate OPROC cost'!$A:$AO,33,FALSE)</f>
        <v>37877</v>
      </c>
      <c r="F29" s="222">
        <f>VLOOKUP($A29,'Allocate OPROC cost'!$A:$AO,34,FALSE)</f>
        <v>139234.75117089221</v>
      </c>
      <c r="G29" s="222">
        <f>VLOOKUP($A29,'Allocate OPROC cost'!$A:$AO,35,FALSE)</f>
        <v>5868050.126883301</v>
      </c>
      <c r="H29" s="222">
        <f>VLOOKUP($A29,'Allocate OPROC cost'!$A:$AO,36,FALSE)</f>
        <v>366393.95972752222</v>
      </c>
      <c r="I29" s="222">
        <f>VLOOKUP($A29,'Allocate OPROC cost'!$A:$AO,37,FALSE)</f>
        <v>9417639.9772785492</v>
      </c>
      <c r="J29" s="223">
        <f t="shared" si="10"/>
        <v>572.98251510655234</v>
      </c>
      <c r="K29" s="223">
        <f t="shared" si="10"/>
        <v>247.20069622054515</v>
      </c>
      <c r="L29" s="223">
        <f t="shared" si="10"/>
        <v>752.34899328033305</v>
      </c>
      <c r="M29" s="223">
        <f t="shared" si="10"/>
        <v>248.63743108690099</v>
      </c>
      <c r="N29" s="224">
        <f t="shared" si="11"/>
        <v>1.2631483567473913</v>
      </c>
      <c r="O29" s="224">
        <f t="shared" si="12"/>
        <v>1.1604901078491732</v>
      </c>
      <c r="P29" s="224">
        <f t="shared" si="13"/>
        <v>0.9</v>
      </c>
      <c r="Q29" s="224">
        <f t="shared" si="13"/>
        <v>0.9</v>
      </c>
      <c r="R29" s="224">
        <f t="shared" si="14"/>
        <v>1.2631483567473913</v>
      </c>
      <c r="S29" s="224">
        <f t="shared" si="15"/>
        <v>1.1604901078491732</v>
      </c>
      <c r="T29" s="224">
        <f t="shared" si="16"/>
        <v>0.9</v>
      </c>
      <c r="U29" s="224">
        <f t="shared" si="17"/>
        <v>0.9</v>
      </c>
      <c r="V29" s="225">
        <f t="shared" si="18"/>
        <v>175874.14714364443</v>
      </c>
      <c r="W29" s="225">
        <f t="shared" si="19"/>
        <v>6809814.1246111561</v>
      </c>
      <c r="X29" s="225">
        <f t="shared" si="20"/>
        <v>329754.56375477003</v>
      </c>
      <c r="Y29" s="225">
        <f t="shared" si="21"/>
        <v>8475875.979550695</v>
      </c>
      <c r="Z29" s="227">
        <f t="shared" si="22"/>
        <v>723.76192240182888</v>
      </c>
      <c r="AA29" s="227">
        <f t="shared" si="23"/>
        <v>286.87396261737115</v>
      </c>
      <c r="AB29" s="227">
        <f t="shared" si="24"/>
        <v>677.11409395229987</v>
      </c>
      <c r="AC29" s="227">
        <f t="shared" si="25"/>
        <v>223.77368797821092</v>
      </c>
      <c r="AD29" s="228">
        <f t="shared" si="6"/>
        <v>0.26314835674739134</v>
      </c>
      <c r="AE29" s="228">
        <f t="shared" si="7"/>
        <v>0.16049010784917317</v>
      </c>
      <c r="AF29" s="228">
        <f t="shared" si="8"/>
        <v>-9.9999999999999867E-2</v>
      </c>
      <c r="AG29" s="228">
        <f t="shared" si="9"/>
        <v>-9.9999999999999867E-2</v>
      </c>
    </row>
    <row r="30" spans="1:33">
      <c r="A30" s="231">
        <v>171</v>
      </c>
      <c r="B30" s="222">
        <f>VLOOKUP($A30,'Allocate OPROC cost'!$A:$AO,30,FALSE)</f>
        <v>967</v>
      </c>
      <c r="C30" s="222">
        <f>VLOOKUP($A30,'Allocate OPROC cost'!$A:$AO,31,FALSE)</f>
        <v>53905</v>
      </c>
      <c r="D30" s="222">
        <f>VLOOKUP($A30,'Allocate OPROC cost'!$A:$AO,32,FALSE)</f>
        <v>1627</v>
      </c>
      <c r="E30" s="222">
        <f>VLOOKUP($A30,'Allocate OPROC cost'!$A:$AO,33,FALSE)</f>
        <v>69188</v>
      </c>
      <c r="F30" s="222">
        <f>VLOOKUP($A30,'Allocate OPROC cost'!$A:$AO,34,FALSE)</f>
        <v>155742.91129189319</v>
      </c>
      <c r="G30" s="222">
        <f>VLOOKUP($A30,'Allocate OPROC cost'!$A:$AO,35,FALSE)</f>
        <v>8155945.1370698549</v>
      </c>
      <c r="H30" s="222">
        <f>VLOOKUP($A30,'Allocate OPROC cost'!$A:$AO,36,FALSE)</f>
        <v>273748.95496573852</v>
      </c>
      <c r="I30" s="222">
        <f>VLOOKUP($A30,'Allocate OPROC cost'!$A:$AO,37,FALSE)</f>
        <v>8825090.5411254708</v>
      </c>
      <c r="J30" s="223">
        <f t="shared" si="10"/>
        <v>161.05781932977578</v>
      </c>
      <c r="K30" s="223">
        <f t="shared" si="10"/>
        <v>151.30220085464902</v>
      </c>
      <c r="L30" s="223">
        <f t="shared" si="10"/>
        <v>168.25381374661248</v>
      </c>
      <c r="M30" s="223">
        <f t="shared" si="10"/>
        <v>127.55232903285932</v>
      </c>
      <c r="N30" s="224">
        <f t="shared" si="11"/>
        <v>1.1757697687136968</v>
      </c>
      <c r="O30" s="224">
        <f t="shared" si="12"/>
        <v>1.1082043882445243</v>
      </c>
      <c r="P30" s="224">
        <f t="shared" si="13"/>
        <v>0.9</v>
      </c>
      <c r="Q30" s="224">
        <f t="shared" si="13"/>
        <v>0.9</v>
      </c>
      <c r="R30" s="224">
        <f t="shared" si="14"/>
        <v>1.1757697687136968</v>
      </c>
      <c r="S30" s="224">
        <f t="shared" si="15"/>
        <v>1.1082043882445243</v>
      </c>
      <c r="T30" s="224">
        <f t="shared" si="16"/>
        <v>0.9</v>
      </c>
      <c r="U30" s="224">
        <f t="shared" si="17"/>
        <v>0.9</v>
      </c>
      <c r="V30" s="225">
        <f t="shared" si="18"/>
        <v>183117.80678846705</v>
      </c>
      <c r="W30" s="225">
        <f t="shared" si="19"/>
        <v>9038454.191182401</v>
      </c>
      <c r="X30" s="225">
        <f t="shared" si="20"/>
        <v>246374.05946916467</v>
      </c>
      <c r="Y30" s="225">
        <f t="shared" si="21"/>
        <v>7942581.4870129237</v>
      </c>
      <c r="Z30" s="227">
        <f t="shared" si="22"/>
        <v>189.36691498290284</v>
      </c>
      <c r="AA30" s="227">
        <f t="shared" si="23"/>
        <v>167.67376293817645</v>
      </c>
      <c r="AB30" s="227">
        <f t="shared" si="24"/>
        <v>151.42843237195123</v>
      </c>
      <c r="AC30" s="227">
        <f t="shared" si="25"/>
        <v>114.79709612957339</v>
      </c>
      <c r="AD30" s="228">
        <f t="shared" si="6"/>
        <v>0.17576976871369676</v>
      </c>
      <c r="AE30" s="228">
        <f t="shared" si="7"/>
        <v>0.10820438824452427</v>
      </c>
      <c r="AF30" s="228">
        <f t="shared" si="8"/>
        <v>-9.9999999999999978E-2</v>
      </c>
      <c r="AG30" s="228">
        <f t="shared" si="9"/>
        <v>-9.9999999999999978E-2</v>
      </c>
    </row>
    <row r="31" spans="1:33">
      <c r="A31" s="231">
        <v>172</v>
      </c>
      <c r="B31" s="222">
        <f>VLOOKUP($A31,'Allocate OPROC cost'!$A:$AO,30,FALSE)</f>
        <v>1245</v>
      </c>
      <c r="C31" s="222">
        <f>VLOOKUP($A31,'Allocate OPROC cost'!$A:$AO,31,FALSE)</f>
        <v>15076</v>
      </c>
      <c r="D31" s="222">
        <f>VLOOKUP($A31,'Allocate OPROC cost'!$A:$AO,32,FALSE)</f>
        <v>2704</v>
      </c>
      <c r="E31" s="222">
        <f>VLOOKUP($A31,'Allocate OPROC cost'!$A:$AO,33,FALSE)</f>
        <v>24908</v>
      </c>
      <c r="F31" s="222">
        <f>VLOOKUP($A31,'Allocate OPROC cost'!$A:$AO,34,FALSE)</f>
        <v>225331.27830716965</v>
      </c>
      <c r="G31" s="222">
        <f>VLOOKUP($A31,'Allocate OPROC cost'!$A:$AO,35,FALSE)</f>
        <v>4263684.2409296269</v>
      </c>
      <c r="H31" s="222">
        <f>VLOOKUP($A31,'Allocate OPROC cost'!$A:$AO,36,FALSE)</f>
        <v>528506.73703208403</v>
      </c>
      <c r="I31" s="222">
        <f>VLOOKUP($A31,'Allocate OPROC cost'!$A:$AO,37,FALSE)</f>
        <v>6345537.1409789836</v>
      </c>
      <c r="J31" s="223">
        <f t="shared" si="10"/>
        <v>180.98897855997561</v>
      </c>
      <c r="K31" s="223">
        <f t="shared" si="10"/>
        <v>282.8126983901318</v>
      </c>
      <c r="L31" s="223">
        <f t="shared" si="10"/>
        <v>195.4536749379009</v>
      </c>
      <c r="M31" s="223">
        <f t="shared" si="10"/>
        <v>254.7589987545762</v>
      </c>
      <c r="N31" s="224">
        <f t="shared" si="11"/>
        <v>1.2345465489756058</v>
      </c>
      <c r="O31" s="224">
        <f t="shared" si="12"/>
        <v>1.1488275581025542</v>
      </c>
      <c r="P31" s="224">
        <f t="shared" si="13"/>
        <v>0.9</v>
      </c>
      <c r="Q31" s="224">
        <f t="shared" si="13"/>
        <v>0.9</v>
      </c>
      <c r="R31" s="224">
        <f t="shared" si="14"/>
        <v>1.2345465489756058</v>
      </c>
      <c r="S31" s="224">
        <f t="shared" si="15"/>
        <v>1.1488275581025542</v>
      </c>
      <c r="T31" s="224">
        <f t="shared" si="16"/>
        <v>0.9</v>
      </c>
      <c r="U31" s="224">
        <f t="shared" si="17"/>
        <v>0.9</v>
      </c>
      <c r="V31" s="225">
        <f t="shared" si="18"/>
        <v>278181.95201037807</v>
      </c>
      <c r="W31" s="225">
        <f t="shared" si="19"/>
        <v>4898237.9550275253</v>
      </c>
      <c r="X31" s="225">
        <f t="shared" si="20"/>
        <v>475656.06332887564</v>
      </c>
      <c r="Y31" s="225">
        <f t="shared" si="21"/>
        <v>5710983.4268810851</v>
      </c>
      <c r="Z31" s="227">
        <f t="shared" si="22"/>
        <v>223.43931888383781</v>
      </c>
      <c r="AA31" s="227">
        <f t="shared" si="23"/>
        <v>324.90302169192927</v>
      </c>
      <c r="AB31" s="227">
        <f t="shared" si="24"/>
        <v>175.90830744411082</v>
      </c>
      <c r="AC31" s="227">
        <f t="shared" si="25"/>
        <v>229.28309887911857</v>
      </c>
      <c r="AD31" s="228">
        <f t="shared" si="6"/>
        <v>0.23454654897560601</v>
      </c>
      <c r="AE31" s="228">
        <f t="shared" si="7"/>
        <v>0.14882755810255421</v>
      </c>
      <c r="AF31" s="228">
        <f t="shared" si="8"/>
        <v>-9.9999999999999978E-2</v>
      </c>
      <c r="AG31" s="228">
        <f t="shared" si="9"/>
        <v>-0.10000000000000009</v>
      </c>
    </row>
    <row r="32" spans="1:33">
      <c r="A32" s="231">
        <v>173</v>
      </c>
      <c r="B32" s="222">
        <f>VLOOKUP($A32,'Allocate OPROC cost'!$A:$AO,30,FALSE)</f>
        <v>219</v>
      </c>
      <c r="C32" s="222">
        <f>VLOOKUP($A32,'Allocate OPROC cost'!$A:$AO,31,FALSE)</f>
        <v>8947</v>
      </c>
      <c r="D32" s="222">
        <f>VLOOKUP($A32,'Allocate OPROC cost'!$A:$AO,32,FALSE)</f>
        <v>225</v>
      </c>
      <c r="E32" s="222">
        <f>VLOOKUP($A32,'Allocate OPROC cost'!$A:$AO,33,FALSE)</f>
        <v>20935</v>
      </c>
      <c r="F32" s="222">
        <f>VLOOKUP($A32,'Allocate OPROC cost'!$A:$AO,34,FALSE)</f>
        <v>27589.72831212066</v>
      </c>
      <c r="G32" s="222">
        <f>VLOOKUP($A32,'Allocate OPROC cost'!$A:$AO,35,FALSE)</f>
        <v>1939507.1460867585</v>
      </c>
      <c r="H32" s="222">
        <f>VLOOKUP($A32,'Allocate OPROC cost'!$A:$AO,36,FALSE)</f>
        <v>31356.815055697698</v>
      </c>
      <c r="I32" s="222">
        <f>VLOOKUP($A32,'Allocate OPROC cost'!$A:$AO,37,FALSE)</f>
        <v>3900705.9579938343</v>
      </c>
      <c r="J32" s="223">
        <f t="shared" si="10"/>
        <v>125.98049457589343</v>
      </c>
      <c r="K32" s="223">
        <f t="shared" si="10"/>
        <v>216.77737186618515</v>
      </c>
      <c r="L32" s="223">
        <f t="shared" si="10"/>
        <v>139.36362246976753</v>
      </c>
      <c r="M32" s="223">
        <f t="shared" si="10"/>
        <v>186.32462182917766</v>
      </c>
      <c r="N32" s="224">
        <f t="shared" si="11"/>
        <v>1.1136539465012496</v>
      </c>
      <c r="O32" s="224">
        <f t="shared" si="12"/>
        <v>1.2011184112347348</v>
      </c>
      <c r="P32" s="224">
        <f t="shared" si="13"/>
        <v>0.9</v>
      </c>
      <c r="Q32" s="224">
        <f t="shared" si="13"/>
        <v>0.9</v>
      </c>
      <c r="R32" s="224">
        <f t="shared" si="14"/>
        <v>1.1136539465012496</v>
      </c>
      <c r="S32" s="224">
        <f t="shared" si="15"/>
        <v>1.2011184112347348</v>
      </c>
      <c r="T32" s="224">
        <f t="shared" si="16"/>
        <v>0.9</v>
      </c>
      <c r="U32" s="224">
        <f t="shared" si="17"/>
        <v>0.9</v>
      </c>
      <c r="V32" s="225">
        <f t="shared" si="18"/>
        <v>30725.409817690434</v>
      </c>
      <c r="W32" s="225">
        <f t="shared" si="19"/>
        <v>2329577.7418861422</v>
      </c>
      <c r="X32" s="225">
        <f t="shared" si="20"/>
        <v>28221.133550127928</v>
      </c>
      <c r="Y32" s="225">
        <f t="shared" si="21"/>
        <v>3510635.362194451</v>
      </c>
      <c r="Z32" s="227">
        <f t="shared" si="22"/>
        <v>140.298674966623</v>
      </c>
      <c r="AA32" s="227">
        <f t="shared" si="23"/>
        <v>260.37529248755362</v>
      </c>
      <c r="AB32" s="227">
        <f t="shared" si="24"/>
        <v>125.42726022279079</v>
      </c>
      <c r="AC32" s="227">
        <f t="shared" si="25"/>
        <v>167.69215964625991</v>
      </c>
      <c r="AD32" s="228">
        <f t="shared" si="6"/>
        <v>0.1136539465012496</v>
      </c>
      <c r="AE32" s="228">
        <f t="shared" si="7"/>
        <v>0.20111841123473484</v>
      </c>
      <c r="AF32" s="228">
        <f t="shared" si="8"/>
        <v>-9.9999999999999867E-2</v>
      </c>
      <c r="AG32" s="228">
        <f t="shared" si="9"/>
        <v>-9.9999999999999867E-2</v>
      </c>
    </row>
    <row r="33" spans="1:33">
      <c r="A33" s="231">
        <v>174</v>
      </c>
      <c r="B33" s="222">
        <f>VLOOKUP($A33,'Allocate OPROC cost'!$A:$AO,30,FALSE)</f>
        <v>2</v>
      </c>
      <c r="C33" s="222">
        <f>VLOOKUP($A33,'Allocate OPROC cost'!$A:$AO,31,FALSE)</f>
        <v>458</v>
      </c>
      <c r="D33" s="222">
        <f>VLOOKUP($A33,'Allocate OPROC cost'!$A:$AO,32,FALSE)</f>
        <v>14</v>
      </c>
      <c r="E33" s="222">
        <f>VLOOKUP($A33,'Allocate OPROC cost'!$A:$AO,33,FALSE)</f>
        <v>8811</v>
      </c>
      <c r="F33" s="222">
        <f>VLOOKUP($A33,'Allocate OPROC cost'!$A:$AO,34,FALSE)</f>
        <v>866.97213863716877</v>
      </c>
      <c r="G33" s="222">
        <f>VLOOKUP($A33,'Allocate OPROC cost'!$A:$AO,35,FALSE)</f>
        <v>211536.76861109646</v>
      </c>
      <c r="H33" s="222">
        <f>VLOOKUP($A33,'Allocate OPROC cost'!$A:$AO,36,FALSE)</f>
        <v>8841.4285583964665</v>
      </c>
      <c r="I33" s="222">
        <f>VLOOKUP($A33,'Allocate OPROC cost'!$A:$AO,37,FALSE)</f>
        <v>2450072.7564710202</v>
      </c>
      <c r="J33" s="223">
        <f t="shared" si="10"/>
        <v>433.48606931858438</v>
      </c>
      <c r="K33" s="223">
        <f t="shared" si="10"/>
        <v>461.87067382335471</v>
      </c>
      <c r="L33" s="223">
        <f t="shared" si="10"/>
        <v>631.53061131403331</v>
      </c>
      <c r="M33" s="223">
        <f t="shared" si="10"/>
        <v>278.0697714755442</v>
      </c>
      <c r="N33" s="224">
        <f t="shared" si="11"/>
        <v>2.0198053852451006</v>
      </c>
      <c r="O33" s="224">
        <f t="shared" si="12"/>
        <v>2.1582254813466495</v>
      </c>
      <c r="P33" s="224">
        <f t="shared" si="13"/>
        <v>0.9</v>
      </c>
      <c r="Q33" s="224">
        <f t="shared" si="13"/>
        <v>0.9</v>
      </c>
      <c r="R33" s="224">
        <f t="shared" si="14"/>
        <v>1.5</v>
      </c>
      <c r="S33" s="224">
        <f t="shared" si="15"/>
        <v>1.5</v>
      </c>
      <c r="T33" s="224">
        <f t="shared" si="16"/>
        <v>0.9</v>
      </c>
      <c r="U33" s="224">
        <f t="shared" si="17"/>
        <v>0.9</v>
      </c>
      <c r="V33" s="225">
        <f t="shared" si="18"/>
        <v>1300.4582079557531</v>
      </c>
      <c r="W33" s="225">
        <f t="shared" si="19"/>
        <v>317305.1529166447</v>
      </c>
      <c r="X33" s="225">
        <f t="shared" si="20"/>
        <v>7957.2857025568201</v>
      </c>
      <c r="Y33" s="225">
        <f t="shared" si="21"/>
        <v>2205065.4808239182</v>
      </c>
      <c r="Z33" s="227">
        <f t="shared" si="22"/>
        <v>650.22910397787655</v>
      </c>
      <c r="AA33" s="227">
        <f t="shared" si="23"/>
        <v>692.80601073503215</v>
      </c>
      <c r="AB33" s="227">
        <f t="shared" si="24"/>
        <v>568.37755018262999</v>
      </c>
      <c r="AC33" s="227">
        <f t="shared" si="25"/>
        <v>250.26279432798981</v>
      </c>
      <c r="AD33" s="228">
        <f t="shared" si="6"/>
        <v>0.5</v>
      </c>
      <c r="AE33" s="228">
        <f t="shared" si="7"/>
        <v>0.50000000000000022</v>
      </c>
      <c r="AF33" s="228">
        <f t="shared" si="8"/>
        <v>-9.9999999999999978E-2</v>
      </c>
      <c r="AG33" s="228">
        <f t="shared" si="9"/>
        <v>-9.9999999999999867E-2</v>
      </c>
    </row>
    <row r="34" spans="1:33">
      <c r="A34" s="231">
        <v>180</v>
      </c>
      <c r="B34" s="222">
        <f>VLOOKUP($A34,'Allocate OPROC cost'!$A:$AO,30,FALSE)</f>
        <v>88</v>
      </c>
      <c r="C34" s="222">
        <f>VLOOKUP($A34,'Allocate OPROC cost'!$A:$AO,31,FALSE)</f>
        <v>168005</v>
      </c>
      <c r="D34" s="222">
        <f>VLOOKUP($A34,'Allocate OPROC cost'!$A:$AO,32,FALSE)</f>
        <v>115</v>
      </c>
      <c r="E34" s="222">
        <f>VLOOKUP($A34,'Allocate OPROC cost'!$A:$AO,33,FALSE)</f>
        <v>46454</v>
      </c>
      <c r="F34" s="222">
        <f>VLOOKUP($A34,'Allocate OPROC cost'!$A:$AO,34,FALSE)</f>
        <v>13142.333101960096</v>
      </c>
      <c r="G34" s="222">
        <f>VLOOKUP($A34,'Allocate OPROC cost'!$A:$AO,35,FALSE)</f>
        <v>21846558.76672978</v>
      </c>
      <c r="H34" s="222">
        <f>VLOOKUP($A34,'Allocate OPROC cost'!$A:$AO,36,FALSE)</f>
        <v>6906.5491380786125</v>
      </c>
      <c r="I34" s="222">
        <f>VLOOKUP($A34,'Allocate OPROC cost'!$A:$AO,37,FALSE)</f>
        <v>6291298.430697551</v>
      </c>
      <c r="J34" s="223">
        <f t="shared" si="10"/>
        <v>149.34469434045562</v>
      </c>
      <c r="K34" s="223">
        <f t="shared" si="10"/>
        <v>130.03517018380273</v>
      </c>
      <c r="L34" s="223">
        <f t="shared" si="10"/>
        <v>60.056949026770546</v>
      </c>
      <c r="M34" s="223">
        <f t="shared" si="10"/>
        <v>135.430714915778</v>
      </c>
      <c r="N34" s="224">
        <f t="shared" si="11"/>
        <v>1.0525519257843841</v>
      </c>
      <c r="O34" s="224">
        <f t="shared" si="12"/>
        <v>1.0287976632744493</v>
      </c>
      <c r="P34" s="224">
        <f t="shared" si="13"/>
        <v>0.9</v>
      </c>
      <c r="Q34" s="224">
        <f t="shared" si="13"/>
        <v>0.9</v>
      </c>
      <c r="R34" s="224">
        <f t="shared" si="14"/>
        <v>1.0525519257843841</v>
      </c>
      <c r="S34" s="224">
        <f t="shared" si="15"/>
        <v>1.0287976632744493</v>
      </c>
      <c r="T34" s="224">
        <f t="shared" si="16"/>
        <v>0.9</v>
      </c>
      <c r="U34" s="224">
        <f t="shared" si="17"/>
        <v>0.9</v>
      </c>
      <c r="V34" s="225">
        <f t="shared" si="18"/>
        <v>13832.988015767956</v>
      </c>
      <c r="W34" s="225">
        <f t="shared" si="19"/>
        <v>22475688.609799534</v>
      </c>
      <c r="X34" s="225">
        <f t="shared" si="20"/>
        <v>6215.8942242707517</v>
      </c>
      <c r="Y34" s="225">
        <f t="shared" si="21"/>
        <v>5662168.5876277965</v>
      </c>
      <c r="Z34" s="227">
        <f t="shared" si="22"/>
        <v>157.19304563372677</v>
      </c>
      <c r="AA34" s="227">
        <f t="shared" si="23"/>
        <v>133.77987922859162</v>
      </c>
      <c r="AB34" s="227">
        <f t="shared" si="24"/>
        <v>54.051254124093497</v>
      </c>
      <c r="AC34" s="227">
        <f t="shared" si="25"/>
        <v>121.88764342420021</v>
      </c>
      <c r="AD34" s="228">
        <f t="shared" si="6"/>
        <v>5.2551925784384057E-2</v>
      </c>
      <c r="AE34" s="228">
        <f t="shared" si="7"/>
        <v>2.8797663274449548E-2</v>
      </c>
      <c r="AF34" s="228">
        <f t="shared" si="8"/>
        <v>-9.9999999999999867E-2</v>
      </c>
      <c r="AG34" s="228">
        <f t="shared" si="9"/>
        <v>-9.9999999999999978E-2</v>
      </c>
    </row>
    <row r="35" spans="1:33">
      <c r="A35" s="231">
        <v>190</v>
      </c>
      <c r="B35" s="222">
        <f>VLOOKUP($A35,'Allocate OPROC cost'!$A:$AO,30,FALSE)</f>
        <v>330</v>
      </c>
      <c r="C35" s="222">
        <f>VLOOKUP($A35,'Allocate OPROC cost'!$A:$AO,31,FALSE)</f>
        <v>87983</v>
      </c>
      <c r="D35" s="222">
        <f>VLOOKUP($A35,'Allocate OPROC cost'!$A:$AO,32,FALSE)</f>
        <v>2008</v>
      </c>
      <c r="E35" s="222">
        <f>VLOOKUP($A35,'Allocate OPROC cost'!$A:$AO,33,FALSE)</f>
        <v>142753</v>
      </c>
      <c r="F35" s="222">
        <f>VLOOKUP($A35,'Allocate OPROC cost'!$A:$AO,34,FALSE)</f>
        <v>57283.698244370302</v>
      </c>
      <c r="G35" s="222">
        <f>VLOOKUP($A35,'Allocate OPROC cost'!$A:$AO,35,FALSE)</f>
        <v>10243060.367312135</v>
      </c>
      <c r="H35" s="222">
        <f>VLOOKUP($A35,'Allocate OPROC cost'!$A:$AO,36,FALSE)</f>
        <v>228809.22297620872</v>
      </c>
      <c r="I35" s="222">
        <f>VLOOKUP($A35,'Allocate OPROC cost'!$A:$AO,37,FALSE)</f>
        <v>11898962.300274113</v>
      </c>
      <c r="J35" s="223">
        <f t="shared" si="10"/>
        <v>173.58696437687971</v>
      </c>
      <c r="K35" s="223">
        <f t="shared" si="10"/>
        <v>116.42090366675534</v>
      </c>
      <c r="L35" s="223">
        <f t="shared" si="10"/>
        <v>113.94881622321151</v>
      </c>
      <c r="M35" s="223">
        <f t="shared" si="10"/>
        <v>83.353500804004909</v>
      </c>
      <c r="N35" s="224">
        <f t="shared" si="11"/>
        <v>1.3994316533128088</v>
      </c>
      <c r="O35" s="224">
        <f t="shared" si="12"/>
        <v>1.1161660858530751</v>
      </c>
      <c r="P35" s="224">
        <f t="shared" si="13"/>
        <v>0.9</v>
      </c>
      <c r="Q35" s="224">
        <f t="shared" si="13"/>
        <v>0.9</v>
      </c>
      <c r="R35" s="224">
        <f t="shared" si="14"/>
        <v>1.3994316533128088</v>
      </c>
      <c r="S35" s="224">
        <f t="shared" si="15"/>
        <v>1.1161660858530751</v>
      </c>
      <c r="T35" s="224">
        <f t="shared" si="16"/>
        <v>0.9</v>
      </c>
      <c r="U35" s="224">
        <f t="shared" si="17"/>
        <v>0.9</v>
      </c>
      <c r="V35" s="225">
        <f t="shared" si="18"/>
        <v>80164.620541991171</v>
      </c>
      <c r="W35" s="225">
        <f t="shared" si="19"/>
        <v>11432956.597339548</v>
      </c>
      <c r="X35" s="225">
        <f t="shared" si="20"/>
        <v>205928.30067858787</v>
      </c>
      <c r="Y35" s="225">
        <f t="shared" si="21"/>
        <v>10709066.070246702</v>
      </c>
      <c r="Z35" s="227">
        <f t="shared" si="22"/>
        <v>242.92309255148839</v>
      </c>
      <c r="AA35" s="227">
        <f t="shared" si="23"/>
        <v>129.94506435720024</v>
      </c>
      <c r="AB35" s="227">
        <f t="shared" si="24"/>
        <v>102.55393460089037</v>
      </c>
      <c r="AC35" s="227">
        <f t="shared" si="25"/>
        <v>75.018150723604421</v>
      </c>
      <c r="AD35" s="228">
        <f t="shared" si="6"/>
        <v>0.39943165331280861</v>
      </c>
      <c r="AE35" s="228">
        <f t="shared" si="7"/>
        <v>0.11616608585307531</v>
      </c>
      <c r="AF35" s="228">
        <f t="shared" si="8"/>
        <v>-9.9999999999999867E-2</v>
      </c>
      <c r="AG35" s="228">
        <f t="shared" si="9"/>
        <v>-9.9999999999999978E-2</v>
      </c>
    </row>
    <row r="36" spans="1:33">
      <c r="A36" s="231">
        <v>191</v>
      </c>
      <c r="B36" s="222">
        <f>VLOOKUP($A36,'Allocate OPROC cost'!$A:$AO,30,FALSE)</f>
        <v>5677</v>
      </c>
      <c r="C36" s="222">
        <f>VLOOKUP($A36,'Allocate OPROC cost'!$A:$AO,31,FALSE)</f>
        <v>191748</v>
      </c>
      <c r="D36" s="222">
        <f>VLOOKUP($A36,'Allocate OPROC cost'!$A:$AO,32,FALSE)</f>
        <v>5322</v>
      </c>
      <c r="E36" s="222">
        <f>VLOOKUP($A36,'Allocate OPROC cost'!$A:$AO,33,FALSE)</f>
        <v>345050</v>
      </c>
      <c r="F36" s="222">
        <f>VLOOKUP($A36,'Allocate OPROC cost'!$A:$AO,34,FALSE)</f>
        <v>966764.946555848</v>
      </c>
      <c r="G36" s="222">
        <f>VLOOKUP($A36,'Allocate OPROC cost'!$A:$AO,35,FALSE)</f>
        <v>29560476.133377623</v>
      </c>
      <c r="H36" s="222">
        <f>VLOOKUP($A36,'Allocate OPROC cost'!$A:$AO,36,FALSE)</f>
        <v>779354.71393239952</v>
      </c>
      <c r="I36" s="222">
        <f>VLOOKUP($A36,'Allocate OPROC cost'!$A:$AO,37,FALSE)</f>
        <v>39033875.668210469</v>
      </c>
      <c r="J36" s="223">
        <f t="shared" si="10"/>
        <v>170.29504078841782</v>
      </c>
      <c r="K36" s="223">
        <f t="shared" si="10"/>
        <v>154.16315233211103</v>
      </c>
      <c r="L36" s="223">
        <f t="shared" si="10"/>
        <v>146.44019427515963</v>
      </c>
      <c r="M36" s="223">
        <f t="shared" si="10"/>
        <v>113.12527363631494</v>
      </c>
      <c r="N36" s="224">
        <f t="shared" si="11"/>
        <v>1.0806147054368171</v>
      </c>
      <c r="O36" s="224">
        <f t="shared" si="12"/>
        <v>1.132047520114658</v>
      </c>
      <c r="P36" s="224">
        <f t="shared" si="13"/>
        <v>0.9</v>
      </c>
      <c r="Q36" s="224">
        <f t="shared" si="13"/>
        <v>0.9</v>
      </c>
      <c r="R36" s="224">
        <f t="shared" si="14"/>
        <v>1.0806147054368171</v>
      </c>
      <c r="S36" s="224">
        <f t="shared" si="15"/>
        <v>1.132047520114658</v>
      </c>
      <c r="T36" s="224">
        <f t="shared" si="16"/>
        <v>0.9</v>
      </c>
      <c r="U36" s="224">
        <f t="shared" si="17"/>
        <v>0.9</v>
      </c>
      <c r="V36" s="225">
        <f t="shared" si="18"/>
        <v>1044700.4179490879</v>
      </c>
      <c r="W36" s="225">
        <f t="shared" si="19"/>
        <v>33463863.700198673</v>
      </c>
      <c r="X36" s="225">
        <f t="shared" si="20"/>
        <v>701419.2425391596</v>
      </c>
      <c r="Y36" s="225">
        <f t="shared" si="21"/>
        <v>35130488.101389423</v>
      </c>
      <c r="Z36" s="227">
        <f t="shared" si="22"/>
        <v>184.0233253389269</v>
      </c>
      <c r="AA36" s="227">
        <f t="shared" si="23"/>
        <v>174.52001429062454</v>
      </c>
      <c r="AB36" s="227">
        <f t="shared" si="24"/>
        <v>131.79617484764367</v>
      </c>
      <c r="AC36" s="227">
        <f t="shared" si="25"/>
        <v>101.81274627268344</v>
      </c>
      <c r="AD36" s="228">
        <f t="shared" si="6"/>
        <v>8.0614705436817147E-2</v>
      </c>
      <c r="AE36" s="228">
        <f t="shared" si="7"/>
        <v>0.13204752011465803</v>
      </c>
      <c r="AF36" s="228">
        <f t="shared" si="8"/>
        <v>-9.9999999999999978E-2</v>
      </c>
      <c r="AG36" s="228">
        <f t="shared" si="9"/>
        <v>-0.10000000000000009</v>
      </c>
    </row>
    <row r="37" spans="1:33">
      <c r="A37" s="231">
        <v>192</v>
      </c>
      <c r="B37" s="222">
        <f>VLOOKUP($A37,'Allocate OPROC cost'!$A:$AO,30,FALSE)</f>
        <v>0</v>
      </c>
      <c r="C37" s="222">
        <f>VLOOKUP($A37,'Allocate OPROC cost'!$A:$AO,31,FALSE)</f>
        <v>546</v>
      </c>
      <c r="D37" s="222">
        <f>VLOOKUP($A37,'Allocate OPROC cost'!$A:$AO,32,FALSE)</f>
        <v>1</v>
      </c>
      <c r="E37" s="222">
        <f>VLOOKUP($A37,'Allocate OPROC cost'!$A:$AO,33,FALSE)</f>
        <v>327</v>
      </c>
      <c r="F37" s="222">
        <f>VLOOKUP($A37,'Allocate OPROC cost'!$A:$AO,34,FALSE)</f>
        <v>0</v>
      </c>
      <c r="G37" s="222">
        <f>VLOOKUP($A37,'Allocate OPROC cost'!$A:$AO,35,FALSE)</f>
        <v>174639.37452024888</v>
      </c>
      <c r="H37" s="222">
        <f>VLOOKUP($A37,'Allocate OPROC cost'!$A:$AO,36,FALSE)</f>
        <v>471.19701175684099</v>
      </c>
      <c r="I37" s="222">
        <f>VLOOKUP($A37,'Allocate OPROC cost'!$A:$AO,37,FALSE)</f>
        <v>41968.597273135289</v>
      </c>
      <c r="J37" s="223">
        <f t="shared" si="10"/>
        <v>0</v>
      </c>
      <c r="K37" s="223">
        <f t="shared" si="10"/>
        <v>319.85233428617011</v>
      </c>
      <c r="L37" s="223">
        <f t="shared" si="10"/>
        <v>471.19701175684099</v>
      </c>
      <c r="M37" s="223">
        <f t="shared" si="10"/>
        <v>128.34433416860944</v>
      </c>
      <c r="N37" s="224">
        <f t="shared" si="11"/>
        <v>1</v>
      </c>
      <c r="O37" s="224">
        <f t="shared" si="12"/>
        <v>1.0240315778663471</v>
      </c>
      <c r="P37" s="224">
        <f t="shared" si="13"/>
        <v>0.9</v>
      </c>
      <c r="Q37" s="224">
        <f t="shared" si="13"/>
        <v>0.9</v>
      </c>
      <c r="R37" s="224">
        <f t="shared" si="14"/>
        <v>1</v>
      </c>
      <c r="S37" s="224">
        <f t="shared" si="15"/>
        <v>1.0240315778663471</v>
      </c>
      <c r="T37" s="224">
        <f t="shared" si="16"/>
        <v>0.9</v>
      </c>
      <c r="U37" s="224">
        <f t="shared" si="17"/>
        <v>0.9</v>
      </c>
      <c r="V37" s="225">
        <f t="shared" si="18"/>
        <v>0</v>
      </c>
      <c r="W37" s="225">
        <f t="shared" si="19"/>
        <v>178836.23424756239</v>
      </c>
      <c r="X37" s="225">
        <f t="shared" si="20"/>
        <v>424.07731058115689</v>
      </c>
      <c r="Y37" s="225">
        <f t="shared" si="21"/>
        <v>37771.737545821758</v>
      </c>
      <c r="Z37" s="227">
        <f t="shared" si="22"/>
        <v>0</v>
      </c>
      <c r="AA37" s="227">
        <f t="shared" si="23"/>
        <v>327.53889056330109</v>
      </c>
      <c r="AB37" s="227">
        <f t="shared" si="24"/>
        <v>424.07731058115689</v>
      </c>
      <c r="AC37" s="227">
        <f t="shared" si="25"/>
        <v>115.50990075174849</v>
      </c>
      <c r="AD37" s="228">
        <f t="shared" si="6"/>
        <v>0</v>
      </c>
      <c r="AE37" s="228">
        <f t="shared" si="7"/>
        <v>2.4031577866347131E-2</v>
      </c>
      <c r="AF37" s="228">
        <f t="shared" si="8"/>
        <v>-9.9999999999999978E-2</v>
      </c>
      <c r="AG37" s="228">
        <f t="shared" si="9"/>
        <v>-9.9999999999999978E-2</v>
      </c>
    </row>
    <row r="38" spans="1:33">
      <c r="A38" s="231">
        <v>211</v>
      </c>
      <c r="B38" s="222">
        <f>VLOOKUP($A38,'Allocate OPROC cost'!$A:$AO,30,FALSE)</f>
        <v>291</v>
      </c>
      <c r="C38" s="222">
        <f>VLOOKUP($A38,'Allocate OPROC cost'!$A:$AO,31,FALSE)</f>
        <v>17256</v>
      </c>
      <c r="D38" s="222">
        <f>VLOOKUP($A38,'Allocate OPROC cost'!$A:$AO,32,FALSE)</f>
        <v>630</v>
      </c>
      <c r="E38" s="222">
        <f>VLOOKUP($A38,'Allocate OPROC cost'!$A:$AO,33,FALSE)</f>
        <v>28440</v>
      </c>
      <c r="F38" s="222">
        <f>VLOOKUP($A38,'Allocate OPROC cost'!$A:$AO,34,FALSE)</f>
        <v>34351.820821292597</v>
      </c>
      <c r="G38" s="222">
        <f>VLOOKUP($A38,'Allocate OPROC cost'!$A:$AO,35,FALSE)</f>
        <v>2415758.3986844472</v>
      </c>
      <c r="H38" s="222">
        <f>VLOOKUP($A38,'Allocate OPROC cost'!$A:$AO,36,FALSE)</f>
        <v>77481.804438092877</v>
      </c>
      <c r="I38" s="222">
        <f>VLOOKUP($A38,'Allocate OPROC cost'!$A:$AO,37,FALSE)</f>
        <v>3207349.438802368</v>
      </c>
      <c r="J38" s="223">
        <f t="shared" si="10"/>
        <v>118.04749423124603</v>
      </c>
      <c r="K38" s="223">
        <f t="shared" si="10"/>
        <v>139.9952711337765</v>
      </c>
      <c r="L38" s="223">
        <f t="shared" si="10"/>
        <v>122.98699117157599</v>
      </c>
      <c r="M38" s="223">
        <f t="shared" si="10"/>
        <v>112.77599995788917</v>
      </c>
      <c r="N38" s="224">
        <f t="shared" si="11"/>
        <v>1.2255537045362865</v>
      </c>
      <c r="O38" s="224">
        <f t="shared" si="12"/>
        <v>1.1327678066047084</v>
      </c>
      <c r="P38" s="224">
        <f t="shared" si="13"/>
        <v>0.9</v>
      </c>
      <c r="Q38" s="224">
        <f t="shared" si="13"/>
        <v>0.9</v>
      </c>
      <c r="R38" s="224">
        <f t="shared" si="14"/>
        <v>1.2255537045362865</v>
      </c>
      <c r="S38" s="224">
        <f t="shared" si="15"/>
        <v>1.1327678066047084</v>
      </c>
      <c r="T38" s="224">
        <f t="shared" si="16"/>
        <v>0.9</v>
      </c>
      <c r="U38" s="224">
        <f t="shared" si="17"/>
        <v>0.9</v>
      </c>
      <c r="V38" s="225">
        <f t="shared" si="18"/>
        <v>42100.001265101884</v>
      </c>
      <c r="W38" s="225">
        <f t="shared" si="19"/>
        <v>2736493.3425646839</v>
      </c>
      <c r="X38" s="225">
        <f t="shared" si="20"/>
        <v>69733.623994283596</v>
      </c>
      <c r="Y38" s="225">
        <f t="shared" si="21"/>
        <v>2886614.4949221313</v>
      </c>
      <c r="Z38" s="227">
        <f t="shared" si="22"/>
        <v>144.67354386632951</v>
      </c>
      <c r="AA38" s="227">
        <f t="shared" si="23"/>
        <v>158.58213621723945</v>
      </c>
      <c r="AB38" s="227">
        <f t="shared" si="24"/>
        <v>110.68829205441841</v>
      </c>
      <c r="AC38" s="227">
        <f t="shared" si="25"/>
        <v>101.49839996210025</v>
      </c>
      <c r="AD38" s="228">
        <f t="shared" si="6"/>
        <v>0.22555370453628676</v>
      </c>
      <c r="AE38" s="228">
        <f t="shared" si="7"/>
        <v>0.13276780660470844</v>
      </c>
      <c r="AF38" s="228">
        <f t="shared" si="8"/>
        <v>-9.9999999999999867E-2</v>
      </c>
      <c r="AG38" s="228">
        <f t="shared" si="9"/>
        <v>-9.9999999999999978E-2</v>
      </c>
    </row>
    <row r="39" spans="1:33">
      <c r="A39" s="231">
        <v>212</v>
      </c>
      <c r="B39" s="222">
        <f>VLOOKUP($A39,'Allocate OPROC cost'!$A:$AO,30,FALSE)</f>
        <v>10</v>
      </c>
      <c r="C39" s="222">
        <f>VLOOKUP($A39,'Allocate OPROC cost'!$A:$AO,31,FALSE)</f>
        <v>649</v>
      </c>
      <c r="D39" s="222">
        <f>VLOOKUP($A39,'Allocate OPROC cost'!$A:$AO,32,FALSE)</f>
        <v>133</v>
      </c>
      <c r="E39" s="222">
        <f>VLOOKUP($A39,'Allocate OPROC cost'!$A:$AO,33,FALSE)</f>
        <v>984</v>
      </c>
      <c r="F39" s="222">
        <f>VLOOKUP($A39,'Allocate OPROC cost'!$A:$AO,34,FALSE)</f>
        <v>3072.2403454544901</v>
      </c>
      <c r="G39" s="222">
        <f>VLOOKUP($A39,'Allocate OPROC cost'!$A:$AO,35,FALSE)</f>
        <v>42025.971192772842</v>
      </c>
      <c r="H39" s="222">
        <f>VLOOKUP($A39,'Allocate OPROC cost'!$A:$AO,36,FALSE)</f>
        <v>28203.6736611616</v>
      </c>
      <c r="I39" s="222">
        <f>VLOOKUP($A39,'Allocate OPROC cost'!$A:$AO,37,FALSE)</f>
        <v>266110.98275091348</v>
      </c>
      <c r="J39" s="223">
        <f t="shared" si="10"/>
        <v>307.224034545449</v>
      </c>
      <c r="K39" s="223">
        <f t="shared" si="10"/>
        <v>64.754963317061396</v>
      </c>
      <c r="L39" s="223">
        <f t="shared" si="10"/>
        <v>212.05769670046317</v>
      </c>
      <c r="M39" s="223">
        <f t="shared" si="10"/>
        <v>270.4379906005218</v>
      </c>
      <c r="N39" s="224">
        <f t="shared" si="11"/>
        <v>1.9180165120508925</v>
      </c>
      <c r="O39" s="224">
        <f t="shared" si="12"/>
        <v>1.63320602760199</v>
      </c>
      <c r="P39" s="224">
        <f t="shared" si="13"/>
        <v>0.9</v>
      </c>
      <c r="Q39" s="224">
        <f t="shared" si="13"/>
        <v>0.9</v>
      </c>
      <c r="R39" s="224">
        <f t="shared" si="14"/>
        <v>1.5</v>
      </c>
      <c r="S39" s="224">
        <f t="shared" si="15"/>
        <v>1.5</v>
      </c>
      <c r="T39" s="224">
        <f t="shared" si="16"/>
        <v>0.9</v>
      </c>
      <c r="U39" s="224">
        <f t="shared" si="17"/>
        <v>0.9</v>
      </c>
      <c r="V39" s="225">
        <f t="shared" si="18"/>
        <v>4608.3605181817347</v>
      </c>
      <c r="W39" s="225">
        <f t="shared" si="19"/>
        <v>63038.95678915926</v>
      </c>
      <c r="X39" s="225">
        <f t="shared" si="20"/>
        <v>25383.30629504544</v>
      </c>
      <c r="Y39" s="225">
        <f t="shared" si="21"/>
        <v>239499.88447582212</v>
      </c>
      <c r="Z39" s="227">
        <f t="shared" si="22"/>
        <v>460.83605181817347</v>
      </c>
      <c r="AA39" s="227">
        <f t="shared" si="23"/>
        <v>97.13244497559208</v>
      </c>
      <c r="AB39" s="227">
        <f t="shared" si="24"/>
        <v>190.85192703041685</v>
      </c>
      <c r="AC39" s="227">
        <f t="shared" si="25"/>
        <v>243.39419154046965</v>
      </c>
      <c r="AD39" s="228">
        <f t="shared" si="6"/>
        <v>0.5</v>
      </c>
      <c r="AE39" s="228">
        <f t="shared" si="7"/>
        <v>0.49999999999999978</v>
      </c>
      <c r="AF39" s="228">
        <f t="shared" si="8"/>
        <v>-9.9999999999999978E-2</v>
      </c>
      <c r="AG39" s="228">
        <f t="shared" si="9"/>
        <v>-9.9999999999999867E-2</v>
      </c>
    </row>
    <row r="40" spans="1:33">
      <c r="A40" s="231">
        <v>213</v>
      </c>
      <c r="B40" s="222">
        <f>VLOOKUP($A40,'Allocate OPROC cost'!$A:$AO,30,FALSE)</f>
        <v>0</v>
      </c>
      <c r="C40" s="222">
        <f>VLOOKUP($A40,'Allocate OPROC cost'!$A:$AO,31,FALSE)</f>
        <v>25</v>
      </c>
      <c r="D40" s="222">
        <f>VLOOKUP($A40,'Allocate OPROC cost'!$A:$AO,32,FALSE)</f>
        <v>0</v>
      </c>
      <c r="E40" s="222">
        <f>VLOOKUP($A40,'Allocate OPROC cost'!$A:$AO,33,FALSE)</f>
        <v>26</v>
      </c>
      <c r="F40" s="222">
        <f>VLOOKUP($A40,'Allocate OPROC cost'!$A:$AO,34,FALSE)</f>
        <v>0</v>
      </c>
      <c r="G40" s="222">
        <f>VLOOKUP($A40,'Allocate OPROC cost'!$A:$AO,35,FALSE)</f>
        <v>9116.7498372202699</v>
      </c>
      <c r="H40" s="222">
        <f>VLOOKUP($A40,'Allocate OPROC cost'!$A:$AO,36,FALSE)</f>
        <v>0</v>
      </c>
      <c r="I40" s="222">
        <f>VLOOKUP($A40,'Allocate OPROC cost'!$A:$AO,37,FALSE)</f>
        <v>5831.5387548860899</v>
      </c>
      <c r="J40" s="223">
        <f t="shared" si="10"/>
        <v>0</v>
      </c>
      <c r="K40" s="223">
        <f t="shared" si="10"/>
        <v>364.6699934888108</v>
      </c>
      <c r="L40" s="223">
        <f t="shared" si="10"/>
        <v>0</v>
      </c>
      <c r="M40" s="223">
        <f t="shared" si="10"/>
        <v>224.28995211100346</v>
      </c>
      <c r="N40" s="224">
        <f t="shared" si="11"/>
        <v>1</v>
      </c>
      <c r="O40" s="224">
        <f t="shared" si="12"/>
        <v>1.0639651066334859</v>
      </c>
      <c r="P40" s="224">
        <f t="shared" si="13"/>
        <v>0.9</v>
      </c>
      <c r="Q40" s="224">
        <f t="shared" si="13"/>
        <v>0.9</v>
      </c>
      <c r="R40" s="224">
        <f t="shared" si="14"/>
        <v>1</v>
      </c>
      <c r="S40" s="224">
        <f t="shared" si="15"/>
        <v>1.0639651066334859</v>
      </c>
      <c r="T40" s="224">
        <f t="shared" si="16"/>
        <v>0.9</v>
      </c>
      <c r="U40" s="224">
        <f t="shared" si="17"/>
        <v>0.9</v>
      </c>
      <c r="V40" s="225">
        <f t="shared" si="18"/>
        <v>0</v>
      </c>
      <c r="W40" s="225">
        <f t="shared" si="19"/>
        <v>9699.9037127088795</v>
      </c>
      <c r="X40" s="225">
        <f t="shared" si="20"/>
        <v>0</v>
      </c>
      <c r="Y40" s="225">
        <f t="shared" si="21"/>
        <v>5248.3848793974812</v>
      </c>
      <c r="Z40" s="227">
        <f t="shared" si="22"/>
        <v>0</v>
      </c>
      <c r="AA40" s="227">
        <f t="shared" si="23"/>
        <v>387.99614850835519</v>
      </c>
      <c r="AB40" s="227">
        <f t="shared" si="24"/>
        <v>0</v>
      </c>
      <c r="AC40" s="227">
        <f t="shared" si="25"/>
        <v>201.86095689990313</v>
      </c>
      <c r="AD40" s="228">
        <f t="shared" si="6"/>
        <v>0</v>
      </c>
      <c r="AE40" s="228">
        <f t="shared" si="7"/>
        <v>6.3965106633485869E-2</v>
      </c>
      <c r="AF40" s="228">
        <f t="shared" si="8"/>
        <v>0</v>
      </c>
      <c r="AG40" s="228">
        <f t="shared" si="9"/>
        <v>-9.9999999999999978E-2</v>
      </c>
    </row>
    <row r="41" spans="1:33">
      <c r="A41" s="231">
        <v>214</v>
      </c>
      <c r="B41" s="222">
        <f>VLOOKUP($A41,'Allocate OPROC cost'!$A:$AO,30,FALSE)</f>
        <v>1887</v>
      </c>
      <c r="C41" s="222">
        <f>VLOOKUP($A41,'Allocate OPROC cost'!$A:$AO,31,FALSE)</f>
        <v>82660</v>
      </c>
      <c r="D41" s="222">
        <f>VLOOKUP($A41,'Allocate OPROC cost'!$A:$AO,32,FALSE)</f>
        <v>2815</v>
      </c>
      <c r="E41" s="222">
        <f>VLOOKUP($A41,'Allocate OPROC cost'!$A:$AO,33,FALSE)</f>
        <v>125104</v>
      </c>
      <c r="F41" s="222">
        <f>VLOOKUP($A41,'Allocate OPROC cost'!$A:$AO,34,FALSE)</f>
        <v>380688.52822827821</v>
      </c>
      <c r="G41" s="222">
        <f>VLOOKUP($A41,'Allocate OPROC cost'!$A:$AO,35,FALSE)</f>
        <v>11612171.12583233</v>
      </c>
      <c r="H41" s="222">
        <f>VLOOKUP($A41,'Allocate OPROC cost'!$A:$AO,36,FALSE)</f>
        <v>599185.12707313756</v>
      </c>
      <c r="I41" s="222">
        <f>VLOOKUP($A41,'Allocate OPROC cost'!$A:$AO,37,FALSE)</f>
        <v>15589229.659189103</v>
      </c>
      <c r="J41" s="223">
        <f t="shared" si="10"/>
        <v>201.74272826087875</v>
      </c>
      <c r="K41" s="223">
        <f t="shared" si="10"/>
        <v>140.48114113032096</v>
      </c>
      <c r="L41" s="223">
        <f t="shared" si="10"/>
        <v>212.8543968288233</v>
      </c>
      <c r="M41" s="223">
        <f t="shared" si="10"/>
        <v>124.61016161904578</v>
      </c>
      <c r="N41" s="224">
        <f t="shared" si="11"/>
        <v>1.1573951098189748</v>
      </c>
      <c r="O41" s="224">
        <f t="shared" si="12"/>
        <v>1.1342490520528883</v>
      </c>
      <c r="P41" s="224">
        <f t="shared" si="13"/>
        <v>0.9</v>
      </c>
      <c r="Q41" s="224">
        <f t="shared" si="13"/>
        <v>0.9</v>
      </c>
      <c r="R41" s="224">
        <f t="shared" si="14"/>
        <v>1.1573951098189748</v>
      </c>
      <c r="S41" s="224">
        <f t="shared" si="15"/>
        <v>1.1342490520528883</v>
      </c>
      <c r="T41" s="224">
        <f t="shared" si="16"/>
        <v>0.9</v>
      </c>
      <c r="U41" s="224">
        <f t="shared" si="17"/>
        <v>0.9</v>
      </c>
      <c r="V41" s="225">
        <f t="shared" si="18"/>
        <v>440607.04093559191</v>
      </c>
      <c r="W41" s="225">
        <f t="shared" si="19"/>
        <v>13171094.091751242</v>
      </c>
      <c r="X41" s="225">
        <f t="shared" si="20"/>
        <v>539266.6143658238</v>
      </c>
      <c r="Y41" s="225">
        <f t="shared" si="21"/>
        <v>14030306.693270193</v>
      </c>
      <c r="Z41" s="227">
        <f t="shared" si="22"/>
        <v>233.49604713067933</v>
      </c>
      <c r="AA41" s="227">
        <f t="shared" si="23"/>
        <v>159.34060115837457</v>
      </c>
      <c r="AB41" s="227">
        <f t="shared" si="24"/>
        <v>191.56895714594097</v>
      </c>
      <c r="AC41" s="227">
        <f t="shared" si="25"/>
        <v>112.1491454571412</v>
      </c>
      <c r="AD41" s="228">
        <f t="shared" ref="AD41:AD74" si="26">IF(J41=0,0,Z41/J41-1)</f>
        <v>0.15739510981897475</v>
      </c>
      <c r="AE41" s="228">
        <f t="shared" ref="AE41:AE74" si="27">IF(K41=0,0,AA41/K41-1)</f>
        <v>0.13424905205288828</v>
      </c>
      <c r="AF41" s="228">
        <f t="shared" ref="AF41:AF74" si="28">IF(L41=0,0,AB41/L41-1)</f>
        <v>-9.9999999999999978E-2</v>
      </c>
      <c r="AG41" s="228">
        <f t="shared" ref="AG41:AG74" si="29">IF(M41=0,0,AC41/M41-1)</f>
        <v>-9.9999999999999978E-2</v>
      </c>
    </row>
    <row r="42" spans="1:33">
      <c r="A42" s="231">
        <v>215</v>
      </c>
      <c r="B42" s="222">
        <f>VLOOKUP($A42,'Allocate OPROC cost'!$A:$AO,30,FALSE)</f>
        <v>1946</v>
      </c>
      <c r="C42" s="222">
        <f>VLOOKUP($A42,'Allocate OPROC cost'!$A:$AO,31,FALSE)</f>
        <v>40507</v>
      </c>
      <c r="D42" s="222">
        <f>VLOOKUP($A42,'Allocate OPROC cost'!$A:$AO,32,FALSE)</f>
        <v>3093</v>
      </c>
      <c r="E42" s="222">
        <f>VLOOKUP($A42,'Allocate OPROC cost'!$A:$AO,33,FALSE)</f>
        <v>57841</v>
      </c>
      <c r="F42" s="222">
        <f>VLOOKUP($A42,'Allocate OPROC cost'!$A:$AO,34,FALSE)</f>
        <v>182418.26757403609</v>
      </c>
      <c r="G42" s="222">
        <f>VLOOKUP($A42,'Allocate OPROC cost'!$A:$AO,35,FALSE)</f>
        <v>4790317.9898170698</v>
      </c>
      <c r="H42" s="222">
        <f>VLOOKUP($A42,'Allocate OPROC cost'!$A:$AO,36,FALSE)</f>
        <v>294287.71387418429</v>
      </c>
      <c r="I42" s="222">
        <f>VLOOKUP($A42,'Allocate OPROC cost'!$A:$AO,37,FALSE)</f>
        <v>5330805.5037273262</v>
      </c>
      <c r="J42" s="223">
        <f t="shared" si="10"/>
        <v>93.740116944520082</v>
      </c>
      <c r="K42" s="223">
        <f t="shared" si="10"/>
        <v>118.25901670864468</v>
      </c>
      <c r="L42" s="223">
        <f t="shared" si="10"/>
        <v>95.146367240279432</v>
      </c>
      <c r="M42" s="223">
        <f t="shared" si="10"/>
        <v>92.163093717731826</v>
      </c>
      <c r="N42" s="224">
        <f t="shared" si="11"/>
        <v>1.1613257914286161</v>
      </c>
      <c r="O42" s="224">
        <f t="shared" si="12"/>
        <v>1.111282915143821</v>
      </c>
      <c r="P42" s="224">
        <f t="shared" ref="P42:Q75" si="30">$P$4</f>
        <v>0.9</v>
      </c>
      <c r="Q42" s="224">
        <f t="shared" si="30"/>
        <v>0.9</v>
      </c>
      <c r="R42" s="224">
        <f t="shared" si="14"/>
        <v>1.1613257914286161</v>
      </c>
      <c r="S42" s="224">
        <f t="shared" si="15"/>
        <v>1.111282915143821</v>
      </c>
      <c r="T42" s="224">
        <f t="shared" si="16"/>
        <v>0.9</v>
      </c>
      <c r="U42" s="224">
        <f t="shared" si="17"/>
        <v>0.9</v>
      </c>
      <c r="V42" s="225">
        <f t="shared" si="18"/>
        <v>211847.03896145453</v>
      </c>
      <c r="W42" s="225">
        <f t="shared" si="19"/>
        <v>5323398.5401898026</v>
      </c>
      <c r="X42" s="225">
        <f t="shared" si="20"/>
        <v>264858.94248676585</v>
      </c>
      <c r="Y42" s="225">
        <f t="shared" si="21"/>
        <v>4797724.9533545934</v>
      </c>
      <c r="Z42" s="227">
        <f t="shared" si="22"/>
        <v>108.86281549920582</v>
      </c>
      <c r="AA42" s="227">
        <f t="shared" si="23"/>
        <v>131.41922483002452</v>
      </c>
      <c r="AB42" s="227">
        <f t="shared" si="24"/>
        <v>85.631730516251494</v>
      </c>
      <c r="AC42" s="227">
        <f t="shared" si="25"/>
        <v>82.946784345958633</v>
      </c>
      <c r="AD42" s="228">
        <f t="shared" si="26"/>
        <v>0.16132579142861614</v>
      </c>
      <c r="AE42" s="228">
        <f t="shared" si="27"/>
        <v>0.11128291514382127</v>
      </c>
      <c r="AF42" s="228">
        <f t="shared" si="28"/>
        <v>-9.9999999999999978E-2</v>
      </c>
      <c r="AG42" s="228">
        <f t="shared" si="29"/>
        <v>-0.10000000000000009</v>
      </c>
    </row>
    <row r="43" spans="1:33">
      <c r="A43" s="231">
        <v>216</v>
      </c>
      <c r="B43" s="222">
        <f>VLOOKUP($A43,'Allocate OPROC cost'!$A:$AO,30,FALSE)</f>
        <v>2317</v>
      </c>
      <c r="C43" s="222">
        <f>VLOOKUP($A43,'Allocate OPROC cost'!$A:$AO,31,FALSE)</f>
        <v>54731</v>
      </c>
      <c r="D43" s="222">
        <f>VLOOKUP($A43,'Allocate OPROC cost'!$A:$AO,32,FALSE)</f>
        <v>4763</v>
      </c>
      <c r="E43" s="222">
        <f>VLOOKUP($A43,'Allocate OPROC cost'!$A:$AO,33,FALSE)</f>
        <v>138647</v>
      </c>
      <c r="F43" s="222">
        <f>VLOOKUP($A43,'Allocate OPROC cost'!$A:$AO,34,FALSE)</f>
        <v>274644.06580515654</v>
      </c>
      <c r="G43" s="222">
        <f>VLOOKUP($A43,'Allocate OPROC cost'!$A:$AO,35,FALSE)</f>
        <v>5800952.4323289916</v>
      </c>
      <c r="H43" s="222">
        <f>VLOOKUP($A43,'Allocate OPROC cost'!$A:$AO,36,FALSE)</f>
        <v>509367.07650105644</v>
      </c>
      <c r="I43" s="222">
        <f>VLOOKUP($A43,'Allocate OPROC cost'!$A:$AO,37,FALSE)</f>
        <v>13973917.338965343</v>
      </c>
      <c r="J43" s="223">
        <f t="shared" si="10"/>
        <v>118.53434001085738</v>
      </c>
      <c r="K43" s="223">
        <f t="shared" si="10"/>
        <v>105.99025108857853</v>
      </c>
      <c r="L43" s="223">
        <f t="shared" si="10"/>
        <v>106.94248929268453</v>
      </c>
      <c r="M43" s="223">
        <f t="shared" si="10"/>
        <v>100.78773676289673</v>
      </c>
      <c r="N43" s="224">
        <f t="shared" si="11"/>
        <v>1.185464439221644</v>
      </c>
      <c r="O43" s="224">
        <f t="shared" si="12"/>
        <v>1.2408900521419211</v>
      </c>
      <c r="P43" s="224">
        <f t="shared" si="30"/>
        <v>0.9</v>
      </c>
      <c r="Q43" s="224">
        <f t="shared" si="30"/>
        <v>0.9</v>
      </c>
      <c r="R43" s="224">
        <f t="shared" si="14"/>
        <v>1.185464439221644</v>
      </c>
      <c r="S43" s="224">
        <f t="shared" si="15"/>
        <v>1.2408900521419211</v>
      </c>
      <c r="T43" s="224">
        <f t="shared" si="16"/>
        <v>0.9</v>
      </c>
      <c r="U43" s="224">
        <f t="shared" si="17"/>
        <v>0.9</v>
      </c>
      <c r="V43" s="225">
        <f t="shared" si="18"/>
        <v>325580.77345526218</v>
      </c>
      <c r="W43" s="225">
        <f t="shared" si="19"/>
        <v>7198344.1662255265</v>
      </c>
      <c r="X43" s="225">
        <f t="shared" si="20"/>
        <v>458430.36885095079</v>
      </c>
      <c r="Y43" s="225">
        <f t="shared" si="21"/>
        <v>12576525.605068808</v>
      </c>
      <c r="Z43" s="227">
        <f t="shared" si="22"/>
        <v>140.51824490947871</v>
      </c>
      <c r="AA43" s="227">
        <f t="shared" si="23"/>
        <v>131.52224819984153</v>
      </c>
      <c r="AB43" s="227">
        <f t="shared" si="24"/>
        <v>96.248240363416087</v>
      </c>
      <c r="AC43" s="227">
        <f t="shared" si="25"/>
        <v>90.708963086607056</v>
      </c>
      <c r="AD43" s="228">
        <f t="shared" si="26"/>
        <v>0.18546443922164402</v>
      </c>
      <c r="AE43" s="228">
        <f t="shared" si="27"/>
        <v>0.24089005214192105</v>
      </c>
      <c r="AF43" s="228">
        <f t="shared" si="28"/>
        <v>-9.9999999999999867E-2</v>
      </c>
      <c r="AG43" s="228">
        <f t="shared" si="29"/>
        <v>-9.9999999999999978E-2</v>
      </c>
    </row>
    <row r="44" spans="1:33">
      <c r="A44" s="231">
        <v>217</v>
      </c>
      <c r="B44" s="222">
        <f>VLOOKUP($A44,'Allocate OPROC cost'!$A:$AO,30,FALSE)</f>
        <v>78</v>
      </c>
      <c r="C44" s="222">
        <f>VLOOKUP($A44,'Allocate OPROC cost'!$A:$AO,31,FALSE)</f>
        <v>3128</v>
      </c>
      <c r="D44" s="222">
        <f>VLOOKUP($A44,'Allocate OPROC cost'!$A:$AO,32,FALSE)</f>
        <v>252</v>
      </c>
      <c r="E44" s="222">
        <f>VLOOKUP($A44,'Allocate OPROC cost'!$A:$AO,33,FALSE)</f>
        <v>3531</v>
      </c>
      <c r="F44" s="222">
        <f>VLOOKUP($A44,'Allocate OPROC cost'!$A:$AO,34,FALSE)</f>
        <v>17634.622789114503</v>
      </c>
      <c r="G44" s="222">
        <f>VLOOKUP($A44,'Allocate OPROC cost'!$A:$AO,35,FALSE)</f>
        <v>326451.63506293914</v>
      </c>
      <c r="H44" s="222">
        <f>VLOOKUP($A44,'Allocate OPROC cost'!$A:$AO,36,FALSE)</f>
        <v>95407.144979507269</v>
      </c>
      <c r="I44" s="222">
        <f>VLOOKUP($A44,'Allocate OPROC cost'!$A:$AO,37,FALSE)</f>
        <v>432445.67830672773</v>
      </c>
      <c r="J44" s="223">
        <f t="shared" si="10"/>
        <v>226.08490755275002</v>
      </c>
      <c r="K44" s="223">
        <f t="shared" si="10"/>
        <v>104.36433346001891</v>
      </c>
      <c r="L44" s="223">
        <f t="shared" si="10"/>
        <v>378.59978166471137</v>
      </c>
      <c r="M44" s="223">
        <f t="shared" si="10"/>
        <v>122.47116349666602</v>
      </c>
      <c r="N44" s="224">
        <f t="shared" si="11"/>
        <v>1.5410217509069724</v>
      </c>
      <c r="O44" s="224">
        <f t="shared" si="12"/>
        <v>1.1324685288291949</v>
      </c>
      <c r="P44" s="224">
        <f t="shared" si="30"/>
        <v>0.9</v>
      </c>
      <c r="Q44" s="224">
        <f t="shared" si="30"/>
        <v>0.9</v>
      </c>
      <c r="R44" s="224">
        <f t="shared" si="14"/>
        <v>1.5</v>
      </c>
      <c r="S44" s="224">
        <f t="shared" si="15"/>
        <v>1.1324685288291949</v>
      </c>
      <c r="T44" s="224">
        <f t="shared" si="16"/>
        <v>0.9</v>
      </c>
      <c r="U44" s="224">
        <f t="shared" si="17"/>
        <v>0.9</v>
      </c>
      <c r="V44" s="225">
        <f t="shared" si="18"/>
        <v>26451.934183671754</v>
      </c>
      <c r="W44" s="225">
        <f t="shared" si="19"/>
        <v>369696.20289361192</v>
      </c>
      <c r="X44" s="225">
        <f t="shared" si="20"/>
        <v>85866.430481556541</v>
      </c>
      <c r="Y44" s="225">
        <f t="shared" si="21"/>
        <v>389201.11047605495</v>
      </c>
      <c r="Z44" s="227">
        <f t="shared" si="22"/>
        <v>339.12736132912505</v>
      </c>
      <c r="AA44" s="227">
        <f t="shared" si="23"/>
        <v>118.18932317570713</v>
      </c>
      <c r="AB44" s="227">
        <f t="shared" si="24"/>
        <v>340.73980349824024</v>
      </c>
      <c r="AC44" s="227">
        <f t="shared" si="25"/>
        <v>110.22404714699942</v>
      </c>
      <c r="AD44" s="228">
        <f t="shared" si="26"/>
        <v>0.5</v>
      </c>
      <c r="AE44" s="228">
        <f t="shared" si="27"/>
        <v>0.13246852882919491</v>
      </c>
      <c r="AF44" s="228">
        <f t="shared" si="28"/>
        <v>-9.9999999999999978E-2</v>
      </c>
      <c r="AG44" s="228">
        <f t="shared" si="29"/>
        <v>-9.9999999999999978E-2</v>
      </c>
    </row>
    <row r="45" spans="1:33">
      <c r="A45" s="231">
        <v>218</v>
      </c>
      <c r="B45" s="222">
        <f>VLOOKUP($A45,'Allocate OPROC cost'!$A:$AO,30,FALSE)</f>
        <v>54</v>
      </c>
      <c r="C45" s="222">
        <f>VLOOKUP($A45,'Allocate OPROC cost'!$A:$AO,31,FALSE)</f>
        <v>3482</v>
      </c>
      <c r="D45" s="222">
        <f>VLOOKUP($A45,'Allocate OPROC cost'!$A:$AO,32,FALSE)</f>
        <v>237</v>
      </c>
      <c r="E45" s="222">
        <f>VLOOKUP($A45,'Allocate OPROC cost'!$A:$AO,33,FALSE)</f>
        <v>12512</v>
      </c>
      <c r="F45" s="222">
        <f>VLOOKUP($A45,'Allocate OPROC cost'!$A:$AO,34,FALSE)</f>
        <v>13024.606879176799</v>
      </c>
      <c r="G45" s="222">
        <f>VLOOKUP($A45,'Allocate OPROC cost'!$A:$AO,35,FALSE)</f>
        <v>834965.31569559395</v>
      </c>
      <c r="H45" s="222">
        <f>VLOOKUP($A45,'Allocate OPROC cost'!$A:$AO,36,FALSE)</f>
        <v>31149.266995396501</v>
      </c>
      <c r="I45" s="222">
        <f>VLOOKUP($A45,'Allocate OPROC cost'!$A:$AO,37,FALSE)</f>
        <v>2257737.5153255393</v>
      </c>
      <c r="J45" s="223">
        <f t="shared" si="10"/>
        <v>241.19642368845925</v>
      </c>
      <c r="K45" s="223">
        <f t="shared" si="10"/>
        <v>239.79474890740781</v>
      </c>
      <c r="L45" s="223">
        <f t="shared" si="10"/>
        <v>131.43150630968987</v>
      </c>
      <c r="M45" s="223">
        <f t="shared" si="10"/>
        <v>180.44577328369081</v>
      </c>
      <c r="N45" s="224">
        <f t="shared" si="11"/>
        <v>1.239157060818447</v>
      </c>
      <c r="O45" s="224">
        <f t="shared" si="12"/>
        <v>1.2703989582423145</v>
      </c>
      <c r="P45" s="224">
        <f t="shared" si="30"/>
        <v>0.9</v>
      </c>
      <c r="Q45" s="224">
        <f t="shared" si="30"/>
        <v>0.9</v>
      </c>
      <c r="R45" s="224">
        <f t="shared" si="14"/>
        <v>1.239157060818447</v>
      </c>
      <c r="S45" s="224">
        <f t="shared" si="15"/>
        <v>1.2703989582423145</v>
      </c>
      <c r="T45" s="224">
        <f t="shared" si="16"/>
        <v>0.9</v>
      </c>
      <c r="U45" s="224">
        <f t="shared" si="17"/>
        <v>0.9</v>
      </c>
      <c r="V45" s="225">
        <f t="shared" si="18"/>
        <v>16139.533578716448</v>
      </c>
      <c r="W45" s="225">
        <f t="shared" si="19"/>
        <v>1060739.0672281478</v>
      </c>
      <c r="X45" s="225">
        <f t="shared" si="20"/>
        <v>28034.340295856851</v>
      </c>
      <c r="Y45" s="225">
        <f t="shared" si="21"/>
        <v>2031963.7637929854</v>
      </c>
      <c r="Z45" s="227">
        <f t="shared" si="22"/>
        <v>298.88025145771201</v>
      </c>
      <c r="AA45" s="227">
        <f t="shared" si="23"/>
        <v>304.63499920394821</v>
      </c>
      <c r="AB45" s="227">
        <f t="shared" si="24"/>
        <v>118.28835567872089</v>
      </c>
      <c r="AC45" s="227">
        <f t="shared" si="25"/>
        <v>162.40119595532173</v>
      </c>
      <c r="AD45" s="228">
        <f t="shared" si="26"/>
        <v>0.23915706081844701</v>
      </c>
      <c r="AE45" s="228">
        <f t="shared" si="27"/>
        <v>0.2703989582423143</v>
      </c>
      <c r="AF45" s="228">
        <f t="shared" si="28"/>
        <v>-9.9999999999999867E-2</v>
      </c>
      <c r="AG45" s="228">
        <f t="shared" si="29"/>
        <v>-9.9999999999999978E-2</v>
      </c>
    </row>
    <row r="46" spans="1:33">
      <c r="A46" s="231">
        <v>219</v>
      </c>
      <c r="B46" s="222">
        <f>VLOOKUP($A46,'Allocate OPROC cost'!$A:$AO,30,FALSE)</f>
        <v>392</v>
      </c>
      <c r="C46" s="222">
        <f>VLOOKUP($A46,'Allocate OPROC cost'!$A:$AO,31,FALSE)</f>
        <v>14657</v>
      </c>
      <c r="D46" s="222">
        <f>VLOOKUP($A46,'Allocate OPROC cost'!$A:$AO,32,FALSE)</f>
        <v>1128</v>
      </c>
      <c r="E46" s="222">
        <f>VLOOKUP($A46,'Allocate OPROC cost'!$A:$AO,33,FALSE)</f>
        <v>38224</v>
      </c>
      <c r="F46" s="222">
        <f>VLOOKUP($A46,'Allocate OPROC cost'!$A:$AO,34,FALSE)</f>
        <v>93969.980548794643</v>
      </c>
      <c r="G46" s="222">
        <f>VLOOKUP($A46,'Allocate OPROC cost'!$A:$AO,35,FALSE)</f>
        <v>2245915.565992313</v>
      </c>
      <c r="H46" s="222">
        <f>VLOOKUP($A46,'Allocate OPROC cost'!$A:$AO,36,FALSE)</f>
        <v>157946.89353880982</v>
      </c>
      <c r="I46" s="222">
        <f>VLOOKUP($A46,'Allocate OPROC cost'!$A:$AO,37,FALSE)</f>
        <v>5249237.9982255353</v>
      </c>
      <c r="J46" s="223">
        <f t="shared" si="10"/>
        <v>239.71933813468021</v>
      </c>
      <c r="K46" s="223">
        <f t="shared" si="10"/>
        <v>153.2316003269641</v>
      </c>
      <c r="L46" s="223">
        <f t="shared" si="10"/>
        <v>140.02384178972503</v>
      </c>
      <c r="M46" s="223">
        <f t="shared" si="10"/>
        <v>137.32832770577477</v>
      </c>
      <c r="N46" s="224">
        <f t="shared" si="11"/>
        <v>1.1680822882120261</v>
      </c>
      <c r="O46" s="224">
        <f t="shared" si="12"/>
        <v>1.2337237462400445</v>
      </c>
      <c r="P46" s="224">
        <f t="shared" si="30"/>
        <v>0.9</v>
      </c>
      <c r="Q46" s="224">
        <f t="shared" si="30"/>
        <v>0.9</v>
      </c>
      <c r="R46" s="224">
        <f t="shared" si="14"/>
        <v>1.1680822882120261</v>
      </c>
      <c r="S46" s="224">
        <f t="shared" si="15"/>
        <v>1.2337237462400445</v>
      </c>
      <c r="T46" s="224">
        <f t="shared" si="16"/>
        <v>0.9</v>
      </c>
      <c r="U46" s="224">
        <f t="shared" si="17"/>
        <v>0.9</v>
      </c>
      <c r="V46" s="225">
        <f t="shared" si="18"/>
        <v>109764.66990267563</v>
      </c>
      <c r="W46" s="225">
        <f t="shared" si="19"/>
        <v>2770839.3658148665</v>
      </c>
      <c r="X46" s="225">
        <f t="shared" si="20"/>
        <v>142152.20418492885</v>
      </c>
      <c r="Y46" s="225">
        <f t="shared" si="21"/>
        <v>4724314.1984029822</v>
      </c>
      <c r="Z46" s="227">
        <f t="shared" si="22"/>
        <v>280.01191301702966</v>
      </c>
      <c r="AA46" s="227">
        <f t="shared" si="23"/>
        <v>189.0454639977394</v>
      </c>
      <c r="AB46" s="227">
        <f t="shared" si="24"/>
        <v>126.02145761075252</v>
      </c>
      <c r="AC46" s="227">
        <f t="shared" si="25"/>
        <v>123.59549493519732</v>
      </c>
      <c r="AD46" s="228">
        <f t="shared" si="26"/>
        <v>0.16808228821202609</v>
      </c>
      <c r="AE46" s="228">
        <f t="shared" si="27"/>
        <v>0.23372374624004477</v>
      </c>
      <c r="AF46" s="228">
        <f t="shared" si="28"/>
        <v>-9.9999999999999978E-2</v>
      </c>
      <c r="AG46" s="228">
        <f t="shared" si="29"/>
        <v>-9.9999999999999756E-2</v>
      </c>
    </row>
    <row r="47" spans="1:33">
      <c r="A47" s="231">
        <v>220</v>
      </c>
      <c r="B47" s="222">
        <f>VLOOKUP($A47,'Allocate OPROC cost'!$A:$AO,30,FALSE)</f>
        <v>9</v>
      </c>
      <c r="C47" s="222">
        <f>VLOOKUP($A47,'Allocate OPROC cost'!$A:$AO,31,FALSE)</f>
        <v>3550</v>
      </c>
      <c r="D47" s="222">
        <f>VLOOKUP($A47,'Allocate OPROC cost'!$A:$AO,32,FALSE)</f>
        <v>47</v>
      </c>
      <c r="E47" s="222">
        <f>VLOOKUP($A47,'Allocate OPROC cost'!$A:$AO,33,FALSE)</f>
        <v>11620</v>
      </c>
      <c r="F47" s="222">
        <f>VLOOKUP($A47,'Allocate OPROC cost'!$A:$AO,34,FALSE)</f>
        <v>2971.1535007082048</v>
      </c>
      <c r="G47" s="222">
        <f>VLOOKUP($A47,'Allocate OPROC cost'!$A:$AO,35,FALSE)</f>
        <v>686510.62461066502</v>
      </c>
      <c r="H47" s="222">
        <f>VLOOKUP($A47,'Allocate OPROC cost'!$A:$AO,36,FALSE)</f>
        <v>16982.890728938062</v>
      </c>
      <c r="I47" s="222">
        <f>VLOOKUP($A47,'Allocate OPROC cost'!$A:$AO,37,FALSE)</f>
        <v>2127947.6269153072</v>
      </c>
      <c r="J47" s="223">
        <f t="shared" si="10"/>
        <v>330.12816674535611</v>
      </c>
      <c r="K47" s="223">
        <f t="shared" si="10"/>
        <v>193.38327453821549</v>
      </c>
      <c r="L47" s="223">
        <f t="shared" si="10"/>
        <v>361.33810061570347</v>
      </c>
      <c r="M47" s="223">
        <f t="shared" si="10"/>
        <v>183.12802297033625</v>
      </c>
      <c r="N47" s="224">
        <f t="shared" si="11"/>
        <v>1.5715925052303765</v>
      </c>
      <c r="O47" s="224">
        <f t="shared" si="12"/>
        <v>1.3099657238549094</v>
      </c>
      <c r="P47" s="224">
        <f t="shared" si="30"/>
        <v>0.9</v>
      </c>
      <c r="Q47" s="224">
        <f t="shared" si="30"/>
        <v>0.9</v>
      </c>
      <c r="R47" s="224">
        <f t="shared" si="14"/>
        <v>1.5</v>
      </c>
      <c r="S47" s="224">
        <f t="shared" si="15"/>
        <v>1.3099657238549094</v>
      </c>
      <c r="T47" s="224">
        <f t="shared" si="16"/>
        <v>0.9</v>
      </c>
      <c r="U47" s="224">
        <f t="shared" si="17"/>
        <v>0.9</v>
      </c>
      <c r="V47" s="225">
        <f t="shared" si="18"/>
        <v>4456.7302510623067</v>
      </c>
      <c r="W47" s="225">
        <f t="shared" si="19"/>
        <v>899305.38730219577</v>
      </c>
      <c r="X47" s="225">
        <f t="shared" si="20"/>
        <v>15284.601656044257</v>
      </c>
      <c r="Y47" s="225">
        <f t="shared" si="21"/>
        <v>1915152.8642237766</v>
      </c>
      <c r="Z47" s="227">
        <f t="shared" si="22"/>
        <v>495.19225011803405</v>
      </c>
      <c r="AA47" s="227">
        <f t="shared" si="23"/>
        <v>253.32546121188614</v>
      </c>
      <c r="AB47" s="227">
        <f t="shared" si="24"/>
        <v>325.20429055413314</v>
      </c>
      <c r="AC47" s="227">
        <f t="shared" si="25"/>
        <v>164.81522067330263</v>
      </c>
      <c r="AD47" s="228">
        <f t="shared" si="26"/>
        <v>0.49999999999999956</v>
      </c>
      <c r="AE47" s="228">
        <f t="shared" si="27"/>
        <v>0.30996572385490939</v>
      </c>
      <c r="AF47" s="228">
        <f t="shared" si="28"/>
        <v>-9.9999999999999978E-2</v>
      </c>
      <c r="AG47" s="228">
        <f t="shared" si="29"/>
        <v>-9.9999999999999978E-2</v>
      </c>
    </row>
    <row r="48" spans="1:33">
      <c r="A48" s="231">
        <v>221</v>
      </c>
      <c r="B48" s="222">
        <f>VLOOKUP($A48,'Allocate OPROC cost'!$A:$AO,30,FALSE)</f>
        <v>0</v>
      </c>
      <c r="C48" s="222">
        <f>VLOOKUP($A48,'Allocate OPROC cost'!$A:$AO,31,FALSE)</f>
        <v>1043</v>
      </c>
      <c r="D48" s="222">
        <f>VLOOKUP($A48,'Allocate OPROC cost'!$A:$AO,32,FALSE)</f>
        <v>2</v>
      </c>
      <c r="E48" s="222">
        <f>VLOOKUP($A48,'Allocate OPROC cost'!$A:$AO,33,FALSE)</f>
        <v>1280</v>
      </c>
      <c r="F48" s="222">
        <f>VLOOKUP($A48,'Allocate OPROC cost'!$A:$AO,34,FALSE)</f>
        <v>0</v>
      </c>
      <c r="G48" s="222">
        <f>VLOOKUP($A48,'Allocate OPROC cost'!$A:$AO,35,FALSE)</f>
        <v>416389.75098777725</v>
      </c>
      <c r="H48" s="222">
        <f>VLOOKUP($A48,'Allocate OPROC cost'!$A:$AO,36,FALSE)</f>
        <v>373.31808157313884</v>
      </c>
      <c r="I48" s="222">
        <f>VLOOKUP($A48,'Allocate OPROC cost'!$A:$AO,37,FALSE)</f>
        <v>453417.60179905145</v>
      </c>
      <c r="J48" s="223">
        <f t="shared" si="10"/>
        <v>0</v>
      </c>
      <c r="K48" s="223">
        <f t="shared" si="10"/>
        <v>399.22315530947003</v>
      </c>
      <c r="L48" s="223">
        <f t="shared" si="10"/>
        <v>186.65904078656942</v>
      </c>
      <c r="M48" s="223">
        <f t="shared" si="10"/>
        <v>354.23250140550897</v>
      </c>
      <c r="N48" s="224">
        <f t="shared" si="11"/>
        <v>1</v>
      </c>
      <c r="O48" s="224">
        <f t="shared" si="12"/>
        <v>1.1088925941917243</v>
      </c>
      <c r="P48" s="224">
        <f t="shared" si="30"/>
        <v>0.9</v>
      </c>
      <c r="Q48" s="224">
        <f t="shared" si="30"/>
        <v>0.9</v>
      </c>
      <c r="R48" s="224">
        <f t="shared" si="14"/>
        <v>1</v>
      </c>
      <c r="S48" s="224">
        <f t="shared" si="15"/>
        <v>1.1088925941917243</v>
      </c>
      <c r="T48" s="224">
        <f t="shared" si="16"/>
        <v>0.9</v>
      </c>
      <c r="U48" s="224">
        <f t="shared" si="17"/>
        <v>0.9</v>
      </c>
      <c r="V48" s="225">
        <f t="shared" si="18"/>
        <v>0</v>
      </c>
      <c r="W48" s="225">
        <f t="shared" si="19"/>
        <v>461731.51116768242</v>
      </c>
      <c r="X48" s="225">
        <f t="shared" si="20"/>
        <v>335.98627341582494</v>
      </c>
      <c r="Y48" s="225">
        <f t="shared" si="21"/>
        <v>408075.84161914629</v>
      </c>
      <c r="Z48" s="227">
        <f t="shared" si="22"/>
        <v>0</v>
      </c>
      <c r="AA48" s="227">
        <f t="shared" si="23"/>
        <v>442.69560035252391</v>
      </c>
      <c r="AB48" s="227">
        <f t="shared" si="24"/>
        <v>167.99313670791247</v>
      </c>
      <c r="AC48" s="227">
        <f t="shared" si="25"/>
        <v>318.80925126495805</v>
      </c>
      <c r="AD48" s="228">
        <f t="shared" si="26"/>
        <v>0</v>
      </c>
      <c r="AE48" s="228">
        <f t="shared" si="27"/>
        <v>0.10889259419172448</v>
      </c>
      <c r="AF48" s="228">
        <f t="shared" si="28"/>
        <v>-0.10000000000000009</v>
      </c>
      <c r="AG48" s="228">
        <f t="shared" si="29"/>
        <v>-0.10000000000000009</v>
      </c>
    </row>
    <row r="49" spans="1:33">
      <c r="A49" s="231">
        <v>222</v>
      </c>
      <c r="B49" s="222">
        <f>VLOOKUP($A49,'Allocate OPROC cost'!$A:$AO,30,FALSE)</f>
        <v>2</v>
      </c>
      <c r="C49" s="222">
        <f>VLOOKUP($A49,'Allocate OPROC cost'!$A:$AO,31,FALSE)</f>
        <v>171</v>
      </c>
      <c r="D49" s="222">
        <f>VLOOKUP($A49,'Allocate OPROC cost'!$A:$AO,32,FALSE)</f>
        <v>0</v>
      </c>
      <c r="E49" s="222">
        <f>VLOOKUP($A49,'Allocate OPROC cost'!$A:$AO,33,FALSE)</f>
        <v>284</v>
      </c>
      <c r="F49" s="222">
        <f>VLOOKUP($A49,'Allocate OPROC cost'!$A:$AO,34,FALSE)</f>
        <v>343.87687746402298</v>
      </c>
      <c r="G49" s="222">
        <f>VLOOKUP($A49,'Allocate OPROC cost'!$A:$AO,35,FALSE)</f>
        <v>22670.1661801972</v>
      </c>
      <c r="H49" s="222">
        <f>VLOOKUP($A49,'Allocate OPROC cost'!$A:$AO,36,FALSE)</f>
        <v>0</v>
      </c>
      <c r="I49" s="222">
        <f>VLOOKUP($A49,'Allocate OPROC cost'!$A:$AO,37,FALSE)</f>
        <v>33924.633384392801</v>
      </c>
      <c r="J49" s="223">
        <f t="shared" si="10"/>
        <v>171.93843873201149</v>
      </c>
      <c r="K49" s="223">
        <f t="shared" si="10"/>
        <v>132.57407122922339</v>
      </c>
      <c r="L49" s="223">
        <f t="shared" si="10"/>
        <v>0</v>
      </c>
      <c r="M49" s="223">
        <f t="shared" si="10"/>
        <v>119.45293445208732</v>
      </c>
      <c r="N49" s="224">
        <f t="shared" si="11"/>
        <v>1</v>
      </c>
      <c r="O49" s="224">
        <f t="shared" si="12"/>
        <v>1.1496443965815593</v>
      </c>
      <c r="P49" s="224">
        <f t="shared" si="30"/>
        <v>0.9</v>
      </c>
      <c r="Q49" s="224">
        <f t="shared" si="30"/>
        <v>0.9</v>
      </c>
      <c r="R49" s="224">
        <f t="shared" si="14"/>
        <v>1</v>
      </c>
      <c r="S49" s="224">
        <f t="shared" si="15"/>
        <v>1.1496443965815593</v>
      </c>
      <c r="T49" s="224">
        <f t="shared" si="16"/>
        <v>0.9</v>
      </c>
      <c r="U49" s="224">
        <f t="shared" si="17"/>
        <v>0.9</v>
      </c>
      <c r="V49" s="225">
        <f t="shared" si="18"/>
        <v>343.87687746402298</v>
      </c>
      <c r="W49" s="225">
        <f t="shared" si="19"/>
        <v>26062.629518636484</v>
      </c>
      <c r="X49" s="225">
        <f t="shared" si="20"/>
        <v>0</v>
      </c>
      <c r="Y49" s="225">
        <f t="shared" si="21"/>
        <v>30532.17004595352</v>
      </c>
      <c r="Z49" s="227">
        <f t="shared" si="22"/>
        <v>171.93843873201149</v>
      </c>
      <c r="AA49" s="227">
        <f t="shared" si="23"/>
        <v>152.41303812068119</v>
      </c>
      <c r="AB49" s="227">
        <f t="shared" si="24"/>
        <v>0</v>
      </c>
      <c r="AC49" s="227">
        <f t="shared" si="25"/>
        <v>107.50764100687859</v>
      </c>
      <c r="AD49" s="228">
        <f t="shared" si="26"/>
        <v>0</v>
      </c>
      <c r="AE49" s="228">
        <f t="shared" si="27"/>
        <v>0.14964439658155926</v>
      </c>
      <c r="AF49" s="228">
        <f t="shared" si="28"/>
        <v>0</v>
      </c>
      <c r="AG49" s="228">
        <f t="shared" si="29"/>
        <v>-9.9999999999999978E-2</v>
      </c>
    </row>
    <row r="50" spans="1:33">
      <c r="A50" s="231">
        <v>223</v>
      </c>
      <c r="B50" s="222">
        <f>VLOOKUP($A50,'Allocate OPROC cost'!$A:$AO,30,FALSE)</f>
        <v>36</v>
      </c>
      <c r="C50" s="222">
        <f>VLOOKUP($A50,'Allocate OPROC cost'!$A:$AO,31,FALSE)</f>
        <v>638</v>
      </c>
      <c r="D50" s="222">
        <f>VLOOKUP($A50,'Allocate OPROC cost'!$A:$AO,32,FALSE)</f>
        <v>236</v>
      </c>
      <c r="E50" s="222">
        <f>VLOOKUP($A50,'Allocate OPROC cost'!$A:$AO,33,FALSE)</f>
        <v>2476</v>
      </c>
      <c r="F50" s="222">
        <f>VLOOKUP($A50,'Allocate OPROC cost'!$A:$AO,34,FALSE)</f>
        <v>5950.17230678944</v>
      </c>
      <c r="G50" s="222">
        <f>VLOOKUP($A50,'Allocate OPROC cost'!$A:$AO,35,FALSE)</f>
        <v>164650.228078471</v>
      </c>
      <c r="H50" s="222">
        <f>VLOOKUP($A50,'Allocate OPROC cost'!$A:$AO,36,FALSE)</f>
        <v>31635.596489286199</v>
      </c>
      <c r="I50" s="222">
        <f>VLOOKUP($A50,'Allocate OPROC cost'!$A:$AO,37,FALSE)</f>
        <v>406845.88783634303</v>
      </c>
      <c r="J50" s="223">
        <f t="shared" si="10"/>
        <v>165.28256407748444</v>
      </c>
      <c r="K50" s="223">
        <f t="shared" si="10"/>
        <v>258.0724578032461</v>
      </c>
      <c r="L50" s="223">
        <f t="shared" si="10"/>
        <v>134.04913766646695</v>
      </c>
      <c r="M50" s="223">
        <f t="shared" si="10"/>
        <v>164.31578668672981</v>
      </c>
      <c r="N50" s="224">
        <f t="shared" si="11"/>
        <v>1.5316753004478278</v>
      </c>
      <c r="O50" s="224">
        <f t="shared" si="12"/>
        <v>1.2470970690926972</v>
      </c>
      <c r="P50" s="224">
        <f t="shared" si="30"/>
        <v>0.9</v>
      </c>
      <c r="Q50" s="224">
        <f t="shared" si="30"/>
        <v>0.9</v>
      </c>
      <c r="R50" s="224">
        <f t="shared" si="14"/>
        <v>1.5</v>
      </c>
      <c r="S50" s="224">
        <f t="shared" si="15"/>
        <v>1.2470970690926972</v>
      </c>
      <c r="T50" s="224">
        <f t="shared" si="16"/>
        <v>0.9</v>
      </c>
      <c r="U50" s="224">
        <f t="shared" si="17"/>
        <v>0.9</v>
      </c>
      <c r="V50" s="225">
        <f t="shared" si="18"/>
        <v>8925.258460184159</v>
      </c>
      <c r="W50" s="225">
        <f t="shared" si="19"/>
        <v>205334.8168621053</v>
      </c>
      <c r="X50" s="225">
        <f t="shared" si="20"/>
        <v>28472.036840357581</v>
      </c>
      <c r="Y50" s="225">
        <f t="shared" si="21"/>
        <v>366161.29905270872</v>
      </c>
      <c r="Z50" s="227">
        <f t="shared" si="22"/>
        <v>247.92384611622663</v>
      </c>
      <c r="AA50" s="227">
        <f t="shared" si="23"/>
        <v>321.84140573997695</v>
      </c>
      <c r="AB50" s="227">
        <f t="shared" si="24"/>
        <v>120.64422389982026</v>
      </c>
      <c r="AC50" s="227">
        <f t="shared" si="25"/>
        <v>147.88420801805682</v>
      </c>
      <c r="AD50" s="228">
        <f t="shared" si="26"/>
        <v>0.49999999999999978</v>
      </c>
      <c r="AE50" s="228">
        <f t="shared" si="27"/>
        <v>0.24709706909269702</v>
      </c>
      <c r="AF50" s="228">
        <f t="shared" si="28"/>
        <v>-9.9999999999999978E-2</v>
      </c>
      <c r="AG50" s="228">
        <f t="shared" si="29"/>
        <v>-9.9999999999999978E-2</v>
      </c>
    </row>
    <row r="51" spans="1:33">
      <c r="A51" s="231">
        <v>241</v>
      </c>
      <c r="B51" s="222">
        <f>VLOOKUP($A51,'Allocate OPROC cost'!$A:$AO,30,FALSE)</f>
        <v>49</v>
      </c>
      <c r="C51" s="222">
        <f>VLOOKUP($A51,'Allocate OPROC cost'!$A:$AO,31,FALSE)</f>
        <v>348</v>
      </c>
      <c r="D51" s="222">
        <f>VLOOKUP($A51,'Allocate OPROC cost'!$A:$AO,32,FALSE)</f>
        <v>25</v>
      </c>
      <c r="E51" s="222">
        <f>VLOOKUP($A51,'Allocate OPROC cost'!$A:$AO,33,FALSE)</f>
        <v>826</v>
      </c>
      <c r="F51" s="222">
        <f>VLOOKUP($A51,'Allocate OPROC cost'!$A:$AO,34,FALSE)</f>
        <v>10572.2741178209</v>
      </c>
      <c r="G51" s="222">
        <f>VLOOKUP($A51,'Allocate OPROC cost'!$A:$AO,35,FALSE)</f>
        <v>378384.75096436788</v>
      </c>
      <c r="H51" s="222">
        <f>VLOOKUP($A51,'Allocate OPROC cost'!$A:$AO,36,FALSE)</f>
        <v>2696.8889056887701</v>
      </c>
      <c r="I51" s="222">
        <f>VLOOKUP($A51,'Allocate OPROC cost'!$A:$AO,37,FALSE)</f>
        <v>387615.092144567</v>
      </c>
      <c r="J51" s="223">
        <f t="shared" si="10"/>
        <v>215.76069628205917</v>
      </c>
      <c r="K51" s="223">
        <f t="shared" si="10"/>
        <v>1087.3125027711721</v>
      </c>
      <c r="L51" s="223">
        <f t="shared" si="10"/>
        <v>107.8755562275508</v>
      </c>
      <c r="M51" s="223">
        <f t="shared" si="10"/>
        <v>469.26766603458475</v>
      </c>
      <c r="N51" s="224">
        <f t="shared" si="11"/>
        <v>1.0255090709494832</v>
      </c>
      <c r="O51" s="224">
        <f t="shared" si="12"/>
        <v>1.102439406227834</v>
      </c>
      <c r="P51" s="224">
        <f t="shared" si="30"/>
        <v>0.9</v>
      </c>
      <c r="Q51" s="224">
        <f t="shared" si="30"/>
        <v>0.9</v>
      </c>
      <c r="R51" s="224">
        <f t="shared" si="14"/>
        <v>1.0255090709494832</v>
      </c>
      <c r="S51" s="224">
        <f t="shared" si="15"/>
        <v>1.102439406227834</v>
      </c>
      <c r="T51" s="224">
        <f t="shared" si="16"/>
        <v>0.9</v>
      </c>
      <c r="U51" s="224">
        <f t="shared" si="17"/>
        <v>0.9</v>
      </c>
      <c r="V51" s="225">
        <f t="shared" si="18"/>
        <v>10841.963008389777</v>
      </c>
      <c r="W51" s="225">
        <f t="shared" si="19"/>
        <v>417146.26017882454</v>
      </c>
      <c r="X51" s="225">
        <f t="shared" si="20"/>
        <v>2427.2000151198931</v>
      </c>
      <c r="Y51" s="225">
        <f t="shared" si="21"/>
        <v>348853.58293011028</v>
      </c>
      <c r="Z51" s="227">
        <f t="shared" si="22"/>
        <v>221.2645511916281</v>
      </c>
      <c r="AA51" s="227">
        <f t="shared" si="23"/>
        <v>1198.6961499391509</v>
      </c>
      <c r="AB51" s="227">
        <f t="shared" si="24"/>
        <v>97.088000604795724</v>
      </c>
      <c r="AC51" s="227">
        <f t="shared" si="25"/>
        <v>422.34089943112622</v>
      </c>
      <c r="AD51" s="228">
        <f t="shared" si="26"/>
        <v>2.5509070949483181E-2</v>
      </c>
      <c r="AE51" s="228">
        <f t="shared" si="27"/>
        <v>0.10243940622783376</v>
      </c>
      <c r="AF51" s="228">
        <f t="shared" si="28"/>
        <v>-9.9999999999999978E-2</v>
      </c>
      <c r="AG51" s="228">
        <f t="shared" si="29"/>
        <v>-0.10000000000000009</v>
      </c>
    </row>
    <row r="52" spans="1:33">
      <c r="A52" s="231">
        <v>242</v>
      </c>
      <c r="B52" s="222">
        <f>VLOOKUP($A52,'Allocate OPROC cost'!$A:$AO,30,FALSE)</f>
        <v>0</v>
      </c>
      <c r="C52" s="222">
        <f>VLOOKUP($A52,'Allocate OPROC cost'!$A:$AO,31,FALSE)</f>
        <v>13</v>
      </c>
      <c r="D52" s="222">
        <f>VLOOKUP($A52,'Allocate OPROC cost'!$A:$AO,32,FALSE)</f>
        <v>0</v>
      </c>
      <c r="E52" s="222">
        <f>VLOOKUP($A52,'Allocate OPROC cost'!$A:$AO,33,FALSE)</f>
        <v>21</v>
      </c>
      <c r="F52" s="222">
        <f>VLOOKUP($A52,'Allocate OPROC cost'!$A:$AO,34,FALSE)</f>
        <v>0</v>
      </c>
      <c r="G52" s="222">
        <f>VLOOKUP($A52,'Allocate OPROC cost'!$A:$AO,35,FALSE)</f>
        <v>2355.6179675374542</v>
      </c>
      <c r="H52" s="222">
        <f>VLOOKUP($A52,'Allocate OPROC cost'!$A:$AO,36,FALSE)</f>
        <v>0</v>
      </c>
      <c r="I52" s="222">
        <f>VLOOKUP($A52,'Allocate OPROC cost'!$A:$AO,37,FALSE)</f>
        <v>1381.4345871206235</v>
      </c>
      <c r="J52" s="223">
        <f t="shared" si="10"/>
        <v>0</v>
      </c>
      <c r="K52" s="223">
        <f t="shared" si="10"/>
        <v>181.20138211826571</v>
      </c>
      <c r="L52" s="223">
        <f t="shared" si="10"/>
        <v>0</v>
      </c>
      <c r="M52" s="223">
        <f t="shared" si="10"/>
        <v>65.782599386696361</v>
      </c>
      <c r="N52" s="224">
        <f t="shared" si="11"/>
        <v>1</v>
      </c>
      <c r="O52" s="224">
        <f t="shared" si="12"/>
        <v>1.0586442541260104</v>
      </c>
      <c r="P52" s="224">
        <f t="shared" si="30"/>
        <v>0.9</v>
      </c>
      <c r="Q52" s="224">
        <f t="shared" si="30"/>
        <v>0.9</v>
      </c>
      <c r="R52" s="224">
        <f t="shared" si="14"/>
        <v>1</v>
      </c>
      <c r="S52" s="224">
        <f t="shared" si="15"/>
        <v>1.0586442541260104</v>
      </c>
      <c r="T52" s="224">
        <f t="shared" si="16"/>
        <v>0.9</v>
      </c>
      <c r="U52" s="224">
        <f t="shared" si="17"/>
        <v>0.9</v>
      </c>
      <c r="V52" s="225">
        <f t="shared" si="18"/>
        <v>0</v>
      </c>
      <c r="W52" s="225">
        <f t="shared" si="19"/>
        <v>2493.7614262495167</v>
      </c>
      <c r="X52" s="225">
        <f t="shared" si="20"/>
        <v>0</v>
      </c>
      <c r="Y52" s="225">
        <f t="shared" si="21"/>
        <v>1243.2911284085612</v>
      </c>
      <c r="Z52" s="227">
        <f t="shared" si="22"/>
        <v>0</v>
      </c>
      <c r="AA52" s="227">
        <f t="shared" si="23"/>
        <v>191.8278020191936</v>
      </c>
      <c r="AB52" s="227">
        <f t="shared" si="24"/>
        <v>0</v>
      </c>
      <c r="AC52" s="227">
        <f t="shared" si="25"/>
        <v>59.204339448026722</v>
      </c>
      <c r="AD52" s="228">
        <f t="shared" si="26"/>
        <v>0</v>
      </c>
      <c r="AE52" s="228">
        <f t="shared" si="27"/>
        <v>5.8644254126010376E-2</v>
      </c>
      <c r="AF52" s="228">
        <f t="shared" si="28"/>
        <v>0</v>
      </c>
      <c r="AG52" s="228">
        <f t="shared" si="29"/>
        <v>-0.10000000000000009</v>
      </c>
    </row>
    <row r="53" spans="1:33">
      <c r="A53" s="231">
        <v>251</v>
      </c>
      <c r="B53" s="222">
        <f>VLOOKUP($A53,'Allocate OPROC cost'!$A:$AO,30,FALSE)</f>
        <v>1516</v>
      </c>
      <c r="C53" s="222">
        <f>VLOOKUP($A53,'Allocate OPROC cost'!$A:$AO,31,FALSE)</f>
        <v>18341</v>
      </c>
      <c r="D53" s="222">
        <f>VLOOKUP($A53,'Allocate OPROC cost'!$A:$AO,32,FALSE)</f>
        <v>5595</v>
      </c>
      <c r="E53" s="222">
        <f>VLOOKUP($A53,'Allocate OPROC cost'!$A:$AO,33,FALSE)</f>
        <v>46186</v>
      </c>
      <c r="F53" s="222">
        <f>VLOOKUP($A53,'Allocate OPROC cost'!$A:$AO,34,FALSE)</f>
        <v>283794.22400336637</v>
      </c>
      <c r="G53" s="222">
        <f>VLOOKUP($A53,'Allocate OPROC cost'!$A:$AO,35,FALSE)</f>
        <v>4090276.0344584277</v>
      </c>
      <c r="H53" s="222">
        <f>VLOOKUP($A53,'Allocate OPROC cost'!$A:$AO,36,FALSE)</f>
        <v>923676.10510203557</v>
      </c>
      <c r="I53" s="222">
        <f>VLOOKUP($A53,'Allocate OPROC cost'!$A:$AO,37,FALSE)</f>
        <v>9327767.5159503855</v>
      </c>
      <c r="J53" s="223">
        <f t="shared" si="10"/>
        <v>187.19935620274828</v>
      </c>
      <c r="K53" s="223">
        <f t="shared" si="10"/>
        <v>223.01270565718488</v>
      </c>
      <c r="L53" s="223">
        <f t="shared" si="10"/>
        <v>165.08956302091789</v>
      </c>
      <c r="M53" s="223">
        <f t="shared" si="10"/>
        <v>201.96093006431354</v>
      </c>
      <c r="N53" s="224">
        <f t="shared" si="11"/>
        <v>1.3254738916360325</v>
      </c>
      <c r="O53" s="224">
        <f t="shared" si="12"/>
        <v>1.2280473845131439</v>
      </c>
      <c r="P53" s="224">
        <f t="shared" si="30"/>
        <v>0.9</v>
      </c>
      <c r="Q53" s="224">
        <f t="shared" si="30"/>
        <v>0.9</v>
      </c>
      <c r="R53" s="224">
        <f t="shared" si="14"/>
        <v>1.3254738916360325</v>
      </c>
      <c r="S53" s="224">
        <f t="shared" si="15"/>
        <v>1.2280473845131439</v>
      </c>
      <c r="T53" s="224">
        <f t="shared" si="16"/>
        <v>0.9</v>
      </c>
      <c r="U53" s="224">
        <f t="shared" si="17"/>
        <v>0.9</v>
      </c>
      <c r="V53" s="225">
        <f t="shared" si="18"/>
        <v>376161.83451356995</v>
      </c>
      <c r="W53" s="225">
        <f t="shared" si="19"/>
        <v>5023052.7860534657</v>
      </c>
      <c r="X53" s="225">
        <f t="shared" si="20"/>
        <v>831308.49459183204</v>
      </c>
      <c r="Y53" s="225">
        <f t="shared" si="21"/>
        <v>8394990.7643553466</v>
      </c>
      <c r="Z53" s="227">
        <f t="shared" si="22"/>
        <v>248.12785917781659</v>
      </c>
      <c r="AA53" s="227">
        <f t="shared" si="23"/>
        <v>273.87016989550546</v>
      </c>
      <c r="AB53" s="227">
        <f t="shared" si="24"/>
        <v>148.58060671882609</v>
      </c>
      <c r="AC53" s="227">
        <f t="shared" si="25"/>
        <v>181.76483705788218</v>
      </c>
      <c r="AD53" s="228">
        <f t="shared" si="26"/>
        <v>0.32547389163603224</v>
      </c>
      <c r="AE53" s="228">
        <f t="shared" si="27"/>
        <v>0.22804738451314366</v>
      </c>
      <c r="AF53" s="228">
        <f t="shared" si="28"/>
        <v>-0.10000000000000009</v>
      </c>
      <c r="AG53" s="228">
        <f t="shared" si="29"/>
        <v>-0.10000000000000009</v>
      </c>
    </row>
    <row r="54" spans="1:33">
      <c r="A54" s="231">
        <v>252</v>
      </c>
      <c r="B54" s="222">
        <f>VLOOKUP($A54,'Allocate OPROC cost'!$A:$AO,30,FALSE)</f>
        <v>1261</v>
      </c>
      <c r="C54" s="222">
        <f>VLOOKUP($A54,'Allocate OPROC cost'!$A:$AO,31,FALSE)</f>
        <v>9785</v>
      </c>
      <c r="D54" s="222">
        <f>VLOOKUP($A54,'Allocate OPROC cost'!$A:$AO,32,FALSE)</f>
        <v>5278</v>
      </c>
      <c r="E54" s="222">
        <f>VLOOKUP($A54,'Allocate OPROC cost'!$A:$AO,33,FALSE)</f>
        <v>37255</v>
      </c>
      <c r="F54" s="222">
        <f>VLOOKUP($A54,'Allocate OPROC cost'!$A:$AO,34,FALSE)</f>
        <v>314333.73844297347</v>
      </c>
      <c r="G54" s="222">
        <f>VLOOKUP($A54,'Allocate OPROC cost'!$A:$AO,35,FALSE)</f>
        <v>2896126.7393349563</v>
      </c>
      <c r="H54" s="222">
        <f>VLOOKUP($A54,'Allocate OPROC cost'!$A:$AO,36,FALSE)</f>
        <v>1061512.6381130421</v>
      </c>
      <c r="I54" s="222">
        <f>VLOOKUP($A54,'Allocate OPROC cost'!$A:$AO,37,FALSE)</f>
        <v>7157769.2398219146</v>
      </c>
      <c r="J54" s="223">
        <f t="shared" si="10"/>
        <v>249.27338496667207</v>
      </c>
      <c r="K54" s="223">
        <f t="shared" si="10"/>
        <v>295.97616140367461</v>
      </c>
      <c r="L54" s="223">
        <f t="shared" si="10"/>
        <v>201.12024215859077</v>
      </c>
      <c r="M54" s="223">
        <f t="shared" si="10"/>
        <v>192.12908978182566</v>
      </c>
      <c r="N54" s="224">
        <f t="shared" si="11"/>
        <v>1.3377024188911946</v>
      </c>
      <c r="O54" s="224">
        <f t="shared" si="12"/>
        <v>1.2471497238917648</v>
      </c>
      <c r="P54" s="224">
        <f t="shared" si="30"/>
        <v>0.9</v>
      </c>
      <c r="Q54" s="224">
        <f t="shared" si="30"/>
        <v>0.9</v>
      </c>
      <c r="R54" s="224">
        <f t="shared" si="14"/>
        <v>1.3377024188911946</v>
      </c>
      <c r="S54" s="224">
        <f t="shared" si="15"/>
        <v>1.2471497238917648</v>
      </c>
      <c r="T54" s="224">
        <f t="shared" si="16"/>
        <v>0.9</v>
      </c>
      <c r="U54" s="224">
        <f t="shared" si="17"/>
        <v>0.9</v>
      </c>
      <c r="V54" s="225">
        <f t="shared" si="18"/>
        <v>420485.0022542777</v>
      </c>
      <c r="W54" s="225">
        <f t="shared" si="19"/>
        <v>3611903.6633171476</v>
      </c>
      <c r="X54" s="225">
        <f t="shared" si="20"/>
        <v>955361.37430173787</v>
      </c>
      <c r="Y54" s="225">
        <f t="shared" si="21"/>
        <v>6441992.3158397237</v>
      </c>
      <c r="Z54" s="227">
        <f t="shared" si="22"/>
        <v>333.45361003511317</v>
      </c>
      <c r="AA54" s="227">
        <f t="shared" si="23"/>
        <v>369.12658797313719</v>
      </c>
      <c r="AB54" s="227">
        <f t="shared" si="24"/>
        <v>181.0082179427317</v>
      </c>
      <c r="AC54" s="227">
        <f t="shared" si="25"/>
        <v>172.9161808036431</v>
      </c>
      <c r="AD54" s="228">
        <f t="shared" si="26"/>
        <v>0.33770241889119457</v>
      </c>
      <c r="AE54" s="228">
        <f t="shared" si="27"/>
        <v>0.24714972389176482</v>
      </c>
      <c r="AF54" s="228">
        <f t="shared" si="28"/>
        <v>-9.9999999999999978E-2</v>
      </c>
      <c r="AG54" s="228">
        <f t="shared" si="29"/>
        <v>-9.9999999999999978E-2</v>
      </c>
    </row>
    <row r="55" spans="1:33">
      <c r="A55" s="231">
        <v>253</v>
      </c>
      <c r="B55" s="222">
        <f>VLOOKUP($A55,'Allocate OPROC cost'!$A:$AO,30,FALSE)</f>
        <v>409</v>
      </c>
      <c r="C55" s="222">
        <f>VLOOKUP($A55,'Allocate OPROC cost'!$A:$AO,31,FALSE)</f>
        <v>5342</v>
      </c>
      <c r="D55" s="222">
        <f>VLOOKUP($A55,'Allocate OPROC cost'!$A:$AO,32,FALSE)</f>
        <v>3026</v>
      </c>
      <c r="E55" s="222">
        <f>VLOOKUP($A55,'Allocate OPROC cost'!$A:$AO,33,FALSE)</f>
        <v>33596</v>
      </c>
      <c r="F55" s="222">
        <f>VLOOKUP($A55,'Allocate OPROC cost'!$A:$AO,34,FALSE)</f>
        <v>120955.74490654611</v>
      </c>
      <c r="G55" s="222">
        <f>VLOOKUP($A55,'Allocate OPROC cost'!$A:$AO,35,FALSE)</f>
        <v>1492815.5129996398</v>
      </c>
      <c r="H55" s="222">
        <f>VLOOKUP($A55,'Allocate OPROC cost'!$A:$AO,36,FALSE)</f>
        <v>647331.65718810062</v>
      </c>
      <c r="I55" s="222">
        <f>VLOOKUP($A55,'Allocate OPROC cost'!$A:$AO,37,FALSE)</f>
        <v>7821054.1555026285</v>
      </c>
      <c r="J55" s="223">
        <f t="shared" si="10"/>
        <v>295.73531761991717</v>
      </c>
      <c r="K55" s="223">
        <f t="shared" si="10"/>
        <v>279.44880438031447</v>
      </c>
      <c r="L55" s="223">
        <f t="shared" si="10"/>
        <v>213.92321784140802</v>
      </c>
      <c r="M55" s="223">
        <f t="shared" si="10"/>
        <v>232.79718286410966</v>
      </c>
      <c r="N55" s="224">
        <f t="shared" si="11"/>
        <v>1.5351805800445839</v>
      </c>
      <c r="O55" s="224">
        <f t="shared" si="12"/>
        <v>1.5239129743357989</v>
      </c>
      <c r="P55" s="224">
        <f t="shared" si="30"/>
        <v>0.9</v>
      </c>
      <c r="Q55" s="224">
        <f t="shared" si="30"/>
        <v>0.9</v>
      </c>
      <c r="R55" s="224">
        <f t="shared" si="14"/>
        <v>1.5</v>
      </c>
      <c r="S55" s="224">
        <f t="shared" si="15"/>
        <v>1.5</v>
      </c>
      <c r="T55" s="224">
        <f t="shared" si="16"/>
        <v>0.9</v>
      </c>
      <c r="U55" s="224">
        <f t="shared" si="17"/>
        <v>0.9</v>
      </c>
      <c r="V55" s="225">
        <f t="shared" si="18"/>
        <v>181433.61735981918</v>
      </c>
      <c r="W55" s="225">
        <f t="shared" si="19"/>
        <v>2239223.2694994598</v>
      </c>
      <c r="X55" s="225">
        <f t="shared" si="20"/>
        <v>582598.49146929057</v>
      </c>
      <c r="Y55" s="225">
        <f t="shared" si="21"/>
        <v>7038948.7399523659</v>
      </c>
      <c r="Z55" s="227">
        <f t="shared" si="22"/>
        <v>443.60297642987575</v>
      </c>
      <c r="AA55" s="227">
        <f t="shared" si="23"/>
        <v>419.17320657047168</v>
      </c>
      <c r="AB55" s="227">
        <f t="shared" si="24"/>
        <v>192.5308960572672</v>
      </c>
      <c r="AC55" s="227">
        <f t="shared" si="25"/>
        <v>209.51746457769872</v>
      </c>
      <c r="AD55" s="228">
        <f t="shared" si="26"/>
        <v>0.5</v>
      </c>
      <c r="AE55" s="228">
        <f t="shared" si="27"/>
        <v>0.5</v>
      </c>
      <c r="AF55" s="228">
        <f t="shared" si="28"/>
        <v>-0.10000000000000009</v>
      </c>
      <c r="AG55" s="228">
        <f t="shared" si="29"/>
        <v>-9.9999999999999867E-2</v>
      </c>
    </row>
    <row r="56" spans="1:33">
      <c r="A56" s="231">
        <v>254</v>
      </c>
      <c r="B56" s="222">
        <f>VLOOKUP($A56,'Allocate OPROC cost'!$A:$AO,30,FALSE)</f>
        <v>68</v>
      </c>
      <c r="C56" s="222">
        <f>VLOOKUP($A56,'Allocate OPROC cost'!$A:$AO,31,FALSE)</f>
        <v>19620</v>
      </c>
      <c r="D56" s="222">
        <f>VLOOKUP($A56,'Allocate OPROC cost'!$A:$AO,32,FALSE)</f>
        <v>82</v>
      </c>
      <c r="E56" s="222">
        <f>VLOOKUP($A56,'Allocate OPROC cost'!$A:$AO,33,FALSE)</f>
        <v>12737</v>
      </c>
      <c r="F56" s="222">
        <f>VLOOKUP($A56,'Allocate OPROC cost'!$A:$AO,34,FALSE)</f>
        <v>8001.537302950941</v>
      </c>
      <c r="G56" s="222">
        <f>VLOOKUP($A56,'Allocate OPROC cost'!$A:$AO,35,FALSE)</f>
        <v>1955145.0985444067</v>
      </c>
      <c r="H56" s="222">
        <f>VLOOKUP($A56,'Allocate OPROC cost'!$A:$AO,36,FALSE)</f>
        <v>9617.2323352775729</v>
      </c>
      <c r="I56" s="222">
        <f>VLOOKUP($A56,'Allocate OPROC cost'!$A:$AO,37,FALSE)</f>
        <v>1990242.6819990154</v>
      </c>
      <c r="J56" s="223">
        <f t="shared" si="10"/>
        <v>117.66966621986678</v>
      </c>
      <c r="K56" s="223">
        <f t="shared" si="10"/>
        <v>99.650616643445801</v>
      </c>
      <c r="L56" s="223">
        <f t="shared" si="10"/>
        <v>117.28332116192162</v>
      </c>
      <c r="M56" s="223">
        <f t="shared" si="10"/>
        <v>156.25678589927105</v>
      </c>
      <c r="N56" s="224">
        <f t="shared" si="11"/>
        <v>1.1201923076923077</v>
      </c>
      <c r="O56" s="224">
        <f t="shared" si="12"/>
        <v>1.1017951395771464</v>
      </c>
      <c r="P56" s="224">
        <f t="shared" si="30"/>
        <v>0.9</v>
      </c>
      <c r="Q56" s="224">
        <f t="shared" si="30"/>
        <v>0.9</v>
      </c>
      <c r="R56" s="224">
        <f t="shared" si="14"/>
        <v>1.1201923076923077</v>
      </c>
      <c r="S56" s="224">
        <f t="shared" si="15"/>
        <v>1.1017951395771464</v>
      </c>
      <c r="T56" s="224">
        <f t="shared" si="16"/>
        <v>0.9</v>
      </c>
      <c r="U56" s="224">
        <f t="shared" si="17"/>
        <v>0.9</v>
      </c>
      <c r="V56" s="225">
        <f t="shared" si="18"/>
        <v>8963.2605364786978</v>
      </c>
      <c r="W56" s="225">
        <f t="shared" si="19"/>
        <v>2154169.3667443083</v>
      </c>
      <c r="X56" s="225">
        <f t="shared" si="20"/>
        <v>8655.5091017498162</v>
      </c>
      <c r="Y56" s="225">
        <f t="shared" si="21"/>
        <v>1791218.4137991138</v>
      </c>
      <c r="Z56" s="227">
        <f t="shared" si="22"/>
        <v>131.81265494821614</v>
      </c>
      <c r="AA56" s="227">
        <f t="shared" si="23"/>
        <v>109.79456507361408</v>
      </c>
      <c r="AB56" s="227">
        <f t="shared" si="24"/>
        <v>105.55498904572947</v>
      </c>
      <c r="AC56" s="227">
        <f t="shared" si="25"/>
        <v>140.63110730934395</v>
      </c>
      <c r="AD56" s="228">
        <f t="shared" si="26"/>
        <v>0.12019230769230749</v>
      </c>
      <c r="AE56" s="228">
        <f t="shared" si="27"/>
        <v>0.10179513957714637</v>
      </c>
      <c r="AF56" s="228">
        <f t="shared" si="28"/>
        <v>-9.9999999999999867E-2</v>
      </c>
      <c r="AG56" s="228">
        <f t="shared" si="29"/>
        <v>-9.9999999999999978E-2</v>
      </c>
    </row>
    <row r="57" spans="1:33">
      <c r="A57" s="231">
        <v>255</v>
      </c>
      <c r="B57" s="222">
        <f>VLOOKUP($A57,'Allocate OPROC cost'!$A:$AO,30,FALSE)</f>
        <v>2213</v>
      </c>
      <c r="C57" s="222">
        <f>VLOOKUP($A57,'Allocate OPROC cost'!$A:$AO,31,FALSE)</f>
        <v>12143</v>
      </c>
      <c r="D57" s="222">
        <f>VLOOKUP($A57,'Allocate OPROC cost'!$A:$AO,32,FALSE)</f>
        <v>2282</v>
      </c>
      <c r="E57" s="222">
        <f>VLOOKUP($A57,'Allocate OPROC cost'!$A:$AO,33,FALSE)</f>
        <v>18414</v>
      </c>
      <c r="F57" s="222">
        <f>VLOOKUP($A57,'Allocate OPROC cost'!$A:$AO,34,FALSE)</f>
        <v>435928.86589980556</v>
      </c>
      <c r="G57" s="222">
        <f>VLOOKUP($A57,'Allocate OPROC cost'!$A:$AO,35,FALSE)</f>
        <v>3222924.3034487301</v>
      </c>
      <c r="H57" s="222">
        <f>VLOOKUP($A57,'Allocate OPROC cost'!$A:$AO,36,FALSE)</f>
        <v>282378.07518524281</v>
      </c>
      <c r="I57" s="222">
        <f>VLOOKUP($A57,'Allocate OPROC cost'!$A:$AO,37,FALSE)</f>
        <v>3995458.3168380703</v>
      </c>
      <c r="J57" s="223">
        <f t="shared" si="10"/>
        <v>196.98547939439925</v>
      </c>
      <c r="K57" s="223">
        <f t="shared" si="10"/>
        <v>265.41417305844766</v>
      </c>
      <c r="L57" s="223">
        <f t="shared" si="10"/>
        <v>123.74148781123699</v>
      </c>
      <c r="M57" s="223">
        <f t="shared" si="10"/>
        <v>216.97938073411916</v>
      </c>
      <c r="N57" s="224">
        <f t="shared" si="11"/>
        <v>1.0647761819127033</v>
      </c>
      <c r="O57" s="224">
        <f t="shared" si="12"/>
        <v>1.1239699707673148</v>
      </c>
      <c r="P57" s="224">
        <f t="shared" si="30"/>
        <v>0.9</v>
      </c>
      <c r="Q57" s="224">
        <f t="shared" si="30"/>
        <v>0.9</v>
      </c>
      <c r="R57" s="224">
        <f t="shared" si="14"/>
        <v>1.0647761819127033</v>
      </c>
      <c r="S57" s="224">
        <f t="shared" si="15"/>
        <v>1.1239699707673148</v>
      </c>
      <c r="T57" s="224">
        <f t="shared" si="16"/>
        <v>0.9</v>
      </c>
      <c r="U57" s="224">
        <f t="shared" si="17"/>
        <v>0.9</v>
      </c>
      <c r="V57" s="225">
        <f t="shared" si="18"/>
        <v>464166.6734183298</v>
      </c>
      <c r="W57" s="225">
        <f t="shared" si="19"/>
        <v>3622470.1351325377</v>
      </c>
      <c r="X57" s="225">
        <f t="shared" si="20"/>
        <v>254140.26766671854</v>
      </c>
      <c r="Y57" s="225">
        <f t="shared" si="21"/>
        <v>3595912.4851542632</v>
      </c>
      <c r="Z57" s="227">
        <f t="shared" si="22"/>
        <v>209.74544664181192</v>
      </c>
      <c r="AA57" s="227">
        <f t="shared" si="23"/>
        <v>298.31756033373449</v>
      </c>
      <c r="AB57" s="227">
        <f t="shared" si="24"/>
        <v>111.3673390301133</v>
      </c>
      <c r="AC57" s="227">
        <f t="shared" si="25"/>
        <v>195.28144266070726</v>
      </c>
      <c r="AD57" s="228">
        <f t="shared" si="26"/>
        <v>6.477618191270329E-2</v>
      </c>
      <c r="AE57" s="228">
        <f t="shared" si="27"/>
        <v>0.12396997076731497</v>
      </c>
      <c r="AF57" s="228">
        <f t="shared" si="28"/>
        <v>-9.9999999999999978E-2</v>
      </c>
      <c r="AG57" s="228">
        <f t="shared" si="29"/>
        <v>-9.9999999999999978E-2</v>
      </c>
    </row>
    <row r="58" spans="1:33">
      <c r="A58" s="231">
        <v>256</v>
      </c>
      <c r="B58" s="222">
        <f>VLOOKUP($A58,'Allocate OPROC cost'!$A:$AO,30,FALSE)</f>
        <v>36</v>
      </c>
      <c r="C58" s="222">
        <f>VLOOKUP($A58,'Allocate OPROC cost'!$A:$AO,31,FALSE)</f>
        <v>1184</v>
      </c>
      <c r="D58" s="222">
        <f>VLOOKUP($A58,'Allocate OPROC cost'!$A:$AO,32,FALSE)</f>
        <v>161</v>
      </c>
      <c r="E58" s="222">
        <f>VLOOKUP($A58,'Allocate OPROC cost'!$A:$AO,33,FALSE)</f>
        <v>4956</v>
      </c>
      <c r="F58" s="222">
        <f>VLOOKUP($A58,'Allocate OPROC cost'!$A:$AO,34,FALSE)</f>
        <v>2931.8344446053002</v>
      </c>
      <c r="G58" s="222">
        <f>VLOOKUP($A58,'Allocate OPROC cost'!$A:$AO,35,FALSE)</f>
        <v>341833.98184576601</v>
      </c>
      <c r="H58" s="222">
        <f>VLOOKUP($A58,'Allocate OPROC cost'!$A:$AO,36,FALSE)</f>
        <v>25976.126040637999</v>
      </c>
      <c r="I58" s="222">
        <f>VLOOKUP($A58,'Allocate OPROC cost'!$A:$AO,37,FALSE)</f>
        <v>1294999.3458616764</v>
      </c>
      <c r="J58" s="223">
        <f t="shared" si="10"/>
        <v>81.439845683480556</v>
      </c>
      <c r="K58" s="223">
        <f t="shared" si="10"/>
        <v>288.71113331568074</v>
      </c>
      <c r="L58" s="223">
        <f t="shared" si="10"/>
        <v>161.34239776793788</v>
      </c>
      <c r="M58" s="223">
        <f t="shared" si="10"/>
        <v>261.29930303907918</v>
      </c>
      <c r="N58" s="224">
        <f t="shared" si="11"/>
        <v>1.8860024851824486</v>
      </c>
      <c r="O58" s="224">
        <f t="shared" si="12"/>
        <v>1.3788386803644275</v>
      </c>
      <c r="P58" s="224">
        <f t="shared" si="30"/>
        <v>0.9</v>
      </c>
      <c r="Q58" s="224">
        <f t="shared" si="30"/>
        <v>0.9</v>
      </c>
      <c r="R58" s="224">
        <f t="shared" si="14"/>
        <v>1.5</v>
      </c>
      <c r="S58" s="224">
        <f t="shared" si="15"/>
        <v>1.3788386803644275</v>
      </c>
      <c r="T58" s="224">
        <f t="shared" si="16"/>
        <v>0.9</v>
      </c>
      <c r="U58" s="224">
        <f t="shared" si="17"/>
        <v>0.9</v>
      </c>
      <c r="V58" s="225">
        <f t="shared" si="18"/>
        <v>4397.7516669079505</v>
      </c>
      <c r="W58" s="225">
        <f t="shared" si="19"/>
        <v>471333.91643193364</v>
      </c>
      <c r="X58" s="225">
        <f t="shared" si="20"/>
        <v>23378.513436574198</v>
      </c>
      <c r="Y58" s="225">
        <f t="shared" si="21"/>
        <v>1165499.4112755088</v>
      </c>
      <c r="Z58" s="227">
        <f t="shared" si="22"/>
        <v>122.15976852522084</v>
      </c>
      <c r="AA58" s="227">
        <f t="shared" si="23"/>
        <v>398.08607806751149</v>
      </c>
      <c r="AB58" s="227">
        <f t="shared" si="24"/>
        <v>145.20815799114408</v>
      </c>
      <c r="AC58" s="227">
        <f t="shared" si="25"/>
        <v>235.16937273517127</v>
      </c>
      <c r="AD58" s="228">
        <f t="shared" si="26"/>
        <v>0.5</v>
      </c>
      <c r="AE58" s="228">
        <f t="shared" si="27"/>
        <v>0.37883868036442747</v>
      </c>
      <c r="AF58" s="228">
        <f t="shared" si="28"/>
        <v>-0.10000000000000009</v>
      </c>
      <c r="AG58" s="228">
        <f t="shared" si="29"/>
        <v>-9.9999999999999978E-2</v>
      </c>
    </row>
    <row r="59" spans="1:33">
      <c r="A59" s="231">
        <v>257</v>
      </c>
      <c r="B59" s="222">
        <f>VLOOKUP($A59,'Allocate OPROC cost'!$A:$AO,30,FALSE)</f>
        <v>574</v>
      </c>
      <c r="C59" s="222">
        <f>VLOOKUP($A59,'Allocate OPROC cost'!$A:$AO,31,FALSE)</f>
        <v>24472</v>
      </c>
      <c r="D59" s="222">
        <f>VLOOKUP($A59,'Allocate OPROC cost'!$A:$AO,32,FALSE)</f>
        <v>758</v>
      </c>
      <c r="E59" s="222">
        <f>VLOOKUP($A59,'Allocate OPROC cost'!$A:$AO,33,FALSE)</f>
        <v>42237</v>
      </c>
      <c r="F59" s="222">
        <f>VLOOKUP($A59,'Allocate OPROC cost'!$A:$AO,34,FALSE)</f>
        <v>82260.427028571357</v>
      </c>
      <c r="G59" s="222">
        <f>VLOOKUP($A59,'Allocate OPROC cost'!$A:$AO,35,FALSE)</f>
        <v>3607107.0227695378</v>
      </c>
      <c r="H59" s="222">
        <f>VLOOKUP($A59,'Allocate OPROC cost'!$A:$AO,36,FALSE)</f>
        <v>103223.56620767855</v>
      </c>
      <c r="I59" s="222">
        <f>VLOOKUP($A59,'Allocate OPROC cost'!$A:$AO,37,FALSE)</f>
        <v>5080470.7547680205</v>
      </c>
      <c r="J59" s="223">
        <f t="shared" si="10"/>
        <v>143.31084848183164</v>
      </c>
      <c r="K59" s="223">
        <f t="shared" si="10"/>
        <v>147.39731214324689</v>
      </c>
      <c r="L59" s="223">
        <f t="shared" si="10"/>
        <v>136.17884723968146</v>
      </c>
      <c r="M59" s="223">
        <f t="shared" si="10"/>
        <v>120.28483923498403</v>
      </c>
      <c r="N59" s="224">
        <f t="shared" si="11"/>
        <v>1.1254838686551263</v>
      </c>
      <c r="O59" s="224">
        <f t="shared" si="12"/>
        <v>1.1408461330007125</v>
      </c>
      <c r="P59" s="224">
        <f t="shared" si="30"/>
        <v>0.9</v>
      </c>
      <c r="Q59" s="224">
        <f t="shared" si="30"/>
        <v>0.9</v>
      </c>
      <c r="R59" s="224">
        <f t="shared" si="14"/>
        <v>1.1254838686551263</v>
      </c>
      <c r="S59" s="224">
        <f t="shared" si="15"/>
        <v>1.1408461330007125</v>
      </c>
      <c r="T59" s="224">
        <f t="shared" si="16"/>
        <v>0.9</v>
      </c>
      <c r="U59" s="224">
        <f t="shared" si="17"/>
        <v>0.9</v>
      </c>
      <c r="V59" s="225">
        <f t="shared" si="18"/>
        <v>92582.78364933921</v>
      </c>
      <c r="W59" s="225">
        <f t="shared" si="19"/>
        <v>4115154.0982463402</v>
      </c>
      <c r="X59" s="225">
        <f t="shared" si="20"/>
        <v>92901.2095869107</v>
      </c>
      <c r="Y59" s="225">
        <f t="shared" si="21"/>
        <v>4572423.6792912185</v>
      </c>
      <c r="Z59" s="227">
        <f t="shared" si="22"/>
        <v>161.29404816958049</v>
      </c>
      <c r="AA59" s="227">
        <f t="shared" si="23"/>
        <v>168.15765357332216</v>
      </c>
      <c r="AB59" s="227">
        <f t="shared" si="24"/>
        <v>122.56096251571333</v>
      </c>
      <c r="AC59" s="227">
        <f t="shared" si="25"/>
        <v>108.25635531148563</v>
      </c>
      <c r="AD59" s="228">
        <f t="shared" si="26"/>
        <v>0.12548386865512628</v>
      </c>
      <c r="AE59" s="228">
        <f t="shared" si="27"/>
        <v>0.14084613300071247</v>
      </c>
      <c r="AF59" s="228">
        <f t="shared" si="28"/>
        <v>-9.9999999999999867E-2</v>
      </c>
      <c r="AG59" s="228">
        <f t="shared" si="29"/>
        <v>-9.9999999999999978E-2</v>
      </c>
    </row>
    <row r="60" spans="1:33">
      <c r="A60" s="231">
        <v>258</v>
      </c>
      <c r="B60" s="222">
        <f>VLOOKUP($A60,'Allocate OPROC cost'!$A:$AO,30,FALSE)</f>
        <v>697</v>
      </c>
      <c r="C60" s="222">
        <f>VLOOKUP($A60,'Allocate OPROC cost'!$A:$AO,31,FALSE)</f>
        <v>11935</v>
      </c>
      <c r="D60" s="222">
        <f>VLOOKUP($A60,'Allocate OPROC cost'!$A:$AO,32,FALSE)</f>
        <v>2357</v>
      </c>
      <c r="E60" s="222">
        <f>VLOOKUP($A60,'Allocate OPROC cost'!$A:$AO,33,FALSE)</f>
        <v>37066</v>
      </c>
      <c r="F60" s="222">
        <f>VLOOKUP($A60,'Allocate OPROC cost'!$A:$AO,34,FALSE)</f>
        <v>182725.2254028279</v>
      </c>
      <c r="G60" s="222">
        <f>VLOOKUP($A60,'Allocate OPROC cost'!$A:$AO,35,FALSE)</f>
        <v>3142408.0281424834</v>
      </c>
      <c r="H60" s="222">
        <f>VLOOKUP($A60,'Allocate OPROC cost'!$A:$AO,36,FALSE)</f>
        <v>428543.40603648458</v>
      </c>
      <c r="I60" s="222">
        <f>VLOOKUP($A60,'Allocate OPROC cost'!$A:$AO,37,FALSE)</f>
        <v>7083026.3585520396</v>
      </c>
      <c r="J60" s="223">
        <f t="shared" si="10"/>
        <v>262.15957733547759</v>
      </c>
      <c r="K60" s="223">
        <f t="shared" si="10"/>
        <v>263.29350885148585</v>
      </c>
      <c r="L60" s="223">
        <f t="shared" si="10"/>
        <v>181.81731270109657</v>
      </c>
      <c r="M60" s="223">
        <f t="shared" si="10"/>
        <v>191.09227751988453</v>
      </c>
      <c r="N60" s="224">
        <f t="shared" si="11"/>
        <v>1.2345288698326884</v>
      </c>
      <c r="O60" s="224">
        <f t="shared" si="12"/>
        <v>1.2254012303659656</v>
      </c>
      <c r="P60" s="224">
        <f t="shared" si="30"/>
        <v>0.9</v>
      </c>
      <c r="Q60" s="224">
        <f t="shared" si="30"/>
        <v>0.9</v>
      </c>
      <c r="R60" s="224">
        <f t="shared" si="14"/>
        <v>1.2345288698326884</v>
      </c>
      <c r="S60" s="224">
        <f t="shared" si="15"/>
        <v>1.2254012303659656</v>
      </c>
      <c r="T60" s="224">
        <f t="shared" si="16"/>
        <v>0.9</v>
      </c>
      <c r="U60" s="224">
        <f t="shared" si="17"/>
        <v>0.9</v>
      </c>
      <c r="V60" s="225">
        <f t="shared" si="18"/>
        <v>225579.56600647638</v>
      </c>
      <c r="W60" s="225">
        <f t="shared" si="19"/>
        <v>3850710.6639976869</v>
      </c>
      <c r="X60" s="225">
        <f t="shared" si="20"/>
        <v>385689.06543283613</v>
      </c>
      <c r="Y60" s="225">
        <f t="shared" si="21"/>
        <v>6374723.7226968361</v>
      </c>
      <c r="Z60" s="227">
        <f t="shared" si="22"/>
        <v>323.64356672378244</v>
      </c>
      <c r="AA60" s="227">
        <f t="shared" si="23"/>
        <v>322.64018969398296</v>
      </c>
      <c r="AB60" s="227">
        <f t="shared" si="24"/>
        <v>163.63558143098689</v>
      </c>
      <c r="AC60" s="227">
        <f t="shared" si="25"/>
        <v>171.98304976789609</v>
      </c>
      <c r="AD60" s="228">
        <f t="shared" si="26"/>
        <v>0.23452886983268839</v>
      </c>
      <c r="AE60" s="228">
        <f t="shared" si="27"/>
        <v>0.22540123036596538</v>
      </c>
      <c r="AF60" s="228">
        <f t="shared" si="28"/>
        <v>-0.10000000000000009</v>
      </c>
      <c r="AG60" s="228">
        <f t="shared" si="29"/>
        <v>-9.9999999999999978E-2</v>
      </c>
    </row>
    <row r="61" spans="1:33">
      <c r="A61" s="231">
        <v>259</v>
      </c>
      <c r="B61" s="222">
        <f>VLOOKUP($A61,'Allocate OPROC cost'!$A:$AO,30,FALSE)</f>
        <v>432</v>
      </c>
      <c r="C61" s="222">
        <f>VLOOKUP($A61,'Allocate OPROC cost'!$A:$AO,31,FALSE)</f>
        <v>5185</v>
      </c>
      <c r="D61" s="222">
        <f>VLOOKUP($A61,'Allocate OPROC cost'!$A:$AO,32,FALSE)</f>
        <v>4080</v>
      </c>
      <c r="E61" s="222">
        <f>VLOOKUP($A61,'Allocate OPROC cost'!$A:$AO,33,FALSE)</f>
        <v>32282</v>
      </c>
      <c r="F61" s="222">
        <f>VLOOKUP($A61,'Allocate OPROC cost'!$A:$AO,34,FALSE)</f>
        <v>37811.401759871602</v>
      </c>
      <c r="G61" s="222">
        <f>VLOOKUP($A61,'Allocate OPROC cost'!$A:$AO,35,FALSE)</f>
        <v>1364346.3586241659</v>
      </c>
      <c r="H61" s="222">
        <f>VLOOKUP($A61,'Allocate OPROC cost'!$A:$AO,36,FALSE)</f>
        <v>685421.67990985536</v>
      </c>
      <c r="I61" s="222">
        <f>VLOOKUP($A61,'Allocate OPROC cost'!$A:$AO,37,FALSE)</f>
        <v>7126902.6088928338</v>
      </c>
      <c r="J61" s="223">
        <f t="shared" si="10"/>
        <v>87.526392962665739</v>
      </c>
      <c r="K61" s="223">
        <f t="shared" si="10"/>
        <v>263.13333821102526</v>
      </c>
      <c r="L61" s="223">
        <f t="shared" si="10"/>
        <v>167.99550978182728</v>
      </c>
      <c r="M61" s="223">
        <f t="shared" si="10"/>
        <v>220.77016940997564</v>
      </c>
      <c r="N61" s="224">
        <f t="shared" si="11"/>
        <v>2.8127380843025982</v>
      </c>
      <c r="O61" s="224">
        <f t="shared" si="12"/>
        <v>1.5223675472025846</v>
      </c>
      <c r="P61" s="224">
        <f t="shared" si="30"/>
        <v>0.9</v>
      </c>
      <c r="Q61" s="224">
        <f t="shared" si="30"/>
        <v>0.9</v>
      </c>
      <c r="R61" s="224">
        <f t="shared" si="14"/>
        <v>1.5</v>
      </c>
      <c r="S61" s="224">
        <f t="shared" si="15"/>
        <v>1.5</v>
      </c>
      <c r="T61" s="224">
        <f t="shared" si="16"/>
        <v>0.9</v>
      </c>
      <c r="U61" s="224">
        <f t="shared" si="17"/>
        <v>0.9</v>
      </c>
      <c r="V61" s="225">
        <f t="shared" si="18"/>
        <v>56717.102639807403</v>
      </c>
      <c r="W61" s="225">
        <f t="shared" si="19"/>
        <v>2046519.5379362488</v>
      </c>
      <c r="X61" s="225">
        <f t="shared" si="20"/>
        <v>616879.5119188698</v>
      </c>
      <c r="Y61" s="225">
        <f t="shared" si="21"/>
        <v>6414212.3480035504</v>
      </c>
      <c r="Z61" s="227">
        <f t="shared" si="22"/>
        <v>131.28958944399861</v>
      </c>
      <c r="AA61" s="227">
        <f t="shared" si="23"/>
        <v>394.70000731653784</v>
      </c>
      <c r="AB61" s="227">
        <f t="shared" si="24"/>
        <v>151.19595880364457</v>
      </c>
      <c r="AC61" s="227">
        <f t="shared" si="25"/>
        <v>198.69315246897807</v>
      </c>
      <c r="AD61" s="228">
        <f t="shared" si="26"/>
        <v>0.5</v>
      </c>
      <c r="AE61" s="228">
        <f t="shared" si="27"/>
        <v>0.49999999999999978</v>
      </c>
      <c r="AF61" s="228">
        <f t="shared" si="28"/>
        <v>-9.9999999999999867E-2</v>
      </c>
      <c r="AG61" s="228">
        <f t="shared" si="29"/>
        <v>-9.9999999999999978E-2</v>
      </c>
    </row>
    <row r="62" spans="1:33">
      <c r="A62" s="231">
        <v>260</v>
      </c>
      <c r="B62" s="222">
        <f>VLOOKUP($A62,'Allocate OPROC cost'!$A:$AO,30,FALSE)</f>
        <v>179</v>
      </c>
      <c r="C62" s="222">
        <f>VLOOKUP($A62,'Allocate OPROC cost'!$A:$AO,31,FALSE)</f>
        <v>2520</v>
      </c>
      <c r="D62" s="222">
        <f>VLOOKUP($A62,'Allocate OPROC cost'!$A:$AO,32,FALSE)</f>
        <v>1988</v>
      </c>
      <c r="E62" s="222">
        <f>VLOOKUP($A62,'Allocate OPROC cost'!$A:$AO,33,FALSE)</f>
        <v>35710</v>
      </c>
      <c r="F62" s="222">
        <f>VLOOKUP($A62,'Allocate OPROC cost'!$A:$AO,34,FALSE)</f>
        <v>54881.383956497019</v>
      </c>
      <c r="G62" s="222">
        <f>VLOOKUP($A62,'Allocate OPROC cost'!$A:$AO,35,FALSE)</f>
        <v>881962.8756906481</v>
      </c>
      <c r="H62" s="222">
        <f>VLOOKUP($A62,'Allocate OPROC cost'!$A:$AO,36,FALSE)</f>
        <v>502150.1837880098</v>
      </c>
      <c r="I62" s="222">
        <f>VLOOKUP($A62,'Allocate OPROC cost'!$A:$AO,37,FALSE)</f>
        <v>8764423.7276831102</v>
      </c>
      <c r="J62" s="223">
        <f t="shared" si="10"/>
        <v>306.59991037149172</v>
      </c>
      <c r="K62" s="223">
        <f t="shared" si="10"/>
        <v>349.98526813120958</v>
      </c>
      <c r="L62" s="223">
        <f t="shared" si="10"/>
        <v>252.59063570825444</v>
      </c>
      <c r="M62" s="223">
        <f t="shared" si="10"/>
        <v>245.43331637309186</v>
      </c>
      <c r="N62" s="224">
        <f t="shared" si="11"/>
        <v>1.9149736168935729</v>
      </c>
      <c r="O62" s="224">
        <f t="shared" si="12"/>
        <v>1.9937406629298153</v>
      </c>
      <c r="P62" s="224">
        <f t="shared" si="30"/>
        <v>0.9</v>
      </c>
      <c r="Q62" s="224">
        <f t="shared" si="30"/>
        <v>0.9</v>
      </c>
      <c r="R62" s="224">
        <f t="shared" si="14"/>
        <v>1.5</v>
      </c>
      <c r="S62" s="224">
        <f t="shared" si="15"/>
        <v>1.5</v>
      </c>
      <c r="T62" s="224">
        <f t="shared" si="16"/>
        <v>0.9</v>
      </c>
      <c r="U62" s="224">
        <f t="shared" si="17"/>
        <v>0.9</v>
      </c>
      <c r="V62" s="225">
        <f t="shared" si="18"/>
        <v>82322.075934745531</v>
      </c>
      <c r="W62" s="225">
        <f t="shared" si="19"/>
        <v>1322944.313535972</v>
      </c>
      <c r="X62" s="225">
        <f t="shared" si="20"/>
        <v>451935.16540920886</v>
      </c>
      <c r="Y62" s="225">
        <f t="shared" si="21"/>
        <v>7887981.3549147993</v>
      </c>
      <c r="Z62" s="227">
        <f t="shared" si="22"/>
        <v>459.8998655572376</v>
      </c>
      <c r="AA62" s="227">
        <f t="shared" si="23"/>
        <v>524.97790219681428</v>
      </c>
      <c r="AB62" s="227">
        <f t="shared" si="24"/>
        <v>227.33157213742899</v>
      </c>
      <c r="AC62" s="227">
        <f t="shared" si="25"/>
        <v>220.88998473578266</v>
      </c>
      <c r="AD62" s="228">
        <f t="shared" si="26"/>
        <v>0.5</v>
      </c>
      <c r="AE62" s="228">
        <f t="shared" si="27"/>
        <v>0.49999999999999978</v>
      </c>
      <c r="AF62" s="228">
        <f t="shared" si="28"/>
        <v>-9.9999999999999978E-2</v>
      </c>
      <c r="AG62" s="228">
        <f t="shared" si="29"/>
        <v>-0.10000000000000009</v>
      </c>
    </row>
    <row r="63" spans="1:33">
      <c r="A63" s="231">
        <v>261</v>
      </c>
      <c r="B63" s="222">
        <f>VLOOKUP($A63,'Allocate OPROC cost'!$A:$AO,30,FALSE)</f>
        <v>85</v>
      </c>
      <c r="C63" s="222">
        <f>VLOOKUP($A63,'Allocate OPROC cost'!$A:$AO,31,FALSE)</f>
        <v>1220</v>
      </c>
      <c r="D63" s="222">
        <f>VLOOKUP($A63,'Allocate OPROC cost'!$A:$AO,32,FALSE)</f>
        <v>726</v>
      </c>
      <c r="E63" s="222">
        <f>VLOOKUP($A63,'Allocate OPROC cost'!$A:$AO,33,FALSE)</f>
        <v>8106</v>
      </c>
      <c r="F63" s="222">
        <f>VLOOKUP($A63,'Allocate OPROC cost'!$A:$AO,34,FALSE)</f>
        <v>42947.539521846098</v>
      </c>
      <c r="G63" s="222">
        <f>VLOOKUP($A63,'Allocate OPROC cost'!$A:$AO,35,FALSE)</f>
        <v>633543.54961469804</v>
      </c>
      <c r="H63" s="222">
        <f>VLOOKUP($A63,'Allocate OPROC cost'!$A:$AO,36,FALSE)</f>
        <v>442831.604672666</v>
      </c>
      <c r="I63" s="222">
        <f>VLOOKUP($A63,'Allocate OPROC cost'!$A:$AO,37,FALSE)</f>
        <v>3715226.1527241198</v>
      </c>
      <c r="J63" s="223">
        <f t="shared" ref="J63" si="31">IF(B63=0,0,F63/B63)</f>
        <v>505.26517084524824</v>
      </c>
      <c r="K63" s="223">
        <f t="shared" ref="K63" si="32">IF(C63=0,0,G63/C63)</f>
        <v>519.29799148745747</v>
      </c>
      <c r="L63" s="223">
        <f t="shared" ref="L63" si="33">IF(D63=0,0,H63/D63)</f>
        <v>609.96088797887876</v>
      </c>
      <c r="M63" s="223">
        <f t="shared" ref="M63" si="34">IF(E63=0,0,I63/E63)</f>
        <v>458.33039140440661</v>
      </c>
      <c r="N63" s="224">
        <f t="shared" ref="N63" si="35">IF(F63=0,1,1+(H63*$O$4)/F63)</f>
        <v>2.0310988932146188</v>
      </c>
      <c r="O63" s="224">
        <f t="shared" ref="O63" si="36">IF(G63=0,1,1+(I63*$O$4)/G63)</f>
        <v>1.5864200109027404</v>
      </c>
      <c r="P63" s="224">
        <f t="shared" si="30"/>
        <v>0.9</v>
      </c>
      <c r="Q63" s="224">
        <f t="shared" si="30"/>
        <v>0.9</v>
      </c>
      <c r="R63" s="224">
        <f t="shared" ref="R63" si="37">IF($S$4="No limit",N63,IF(N63&gt;$S$4,$S$4,N63))</f>
        <v>1.5</v>
      </c>
      <c r="S63" s="224">
        <f t="shared" ref="S63" si="38">IF($S$4="No limit",O63,IF(O63&gt;$S$4,$S$4,O63))</f>
        <v>1.5</v>
      </c>
      <c r="T63" s="224">
        <f t="shared" si="16"/>
        <v>0.9</v>
      </c>
      <c r="U63" s="224">
        <f t="shared" si="17"/>
        <v>0.9</v>
      </c>
      <c r="V63" s="225">
        <f t="shared" ref="V63" si="39">R63*F63</f>
        <v>64421.309282769143</v>
      </c>
      <c r="W63" s="225">
        <f t="shared" ref="W63" si="40">S63*G63</f>
        <v>950315.32442204701</v>
      </c>
      <c r="X63" s="225">
        <f t="shared" ref="X63" si="41">T63*H63</f>
        <v>398548.44420539943</v>
      </c>
      <c r="Y63" s="225">
        <f t="shared" ref="Y63" si="42">U63*I63</f>
        <v>3343703.5374517078</v>
      </c>
      <c r="Z63" s="227">
        <f t="shared" ref="Z63" si="43">IF(B63=0,0,V63/B63)</f>
        <v>757.8977562678723</v>
      </c>
      <c r="AA63" s="227">
        <f t="shared" ref="AA63" si="44">IF(C63=0,0,W63/C63)</f>
        <v>778.94698723118609</v>
      </c>
      <c r="AB63" s="227">
        <f t="shared" ref="AB63" si="45">IF(D63=0,0,X63/D63)</f>
        <v>548.96479918099089</v>
      </c>
      <c r="AC63" s="227">
        <f t="shared" ref="AC63" si="46">IF(E63=0,0,Y63/E63)</f>
        <v>412.49735226396592</v>
      </c>
      <c r="AD63" s="228">
        <f t="shared" ref="AD63" si="47">IF(J63=0,0,Z63/J63-1)</f>
        <v>0.49999999999999978</v>
      </c>
      <c r="AE63" s="228">
        <f t="shared" ref="AE63" si="48">IF(K63=0,0,AA63/K63-1)</f>
        <v>0.49999999999999978</v>
      </c>
      <c r="AF63" s="228">
        <f t="shared" ref="AF63" si="49">IF(L63=0,0,AB63/L63-1)</f>
        <v>-9.9999999999999978E-2</v>
      </c>
      <c r="AG63" s="228">
        <f t="shared" ref="AG63" si="50">IF(M63=0,0,AC63/M63-1)</f>
        <v>-0.10000000000000009</v>
      </c>
    </row>
    <row r="64" spans="1:33">
      <c r="A64" s="231">
        <v>262</v>
      </c>
      <c r="B64" s="222">
        <f>VLOOKUP($A64,'Allocate OPROC cost'!$A:$AO,30,FALSE)</f>
        <v>518</v>
      </c>
      <c r="C64" s="222">
        <f>VLOOKUP($A64,'Allocate OPROC cost'!$A:$AO,31,FALSE)</f>
        <v>5672</v>
      </c>
      <c r="D64" s="222">
        <f>VLOOKUP($A64,'Allocate OPROC cost'!$A:$AO,32,FALSE)</f>
        <v>2086</v>
      </c>
      <c r="E64" s="222">
        <f>VLOOKUP($A64,'Allocate OPROC cost'!$A:$AO,33,FALSE)</f>
        <v>18307</v>
      </c>
      <c r="F64" s="222">
        <f>VLOOKUP($A64,'Allocate OPROC cost'!$A:$AO,34,FALSE)</f>
        <v>123230.44137415853</v>
      </c>
      <c r="G64" s="222">
        <f>VLOOKUP($A64,'Allocate OPROC cost'!$A:$AO,35,FALSE)</f>
        <v>1798311.9313447494</v>
      </c>
      <c r="H64" s="222">
        <f>VLOOKUP($A64,'Allocate OPROC cost'!$A:$AO,36,FALSE)</f>
        <v>515405.50785496464</v>
      </c>
      <c r="I64" s="222">
        <f>VLOOKUP($A64,'Allocate OPROC cost'!$A:$AO,37,FALSE)</f>
        <v>3628466.7569990768</v>
      </c>
      <c r="J64" s="223">
        <f t="shared" si="10"/>
        <v>237.89660496941801</v>
      </c>
      <c r="K64" s="223">
        <f t="shared" si="10"/>
        <v>317.05076363623931</v>
      </c>
      <c r="L64" s="223">
        <f t="shared" si="10"/>
        <v>247.07838343958036</v>
      </c>
      <c r="M64" s="223">
        <f t="shared" si="10"/>
        <v>198.20105735505965</v>
      </c>
      <c r="N64" s="224">
        <f t="shared" si="11"/>
        <v>1.4182452826652339</v>
      </c>
      <c r="O64" s="224">
        <f t="shared" si="12"/>
        <v>1.2017707102841588</v>
      </c>
      <c r="P64" s="224">
        <f t="shared" si="30"/>
        <v>0.9</v>
      </c>
      <c r="Q64" s="224">
        <f t="shared" si="30"/>
        <v>0.9</v>
      </c>
      <c r="R64" s="224">
        <f t="shared" si="14"/>
        <v>1.4182452826652339</v>
      </c>
      <c r="S64" s="224">
        <f t="shared" si="15"/>
        <v>1.2017707102841588</v>
      </c>
      <c r="T64" s="224">
        <f t="shared" si="16"/>
        <v>0.9</v>
      </c>
      <c r="U64" s="224">
        <f t="shared" si="17"/>
        <v>0.9</v>
      </c>
      <c r="V64" s="225">
        <f t="shared" si="18"/>
        <v>174770.992159655</v>
      </c>
      <c r="W64" s="225">
        <f t="shared" si="19"/>
        <v>2161158.6070446568</v>
      </c>
      <c r="X64" s="225">
        <f t="shared" si="20"/>
        <v>463864.95706946816</v>
      </c>
      <c r="Y64" s="225">
        <f t="shared" si="21"/>
        <v>3265620.081299169</v>
      </c>
      <c r="Z64" s="227">
        <f t="shared" si="22"/>
        <v>337.39573775995171</v>
      </c>
      <c r="AA64" s="227">
        <f t="shared" si="23"/>
        <v>381.02232141125825</v>
      </c>
      <c r="AB64" s="227">
        <f t="shared" si="24"/>
        <v>222.37054509562233</v>
      </c>
      <c r="AC64" s="227">
        <f t="shared" si="25"/>
        <v>178.38095161955366</v>
      </c>
      <c r="AD64" s="228">
        <f t="shared" si="26"/>
        <v>0.41824528266523386</v>
      </c>
      <c r="AE64" s="228">
        <f t="shared" si="27"/>
        <v>0.20177071028415883</v>
      </c>
      <c r="AF64" s="228">
        <f t="shared" si="28"/>
        <v>-9.9999999999999978E-2</v>
      </c>
      <c r="AG64" s="228">
        <f t="shared" si="29"/>
        <v>-0.10000000000000009</v>
      </c>
    </row>
    <row r="65" spans="1:33">
      <c r="A65" s="231">
        <v>263</v>
      </c>
      <c r="B65" s="222">
        <f>VLOOKUP($A65,'Allocate OPROC cost'!$A:$AO,30,FALSE)</f>
        <v>334</v>
      </c>
      <c r="C65" s="222">
        <f>VLOOKUP($A65,'Allocate OPROC cost'!$A:$AO,31,FALSE)</f>
        <v>2216</v>
      </c>
      <c r="D65" s="222">
        <f>VLOOKUP($A65,'Allocate OPROC cost'!$A:$AO,32,FALSE)</f>
        <v>9782</v>
      </c>
      <c r="E65" s="222">
        <f>VLOOKUP($A65,'Allocate OPROC cost'!$A:$AO,33,FALSE)</f>
        <v>42150</v>
      </c>
      <c r="F65" s="222">
        <f>VLOOKUP($A65,'Allocate OPROC cost'!$A:$AO,34,FALSE)</f>
        <v>44089.288141893288</v>
      </c>
      <c r="G65" s="222">
        <f>VLOOKUP($A65,'Allocate OPROC cost'!$A:$AO,35,FALSE)</f>
        <v>292359.85516619979</v>
      </c>
      <c r="H65" s="222">
        <f>VLOOKUP($A65,'Allocate OPROC cost'!$A:$AO,36,FALSE)</f>
        <v>1192082.5607018024</v>
      </c>
      <c r="I65" s="222">
        <f>VLOOKUP($A65,'Allocate OPROC cost'!$A:$AO,37,FALSE)</f>
        <v>4451949.2638187585</v>
      </c>
      <c r="J65" s="223">
        <f t="shared" si="10"/>
        <v>132.00385671225536</v>
      </c>
      <c r="K65" s="223">
        <f t="shared" si="10"/>
        <v>131.93134258402517</v>
      </c>
      <c r="L65" s="223">
        <f t="shared" si="10"/>
        <v>121.86491113287695</v>
      </c>
      <c r="M65" s="223">
        <f t="shared" si="10"/>
        <v>105.62157209534421</v>
      </c>
      <c r="N65" s="224">
        <f t="shared" si="11"/>
        <v>3.7037918073553451</v>
      </c>
      <c r="O65" s="224">
        <f t="shared" si="12"/>
        <v>2.5227635344421446</v>
      </c>
      <c r="P65" s="224">
        <f t="shared" si="30"/>
        <v>0.9</v>
      </c>
      <c r="Q65" s="224">
        <f t="shared" si="30"/>
        <v>0.9</v>
      </c>
      <c r="R65" s="224">
        <f t="shared" si="14"/>
        <v>1.5</v>
      </c>
      <c r="S65" s="224">
        <f t="shared" si="15"/>
        <v>1.5</v>
      </c>
      <c r="T65" s="224">
        <f t="shared" si="16"/>
        <v>0.9</v>
      </c>
      <c r="U65" s="224">
        <f t="shared" si="17"/>
        <v>0.9</v>
      </c>
      <c r="V65" s="225">
        <f t="shared" si="18"/>
        <v>66133.932212839936</v>
      </c>
      <c r="W65" s="225">
        <f t="shared" si="19"/>
        <v>438539.78274929966</v>
      </c>
      <c r="X65" s="225">
        <f t="shared" si="20"/>
        <v>1072874.3046316223</v>
      </c>
      <c r="Y65" s="225">
        <f t="shared" si="21"/>
        <v>4006754.3374368828</v>
      </c>
      <c r="Z65" s="227">
        <f t="shared" si="22"/>
        <v>198.00578506838303</v>
      </c>
      <c r="AA65" s="227">
        <f t="shared" si="23"/>
        <v>197.89701387603776</v>
      </c>
      <c r="AB65" s="227">
        <f t="shared" si="24"/>
        <v>109.67842001958927</v>
      </c>
      <c r="AC65" s="227">
        <f t="shared" si="25"/>
        <v>95.059414885809787</v>
      </c>
      <c r="AD65" s="228">
        <f t="shared" si="26"/>
        <v>0.5</v>
      </c>
      <c r="AE65" s="228">
        <f t="shared" si="27"/>
        <v>0.5</v>
      </c>
      <c r="AF65" s="228">
        <f t="shared" si="28"/>
        <v>-9.9999999999999978E-2</v>
      </c>
      <c r="AG65" s="228">
        <f t="shared" si="29"/>
        <v>-9.9999999999999978E-2</v>
      </c>
    </row>
    <row r="66" spans="1:33">
      <c r="A66" s="231">
        <v>280</v>
      </c>
      <c r="B66" s="222">
        <f>VLOOKUP($A66,'Allocate OPROC cost'!$A:$AO,30,FALSE)</f>
        <v>0</v>
      </c>
      <c r="C66" s="222">
        <f>VLOOKUP($A66,'Allocate OPROC cost'!$A:$AO,31,FALSE)</f>
        <v>2</v>
      </c>
      <c r="D66" s="222">
        <f>VLOOKUP($A66,'Allocate OPROC cost'!$A:$AO,32,FALSE)</f>
        <v>0</v>
      </c>
      <c r="E66" s="222">
        <f>VLOOKUP($A66,'Allocate OPROC cost'!$A:$AO,33,FALSE)</f>
        <v>0</v>
      </c>
      <c r="F66" s="222">
        <f>VLOOKUP($A66,'Allocate OPROC cost'!$A:$AO,34,FALSE)</f>
        <v>0</v>
      </c>
      <c r="G66" s="222">
        <f>VLOOKUP($A66,'Allocate OPROC cost'!$A:$AO,35,FALSE)</f>
        <v>2223.0940490609</v>
      </c>
      <c r="H66" s="222">
        <f>VLOOKUP($A66,'Allocate OPROC cost'!$A:$AO,36,FALSE)</f>
        <v>0</v>
      </c>
      <c r="I66" s="222">
        <f>VLOOKUP($A66,'Allocate OPROC cost'!$A:$AO,37,FALSE)</f>
        <v>0</v>
      </c>
      <c r="J66" s="223">
        <f t="shared" ref="J66" si="51">IF(B66=0,0,F66/B66)</f>
        <v>0</v>
      </c>
      <c r="K66" s="223">
        <f t="shared" ref="K66" si="52">IF(C66=0,0,G66/C66)</f>
        <v>1111.54702453045</v>
      </c>
      <c r="L66" s="223">
        <f t="shared" ref="L66" si="53">IF(D66=0,0,H66/D66)</f>
        <v>0</v>
      </c>
      <c r="M66" s="223">
        <f t="shared" ref="M66" si="54">IF(E66=0,0,I66/E66)</f>
        <v>0</v>
      </c>
      <c r="N66" s="224">
        <f t="shared" ref="N66" si="55">IF(F66=0,1,1+(H66*$O$4)/F66)</f>
        <v>1</v>
      </c>
      <c r="O66" s="224">
        <f t="shared" ref="O66" si="56">IF(G66=0,1,1+(I66*$O$4)/G66)</f>
        <v>1</v>
      </c>
      <c r="P66" s="224">
        <f t="shared" si="30"/>
        <v>0.9</v>
      </c>
      <c r="Q66" s="224">
        <f t="shared" si="30"/>
        <v>0.9</v>
      </c>
      <c r="R66" s="224">
        <f t="shared" ref="R66" si="57">IF($S$4="No limit",N66,IF(N66&gt;$S$4,$S$4,N66))</f>
        <v>1</v>
      </c>
      <c r="S66" s="224">
        <f t="shared" ref="S66" si="58">IF($S$4="No limit",O66,IF(O66&gt;$S$4,$S$4,O66))</f>
        <v>1</v>
      </c>
      <c r="T66" s="224">
        <f t="shared" si="16"/>
        <v>0.9</v>
      </c>
      <c r="U66" s="224">
        <f t="shared" si="17"/>
        <v>0.9</v>
      </c>
      <c r="V66" s="225">
        <f t="shared" ref="V66" si="59">R66*F66</f>
        <v>0</v>
      </c>
      <c r="W66" s="225">
        <f t="shared" ref="W66" si="60">S66*G66</f>
        <v>2223.0940490609</v>
      </c>
      <c r="X66" s="225">
        <f t="shared" ref="X66" si="61">T66*H66</f>
        <v>0</v>
      </c>
      <c r="Y66" s="225">
        <f t="shared" ref="Y66" si="62">U66*I66</f>
        <v>0</v>
      </c>
      <c r="Z66" s="227">
        <f t="shared" ref="Z66" si="63">IF(B66=0,0,V66/B66)</f>
        <v>0</v>
      </c>
      <c r="AA66" s="227">
        <f t="shared" ref="AA66" si="64">IF(C66=0,0,W66/C66)</f>
        <v>1111.54702453045</v>
      </c>
      <c r="AB66" s="227">
        <f t="shared" ref="AB66" si="65">IF(D66=0,0,X66/D66)</f>
        <v>0</v>
      </c>
      <c r="AC66" s="227">
        <f t="shared" ref="AC66" si="66">IF(E66=0,0,Y66/E66)</f>
        <v>0</v>
      </c>
      <c r="AD66" s="228">
        <f t="shared" ref="AD66" si="67">IF(J66=0,0,Z66/J66-1)</f>
        <v>0</v>
      </c>
      <c r="AE66" s="228">
        <f t="shared" ref="AE66" si="68">IF(K66=0,0,AA66/K66-1)</f>
        <v>0</v>
      </c>
      <c r="AF66" s="228">
        <f t="shared" ref="AF66" si="69">IF(L66=0,0,AB66/L66-1)</f>
        <v>0</v>
      </c>
      <c r="AG66" s="228">
        <f t="shared" ref="AG66" si="70">IF(M66=0,0,AC66/M66-1)</f>
        <v>0</v>
      </c>
    </row>
    <row r="67" spans="1:33">
      <c r="A67" s="231">
        <v>290</v>
      </c>
      <c r="B67" s="222">
        <f>VLOOKUP($A67,'Allocate OPROC cost'!$A:$AO,30,FALSE)</f>
        <v>10123</v>
      </c>
      <c r="C67" s="222">
        <f>VLOOKUP($A67,'Allocate OPROC cost'!$A:$AO,31,FALSE)</f>
        <v>107608</v>
      </c>
      <c r="D67" s="222">
        <f>VLOOKUP($A67,'Allocate OPROC cost'!$A:$AO,32,FALSE)</f>
        <v>16282</v>
      </c>
      <c r="E67" s="222">
        <f>VLOOKUP($A67,'Allocate OPROC cost'!$A:$AO,33,FALSE)</f>
        <v>158987</v>
      </c>
      <c r="F67" s="222">
        <f>VLOOKUP($A67,'Allocate OPROC cost'!$A:$AO,34,FALSE)</f>
        <v>3591620.4418458892</v>
      </c>
      <c r="G67" s="222">
        <f>VLOOKUP($A67,'Allocate OPROC cost'!$A:$AO,35,FALSE)</f>
        <v>34173134.37422394</v>
      </c>
      <c r="H67" s="222">
        <f>VLOOKUP($A67,'Allocate OPROC cost'!$A:$AO,36,FALSE)</f>
        <v>4727339.158882346</v>
      </c>
      <c r="I67" s="222">
        <f>VLOOKUP($A67,'Allocate OPROC cost'!$A:$AO,37,FALSE)</f>
        <v>35833098.409403995</v>
      </c>
      <c r="J67" s="223">
        <f t="shared" si="10"/>
        <v>354.79802843484038</v>
      </c>
      <c r="K67" s="223">
        <f t="shared" si="10"/>
        <v>317.57057443892592</v>
      </c>
      <c r="L67" s="223">
        <f t="shared" si="10"/>
        <v>290.34142973113535</v>
      </c>
      <c r="M67" s="223">
        <f t="shared" si="10"/>
        <v>225.38382640973157</v>
      </c>
      <c r="N67" s="224">
        <f t="shared" si="11"/>
        <v>1.1316213457247382</v>
      </c>
      <c r="O67" s="224">
        <f t="shared" si="12"/>
        <v>1.1048575118015282</v>
      </c>
      <c r="P67" s="224">
        <f t="shared" si="30"/>
        <v>0.9</v>
      </c>
      <c r="Q67" s="224">
        <f t="shared" si="30"/>
        <v>0.9</v>
      </c>
      <c r="R67" s="224">
        <f t="shared" si="14"/>
        <v>1.1316213457247382</v>
      </c>
      <c r="S67" s="224">
        <f t="shared" si="15"/>
        <v>1.1048575118015282</v>
      </c>
      <c r="T67" s="224">
        <f t="shared" si="16"/>
        <v>0.9</v>
      </c>
      <c r="U67" s="224">
        <f t="shared" si="17"/>
        <v>0.9</v>
      </c>
      <c r="V67" s="225">
        <f t="shared" si="18"/>
        <v>4064354.3577341237</v>
      </c>
      <c r="W67" s="225">
        <f t="shared" si="19"/>
        <v>37756444.215164341</v>
      </c>
      <c r="X67" s="225">
        <f t="shared" si="20"/>
        <v>4254605.242994112</v>
      </c>
      <c r="Y67" s="225">
        <f t="shared" si="21"/>
        <v>32249788.568463597</v>
      </c>
      <c r="Z67" s="227">
        <f t="shared" si="22"/>
        <v>401.49702239791799</v>
      </c>
      <c r="AA67" s="227">
        <f t="shared" si="23"/>
        <v>350.87023469597375</v>
      </c>
      <c r="AB67" s="227">
        <f t="shared" si="24"/>
        <v>261.30728675802186</v>
      </c>
      <c r="AC67" s="227">
        <f t="shared" si="25"/>
        <v>202.84544376875843</v>
      </c>
      <c r="AD67" s="228">
        <f t="shared" si="26"/>
        <v>0.13162134572473816</v>
      </c>
      <c r="AE67" s="228">
        <f t="shared" si="27"/>
        <v>0.10485751180152847</v>
      </c>
      <c r="AF67" s="228">
        <f t="shared" si="28"/>
        <v>-9.9999999999999867E-2</v>
      </c>
      <c r="AG67" s="228">
        <f t="shared" si="29"/>
        <v>-9.9999999999999978E-2</v>
      </c>
    </row>
    <row r="68" spans="1:33">
      <c r="A68" s="231">
        <v>291</v>
      </c>
      <c r="B68" s="222">
        <f>VLOOKUP($A68,'Allocate OPROC cost'!$A:$AO,30,FALSE)</f>
        <v>16</v>
      </c>
      <c r="C68" s="222">
        <f>VLOOKUP($A68,'Allocate OPROC cost'!$A:$AO,31,FALSE)</f>
        <v>15216</v>
      </c>
      <c r="D68" s="222">
        <f>VLOOKUP($A68,'Allocate OPROC cost'!$A:$AO,32,FALSE)</f>
        <v>236</v>
      </c>
      <c r="E68" s="222">
        <f>VLOOKUP($A68,'Allocate OPROC cost'!$A:$AO,33,FALSE)</f>
        <v>45462</v>
      </c>
      <c r="F68" s="222">
        <f>VLOOKUP($A68,'Allocate OPROC cost'!$A:$AO,34,FALSE)</f>
        <v>2912.4569015601301</v>
      </c>
      <c r="G68" s="222">
        <f>VLOOKUP($A68,'Allocate OPROC cost'!$A:$AO,35,FALSE)</f>
        <v>6373679.5728326142</v>
      </c>
      <c r="H68" s="222">
        <f>VLOOKUP($A68,'Allocate OPROC cost'!$A:$AO,36,FALSE)</f>
        <v>91138.891931045931</v>
      </c>
      <c r="I68" s="222">
        <f>VLOOKUP($A68,'Allocate OPROC cost'!$A:$AO,37,FALSE)</f>
        <v>12395807.253999066</v>
      </c>
      <c r="J68" s="223">
        <f t="shared" si="10"/>
        <v>182.02855634750813</v>
      </c>
      <c r="K68" s="223">
        <f t="shared" si="10"/>
        <v>418.88009810939894</v>
      </c>
      <c r="L68" s="223">
        <f t="shared" si="10"/>
        <v>386.1817454705336</v>
      </c>
      <c r="M68" s="223">
        <f t="shared" si="10"/>
        <v>272.66304284895222</v>
      </c>
      <c r="N68" s="224">
        <f t="shared" si="11"/>
        <v>4.1292786472556937</v>
      </c>
      <c r="O68" s="224">
        <f t="shared" si="12"/>
        <v>1.1944843180826876</v>
      </c>
      <c r="P68" s="224">
        <f t="shared" si="30"/>
        <v>0.9</v>
      </c>
      <c r="Q68" s="224">
        <f t="shared" si="30"/>
        <v>0.9</v>
      </c>
      <c r="R68" s="224">
        <f t="shared" si="14"/>
        <v>1.5</v>
      </c>
      <c r="S68" s="224">
        <f t="shared" si="15"/>
        <v>1.1944843180826876</v>
      </c>
      <c r="T68" s="224">
        <f t="shared" si="16"/>
        <v>0.9</v>
      </c>
      <c r="U68" s="224">
        <f t="shared" si="17"/>
        <v>0.9</v>
      </c>
      <c r="V68" s="225">
        <f t="shared" si="18"/>
        <v>4368.6853523401951</v>
      </c>
      <c r="W68" s="225">
        <f t="shared" si="19"/>
        <v>7613260.2982325209</v>
      </c>
      <c r="X68" s="225">
        <f t="shared" si="20"/>
        <v>82025.002737941337</v>
      </c>
      <c r="Y68" s="225">
        <f t="shared" si="21"/>
        <v>11156226.52859916</v>
      </c>
      <c r="Z68" s="227">
        <f t="shared" si="22"/>
        <v>273.04283452126219</v>
      </c>
      <c r="AA68" s="227">
        <f t="shared" si="23"/>
        <v>500.34570834861466</v>
      </c>
      <c r="AB68" s="227">
        <f t="shared" si="24"/>
        <v>347.56357092348026</v>
      </c>
      <c r="AC68" s="227">
        <f t="shared" si="25"/>
        <v>245.39673856405702</v>
      </c>
      <c r="AD68" s="228">
        <f t="shared" si="26"/>
        <v>0.5</v>
      </c>
      <c r="AE68" s="228">
        <f t="shared" si="27"/>
        <v>0.19448431808268762</v>
      </c>
      <c r="AF68" s="228">
        <f t="shared" si="28"/>
        <v>-9.9999999999999978E-2</v>
      </c>
      <c r="AG68" s="228">
        <f t="shared" si="29"/>
        <v>-9.9999999999999867E-2</v>
      </c>
    </row>
    <row r="69" spans="1:33">
      <c r="A69" s="231">
        <v>300</v>
      </c>
      <c r="B69" s="222">
        <f>VLOOKUP($A69,'Allocate OPROC cost'!$A:$AO,30,FALSE)</f>
        <v>8611</v>
      </c>
      <c r="C69" s="222">
        <f>VLOOKUP($A69,'Allocate OPROC cost'!$A:$AO,31,FALSE)</f>
        <v>317480</v>
      </c>
      <c r="D69" s="222">
        <f>VLOOKUP($A69,'Allocate OPROC cost'!$A:$AO,32,FALSE)</f>
        <v>10391</v>
      </c>
      <c r="E69" s="222">
        <f>VLOOKUP($A69,'Allocate OPROC cost'!$A:$AO,33,FALSE)</f>
        <v>526950</v>
      </c>
      <c r="F69" s="222">
        <f>VLOOKUP($A69,'Allocate OPROC cost'!$A:$AO,34,FALSE)</f>
        <v>2082796.4292276055</v>
      </c>
      <c r="G69" s="222">
        <f>VLOOKUP($A69,'Allocate OPROC cost'!$A:$AO,35,FALSE)</f>
        <v>57894630.233424969</v>
      </c>
      <c r="H69" s="222">
        <f>VLOOKUP($A69,'Allocate OPROC cost'!$A:$AO,36,FALSE)</f>
        <v>1888180.5348060641</v>
      </c>
      <c r="I69" s="222">
        <f>VLOOKUP($A69,'Allocate OPROC cost'!$A:$AO,37,FALSE)</f>
        <v>69827621.995893776</v>
      </c>
      <c r="J69" s="223">
        <f t="shared" si="10"/>
        <v>241.87625470068579</v>
      </c>
      <c r="K69" s="223">
        <f t="shared" si="10"/>
        <v>182.35677911498351</v>
      </c>
      <c r="L69" s="223">
        <f t="shared" si="10"/>
        <v>181.71307235165665</v>
      </c>
      <c r="M69" s="223">
        <f t="shared" si="10"/>
        <v>132.51280386354262</v>
      </c>
      <c r="N69" s="224">
        <f t="shared" si="11"/>
        <v>1.090656028995896</v>
      </c>
      <c r="O69" s="224">
        <f t="shared" si="12"/>
        <v>1.120611569180693</v>
      </c>
      <c r="P69" s="224">
        <f t="shared" si="30"/>
        <v>0.9</v>
      </c>
      <c r="Q69" s="224">
        <f t="shared" si="30"/>
        <v>0.9</v>
      </c>
      <c r="R69" s="224">
        <f t="shared" si="14"/>
        <v>1.090656028995896</v>
      </c>
      <c r="S69" s="224">
        <f t="shared" si="15"/>
        <v>1.120611569180693</v>
      </c>
      <c r="T69" s="224">
        <f t="shared" si="16"/>
        <v>0.9</v>
      </c>
      <c r="U69" s="224">
        <f t="shared" si="17"/>
        <v>0.9</v>
      </c>
      <c r="V69" s="225">
        <f t="shared" si="18"/>
        <v>2271614.482708212</v>
      </c>
      <c r="W69" s="225">
        <f t="shared" si="19"/>
        <v>64877392.433014348</v>
      </c>
      <c r="X69" s="225">
        <f t="shared" si="20"/>
        <v>1699362.4813254578</v>
      </c>
      <c r="Y69" s="225">
        <f t="shared" si="21"/>
        <v>62844859.796304397</v>
      </c>
      <c r="Z69" s="227">
        <f t="shared" si="22"/>
        <v>263.80379546024989</v>
      </c>
      <c r="AA69" s="227">
        <f t="shared" si="23"/>
        <v>204.35111639477873</v>
      </c>
      <c r="AB69" s="227">
        <f t="shared" si="24"/>
        <v>163.54176511649098</v>
      </c>
      <c r="AC69" s="227">
        <f t="shared" si="25"/>
        <v>119.26152347718835</v>
      </c>
      <c r="AD69" s="228">
        <f t="shared" si="26"/>
        <v>9.0656028995895976E-2</v>
      </c>
      <c r="AE69" s="228">
        <f t="shared" si="27"/>
        <v>0.12061156918069327</v>
      </c>
      <c r="AF69" s="228">
        <f t="shared" si="28"/>
        <v>-9.9999999999999978E-2</v>
      </c>
      <c r="AG69" s="228">
        <f t="shared" si="29"/>
        <v>-0.10000000000000009</v>
      </c>
    </row>
    <row r="70" spans="1:33">
      <c r="A70" s="231">
        <v>301</v>
      </c>
      <c r="B70" s="222">
        <f>VLOOKUP($A70,'Allocate OPROC cost'!$A:$AO,30,FALSE)</f>
        <v>4167</v>
      </c>
      <c r="C70" s="222">
        <f>VLOOKUP($A70,'Allocate OPROC cost'!$A:$AO,31,FALSE)</f>
        <v>407741</v>
      </c>
      <c r="D70" s="222">
        <f>VLOOKUP($A70,'Allocate OPROC cost'!$A:$AO,32,FALSE)</f>
        <v>13158</v>
      </c>
      <c r="E70" s="222">
        <f>VLOOKUP($A70,'Allocate OPROC cost'!$A:$AO,33,FALSE)</f>
        <v>730613</v>
      </c>
      <c r="F70" s="222">
        <f>VLOOKUP($A70,'Allocate OPROC cost'!$A:$AO,34,FALSE)</f>
        <v>708940.53759182012</v>
      </c>
      <c r="G70" s="222">
        <f>VLOOKUP($A70,'Allocate OPROC cost'!$A:$AO,35,FALSE)</f>
        <v>60916775.085690767</v>
      </c>
      <c r="H70" s="222">
        <f>VLOOKUP($A70,'Allocate OPROC cost'!$A:$AO,36,FALSE)</f>
        <v>2087156.7333358498</v>
      </c>
      <c r="I70" s="222">
        <f>VLOOKUP($A70,'Allocate OPROC cost'!$A:$AO,37,FALSE)</f>
        <v>79731853.858063668</v>
      </c>
      <c r="J70" s="223">
        <f t="shared" si="10"/>
        <v>170.13211845256063</v>
      </c>
      <c r="K70" s="223">
        <f t="shared" si="10"/>
        <v>149.40066141420846</v>
      </c>
      <c r="L70" s="223">
        <f t="shared" si="10"/>
        <v>158.62264275238257</v>
      </c>
      <c r="M70" s="223">
        <f t="shared" si="10"/>
        <v>109.13007824671018</v>
      </c>
      <c r="N70" s="224">
        <f t="shared" si="11"/>
        <v>1.2944050484721403</v>
      </c>
      <c r="O70" s="224">
        <f t="shared" si="12"/>
        <v>1.1308865312484222</v>
      </c>
      <c r="P70" s="224">
        <f t="shared" si="30"/>
        <v>0.9</v>
      </c>
      <c r="Q70" s="224">
        <f t="shared" si="30"/>
        <v>0.9</v>
      </c>
      <c r="R70" s="224">
        <f t="shared" si="14"/>
        <v>1.2944050484721403</v>
      </c>
      <c r="S70" s="224">
        <f t="shared" si="15"/>
        <v>1.1308865312484222</v>
      </c>
      <c r="T70" s="224">
        <f t="shared" si="16"/>
        <v>0.9</v>
      </c>
      <c r="U70" s="224">
        <f t="shared" si="17"/>
        <v>0.9</v>
      </c>
      <c r="V70" s="225">
        <f t="shared" si="18"/>
        <v>917656.21092540515</v>
      </c>
      <c r="W70" s="225">
        <f t="shared" si="19"/>
        <v>68889960.471497133</v>
      </c>
      <c r="X70" s="225">
        <f t="shared" si="20"/>
        <v>1878441.0600022648</v>
      </c>
      <c r="Y70" s="225">
        <f t="shared" si="21"/>
        <v>71758668.472257301</v>
      </c>
      <c r="Z70" s="227">
        <f t="shared" si="22"/>
        <v>220.21987303225467</v>
      </c>
      <c r="AA70" s="227">
        <f t="shared" si="23"/>
        <v>168.95519575293417</v>
      </c>
      <c r="AB70" s="227">
        <f t="shared" si="24"/>
        <v>142.76037847714431</v>
      </c>
      <c r="AC70" s="227">
        <f t="shared" si="25"/>
        <v>98.217070422039171</v>
      </c>
      <c r="AD70" s="228">
        <f t="shared" si="26"/>
        <v>0.29440504847214033</v>
      </c>
      <c r="AE70" s="228">
        <f t="shared" si="27"/>
        <v>0.13088653124842198</v>
      </c>
      <c r="AF70" s="228">
        <f t="shared" si="28"/>
        <v>-9.9999999999999978E-2</v>
      </c>
      <c r="AG70" s="228">
        <f t="shared" si="29"/>
        <v>-9.9999999999999978E-2</v>
      </c>
    </row>
    <row r="71" spans="1:33">
      <c r="A71" s="231">
        <v>302</v>
      </c>
      <c r="B71" s="222">
        <f>VLOOKUP($A71,'Allocate OPROC cost'!$A:$AO,30,FALSE)</f>
        <v>2862</v>
      </c>
      <c r="C71" s="222">
        <f>VLOOKUP($A71,'Allocate OPROC cost'!$A:$AO,31,FALSE)</f>
        <v>109353</v>
      </c>
      <c r="D71" s="222">
        <f>VLOOKUP($A71,'Allocate OPROC cost'!$A:$AO,32,FALSE)</f>
        <v>8880</v>
      </c>
      <c r="E71" s="222">
        <f>VLOOKUP($A71,'Allocate OPROC cost'!$A:$AO,33,FALSE)</f>
        <v>353384</v>
      </c>
      <c r="F71" s="222">
        <f>VLOOKUP($A71,'Allocate OPROC cost'!$A:$AO,34,FALSE)</f>
        <v>546796.64676562208</v>
      </c>
      <c r="G71" s="222">
        <f>VLOOKUP($A71,'Allocate OPROC cost'!$A:$AO,35,FALSE)</f>
        <v>18437099.889323715</v>
      </c>
      <c r="H71" s="222">
        <f>VLOOKUP($A71,'Allocate OPROC cost'!$A:$AO,36,FALSE)</f>
        <v>1385453.4157914629</v>
      </c>
      <c r="I71" s="222">
        <f>VLOOKUP($A71,'Allocate OPROC cost'!$A:$AO,37,FALSE)</f>
        <v>42617334.449489824</v>
      </c>
      <c r="J71" s="223">
        <f t="shared" si="10"/>
        <v>191.05403450930191</v>
      </c>
      <c r="K71" s="223">
        <f t="shared" si="10"/>
        <v>168.60168344100038</v>
      </c>
      <c r="L71" s="223">
        <f t="shared" si="10"/>
        <v>156.01952880534492</v>
      </c>
      <c r="M71" s="223">
        <f t="shared" si="10"/>
        <v>120.5978042285158</v>
      </c>
      <c r="N71" s="224">
        <f t="shared" si="11"/>
        <v>1.2533763555403297</v>
      </c>
      <c r="O71" s="224">
        <f t="shared" si="12"/>
        <v>1.2311498809754133</v>
      </c>
      <c r="P71" s="224">
        <f t="shared" si="30"/>
        <v>0.9</v>
      </c>
      <c r="Q71" s="224">
        <f t="shared" si="30"/>
        <v>0.9</v>
      </c>
      <c r="R71" s="224">
        <f t="shared" si="14"/>
        <v>1.2533763555403297</v>
      </c>
      <c r="S71" s="224">
        <f t="shared" si="15"/>
        <v>1.2311498809754133</v>
      </c>
      <c r="T71" s="224">
        <f t="shared" si="16"/>
        <v>0.9</v>
      </c>
      <c r="U71" s="224">
        <f t="shared" si="17"/>
        <v>0.9</v>
      </c>
      <c r="V71" s="225">
        <f t="shared" si="18"/>
        <v>685341.98834476841</v>
      </c>
      <c r="W71" s="225">
        <f t="shared" si="19"/>
        <v>22698833.334272698</v>
      </c>
      <c r="X71" s="225">
        <f t="shared" si="20"/>
        <v>1246908.0742123167</v>
      </c>
      <c r="Y71" s="225">
        <f t="shared" si="21"/>
        <v>38355601.004540846</v>
      </c>
      <c r="Z71" s="227">
        <f t="shared" si="22"/>
        <v>239.46260948454523</v>
      </c>
      <c r="AA71" s="227">
        <f t="shared" si="23"/>
        <v>207.57394250064195</v>
      </c>
      <c r="AB71" s="227">
        <f t="shared" si="24"/>
        <v>140.41757592481042</v>
      </c>
      <c r="AC71" s="227">
        <f t="shared" si="25"/>
        <v>108.53802380566422</v>
      </c>
      <c r="AD71" s="228">
        <f t="shared" si="26"/>
        <v>0.25337635554032967</v>
      </c>
      <c r="AE71" s="228">
        <f t="shared" si="27"/>
        <v>0.23114988097541334</v>
      </c>
      <c r="AF71" s="228">
        <f t="shared" si="28"/>
        <v>-0.10000000000000009</v>
      </c>
      <c r="AG71" s="228">
        <f t="shared" si="29"/>
        <v>-9.9999999999999978E-2</v>
      </c>
    </row>
    <row r="72" spans="1:33">
      <c r="A72" s="231">
        <v>303</v>
      </c>
      <c r="B72" s="222">
        <f>VLOOKUP($A72,'Allocate OPROC cost'!$A:$AO,30,FALSE)</f>
        <v>4882</v>
      </c>
      <c r="C72" s="222">
        <f>VLOOKUP($A72,'Allocate OPROC cost'!$A:$AO,31,FALSE)</f>
        <v>169691</v>
      </c>
      <c r="D72" s="222">
        <f>VLOOKUP($A72,'Allocate OPROC cost'!$A:$AO,32,FALSE)</f>
        <v>43124</v>
      </c>
      <c r="E72" s="222">
        <f>VLOOKUP($A72,'Allocate OPROC cost'!$A:$AO,33,FALSE)</f>
        <v>1074499</v>
      </c>
      <c r="F72" s="222">
        <f>VLOOKUP($A72,'Allocate OPROC cost'!$A:$AO,34,FALSE)</f>
        <v>1516806.9973012474</v>
      </c>
      <c r="G72" s="222">
        <f>VLOOKUP($A72,'Allocate OPROC cost'!$A:$AO,35,FALSE)</f>
        <v>32805443.442223612</v>
      </c>
      <c r="H72" s="222">
        <f>VLOOKUP($A72,'Allocate OPROC cost'!$A:$AO,36,FALSE)</f>
        <v>10664501.873573909</v>
      </c>
      <c r="I72" s="222">
        <f>VLOOKUP($A72,'Allocate OPROC cost'!$A:$AO,37,FALSE)</f>
        <v>152764729.55791342</v>
      </c>
      <c r="J72" s="223">
        <f t="shared" si="10"/>
        <v>310.69377249103798</v>
      </c>
      <c r="K72" s="223">
        <f t="shared" si="10"/>
        <v>193.32459259609297</v>
      </c>
      <c r="L72" s="223">
        <f t="shared" si="10"/>
        <v>247.29853152708256</v>
      </c>
      <c r="M72" s="223">
        <f t="shared" si="10"/>
        <v>142.17298439357637</v>
      </c>
      <c r="N72" s="224">
        <f t="shared" si="11"/>
        <v>1.7030889158969162</v>
      </c>
      <c r="O72" s="224">
        <f t="shared" si="12"/>
        <v>1.4656688449493454</v>
      </c>
      <c r="P72" s="224">
        <f t="shared" si="30"/>
        <v>0.9</v>
      </c>
      <c r="Q72" s="224">
        <f t="shared" si="30"/>
        <v>0.9</v>
      </c>
      <c r="R72" s="224">
        <f t="shared" si="14"/>
        <v>1.5</v>
      </c>
      <c r="S72" s="224">
        <f t="shared" si="15"/>
        <v>1.4656688449493454</v>
      </c>
      <c r="T72" s="224">
        <f t="shared" si="16"/>
        <v>0.9</v>
      </c>
      <c r="U72" s="224">
        <f t="shared" si="17"/>
        <v>0.9</v>
      </c>
      <c r="V72" s="225">
        <f t="shared" si="18"/>
        <v>2275210.4959518714</v>
      </c>
      <c r="W72" s="225">
        <f t="shared" si="19"/>
        <v>48081916.398014955</v>
      </c>
      <c r="X72" s="225">
        <f t="shared" si="20"/>
        <v>9598051.6862165183</v>
      </c>
      <c r="Y72" s="225">
        <f t="shared" si="21"/>
        <v>137488256.6021221</v>
      </c>
      <c r="Z72" s="227">
        <f t="shared" si="22"/>
        <v>466.04065873655702</v>
      </c>
      <c r="AA72" s="227">
        <f t="shared" si="23"/>
        <v>283.34983233061831</v>
      </c>
      <c r="AB72" s="227">
        <f t="shared" si="24"/>
        <v>222.56867837437431</v>
      </c>
      <c r="AC72" s="227">
        <f t="shared" si="25"/>
        <v>127.95568595421875</v>
      </c>
      <c r="AD72" s="228">
        <f t="shared" si="26"/>
        <v>0.50000000000000022</v>
      </c>
      <c r="AE72" s="228">
        <f t="shared" si="27"/>
        <v>0.46566884494934513</v>
      </c>
      <c r="AF72" s="228">
        <f t="shared" si="28"/>
        <v>-9.9999999999999978E-2</v>
      </c>
      <c r="AG72" s="228">
        <f t="shared" si="29"/>
        <v>-9.9999999999999867E-2</v>
      </c>
    </row>
    <row r="73" spans="1:33">
      <c r="A73" s="231">
        <v>304</v>
      </c>
      <c r="B73" s="222">
        <f>VLOOKUP($A73,'Allocate OPROC cost'!$A:$AO,30,FALSE)</f>
        <v>110</v>
      </c>
      <c r="C73" s="222">
        <f>VLOOKUP($A73,'Allocate OPROC cost'!$A:$AO,31,FALSE)</f>
        <v>30498</v>
      </c>
      <c r="D73" s="222">
        <f>VLOOKUP($A73,'Allocate OPROC cost'!$A:$AO,32,FALSE)</f>
        <v>87</v>
      </c>
      <c r="E73" s="222">
        <f>VLOOKUP($A73,'Allocate OPROC cost'!$A:$AO,33,FALSE)</f>
        <v>21294</v>
      </c>
      <c r="F73" s="222">
        <f>VLOOKUP($A73,'Allocate OPROC cost'!$A:$AO,34,FALSE)</f>
        <v>12894.785115140168</v>
      </c>
      <c r="G73" s="222">
        <f>VLOOKUP($A73,'Allocate OPROC cost'!$A:$AO,35,FALSE)</f>
        <v>2936339.3687000428</v>
      </c>
      <c r="H73" s="222">
        <f>VLOOKUP($A73,'Allocate OPROC cost'!$A:$AO,36,FALSE)</f>
        <v>10155.797346053116</v>
      </c>
      <c r="I73" s="222">
        <f>VLOOKUP($A73,'Allocate OPROC cost'!$A:$AO,37,FALSE)</f>
        <v>2208073.5311478283</v>
      </c>
      <c r="J73" s="223">
        <f t="shared" si="10"/>
        <v>117.22531922854698</v>
      </c>
      <c r="K73" s="223">
        <f t="shared" si="10"/>
        <v>96.279735349860417</v>
      </c>
      <c r="L73" s="223">
        <f t="shared" si="10"/>
        <v>116.73330282819673</v>
      </c>
      <c r="M73" s="223">
        <f t="shared" si="10"/>
        <v>103.69463375353753</v>
      </c>
      <c r="N73" s="224">
        <f t="shared" si="11"/>
        <v>1.0787589498806682</v>
      </c>
      <c r="O73" s="224">
        <f t="shared" si="12"/>
        <v>1.0751981720738695</v>
      </c>
      <c r="P73" s="224">
        <f t="shared" si="30"/>
        <v>0.9</v>
      </c>
      <c r="Q73" s="224">
        <f t="shared" si="30"/>
        <v>0.9</v>
      </c>
      <c r="R73" s="224">
        <f t="shared" si="14"/>
        <v>1.0787589498806682</v>
      </c>
      <c r="S73" s="224">
        <f t="shared" si="15"/>
        <v>1.0751981720738695</v>
      </c>
      <c r="T73" s="224">
        <f t="shared" si="16"/>
        <v>0.9</v>
      </c>
      <c r="U73" s="224">
        <f t="shared" si="17"/>
        <v>0.9</v>
      </c>
      <c r="V73" s="225">
        <f t="shared" si="18"/>
        <v>13910.36484974548</v>
      </c>
      <c r="W73" s="225">
        <f t="shared" si="19"/>
        <v>3157146.7218148261</v>
      </c>
      <c r="X73" s="225">
        <f t="shared" si="20"/>
        <v>9140.2176114478043</v>
      </c>
      <c r="Y73" s="225">
        <f t="shared" si="21"/>
        <v>1987266.1780330455</v>
      </c>
      <c r="Z73" s="227">
        <f t="shared" si="22"/>
        <v>126.45786227041346</v>
      </c>
      <c r="AA73" s="227">
        <f t="shared" si="23"/>
        <v>103.51979545592583</v>
      </c>
      <c r="AB73" s="227">
        <f t="shared" si="24"/>
        <v>105.05997254537706</v>
      </c>
      <c r="AC73" s="227">
        <f t="shared" si="25"/>
        <v>93.325170378183785</v>
      </c>
      <c r="AD73" s="228">
        <f t="shared" si="26"/>
        <v>7.8758949880668228E-2</v>
      </c>
      <c r="AE73" s="228">
        <f t="shared" si="27"/>
        <v>7.5198172073869474E-2</v>
      </c>
      <c r="AF73" s="228">
        <f t="shared" si="28"/>
        <v>-9.9999999999999867E-2</v>
      </c>
      <c r="AG73" s="228">
        <f t="shared" si="29"/>
        <v>-9.9999999999999978E-2</v>
      </c>
    </row>
    <row r="74" spans="1:33">
      <c r="A74" s="231">
        <v>305</v>
      </c>
      <c r="B74" s="222">
        <f>VLOOKUP($A74,'Allocate OPROC cost'!$A:$AO,30,FALSE)</f>
        <v>0</v>
      </c>
      <c r="C74" s="222">
        <f>VLOOKUP($A74,'Allocate OPROC cost'!$A:$AO,31,FALSE)</f>
        <v>2097</v>
      </c>
      <c r="D74" s="222">
        <f>VLOOKUP($A74,'Allocate OPROC cost'!$A:$AO,32,FALSE)</f>
        <v>0</v>
      </c>
      <c r="E74" s="222">
        <f>VLOOKUP($A74,'Allocate OPROC cost'!$A:$AO,33,FALSE)</f>
        <v>10600</v>
      </c>
      <c r="F74" s="222">
        <f>VLOOKUP($A74,'Allocate OPROC cost'!$A:$AO,34,FALSE)</f>
        <v>0</v>
      </c>
      <c r="G74" s="222">
        <f>VLOOKUP($A74,'Allocate OPROC cost'!$A:$AO,35,FALSE)</f>
        <v>255735.89219841847</v>
      </c>
      <c r="H74" s="222">
        <f>VLOOKUP($A74,'Allocate OPROC cost'!$A:$AO,36,FALSE)</f>
        <v>0</v>
      </c>
      <c r="I74" s="222">
        <f>VLOOKUP($A74,'Allocate OPROC cost'!$A:$AO,37,FALSE)</f>
        <v>1324503.4954306714</v>
      </c>
      <c r="J74" s="223">
        <f t="shared" si="10"/>
        <v>0</v>
      </c>
      <c r="K74" s="223">
        <f t="shared" si="10"/>
        <v>121.95321516376656</v>
      </c>
      <c r="L74" s="223">
        <f t="shared" si="10"/>
        <v>0</v>
      </c>
      <c r="M74" s="223">
        <f t="shared" si="10"/>
        <v>124.95315994628976</v>
      </c>
      <c r="N74" s="224">
        <f t="shared" si="11"/>
        <v>1</v>
      </c>
      <c r="O74" s="224">
        <f t="shared" si="12"/>
        <v>1.5179184994506072</v>
      </c>
      <c r="P74" s="224">
        <f t="shared" si="30"/>
        <v>0.9</v>
      </c>
      <c r="Q74" s="224">
        <f t="shared" si="30"/>
        <v>0.9</v>
      </c>
      <c r="R74" s="224">
        <f t="shared" si="14"/>
        <v>1</v>
      </c>
      <c r="S74" s="224">
        <f t="shared" si="15"/>
        <v>1.5</v>
      </c>
      <c r="T74" s="224">
        <f t="shared" si="16"/>
        <v>0.9</v>
      </c>
      <c r="U74" s="224">
        <f t="shared" si="17"/>
        <v>0.9</v>
      </c>
      <c r="V74" s="225">
        <f t="shared" si="18"/>
        <v>0</v>
      </c>
      <c r="W74" s="225">
        <f t="shared" si="19"/>
        <v>383603.83829762769</v>
      </c>
      <c r="X74" s="225">
        <f t="shared" si="20"/>
        <v>0</v>
      </c>
      <c r="Y74" s="225">
        <f t="shared" si="21"/>
        <v>1192053.1458876042</v>
      </c>
      <c r="Z74" s="227">
        <f t="shared" si="22"/>
        <v>0</v>
      </c>
      <c r="AA74" s="227">
        <f t="shared" si="23"/>
        <v>182.92982274564983</v>
      </c>
      <c r="AB74" s="227">
        <f t="shared" si="24"/>
        <v>0</v>
      </c>
      <c r="AC74" s="227">
        <f t="shared" si="25"/>
        <v>112.45784395166078</v>
      </c>
      <c r="AD74" s="228">
        <f t="shared" si="26"/>
        <v>0</v>
      </c>
      <c r="AE74" s="228">
        <f t="shared" si="27"/>
        <v>0.5</v>
      </c>
      <c r="AF74" s="228">
        <f t="shared" si="28"/>
        <v>0</v>
      </c>
      <c r="AG74" s="228">
        <f t="shared" si="29"/>
        <v>-0.10000000000000009</v>
      </c>
    </row>
    <row r="75" spans="1:33">
      <c r="A75" s="231">
        <v>306</v>
      </c>
      <c r="B75" s="222">
        <f>VLOOKUP($A75,'Allocate OPROC cost'!$A:$AO,30,FALSE)</f>
        <v>2609</v>
      </c>
      <c r="C75" s="222">
        <f>VLOOKUP($A75,'Allocate OPROC cost'!$A:$AO,31,FALSE)</f>
        <v>31501</v>
      </c>
      <c r="D75" s="222">
        <f>VLOOKUP($A75,'Allocate OPROC cost'!$A:$AO,32,FALSE)</f>
        <v>14735</v>
      </c>
      <c r="E75" s="222">
        <f>VLOOKUP($A75,'Allocate OPROC cost'!$A:$AO,33,FALSE)</f>
        <v>130053</v>
      </c>
      <c r="F75" s="222">
        <f>VLOOKUP($A75,'Allocate OPROC cost'!$A:$AO,34,FALSE)</f>
        <v>732227.38740005624</v>
      </c>
      <c r="G75" s="222">
        <f>VLOOKUP($A75,'Allocate OPROC cost'!$A:$AO,35,FALSE)</f>
        <v>6065718.8781815562</v>
      </c>
      <c r="H75" s="222">
        <f>VLOOKUP($A75,'Allocate OPROC cost'!$A:$AO,36,FALSE)</f>
        <v>3131795.3176355278</v>
      </c>
      <c r="I75" s="222">
        <f>VLOOKUP($A75,'Allocate OPROC cost'!$A:$AO,37,FALSE)</f>
        <v>20613706.757014837</v>
      </c>
      <c r="J75" s="223">
        <f t="shared" ref="J75:M120" si="71">IF(B75=0,0,F75/B75)</f>
        <v>280.6544221541036</v>
      </c>
      <c r="K75" s="223">
        <f t="shared" si="71"/>
        <v>192.55639116794885</v>
      </c>
      <c r="L75" s="223">
        <f t="shared" si="71"/>
        <v>212.54124992436564</v>
      </c>
      <c r="M75" s="223">
        <f t="shared" si="71"/>
        <v>158.50235486313147</v>
      </c>
      <c r="N75" s="224">
        <f t="shared" si="11"/>
        <v>1.4277080277966243</v>
      </c>
      <c r="O75" s="224">
        <f t="shared" si="12"/>
        <v>1.3398394678520713</v>
      </c>
      <c r="P75" s="224">
        <f t="shared" si="30"/>
        <v>0.9</v>
      </c>
      <c r="Q75" s="224">
        <f t="shared" si="30"/>
        <v>0.9</v>
      </c>
      <c r="R75" s="224">
        <f t="shared" si="14"/>
        <v>1.4277080277966243</v>
      </c>
      <c r="S75" s="224">
        <f t="shared" si="15"/>
        <v>1.3398394678520713</v>
      </c>
      <c r="T75" s="224">
        <f t="shared" si="16"/>
        <v>0.9</v>
      </c>
      <c r="U75" s="224">
        <f t="shared" si="17"/>
        <v>0.9</v>
      </c>
      <c r="V75" s="225">
        <f t="shared" si="18"/>
        <v>1045406.919163609</v>
      </c>
      <c r="W75" s="225">
        <f t="shared" si="19"/>
        <v>8127089.5538830394</v>
      </c>
      <c r="X75" s="225">
        <f t="shared" si="20"/>
        <v>2818615.7858719751</v>
      </c>
      <c r="Y75" s="225">
        <f t="shared" si="21"/>
        <v>18552336.081313353</v>
      </c>
      <c r="Z75" s="227">
        <f t="shared" si="22"/>
        <v>400.69257154603645</v>
      </c>
      <c r="AA75" s="227">
        <f t="shared" si="23"/>
        <v>257.99465267397983</v>
      </c>
      <c r="AB75" s="227">
        <f t="shared" si="24"/>
        <v>191.2871249319291</v>
      </c>
      <c r="AC75" s="227">
        <f t="shared" si="25"/>
        <v>142.65211937681832</v>
      </c>
      <c r="AD75" s="228">
        <f t="shared" ref="AD75:AD107" si="72">IF(J75=0,0,Z75/J75-1)</f>
        <v>0.42770802779662431</v>
      </c>
      <c r="AE75" s="228">
        <f t="shared" ref="AE75:AE107" si="73">IF(K75=0,0,AA75/K75-1)</f>
        <v>0.33983946785207109</v>
      </c>
      <c r="AF75" s="228">
        <f t="shared" ref="AF75:AF107" si="74">IF(L75=0,0,AB75/L75-1)</f>
        <v>-9.9999999999999867E-2</v>
      </c>
      <c r="AG75" s="228">
        <f t="shared" ref="AG75:AG107" si="75">IF(M75=0,0,AC75/M75-1)</f>
        <v>-0.10000000000000009</v>
      </c>
    </row>
    <row r="76" spans="1:33">
      <c r="A76" s="231">
        <v>307</v>
      </c>
      <c r="B76" s="222">
        <f>VLOOKUP($A76,'Allocate OPROC cost'!$A:$AO,30,FALSE)</f>
        <v>11057</v>
      </c>
      <c r="C76" s="222">
        <f>VLOOKUP($A76,'Allocate OPROC cost'!$A:$AO,31,FALSE)</f>
        <v>107398</v>
      </c>
      <c r="D76" s="222">
        <f>VLOOKUP($A76,'Allocate OPROC cost'!$A:$AO,32,FALSE)</f>
        <v>63227</v>
      </c>
      <c r="E76" s="222">
        <f>VLOOKUP($A76,'Allocate OPROC cost'!$A:$AO,33,FALSE)</f>
        <v>552027</v>
      </c>
      <c r="F76" s="222">
        <f>VLOOKUP($A76,'Allocate OPROC cost'!$A:$AO,34,FALSE)</f>
        <v>2159119.0330191092</v>
      </c>
      <c r="G76" s="222">
        <f>VLOOKUP($A76,'Allocate OPROC cost'!$A:$AO,35,FALSE)</f>
        <v>16802933.400757123</v>
      </c>
      <c r="H76" s="222">
        <f>VLOOKUP($A76,'Allocate OPROC cost'!$A:$AO,36,FALSE)</f>
        <v>8776682.4642451666</v>
      </c>
      <c r="I76" s="222">
        <f>VLOOKUP($A76,'Allocate OPROC cost'!$A:$AO,37,FALSE)</f>
        <v>64284803.105787046</v>
      </c>
      <c r="J76" s="223">
        <f t="shared" si="71"/>
        <v>195.27168608294377</v>
      </c>
      <c r="K76" s="223">
        <f t="shared" si="71"/>
        <v>156.45480735914191</v>
      </c>
      <c r="L76" s="223">
        <f t="shared" si="71"/>
        <v>138.81225527456888</v>
      </c>
      <c r="M76" s="223">
        <f t="shared" si="71"/>
        <v>116.45228060545416</v>
      </c>
      <c r="N76" s="224">
        <f t="shared" ref="N76:N120" si="76">IF(F76=0,1,1+(H76*$O$4)/F76)</f>
        <v>1.4064936823780707</v>
      </c>
      <c r="O76" s="224">
        <f t="shared" ref="O76:O120" si="77">IF(G76=0,1,1+(I76*$O$4)/G76)</f>
        <v>1.3825808361704894</v>
      </c>
      <c r="P76" s="224">
        <f t="shared" ref="P76:Q121" si="78">$P$4</f>
        <v>0.9</v>
      </c>
      <c r="Q76" s="224">
        <f t="shared" si="78"/>
        <v>0.9</v>
      </c>
      <c r="R76" s="224">
        <f t="shared" ref="R76:R120" si="79">IF($S$4="No limit",N76,IF(N76&gt;$S$4,$S$4,N76))</f>
        <v>1.4064936823780707</v>
      </c>
      <c r="S76" s="224">
        <f t="shared" ref="S76:S120" si="80">IF($S$4="No limit",O76,IF(O76&gt;$S$4,$S$4,O76))</f>
        <v>1.3825808361704894</v>
      </c>
      <c r="T76" s="224">
        <f t="shared" ref="T76:T140" si="81">$P$9</f>
        <v>0.9</v>
      </c>
      <c r="U76" s="224">
        <f t="shared" ref="U76:U140" si="82">$Q$9</f>
        <v>0.9</v>
      </c>
      <c r="V76" s="225">
        <f t="shared" ref="V76:V120" si="83">R76*F76</f>
        <v>3036787.2794436263</v>
      </c>
      <c r="W76" s="225">
        <f t="shared" ref="W76:W120" si="84">S76*G76</f>
        <v>23231413.711335827</v>
      </c>
      <c r="X76" s="225">
        <f t="shared" ref="X76:X120" si="85">T76*H76</f>
        <v>7899014.21782065</v>
      </c>
      <c r="Y76" s="225">
        <f t="shared" ref="Y76:Y120" si="86">U76*I76</f>
        <v>57856322.795208342</v>
      </c>
      <c r="Z76" s="227">
        <f t="shared" ref="Z76:Z120" si="87">IF(B76=0,0,V76/B76)</f>
        <v>274.64839282297424</v>
      </c>
      <c r="AA76" s="227">
        <f t="shared" ref="AA76:AA120" si="88">IF(C76=0,0,W76/C76)</f>
        <v>216.31141838149526</v>
      </c>
      <c r="AB76" s="227">
        <f t="shared" ref="AB76:AB120" si="89">IF(D76=0,0,X76/D76)</f>
        <v>124.93102974711199</v>
      </c>
      <c r="AC76" s="227">
        <f t="shared" ref="AC76:AC120" si="90">IF(E76=0,0,Y76/E76)</f>
        <v>104.80705254490874</v>
      </c>
      <c r="AD76" s="228">
        <f t="shared" si="72"/>
        <v>0.40649368237807071</v>
      </c>
      <c r="AE76" s="228">
        <f t="shared" si="73"/>
        <v>0.38258083617048944</v>
      </c>
      <c r="AF76" s="228">
        <f t="shared" si="74"/>
        <v>-9.9999999999999978E-2</v>
      </c>
      <c r="AG76" s="228">
        <f t="shared" si="75"/>
        <v>-0.10000000000000009</v>
      </c>
    </row>
    <row r="77" spans="1:33">
      <c r="A77" s="231">
        <v>308</v>
      </c>
      <c r="B77" s="222">
        <f>VLOOKUP($A77,'Allocate OPROC cost'!$A:$AO,30,FALSE)</f>
        <v>2</v>
      </c>
      <c r="C77" s="222">
        <f>VLOOKUP($A77,'Allocate OPROC cost'!$A:$AO,31,FALSE)</f>
        <v>865</v>
      </c>
      <c r="D77" s="222">
        <f>VLOOKUP($A77,'Allocate OPROC cost'!$A:$AO,32,FALSE)</f>
        <v>102</v>
      </c>
      <c r="E77" s="222">
        <f>VLOOKUP($A77,'Allocate OPROC cost'!$A:$AO,33,FALSE)</f>
        <v>14368</v>
      </c>
      <c r="F77" s="222">
        <f>VLOOKUP($A77,'Allocate OPROC cost'!$A:$AO,34,FALSE)</f>
        <v>849.26288215385898</v>
      </c>
      <c r="G77" s="222">
        <f>VLOOKUP($A77,'Allocate OPROC cost'!$A:$AO,35,FALSE)</f>
        <v>326870.54967047821</v>
      </c>
      <c r="H77" s="222">
        <f>VLOOKUP($A77,'Allocate OPROC cost'!$A:$AO,36,FALSE)</f>
        <v>35099.437630846289</v>
      </c>
      <c r="I77" s="222">
        <f>VLOOKUP($A77,'Allocate OPROC cost'!$A:$AO,37,FALSE)</f>
        <v>3794906.8023857349</v>
      </c>
      <c r="J77" s="223">
        <f t="shared" si="71"/>
        <v>424.63144107692949</v>
      </c>
      <c r="K77" s="223">
        <f t="shared" si="71"/>
        <v>377.88502852078403</v>
      </c>
      <c r="L77" s="223">
        <f t="shared" si="71"/>
        <v>344.11213363574791</v>
      </c>
      <c r="M77" s="223">
        <f t="shared" si="71"/>
        <v>264.12213268274883</v>
      </c>
      <c r="N77" s="224">
        <f t="shared" si="76"/>
        <v>5.1329296697659519</v>
      </c>
      <c r="O77" s="224">
        <f t="shared" si="77"/>
        <v>2.1609815586663963</v>
      </c>
      <c r="P77" s="224">
        <f t="shared" si="78"/>
        <v>0.9</v>
      </c>
      <c r="Q77" s="224">
        <f t="shared" si="78"/>
        <v>0.9</v>
      </c>
      <c r="R77" s="224">
        <f t="shared" si="79"/>
        <v>1.5</v>
      </c>
      <c r="S77" s="224">
        <f t="shared" si="80"/>
        <v>1.5</v>
      </c>
      <c r="T77" s="224">
        <f t="shared" si="81"/>
        <v>0.9</v>
      </c>
      <c r="U77" s="224">
        <f t="shared" si="82"/>
        <v>0.9</v>
      </c>
      <c r="V77" s="225">
        <f t="shared" si="83"/>
        <v>1273.8943232307884</v>
      </c>
      <c r="W77" s="225">
        <f t="shared" si="84"/>
        <v>490305.82450571732</v>
      </c>
      <c r="X77" s="225">
        <f t="shared" si="85"/>
        <v>31589.493867761659</v>
      </c>
      <c r="Y77" s="225">
        <f t="shared" si="86"/>
        <v>3415416.1221471615</v>
      </c>
      <c r="Z77" s="227">
        <f t="shared" si="87"/>
        <v>636.94716161539418</v>
      </c>
      <c r="AA77" s="227">
        <f t="shared" si="88"/>
        <v>566.82754278117613</v>
      </c>
      <c r="AB77" s="227">
        <f t="shared" si="89"/>
        <v>309.70092027217311</v>
      </c>
      <c r="AC77" s="227">
        <f t="shared" si="90"/>
        <v>237.70991941447394</v>
      </c>
      <c r="AD77" s="228">
        <f t="shared" si="72"/>
        <v>0.49999999999999978</v>
      </c>
      <c r="AE77" s="228">
        <f t="shared" si="73"/>
        <v>0.50000000000000022</v>
      </c>
      <c r="AF77" s="228">
        <f t="shared" si="74"/>
        <v>-9.9999999999999978E-2</v>
      </c>
      <c r="AG77" s="228">
        <f t="shared" si="75"/>
        <v>-9.9999999999999978E-2</v>
      </c>
    </row>
    <row r="78" spans="1:33">
      <c r="A78" s="231">
        <v>309</v>
      </c>
      <c r="B78" s="222">
        <f>VLOOKUP($A78,'Allocate OPROC cost'!$A:$AO,30,FALSE)</f>
        <v>154</v>
      </c>
      <c r="C78" s="222">
        <f>VLOOKUP($A78,'Allocate OPROC cost'!$A:$AO,31,FALSE)</f>
        <v>4017</v>
      </c>
      <c r="D78" s="222">
        <f>VLOOKUP($A78,'Allocate OPROC cost'!$A:$AO,32,FALSE)</f>
        <v>952</v>
      </c>
      <c r="E78" s="222">
        <f>VLOOKUP($A78,'Allocate OPROC cost'!$A:$AO,33,FALSE)</f>
        <v>20833</v>
      </c>
      <c r="F78" s="222">
        <f>VLOOKUP($A78,'Allocate OPROC cost'!$A:$AO,34,FALSE)</f>
        <v>129925.26781397533</v>
      </c>
      <c r="G78" s="222">
        <f>VLOOKUP($A78,'Allocate OPROC cost'!$A:$AO,35,FALSE)</f>
        <v>3392611.0018298221</v>
      </c>
      <c r="H78" s="222">
        <f>VLOOKUP($A78,'Allocate OPROC cost'!$A:$AO,36,FALSE)</f>
        <v>364314.22418195463</v>
      </c>
      <c r="I78" s="222">
        <f>VLOOKUP($A78,'Allocate OPROC cost'!$A:$AO,37,FALSE)</f>
        <v>18043117.539150957</v>
      </c>
      <c r="J78" s="223">
        <f t="shared" si="71"/>
        <v>843.67057022061897</v>
      </c>
      <c r="K78" s="223">
        <f t="shared" si="71"/>
        <v>844.56335619363256</v>
      </c>
      <c r="L78" s="223">
        <f t="shared" si="71"/>
        <v>382.68300859449016</v>
      </c>
      <c r="M78" s="223">
        <f t="shared" si="71"/>
        <v>866.08349921523336</v>
      </c>
      <c r="N78" s="224">
        <f t="shared" si="76"/>
        <v>1.2804029041553129</v>
      </c>
      <c r="O78" s="224">
        <f t="shared" si="77"/>
        <v>1.5318357315182705</v>
      </c>
      <c r="P78" s="224">
        <f t="shared" si="78"/>
        <v>0.9</v>
      </c>
      <c r="Q78" s="224">
        <f t="shared" si="78"/>
        <v>0.9</v>
      </c>
      <c r="R78" s="224">
        <f t="shared" si="79"/>
        <v>1.2804029041553129</v>
      </c>
      <c r="S78" s="224">
        <f t="shared" si="80"/>
        <v>1.5</v>
      </c>
      <c r="T78" s="224">
        <f t="shared" si="81"/>
        <v>0.9</v>
      </c>
      <c r="U78" s="224">
        <f t="shared" si="82"/>
        <v>0.9</v>
      </c>
      <c r="V78" s="225">
        <f t="shared" si="83"/>
        <v>166356.6902321708</v>
      </c>
      <c r="W78" s="225">
        <f t="shared" si="84"/>
        <v>5088916.5027447334</v>
      </c>
      <c r="X78" s="225">
        <f t="shared" si="85"/>
        <v>327882.80176375917</v>
      </c>
      <c r="Y78" s="225">
        <f t="shared" si="86"/>
        <v>16238805.785235861</v>
      </c>
      <c r="Z78" s="227">
        <f t="shared" si="87"/>
        <v>1080.2382482608493</v>
      </c>
      <c r="AA78" s="227">
        <f t="shared" si="88"/>
        <v>1266.8450342904489</v>
      </c>
      <c r="AB78" s="227">
        <f t="shared" si="89"/>
        <v>344.41470773504113</v>
      </c>
      <c r="AC78" s="227">
        <f t="shared" si="90"/>
        <v>779.47514929371005</v>
      </c>
      <c r="AD78" s="228">
        <f t="shared" si="72"/>
        <v>0.28040290415531288</v>
      </c>
      <c r="AE78" s="228">
        <f t="shared" si="73"/>
        <v>0.5</v>
      </c>
      <c r="AF78" s="228">
        <f t="shared" si="74"/>
        <v>-9.9999999999999978E-2</v>
      </c>
      <c r="AG78" s="228">
        <f t="shared" si="75"/>
        <v>-9.9999999999999978E-2</v>
      </c>
    </row>
    <row r="79" spans="1:33">
      <c r="A79" s="231">
        <v>310</v>
      </c>
      <c r="B79" s="222">
        <f>VLOOKUP($A79,'Allocate OPROC cost'!$A:$AO,30,FALSE)</f>
        <v>363</v>
      </c>
      <c r="C79" s="222">
        <f>VLOOKUP($A79,'Allocate OPROC cost'!$A:$AO,31,FALSE)</f>
        <v>32890</v>
      </c>
      <c r="D79" s="222">
        <f>VLOOKUP($A79,'Allocate OPROC cost'!$A:$AO,32,FALSE)</f>
        <v>492</v>
      </c>
      <c r="E79" s="222">
        <f>VLOOKUP($A79,'Allocate OPROC cost'!$A:$AO,33,FALSE)</f>
        <v>84067</v>
      </c>
      <c r="F79" s="222">
        <f>VLOOKUP($A79,'Allocate OPROC cost'!$A:$AO,34,FALSE)</f>
        <v>49377.287746355272</v>
      </c>
      <c r="G79" s="222">
        <f>VLOOKUP($A79,'Allocate OPROC cost'!$A:$AO,35,FALSE)</f>
        <v>2789041.7672646986</v>
      </c>
      <c r="H79" s="222">
        <f>VLOOKUP($A79,'Allocate OPROC cost'!$A:$AO,36,FALSE)</f>
        <v>70092.494814080797</v>
      </c>
      <c r="I79" s="222">
        <f>VLOOKUP($A79,'Allocate OPROC cost'!$A:$AO,37,FALSE)</f>
        <v>4588969.3530661007</v>
      </c>
      <c r="J79" s="223">
        <f t="shared" si="71"/>
        <v>136.02558607811369</v>
      </c>
      <c r="K79" s="223">
        <f t="shared" si="71"/>
        <v>84.79908079248095</v>
      </c>
      <c r="L79" s="223">
        <f t="shared" si="71"/>
        <v>142.46442035382276</v>
      </c>
      <c r="M79" s="223">
        <f t="shared" si="71"/>
        <v>54.587047867368895</v>
      </c>
      <c r="N79" s="224">
        <f t="shared" si="76"/>
        <v>1.1419529059071387</v>
      </c>
      <c r="O79" s="224">
        <f t="shared" si="77"/>
        <v>1.164535698494277</v>
      </c>
      <c r="P79" s="224">
        <f t="shared" si="78"/>
        <v>0.9</v>
      </c>
      <c r="Q79" s="224">
        <f t="shared" si="78"/>
        <v>0.9</v>
      </c>
      <c r="R79" s="224">
        <f t="shared" si="79"/>
        <v>1.1419529059071387</v>
      </c>
      <c r="S79" s="224">
        <f t="shared" si="80"/>
        <v>1.164535698494277</v>
      </c>
      <c r="T79" s="224">
        <f t="shared" si="81"/>
        <v>0.9</v>
      </c>
      <c r="U79" s="224">
        <f t="shared" si="82"/>
        <v>0.9</v>
      </c>
      <c r="V79" s="225">
        <f t="shared" si="83"/>
        <v>56386.537227763358</v>
      </c>
      <c r="W79" s="225">
        <f t="shared" si="84"/>
        <v>3247938.7025713082</v>
      </c>
      <c r="X79" s="225">
        <f t="shared" si="85"/>
        <v>63083.245332672719</v>
      </c>
      <c r="Y79" s="225">
        <f t="shared" si="86"/>
        <v>4130072.4177594907</v>
      </c>
      <c r="Z79" s="227">
        <f t="shared" si="87"/>
        <v>155.33481329962356</v>
      </c>
      <c r="AA79" s="227">
        <f t="shared" si="88"/>
        <v>98.751556782344423</v>
      </c>
      <c r="AB79" s="227">
        <f t="shared" si="89"/>
        <v>128.21797831844049</v>
      </c>
      <c r="AC79" s="227">
        <f t="shared" si="90"/>
        <v>49.128343080632007</v>
      </c>
      <c r="AD79" s="228">
        <f t="shared" si="72"/>
        <v>0.14195290590713872</v>
      </c>
      <c r="AE79" s="228">
        <f t="shared" si="73"/>
        <v>0.16453569849427696</v>
      </c>
      <c r="AF79" s="228">
        <f t="shared" si="74"/>
        <v>-9.9999999999999978E-2</v>
      </c>
      <c r="AG79" s="228">
        <f t="shared" si="75"/>
        <v>-9.9999999999999978E-2</v>
      </c>
    </row>
    <row r="80" spans="1:33">
      <c r="A80" s="231">
        <v>311</v>
      </c>
      <c r="B80" s="222">
        <f>VLOOKUP($A80,'Allocate OPROC cost'!$A:$AO,30,FALSE)</f>
        <v>4697</v>
      </c>
      <c r="C80" s="222">
        <f>VLOOKUP($A80,'Allocate OPROC cost'!$A:$AO,31,FALSE)</f>
        <v>43475</v>
      </c>
      <c r="D80" s="222">
        <f>VLOOKUP($A80,'Allocate OPROC cost'!$A:$AO,32,FALSE)</f>
        <v>128</v>
      </c>
      <c r="E80" s="222">
        <f>VLOOKUP($A80,'Allocate OPROC cost'!$A:$AO,33,FALSE)</f>
        <v>22625</v>
      </c>
      <c r="F80" s="222">
        <f>VLOOKUP($A80,'Allocate OPROC cost'!$A:$AO,34,FALSE)</f>
        <v>1562094.4238347025</v>
      </c>
      <c r="G80" s="222">
        <f>VLOOKUP($A80,'Allocate OPROC cost'!$A:$AO,35,FALSE)</f>
        <v>20969272.359058324</v>
      </c>
      <c r="H80" s="222">
        <f>VLOOKUP($A80,'Allocate OPROC cost'!$A:$AO,36,FALSE)</f>
        <v>53329.259456796259</v>
      </c>
      <c r="I80" s="222">
        <f>VLOOKUP($A80,'Allocate OPROC cost'!$A:$AO,37,FALSE)</f>
        <v>8599400.8541035317</v>
      </c>
      <c r="J80" s="223">
        <f t="shared" si="71"/>
        <v>332.57279621773523</v>
      </c>
      <c r="K80" s="223">
        <f t="shared" si="71"/>
        <v>482.32943896626392</v>
      </c>
      <c r="L80" s="223">
        <f t="shared" si="71"/>
        <v>416.63483950622077</v>
      </c>
      <c r="M80" s="223">
        <f t="shared" si="71"/>
        <v>380.08401565098484</v>
      </c>
      <c r="N80" s="224">
        <f t="shared" si="76"/>
        <v>1.0034139587622291</v>
      </c>
      <c r="O80" s="224">
        <f t="shared" si="77"/>
        <v>1.0410095338877543</v>
      </c>
      <c r="P80" s="224">
        <f t="shared" si="78"/>
        <v>0.9</v>
      </c>
      <c r="Q80" s="224">
        <f t="shared" si="78"/>
        <v>0.9</v>
      </c>
      <c r="R80" s="224">
        <f t="shared" si="79"/>
        <v>1.0034139587622291</v>
      </c>
      <c r="S80" s="224">
        <f t="shared" si="80"/>
        <v>1.0410095338877543</v>
      </c>
      <c r="T80" s="224">
        <f t="shared" si="81"/>
        <v>0.9</v>
      </c>
      <c r="U80" s="224">
        <f t="shared" si="82"/>
        <v>0.9</v>
      </c>
      <c r="V80" s="225">
        <f t="shared" si="83"/>
        <v>1567427.3497803821</v>
      </c>
      <c r="W80" s="225">
        <f t="shared" si="84"/>
        <v>21829212.444468677</v>
      </c>
      <c r="X80" s="225">
        <f t="shared" si="85"/>
        <v>47996.333511116631</v>
      </c>
      <c r="Y80" s="225">
        <f t="shared" si="86"/>
        <v>7739460.7686931789</v>
      </c>
      <c r="Z80" s="227">
        <f t="shared" si="87"/>
        <v>333.70818602946179</v>
      </c>
      <c r="AA80" s="227">
        <f t="shared" si="88"/>
        <v>502.10954443861249</v>
      </c>
      <c r="AB80" s="227">
        <f t="shared" si="89"/>
        <v>374.97135555559868</v>
      </c>
      <c r="AC80" s="227">
        <f t="shared" si="90"/>
        <v>342.07561408588634</v>
      </c>
      <c r="AD80" s="228">
        <f t="shared" si="72"/>
        <v>3.4139587622290524E-3</v>
      </c>
      <c r="AE80" s="228">
        <f t="shared" si="73"/>
        <v>4.1009533887754301E-2</v>
      </c>
      <c r="AF80" s="228">
        <f t="shared" si="74"/>
        <v>-0.10000000000000009</v>
      </c>
      <c r="AG80" s="228">
        <f t="shared" si="75"/>
        <v>-9.9999999999999978E-2</v>
      </c>
    </row>
    <row r="81" spans="1:33">
      <c r="A81" s="231">
        <v>313</v>
      </c>
      <c r="B81" s="222">
        <f>VLOOKUP($A81,'Allocate OPROC cost'!$A:$AO,30,FALSE)</f>
        <v>870</v>
      </c>
      <c r="C81" s="222">
        <f>VLOOKUP($A81,'Allocate OPROC cost'!$A:$AO,31,FALSE)</f>
        <v>11619</v>
      </c>
      <c r="D81" s="222">
        <f>VLOOKUP($A81,'Allocate OPROC cost'!$A:$AO,32,FALSE)</f>
        <v>1582</v>
      </c>
      <c r="E81" s="222">
        <f>VLOOKUP($A81,'Allocate OPROC cost'!$A:$AO,33,FALSE)</f>
        <v>20190</v>
      </c>
      <c r="F81" s="222">
        <f>VLOOKUP($A81,'Allocate OPROC cost'!$A:$AO,34,FALSE)</f>
        <v>225919.26132569686</v>
      </c>
      <c r="G81" s="222">
        <f>VLOOKUP($A81,'Allocate OPROC cost'!$A:$AO,35,FALSE)</f>
        <v>1904951.5928697854</v>
      </c>
      <c r="H81" s="222">
        <f>VLOOKUP($A81,'Allocate OPROC cost'!$A:$AO,36,FALSE)</f>
        <v>205316.22418305118</v>
      </c>
      <c r="I81" s="222">
        <f>VLOOKUP($A81,'Allocate OPROC cost'!$A:$AO,37,FALSE)</f>
        <v>2598472.9160578093</v>
      </c>
      <c r="J81" s="223">
        <f t="shared" si="71"/>
        <v>259.6773118686171</v>
      </c>
      <c r="K81" s="223">
        <f t="shared" si="71"/>
        <v>163.95142377741504</v>
      </c>
      <c r="L81" s="223">
        <f t="shared" si="71"/>
        <v>129.78269543808545</v>
      </c>
      <c r="M81" s="223">
        <f t="shared" si="71"/>
        <v>128.70098643178846</v>
      </c>
      <c r="N81" s="224">
        <f t="shared" si="76"/>
        <v>1.0908803538831764</v>
      </c>
      <c r="O81" s="224">
        <f t="shared" si="77"/>
        <v>1.1364062439058225</v>
      </c>
      <c r="P81" s="224">
        <f t="shared" si="78"/>
        <v>0.9</v>
      </c>
      <c r="Q81" s="224">
        <f t="shared" si="78"/>
        <v>0.9</v>
      </c>
      <c r="R81" s="224">
        <f t="shared" si="79"/>
        <v>1.0908803538831764</v>
      </c>
      <c r="S81" s="224">
        <f t="shared" si="80"/>
        <v>1.1364062439058225</v>
      </c>
      <c r="T81" s="224">
        <f t="shared" si="81"/>
        <v>0.9</v>
      </c>
      <c r="U81" s="224">
        <f t="shared" si="82"/>
        <v>0.9</v>
      </c>
      <c r="V81" s="225">
        <f t="shared" si="83"/>
        <v>246450.883744002</v>
      </c>
      <c r="W81" s="225">
        <f t="shared" si="84"/>
        <v>2164798.8844755664</v>
      </c>
      <c r="X81" s="225">
        <f t="shared" si="85"/>
        <v>184784.60176474607</v>
      </c>
      <c r="Y81" s="225">
        <f t="shared" si="86"/>
        <v>2338625.6244520284</v>
      </c>
      <c r="Z81" s="227">
        <f t="shared" si="87"/>
        <v>283.27687786666894</v>
      </c>
      <c r="AA81" s="227">
        <f t="shared" si="88"/>
        <v>186.315421677904</v>
      </c>
      <c r="AB81" s="227">
        <f t="shared" si="89"/>
        <v>116.8044258942769</v>
      </c>
      <c r="AC81" s="227">
        <f t="shared" si="90"/>
        <v>115.83088778860963</v>
      </c>
      <c r="AD81" s="228">
        <f t="shared" si="72"/>
        <v>9.0880353883176168E-2</v>
      </c>
      <c r="AE81" s="228">
        <f t="shared" si="73"/>
        <v>0.13640624390582268</v>
      </c>
      <c r="AF81" s="228">
        <f t="shared" si="74"/>
        <v>-0.10000000000000009</v>
      </c>
      <c r="AG81" s="228">
        <f t="shared" si="75"/>
        <v>-9.9999999999999867E-2</v>
      </c>
    </row>
    <row r="82" spans="1:33">
      <c r="A82" s="231">
        <v>314</v>
      </c>
      <c r="B82" s="222">
        <f>VLOOKUP($A82,'Allocate OPROC cost'!$A:$AO,30,FALSE)</f>
        <v>588</v>
      </c>
      <c r="C82" s="222">
        <f>VLOOKUP($A82,'Allocate OPROC cost'!$A:$AO,31,FALSE)</f>
        <v>22921</v>
      </c>
      <c r="D82" s="222">
        <f>VLOOKUP($A82,'Allocate OPROC cost'!$A:$AO,32,FALSE)</f>
        <v>649</v>
      </c>
      <c r="E82" s="222">
        <f>VLOOKUP($A82,'Allocate OPROC cost'!$A:$AO,33,FALSE)</f>
        <v>53721</v>
      </c>
      <c r="F82" s="222">
        <f>VLOOKUP($A82,'Allocate OPROC cost'!$A:$AO,34,FALSE)</f>
        <v>110239.47286964608</v>
      </c>
      <c r="G82" s="222">
        <f>VLOOKUP($A82,'Allocate OPROC cost'!$A:$AO,35,FALSE)</f>
        <v>5879107.058249698</v>
      </c>
      <c r="H82" s="222">
        <f>VLOOKUP($A82,'Allocate OPROC cost'!$A:$AO,36,FALSE)</f>
        <v>87833.302083597911</v>
      </c>
      <c r="I82" s="222">
        <f>VLOOKUP($A82,'Allocate OPROC cost'!$A:$AO,37,FALSE)</f>
        <v>10169573.136752428</v>
      </c>
      <c r="J82" s="223">
        <f t="shared" si="71"/>
        <v>187.48209671708517</v>
      </c>
      <c r="K82" s="223">
        <f t="shared" si="71"/>
        <v>256.49435270056711</v>
      </c>
      <c r="L82" s="223">
        <f t="shared" si="71"/>
        <v>135.33636684683808</v>
      </c>
      <c r="M82" s="223">
        <f t="shared" si="71"/>
        <v>189.30349652375102</v>
      </c>
      <c r="N82" s="224">
        <f t="shared" si="76"/>
        <v>1.0796750018820005</v>
      </c>
      <c r="O82" s="224">
        <f t="shared" si="77"/>
        <v>1.172978192708402</v>
      </c>
      <c r="P82" s="224">
        <f t="shared" si="78"/>
        <v>0.9</v>
      </c>
      <c r="Q82" s="224">
        <f t="shared" si="78"/>
        <v>0.9</v>
      </c>
      <c r="R82" s="224">
        <f t="shared" si="79"/>
        <v>1.0796750018820005</v>
      </c>
      <c r="S82" s="224">
        <f t="shared" si="80"/>
        <v>1.172978192708402</v>
      </c>
      <c r="T82" s="224">
        <f t="shared" si="81"/>
        <v>0.9</v>
      </c>
      <c r="U82" s="224">
        <f t="shared" si="82"/>
        <v>0.9</v>
      </c>
      <c r="V82" s="225">
        <f t="shared" si="83"/>
        <v>119022.80307800588</v>
      </c>
      <c r="W82" s="225">
        <f t="shared" si="84"/>
        <v>6896064.3719249405</v>
      </c>
      <c r="X82" s="225">
        <f t="shared" si="85"/>
        <v>79049.971875238116</v>
      </c>
      <c r="Y82" s="225">
        <f t="shared" si="86"/>
        <v>9152615.8230771851</v>
      </c>
      <c r="Z82" s="227">
        <f t="shared" si="87"/>
        <v>202.41973312586035</v>
      </c>
      <c r="AA82" s="227">
        <f t="shared" si="88"/>
        <v>300.86228227062259</v>
      </c>
      <c r="AB82" s="227">
        <f t="shared" si="89"/>
        <v>121.80273016215426</v>
      </c>
      <c r="AC82" s="227">
        <f t="shared" si="90"/>
        <v>170.37314687137589</v>
      </c>
      <c r="AD82" s="228">
        <f t="shared" si="72"/>
        <v>7.9675001882000496E-2</v>
      </c>
      <c r="AE82" s="228">
        <f t="shared" si="73"/>
        <v>0.17297819270840176</v>
      </c>
      <c r="AF82" s="228">
        <f t="shared" si="74"/>
        <v>-0.10000000000000009</v>
      </c>
      <c r="AG82" s="228">
        <f t="shared" si="75"/>
        <v>-0.10000000000000009</v>
      </c>
    </row>
    <row r="83" spans="1:33">
      <c r="A83" s="231">
        <v>315</v>
      </c>
      <c r="B83" s="222">
        <f>VLOOKUP($A83,'Allocate OPROC cost'!$A:$AO,30,FALSE)</f>
        <v>219</v>
      </c>
      <c r="C83" s="222">
        <f>VLOOKUP($A83,'Allocate OPROC cost'!$A:$AO,31,FALSE)</f>
        <v>7932</v>
      </c>
      <c r="D83" s="222">
        <f>VLOOKUP($A83,'Allocate OPROC cost'!$A:$AO,32,FALSE)</f>
        <v>588</v>
      </c>
      <c r="E83" s="222">
        <f>VLOOKUP($A83,'Allocate OPROC cost'!$A:$AO,33,FALSE)</f>
        <v>17223</v>
      </c>
      <c r="F83" s="222">
        <f>VLOOKUP($A83,'Allocate OPROC cost'!$A:$AO,34,FALSE)</f>
        <v>52422.275015077146</v>
      </c>
      <c r="G83" s="222">
        <f>VLOOKUP($A83,'Allocate OPROC cost'!$A:$AO,35,FALSE)</f>
        <v>1457284.0412301547</v>
      </c>
      <c r="H83" s="222">
        <f>VLOOKUP($A83,'Allocate OPROC cost'!$A:$AO,36,FALSE)</f>
        <v>75726.704540346167</v>
      </c>
      <c r="I83" s="222">
        <f>VLOOKUP($A83,'Allocate OPROC cost'!$A:$AO,37,FALSE)</f>
        <v>2494239.7883171793</v>
      </c>
      <c r="J83" s="223">
        <f t="shared" si="71"/>
        <v>239.37111879030661</v>
      </c>
      <c r="K83" s="223">
        <f t="shared" si="71"/>
        <v>183.72214337243503</v>
      </c>
      <c r="L83" s="223">
        <f t="shared" si="71"/>
        <v>128.78691248358192</v>
      </c>
      <c r="M83" s="223">
        <f t="shared" si="71"/>
        <v>144.82028614742956</v>
      </c>
      <c r="N83" s="224">
        <f t="shared" si="76"/>
        <v>1.1444552044308769</v>
      </c>
      <c r="O83" s="224">
        <f t="shared" si="77"/>
        <v>1.1711567352519476</v>
      </c>
      <c r="P83" s="224">
        <f t="shared" si="78"/>
        <v>0.9</v>
      </c>
      <c r="Q83" s="224">
        <f t="shared" si="78"/>
        <v>0.9</v>
      </c>
      <c r="R83" s="224">
        <f t="shared" si="79"/>
        <v>1.1444552044308769</v>
      </c>
      <c r="S83" s="224">
        <f t="shared" si="80"/>
        <v>1.1711567352519476</v>
      </c>
      <c r="T83" s="224">
        <f t="shared" si="81"/>
        <v>0.9</v>
      </c>
      <c r="U83" s="224">
        <f t="shared" si="82"/>
        <v>0.9</v>
      </c>
      <c r="V83" s="225">
        <f t="shared" si="83"/>
        <v>59994.945469111764</v>
      </c>
      <c r="W83" s="225">
        <f t="shared" si="84"/>
        <v>1706708.0200618727</v>
      </c>
      <c r="X83" s="225">
        <f t="shared" si="85"/>
        <v>68154.034086311556</v>
      </c>
      <c r="Y83" s="225">
        <f t="shared" si="86"/>
        <v>2244815.8094854616</v>
      </c>
      <c r="Z83" s="227">
        <f t="shared" si="87"/>
        <v>273.94952269000805</v>
      </c>
      <c r="AA83" s="227">
        <f t="shared" si="88"/>
        <v>215.16742562555126</v>
      </c>
      <c r="AB83" s="227">
        <f t="shared" si="89"/>
        <v>115.90822123522373</v>
      </c>
      <c r="AC83" s="227">
        <f t="shared" si="90"/>
        <v>130.33825753268661</v>
      </c>
      <c r="AD83" s="228">
        <f t="shared" si="72"/>
        <v>0.14445520443087689</v>
      </c>
      <c r="AE83" s="228">
        <f t="shared" si="73"/>
        <v>0.17115673525194763</v>
      </c>
      <c r="AF83" s="228">
        <f t="shared" si="74"/>
        <v>-9.9999999999999867E-2</v>
      </c>
      <c r="AG83" s="228">
        <f t="shared" si="75"/>
        <v>-9.9999999999999867E-2</v>
      </c>
    </row>
    <row r="84" spans="1:33">
      <c r="A84" s="231">
        <v>316</v>
      </c>
      <c r="B84" s="222">
        <f>VLOOKUP($A84,'Allocate OPROC cost'!$A:$AO,30,FALSE)</f>
        <v>656</v>
      </c>
      <c r="C84" s="222">
        <f>VLOOKUP($A84,'Allocate OPROC cost'!$A:$AO,31,FALSE)</f>
        <v>5985</v>
      </c>
      <c r="D84" s="222">
        <f>VLOOKUP($A84,'Allocate OPROC cost'!$A:$AO,32,FALSE)</f>
        <v>1961</v>
      </c>
      <c r="E84" s="222">
        <f>VLOOKUP($A84,'Allocate OPROC cost'!$A:$AO,33,FALSE)</f>
        <v>12889</v>
      </c>
      <c r="F84" s="222">
        <f>VLOOKUP($A84,'Allocate OPROC cost'!$A:$AO,34,FALSE)</f>
        <v>185600.1830173911</v>
      </c>
      <c r="G84" s="222">
        <f>VLOOKUP($A84,'Allocate OPROC cost'!$A:$AO,35,FALSE)</f>
        <v>1331936.1003724094</v>
      </c>
      <c r="H84" s="222">
        <f>VLOOKUP($A84,'Allocate OPROC cost'!$A:$AO,36,FALSE)</f>
        <v>480438.91129222844</v>
      </c>
      <c r="I84" s="222">
        <f>VLOOKUP($A84,'Allocate OPROC cost'!$A:$AO,37,FALSE)</f>
        <v>2484934.5526355323</v>
      </c>
      <c r="J84" s="223">
        <f t="shared" si="71"/>
        <v>282.92710825821814</v>
      </c>
      <c r="K84" s="223">
        <f t="shared" si="71"/>
        <v>222.54571434793809</v>
      </c>
      <c r="L84" s="223">
        <f t="shared" si="71"/>
        <v>244.99689510057544</v>
      </c>
      <c r="M84" s="223">
        <f t="shared" si="71"/>
        <v>192.79498429944388</v>
      </c>
      <c r="N84" s="224">
        <f t="shared" si="76"/>
        <v>1.2588569167775068</v>
      </c>
      <c r="O84" s="224">
        <f t="shared" si="77"/>
        <v>1.1865655981499972</v>
      </c>
      <c r="P84" s="224">
        <f t="shared" si="78"/>
        <v>0.9</v>
      </c>
      <c r="Q84" s="224">
        <f t="shared" si="78"/>
        <v>0.9</v>
      </c>
      <c r="R84" s="224">
        <f t="shared" si="79"/>
        <v>1.2588569167775068</v>
      </c>
      <c r="S84" s="224">
        <f t="shared" si="80"/>
        <v>1.1865655981499972</v>
      </c>
      <c r="T84" s="224">
        <f t="shared" si="81"/>
        <v>0.9</v>
      </c>
      <c r="U84" s="224">
        <f t="shared" si="82"/>
        <v>0.9</v>
      </c>
      <c r="V84" s="225">
        <f t="shared" si="83"/>
        <v>233644.07414661394</v>
      </c>
      <c r="W84" s="225">
        <f t="shared" si="84"/>
        <v>1580429.5556359626</v>
      </c>
      <c r="X84" s="225">
        <f t="shared" si="85"/>
        <v>432395.02016300563</v>
      </c>
      <c r="Y84" s="225">
        <f t="shared" si="86"/>
        <v>2236441.0973719792</v>
      </c>
      <c r="Z84" s="227">
        <f t="shared" si="87"/>
        <v>356.16474717471635</v>
      </c>
      <c r="AA84" s="227">
        <f t="shared" si="88"/>
        <v>264.06508866097954</v>
      </c>
      <c r="AB84" s="227">
        <f t="shared" si="89"/>
        <v>220.49720559051792</v>
      </c>
      <c r="AC84" s="227">
        <f t="shared" si="90"/>
        <v>173.51548586949951</v>
      </c>
      <c r="AD84" s="228">
        <f t="shared" si="72"/>
        <v>0.25885691677750677</v>
      </c>
      <c r="AE84" s="228">
        <f t="shared" si="73"/>
        <v>0.18656559814999696</v>
      </c>
      <c r="AF84" s="228">
        <f t="shared" si="74"/>
        <v>-9.9999999999999867E-2</v>
      </c>
      <c r="AG84" s="228">
        <f t="shared" si="75"/>
        <v>-9.9999999999999867E-2</v>
      </c>
    </row>
    <row r="85" spans="1:33">
      <c r="A85" s="231">
        <v>317</v>
      </c>
      <c r="B85" s="222">
        <f>VLOOKUP($A85,'Allocate OPROC cost'!$A:$AO,30,FALSE)</f>
        <v>316</v>
      </c>
      <c r="C85" s="222">
        <f>VLOOKUP($A85,'Allocate OPROC cost'!$A:$AO,31,FALSE)</f>
        <v>13569</v>
      </c>
      <c r="D85" s="222">
        <f>VLOOKUP($A85,'Allocate OPROC cost'!$A:$AO,32,FALSE)</f>
        <v>804</v>
      </c>
      <c r="E85" s="222">
        <f>VLOOKUP($A85,'Allocate OPROC cost'!$A:$AO,33,FALSE)</f>
        <v>16437</v>
      </c>
      <c r="F85" s="222">
        <f>VLOOKUP($A85,'Allocate OPROC cost'!$A:$AO,34,FALSE)</f>
        <v>37936.034468824888</v>
      </c>
      <c r="G85" s="222">
        <f>VLOOKUP($A85,'Allocate OPROC cost'!$A:$AO,35,FALSE)</f>
        <v>2023246.459420128</v>
      </c>
      <c r="H85" s="222">
        <f>VLOOKUP($A85,'Allocate OPROC cost'!$A:$AO,36,FALSE)</f>
        <v>150471.78292337066</v>
      </c>
      <c r="I85" s="222">
        <f>VLOOKUP($A85,'Allocate OPROC cost'!$A:$AO,37,FALSE)</f>
        <v>1904807.7650017706</v>
      </c>
      <c r="J85" s="223">
        <f t="shared" si="71"/>
        <v>120.05074198995217</v>
      </c>
      <c r="K85" s="223">
        <f t="shared" si="71"/>
        <v>149.10800054684412</v>
      </c>
      <c r="L85" s="223">
        <f t="shared" si="71"/>
        <v>187.15395885991376</v>
      </c>
      <c r="M85" s="223">
        <f t="shared" si="71"/>
        <v>115.88536624698975</v>
      </c>
      <c r="N85" s="224">
        <f t="shared" si="76"/>
        <v>1.3966460517823114</v>
      </c>
      <c r="O85" s="224">
        <f t="shared" si="77"/>
        <v>1.094146106428759</v>
      </c>
      <c r="P85" s="224">
        <f t="shared" si="78"/>
        <v>0.9</v>
      </c>
      <c r="Q85" s="224">
        <f t="shared" si="78"/>
        <v>0.9</v>
      </c>
      <c r="R85" s="224">
        <f t="shared" si="79"/>
        <v>1.3966460517823114</v>
      </c>
      <c r="S85" s="224">
        <f t="shared" si="80"/>
        <v>1.094146106428759</v>
      </c>
      <c r="T85" s="224">
        <f t="shared" si="81"/>
        <v>0.9</v>
      </c>
      <c r="U85" s="224">
        <f t="shared" si="82"/>
        <v>0.9</v>
      </c>
      <c r="V85" s="225">
        <f t="shared" si="83"/>
        <v>52983.212761161951</v>
      </c>
      <c r="W85" s="225">
        <f t="shared" si="84"/>
        <v>2213727.2359203054</v>
      </c>
      <c r="X85" s="225">
        <f t="shared" si="85"/>
        <v>135424.60463103361</v>
      </c>
      <c r="Y85" s="225">
        <f t="shared" si="86"/>
        <v>1714326.9885015935</v>
      </c>
      <c r="Z85" s="227">
        <f t="shared" si="87"/>
        <v>167.66839481380364</v>
      </c>
      <c r="AA85" s="227">
        <f t="shared" si="88"/>
        <v>163.14593823570678</v>
      </c>
      <c r="AB85" s="227">
        <f t="shared" si="89"/>
        <v>168.43856297392239</v>
      </c>
      <c r="AC85" s="227">
        <f t="shared" si="90"/>
        <v>104.29682962229077</v>
      </c>
      <c r="AD85" s="228">
        <f t="shared" si="72"/>
        <v>0.39664605178231138</v>
      </c>
      <c r="AE85" s="228">
        <f t="shared" si="73"/>
        <v>9.414610642875898E-2</v>
      </c>
      <c r="AF85" s="228">
        <f t="shared" si="74"/>
        <v>-9.9999999999999978E-2</v>
      </c>
      <c r="AG85" s="228">
        <f t="shared" si="75"/>
        <v>-9.9999999999999978E-2</v>
      </c>
    </row>
    <row r="86" spans="1:33">
      <c r="A86" s="231">
        <v>318</v>
      </c>
      <c r="B86" s="222">
        <f>VLOOKUP($A86,'Allocate OPROC cost'!$A:$AO,30,FALSE)</f>
        <v>0</v>
      </c>
      <c r="C86" s="222">
        <f>VLOOKUP($A86,'Allocate OPROC cost'!$A:$AO,31,FALSE)</f>
        <v>492</v>
      </c>
      <c r="D86" s="222">
        <f>VLOOKUP($A86,'Allocate OPROC cost'!$A:$AO,32,FALSE)</f>
        <v>0</v>
      </c>
      <c r="E86" s="222">
        <f>VLOOKUP($A86,'Allocate OPROC cost'!$A:$AO,33,FALSE)</f>
        <v>86</v>
      </c>
      <c r="F86" s="222">
        <f>VLOOKUP($A86,'Allocate OPROC cost'!$A:$AO,34,FALSE)</f>
        <v>0</v>
      </c>
      <c r="G86" s="222">
        <f>VLOOKUP($A86,'Allocate OPROC cost'!$A:$AO,35,FALSE)</f>
        <v>52482.832585170247</v>
      </c>
      <c r="H86" s="222">
        <f>VLOOKUP($A86,'Allocate OPROC cost'!$A:$AO,36,FALSE)</f>
        <v>0</v>
      </c>
      <c r="I86" s="222">
        <f>VLOOKUP($A86,'Allocate OPROC cost'!$A:$AO,37,FALSE)</f>
        <v>6303.1371799822509</v>
      </c>
      <c r="J86" s="223">
        <f t="shared" si="71"/>
        <v>0</v>
      </c>
      <c r="K86" s="223">
        <f t="shared" si="71"/>
        <v>106.67242395359806</v>
      </c>
      <c r="L86" s="223">
        <f t="shared" si="71"/>
        <v>0</v>
      </c>
      <c r="M86" s="223">
        <f t="shared" si="71"/>
        <v>73.292292790491288</v>
      </c>
      <c r="N86" s="224">
        <f t="shared" si="76"/>
        <v>1</v>
      </c>
      <c r="O86" s="224">
        <f t="shared" si="77"/>
        <v>1.0120099027996505</v>
      </c>
      <c r="P86" s="224">
        <f t="shared" si="78"/>
        <v>0.9</v>
      </c>
      <c r="Q86" s="224">
        <f t="shared" si="78"/>
        <v>0.9</v>
      </c>
      <c r="R86" s="224">
        <f t="shared" si="79"/>
        <v>1</v>
      </c>
      <c r="S86" s="224">
        <f t="shared" si="80"/>
        <v>1.0120099027996505</v>
      </c>
      <c r="T86" s="224">
        <f t="shared" si="81"/>
        <v>0.9</v>
      </c>
      <c r="U86" s="224">
        <f t="shared" si="82"/>
        <v>0.9</v>
      </c>
      <c r="V86" s="225">
        <f t="shared" si="83"/>
        <v>0</v>
      </c>
      <c r="W86" s="225">
        <f t="shared" si="84"/>
        <v>53113.146303168476</v>
      </c>
      <c r="X86" s="225">
        <f t="shared" si="85"/>
        <v>0</v>
      </c>
      <c r="Y86" s="225">
        <f t="shared" si="86"/>
        <v>5672.8234619840259</v>
      </c>
      <c r="Z86" s="227">
        <f t="shared" si="87"/>
        <v>0</v>
      </c>
      <c r="AA86" s="227">
        <f t="shared" si="88"/>
        <v>107.9535493966839</v>
      </c>
      <c r="AB86" s="227">
        <f t="shared" si="89"/>
        <v>0</v>
      </c>
      <c r="AC86" s="227">
        <f t="shared" si="90"/>
        <v>65.963063511442158</v>
      </c>
      <c r="AD86" s="228">
        <f t="shared" si="72"/>
        <v>0</v>
      </c>
      <c r="AE86" s="228">
        <f t="shared" si="73"/>
        <v>1.2009902799650751E-2</v>
      </c>
      <c r="AF86" s="228">
        <f t="shared" si="74"/>
        <v>0</v>
      </c>
      <c r="AG86" s="228">
        <f t="shared" si="75"/>
        <v>-9.9999999999999978E-2</v>
      </c>
    </row>
    <row r="87" spans="1:33">
      <c r="A87" s="231">
        <v>320</v>
      </c>
      <c r="B87" s="222">
        <f>VLOOKUP($A87,'Allocate OPROC cost'!$A:$AO,30,FALSE)</f>
        <v>15319</v>
      </c>
      <c r="C87" s="222">
        <f>VLOOKUP($A87,'Allocate OPROC cost'!$A:$AO,31,FALSE)</f>
        <v>733196</v>
      </c>
      <c r="D87" s="222">
        <f>VLOOKUP($A87,'Allocate OPROC cost'!$A:$AO,32,FALSE)</f>
        <v>33868</v>
      </c>
      <c r="E87" s="222">
        <f>VLOOKUP($A87,'Allocate OPROC cost'!$A:$AO,33,FALSE)</f>
        <v>1064036</v>
      </c>
      <c r="F87" s="222">
        <f>VLOOKUP($A87,'Allocate OPROC cost'!$A:$AO,34,FALSE)</f>
        <v>3151257.5261258949</v>
      </c>
      <c r="G87" s="222">
        <f>VLOOKUP($A87,'Allocate OPROC cost'!$A:$AO,35,FALSE)</f>
        <v>106229045.14438491</v>
      </c>
      <c r="H87" s="222">
        <f>VLOOKUP($A87,'Allocate OPROC cost'!$A:$AO,36,FALSE)</f>
        <v>5218926.0002078349</v>
      </c>
      <c r="I87" s="222">
        <f>VLOOKUP($A87,'Allocate OPROC cost'!$A:$AO,37,FALSE)</f>
        <v>120061832.73717819</v>
      </c>
      <c r="J87" s="223">
        <f t="shared" ref="J87" si="91">IF(B87=0,0,F87/B87)</f>
        <v>205.70908846046706</v>
      </c>
      <c r="K87" s="223">
        <f t="shared" ref="K87" si="92">IF(C87=0,0,G87/C87)</f>
        <v>144.88492182770352</v>
      </c>
      <c r="L87" s="223">
        <f t="shared" ref="L87" si="93">IF(D87=0,0,H87/D87)</f>
        <v>154.09607890066832</v>
      </c>
      <c r="M87" s="223">
        <f t="shared" ref="M87" si="94">IF(E87=0,0,I87/E87)</f>
        <v>112.83625059413234</v>
      </c>
      <c r="N87" s="224">
        <f t="shared" ref="N87" si="95">IF(F87=0,1,1+(H87*$O$4)/F87)</f>
        <v>1.1656140749189705</v>
      </c>
      <c r="O87" s="224">
        <f t="shared" ref="O87" si="96">IF(G87=0,1,1+(I87*$O$4)/G87)</f>
        <v>1.1130216623654972</v>
      </c>
      <c r="P87" s="224">
        <f t="shared" si="78"/>
        <v>0.9</v>
      </c>
      <c r="Q87" s="224">
        <f t="shared" si="78"/>
        <v>0.9</v>
      </c>
      <c r="R87" s="224">
        <f t="shared" ref="R87" si="97">IF($S$4="No limit",N87,IF(N87&gt;$S$4,$S$4,N87))</f>
        <v>1.1656140749189705</v>
      </c>
      <c r="S87" s="224">
        <f t="shared" ref="S87" si="98">IF($S$4="No limit",O87,IF(O87&gt;$S$4,$S$4,O87))</f>
        <v>1.1130216623654972</v>
      </c>
      <c r="T87" s="224">
        <f t="shared" si="81"/>
        <v>0.9</v>
      </c>
      <c r="U87" s="224">
        <f t="shared" si="82"/>
        <v>0.9</v>
      </c>
      <c r="V87" s="225">
        <f t="shared" ref="V87" si="99">R87*F87</f>
        <v>3673150.1261466783</v>
      </c>
      <c r="W87" s="225">
        <f t="shared" ref="W87" si="100">S87*G87</f>
        <v>118235228.41810273</v>
      </c>
      <c r="X87" s="225">
        <f t="shared" ref="X87" si="101">T87*H87</f>
        <v>4697033.4001870519</v>
      </c>
      <c r="Y87" s="225">
        <f t="shared" ref="Y87" si="102">U87*I87</f>
        <v>108055649.46346037</v>
      </c>
      <c r="Z87" s="227">
        <f t="shared" ref="Z87" si="103">IF(B87=0,0,V87/B87)</f>
        <v>239.77740884827196</v>
      </c>
      <c r="AA87" s="227">
        <f t="shared" ref="AA87" si="104">IF(C87=0,0,W87/C87)</f>
        <v>161.26005654436565</v>
      </c>
      <c r="AB87" s="227">
        <f t="shared" ref="AB87" si="105">IF(D87=0,0,X87/D87)</f>
        <v>138.68647101060151</v>
      </c>
      <c r="AC87" s="227">
        <f t="shared" ref="AC87" si="106">IF(E87=0,0,Y87/E87)</f>
        <v>101.5526255347191</v>
      </c>
      <c r="AD87" s="228">
        <f t="shared" ref="AD87" si="107">IF(J87=0,0,Z87/J87-1)</f>
        <v>0.16561407491897051</v>
      </c>
      <c r="AE87" s="228">
        <f t="shared" ref="AE87" si="108">IF(K87=0,0,AA87/K87-1)</f>
        <v>0.11302166236549693</v>
      </c>
      <c r="AF87" s="228">
        <f t="shared" ref="AF87" si="109">IF(L87=0,0,AB87/L87-1)</f>
        <v>-9.9999999999999867E-2</v>
      </c>
      <c r="AG87" s="228">
        <f t="shared" ref="AG87" si="110">IF(M87=0,0,AC87/M87-1)</f>
        <v>-0.10000000000000009</v>
      </c>
    </row>
    <row r="88" spans="1:33">
      <c r="A88" s="231">
        <v>321</v>
      </c>
      <c r="B88" s="222">
        <f>VLOOKUP($A88,'Allocate OPROC cost'!$A:$AO,30,FALSE)</f>
        <v>1564</v>
      </c>
      <c r="C88" s="222">
        <f>VLOOKUP($A88,'Allocate OPROC cost'!$A:$AO,31,FALSE)</f>
        <v>29219</v>
      </c>
      <c r="D88" s="222">
        <f>VLOOKUP($A88,'Allocate OPROC cost'!$A:$AO,32,FALSE)</f>
        <v>3558</v>
      </c>
      <c r="E88" s="222">
        <f>VLOOKUP($A88,'Allocate OPROC cost'!$A:$AO,33,FALSE)</f>
        <v>77767</v>
      </c>
      <c r="F88" s="222">
        <f>VLOOKUP($A88,'Allocate OPROC cost'!$A:$AO,34,FALSE)</f>
        <v>277531.02374886058</v>
      </c>
      <c r="G88" s="222">
        <f>VLOOKUP($A88,'Allocate OPROC cost'!$A:$AO,35,FALSE)</f>
        <v>5924745.8135332186</v>
      </c>
      <c r="H88" s="222">
        <f>VLOOKUP($A88,'Allocate OPROC cost'!$A:$AO,36,FALSE)</f>
        <v>678996.87748598133</v>
      </c>
      <c r="I88" s="222">
        <f>VLOOKUP($A88,'Allocate OPROC cost'!$A:$AO,37,FALSE)</f>
        <v>11362329.503407879</v>
      </c>
      <c r="J88" s="223">
        <f t="shared" si="71"/>
        <v>177.44950367574205</v>
      </c>
      <c r="K88" s="223">
        <f t="shared" si="71"/>
        <v>202.77031430005198</v>
      </c>
      <c r="L88" s="223">
        <f t="shared" si="71"/>
        <v>190.83667158122017</v>
      </c>
      <c r="M88" s="223">
        <f t="shared" si="71"/>
        <v>146.10733991806137</v>
      </c>
      <c r="N88" s="224">
        <f t="shared" si="76"/>
        <v>1.2446562075526408</v>
      </c>
      <c r="O88" s="224">
        <f t="shared" si="77"/>
        <v>1.1917775017023382</v>
      </c>
      <c r="P88" s="224">
        <f t="shared" si="78"/>
        <v>0.9</v>
      </c>
      <c r="Q88" s="224">
        <f t="shared" si="78"/>
        <v>0.9</v>
      </c>
      <c r="R88" s="224">
        <f t="shared" si="79"/>
        <v>1.2446562075526408</v>
      </c>
      <c r="S88" s="224">
        <f t="shared" si="80"/>
        <v>1.1917775017023382</v>
      </c>
      <c r="T88" s="224">
        <f t="shared" si="81"/>
        <v>0.9</v>
      </c>
      <c r="U88" s="224">
        <f t="shared" si="82"/>
        <v>0.9</v>
      </c>
      <c r="V88" s="225">
        <f t="shared" si="83"/>
        <v>345430.71149745869</v>
      </c>
      <c r="W88" s="225">
        <f t="shared" si="84"/>
        <v>7060978.7638740065</v>
      </c>
      <c r="X88" s="225">
        <f t="shared" si="85"/>
        <v>611097.18973738316</v>
      </c>
      <c r="Y88" s="225">
        <f t="shared" si="86"/>
        <v>10226096.553067092</v>
      </c>
      <c r="Z88" s="227">
        <f t="shared" si="87"/>
        <v>220.86362627714749</v>
      </c>
      <c r="AA88" s="227">
        <f t="shared" si="88"/>
        <v>241.65709859591385</v>
      </c>
      <c r="AB88" s="227">
        <f t="shared" si="89"/>
        <v>171.75300442309813</v>
      </c>
      <c r="AC88" s="227">
        <f t="shared" si="90"/>
        <v>131.49660592625526</v>
      </c>
      <c r="AD88" s="228">
        <f t="shared" si="72"/>
        <v>0.24465620755264084</v>
      </c>
      <c r="AE88" s="228">
        <f t="shared" si="73"/>
        <v>0.1917775017023382</v>
      </c>
      <c r="AF88" s="228">
        <f t="shared" si="74"/>
        <v>-0.10000000000000009</v>
      </c>
      <c r="AG88" s="228">
        <f t="shared" si="75"/>
        <v>-9.9999999999999867E-2</v>
      </c>
    </row>
    <row r="89" spans="1:33">
      <c r="A89" s="231">
        <v>322</v>
      </c>
      <c r="B89" s="222">
        <f>VLOOKUP($A89,'Allocate OPROC cost'!$A:$AO,30,FALSE)</f>
        <v>0</v>
      </c>
      <c r="C89" s="222">
        <f>VLOOKUP($A89,'Allocate OPROC cost'!$A:$AO,31,FALSE)</f>
        <v>210</v>
      </c>
      <c r="D89" s="222">
        <f>VLOOKUP($A89,'Allocate OPROC cost'!$A:$AO,32,FALSE)</f>
        <v>0</v>
      </c>
      <c r="E89" s="222">
        <f>VLOOKUP($A89,'Allocate OPROC cost'!$A:$AO,33,FALSE)</f>
        <v>469</v>
      </c>
      <c r="F89" s="222">
        <f>VLOOKUP($A89,'Allocate OPROC cost'!$A:$AO,34,FALSE)</f>
        <v>0</v>
      </c>
      <c r="G89" s="222">
        <f>VLOOKUP($A89,'Allocate OPROC cost'!$A:$AO,35,FALSE)</f>
        <v>39584.968033581521</v>
      </c>
      <c r="H89" s="222">
        <f>VLOOKUP($A89,'Allocate OPROC cost'!$A:$AO,36,FALSE)</f>
        <v>0</v>
      </c>
      <c r="I89" s="222">
        <f>VLOOKUP($A89,'Allocate OPROC cost'!$A:$AO,37,FALSE)</f>
        <v>40733.455046472409</v>
      </c>
      <c r="J89" s="223">
        <f t="shared" si="71"/>
        <v>0</v>
      </c>
      <c r="K89" s="223">
        <f t="shared" si="71"/>
        <v>188.49984777895963</v>
      </c>
      <c r="L89" s="223">
        <f t="shared" si="71"/>
        <v>0</v>
      </c>
      <c r="M89" s="223">
        <f t="shared" si="71"/>
        <v>86.851716516998735</v>
      </c>
      <c r="N89" s="224">
        <f t="shared" si="76"/>
        <v>1</v>
      </c>
      <c r="O89" s="224">
        <f t="shared" si="77"/>
        <v>1.1029013210568128</v>
      </c>
      <c r="P89" s="224">
        <f t="shared" si="78"/>
        <v>0.9</v>
      </c>
      <c r="Q89" s="224">
        <f t="shared" si="78"/>
        <v>0.9</v>
      </c>
      <c r="R89" s="224">
        <f t="shared" si="79"/>
        <v>1</v>
      </c>
      <c r="S89" s="224">
        <f t="shared" si="80"/>
        <v>1.1029013210568128</v>
      </c>
      <c r="T89" s="224">
        <f t="shared" si="81"/>
        <v>0.9</v>
      </c>
      <c r="U89" s="224">
        <f t="shared" si="82"/>
        <v>0.9</v>
      </c>
      <c r="V89" s="225">
        <f t="shared" si="83"/>
        <v>0</v>
      </c>
      <c r="W89" s="225">
        <f t="shared" si="84"/>
        <v>43658.313538228766</v>
      </c>
      <c r="X89" s="225">
        <f t="shared" si="85"/>
        <v>0</v>
      </c>
      <c r="Y89" s="225">
        <f t="shared" si="86"/>
        <v>36660.109541825172</v>
      </c>
      <c r="Z89" s="227">
        <f t="shared" si="87"/>
        <v>0</v>
      </c>
      <c r="AA89" s="227">
        <f t="shared" si="88"/>
        <v>207.89673113442268</v>
      </c>
      <c r="AB89" s="227">
        <f t="shared" si="89"/>
        <v>0</v>
      </c>
      <c r="AC89" s="227">
        <f t="shared" si="90"/>
        <v>78.166544865298874</v>
      </c>
      <c r="AD89" s="228">
        <f t="shared" si="72"/>
        <v>0</v>
      </c>
      <c r="AE89" s="228">
        <f t="shared" si="73"/>
        <v>0.1029013210568126</v>
      </c>
      <c r="AF89" s="228">
        <f t="shared" si="74"/>
        <v>0</v>
      </c>
      <c r="AG89" s="228">
        <f t="shared" si="75"/>
        <v>-9.9999999999999867E-2</v>
      </c>
    </row>
    <row r="90" spans="1:33">
      <c r="A90" s="231">
        <v>323</v>
      </c>
      <c r="B90" s="222">
        <f>VLOOKUP($A90,'Allocate OPROC cost'!$A:$AO,30,FALSE)</f>
        <v>17</v>
      </c>
      <c r="C90" s="222">
        <f>VLOOKUP($A90,'Allocate OPROC cost'!$A:$AO,31,FALSE)</f>
        <v>1167</v>
      </c>
      <c r="D90" s="222">
        <f>VLOOKUP($A90,'Allocate OPROC cost'!$A:$AO,32,FALSE)</f>
        <v>79</v>
      </c>
      <c r="E90" s="222">
        <f>VLOOKUP($A90,'Allocate OPROC cost'!$A:$AO,33,FALSE)</f>
        <v>11365</v>
      </c>
      <c r="F90" s="222">
        <f>VLOOKUP($A90,'Allocate OPROC cost'!$A:$AO,34,FALSE)</f>
        <v>5572.6013244338301</v>
      </c>
      <c r="G90" s="222">
        <f>VLOOKUP($A90,'Allocate OPROC cost'!$A:$AO,35,FALSE)</f>
        <v>513755.91809347022</v>
      </c>
      <c r="H90" s="222">
        <f>VLOOKUP($A90,'Allocate OPROC cost'!$A:$AO,36,FALSE)</f>
        <v>22629.310793601933</v>
      </c>
      <c r="I90" s="222">
        <f>VLOOKUP($A90,'Allocate OPROC cost'!$A:$AO,37,FALSE)</f>
        <v>2809657.9954812308</v>
      </c>
      <c r="J90" s="223">
        <f t="shared" si="71"/>
        <v>327.80007790787238</v>
      </c>
      <c r="K90" s="223">
        <f t="shared" si="71"/>
        <v>440.23643367049721</v>
      </c>
      <c r="L90" s="223">
        <f t="shared" si="71"/>
        <v>286.44697207091053</v>
      </c>
      <c r="M90" s="223">
        <f t="shared" si="71"/>
        <v>247.22023717388745</v>
      </c>
      <c r="N90" s="224">
        <f t="shared" si="76"/>
        <v>1.4060816390072737</v>
      </c>
      <c r="O90" s="224">
        <f t="shared" si="77"/>
        <v>1.5468857674492142</v>
      </c>
      <c r="P90" s="224">
        <f t="shared" si="78"/>
        <v>0.9</v>
      </c>
      <c r="Q90" s="224">
        <f t="shared" si="78"/>
        <v>0.9</v>
      </c>
      <c r="R90" s="224">
        <f t="shared" si="79"/>
        <v>1.4060816390072737</v>
      </c>
      <c r="S90" s="224">
        <f t="shared" si="80"/>
        <v>1.5</v>
      </c>
      <c r="T90" s="224">
        <f t="shared" si="81"/>
        <v>0.9</v>
      </c>
      <c r="U90" s="224">
        <f t="shared" si="82"/>
        <v>0.9</v>
      </c>
      <c r="V90" s="225">
        <f t="shared" si="83"/>
        <v>7835.5324037940236</v>
      </c>
      <c r="W90" s="225">
        <f t="shared" si="84"/>
        <v>770633.87714020535</v>
      </c>
      <c r="X90" s="225">
        <f t="shared" si="85"/>
        <v>20366.379714241739</v>
      </c>
      <c r="Y90" s="225">
        <f t="shared" si="86"/>
        <v>2528692.1959331078</v>
      </c>
      <c r="Z90" s="227">
        <f t="shared" si="87"/>
        <v>460.91367081141317</v>
      </c>
      <c r="AA90" s="227">
        <f t="shared" si="88"/>
        <v>660.35465050574578</v>
      </c>
      <c r="AB90" s="227">
        <f t="shared" si="89"/>
        <v>257.80227486381949</v>
      </c>
      <c r="AC90" s="227">
        <f t="shared" si="90"/>
        <v>222.49821345649869</v>
      </c>
      <c r="AD90" s="228">
        <f t="shared" si="72"/>
        <v>0.40608163900727368</v>
      </c>
      <c r="AE90" s="228">
        <f t="shared" si="73"/>
        <v>0.5</v>
      </c>
      <c r="AF90" s="228">
        <f t="shared" si="74"/>
        <v>-9.9999999999999978E-2</v>
      </c>
      <c r="AG90" s="228">
        <f t="shared" si="75"/>
        <v>-0.10000000000000009</v>
      </c>
    </row>
    <row r="91" spans="1:33">
      <c r="A91" s="231">
        <v>324</v>
      </c>
      <c r="B91" s="222">
        <f>VLOOKUP($A91,'Allocate OPROC cost'!$A:$AO,30,FALSE)</f>
        <v>430</v>
      </c>
      <c r="C91" s="222">
        <f>VLOOKUP($A91,'Allocate OPROC cost'!$A:$AO,31,FALSE)</f>
        <v>88174</v>
      </c>
      <c r="D91" s="222">
        <f>VLOOKUP($A91,'Allocate OPROC cost'!$A:$AO,32,FALSE)</f>
        <v>305</v>
      </c>
      <c r="E91" s="222">
        <f>VLOOKUP($A91,'Allocate OPROC cost'!$A:$AO,33,FALSE)</f>
        <v>1400179</v>
      </c>
      <c r="F91" s="222">
        <f>VLOOKUP($A91,'Allocate OPROC cost'!$A:$AO,34,FALSE)</f>
        <v>23764.413163780253</v>
      </c>
      <c r="G91" s="222">
        <f>VLOOKUP($A91,'Allocate OPROC cost'!$A:$AO,35,FALSE)</f>
        <v>4430304.6065879064</v>
      </c>
      <c r="H91" s="222">
        <f>VLOOKUP($A91,'Allocate OPROC cost'!$A:$AO,36,FALSE)</f>
        <v>13692.464814464796</v>
      </c>
      <c r="I91" s="222">
        <f>VLOOKUP($A91,'Allocate OPROC cost'!$A:$AO,37,FALSE)</f>
        <v>40338790.121628352</v>
      </c>
      <c r="J91" s="223">
        <f t="shared" si="71"/>
        <v>55.266077125070353</v>
      </c>
      <c r="K91" s="223">
        <f t="shared" si="71"/>
        <v>50.245022416901882</v>
      </c>
      <c r="L91" s="223">
        <f t="shared" si="71"/>
        <v>44.893327260540318</v>
      </c>
      <c r="M91" s="223">
        <f t="shared" si="71"/>
        <v>28.809737984663641</v>
      </c>
      <c r="N91" s="224">
        <f t="shared" si="76"/>
        <v>1.0576175170836271</v>
      </c>
      <c r="O91" s="224">
        <f t="shared" si="77"/>
        <v>1.9105195625069251</v>
      </c>
      <c r="P91" s="224">
        <f t="shared" si="78"/>
        <v>0.9</v>
      </c>
      <c r="Q91" s="224">
        <f t="shared" si="78"/>
        <v>0.9</v>
      </c>
      <c r="R91" s="224">
        <f t="shared" si="79"/>
        <v>1.0576175170836271</v>
      </c>
      <c r="S91" s="224">
        <f t="shared" si="80"/>
        <v>1.5</v>
      </c>
      <c r="T91" s="224">
        <f t="shared" si="81"/>
        <v>0.9</v>
      </c>
      <c r="U91" s="224">
        <f t="shared" si="82"/>
        <v>0.9</v>
      </c>
      <c r="V91" s="225">
        <f t="shared" si="83"/>
        <v>25133.659645226733</v>
      </c>
      <c r="W91" s="225">
        <f t="shared" si="84"/>
        <v>6645456.90988186</v>
      </c>
      <c r="X91" s="225">
        <f t="shared" si="85"/>
        <v>12323.218333018316</v>
      </c>
      <c r="Y91" s="225">
        <f t="shared" si="86"/>
        <v>36304911.109465517</v>
      </c>
      <c r="Z91" s="227">
        <f t="shared" si="87"/>
        <v>58.450371267969146</v>
      </c>
      <c r="AA91" s="227">
        <f t="shared" si="88"/>
        <v>75.36753362535282</v>
      </c>
      <c r="AB91" s="227">
        <f t="shared" si="89"/>
        <v>40.40399453448628</v>
      </c>
      <c r="AC91" s="227">
        <f t="shared" si="90"/>
        <v>25.928764186197277</v>
      </c>
      <c r="AD91" s="228">
        <f t="shared" si="72"/>
        <v>5.7617517083627057E-2</v>
      </c>
      <c r="AE91" s="228">
        <f t="shared" si="73"/>
        <v>0.5</v>
      </c>
      <c r="AF91" s="228">
        <f t="shared" si="74"/>
        <v>-0.10000000000000009</v>
      </c>
      <c r="AG91" s="228">
        <f t="shared" si="75"/>
        <v>-9.9999999999999978E-2</v>
      </c>
    </row>
    <row r="92" spans="1:33">
      <c r="A92" s="231">
        <v>325</v>
      </c>
      <c r="B92" s="222">
        <f>VLOOKUP($A92,'Allocate OPROC cost'!$A:$AO,30,FALSE)</f>
        <v>43</v>
      </c>
      <c r="C92" s="222">
        <f>VLOOKUP($A92,'Allocate OPROC cost'!$A:$AO,31,FALSE)</f>
        <v>1317</v>
      </c>
      <c r="D92" s="222">
        <f>VLOOKUP($A92,'Allocate OPROC cost'!$A:$AO,32,FALSE)</f>
        <v>0</v>
      </c>
      <c r="E92" s="222">
        <f>VLOOKUP($A92,'Allocate OPROC cost'!$A:$AO,33,FALSE)</f>
        <v>2264</v>
      </c>
      <c r="F92" s="222">
        <f>VLOOKUP($A92,'Allocate OPROC cost'!$A:$AO,34,FALSE)</f>
        <v>4520.37490930884</v>
      </c>
      <c r="G92" s="222">
        <f>VLOOKUP($A92,'Allocate OPROC cost'!$A:$AO,35,FALSE)</f>
        <v>135045.34157517989</v>
      </c>
      <c r="H92" s="222">
        <f>VLOOKUP($A92,'Allocate OPROC cost'!$A:$AO,36,FALSE)</f>
        <v>0</v>
      </c>
      <c r="I92" s="222">
        <f>VLOOKUP($A92,'Allocate OPROC cost'!$A:$AO,37,FALSE)</f>
        <v>154591.93296318123</v>
      </c>
      <c r="J92" s="223">
        <f t="shared" si="71"/>
        <v>105.12499789090326</v>
      </c>
      <c r="K92" s="223">
        <f t="shared" si="71"/>
        <v>102.54012268426719</v>
      </c>
      <c r="L92" s="223">
        <f t="shared" si="71"/>
        <v>0</v>
      </c>
      <c r="M92" s="223">
        <f t="shared" si="71"/>
        <v>68.282655902465208</v>
      </c>
      <c r="N92" s="224">
        <f t="shared" si="76"/>
        <v>1</v>
      </c>
      <c r="O92" s="224">
        <f t="shared" si="77"/>
        <v>1.1144740952631229</v>
      </c>
      <c r="P92" s="224">
        <f t="shared" si="78"/>
        <v>0.9</v>
      </c>
      <c r="Q92" s="224">
        <f t="shared" si="78"/>
        <v>0.9</v>
      </c>
      <c r="R92" s="224">
        <f t="shared" si="79"/>
        <v>1</v>
      </c>
      <c r="S92" s="224">
        <f t="shared" si="80"/>
        <v>1.1144740952631229</v>
      </c>
      <c r="T92" s="224">
        <f t="shared" si="81"/>
        <v>0.9</v>
      </c>
      <c r="U92" s="224">
        <f t="shared" si="82"/>
        <v>0.9</v>
      </c>
      <c r="V92" s="225">
        <f t="shared" si="83"/>
        <v>4520.37490930884</v>
      </c>
      <c r="W92" s="225">
        <f t="shared" si="84"/>
        <v>150504.53487149801</v>
      </c>
      <c r="X92" s="225">
        <f t="shared" si="85"/>
        <v>0</v>
      </c>
      <c r="Y92" s="225">
        <f t="shared" si="86"/>
        <v>139132.73966686311</v>
      </c>
      <c r="Z92" s="227">
        <f t="shared" si="87"/>
        <v>105.12499789090326</v>
      </c>
      <c r="AA92" s="227">
        <f t="shared" si="88"/>
        <v>114.2783104567183</v>
      </c>
      <c r="AB92" s="227">
        <f t="shared" si="89"/>
        <v>0</v>
      </c>
      <c r="AC92" s="227">
        <f t="shared" si="90"/>
        <v>61.454390312218692</v>
      </c>
      <c r="AD92" s="228">
        <f t="shared" si="72"/>
        <v>0</v>
      </c>
      <c r="AE92" s="228">
        <f t="shared" si="73"/>
        <v>0.11447409526312291</v>
      </c>
      <c r="AF92" s="228">
        <f t="shared" si="74"/>
        <v>0</v>
      </c>
      <c r="AG92" s="228">
        <f t="shared" si="75"/>
        <v>-9.9999999999999978E-2</v>
      </c>
    </row>
    <row r="93" spans="1:33">
      <c r="A93" s="231">
        <v>327</v>
      </c>
      <c r="B93" s="222">
        <f>VLOOKUP($A93,'Allocate OPROC cost'!$A:$AO,30,FALSE)</f>
        <v>427</v>
      </c>
      <c r="C93" s="222">
        <f>VLOOKUP($A93,'Allocate OPROC cost'!$A:$AO,31,FALSE)</f>
        <v>2310</v>
      </c>
      <c r="D93" s="222">
        <f>VLOOKUP($A93,'Allocate OPROC cost'!$A:$AO,32,FALSE)</f>
        <v>1478</v>
      </c>
      <c r="E93" s="222">
        <f>VLOOKUP($A93,'Allocate OPROC cost'!$A:$AO,33,FALSE)</f>
        <v>21701</v>
      </c>
      <c r="F93" s="222">
        <f>VLOOKUP($A93,'Allocate OPROC cost'!$A:$AO,34,FALSE)</f>
        <v>94540.386741250302</v>
      </c>
      <c r="G93" s="222">
        <f>VLOOKUP($A93,'Allocate OPROC cost'!$A:$AO,35,FALSE)</f>
        <v>264979.57346932078</v>
      </c>
      <c r="H93" s="222">
        <f>VLOOKUP($A93,'Allocate OPROC cost'!$A:$AO,36,FALSE)</f>
        <v>132689.97111362999</v>
      </c>
      <c r="I93" s="222">
        <f>VLOOKUP($A93,'Allocate OPROC cost'!$A:$AO,37,FALSE)</f>
        <v>809747.26641888742</v>
      </c>
      <c r="J93" s="223">
        <f t="shared" si="71"/>
        <v>221.40605794203819</v>
      </c>
      <c r="K93" s="223">
        <f t="shared" si="71"/>
        <v>114.70977206464103</v>
      </c>
      <c r="L93" s="223">
        <f t="shared" si="71"/>
        <v>89.776705760236794</v>
      </c>
      <c r="M93" s="223">
        <f t="shared" si="71"/>
        <v>37.313822700285122</v>
      </c>
      <c r="N93" s="224">
        <f t="shared" si="76"/>
        <v>1.1403526849078713</v>
      </c>
      <c r="O93" s="224">
        <f t="shared" si="77"/>
        <v>1.3055885613434424</v>
      </c>
      <c r="P93" s="224">
        <f t="shared" si="78"/>
        <v>0.9</v>
      </c>
      <c r="Q93" s="224">
        <f t="shared" si="78"/>
        <v>0.9</v>
      </c>
      <c r="R93" s="224">
        <f t="shared" si="79"/>
        <v>1.1403526849078713</v>
      </c>
      <c r="S93" s="224">
        <f t="shared" si="80"/>
        <v>1.3055885613434424</v>
      </c>
      <c r="T93" s="224">
        <f t="shared" si="81"/>
        <v>0.9</v>
      </c>
      <c r="U93" s="224">
        <f t="shared" si="82"/>
        <v>0.9</v>
      </c>
      <c r="V93" s="225">
        <f t="shared" si="83"/>
        <v>107809.3838526133</v>
      </c>
      <c r="W93" s="225">
        <f t="shared" si="84"/>
        <v>345954.30011120951</v>
      </c>
      <c r="X93" s="225">
        <f t="shared" si="85"/>
        <v>119420.97400226699</v>
      </c>
      <c r="Y93" s="225">
        <f t="shared" si="86"/>
        <v>728772.53977699869</v>
      </c>
      <c r="Z93" s="227">
        <f t="shared" si="87"/>
        <v>252.48099262907098</v>
      </c>
      <c r="AA93" s="227">
        <f t="shared" si="88"/>
        <v>149.76376628190889</v>
      </c>
      <c r="AB93" s="227">
        <f t="shared" si="89"/>
        <v>80.79903518421311</v>
      </c>
      <c r="AC93" s="227">
        <f t="shared" si="90"/>
        <v>33.582440430256611</v>
      </c>
      <c r="AD93" s="228">
        <f t="shared" si="72"/>
        <v>0.14035268490787134</v>
      </c>
      <c r="AE93" s="228">
        <f t="shared" si="73"/>
        <v>0.30558856134344237</v>
      </c>
      <c r="AF93" s="228">
        <f t="shared" si="74"/>
        <v>-0.10000000000000009</v>
      </c>
      <c r="AG93" s="228">
        <f t="shared" si="75"/>
        <v>-9.9999999999999978E-2</v>
      </c>
    </row>
    <row r="94" spans="1:33">
      <c r="A94" s="231">
        <v>328</v>
      </c>
      <c r="B94" s="222">
        <f>VLOOKUP($A94,'Allocate OPROC cost'!$A:$AO,30,FALSE)</f>
        <v>564</v>
      </c>
      <c r="C94" s="222">
        <f>VLOOKUP($A94,'Allocate OPROC cost'!$A:$AO,31,FALSE)</f>
        <v>15958</v>
      </c>
      <c r="D94" s="222">
        <f>VLOOKUP($A94,'Allocate OPROC cost'!$A:$AO,32,FALSE)</f>
        <v>505</v>
      </c>
      <c r="E94" s="222">
        <f>VLOOKUP($A94,'Allocate OPROC cost'!$A:$AO,33,FALSE)</f>
        <v>13903</v>
      </c>
      <c r="F94" s="222">
        <f>VLOOKUP($A94,'Allocate OPROC cost'!$A:$AO,34,FALSE)</f>
        <v>92347.34630540591</v>
      </c>
      <c r="G94" s="222">
        <f>VLOOKUP($A94,'Allocate OPROC cost'!$A:$AO,35,FALSE)</f>
        <v>3636145.4324719552</v>
      </c>
      <c r="H94" s="222">
        <f>VLOOKUP($A94,'Allocate OPROC cost'!$A:$AO,36,FALSE)</f>
        <v>74981.72335483809</v>
      </c>
      <c r="I94" s="222">
        <f>VLOOKUP($A94,'Allocate OPROC cost'!$A:$AO,37,FALSE)</f>
        <v>2386390.5878596641</v>
      </c>
      <c r="J94" s="223">
        <f t="shared" si="71"/>
        <v>163.73642961951401</v>
      </c>
      <c r="K94" s="223">
        <f t="shared" si="71"/>
        <v>227.8572147181323</v>
      </c>
      <c r="L94" s="223">
        <f t="shared" si="71"/>
        <v>148.47866010859028</v>
      </c>
      <c r="M94" s="223">
        <f t="shared" si="71"/>
        <v>171.64573026394766</v>
      </c>
      <c r="N94" s="224">
        <f t="shared" si="76"/>
        <v>1.0811953200115385</v>
      </c>
      <c r="O94" s="224">
        <f t="shared" si="77"/>
        <v>1.0656296793452875</v>
      </c>
      <c r="P94" s="224">
        <f t="shared" si="78"/>
        <v>0.9</v>
      </c>
      <c r="Q94" s="224">
        <f t="shared" si="78"/>
        <v>0.9</v>
      </c>
      <c r="R94" s="224">
        <f t="shared" si="79"/>
        <v>1.0811953200115385</v>
      </c>
      <c r="S94" s="224">
        <f t="shared" si="80"/>
        <v>1.0656296793452875</v>
      </c>
      <c r="T94" s="224">
        <f t="shared" si="81"/>
        <v>0.9</v>
      </c>
      <c r="U94" s="224">
        <f t="shared" si="82"/>
        <v>0.9</v>
      </c>
      <c r="V94" s="225">
        <f t="shared" si="83"/>
        <v>99845.518640889713</v>
      </c>
      <c r="W94" s="225">
        <f t="shared" si="84"/>
        <v>3874784.4912579213</v>
      </c>
      <c r="X94" s="225">
        <f t="shared" si="85"/>
        <v>67483.551019354287</v>
      </c>
      <c r="Y94" s="225">
        <f t="shared" si="86"/>
        <v>2147751.529073698</v>
      </c>
      <c r="Z94" s="227">
        <f t="shared" si="87"/>
        <v>177.03106142001721</v>
      </c>
      <c r="AA94" s="227">
        <f t="shared" si="88"/>
        <v>242.81141065659364</v>
      </c>
      <c r="AB94" s="227">
        <f t="shared" si="89"/>
        <v>133.63079409773127</v>
      </c>
      <c r="AC94" s="227">
        <f t="shared" si="90"/>
        <v>154.48115723755291</v>
      </c>
      <c r="AD94" s="228">
        <f t="shared" si="72"/>
        <v>8.1195320011538508E-2</v>
      </c>
      <c r="AE94" s="228">
        <f t="shared" si="73"/>
        <v>6.5629679345287517E-2</v>
      </c>
      <c r="AF94" s="228">
        <f t="shared" si="74"/>
        <v>-9.9999999999999867E-2</v>
      </c>
      <c r="AG94" s="228">
        <f t="shared" si="75"/>
        <v>-9.9999999999999867E-2</v>
      </c>
    </row>
    <row r="95" spans="1:33">
      <c r="A95" s="231">
        <v>329</v>
      </c>
      <c r="B95" s="222">
        <f>VLOOKUP($A95,'Allocate OPROC cost'!$A:$AO,30,FALSE)</f>
        <v>2855</v>
      </c>
      <c r="C95" s="222">
        <f>VLOOKUP($A95,'Allocate OPROC cost'!$A:$AO,31,FALSE)</f>
        <v>31858</v>
      </c>
      <c r="D95" s="222">
        <f>VLOOKUP($A95,'Allocate OPROC cost'!$A:$AO,32,FALSE)</f>
        <v>116</v>
      </c>
      <c r="E95" s="222">
        <f>VLOOKUP($A95,'Allocate OPROC cost'!$A:$AO,33,FALSE)</f>
        <v>10818</v>
      </c>
      <c r="F95" s="222">
        <f>VLOOKUP($A95,'Allocate OPROC cost'!$A:$AO,34,FALSE)</f>
        <v>644998.17260000296</v>
      </c>
      <c r="G95" s="222">
        <f>VLOOKUP($A95,'Allocate OPROC cost'!$A:$AO,35,FALSE)</f>
        <v>5797400.2129707821</v>
      </c>
      <c r="H95" s="222">
        <f>VLOOKUP($A95,'Allocate OPROC cost'!$A:$AO,36,FALSE)</f>
        <v>15127.80949374899</v>
      </c>
      <c r="I95" s="222">
        <f>VLOOKUP($A95,'Allocate OPROC cost'!$A:$AO,37,FALSE)</f>
        <v>1200095.1138408894</v>
      </c>
      <c r="J95" s="223">
        <f t="shared" si="71"/>
        <v>225.91879950963326</v>
      </c>
      <c r="K95" s="223">
        <f t="shared" si="71"/>
        <v>181.9762763817811</v>
      </c>
      <c r="L95" s="223">
        <f t="shared" si="71"/>
        <v>130.41215080818094</v>
      </c>
      <c r="M95" s="223">
        <f t="shared" si="71"/>
        <v>110.93502623783411</v>
      </c>
      <c r="N95" s="224">
        <f t="shared" si="76"/>
        <v>1.0023454034656825</v>
      </c>
      <c r="O95" s="224">
        <f t="shared" si="77"/>
        <v>1.0207005738737143</v>
      </c>
      <c r="P95" s="224">
        <f t="shared" si="78"/>
        <v>0.9</v>
      </c>
      <c r="Q95" s="224">
        <f t="shared" si="78"/>
        <v>0.9</v>
      </c>
      <c r="R95" s="224">
        <f t="shared" si="79"/>
        <v>1.0023454034656825</v>
      </c>
      <c r="S95" s="224">
        <f t="shared" si="80"/>
        <v>1.0207005738737143</v>
      </c>
      <c r="T95" s="224">
        <f t="shared" si="81"/>
        <v>0.9</v>
      </c>
      <c r="U95" s="224">
        <f t="shared" si="82"/>
        <v>0.9</v>
      </c>
      <c r="V95" s="225">
        <f t="shared" si="83"/>
        <v>646510.95354937785</v>
      </c>
      <c r="W95" s="225">
        <f t="shared" si="84"/>
        <v>5917409.7243548706</v>
      </c>
      <c r="X95" s="225">
        <f t="shared" si="85"/>
        <v>13615.02854437409</v>
      </c>
      <c r="Y95" s="225">
        <f t="shared" si="86"/>
        <v>1080085.6024568004</v>
      </c>
      <c r="Z95" s="227">
        <f t="shared" si="87"/>
        <v>226.44867024496597</v>
      </c>
      <c r="AA95" s="227">
        <f t="shared" si="88"/>
        <v>185.74328973428561</v>
      </c>
      <c r="AB95" s="227">
        <f t="shared" si="89"/>
        <v>117.37093572736285</v>
      </c>
      <c r="AC95" s="227">
        <f t="shared" si="90"/>
        <v>99.841523614050701</v>
      </c>
      <c r="AD95" s="228">
        <f t="shared" si="72"/>
        <v>2.3454034656824607E-3</v>
      </c>
      <c r="AE95" s="228">
        <f t="shared" si="73"/>
        <v>2.0700573873714267E-2</v>
      </c>
      <c r="AF95" s="228">
        <f t="shared" si="74"/>
        <v>-9.9999999999999978E-2</v>
      </c>
      <c r="AG95" s="228">
        <f t="shared" si="75"/>
        <v>-9.9999999999999978E-2</v>
      </c>
    </row>
    <row r="96" spans="1:33">
      <c r="A96" s="231">
        <v>330</v>
      </c>
      <c r="B96" s="222">
        <f>VLOOKUP($A96,'Allocate OPROC cost'!$A:$AO,30,FALSE)</f>
        <v>8011</v>
      </c>
      <c r="C96" s="222">
        <f>VLOOKUP($A96,'Allocate OPROC cost'!$A:$AO,31,FALSE)</f>
        <v>712861</v>
      </c>
      <c r="D96" s="222">
        <f>VLOOKUP($A96,'Allocate OPROC cost'!$A:$AO,32,FALSE)</f>
        <v>17182</v>
      </c>
      <c r="E96" s="222">
        <f>VLOOKUP($A96,'Allocate OPROC cost'!$A:$AO,33,FALSE)</f>
        <v>1324331</v>
      </c>
      <c r="F96" s="222">
        <f>VLOOKUP($A96,'Allocate OPROC cost'!$A:$AO,34,FALSE)</f>
        <v>939290.39286503382</v>
      </c>
      <c r="G96" s="222">
        <f>VLOOKUP($A96,'Allocate OPROC cost'!$A:$AO,35,FALSE)</f>
        <v>71499286.215100423</v>
      </c>
      <c r="H96" s="222">
        <f>VLOOKUP($A96,'Allocate OPROC cost'!$A:$AO,36,FALSE)</f>
        <v>1764847.2771638408</v>
      </c>
      <c r="I96" s="222">
        <f>VLOOKUP($A96,'Allocate OPROC cost'!$A:$AO,37,FALSE)</f>
        <v>116373840.43204536</v>
      </c>
      <c r="J96" s="223">
        <f t="shared" si="71"/>
        <v>117.25008024778852</v>
      </c>
      <c r="K96" s="223">
        <f t="shared" si="71"/>
        <v>100.29905720063297</v>
      </c>
      <c r="L96" s="223">
        <f t="shared" si="71"/>
        <v>102.71489216411598</v>
      </c>
      <c r="M96" s="223">
        <f t="shared" si="71"/>
        <v>87.873681452782847</v>
      </c>
      <c r="N96" s="224">
        <f t="shared" si="76"/>
        <v>1.1878915498944564</v>
      </c>
      <c r="O96" s="224">
        <f t="shared" si="77"/>
        <v>1.1627622408452345</v>
      </c>
      <c r="P96" s="224">
        <f t="shared" si="78"/>
        <v>0.9</v>
      </c>
      <c r="Q96" s="224">
        <f t="shared" si="78"/>
        <v>0.9</v>
      </c>
      <c r="R96" s="224">
        <f t="shared" si="79"/>
        <v>1.1878915498944564</v>
      </c>
      <c r="S96" s="224">
        <f t="shared" si="80"/>
        <v>1.1627622408452345</v>
      </c>
      <c r="T96" s="224">
        <f t="shared" si="81"/>
        <v>0.9</v>
      </c>
      <c r="U96" s="224">
        <f t="shared" si="82"/>
        <v>0.9</v>
      </c>
      <c r="V96" s="225">
        <f t="shared" si="83"/>
        <v>1115775.1205814178</v>
      </c>
      <c r="W96" s="225">
        <f t="shared" si="84"/>
        <v>83136670.258304954</v>
      </c>
      <c r="X96" s="225">
        <f t="shared" si="85"/>
        <v>1588362.5494474568</v>
      </c>
      <c r="Y96" s="225">
        <f t="shared" si="86"/>
        <v>104736456.38884082</v>
      </c>
      <c r="Z96" s="227">
        <f t="shared" si="87"/>
        <v>139.28037955079489</v>
      </c>
      <c r="AA96" s="227">
        <f t="shared" si="88"/>
        <v>116.62395650527235</v>
      </c>
      <c r="AB96" s="227">
        <f t="shared" si="89"/>
        <v>92.443402947704385</v>
      </c>
      <c r="AC96" s="227">
        <f t="shared" si="90"/>
        <v>79.086313307504568</v>
      </c>
      <c r="AD96" s="228">
        <f t="shared" si="72"/>
        <v>0.18789154989445644</v>
      </c>
      <c r="AE96" s="228">
        <f t="shared" si="73"/>
        <v>0.1627622408452345</v>
      </c>
      <c r="AF96" s="228">
        <f t="shared" si="74"/>
        <v>-9.9999999999999978E-2</v>
      </c>
      <c r="AG96" s="228">
        <f t="shared" si="75"/>
        <v>-9.9999999999999978E-2</v>
      </c>
    </row>
    <row r="97" spans="1:33">
      <c r="A97" s="231">
        <v>331</v>
      </c>
      <c r="B97" s="222">
        <f>VLOOKUP($A97,'Allocate OPROC cost'!$A:$AO,30,FALSE)</f>
        <v>3</v>
      </c>
      <c r="C97" s="222">
        <f>VLOOKUP($A97,'Allocate OPROC cost'!$A:$AO,31,FALSE)</f>
        <v>1301</v>
      </c>
      <c r="D97" s="222">
        <f>VLOOKUP($A97,'Allocate OPROC cost'!$A:$AO,32,FALSE)</f>
        <v>0</v>
      </c>
      <c r="E97" s="222">
        <f>VLOOKUP($A97,'Allocate OPROC cost'!$A:$AO,33,FALSE)</f>
        <v>5392</v>
      </c>
      <c r="F97" s="222">
        <f>VLOOKUP($A97,'Allocate OPROC cost'!$A:$AO,34,FALSE)</f>
        <v>589.92240550594101</v>
      </c>
      <c r="G97" s="222">
        <f>VLOOKUP($A97,'Allocate OPROC cost'!$A:$AO,35,FALSE)</f>
        <v>135685.56378742409</v>
      </c>
      <c r="H97" s="222">
        <f>VLOOKUP($A97,'Allocate OPROC cost'!$A:$AO,36,FALSE)</f>
        <v>0</v>
      </c>
      <c r="I97" s="222">
        <f>VLOOKUP($A97,'Allocate OPROC cost'!$A:$AO,37,FALSE)</f>
        <v>393615.5690648884</v>
      </c>
      <c r="J97" s="223">
        <f t="shared" si="71"/>
        <v>196.64080183531368</v>
      </c>
      <c r="K97" s="223">
        <f t="shared" si="71"/>
        <v>104.29328500186325</v>
      </c>
      <c r="L97" s="223">
        <f t="shared" si="71"/>
        <v>0</v>
      </c>
      <c r="M97" s="223">
        <f t="shared" si="71"/>
        <v>72.999920078799775</v>
      </c>
      <c r="N97" s="224">
        <f t="shared" si="76"/>
        <v>1</v>
      </c>
      <c r="O97" s="224">
        <f t="shared" si="77"/>
        <v>1.2900939186732925</v>
      </c>
      <c r="P97" s="224">
        <f t="shared" si="78"/>
        <v>0.9</v>
      </c>
      <c r="Q97" s="224">
        <f t="shared" si="78"/>
        <v>0.9</v>
      </c>
      <c r="R97" s="224">
        <f t="shared" si="79"/>
        <v>1</v>
      </c>
      <c r="S97" s="224">
        <f t="shared" si="80"/>
        <v>1.2900939186732925</v>
      </c>
      <c r="T97" s="224">
        <f t="shared" si="81"/>
        <v>0.9</v>
      </c>
      <c r="U97" s="224">
        <f t="shared" si="82"/>
        <v>0.9</v>
      </c>
      <c r="V97" s="225">
        <f t="shared" si="83"/>
        <v>589.92240550594101</v>
      </c>
      <c r="W97" s="225">
        <f t="shared" si="84"/>
        <v>175047.12069391293</v>
      </c>
      <c r="X97" s="225">
        <f t="shared" si="85"/>
        <v>0</v>
      </c>
      <c r="Y97" s="225">
        <f t="shared" si="86"/>
        <v>354254.01215839956</v>
      </c>
      <c r="Z97" s="227">
        <f t="shared" si="87"/>
        <v>196.64080183531368</v>
      </c>
      <c r="AA97" s="227">
        <f t="shared" si="88"/>
        <v>134.54813273936429</v>
      </c>
      <c r="AB97" s="227">
        <f t="shared" si="89"/>
        <v>0</v>
      </c>
      <c r="AC97" s="227">
        <f t="shared" si="90"/>
        <v>65.699928070919796</v>
      </c>
      <c r="AD97" s="228">
        <f t="shared" si="72"/>
        <v>0</v>
      </c>
      <c r="AE97" s="228">
        <f t="shared" si="73"/>
        <v>0.29009391867329248</v>
      </c>
      <c r="AF97" s="228">
        <f t="shared" si="74"/>
        <v>0</v>
      </c>
      <c r="AG97" s="228">
        <f t="shared" si="75"/>
        <v>-9.9999999999999978E-2</v>
      </c>
    </row>
    <row r="98" spans="1:33">
      <c r="A98" s="231">
        <v>340</v>
      </c>
      <c r="B98" s="222">
        <f>VLOOKUP($A98,'Allocate OPROC cost'!$A:$AO,30,FALSE)</f>
        <v>13097</v>
      </c>
      <c r="C98" s="222">
        <f>VLOOKUP($A98,'Allocate OPROC cost'!$A:$AO,31,FALSE)</f>
        <v>334650</v>
      </c>
      <c r="D98" s="222">
        <f>VLOOKUP($A98,'Allocate OPROC cost'!$A:$AO,32,FALSE)</f>
        <v>34868</v>
      </c>
      <c r="E98" s="222">
        <f>VLOOKUP($A98,'Allocate OPROC cost'!$A:$AO,33,FALSE)</f>
        <v>727250</v>
      </c>
      <c r="F98" s="222">
        <f>VLOOKUP($A98,'Allocate OPROC cost'!$A:$AO,34,FALSE)</f>
        <v>2789045.2509946679</v>
      </c>
      <c r="G98" s="222">
        <f>VLOOKUP($A98,'Allocate OPROC cost'!$A:$AO,35,FALSE)</f>
        <v>56591098.069030523</v>
      </c>
      <c r="H98" s="222">
        <f>VLOOKUP($A98,'Allocate OPROC cost'!$A:$AO,36,FALSE)</f>
        <v>6188309.5038425364</v>
      </c>
      <c r="I98" s="222">
        <f>VLOOKUP($A98,'Allocate OPROC cost'!$A:$AO,37,FALSE)</f>
        <v>90053130.305912629</v>
      </c>
      <c r="J98" s="223">
        <f t="shared" si="71"/>
        <v>212.95298549245385</v>
      </c>
      <c r="K98" s="223">
        <f t="shared" si="71"/>
        <v>169.10532816085617</v>
      </c>
      <c r="L98" s="223">
        <f t="shared" si="71"/>
        <v>177.4781892807886</v>
      </c>
      <c r="M98" s="223">
        <f t="shared" si="71"/>
        <v>123.82692376199742</v>
      </c>
      <c r="N98" s="224">
        <f t="shared" si="76"/>
        <v>1.2218791359385646</v>
      </c>
      <c r="O98" s="224">
        <f t="shared" si="77"/>
        <v>1.1591294980635729</v>
      </c>
      <c r="P98" s="224">
        <f t="shared" si="78"/>
        <v>0.9</v>
      </c>
      <c r="Q98" s="224">
        <f t="shared" si="78"/>
        <v>0.9</v>
      </c>
      <c r="R98" s="224">
        <f t="shared" si="79"/>
        <v>1.2218791359385646</v>
      </c>
      <c r="S98" s="224">
        <f t="shared" si="80"/>
        <v>1.1591294980635729</v>
      </c>
      <c r="T98" s="224">
        <f t="shared" si="81"/>
        <v>0.9</v>
      </c>
      <c r="U98" s="224">
        <f t="shared" si="82"/>
        <v>0.9</v>
      </c>
      <c r="V98" s="225">
        <f t="shared" si="83"/>
        <v>3407876.2013789215</v>
      </c>
      <c r="W98" s="225">
        <f t="shared" si="84"/>
        <v>65596411.09962178</v>
      </c>
      <c r="X98" s="225">
        <f t="shared" si="85"/>
        <v>5569478.5534582827</v>
      </c>
      <c r="Y98" s="225">
        <f t="shared" si="86"/>
        <v>81047817.275321364</v>
      </c>
      <c r="Z98" s="227">
        <f t="shared" si="87"/>
        <v>260.20280990905712</v>
      </c>
      <c r="AA98" s="227">
        <f t="shared" si="88"/>
        <v>196.01497415096901</v>
      </c>
      <c r="AB98" s="227">
        <f t="shared" si="89"/>
        <v>159.73037035270971</v>
      </c>
      <c r="AC98" s="227">
        <f t="shared" si="90"/>
        <v>111.44423138579768</v>
      </c>
      <c r="AD98" s="228">
        <f t="shared" si="72"/>
        <v>0.22187913593856434</v>
      </c>
      <c r="AE98" s="228">
        <f t="shared" si="73"/>
        <v>0.15912949806357291</v>
      </c>
      <c r="AF98" s="228">
        <f t="shared" si="74"/>
        <v>-0.10000000000000009</v>
      </c>
      <c r="AG98" s="228">
        <f t="shared" si="75"/>
        <v>-9.9999999999999978E-2</v>
      </c>
    </row>
    <row r="99" spans="1:33">
      <c r="A99" s="231">
        <v>341</v>
      </c>
      <c r="B99" s="222">
        <f>VLOOKUP($A99,'Allocate OPROC cost'!$A:$AO,30,FALSE)</f>
        <v>256</v>
      </c>
      <c r="C99" s="222">
        <f>VLOOKUP($A99,'Allocate OPROC cost'!$A:$AO,31,FALSE)</f>
        <v>28948</v>
      </c>
      <c r="D99" s="222">
        <f>VLOOKUP($A99,'Allocate OPROC cost'!$A:$AO,32,FALSE)</f>
        <v>196</v>
      </c>
      <c r="E99" s="222">
        <f>VLOOKUP($A99,'Allocate OPROC cost'!$A:$AO,33,FALSE)</f>
        <v>69514</v>
      </c>
      <c r="F99" s="222">
        <f>VLOOKUP($A99,'Allocate OPROC cost'!$A:$AO,34,FALSE)</f>
        <v>9899.0686003541905</v>
      </c>
      <c r="G99" s="222">
        <f>VLOOKUP($A99,'Allocate OPROC cost'!$A:$AO,35,FALSE)</f>
        <v>3372277.8911046777</v>
      </c>
      <c r="H99" s="222">
        <f>VLOOKUP($A99,'Allocate OPROC cost'!$A:$AO,36,FALSE)</f>
        <v>17967.58151172386</v>
      </c>
      <c r="I99" s="222">
        <f>VLOOKUP($A99,'Allocate OPROC cost'!$A:$AO,37,FALSE)</f>
        <v>9098295.9684035294</v>
      </c>
      <c r="J99" s="223">
        <f t="shared" si="71"/>
        <v>38.668236720133557</v>
      </c>
      <c r="K99" s="223">
        <f t="shared" si="71"/>
        <v>116.49433090730544</v>
      </c>
      <c r="L99" s="223">
        <f t="shared" si="71"/>
        <v>91.671334243489085</v>
      </c>
      <c r="M99" s="223">
        <f t="shared" si="71"/>
        <v>130.8843681618599</v>
      </c>
      <c r="N99" s="224">
        <f t="shared" si="76"/>
        <v>1.1815077987345293</v>
      </c>
      <c r="O99" s="224">
        <f t="shared" si="77"/>
        <v>1.2697967445803569</v>
      </c>
      <c r="P99" s="224">
        <f t="shared" si="78"/>
        <v>0.9</v>
      </c>
      <c r="Q99" s="224">
        <f t="shared" si="78"/>
        <v>0.9</v>
      </c>
      <c r="R99" s="224">
        <f t="shared" si="79"/>
        <v>1.1815077987345293</v>
      </c>
      <c r="S99" s="224">
        <f t="shared" si="80"/>
        <v>1.2697967445803569</v>
      </c>
      <c r="T99" s="224">
        <f t="shared" si="81"/>
        <v>0.9</v>
      </c>
      <c r="U99" s="224">
        <f t="shared" si="82"/>
        <v>0.9</v>
      </c>
      <c r="V99" s="225">
        <f t="shared" si="83"/>
        <v>11695.826751526578</v>
      </c>
      <c r="W99" s="225">
        <f t="shared" si="84"/>
        <v>4282107.4879450304</v>
      </c>
      <c r="X99" s="225">
        <f t="shared" si="85"/>
        <v>16170.823360551474</v>
      </c>
      <c r="Y99" s="225">
        <f t="shared" si="86"/>
        <v>8188466.3715631766</v>
      </c>
      <c r="Z99" s="227">
        <f t="shared" si="87"/>
        <v>45.686823248150695</v>
      </c>
      <c r="AA99" s="227">
        <f t="shared" si="88"/>
        <v>147.92412214816326</v>
      </c>
      <c r="AB99" s="227">
        <f t="shared" si="89"/>
        <v>82.504200819140181</v>
      </c>
      <c r="AC99" s="227">
        <f t="shared" si="90"/>
        <v>117.79593134567392</v>
      </c>
      <c r="AD99" s="228">
        <f t="shared" si="72"/>
        <v>0.18150779873452927</v>
      </c>
      <c r="AE99" s="228">
        <f t="shared" si="73"/>
        <v>0.26979674458035663</v>
      </c>
      <c r="AF99" s="228">
        <f t="shared" si="74"/>
        <v>-9.9999999999999978E-2</v>
      </c>
      <c r="AG99" s="228">
        <f t="shared" si="75"/>
        <v>-9.9999999999999867E-2</v>
      </c>
    </row>
    <row r="100" spans="1:33">
      <c r="A100" s="231">
        <v>342</v>
      </c>
      <c r="B100" s="222">
        <f>VLOOKUP($A100,'Allocate OPROC cost'!$A:$AO,30,FALSE)</f>
        <v>0</v>
      </c>
      <c r="C100" s="222">
        <f>VLOOKUP($A100,'Allocate OPROC cost'!$A:$AO,31,FALSE)</f>
        <v>118</v>
      </c>
      <c r="D100" s="222">
        <f>VLOOKUP($A100,'Allocate OPROC cost'!$A:$AO,32,FALSE)</f>
        <v>446</v>
      </c>
      <c r="E100" s="222">
        <f>VLOOKUP($A100,'Allocate OPROC cost'!$A:$AO,33,FALSE)</f>
        <v>325</v>
      </c>
      <c r="F100" s="222">
        <f>VLOOKUP($A100,'Allocate OPROC cost'!$A:$AO,34,FALSE)</f>
        <v>0</v>
      </c>
      <c r="G100" s="222">
        <f>VLOOKUP($A100,'Allocate OPROC cost'!$A:$AO,35,FALSE)</f>
        <v>15019.806304402129</v>
      </c>
      <c r="H100" s="222">
        <f>VLOOKUP($A100,'Allocate OPROC cost'!$A:$AO,36,FALSE)</f>
        <v>12200.500806215699</v>
      </c>
      <c r="I100" s="222">
        <f>VLOOKUP($A100,'Allocate OPROC cost'!$A:$AO,37,FALSE)</f>
        <v>36732.782705823833</v>
      </c>
      <c r="J100" s="223">
        <f t="shared" si="71"/>
        <v>0</v>
      </c>
      <c r="K100" s="223">
        <f t="shared" si="71"/>
        <v>127.28649410510279</v>
      </c>
      <c r="L100" s="223">
        <f t="shared" si="71"/>
        <v>27.3553829735778</v>
      </c>
      <c r="M100" s="223">
        <f t="shared" si="71"/>
        <v>113.02394678715025</v>
      </c>
      <c r="N100" s="224">
        <f t="shared" si="76"/>
        <v>1</v>
      </c>
      <c r="O100" s="224">
        <f t="shared" si="77"/>
        <v>1.2445622930240976</v>
      </c>
      <c r="P100" s="224">
        <f t="shared" si="78"/>
        <v>0.9</v>
      </c>
      <c r="Q100" s="224">
        <f t="shared" si="78"/>
        <v>0.9</v>
      </c>
      <c r="R100" s="224">
        <f t="shared" si="79"/>
        <v>1</v>
      </c>
      <c r="S100" s="224">
        <f t="shared" si="80"/>
        <v>1.2445622930240976</v>
      </c>
      <c r="T100" s="224">
        <f t="shared" si="81"/>
        <v>0.9</v>
      </c>
      <c r="U100" s="224">
        <f t="shared" si="82"/>
        <v>0.9</v>
      </c>
      <c r="V100" s="225">
        <f t="shared" si="83"/>
        <v>0</v>
      </c>
      <c r="W100" s="225">
        <f t="shared" si="84"/>
        <v>18693.08457498451</v>
      </c>
      <c r="X100" s="225">
        <f t="shared" si="85"/>
        <v>10980.45072559413</v>
      </c>
      <c r="Y100" s="225">
        <f t="shared" si="86"/>
        <v>33059.504435241448</v>
      </c>
      <c r="Z100" s="227">
        <f t="shared" si="87"/>
        <v>0</v>
      </c>
      <c r="AA100" s="227">
        <f t="shared" si="88"/>
        <v>158.415970974445</v>
      </c>
      <c r="AB100" s="227">
        <f t="shared" si="89"/>
        <v>24.619844676220023</v>
      </c>
      <c r="AC100" s="227">
        <f t="shared" si="90"/>
        <v>101.72155210843522</v>
      </c>
      <c r="AD100" s="228">
        <f t="shared" si="72"/>
        <v>0</v>
      </c>
      <c r="AE100" s="228">
        <f t="shared" si="73"/>
        <v>0.2445622930240976</v>
      </c>
      <c r="AF100" s="228">
        <f t="shared" si="74"/>
        <v>-9.9999999999999867E-2</v>
      </c>
      <c r="AG100" s="228">
        <f t="shared" si="75"/>
        <v>-0.10000000000000009</v>
      </c>
    </row>
    <row r="101" spans="1:33">
      <c r="A101" s="231">
        <v>346</v>
      </c>
      <c r="B101" s="222">
        <f>VLOOKUP($A101,'Allocate OPROC cost'!$A:$AO,30,FALSE)</f>
        <v>0</v>
      </c>
      <c r="C101" s="222">
        <f>VLOOKUP($A101,'Allocate OPROC cost'!$A:$AO,31,FALSE)</f>
        <v>0</v>
      </c>
      <c r="D101" s="222">
        <f>VLOOKUP($A101,'Allocate OPROC cost'!$A:$AO,32,FALSE)</f>
        <v>0</v>
      </c>
      <c r="E101" s="222">
        <f>VLOOKUP($A101,'Allocate OPROC cost'!$A:$AO,33,FALSE)</f>
        <v>0</v>
      </c>
      <c r="F101" s="222">
        <f>VLOOKUP($A101,'Allocate OPROC cost'!$A:$AO,34,FALSE)</f>
        <v>0</v>
      </c>
      <c r="G101" s="222">
        <f>VLOOKUP($A101,'Allocate OPROC cost'!$A:$AO,35,FALSE)</f>
        <v>0</v>
      </c>
      <c r="H101" s="222">
        <f>VLOOKUP($A101,'Allocate OPROC cost'!$A:$AO,36,FALSE)</f>
        <v>0</v>
      </c>
      <c r="I101" s="222">
        <f>VLOOKUP($A101,'Allocate OPROC cost'!$A:$AO,37,FALSE)</f>
        <v>0</v>
      </c>
      <c r="J101" s="223">
        <f t="shared" ref="J101" si="111">IF(B101=0,0,F101/B101)</f>
        <v>0</v>
      </c>
      <c r="K101" s="223">
        <f t="shared" ref="K101" si="112">IF(C101=0,0,G101/C101)</f>
        <v>0</v>
      </c>
      <c r="L101" s="223">
        <f t="shared" ref="L101" si="113">IF(D101=0,0,H101/D101)</f>
        <v>0</v>
      </c>
      <c r="M101" s="223">
        <f t="shared" ref="M101" si="114">IF(E101=0,0,I101/E101)</f>
        <v>0</v>
      </c>
      <c r="N101" s="224">
        <f t="shared" ref="N101" si="115">IF(F101=0,1,1+(H101*$O$4)/F101)</f>
        <v>1</v>
      </c>
      <c r="O101" s="224">
        <f t="shared" ref="O101" si="116">IF(G101=0,1,1+(I101*$O$4)/G101)</f>
        <v>1</v>
      </c>
      <c r="P101" s="224">
        <f t="shared" si="78"/>
        <v>0.9</v>
      </c>
      <c r="Q101" s="224">
        <f t="shared" si="78"/>
        <v>0.9</v>
      </c>
      <c r="R101" s="224">
        <f t="shared" ref="R101" si="117">IF($S$4="No limit",N101,IF(N101&gt;$S$4,$S$4,N101))</f>
        <v>1</v>
      </c>
      <c r="S101" s="224">
        <f t="shared" ref="S101" si="118">IF($S$4="No limit",O101,IF(O101&gt;$S$4,$S$4,O101))</f>
        <v>1</v>
      </c>
      <c r="T101" s="224">
        <f t="shared" si="81"/>
        <v>0.9</v>
      </c>
      <c r="U101" s="224">
        <f t="shared" si="82"/>
        <v>0.9</v>
      </c>
      <c r="V101" s="225">
        <f t="shared" ref="V101" si="119">R101*F101</f>
        <v>0</v>
      </c>
      <c r="W101" s="225">
        <f t="shared" ref="W101" si="120">S101*G101</f>
        <v>0</v>
      </c>
      <c r="X101" s="225">
        <f t="shared" ref="X101" si="121">T101*H101</f>
        <v>0</v>
      </c>
      <c r="Y101" s="225">
        <f t="shared" ref="Y101" si="122">U101*I101</f>
        <v>0</v>
      </c>
      <c r="Z101" s="227">
        <f t="shared" ref="Z101" si="123">IF(B101=0,0,V101/B101)</f>
        <v>0</v>
      </c>
      <c r="AA101" s="227">
        <f t="shared" ref="AA101" si="124">IF(C101=0,0,W101/C101)</f>
        <v>0</v>
      </c>
      <c r="AB101" s="227">
        <f t="shared" ref="AB101" si="125">IF(D101=0,0,X101/D101)</f>
        <v>0</v>
      </c>
      <c r="AC101" s="227">
        <f t="shared" ref="AC101" si="126">IF(E101=0,0,Y101/E101)</f>
        <v>0</v>
      </c>
      <c r="AD101" s="228">
        <f t="shared" ref="AD101" si="127">IF(J101=0,0,Z101/J101-1)</f>
        <v>0</v>
      </c>
      <c r="AE101" s="228">
        <f t="shared" ref="AE101" si="128">IF(K101=0,0,AA101/K101-1)</f>
        <v>0</v>
      </c>
      <c r="AF101" s="228">
        <f t="shared" ref="AF101" si="129">IF(L101=0,0,AB101/L101-1)</f>
        <v>0</v>
      </c>
      <c r="AG101" s="228">
        <f t="shared" ref="AG101" si="130">IF(M101=0,0,AC101/M101-1)</f>
        <v>0</v>
      </c>
    </row>
    <row r="102" spans="1:33">
      <c r="A102" s="231">
        <v>350</v>
      </c>
      <c r="B102" s="222">
        <f>VLOOKUP($A102,'Allocate OPROC cost'!$A:$AO,30,FALSE)</f>
        <v>1607</v>
      </c>
      <c r="C102" s="222">
        <f>VLOOKUP($A102,'Allocate OPROC cost'!$A:$AO,31,FALSE)</f>
        <v>20491</v>
      </c>
      <c r="D102" s="222">
        <f>VLOOKUP($A102,'Allocate OPROC cost'!$A:$AO,32,FALSE)</f>
        <v>4937</v>
      </c>
      <c r="E102" s="222">
        <f>VLOOKUP($A102,'Allocate OPROC cost'!$A:$AO,33,FALSE)</f>
        <v>70510</v>
      </c>
      <c r="F102" s="222">
        <f>VLOOKUP($A102,'Allocate OPROC cost'!$A:$AO,34,FALSE)</f>
        <v>291985.46818929008</v>
      </c>
      <c r="G102" s="222">
        <f>VLOOKUP($A102,'Allocate OPROC cost'!$A:$AO,35,FALSE)</f>
        <v>4827010.886267215</v>
      </c>
      <c r="H102" s="222">
        <f>VLOOKUP($A102,'Allocate OPROC cost'!$A:$AO,36,FALSE)</f>
        <v>934064.92922713934</v>
      </c>
      <c r="I102" s="222">
        <f>VLOOKUP($A102,'Allocate OPROC cost'!$A:$AO,37,FALSE)</f>
        <v>14593720.549179768</v>
      </c>
      <c r="J102" s="223">
        <f t="shared" si="71"/>
        <v>181.69599762868083</v>
      </c>
      <c r="K102" s="223">
        <f t="shared" si="71"/>
        <v>235.56736549056731</v>
      </c>
      <c r="L102" s="223">
        <f t="shared" si="71"/>
        <v>189.19686636158383</v>
      </c>
      <c r="M102" s="223">
        <f t="shared" si="71"/>
        <v>206.97377037554628</v>
      </c>
      <c r="N102" s="224">
        <f t="shared" si="76"/>
        <v>1.3199011700889163</v>
      </c>
      <c r="O102" s="224">
        <f t="shared" si="77"/>
        <v>1.3023345273717679</v>
      </c>
      <c r="P102" s="224">
        <f t="shared" si="78"/>
        <v>0.9</v>
      </c>
      <c r="Q102" s="224">
        <f t="shared" si="78"/>
        <v>0.9</v>
      </c>
      <c r="R102" s="224">
        <f t="shared" si="79"/>
        <v>1.3199011700889163</v>
      </c>
      <c r="S102" s="224">
        <f t="shared" si="80"/>
        <v>1.3023345273717679</v>
      </c>
      <c r="T102" s="224">
        <f t="shared" si="81"/>
        <v>0.9</v>
      </c>
      <c r="U102" s="224">
        <f t="shared" si="82"/>
        <v>0.9</v>
      </c>
      <c r="V102" s="225">
        <f t="shared" si="83"/>
        <v>385391.96111200401</v>
      </c>
      <c r="W102" s="225">
        <f t="shared" si="84"/>
        <v>6286382.9411851922</v>
      </c>
      <c r="X102" s="225">
        <f t="shared" si="85"/>
        <v>840658.43630442547</v>
      </c>
      <c r="Y102" s="225">
        <f t="shared" si="86"/>
        <v>13134348.494261792</v>
      </c>
      <c r="Z102" s="227">
        <f t="shared" si="87"/>
        <v>239.82075987056876</v>
      </c>
      <c r="AA102" s="227">
        <f t="shared" si="88"/>
        <v>306.78751360037052</v>
      </c>
      <c r="AB102" s="227">
        <f t="shared" si="89"/>
        <v>170.27717972542544</v>
      </c>
      <c r="AC102" s="227">
        <f t="shared" si="90"/>
        <v>186.27639333799166</v>
      </c>
      <c r="AD102" s="228">
        <f t="shared" si="72"/>
        <v>0.31990117008891628</v>
      </c>
      <c r="AE102" s="228">
        <f t="shared" si="73"/>
        <v>0.30233452737176791</v>
      </c>
      <c r="AF102" s="228">
        <f t="shared" si="74"/>
        <v>-9.9999999999999978E-2</v>
      </c>
      <c r="AG102" s="228">
        <f t="shared" si="75"/>
        <v>-9.9999999999999978E-2</v>
      </c>
    </row>
    <row r="103" spans="1:33">
      <c r="A103" s="231">
        <v>352</v>
      </c>
      <c r="B103" s="222">
        <f>VLOOKUP($A103,'Allocate OPROC cost'!$A:$AO,30,FALSE)</f>
        <v>2647</v>
      </c>
      <c r="C103" s="222">
        <f>VLOOKUP($A103,'Allocate OPROC cost'!$A:$AO,31,FALSE)</f>
        <v>1861</v>
      </c>
      <c r="D103" s="222">
        <f>VLOOKUP($A103,'Allocate OPROC cost'!$A:$AO,32,FALSE)</f>
        <v>73</v>
      </c>
      <c r="E103" s="222">
        <f>VLOOKUP($A103,'Allocate OPROC cost'!$A:$AO,33,FALSE)</f>
        <v>1641</v>
      </c>
      <c r="F103" s="222">
        <f>VLOOKUP($A103,'Allocate OPROC cost'!$A:$AO,34,FALSE)</f>
        <v>365779.2805249971</v>
      </c>
      <c r="G103" s="222">
        <f>VLOOKUP($A103,'Allocate OPROC cost'!$A:$AO,35,FALSE)</f>
        <v>357748.4959271187</v>
      </c>
      <c r="H103" s="222">
        <f>VLOOKUP($A103,'Allocate OPROC cost'!$A:$AO,36,FALSE)</f>
        <v>10292.485352075691</v>
      </c>
      <c r="I103" s="222">
        <f>VLOOKUP($A103,'Allocate OPROC cost'!$A:$AO,37,FALSE)</f>
        <v>246606.197328818</v>
      </c>
      <c r="J103" s="223">
        <f t="shared" si="71"/>
        <v>138.18635456176693</v>
      </c>
      <c r="K103" s="223">
        <f t="shared" si="71"/>
        <v>192.23454912795202</v>
      </c>
      <c r="L103" s="223">
        <f t="shared" si="71"/>
        <v>140.99295002843414</v>
      </c>
      <c r="M103" s="223">
        <f t="shared" si="71"/>
        <v>150.27799959099207</v>
      </c>
      <c r="N103" s="224">
        <f t="shared" si="76"/>
        <v>1.002813851385268</v>
      </c>
      <c r="O103" s="224">
        <f t="shared" si="77"/>
        <v>1.068932839728572</v>
      </c>
      <c r="P103" s="224">
        <f t="shared" si="78"/>
        <v>0.9</v>
      </c>
      <c r="Q103" s="224">
        <f t="shared" si="78"/>
        <v>0.9</v>
      </c>
      <c r="R103" s="224">
        <f t="shared" si="79"/>
        <v>1.002813851385268</v>
      </c>
      <c r="S103" s="224">
        <f t="shared" si="80"/>
        <v>1.068932839728572</v>
      </c>
      <c r="T103" s="224">
        <f t="shared" si="81"/>
        <v>0.9</v>
      </c>
      <c r="U103" s="224">
        <f t="shared" si="82"/>
        <v>0.9</v>
      </c>
      <c r="V103" s="225">
        <f t="shared" si="83"/>
        <v>366808.52906020469</v>
      </c>
      <c r="W103" s="225">
        <f t="shared" si="84"/>
        <v>382409.11566000048</v>
      </c>
      <c r="X103" s="225">
        <f t="shared" si="85"/>
        <v>9263.2368168681223</v>
      </c>
      <c r="Y103" s="225">
        <f t="shared" si="86"/>
        <v>221945.57759593619</v>
      </c>
      <c r="Z103" s="227">
        <f t="shared" si="87"/>
        <v>138.57519042697569</v>
      </c>
      <c r="AA103" s="227">
        <f t="shared" si="88"/>
        <v>205.48582249328345</v>
      </c>
      <c r="AB103" s="227">
        <f t="shared" si="89"/>
        <v>126.89365502559072</v>
      </c>
      <c r="AC103" s="227">
        <f t="shared" si="90"/>
        <v>135.25019963189285</v>
      </c>
      <c r="AD103" s="228">
        <f t="shared" si="72"/>
        <v>2.813851385268018E-3</v>
      </c>
      <c r="AE103" s="228">
        <f t="shared" si="73"/>
        <v>6.8932839728572004E-2</v>
      </c>
      <c r="AF103" s="228">
        <f t="shared" si="74"/>
        <v>-0.10000000000000009</v>
      </c>
      <c r="AG103" s="228">
        <f t="shared" si="75"/>
        <v>-0.10000000000000009</v>
      </c>
    </row>
    <row r="104" spans="1:33">
      <c r="A104" s="231">
        <v>360</v>
      </c>
      <c r="B104" s="222">
        <f>VLOOKUP($A104,'Allocate OPROC cost'!$A:$AO,30,FALSE)</f>
        <v>19749</v>
      </c>
      <c r="C104" s="222">
        <f>VLOOKUP($A104,'Allocate OPROC cost'!$A:$AO,31,FALSE)</f>
        <v>1181689</v>
      </c>
      <c r="D104" s="222">
        <f>VLOOKUP($A104,'Allocate OPROC cost'!$A:$AO,32,FALSE)</f>
        <v>15811</v>
      </c>
      <c r="E104" s="222">
        <f>VLOOKUP($A104,'Allocate OPROC cost'!$A:$AO,33,FALSE)</f>
        <v>539651</v>
      </c>
      <c r="F104" s="222">
        <f>VLOOKUP($A104,'Allocate OPROC cost'!$A:$AO,34,FALSE)</f>
        <v>2069966.06798235</v>
      </c>
      <c r="G104" s="222">
        <f>VLOOKUP($A104,'Allocate OPROC cost'!$A:$AO,35,FALSE)</f>
        <v>140383341.02247962</v>
      </c>
      <c r="H104" s="222">
        <f>VLOOKUP($A104,'Allocate OPROC cost'!$A:$AO,36,FALSE)</f>
        <v>1390384.5443764699</v>
      </c>
      <c r="I104" s="222">
        <f>VLOOKUP($A104,'Allocate OPROC cost'!$A:$AO,37,FALSE)</f>
        <v>45429779.959501371</v>
      </c>
      <c r="J104" s="223">
        <f t="shared" si="71"/>
        <v>104.81371552900653</v>
      </c>
      <c r="K104" s="223">
        <f t="shared" si="71"/>
        <v>118.79888957456626</v>
      </c>
      <c r="L104" s="223">
        <f t="shared" si="71"/>
        <v>87.937799277494776</v>
      </c>
      <c r="M104" s="223">
        <f t="shared" si="71"/>
        <v>84.183629715318546</v>
      </c>
      <c r="N104" s="224">
        <f t="shared" si="76"/>
        <v>1.0671694365372719</v>
      </c>
      <c r="O104" s="224">
        <f t="shared" si="77"/>
        <v>1.032361232913118</v>
      </c>
      <c r="P104" s="224">
        <f t="shared" si="78"/>
        <v>0.9</v>
      </c>
      <c r="Q104" s="224">
        <f t="shared" si="78"/>
        <v>0.9</v>
      </c>
      <c r="R104" s="224">
        <f t="shared" si="79"/>
        <v>1.0671694365372719</v>
      </c>
      <c r="S104" s="224">
        <f t="shared" si="80"/>
        <v>1.032361232913118</v>
      </c>
      <c r="T104" s="224">
        <f t="shared" si="81"/>
        <v>0.9</v>
      </c>
      <c r="U104" s="224">
        <f t="shared" si="82"/>
        <v>0.9</v>
      </c>
      <c r="V104" s="225">
        <f t="shared" si="83"/>
        <v>2209004.5224199966</v>
      </c>
      <c r="W104" s="225">
        <f t="shared" si="84"/>
        <v>144926319.01842976</v>
      </c>
      <c r="X104" s="225">
        <f t="shared" si="85"/>
        <v>1251346.0899388229</v>
      </c>
      <c r="Y104" s="225">
        <f t="shared" si="86"/>
        <v>40886801.963551238</v>
      </c>
      <c r="Z104" s="227">
        <f t="shared" si="87"/>
        <v>111.85399374246779</v>
      </c>
      <c r="AA104" s="227">
        <f t="shared" si="88"/>
        <v>122.64336810990858</v>
      </c>
      <c r="AB104" s="227">
        <f t="shared" si="89"/>
        <v>79.144019349745292</v>
      </c>
      <c r="AC104" s="227">
        <f t="shared" si="90"/>
        <v>75.765266743786697</v>
      </c>
      <c r="AD104" s="228">
        <f t="shared" si="72"/>
        <v>6.7169436537271698E-2</v>
      </c>
      <c r="AE104" s="228">
        <f t="shared" si="73"/>
        <v>3.2361232913117988E-2</v>
      </c>
      <c r="AF104" s="228">
        <f t="shared" si="74"/>
        <v>-0.10000000000000009</v>
      </c>
      <c r="AG104" s="228">
        <f t="shared" si="75"/>
        <v>-9.9999999999999978E-2</v>
      </c>
    </row>
    <row r="105" spans="1:33">
      <c r="A105" s="231">
        <v>361</v>
      </c>
      <c r="B105" s="222">
        <f>VLOOKUP($A105,'Allocate OPROC cost'!$A:$AO,30,FALSE)</f>
        <v>2826</v>
      </c>
      <c r="C105" s="222">
        <f>VLOOKUP($A105,'Allocate OPROC cost'!$A:$AO,31,FALSE)</f>
        <v>85441</v>
      </c>
      <c r="D105" s="222">
        <f>VLOOKUP($A105,'Allocate OPROC cost'!$A:$AO,32,FALSE)</f>
        <v>24412</v>
      </c>
      <c r="E105" s="222">
        <f>VLOOKUP($A105,'Allocate OPROC cost'!$A:$AO,33,FALSE)</f>
        <v>655290</v>
      </c>
      <c r="F105" s="222">
        <f>VLOOKUP($A105,'Allocate OPROC cost'!$A:$AO,34,FALSE)</f>
        <v>631910.10187921743</v>
      </c>
      <c r="G105" s="222">
        <f>VLOOKUP($A105,'Allocate OPROC cost'!$A:$AO,35,FALSE)</f>
        <v>14500491.02382209</v>
      </c>
      <c r="H105" s="222">
        <f>VLOOKUP($A105,'Allocate OPROC cost'!$A:$AO,36,FALSE)</f>
        <v>4349823.1264132885</v>
      </c>
      <c r="I105" s="222">
        <f>VLOOKUP($A105,'Allocate OPROC cost'!$A:$AO,37,FALSE)</f>
        <v>86517644.473306671</v>
      </c>
      <c r="J105" s="223">
        <f t="shared" si="71"/>
        <v>223.60583930616329</v>
      </c>
      <c r="K105" s="223">
        <f t="shared" si="71"/>
        <v>169.71349848225196</v>
      </c>
      <c r="L105" s="223">
        <f t="shared" si="71"/>
        <v>178.18380822600724</v>
      </c>
      <c r="M105" s="223">
        <f t="shared" si="71"/>
        <v>132.02955099773638</v>
      </c>
      <c r="N105" s="224">
        <f t="shared" si="76"/>
        <v>1.6883610680502634</v>
      </c>
      <c r="O105" s="224">
        <f t="shared" si="77"/>
        <v>1.5966532052685072</v>
      </c>
      <c r="P105" s="224">
        <f t="shared" si="78"/>
        <v>0.9</v>
      </c>
      <c r="Q105" s="224">
        <f t="shared" si="78"/>
        <v>0.9</v>
      </c>
      <c r="R105" s="224">
        <f t="shared" si="79"/>
        <v>1.5</v>
      </c>
      <c r="S105" s="224">
        <f t="shared" si="80"/>
        <v>1.5</v>
      </c>
      <c r="T105" s="224">
        <f t="shared" si="81"/>
        <v>0.9</v>
      </c>
      <c r="U105" s="224">
        <f t="shared" si="82"/>
        <v>0.9</v>
      </c>
      <c r="V105" s="225">
        <f t="shared" si="83"/>
        <v>947865.15281882614</v>
      </c>
      <c r="W105" s="225">
        <f t="shared" si="84"/>
        <v>21750736.535733134</v>
      </c>
      <c r="X105" s="225">
        <f t="shared" si="85"/>
        <v>3914840.8137719599</v>
      </c>
      <c r="Y105" s="225">
        <f t="shared" si="86"/>
        <v>77865880.025976002</v>
      </c>
      <c r="Z105" s="227">
        <f t="shared" si="87"/>
        <v>335.40875895924489</v>
      </c>
      <c r="AA105" s="227">
        <f t="shared" si="88"/>
        <v>254.57024772337792</v>
      </c>
      <c r="AB105" s="227">
        <f t="shared" si="89"/>
        <v>160.36542740340653</v>
      </c>
      <c r="AC105" s="227">
        <f t="shared" si="90"/>
        <v>118.82659589796273</v>
      </c>
      <c r="AD105" s="228">
        <f t="shared" si="72"/>
        <v>0.49999999999999978</v>
      </c>
      <c r="AE105" s="228">
        <f t="shared" si="73"/>
        <v>0.49999999999999978</v>
      </c>
      <c r="AF105" s="228">
        <f t="shared" si="74"/>
        <v>-9.9999999999999978E-2</v>
      </c>
      <c r="AG105" s="228">
        <f t="shared" si="75"/>
        <v>-0.10000000000000009</v>
      </c>
    </row>
    <row r="106" spans="1:33">
      <c r="A106" s="231">
        <v>370</v>
      </c>
      <c r="B106" s="222">
        <f>VLOOKUP($A106,'Allocate OPROC cost'!$A:$AO,30,FALSE)</f>
        <v>6719</v>
      </c>
      <c r="C106" s="222">
        <f>VLOOKUP($A106,'Allocate OPROC cost'!$A:$AO,31,FALSE)</f>
        <v>88223</v>
      </c>
      <c r="D106" s="222">
        <f>VLOOKUP($A106,'Allocate OPROC cost'!$A:$AO,32,FALSE)</f>
        <v>43661</v>
      </c>
      <c r="E106" s="222">
        <f>VLOOKUP($A106,'Allocate OPROC cost'!$A:$AO,33,FALSE)</f>
        <v>692420</v>
      </c>
      <c r="F106" s="222">
        <f>VLOOKUP($A106,'Allocate OPROC cost'!$A:$AO,34,FALSE)</f>
        <v>1292526.8742140308</v>
      </c>
      <c r="G106" s="222">
        <f>VLOOKUP($A106,'Allocate OPROC cost'!$A:$AO,35,FALSE)</f>
        <v>14507754.343115328</v>
      </c>
      <c r="H106" s="222">
        <f>VLOOKUP($A106,'Allocate OPROC cost'!$A:$AO,36,FALSE)</f>
        <v>7383064.2482950538</v>
      </c>
      <c r="I106" s="222">
        <f>VLOOKUP($A106,'Allocate OPROC cost'!$A:$AO,37,FALSE)</f>
        <v>89250486.506961524</v>
      </c>
      <c r="J106" s="223">
        <f t="shared" si="71"/>
        <v>192.36893499241418</v>
      </c>
      <c r="K106" s="223">
        <f t="shared" si="71"/>
        <v>164.44412843720264</v>
      </c>
      <c r="L106" s="223">
        <f t="shared" si="71"/>
        <v>169.09975145541912</v>
      </c>
      <c r="M106" s="223">
        <f t="shared" si="71"/>
        <v>128.89645952884308</v>
      </c>
      <c r="N106" s="224">
        <f t="shared" si="76"/>
        <v>1.5712116626421868</v>
      </c>
      <c r="O106" s="224">
        <f t="shared" si="77"/>
        <v>1.6151916030292823</v>
      </c>
      <c r="P106" s="224">
        <f t="shared" si="78"/>
        <v>0.9</v>
      </c>
      <c r="Q106" s="224">
        <f t="shared" si="78"/>
        <v>0.9</v>
      </c>
      <c r="R106" s="224">
        <f t="shared" si="79"/>
        <v>1.5</v>
      </c>
      <c r="S106" s="224">
        <f t="shared" si="80"/>
        <v>1.5</v>
      </c>
      <c r="T106" s="224">
        <f t="shared" si="81"/>
        <v>0.9</v>
      </c>
      <c r="U106" s="224">
        <f t="shared" si="82"/>
        <v>0.9</v>
      </c>
      <c r="V106" s="225">
        <f t="shared" si="83"/>
        <v>1938790.3113210462</v>
      </c>
      <c r="W106" s="225">
        <f t="shared" si="84"/>
        <v>21761631.514672991</v>
      </c>
      <c r="X106" s="225">
        <f t="shared" si="85"/>
        <v>6644757.8234655485</v>
      </c>
      <c r="Y106" s="225">
        <f t="shared" si="86"/>
        <v>80325437.856265381</v>
      </c>
      <c r="Z106" s="227">
        <f t="shared" si="87"/>
        <v>288.55340248862126</v>
      </c>
      <c r="AA106" s="227">
        <f t="shared" si="88"/>
        <v>246.66619265580394</v>
      </c>
      <c r="AB106" s="227">
        <f t="shared" si="89"/>
        <v>152.1897763098772</v>
      </c>
      <c r="AC106" s="227">
        <f t="shared" si="90"/>
        <v>116.00681357595879</v>
      </c>
      <c r="AD106" s="228">
        <f t="shared" si="72"/>
        <v>0.5</v>
      </c>
      <c r="AE106" s="228">
        <f t="shared" si="73"/>
        <v>0.5</v>
      </c>
      <c r="AF106" s="228">
        <f t="shared" si="74"/>
        <v>-0.10000000000000009</v>
      </c>
      <c r="AG106" s="228">
        <f t="shared" si="75"/>
        <v>-9.9999999999999867E-2</v>
      </c>
    </row>
    <row r="107" spans="1:33">
      <c r="A107" s="231">
        <v>371</v>
      </c>
      <c r="B107" s="222">
        <f>VLOOKUP($A107,'Allocate OPROC cost'!$A:$AO,30,FALSE)</f>
        <v>92</v>
      </c>
      <c r="C107" s="222">
        <f>VLOOKUP($A107,'Allocate OPROC cost'!$A:$AO,31,FALSE)</f>
        <v>5051</v>
      </c>
      <c r="D107" s="222">
        <f>VLOOKUP($A107,'Allocate OPROC cost'!$A:$AO,32,FALSE)</f>
        <v>518</v>
      </c>
      <c r="E107" s="222">
        <f>VLOOKUP($A107,'Allocate OPROC cost'!$A:$AO,33,FALSE)</f>
        <v>4676</v>
      </c>
      <c r="F107" s="222">
        <f>VLOOKUP($A107,'Allocate OPROC cost'!$A:$AO,34,FALSE)</f>
        <v>4596.2360529388698</v>
      </c>
      <c r="G107" s="222">
        <f>VLOOKUP($A107,'Allocate OPROC cost'!$A:$AO,35,FALSE)</f>
        <v>1108423.1503571928</v>
      </c>
      <c r="H107" s="222">
        <f>VLOOKUP($A107,'Allocate OPROC cost'!$A:$AO,36,FALSE)</f>
        <v>24673.726472867402</v>
      </c>
      <c r="I107" s="222">
        <f>VLOOKUP($A107,'Allocate OPROC cost'!$A:$AO,37,FALSE)</f>
        <v>742918.19717711955</v>
      </c>
      <c r="J107" s="223">
        <f t="shared" si="71"/>
        <v>49.959087531944235</v>
      </c>
      <c r="K107" s="223">
        <f t="shared" si="71"/>
        <v>219.44627803547669</v>
      </c>
      <c r="L107" s="223">
        <f t="shared" si="71"/>
        <v>47.632676588547106</v>
      </c>
      <c r="M107" s="223">
        <f t="shared" si="71"/>
        <v>158.87899854087246</v>
      </c>
      <c r="N107" s="224">
        <f t="shared" si="76"/>
        <v>1.5368246145036617</v>
      </c>
      <c r="O107" s="224">
        <f t="shared" si="77"/>
        <v>1.0670247817304892</v>
      </c>
      <c r="P107" s="224">
        <f t="shared" si="78"/>
        <v>0.9</v>
      </c>
      <c r="Q107" s="224">
        <f t="shared" si="78"/>
        <v>0.9</v>
      </c>
      <c r="R107" s="224">
        <f t="shared" si="79"/>
        <v>1.5</v>
      </c>
      <c r="S107" s="224">
        <f t="shared" si="80"/>
        <v>1.0670247817304892</v>
      </c>
      <c r="T107" s="224">
        <f t="shared" si="81"/>
        <v>0.9</v>
      </c>
      <c r="U107" s="224">
        <f t="shared" si="82"/>
        <v>0.9</v>
      </c>
      <c r="V107" s="225">
        <f t="shared" si="83"/>
        <v>6894.3540794083046</v>
      </c>
      <c r="W107" s="225">
        <f t="shared" si="84"/>
        <v>1182714.9700749048</v>
      </c>
      <c r="X107" s="225">
        <f t="shared" si="85"/>
        <v>22206.353825580663</v>
      </c>
      <c r="Y107" s="225">
        <f t="shared" si="86"/>
        <v>668626.37745940767</v>
      </c>
      <c r="Z107" s="227">
        <f t="shared" si="87"/>
        <v>74.938631297916359</v>
      </c>
      <c r="AA107" s="227">
        <f t="shared" si="88"/>
        <v>234.15461692237278</v>
      </c>
      <c r="AB107" s="227">
        <f t="shared" si="89"/>
        <v>42.869408929692398</v>
      </c>
      <c r="AC107" s="227">
        <f t="shared" si="90"/>
        <v>142.99109868678522</v>
      </c>
      <c r="AD107" s="228">
        <f t="shared" si="72"/>
        <v>0.50000000000000022</v>
      </c>
      <c r="AE107" s="228">
        <f t="shared" si="73"/>
        <v>6.7024781730489202E-2</v>
      </c>
      <c r="AF107" s="228">
        <f t="shared" si="74"/>
        <v>-9.9999999999999978E-2</v>
      </c>
      <c r="AG107" s="228">
        <f t="shared" si="75"/>
        <v>-9.9999999999999978E-2</v>
      </c>
    </row>
    <row r="108" spans="1:33">
      <c r="A108" s="231">
        <v>400</v>
      </c>
      <c r="B108" s="222">
        <f>VLOOKUP($A108,'Allocate OPROC cost'!$A:$AO,30,FALSE)</f>
        <v>3311</v>
      </c>
      <c r="C108" s="222">
        <f>VLOOKUP($A108,'Allocate OPROC cost'!$A:$AO,31,FALSE)</f>
        <v>421554</v>
      </c>
      <c r="D108" s="222">
        <f>VLOOKUP($A108,'Allocate OPROC cost'!$A:$AO,32,FALSE)</f>
        <v>7997</v>
      </c>
      <c r="E108" s="222">
        <f>VLOOKUP($A108,'Allocate OPROC cost'!$A:$AO,33,FALSE)</f>
        <v>631138</v>
      </c>
      <c r="F108" s="222">
        <f>VLOOKUP($A108,'Allocate OPROC cost'!$A:$AO,34,FALSE)</f>
        <v>803587.94455191935</v>
      </c>
      <c r="G108" s="222">
        <f>VLOOKUP($A108,'Allocate OPROC cost'!$A:$AO,35,FALSE)</f>
        <v>79246279.234535143</v>
      </c>
      <c r="H108" s="222">
        <f>VLOOKUP($A108,'Allocate OPROC cost'!$A:$AO,36,FALSE)</f>
        <v>1767704.8288386872</v>
      </c>
      <c r="I108" s="222">
        <f>VLOOKUP($A108,'Allocate OPROC cost'!$A:$AO,37,FALSE)</f>
        <v>89382697.116712898</v>
      </c>
      <c r="J108" s="223">
        <f t="shared" si="71"/>
        <v>242.70249004890346</v>
      </c>
      <c r="K108" s="223">
        <f t="shared" si="71"/>
        <v>187.98606877063233</v>
      </c>
      <c r="L108" s="223">
        <f t="shared" si="71"/>
        <v>221.04599585328089</v>
      </c>
      <c r="M108" s="223">
        <f t="shared" si="71"/>
        <v>141.62147916416521</v>
      </c>
      <c r="N108" s="224">
        <f t="shared" si="76"/>
        <v>1.2199765241406602</v>
      </c>
      <c r="O108" s="224">
        <f t="shared" si="77"/>
        <v>1.1127910331943514</v>
      </c>
      <c r="P108" s="224">
        <f t="shared" si="78"/>
        <v>0.9</v>
      </c>
      <c r="Q108" s="224">
        <f t="shared" si="78"/>
        <v>0.9</v>
      </c>
      <c r="R108" s="224">
        <f t="shared" si="79"/>
        <v>1.2199765241406602</v>
      </c>
      <c r="S108" s="224">
        <f t="shared" si="80"/>
        <v>1.1127910331943514</v>
      </c>
      <c r="T108" s="224">
        <f t="shared" si="81"/>
        <v>0.9</v>
      </c>
      <c r="U108" s="224">
        <f t="shared" si="82"/>
        <v>0.9</v>
      </c>
      <c r="V108" s="225">
        <f t="shared" si="83"/>
        <v>980358.42743578809</v>
      </c>
      <c r="W108" s="225">
        <f t="shared" si="84"/>
        <v>88184548.946206436</v>
      </c>
      <c r="X108" s="225">
        <f t="shared" si="85"/>
        <v>1590934.3459548184</v>
      </c>
      <c r="Y108" s="225">
        <f t="shared" si="86"/>
        <v>80444427.405041605</v>
      </c>
      <c r="Z108" s="227">
        <f t="shared" si="87"/>
        <v>296.09134021014438</v>
      </c>
      <c r="AA108" s="227">
        <f t="shared" si="88"/>
        <v>209.18921169341635</v>
      </c>
      <c r="AB108" s="227">
        <f t="shared" si="89"/>
        <v>198.9413962679528</v>
      </c>
      <c r="AC108" s="227">
        <f t="shared" si="90"/>
        <v>127.45933124774868</v>
      </c>
      <c r="AD108" s="228">
        <f t="shared" ref="AD108:AD120" si="131">IF(J108=0,0,Z108/J108-1)</f>
        <v>0.21997652414066016</v>
      </c>
      <c r="AE108" s="228">
        <f t="shared" ref="AE108:AE120" si="132">IF(K108=0,0,AA108/K108-1)</f>
        <v>0.11279103319435135</v>
      </c>
      <c r="AF108" s="228">
        <f t="shared" ref="AF108:AF120" si="133">IF(L108=0,0,AB108/L108-1)</f>
        <v>-9.9999999999999978E-2</v>
      </c>
      <c r="AG108" s="228">
        <f t="shared" ref="AG108:AG120" si="134">IF(M108=0,0,AC108/M108-1)</f>
        <v>-0.10000000000000009</v>
      </c>
    </row>
    <row r="109" spans="1:33">
      <c r="A109" s="231">
        <v>401</v>
      </c>
      <c r="B109" s="222">
        <f>VLOOKUP($A109,'Allocate OPROC cost'!$A:$AO,30,FALSE)</f>
        <v>447</v>
      </c>
      <c r="C109" s="222">
        <f>VLOOKUP($A109,'Allocate OPROC cost'!$A:$AO,31,FALSE)</f>
        <v>66756</v>
      </c>
      <c r="D109" s="222">
        <f>VLOOKUP($A109,'Allocate OPROC cost'!$A:$AO,32,FALSE)</f>
        <v>21</v>
      </c>
      <c r="E109" s="222">
        <f>VLOOKUP($A109,'Allocate OPROC cost'!$A:$AO,33,FALSE)</f>
        <v>8113</v>
      </c>
      <c r="F109" s="222">
        <f>VLOOKUP($A109,'Allocate OPROC cost'!$A:$AO,34,FALSE)</f>
        <v>140739.1588099183</v>
      </c>
      <c r="G109" s="222">
        <f>VLOOKUP($A109,'Allocate OPROC cost'!$A:$AO,35,FALSE)</f>
        <v>9878909.7505206596</v>
      </c>
      <c r="H109" s="222">
        <f>VLOOKUP($A109,'Allocate OPROC cost'!$A:$AO,36,FALSE)</f>
        <v>5967.6628870079403</v>
      </c>
      <c r="I109" s="222">
        <f>VLOOKUP($A109,'Allocate OPROC cost'!$A:$AO,37,FALSE)</f>
        <v>913268.73753934924</v>
      </c>
      <c r="J109" s="223">
        <f t="shared" si="71"/>
        <v>314.85270427274787</v>
      </c>
      <c r="K109" s="223">
        <f t="shared" si="71"/>
        <v>147.98534589431151</v>
      </c>
      <c r="L109" s="223">
        <f t="shared" si="71"/>
        <v>284.17442319085433</v>
      </c>
      <c r="M109" s="223">
        <f t="shared" si="71"/>
        <v>112.56856126455679</v>
      </c>
      <c r="N109" s="224">
        <f t="shared" si="76"/>
        <v>1.004240229185303</v>
      </c>
      <c r="O109" s="224">
        <f t="shared" si="77"/>
        <v>1.0092446308408802</v>
      </c>
      <c r="P109" s="224">
        <f t="shared" si="78"/>
        <v>0.9</v>
      </c>
      <c r="Q109" s="224">
        <f t="shared" si="78"/>
        <v>0.9</v>
      </c>
      <c r="R109" s="224">
        <f t="shared" si="79"/>
        <v>1.004240229185303</v>
      </c>
      <c r="S109" s="224">
        <f t="shared" si="80"/>
        <v>1.0092446308408802</v>
      </c>
      <c r="T109" s="224">
        <f t="shared" si="81"/>
        <v>0.9</v>
      </c>
      <c r="U109" s="224">
        <f t="shared" si="82"/>
        <v>0.9</v>
      </c>
      <c r="V109" s="225">
        <f t="shared" si="83"/>
        <v>141335.9250986191</v>
      </c>
      <c r="W109" s="225">
        <f t="shared" si="84"/>
        <v>9970236.6242745947</v>
      </c>
      <c r="X109" s="225">
        <f t="shared" si="85"/>
        <v>5370.8965983071466</v>
      </c>
      <c r="Y109" s="225">
        <f t="shared" si="86"/>
        <v>821941.86378541437</v>
      </c>
      <c r="Z109" s="227">
        <f t="shared" si="87"/>
        <v>316.18775189847673</v>
      </c>
      <c r="AA109" s="227">
        <f t="shared" si="88"/>
        <v>149.35341578696438</v>
      </c>
      <c r="AB109" s="227">
        <f t="shared" si="89"/>
        <v>255.75698087176889</v>
      </c>
      <c r="AC109" s="227">
        <f t="shared" si="90"/>
        <v>101.31170513810112</v>
      </c>
      <c r="AD109" s="228">
        <f t="shared" si="131"/>
        <v>4.2402291853029794E-3</v>
      </c>
      <c r="AE109" s="228">
        <f t="shared" si="132"/>
        <v>9.2446308408802302E-3</v>
      </c>
      <c r="AF109" s="228">
        <f t="shared" si="133"/>
        <v>-9.9999999999999978E-2</v>
      </c>
      <c r="AG109" s="228">
        <f t="shared" si="134"/>
        <v>-9.9999999999999978E-2</v>
      </c>
    </row>
    <row r="110" spans="1:33">
      <c r="A110" s="231">
        <v>410</v>
      </c>
      <c r="B110" s="222">
        <f>VLOOKUP($A110,'Allocate OPROC cost'!$A:$AO,30,FALSE)</f>
        <v>3223</v>
      </c>
      <c r="C110" s="222">
        <f>VLOOKUP($A110,'Allocate OPROC cost'!$A:$AO,31,FALSE)</f>
        <v>368674</v>
      </c>
      <c r="D110" s="222">
        <f>VLOOKUP($A110,'Allocate OPROC cost'!$A:$AO,32,FALSE)</f>
        <v>7540</v>
      </c>
      <c r="E110" s="222">
        <f>VLOOKUP($A110,'Allocate OPROC cost'!$A:$AO,33,FALSE)</f>
        <v>1294230</v>
      </c>
      <c r="F110" s="222">
        <f>VLOOKUP($A110,'Allocate OPROC cost'!$A:$AO,34,FALSE)</f>
        <v>617120.45877641754</v>
      </c>
      <c r="G110" s="222">
        <f>VLOOKUP($A110,'Allocate OPROC cost'!$A:$AO,35,FALSE)</f>
        <v>63362223.098878048</v>
      </c>
      <c r="H110" s="222">
        <f>VLOOKUP($A110,'Allocate OPROC cost'!$A:$AO,36,FALSE)</f>
        <v>955601.85503499792</v>
      </c>
      <c r="I110" s="222">
        <f>VLOOKUP($A110,'Allocate OPROC cost'!$A:$AO,37,FALSE)</f>
        <v>151110016.99686688</v>
      </c>
      <c r="J110" s="223">
        <f t="shared" si="71"/>
        <v>191.47392453503491</v>
      </c>
      <c r="K110" s="223">
        <f t="shared" si="71"/>
        <v>171.86517926102206</v>
      </c>
      <c r="L110" s="223">
        <f t="shared" si="71"/>
        <v>126.73764655636577</v>
      </c>
      <c r="M110" s="223">
        <f t="shared" si="71"/>
        <v>116.75669471181079</v>
      </c>
      <c r="N110" s="224">
        <f t="shared" si="76"/>
        <v>1.1548485131946034</v>
      </c>
      <c r="O110" s="224">
        <f t="shared" si="77"/>
        <v>1.238485977300791</v>
      </c>
      <c r="P110" s="224">
        <f t="shared" si="78"/>
        <v>0.9</v>
      </c>
      <c r="Q110" s="224">
        <f t="shared" si="78"/>
        <v>0.9</v>
      </c>
      <c r="R110" s="224">
        <f t="shared" si="79"/>
        <v>1.1548485131946034</v>
      </c>
      <c r="S110" s="224">
        <f t="shared" si="80"/>
        <v>1.238485977300791</v>
      </c>
      <c r="T110" s="224">
        <f t="shared" si="81"/>
        <v>0.9</v>
      </c>
      <c r="U110" s="224">
        <f t="shared" si="82"/>
        <v>0.9</v>
      </c>
      <c r="V110" s="225">
        <f t="shared" si="83"/>
        <v>712680.64427991735</v>
      </c>
      <c r="W110" s="225">
        <f t="shared" si="84"/>
        <v>78473224.798564732</v>
      </c>
      <c r="X110" s="225">
        <f t="shared" si="85"/>
        <v>860041.6695314981</v>
      </c>
      <c r="Y110" s="225">
        <f t="shared" si="86"/>
        <v>135999015.29718021</v>
      </c>
      <c r="Z110" s="227">
        <f t="shared" si="87"/>
        <v>221.12337706482077</v>
      </c>
      <c r="AA110" s="227">
        <f t="shared" si="88"/>
        <v>212.85261450106253</v>
      </c>
      <c r="AB110" s="227">
        <f t="shared" si="89"/>
        <v>114.06388190072919</v>
      </c>
      <c r="AC110" s="227">
        <f t="shared" si="90"/>
        <v>105.08102524062973</v>
      </c>
      <c r="AD110" s="228">
        <f t="shared" si="131"/>
        <v>0.15484851319460335</v>
      </c>
      <c r="AE110" s="228">
        <f t="shared" si="132"/>
        <v>0.23848597730079102</v>
      </c>
      <c r="AF110" s="228">
        <f t="shared" si="133"/>
        <v>-0.10000000000000009</v>
      </c>
      <c r="AG110" s="228">
        <f t="shared" si="134"/>
        <v>-9.9999999999999867E-2</v>
      </c>
    </row>
    <row r="111" spans="1:33">
      <c r="A111" s="231">
        <v>420</v>
      </c>
      <c r="B111" s="222">
        <f>VLOOKUP($A111,'Allocate OPROC cost'!$A:$AO,30,FALSE)</f>
        <v>9164</v>
      </c>
      <c r="C111" s="222">
        <f>VLOOKUP($A111,'Allocate OPROC cost'!$A:$AO,31,FALSE)</f>
        <v>577402</v>
      </c>
      <c r="D111" s="222">
        <f>VLOOKUP($A111,'Allocate OPROC cost'!$A:$AO,32,FALSE)</f>
        <v>23065</v>
      </c>
      <c r="E111" s="222">
        <f>VLOOKUP($A111,'Allocate OPROC cost'!$A:$AO,33,FALSE)</f>
        <v>793601</v>
      </c>
      <c r="F111" s="222">
        <f>VLOOKUP($A111,'Allocate OPROC cost'!$A:$AO,34,FALSE)</f>
        <v>2209301.847385793</v>
      </c>
      <c r="G111" s="222">
        <f>VLOOKUP($A111,'Allocate OPROC cost'!$A:$AO,35,FALSE)</f>
        <v>125155952.51223424</v>
      </c>
      <c r="H111" s="222">
        <f>VLOOKUP($A111,'Allocate OPROC cost'!$A:$AO,36,FALSE)</f>
        <v>4283395.4552667039</v>
      </c>
      <c r="I111" s="222">
        <f>VLOOKUP($A111,'Allocate OPROC cost'!$A:$AO,37,FALSE)</f>
        <v>128755571.57595932</v>
      </c>
      <c r="J111" s="223">
        <f t="shared" si="71"/>
        <v>241.08488077103809</v>
      </c>
      <c r="K111" s="223">
        <f t="shared" si="71"/>
        <v>216.75704710450299</v>
      </c>
      <c r="L111" s="223">
        <f t="shared" si="71"/>
        <v>185.70975310065919</v>
      </c>
      <c r="M111" s="223">
        <f t="shared" si="71"/>
        <v>162.24219926129041</v>
      </c>
      <c r="N111" s="224">
        <f t="shared" si="76"/>
        <v>1.193880046781979</v>
      </c>
      <c r="O111" s="224">
        <f t="shared" si="77"/>
        <v>1.1028761069621305</v>
      </c>
      <c r="P111" s="224">
        <f t="shared" si="78"/>
        <v>0.9</v>
      </c>
      <c r="Q111" s="224">
        <f t="shared" si="78"/>
        <v>0.9</v>
      </c>
      <c r="R111" s="224">
        <f t="shared" si="79"/>
        <v>1.193880046781979</v>
      </c>
      <c r="S111" s="224">
        <f t="shared" si="80"/>
        <v>1.1028761069621305</v>
      </c>
      <c r="T111" s="224">
        <f t="shared" si="81"/>
        <v>0.9</v>
      </c>
      <c r="U111" s="224">
        <f t="shared" si="82"/>
        <v>0.9</v>
      </c>
      <c r="V111" s="225">
        <f t="shared" si="83"/>
        <v>2637641.3929124633</v>
      </c>
      <c r="W111" s="225">
        <f t="shared" si="84"/>
        <v>138031509.66983017</v>
      </c>
      <c r="X111" s="225">
        <f t="shared" si="85"/>
        <v>3855055.9097400336</v>
      </c>
      <c r="Y111" s="225">
        <f t="shared" si="86"/>
        <v>115880014.41836339</v>
      </c>
      <c r="Z111" s="227">
        <f t="shared" si="87"/>
        <v>287.82642873335482</v>
      </c>
      <c r="AA111" s="227">
        <f t="shared" si="88"/>
        <v>239.05616826722141</v>
      </c>
      <c r="AB111" s="227">
        <f t="shared" si="89"/>
        <v>167.13877779059325</v>
      </c>
      <c r="AC111" s="227">
        <f t="shared" si="90"/>
        <v>146.01797933516136</v>
      </c>
      <c r="AD111" s="228">
        <f t="shared" si="131"/>
        <v>0.19388004678197923</v>
      </c>
      <c r="AE111" s="228">
        <f t="shared" si="132"/>
        <v>0.10287610696213045</v>
      </c>
      <c r="AF111" s="228">
        <f t="shared" si="133"/>
        <v>-0.10000000000000009</v>
      </c>
      <c r="AG111" s="228">
        <f t="shared" si="134"/>
        <v>-0.10000000000000009</v>
      </c>
    </row>
    <row r="112" spans="1:33">
      <c r="A112" s="231">
        <v>421</v>
      </c>
      <c r="B112" s="222">
        <f>VLOOKUP($A112,'Allocate OPROC cost'!$A:$AO,30,FALSE)</f>
        <v>1234</v>
      </c>
      <c r="C112" s="222">
        <f>VLOOKUP($A112,'Allocate OPROC cost'!$A:$AO,31,FALSE)</f>
        <v>17172</v>
      </c>
      <c r="D112" s="222">
        <f>VLOOKUP($A112,'Allocate OPROC cost'!$A:$AO,32,FALSE)</f>
        <v>3526</v>
      </c>
      <c r="E112" s="222">
        <f>VLOOKUP($A112,'Allocate OPROC cost'!$A:$AO,33,FALSE)</f>
        <v>35815</v>
      </c>
      <c r="F112" s="222">
        <f>VLOOKUP($A112,'Allocate OPROC cost'!$A:$AO,34,FALSE)</f>
        <v>451845.47697191843</v>
      </c>
      <c r="G112" s="222">
        <f>VLOOKUP($A112,'Allocate OPROC cost'!$A:$AO,35,FALSE)</f>
        <v>5184413.5339791654</v>
      </c>
      <c r="H112" s="222">
        <f>VLOOKUP($A112,'Allocate OPROC cost'!$A:$AO,36,FALSE)</f>
        <v>918321.38834009692</v>
      </c>
      <c r="I112" s="222">
        <f>VLOOKUP($A112,'Allocate OPROC cost'!$A:$AO,37,FALSE)</f>
        <v>9024418.0274436846</v>
      </c>
      <c r="J112" s="223">
        <f t="shared" si="71"/>
        <v>366.16327145212188</v>
      </c>
      <c r="K112" s="223">
        <f t="shared" si="71"/>
        <v>301.91087432909188</v>
      </c>
      <c r="L112" s="223">
        <f t="shared" si="71"/>
        <v>260.44282142373709</v>
      </c>
      <c r="M112" s="223">
        <f t="shared" si="71"/>
        <v>251.97314051217882</v>
      </c>
      <c r="N112" s="224">
        <f t="shared" si="76"/>
        <v>1.203237928703925</v>
      </c>
      <c r="O112" s="224">
        <f t="shared" si="77"/>
        <v>1.1740682522390768</v>
      </c>
      <c r="P112" s="224">
        <f t="shared" si="78"/>
        <v>0.9</v>
      </c>
      <c r="Q112" s="224">
        <f t="shared" si="78"/>
        <v>0.9</v>
      </c>
      <c r="R112" s="224">
        <f t="shared" si="79"/>
        <v>1.203237928703925</v>
      </c>
      <c r="S112" s="224">
        <f t="shared" si="80"/>
        <v>1.1740682522390768</v>
      </c>
      <c r="T112" s="224">
        <f t="shared" si="81"/>
        <v>0.9</v>
      </c>
      <c r="U112" s="224">
        <f t="shared" si="82"/>
        <v>0.9</v>
      </c>
      <c r="V112" s="225">
        <f t="shared" si="83"/>
        <v>543677.61580592813</v>
      </c>
      <c r="W112" s="225">
        <f t="shared" si="84"/>
        <v>6086855.3367235344</v>
      </c>
      <c r="X112" s="225">
        <f t="shared" si="85"/>
        <v>826489.24950608728</v>
      </c>
      <c r="Y112" s="225">
        <f t="shared" si="86"/>
        <v>8121976.2246993165</v>
      </c>
      <c r="Z112" s="227">
        <f t="shared" si="87"/>
        <v>440.58153630950414</v>
      </c>
      <c r="AA112" s="227">
        <f t="shared" si="88"/>
        <v>354.46397255552841</v>
      </c>
      <c r="AB112" s="227">
        <f t="shared" si="89"/>
        <v>234.39853928136338</v>
      </c>
      <c r="AC112" s="227">
        <f t="shared" si="90"/>
        <v>226.77582646096096</v>
      </c>
      <c r="AD112" s="228">
        <f t="shared" si="131"/>
        <v>0.20323792870392499</v>
      </c>
      <c r="AE112" s="228">
        <f t="shared" si="132"/>
        <v>0.17406825223907663</v>
      </c>
      <c r="AF112" s="228">
        <f t="shared" si="133"/>
        <v>-9.9999999999999978E-2</v>
      </c>
      <c r="AG112" s="228">
        <f t="shared" si="134"/>
        <v>-9.9999999999999867E-2</v>
      </c>
    </row>
    <row r="113" spans="1:33">
      <c r="A113" s="231">
        <v>422</v>
      </c>
      <c r="B113" s="222">
        <f>VLOOKUP($A113,'Allocate OPROC cost'!$A:$AO,30,FALSE)</f>
        <v>109</v>
      </c>
      <c r="C113" s="222">
        <f>VLOOKUP($A113,'Allocate OPROC cost'!$A:$AO,31,FALSE)</f>
        <v>13125</v>
      </c>
      <c r="D113" s="222">
        <f>VLOOKUP($A113,'Allocate OPROC cost'!$A:$AO,32,FALSE)</f>
        <v>557</v>
      </c>
      <c r="E113" s="222">
        <f>VLOOKUP($A113,'Allocate OPROC cost'!$A:$AO,33,FALSE)</f>
        <v>19835</v>
      </c>
      <c r="F113" s="222">
        <f>VLOOKUP($A113,'Allocate OPROC cost'!$A:$AO,34,FALSE)</f>
        <v>7578.6042875351341</v>
      </c>
      <c r="G113" s="222">
        <f>VLOOKUP($A113,'Allocate OPROC cost'!$A:$AO,35,FALSE)</f>
        <v>1966831.4196630423</v>
      </c>
      <c r="H113" s="222">
        <f>VLOOKUP($A113,'Allocate OPROC cost'!$A:$AO,36,FALSE)</f>
        <v>60409.228656157102</v>
      </c>
      <c r="I113" s="222">
        <f>VLOOKUP($A113,'Allocate OPROC cost'!$A:$AO,37,FALSE)</f>
        <v>3195044.8486455618</v>
      </c>
      <c r="J113" s="223">
        <f t="shared" si="71"/>
        <v>69.528479702157199</v>
      </c>
      <c r="K113" s="223">
        <f t="shared" si="71"/>
        <v>149.8538224505175</v>
      </c>
      <c r="L113" s="223">
        <f t="shared" si="71"/>
        <v>108.45462954426769</v>
      </c>
      <c r="M113" s="223">
        <f t="shared" si="71"/>
        <v>161.08116201893429</v>
      </c>
      <c r="N113" s="224">
        <f t="shared" si="76"/>
        <v>1.7971022943566908</v>
      </c>
      <c r="O113" s="224">
        <f t="shared" si="77"/>
        <v>1.1624462989915494</v>
      </c>
      <c r="P113" s="224">
        <f t="shared" si="78"/>
        <v>0.9</v>
      </c>
      <c r="Q113" s="224">
        <f t="shared" si="78"/>
        <v>0.9</v>
      </c>
      <c r="R113" s="224">
        <f t="shared" si="79"/>
        <v>1.5</v>
      </c>
      <c r="S113" s="224">
        <f t="shared" si="80"/>
        <v>1.1624462989915494</v>
      </c>
      <c r="T113" s="224">
        <f t="shared" si="81"/>
        <v>0.9</v>
      </c>
      <c r="U113" s="224">
        <f t="shared" si="82"/>
        <v>0.9</v>
      </c>
      <c r="V113" s="225">
        <f t="shared" si="83"/>
        <v>11367.906431302701</v>
      </c>
      <c r="W113" s="225">
        <f t="shared" si="84"/>
        <v>2286335.9045275985</v>
      </c>
      <c r="X113" s="225">
        <f t="shared" si="85"/>
        <v>54368.305790541395</v>
      </c>
      <c r="Y113" s="225">
        <f t="shared" si="86"/>
        <v>2875540.3637810056</v>
      </c>
      <c r="Z113" s="227">
        <f t="shared" si="87"/>
        <v>104.29271955323578</v>
      </c>
      <c r="AA113" s="227">
        <f t="shared" si="88"/>
        <v>174.19702129734085</v>
      </c>
      <c r="AB113" s="227">
        <f t="shared" si="89"/>
        <v>97.609166589840925</v>
      </c>
      <c r="AC113" s="227">
        <f t="shared" si="90"/>
        <v>144.97304581704086</v>
      </c>
      <c r="AD113" s="228">
        <f t="shared" si="131"/>
        <v>0.49999999999999978</v>
      </c>
      <c r="AE113" s="228">
        <f t="shared" si="132"/>
        <v>0.16244629899154961</v>
      </c>
      <c r="AF113" s="228">
        <f t="shared" si="133"/>
        <v>-9.9999999999999978E-2</v>
      </c>
      <c r="AG113" s="228">
        <f t="shared" si="134"/>
        <v>-0.10000000000000009</v>
      </c>
    </row>
    <row r="114" spans="1:33">
      <c r="A114" s="231">
        <v>430</v>
      </c>
      <c r="B114" s="222">
        <f>VLOOKUP($A114,'Allocate OPROC cost'!$A:$AO,30,FALSE)</f>
        <v>4259</v>
      </c>
      <c r="C114" s="222">
        <f>VLOOKUP($A114,'Allocate OPROC cost'!$A:$AO,31,FALSE)</f>
        <v>167266</v>
      </c>
      <c r="D114" s="222">
        <f>VLOOKUP($A114,'Allocate OPROC cost'!$A:$AO,32,FALSE)</f>
        <v>4383</v>
      </c>
      <c r="E114" s="222">
        <f>VLOOKUP($A114,'Allocate OPROC cost'!$A:$AO,33,FALSE)</f>
        <v>236482</v>
      </c>
      <c r="F114" s="222">
        <f>VLOOKUP($A114,'Allocate OPROC cost'!$A:$AO,34,FALSE)</f>
        <v>876824.60249126365</v>
      </c>
      <c r="G114" s="222">
        <f>VLOOKUP($A114,'Allocate OPROC cost'!$A:$AO,35,FALSE)</f>
        <v>38667116.772057094</v>
      </c>
      <c r="H114" s="222">
        <f>VLOOKUP($A114,'Allocate OPROC cost'!$A:$AO,36,FALSE)</f>
        <v>635664.73245882534</v>
      </c>
      <c r="I114" s="222">
        <f>VLOOKUP($A114,'Allocate OPROC cost'!$A:$AO,37,FALSE)</f>
        <v>38955882.244393729</v>
      </c>
      <c r="J114" s="223">
        <f t="shared" si="71"/>
        <v>205.87569910572051</v>
      </c>
      <c r="K114" s="223">
        <f t="shared" si="71"/>
        <v>231.17140824828175</v>
      </c>
      <c r="L114" s="223">
        <f t="shared" si="71"/>
        <v>145.02959900954264</v>
      </c>
      <c r="M114" s="223">
        <f t="shared" si="71"/>
        <v>164.7308558131009</v>
      </c>
      <c r="N114" s="224">
        <f t="shared" si="76"/>
        <v>1.0724962245188778</v>
      </c>
      <c r="O114" s="224">
        <f t="shared" si="77"/>
        <v>1.1007467985628174</v>
      </c>
      <c r="P114" s="224">
        <f t="shared" si="78"/>
        <v>0.9</v>
      </c>
      <c r="Q114" s="224">
        <f t="shared" si="78"/>
        <v>0.9</v>
      </c>
      <c r="R114" s="224">
        <f t="shared" si="79"/>
        <v>1.0724962245188778</v>
      </c>
      <c r="S114" s="224">
        <f t="shared" si="80"/>
        <v>1.1007467985628174</v>
      </c>
      <c r="T114" s="224">
        <f t="shared" si="81"/>
        <v>0.9</v>
      </c>
      <c r="U114" s="224">
        <f t="shared" si="82"/>
        <v>0.9</v>
      </c>
      <c r="V114" s="225">
        <f t="shared" si="83"/>
        <v>940391.07573714608</v>
      </c>
      <c r="W114" s="225">
        <f t="shared" si="84"/>
        <v>42562704.996496469</v>
      </c>
      <c r="X114" s="225">
        <f t="shared" si="85"/>
        <v>572098.25921294279</v>
      </c>
      <c r="Y114" s="225">
        <f t="shared" si="86"/>
        <v>35060294.019954354</v>
      </c>
      <c r="Z114" s="227">
        <f t="shared" si="87"/>
        <v>220.80091001106976</v>
      </c>
      <c r="AA114" s="227">
        <f t="shared" si="88"/>
        <v>254.46118754855422</v>
      </c>
      <c r="AB114" s="227">
        <f t="shared" si="89"/>
        <v>130.52663910858837</v>
      </c>
      <c r="AC114" s="227">
        <f t="shared" si="90"/>
        <v>148.2577702317908</v>
      </c>
      <c r="AD114" s="228">
        <f t="shared" si="131"/>
        <v>7.2496224518877828E-2</v>
      </c>
      <c r="AE114" s="228">
        <f t="shared" si="132"/>
        <v>0.10074679856281743</v>
      </c>
      <c r="AF114" s="228">
        <f t="shared" si="133"/>
        <v>-9.9999999999999978E-2</v>
      </c>
      <c r="AG114" s="228">
        <f t="shared" si="134"/>
        <v>-0.10000000000000009</v>
      </c>
    </row>
    <row r="115" spans="1:33">
      <c r="A115" s="231">
        <v>450</v>
      </c>
      <c r="B115" s="222">
        <f>VLOOKUP($A115,'Allocate OPROC cost'!$A:$AO,30,FALSE)</f>
        <v>124</v>
      </c>
      <c r="C115" s="222">
        <f>VLOOKUP($A115,'Allocate OPROC cost'!$A:$AO,31,FALSE)</f>
        <v>26837</v>
      </c>
      <c r="D115" s="222">
        <f>VLOOKUP($A115,'Allocate OPROC cost'!$A:$AO,32,FALSE)</f>
        <v>646</v>
      </c>
      <c r="E115" s="222">
        <f>VLOOKUP($A115,'Allocate OPROC cost'!$A:$AO,33,FALSE)</f>
        <v>35353</v>
      </c>
      <c r="F115" s="222">
        <f>VLOOKUP($A115,'Allocate OPROC cost'!$A:$AO,34,FALSE)</f>
        <v>26765.963324178487</v>
      </c>
      <c r="G115" s="222">
        <f>VLOOKUP($A115,'Allocate OPROC cost'!$A:$AO,35,FALSE)</f>
        <v>2948551.5310999504</v>
      </c>
      <c r="H115" s="222">
        <f>VLOOKUP($A115,'Allocate OPROC cost'!$A:$AO,36,FALSE)</f>
        <v>117151.17192954477</v>
      </c>
      <c r="I115" s="222">
        <f>VLOOKUP($A115,'Allocate OPROC cost'!$A:$AO,37,FALSE)</f>
        <v>3473174.4277838022</v>
      </c>
      <c r="J115" s="223">
        <f t="shared" si="71"/>
        <v>215.85454293692328</v>
      </c>
      <c r="K115" s="223">
        <f t="shared" si="71"/>
        <v>109.86889485039127</v>
      </c>
      <c r="L115" s="223">
        <f t="shared" si="71"/>
        <v>181.34856335842844</v>
      </c>
      <c r="M115" s="223">
        <f t="shared" si="71"/>
        <v>98.242707204022352</v>
      </c>
      <c r="N115" s="224">
        <f t="shared" si="76"/>
        <v>1.4376871122128403</v>
      </c>
      <c r="O115" s="224">
        <f t="shared" si="77"/>
        <v>1.1177925632687906</v>
      </c>
      <c r="P115" s="224">
        <f t="shared" si="78"/>
        <v>0.9</v>
      </c>
      <c r="Q115" s="224">
        <f t="shared" si="78"/>
        <v>0.9</v>
      </c>
      <c r="R115" s="224">
        <f t="shared" si="79"/>
        <v>1.4376871122128403</v>
      </c>
      <c r="S115" s="224">
        <f t="shared" si="80"/>
        <v>1.1177925632687906</v>
      </c>
      <c r="T115" s="224">
        <f t="shared" si="81"/>
        <v>0.9</v>
      </c>
      <c r="U115" s="224">
        <f t="shared" si="82"/>
        <v>0.9</v>
      </c>
      <c r="V115" s="225">
        <f t="shared" si="83"/>
        <v>38481.080517132963</v>
      </c>
      <c r="W115" s="225">
        <f t="shared" si="84"/>
        <v>3295868.973878331</v>
      </c>
      <c r="X115" s="225">
        <f t="shared" si="85"/>
        <v>105436.05473659029</v>
      </c>
      <c r="Y115" s="225">
        <f t="shared" si="86"/>
        <v>3125856.985005422</v>
      </c>
      <c r="Z115" s="227">
        <f t="shared" si="87"/>
        <v>310.33129449300776</v>
      </c>
      <c r="AA115" s="227">
        <f t="shared" si="88"/>
        <v>122.8106335983281</v>
      </c>
      <c r="AB115" s="227">
        <f t="shared" si="89"/>
        <v>163.2137070225856</v>
      </c>
      <c r="AC115" s="227">
        <f t="shared" si="90"/>
        <v>88.418436483620113</v>
      </c>
      <c r="AD115" s="228">
        <f t="shared" si="131"/>
        <v>0.43768711221284029</v>
      </c>
      <c r="AE115" s="228">
        <f t="shared" si="132"/>
        <v>0.11779256326879062</v>
      </c>
      <c r="AF115" s="228">
        <f t="shared" si="133"/>
        <v>-9.9999999999999978E-2</v>
      </c>
      <c r="AG115" s="228">
        <f t="shared" si="134"/>
        <v>-0.10000000000000009</v>
      </c>
    </row>
    <row r="116" spans="1:33">
      <c r="A116" s="231">
        <v>460</v>
      </c>
      <c r="B116" s="222">
        <f>VLOOKUP($A116,'Allocate OPROC cost'!$A:$AO,30,FALSE)</f>
        <v>29</v>
      </c>
      <c r="C116" s="222">
        <f>VLOOKUP($A116,'Allocate OPROC cost'!$A:$AO,31,FALSE)</f>
        <v>5219</v>
      </c>
      <c r="D116" s="222">
        <f>VLOOKUP($A116,'Allocate OPROC cost'!$A:$AO,32,FALSE)</f>
        <v>417</v>
      </c>
      <c r="E116" s="222">
        <f>VLOOKUP($A116,'Allocate OPROC cost'!$A:$AO,33,FALSE)</f>
        <v>19881</v>
      </c>
      <c r="F116" s="222">
        <f>VLOOKUP($A116,'Allocate OPROC cost'!$A:$AO,34,FALSE)</f>
        <v>7396.4595802794174</v>
      </c>
      <c r="G116" s="222">
        <f>VLOOKUP($A116,'Allocate OPROC cost'!$A:$AO,35,FALSE)</f>
        <v>391741.80256563134</v>
      </c>
      <c r="H116" s="222">
        <f>VLOOKUP($A116,'Allocate OPROC cost'!$A:$AO,36,FALSE)</f>
        <v>69481.353711914358</v>
      </c>
      <c r="I116" s="222">
        <f>VLOOKUP($A116,'Allocate OPROC cost'!$A:$AO,37,FALSE)</f>
        <v>1398375.4331573923</v>
      </c>
      <c r="J116" s="223">
        <f t="shared" si="71"/>
        <v>255.05033035446266</v>
      </c>
      <c r="K116" s="223">
        <f t="shared" si="71"/>
        <v>75.060701775365274</v>
      </c>
      <c r="L116" s="223">
        <f t="shared" si="71"/>
        <v>166.62195134751644</v>
      </c>
      <c r="M116" s="223">
        <f t="shared" si="71"/>
        <v>70.337278464734794</v>
      </c>
      <c r="N116" s="224">
        <f t="shared" si="76"/>
        <v>1.9393866478655122</v>
      </c>
      <c r="O116" s="224">
        <f t="shared" si="77"/>
        <v>1.3569635469074333</v>
      </c>
      <c r="P116" s="224">
        <f t="shared" si="78"/>
        <v>0.9</v>
      </c>
      <c r="Q116" s="224">
        <f t="shared" si="78"/>
        <v>0.9</v>
      </c>
      <c r="R116" s="224">
        <f t="shared" si="79"/>
        <v>1.5</v>
      </c>
      <c r="S116" s="224">
        <f t="shared" si="80"/>
        <v>1.3569635469074333</v>
      </c>
      <c r="T116" s="224">
        <f t="shared" si="81"/>
        <v>0.9</v>
      </c>
      <c r="U116" s="224">
        <f t="shared" si="82"/>
        <v>0.9</v>
      </c>
      <c r="V116" s="225">
        <f t="shared" si="83"/>
        <v>11094.689370419126</v>
      </c>
      <c r="W116" s="225">
        <f t="shared" si="84"/>
        <v>531579.34588137059</v>
      </c>
      <c r="X116" s="225">
        <f t="shared" si="85"/>
        <v>62533.218340722924</v>
      </c>
      <c r="Y116" s="225">
        <f t="shared" si="86"/>
        <v>1258537.8898416532</v>
      </c>
      <c r="Z116" s="227">
        <f t="shared" si="87"/>
        <v>382.575495531694</v>
      </c>
      <c r="AA116" s="227">
        <f t="shared" si="88"/>
        <v>101.85463611446073</v>
      </c>
      <c r="AB116" s="227">
        <f t="shared" si="89"/>
        <v>149.9597562127648</v>
      </c>
      <c r="AC116" s="227">
        <f t="shared" si="90"/>
        <v>63.303550618261312</v>
      </c>
      <c r="AD116" s="228">
        <f t="shared" si="131"/>
        <v>0.5</v>
      </c>
      <c r="AE116" s="228">
        <f t="shared" si="132"/>
        <v>0.35696354690743326</v>
      </c>
      <c r="AF116" s="228">
        <f t="shared" si="133"/>
        <v>-9.9999999999999978E-2</v>
      </c>
      <c r="AG116" s="228">
        <f t="shared" si="134"/>
        <v>-0.10000000000000009</v>
      </c>
    </row>
    <row r="117" spans="1:33">
      <c r="A117" s="231">
        <v>501</v>
      </c>
      <c r="B117" s="222">
        <f>VLOOKUP($A117,'Allocate OPROC cost'!$A:$AO,30,FALSE)</f>
        <v>47060</v>
      </c>
      <c r="C117" s="222">
        <f>VLOOKUP($A117,'Allocate OPROC cost'!$A:$AO,31,FALSE)</f>
        <v>712489</v>
      </c>
      <c r="D117" s="222">
        <f>VLOOKUP($A117,'Allocate OPROC cost'!$A:$AO,32,FALSE)</f>
        <v>86184</v>
      </c>
      <c r="E117" s="222">
        <f>VLOOKUP($A117,'Allocate OPROC cost'!$A:$AO,33,FALSE)</f>
        <v>1814132</v>
      </c>
      <c r="F117" s="222">
        <f>VLOOKUP($A117,'Allocate OPROC cost'!$A:$AO,34,FALSE)</f>
        <v>6791989.7676631575</v>
      </c>
      <c r="G117" s="222">
        <f>VLOOKUP($A117,'Allocate OPROC cost'!$A:$AO,35,FALSE)</f>
        <v>94471410.204004854</v>
      </c>
      <c r="H117" s="222">
        <f>VLOOKUP($A117,'Allocate OPROC cost'!$A:$AO,36,FALSE)</f>
        <v>11024413.006174944</v>
      </c>
      <c r="I117" s="222">
        <f>VLOOKUP($A117,'Allocate OPROC cost'!$A:$AO,37,FALSE)</f>
        <v>178705117.97982758</v>
      </c>
      <c r="J117" s="223">
        <f t="shared" si="71"/>
        <v>144.32617440848188</v>
      </c>
      <c r="K117" s="223">
        <f t="shared" si="71"/>
        <v>132.59349997544504</v>
      </c>
      <c r="L117" s="223">
        <f t="shared" si="71"/>
        <v>127.91716567083152</v>
      </c>
      <c r="M117" s="223">
        <f t="shared" si="71"/>
        <v>98.507229892768322</v>
      </c>
      <c r="N117" s="224">
        <f t="shared" si="76"/>
        <v>1.1623149236570183</v>
      </c>
      <c r="O117" s="224">
        <f t="shared" si="77"/>
        <v>1.1891631739104196</v>
      </c>
      <c r="P117" s="224">
        <f t="shared" si="78"/>
        <v>0.9</v>
      </c>
      <c r="Q117" s="224">
        <f t="shared" si="78"/>
        <v>0.9</v>
      </c>
      <c r="R117" s="224">
        <f t="shared" si="79"/>
        <v>1.1623149236570183</v>
      </c>
      <c r="S117" s="224">
        <f t="shared" si="80"/>
        <v>1.1891631739104196</v>
      </c>
      <c r="T117" s="224">
        <f t="shared" si="81"/>
        <v>0.9</v>
      </c>
      <c r="U117" s="224">
        <f t="shared" si="82"/>
        <v>0.9</v>
      </c>
      <c r="V117" s="225">
        <f t="shared" si="83"/>
        <v>7894431.0682806522</v>
      </c>
      <c r="W117" s="225">
        <f t="shared" si="84"/>
        <v>112341922.00198761</v>
      </c>
      <c r="X117" s="225">
        <f t="shared" si="85"/>
        <v>9921971.7055574507</v>
      </c>
      <c r="Y117" s="225">
        <f t="shared" si="86"/>
        <v>160834606.18184483</v>
      </c>
      <c r="Z117" s="227">
        <f t="shared" si="87"/>
        <v>167.75246638930412</v>
      </c>
      <c r="AA117" s="227">
        <f t="shared" si="88"/>
        <v>157.67530727069135</v>
      </c>
      <c r="AB117" s="227">
        <f t="shared" si="89"/>
        <v>115.12544910374838</v>
      </c>
      <c r="AC117" s="227">
        <f t="shared" si="90"/>
        <v>88.65650690349149</v>
      </c>
      <c r="AD117" s="228">
        <f t="shared" si="131"/>
        <v>0.16231492365701827</v>
      </c>
      <c r="AE117" s="228">
        <f t="shared" si="132"/>
        <v>0.18916317391041937</v>
      </c>
      <c r="AF117" s="228">
        <f t="shared" si="133"/>
        <v>-9.9999999999999867E-2</v>
      </c>
      <c r="AG117" s="228">
        <f t="shared" si="134"/>
        <v>-9.9999999999999978E-2</v>
      </c>
    </row>
    <row r="118" spans="1:33">
      <c r="A118" s="231">
        <v>502</v>
      </c>
      <c r="B118" s="222">
        <f>VLOOKUP($A118,'Allocate OPROC cost'!$A:$AO,30,FALSE)</f>
        <v>37410</v>
      </c>
      <c r="C118" s="222">
        <f>VLOOKUP($A118,'Allocate OPROC cost'!$A:$AO,31,FALSE)</f>
        <v>855866</v>
      </c>
      <c r="D118" s="222">
        <f>VLOOKUP($A118,'Allocate OPROC cost'!$A:$AO,32,FALSE)</f>
        <v>34062</v>
      </c>
      <c r="E118" s="222">
        <f>VLOOKUP($A118,'Allocate OPROC cost'!$A:$AO,33,FALSE)</f>
        <v>1033736</v>
      </c>
      <c r="F118" s="222">
        <f>VLOOKUP($A118,'Allocate OPROC cost'!$A:$AO,34,FALSE)</f>
        <v>5891217.7762867818</v>
      </c>
      <c r="G118" s="222">
        <f>VLOOKUP($A118,'Allocate OPROC cost'!$A:$AO,35,FALSE)</f>
        <v>117003857.59989816</v>
      </c>
      <c r="H118" s="222">
        <f>VLOOKUP($A118,'Allocate OPROC cost'!$A:$AO,36,FALSE)</f>
        <v>5040667.5323879756</v>
      </c>
      <c r="I118" s="222">
        <f>VLOOKUP($A118,'Allocate OPROC cost'!$A:$AO,37,FALSE)</f>
        <v>113153189.481049</v>
      </c>
      <c r="J118" s="223">
        <f t="shared" si="71"/>
        <v>157.47708570667686</v>
      </c>
      <c r="K118" s="223">
        <f t="shared" si="71"/>
        <v>136.70815010749132</v>
      </c>
      <c r="L118" s="223">
        <f t="shared" si="71"/>
        <v>147.98507229135035</v>
      </c>
      <c r="M118" s="223">
        <f t="shared" si="71"/>
        <v>109.46043233576948</v>
      </c>
      <c r="N118" s="224">
        <f t="shared" si="76"/>
        <v>1.085562403628628</v>
      </c>
      <c r="O118" s="224">
        <f t="shared" si="77"/>
        <v>1.0967089391770168</v>
      </c>
      <c r="P118" s="224">
        <f t="shared" si="78"/>
        <v>0.9</v>
      </c>
      <c r="Q118" s="224">
        <f t="shared" si="78"/>
        <v>0.9</v>
      </c>
      <c r="R118" s="224">
        <f t="shared" si="79"/>
        <v>1.085562403628628</v>
      </c>
      <c r="S118" s="224">
        <f t="shared" si="80"/>
        <v>1.0967089391770168</v>
      </c>
      <c r="T118" s="224">
        <f t="shared" si="81"/>
        <v>0.9</v>
      </c>
      <c r="U118" s="224">
        <f t="shared" si="82"/>
        <v>0.9</v>
      </c>
      <c r="V118" s="225">
        <f t="shared" si="83"/>
        <v>6395284.5295255799</v>
      </c>
      <c r="W118" s="225">
        <f t="shared" si="84"/>
        <v>128319176.54800305</v>
      </c>
      <c r="X118" s="225">
        <f t="shared" si="85"/>
        <v>4536600.7791491784</v>
      </c>
      <c r="Y118" s="225">
        <f t="shared" si="86"/>
        <v>101837870.5329441</v>
      </c>
      <c r="Z118" s="227">
        <f t="shared" si="87"/>
        <v>170.95120367617162</v>
      </c>
      <c r="AA118" s="227">
        <f t="shared" si="88"/>
        <v>149.92905028123917</v>
      </c>
      <c r="AB118" s="227">
        <f t="shared" si="89"/>
        <v>133.18656506221532</v>
      </c>
      <c r="AC118" s="227">
        <f t="shared" si="90"/>
        <v>98.514389102192524</v>
      </c>
      <c r="AD118" s="228">
        <f t="shared" si="131"/>
        <v>8.5562403628628214E-2</v>
      </c>
      <c r="AE118" s="228">
        <f t="shared" si="132"/>
        <v>9.6708939177016617E-2</v>
      </c>
      <c r="AF118" s="228">
        <f t="shared" si="133"/>
        <v>-9.9999999999999978E-2</v>
      </c>
      <c r="AG118" s="228">
        <f t="shared" si="134"/>
        <v>-0.10000000000000009</v>
      </c>
    </row>
    <row r="119" spans="1:33">
      <c r="A119" s="231">
        <v>503</v>
      </c>
      <c r="B119" s="222">
        <f>VLOOKUP($A119,'Allocate OPROC cost'!$A:$AO,30,FALSE)</f>
        <v>1878</v>
      </c>
      <c r="C119" s="222">
        <f>VLOOKUP($A119,'Allocate OPROC cost'!$A:$AO,31,FALSE)</f>
        <v>32362</v>
      </c>
      <c r="D119" s="222">
        <f>VLOOKUP($A119,'Allocate OPROC cost'!$A:$AO,32,FALSE)</f>
        <v>6496</v>
      </c>
      <c r="E119" s="222">
        <f>VLOOKUP($A119,'Allocate OPROC cost'!$A:$AO,33,FALSE)</f>
        <v>65241</v>
      </c>
      <c r="F119" s="222">
        <f>VLOOKUP($A119,'Allocate OPROC cost'!$A:$AO,34,FALSE)</f>
        <v>371150.14949051588</v>
      </c>
      <c r="G119" s="222">
        <f>VLOOKUP($A119,'Allocate OPROC cost'!$A:$AO,35,FALSE)</f>
        <v>4567753.9315457884</v>
      </c>
      <c r="H119" s="222">
        <f>VLOOKUP($A119,'Allocate OPROC cost'!$A:$AO,36,FALSE)</f>
        <v>1259797.768535397</v>
      </c>
      <c r="I119" s="222">
        <f>VLOOKUP($A119,'Allocate OPROC cost'!$A:$AO,37,FALSE)</f>
        <v>7263718.0547820581</v>
      </c>
      <c r="J119" s="223">
        <f t="shared" si="71"/>
        <v>197.63053753488597</v>
      </c>
      <c r="K119" s="223">
        <f t="shared" si="71"/>
        <v>141.14560075229554</v>
      </c>
      <c r="L119" s="223">
        <f t="shared" si="71"/>
        <v>193.93438555039978</v>
      </c>
      <c r="M119" s="223">
        <f t="shared" si="71"/>
        <v>111.33670628564948</v>
      </c>
      <c r="N119" s="224">
        <f t="shared" si="76"/>
        <v>1.3394307587548444</v>
      </c>
      <c r="O119" s="224">
        <f t="shared" si="77"/>
        <v>1.1590216584264188</v>
      </c>
      <c r="P119" s="224">
        <f t="shared" si="78"/>
        <v>0.9</v>
      </c>
      <c r="Q119" s="224">
        <f t="shared" si="78"/>
        <v>0.9</v>
      </c>
      <c r="R119" s="224">
        <f t="shared" si="79"/>
        <v>1.3394307587548444</v>
      </c>
      <c r="S119" s="224">
        <f t="shared" si="80"/>
        <v>1.1590216584264188</v>
      </c>
      <c r="T119" s="224">
        <f t="shared" si="81"/>
        <v>0.9</v>
      </c>
      <c r="U119" s="224">
        <f t="shared" si="82"/>
        <v>0.9</v>
      </c>
      <c r="V119" s="225">
        <f t="shared" si="83"/>
        <v>497129.92634405562</v>
      </c>
      <c r="W119" s="225">
        <f t="shared" si="84"/>
        <v>5294125.7370239943</v>
      </c>
      <c r="X119" s="225">
        <f t="shared" si="85"/>
        <v>1133817.9916818573</v>
      </c>
      <c r="Y119" s="225">
        <f t="shared" si="86"/>
        <v>6537346.2493038522</v>
      </c>
      <c r="Z119" s="227">
        <f t="shared" si="87"/>
        <v>264.71242084348012</v>
      </c>
      <c r="AA119" s="227">
        <f t="shared" si="88"/>
        <v>163.59080826351877</v>
      </c>
      <c r="AB119" s="227">
        <f t="shared" si="89"/>
        <v>174.5409469953598</v>
      </c>
      <c r="AC119" s="227">
        <f t="shared" si="90"/>
        <v>100.20303565708454</v>
      </c>
      <c r="AD119" s="228">
        <f t="shared" si="131"/>
        <v>0.33943075875484463</v>
      </c>
      <c r="AE119" s="228">
        <f t="shared" si="132"/>
        <v>0.1590216584264188</v>
      </c>
      <c r="AF119" s="228">
        <f t="shared" si="133"/>
        <v>-9.9999999999999978E-2</v>
      </c>
      <c r="AG119" s="228">
        <f t="shared" si="134"/>
        <v>-9.9999999999999978E-2</v>
      </c>
    </row>
    <row r="120" spans="1:33">
      <c r="A120" s="231">
        <v>560</v>
      </c>
      <c r="B120" s="222">
        <f>VLOOKUP($A120,'Allocate OPROC cost'!$A:$AO,30,FALSE)</f>
        <v>8312</v>
      </c>
      <c r="C120" s="222">
        <f>VLOOKUP($A120,'Allocate OPROC cost'!$A:$AO,31,FALSE)</f>
        <v>483559</v>
      </c>
      <c r="D120" s="222">
        <f>VLOOKUP($A120,'Allocate OPROC cost'!$A:$AO,32,FALSE)</f>
        <v>30891</v>
      </c>
      <c r="E120" s="222">
        <f>VLOOKUP($A120,'Allocate OPROC cost'!$A:$AO,33,FALSE)</f>
        <v>1787678</v>
      </c>
      <c r="F120" s="222">
        <f>VLOOKUP($A120,'Allocate OPROC cost'!$A:$AO,34,FALSE)</f>
        <v>878326.63937311724</v>
      </c>
      <c r="G120" s="222">
        <f>VLOOKUP($A120,'Allocate OPROC cost'!$A:$AO,35,FALSE)</f>
        <v>46870997.5600821</v>
      </c>
      <c r="H120" s="222">
        <f>VLOOKUP($A120,'Allocate OPROC cost'!$A:$AO,36,FALSE)</f>
        <v>1372464.4820101529</v>
      </c>
      <c r="I120" s="222">
        <f>VLOOKUP($A120,'Allocate OPROC cost'!$A:$AO,37,FALSE)</f>
        <v>103795348.70626576</v>
      </c>
      <c r="J120" s="223">
        <f t="shared" si="71"/>
        <v>105.66971118540872</v>
      </c>
      <c r="K120" s="223">
        <f t="shared" si="71"/>
        <v>96.929221791099124</v>
      </c>
      <c r="L120" s="223">
        <f t="shared" si="71"/>
        <v>44.429266841803532</v>
      </c>
      <c r="M120" s="223">
        <f t="shared" si="71"/>
        <v>58.061546154433721</v>
      </c>
      <c r="N120" s="224">
        <f t="shared" si="76"/>
        <v>1.1562590066708798</v>
      </c>
      <c r="O120" s="224">
        <f t="shared" si="77"/>
        <v>1.2214489857469206</v>
      </c>
      <c r="P120" s="224">
        <f t="shared" si="78"/>
        <v>0.9</v>
      </c>
      <c r="Q120" s="224">
        <f t="shared" si="78"/>
        <v>0.9</v>
      </c>
      <c r="R120" s="224">
        <f t="shared" si="79"/>
        <v>1.1562590066708798</v>
      </c>
      <c r="S120" s="224">
        <f t="shared" si="80"/>
        <v>1.2214489857469206</v>
      </c>
      <c r="T120" s="224">
        <f t="shared" si="81"/>
        <v>0.9</v>
      </c>
      <c r="U120" s="224">
        <f t="shared" si="82"/>
        <v>0.9</v>
      </c>
      <c r="V120" s="225">
        <f t="shared" si="83"/>
        <v>1015573.0875741326</v>
      </c>
      <c r="W120" s="225">
        <f t="shared" si="84"/>
        <v>57250532.430708669</v>
      </c>
      <c r="X120" s="225">
        <f t="shared" si="85"/>
        <v>1235218.0338091375</v>
      </c>
      <c r="Y120" s="225">
        <f t="shared" si="86"/>
        <v>93415813.835639194</v>
      </c>
      <c r="Z120" s="227">
        <f t="shared" si="87"/>
        <v>122.18155529043943</v>
      </c>
      <c r="AA120" s="227">
        <f t="shared" si="88"/>
        <v>118.39409964597633</v>
      </c>
      <c r="AB120" s="227">
        <f t="shared" si="89"/>
        <v>39.986340157623175</v>
      </c>
      <c r="AC120" s="227">
        <f t="shared" si="90"/>
        <v>52.255391538990352</v>
      </c>
      <c r="AD120" s="228">
        <f t="shared" si="131"/>
        <v>0.15625900667087977</v>
      </c>
      <c r="AE120" s="228">
        <f t="shared" si="132"/>
        <v>0.2214489857469204</v>
      </c>
      <c r="AF120" s="228">
        <f t="shared" si="133"/>
        <v>-0.10000000000000009</v>
      </c>
      <c r="AG120" s="228">
        <f t="shared" si="134"/>
        <v>-9.9999999999999978E-2</v>
      </c>
    </row>
    <row r="121" spans="1:33">
      <c r="A121" s="231">
        <v>650</v>
      </c>
      <c r="B121" s="222">
        <f>VLOOKUP($A121,'Allocate OPROC cost'!$A:$AO,30,FALSE)</f>
        <v>25</v>
      </c>
      <c r="C121" s="222">
        <f>VLOOKUP($A121,'Allocate OPROC cost'!$A:$AO,31,FALSE)</f>
        <v>187872</v>
      </c>
      <c r="D121" s="222">
        <f>VLOOKUP($A121,'Allocate OPROC cost'!$A:$AO,32,FALSE)</f>
        <v>42</v>
      </c>
      <c r="E121" s="222">
        <f>VLOOKUP($A121,'Allocate OPROC cost'!$A:$AO,33,FALSE)</f>
        <v>387530</v>
      </c>
      <c r="F121" s="222">
        <f>VLOOKUP($A121,'Allocate OPROC cost'!$A:$AO,34,FALSE)</f>
        <v>3511.6702403868367</v>
      </c>
      <c r="G121" s="222">
        <f>VLOOKUP($A121,'Allocate OPROC cost'!$A:$AO,35,FALSE)</f>
        <v>9565854.0713865329</v>
      </c>
      <c r="H121" s="222">
        <f>VLOOKUP($A121,'Allocate OPROC cost'!$A:$AO,36,FALSE)</f>
        <v>4100.5747417946786</v>
      </c>
      <c r="I121" s="222">
        <f>VLOOKUP($A121,'Allocate OPROC cost'!$A:$AO,37,FALSE)</f>
        <v>20997213.938585501</v>
      </c>
      <c r="J121" s="223">
        <f t="shared" ref="J121:J145" si="135">IF(B121=0,0,F121/B121)</f>
        <v>140.46680961547347</v>
      </c>
      <c r="K121" s="223">
        <f t="shared" ref="K121:K145" si="136">IF(C121=0,0,G121/C121)</f>
        <v>50.916869312013141</v>
      </c>
      <c r="L121" s="223">
        <f t="shared" ref="L121:L145" si="137">IF(D121=0,0,H121/D121)</f>
        <v>97.632731947492346</v>
      </c>
      <c r="M121" s="223">
        <f t="shared" ref="M121:M145" si="138">IF(E121=0,0,I121/E121)</f>
        <v>54.182163803022995</v>
      </c>
      <c r="N121" s="224">
        <f t="shared" ref="N121:N145" si="139">IF(F121=0,1,1+(H121*$O$4)/F121)</f>
        <v>1.1167699260208148</v>
      </c>
      <c r="O121" s="224">
        <f t="shared" ref="O121:O145" si="140">IF(G121=0,1,1+(I121*$O$4)/G121)</f>
        <v>1.2195017170645803</v>
      </c>
      <c r="P121" s="224">
        <f t="shared" si="78"/>
        <v>0.9</v>
      </c>
      <c r="Q121" s="224">
        <f t="shared" si="78"/>
        <v>0.9</v>
      </c>
      <c r="R121" s="224">
        <f t="shared" ref="R121:R145" si="141">IF($S$4="No limit",N121,IF(N121&gt;$S$4,$S$4,N121))</f>
        <v>1.1167699260208148</v>
      </c>
      <c r="S121" s="224">
        <f t="shared" ref="S121:S145" si="142">IF($S$4="No limit",O121,IF(O121&gt;$S$4,$S$4,O121))</f>
        <v>1.2195017170645803</v>
      </c>
      <c r="T121" s="224">
        <f t="shared" si="81"/>
        <v>0.9</v>
      </c>
      <c r="U121" s="224">
        <f t="shared" si="82"/>
        <v>0.9</v>
      </c>
      <c r="V121" s="225">
        <f t="shared" ref="V121:V145" si="143">R121*F121</f>
        <v>3921.7277145663047</v>
      </c>
      <c r="W121" s="225">
        <f t="shared" ref="W121:W145" si="144">S121*G121</f>
        <v>11665575.465245083</v>
      </c>
      <c r="X121" s="225">
        <f t="shared" ref="X121:X145" si="145">T121*H121</f>
        <v>3690.517267615211</v>
      </c>
      <c r="Y121" s="225">
        <f t="shared" ref="Y121:Y145" si="146">U121*I121</f>
        <v>18897492.544726953</v>
      </c>
      <c r="Z121" s="227">
        <f t="shared" ref="Z121:Z145" si="147">IF(B121=0,0,V121/B121)</f>
        <v>156.86910858265219</v>
      </c>
      <c r="AA121" s="227">
        <f t="shared" ref="AA121:AA145" si="148">IF(C121=0,0,W121/C121)</f>
        <v>62.09320955355286</v>
      </c>
      <c r="AB121" s="227">
        <f t="shared" ref="AB121:AB145" si="149">IF(D121=0,0,X121/D121)</f>
        <v>87.869458752743114</v>
      </c>
      <c r="AC121" s="227">
        <f t="shared" ref="AC121:AC145" si="150">IF(E121=0,0,Y121/E121)</f>
        <v>48.763947422720697</v>
      </c>
      <c r="AD121" s="228">
        <f t="shared" ref="AD121:AD145" si="151">IF(J121=0,0,Z121/J121-1)</f>
        <v>0.11676992602081482</v>
      </c>
      <c r="AE121" s="228">
        <f t="shared" ref="AE121:AE145" si="152">IF(K121=0,0,AA121/K121-1)</f>
        <v>0.21950171706458033</v>
      </c>
      <c r="AF121" s="228">
        <f t="shared" ref="AF121:AF145" si="153">IF(L121=0,0,AB121/L121-1)</f>
        <v>-9.9999999999999978E-2</v>
      </c>
      <c r="AG121" s="228">
        <f t="shared" ref="AG121:AG145" si="154">IF(M121=0,0,AC121/M121-1)</f>
        <v>-9.9999999999999978E-2</v>
      </c>
    </row>
    <row r="122" spans="1:33">
      <c r="A122" s="231">
        <v>651</v>
      </c>
      <c r="B122" s="222">
        <f>VLOOKUP($A122,'Allocate OPROC cost'!$A:$AO,30,FALSE)</f>
        <v>4</v>
      </c>
      <c r="C122" s="222">
        <f>VLOOKUP($A122,'Allocate OPROC cost'!$A:$AO,31,FALSE)</f>
        <v>17733</v>
      </c>
      <c r="D122" s="222">
        <f>VLOOKUP($A122,'Allocate OPROC cost'!$A:$AO,32,FALSE)</f>
        <v>22</v>
      </c>
      <c r="E122" s="222">
        <f>VLOOKUP($A122,'Allocate OPROC cost'!$A:$AO,33,FALSE)</f>
        <v>38774</v>
      </c>
      <c r="F122" s="222">
        <f>VLOOKUP($A122,'Allocate OPROC cost'!$A:$AO,34,FALSE)</f>
        <v>379.61064654016423</v>
      </c>
      <c r="G122" s="222">
        <f>VLOOKUP($A122,'Allocate OPROC cost'!$A:$AO,35,FALSE)</f>
        <v>1068835.7480932032</v>
      </c>
      <c r="H122" s="222">
        <f>VLOOKUP($A122,'Allocate OPROC cost'!$A:$AO,36,FALSE)</f>
        <v>1181.3847686525144</v>
      </c>
      <c r="I122" s="222">
        <f>VLOOKUP($A122,'Allocate OPROC cost'!$A:$AO,37,FALSE)</f>
        <v>2323986.3444599612</v>
      </c>
      <c r="J122" s="223">
        <f t="shared" si="135"/>
        <v>94.902661635041056</v>
      </c>
      <c r="K122" s="223">
        <f t="shared" si="136"/>
        <v>60.273825528292065</v>
      </c>
      <c r="L122" s="223">
        <f t="shared" si="137"/>
        <v>53.69930766602338</v>
      </c>
      <c r="M122" s="223">
        <f t="shared" si="138"/>
        <v>59.936719050393592</v>
      </c>
      <c r="N122" s="224">
        <f t="shared" si="139"/>
        <v>1.3112095984187628</v>
      </c>
      <c r="O122" s="224">
        <f t="shared" si="140"/>
        <v>1.2174315696874791</v>
      </c>
      <c r="P122" s="224">
        <f t="shared" ref="P122:Q145" si="155">$P$4</f>
        <v>0.9</v>
      </c>
      <c r="Q122" s="224">
        <f t="shared" si="155"/>
        <v>0.9</v>
      </c>
      <c r="R122" s="224">
        <f t="shared" si="141"/>
        <v>1.3112095984187628</v>
      </c>
      <c r="S122" s="224">
        <f t="shared" si="142"/>
        <v>1.2174315696874791</v>
      </c>
      <c r="T122" s="224">
        <f t="shared" si="81"/>
        <v>0.9</v>
      </c>
      <c r="U122" s="224">
        <f t="shared" si="82"/>
        <v>0.9</v>
      </c>
      <c r="V122" s="225">
        <f t="shared" si="143"/>
        <v>497.74912340541567</v>
      </c>
      <c r="W122" s="225">
        <f t="shared" si="144"/>
        <v>1301234.3825391994</v>
      </c>
      <c r="X122" s="225">
        <f t="shared" si="145"/>
        <v>1063.2462917872629</v>
      </c>
      <c r="Y122" s="225">
        <f t="shared" si="146"/>
        <v>2091587.7100139651</v>
      </c>
      <c r="Z122" s="227">
        <f t="shared" si="147"/>
        <v>124.43728085135392</v>
      </c>
      <c r="AA122" s="227">
        <f t="shared" si="148"/>
        <v>73.379258023977869</v>
      </c>
      <c r="AB122" s="227">
        <f t="shared" si="149"/>
        <v>48.329376899421042</v>
      </c>
      <c r="AC122" s="227">
        <f t="shared" si="150"/>
        <v>53.943047145354235</v>
      </c>
      <c r="AD122" s="228">
        <f t="shared" si="151"/>
        <v>0.31120959841876283</v>
      </c>
      <c r="AE122" s="228">
        <f t="shared" si="152"/>
        <v>0.21743156968747934</v>
      </c>
      <c r="AF122" s="228">
        <f t="shared" si="153"/>
        <v>-9.9999999999999978E-2</v>
      </c>
      <c r="AG122" s="228">
        <f t="shared" si="154"/>
        <v>-9.9999999999999978E-2</v>
      </c>
    </row>
    <row r="123" spans="1:33">
      <c r="A123" s="231">
        <v>652</v>
      </c>
      <c r="B123" s="222">
        <f>VLOOKUP($A123,'Allocate OPROC cost'!$A:$AO,30,FALSE)</f>
        <v>2</v>
      </c>
      <c r="C123" s="222">
        <f>VLOOKUP($A123,'Allocate OPROC cost'!$A:$AO,31,FALSE)</f>
        <v>8698</v>
      </c>
      <c r="D123" s="222">
        <f>VLOOKUP($A123,'Allocate OPROC cost'!$A:$AO,32,FALSE)</f>
        <v>8</v>
      </c>
      <c r="E123" s="222">
        <f>VLOOKUP($A123,'Allocate OPROC cost'!$A:$AO,33,FALSE)</f>
        <v>5231</v>
      </c>
      <c r="F123" s="222">
        <f>VLOOKUP($A123,'Allocate OPROC cost'!$A:$AO,34,FALSE)</f>
        <v>184.65086083732939</v>
      </c>
      <c r="G123" s="222">
        <f>VLOOKUP($A123,'Allocate OPROC cost'!$A:$AO,35,FALSE)</f>
        <v>496882.53259998461</v>
      </c>
      <c r="H123" s="222">
        <f>VLOOKUP($A123,'Allocate OPROC cost'!$A:$AO,36,FALSE)</f>
        <v>907.86673245020279</v>
      </c>
      <c r="I123" s="222">
        <f>VLOOKUP($A123,'Allocate OPROC cost'!$A:$AO,37,FALSE)</f>
        <v>990862.54392017412</v>
      </c>
      <c r="J123" s="223">
        <f t="shared" si="135"/>
        <v>92.325430418664695</v>
      </c>
      <c r="K123" s="223">
        <f t="shared" si="136"/>
        <v>57.126067210851303</v>
      </c>
      <c r="L123" s="223">
        <f t="shared" si="137"/>
        <v>113.48334155627535</v>
      </c>
      <c r="M123" s="223">
        <f t="shared" si="138"/>
        <v>189.42124716501129</v>
      </c>
      <c r="N123" s="224">
        <f t="shared" si="139"/>
        <v>1.4916666666666667</v>
      </c>
      <c r="O123" s="224">
        <f t="shared" si="140"/>
        <v>1.1994158536295072</v>
      </c>
      <c r="P123" s="224">
        <f t="shared" si="155"/>
        <v>0.9</v>
      </c>
      <c r="Q123" s="224">
        <f t="shared" si="155"/>
        <v>0.9</v>
      </c>
      <c r="R123" s="224">
        <f t="shared" si="141"/>
        <v>1.4916666666666667</v>
      </c>
      <c r="S123" s="224">
        <f t="shared" si="142"/>
        <v>1.1994158536295072</v>
      </c>
      <c r="T123" s="224">
        <f t="shared" si="81"/>
        <v>0.9</v>
      </c>
      <c r="U123" s="224">
        <f t="shared" si="82"/>
        <v>0.9</v>
      </c>
      <c r="V123" s="225">
        <f t="shared" si="143"/>
        <v>275.43753408234966</v>
      </c>
      <c r="W123" s="225">
        <f t="shared" si="144"/>
        <v>595968.78699200193</v>
      </c>
      <c r="X123" s="225">
        <f t="shared" si="145"/>
        <v>817.08005920518258</v>
      </c>
      <c r="Y123" s="225">
        <f t="shared" si="146"/>
        <v>891776.28952815675</v>
      </c>
      <c r="Z123" s="227">
        <f t="shared" si="147"/>
        <v>137.71876704117483</v>
      </c>
      <c r="AA123" s="227">
        <f t="shared" si="148"/>
        <v>68.517910668199804</v>
      </c>
      <c r="AB123" s="227">
        <f t="shared" si="149"/>
        <v>102.13500740064782</v>
      </c>
      <c r="AC123" s="227">
        <f t="shared" si="150"/>
        <v>170.47912244851017</v>
      </c>
      <c r="AD123" s="228">
        <f t="shared" si="151"/>
        <v>0.49166666666666647</v>
      </c>
      <c r="AE123" s="228">
        <f t="shared" si="152"/>
        <v>0.19941585362950698</v>
      </c>
      <c r="AF123" s="228">
        <f t="shared" si="153"/>
        <v>-9.9999999999999978E-2</v>
      </c>
      <c r="AG123" s="228">
        <f t="shared" si="154"/>
        <v>-9.9999999999999978E-2</v>
      </c>
    </row>
    <row r="124" spans="1:33">
      <c r="A124" s="231">
        <v>653</v>
      </c>
      <c r="B124" s="222">
        <f>VLOOKUP($A124,'Allocate OPROC cost'!$A:$AO,30,FALSE)</f>
        <v>75</v>
      </c>
      <c r="C124" s="222">
        <f>VLOOKUP($A124,'Allocate OPROC cost'!$A:$AO,31,FALSE)</f>
        <v>89743</v>
      </c>
      <c r="D124" s="222">
        <f>VLOOKUP($A124,'Allocate OPROC cost'!$A:$AO,32,FALSE)</f>
        <v>3036</v>
      </c>
      <c r="E124" s="222">
        <f>VLOOKUP($A124,'Allocate OPROC cost'!$A:$AO,33,FALSE)</f>
        <v>188418</v>
      </c>
      <c r="F124" s="222">
        <f>VLOOKUP($A124,'Allocate OPROC cost'!$A:$AO,34,FALSE)</f>
        <v>8073.1584573841265</v>
      </c>
      <c r="G124" s="222">
        <f>VLOOKUP($A124,'Allocate OPROC cost'!$A:$AO,35,FALSE)</f>
        <v>4226168.6455817269</v>
      </c>
      <c r="H124" s="222">
        <f>VLOOKUP($A124,'Allocate OPROC cost'!$A:$AO,36,FALSE)</f>
        <v>265582.89267860469</v>
      </c>
      <c r="I124" s="222">
        <f>VLOOKUP($A124,'Allocate OPROC cost'!$A:$AO,37,FALSE)</f>
        <v>8336282.511197526</v>
      </c>
      <c r="J124" s="223">
        <f t="shared" si="135"/>
        <v>107.64211276512168</v>
      </c>
      <c r="K124" s="223">
        <f t="shared" si="136"/>
        <v>47.091902940415707</v>
      </c>
      <c r="L124" s="223">
        <f t="shared" si="137"/>
        <v>87.477896139197853</v>
      </c>
      <c r="M124" s="223">
        <f t="shared" si="138"/>
        <v>44.243556938283632</v>
      </c>
      <c r="N124" s="224">
        <f t="shared" si="139"/>
        <v>4.289702463794562</v>
      </c>
      <c r="O124" s="224">
        <f t="shared" si="140"/>
        <v>1.1972539008804759</v>
      </c>
      <c r="P124" s="224">
        <f t="shared" si="155"/>
        <v>0.9</v>
      </c>
      <c r="Q124" s="224">
        <f t="shared" si="155"/>
        <v>0.9</v>
      </c>
      <c r="R124" s="224">
        <f t="shared" si="141"/>
        <v>1.5</v>
      </c>
      <c r="S124" s="224">
        <f t="shared" si="142"/>
        <v>1.1972539008804759</v>
      </c>
      <c r="T124" s="224">
        <f t="shared" si="81"/>
        <v>0.9</v>
      </c>
      <c r="U124" s="224">
        <f t="shared" si="82"/>
        <v>0.9</v>
      </c>
      <c r="V124" s="225">
        <f t="shared" si="143"/>
        <v>12109.737686076191</v>
      </c>
      <c r="W124" s="225">
        <f t="shared" si="144"/>
        <v>5059796.8967014803</v>
      </c>
      <c r="X124" s="225">
        <f t="shared" si="145"/>
        <v>239024.60341074422</v>
      </c>
      <c r="Y124" s="225">
        <f t="shared" si="146"/>
        <v>7502654.2600777736</v>
      </c>
      <c r="Z124" s="227">
        <f t="shared" si="147"/>
        <v>161.46316914768255</v>
      </c>
      <c r="AA124" s="227">
        <f t="shared" si="148"/>
        <v>56.380964495297462</v>
      </c>
      <c r="AB124" s="227">
        <f t="shared" si="149"/>
        <v>78.730106525278075</v>
      </c>
      <c r="AC124" s="227">
        <f t="shared" si="150"/>
        <v>39.819201244455272</v>
      </c>
      <c r="AD124" s="228">
        <f t="shared" si="151"/>
        <v>0.50000000000000022</v>
      </c>
      <c r="AE124" s="228">
        <f t="shared" si="152"/>
        <v>0.1972539008804759</v>
      </c>
      <c r="AF124" s="228">
        <f t="shared" si="153"/>
        <v>-9.9999999999999867E-2</v>
      </c>
      <c r="AG124" s="228">
        <f t="shared" si="154"/>
        <v>-9.9999999999999978E-2</v>
      </c>
    </row>
    <row r="125" spans="1:33">
      <c r="A125" s="231">
        <v>654</v>
      </c>
      <c r="B125" s="222">
        <f>VLOOKUP($A125,'Allocate OPROC cost'!$A:$AO,30,FALSE)</f>
        <v>30</v>
      </c>
      <c r="C125" s="222">
        <f>VLOOKUP($A125,'Allocate OPROC cost'!$A:$AO,31,FALSE)</f>
        <v>21183</v>
      </c>
      <c r="D125" s="222">
        <f>VLOOKUP($A125,'Allocate OPROC cost'!$A:$AO,32,FALSE)</f>
        <v>20</v>
      </c>
      <c r="E125" s="222">
        <f>VLOOKUP($A125,'Allocate OPROC cost'!$A:$AO,33,FALSE)</f>
        <v>24207</v>
      </c>
      <c r="F125" s="222">
        <f>VLOOKUP($A125,'Allocate OPROC cost'!$A:$AO,34,FALSE)</f>
        <v>2763.9867786008513</v>
      </c>
      <c r="G125" s="222">
        <f>VLOOKUP($A125,'Allocate OPROC cost'!$A:$AO,35,FALSE)</f>
        <v>1672502.6572894226</v>
      </c>
      <c r="H125" s="222">
        <f>VLOOKUP($A125,'Allocate OPROC cost'!$A:$AO,36,FALSE)</f>
        <v>1740.9047776079383</v>
      </c>
      <c r="I125" s="222">
        <f>VLOOKUP($A125,'Allocate OPROC cost'!$A:$AO,37,FALSE)</f>
        <v>1705170.3451440055</v>
      </c>
      <c r="J125" s="223">
        <f t="shared" si="135"/>
        <v>92.132892620028372</v>
      </c>
      <c r="K125" s="223">
        <f t="shared" si="136"/>
        <v>78.954947707568451</v>
      </c>
      <c r="L125" s="223">
        <f t="shared" si="137"/>
        <v>87.045238880396909</v>
      </c>
      <c r="M125" s="223">
        <f t="shared" si="138"/>
        <v>70.441208953773923</v>
      </c>
      <c r="N125" s="224">
        <f t="shared" si="139"/>
        <v>1.0629852787678382</v>
      </c>
      <c r="O125" s="224">
        <f t="shared" si="140"/>
        <v>1.1019532218805277</v>
      </c>
      <c r="P125" s="224">
        <f t="shared" si="155"/>
        <v>0.9</v>
      </c>
      <c r="Q125" s="224">
        <f t="shared" si="155"/>
        <v>0.9</v>
      </c>
      <c r="R125" s="224">
        <f t="shared" si="141"/>
        <v>1.0629852787678382</v>
      </c>
      <c r="S125" s="224">
        <f t="shared" si="142"/>
        <v>1.1019532218805277</v>
      </c>
      <c r="T125" s="224">
        <f t="shared" si="81"/>
        <v>0.9</v>
      </c>
      <c r="U125" s="224">
        <f t="shared" si="82"/>
        <v>0.9</v>
      </c>
      <c r="V125" s="225">
        <f t="shared" si="143"/>
        <v>2938.0772563616451</v>
      </c>
      <c r="W125" s="225">
        <f t="shared" si="144"/>
        <v>1843019.6918038232</v>
      </c>
      <c r="X125" s="225">
        <f t="shared" si="145"/>
        <v>1566.8142998471444</v>
      </c>
      <c r="Y125" s="225">
        <f t="shared" si="146"/>
        <v>1534653.3106296051</v>
      </c>
      <c r="Z125" s="227">
        <f t="shared" si="147"/>
        <v>97.935908545388173</v>
      </c>
      <c r="AA125" s="227">
        <f t="shared" si="148"/>
        <v>87.004659009763643</v>
      </c>
      <c r="AB125" s="227">
        <f t="shared" si="149"/>
        <v>78.340714992357221</v>
      </c>
      <c r="AC125" s="227">
        <f t="shared" si="150"/>
        <v>63.397088058396541</v>
      </c>
      <c r="AD125" s="228">
        <f t="shared" si="151"/>
        <v>6.2985278767838437E-2</v>
      </c>
      <c r="AE125" s="228">
        <f t="shared" si="152"/>
        <v>0.10195322188052769</v>
      </c>
      <c r="AF125" s="228">
        <f t="shared" si="153"/>
        <v>-9.9999999999999978E-2</v>
      </c>
      <c r="AG125" s="228">
        <f t="shared" si="154"/>
        <v>-9.9999999999999867E-2</v>
      </c>
    </row>
    <row r="126" spans="1:33">
      <c r="A126" s="231">
        <v>655</v>
      </c>
      <c r="B126" s="222">
        <f>VLOOKUP($A126,'Allocate OPROC cost'!$A:$AO,30,FALSE)</f>
        <v>9</v>
      </c>
      <c r="C126" s="222">
        <f>VLOOKUP($A126,'Allocate OPROC cost'!$A:$AO,31,FALSE)</f>
        <v>26168</v>
      </c>
      <c r="D126" s="222">
        <f>VLOOKUP($A126,'Allocate OPROC cost'!$A:$AO,32,FALSE)</f>
        <v>56</v>
      </c>
      <c r="E126" s="222">
        <f>VLOOKUP($A126,'Allocate OPROC cost'!$A:$AO,33,FALSE)</f>
        <v>94391</v>
      </c>
      <c r="F126" s="222">
        <f>VLOOKUP($A126,'Allocate OPROC cost'!$A:$AO,34,FALSE)</f>
        <v>808.40955868257799</v>
      </c>
      <c r="G126" s="222">
        <f>VLOOKUP($A126,'Allocate OPROC cost'!$A:$AO,35,FALSE)</f>
        <v>1580519.6279469137</v>
      </c>
      <c r="H126" s="222">
        <f>VLOOKUP($A126,'Allocate OPROC cost'!$A:$AO,36,FALSE)</f>
        <v>4585.4378897038059</v>
      </c>
      <c r="I126" s="222">
        <f>VLOOKUP($A126,'Allocate OPROC cost'!$A:$AO,37,FALSE)</f>
        <v>4900389.5548364902</v>
      </c>
      <c r="J126" s="223">
        <f t="shared" si="135"/>
        <v>89.823284298064223</v>
      </c>
      <c r="K126" s="223">
        <f t="shared" si="136"/>
        <v>60.398946344654298</v>
      </c>
      <c r="L126" s="223">
        <f t="shared" si="137"/>
        <v>81.882819458996536</v>
      </c>
      <c r="M126" s="223">
        <f t="shared" si="138"/>
        <v>51.915855906140315</v>
      </c>
      <c r="N126" s="224">
        <f t="shared" si="139"/>
        <v>1.5672171785272369</v>
      </c>
      <c r="O126" s="224">
        <f t="shared" si="140"/>
        <v>1.3100492691256274</v>
      </c>
      <c r="P126" s="224">
        <f t="shared" si="155"/>
        <v>0.9</v>
      </c>
      <c r="Q126" s="224">
        <f t="shared" si="155"/>
        <v>0.9</v>
      </c>
      <c r="R126" s="224">
        <f t="shared" si="141"/>
        <v>1.5</v>
      </c>
      <c r="S126" s="224">
        <f t="shared" si="142"/>
        <v>1.3100492691256274</v>
      </c>
      <c r="T126" s="224">
        <f t="shared" si="81"/>
        <v>0.9</v>
      </c>
      <c r="U126" s="224">
        <f t="shared" si="82"/>
        <v>0.9</v>
      </c>
      <c r="V126" s="225">
        <f t="shared" si="143"/>
        <v>1212.614338023867</v>
      </c>
      <c r="W126" s="225">
        <f t="shared" si="144"/>
        <v>2070558.5834305629</v>
      </c>
      <c r="X126" s="225">
        <f t="shared" si="145"/>
        <v>4126.8941007334251</v>
      </c>
      <c r="Y126" s="225">
        <f t="shared" si="146"/>
        <v>4410350.5993528413</v>
      </c>
      <c r="Z126" s="227">
        <f t="shared" si="147"/>
        <v>134.73492644709634</v>
      </c>
      <c r="AA126" s="227">
        <f t="shared" si="148"/>
        <v>79.125595514772357</v>
      </c>
      <c r="AB126" s="227">
        <f t="shared" si="149"/>
        <v>73.694537513096876</v>
      </c>
      <c r="AC126" s="227">
        <f t="shared" si="150"/>
        <v>46.724270315526283</v>
      </c>
      <c r="AD126" s="228">
        <f t="shared" si="151"/>
        <v>0.5</v>
      </c>
      <c r="AE126" s="228">
        <f t="shared" si="152"/>
        <v>0.31004926912562758</v>
      </c>
      <c r="AF126" s="228">
        <f t="shared" si="153"/>
        <v>-0.10000000000000009</v>
      </c>
      <c r="AG126" s="228">
        <f t="shared" si="154"/>
        <v>-9.9999999999999978E-2</v>
      </c>
    </row>
    <row r="127" spans="1:33">
      <c r="A127" s="231">
        <v>656</v>
      </c>
      <c r="B127" s="222">
        <f>VLOOKUP($A127,'Allocate OPROC cost'!$A:$AO,30,FALSE)</f>
        <v>102</v>
      </c>
      <c r="C127" s="222">
        <f>VLOOKUP($A127,'Allocate OPROC cost'!$A:$AO,31,FALSE)</f>
        <v>12159</v>
      </c>
      <c r="D127" s="222">
        <f>VLOOKUP($A127,'Allocate OPROC cost'!$A:$AO,32,FALSE)</f>
        <v>251</v>
      </c>
      <c r="E127" s="222">
        <f>VLOOKUP($A127,'Allocate OPROC cost'!$A:$AO,33,FALSE)</f>
        <v>24853</v>
      </c>
      <c r="F127" s="222">
        <f>VLOOKUP($A127,'Allocate OPROC cost'!$A:$AO,34,FALSE)</f>
        <v>15629.8950826979</v>
      </c>
      <c r="G127" s="222">
        <f>VLOOKUP($A127,'Allocate OPROC cost'!$A:$AO,35,FALSE)</f>
        <v>2234245.8198263641</v>
      </c>
      <c r="H127" s="222">
        <f>VLOOKUP($A127,'Allocate OPROC cost'!$A:$AO,36,FALSE)</f>
        <v>31654.975794646401</v>
      </c>
      <c r="I127" s="222">
        <f>VLOOKUP($A127,'Allocate OPROC cost'!$A:$AO,37,FALSE)</f>
        <v>4962501.2662038505</v>
      </c>
      <c r="J127" s="223">
        <f t="shared" si="135"/>
        <v>153.23426551664608</v>
      </c>
      <c r="K127" s="223">
        <f t="shared" si="136"/>
        <v>183.75243192913595</v>
      </c>
      <c r="L127" s="223">
        <f t="shared" si="137"/>
        <v>126.11544141293388</v>
      </c>
      <c r="M127" s="223">
        <f t="shared" si="138"/>
        <v>199.67413455936307</v>
      </c>
      <c r="N127" s="224">
        <f t="shared" si="139"/>
        <v>1.2025283959179487</v>
      </c>
      <c r="O127" s="224">
        <f t="shared" si="140"/>
        <v>1.222110800081502</v>
      </c>
      <c r="P127" s="224">
        <f t="shared" si="155"/>
        <v>0.9</v>
      </c>
      <c r="Q127" s="224">
        <f t="shared" si="155"/>
        <v>0.9</v>
      </c>
      <c r="R127" s="224">
        <f t="shared" si="141"/>
        <v>1.2025283959179487</v>
      </c>
      <c r="S127" s="224">
        <f t="shared" si="142"/>
        <v>1.222110800081502</v>
      </c>
      <c r="T127" s="224">
        <f t="shared" si="81"/>
        <v>0.9</v>
      </c>
      <c r="U127" s="224">
        <f t="shared" si="82"/>
        <v>0.9</v>
      </c>
      <c r="V127" s="225">
        <f t="shared" si="143"/>
        <v>18795.39266216254</v>
      </c>
      <c r="W127" s="225">
        <f t="shared" si="144"/>
        <v>2730495.9464467489</v>
      </c>
      <c r="X127" s="225">
        <f t="shared" si="145"/>
        <v>28489.478215181764</v>
      </c>
      <c r="Y127" s="225">
        <f t="shared" si="146"/>
        <v>4466251.1395834656</v>
      </c>
      <c r="Z127" s="227">
        <f t="shared" si="147"/>
        <v>184.26855551139744</v>
      </c>
      <c r="AA127" s="227">
        <f t="shared" si="148"/>
        <v>224.56583160183806</v>
      </c>
      <c r="AB127" s="227">
        <f t="shared" si="149"/>
        <v>113.5038972716405</v>
      </c>
      <c r="AC127" s="227">
        <f t="shared" si="150"/>
        <v>179.70672110342679</v>
      </c>
      <c r="AD127" s="228">
        <f t="shared" si="151"/>
        <v>0.20252839591794869</v>
      </c>
      <c r="AE127" s="228">
        <f t="shared" si="152"/>
        <v>0.22211080008150197</v>
      </c>
      <c r="AF127" s="228">
        <f t="shared" si="153"/>
        <v>-9.9999999999999978E-2</v>
      </c>
      <c r="AG127" s="228">
        <f t="shared" si="154"/>
        <v>-9.9999999999999867E-2</v>
      </c>
    </row>
    <row r="128" spans="1:33">
      <c r="A128" s="231">
        <v>657</v>
      </c>
      <c r="B128" s="222">
        <f>VLOOKUP($A128,'Allocate OPROC cost'!$A:$AO,30,FALSE)</f>
        <v>0</v>
      </c>
      <c r="C128" s="222">
        <f>VLOOKUP($A128,'Allocate OPROC cost'!$A:$AO,31,FALSE)</f>
        <v>402</v>
      </c>
      <c r="D128" s="222">
        <f>VLOOKUP($A128,'Allocate OPROC cost'!$A:$AO,32,FALSE)</f>
        <v>0</v>
      </c>
      <c r="E128" s="222">
        <f>VLOOKUP($A128,'Allocate OPROC cost'!$A:$AO,33,FALSE)</f>
        <v>2702</v>
      </c>
      <c r="F128" s="222">
        <f>VLOOKUP($A128,'Allocate OPROC cost'!$A:$AO,34,FALSE)</f>
        <v>0</v>
      </c>
      <c r="G128" s="222">
        <f>VLOOKUP($A128,'Allocate OPROC cost'!$A:$AO,35,FALSE)</f>
        <v>29318.322746759943</v>
      </c>
      <c r="H128" s="222">
        <f>VLOOKUP($A128,'Allocate OPROC cost'!$A:$AO,36,FALSE)</f>
        <v>30.775143472888228</v>
      </c>
      <c r="I128" s="222">
        <f>VLOOKUP($A128,'Allocate OPROC cost'!$A:$AO,37,FALSE)</f>
        <v>184942.04261074433</v>
      </c>
      <c r="J128" s="223">
        <f t="shared" si="135"/>
        <v>0</v>
      </c>
      <c r="K128" s="223">
        <f t="shared" si="136"/>
        <v>72.931151111343141</v>
      </c>
      <c r="L128" s="223">
        <f t="shared" si="137"/>
        <v>0</v>
      </c>
      <c r="M128" s="223">
        <f t="shared" si="138"/>
        <v>68.446351817447933</v>
      </c>
      <c r="N128" s="224">
        <f t="shared" si="139"/>
        <v>1</v>
      </c>
      <c r="O128" s="224">
        <f t="shared" si="140"/>
        <v>1.6308070356145556</v>
      </c>
      <c r="P128" s="224">
        <f t="shared" si="155"/>
        <v>0.9</v>
      </c>
      <c r="Q128" s="224">
        <f t="shared" si="155"/>
        <v>0.9</v>
      </c>
      <c r="R128" s="224">
        <f t="shared" si="141"/>
        <v>1</v>
      </c>
      <c r="S128" s="224">
        <f t="shared" si="142"/>
        <v>1.5</v>
      </c>
      <c r="T128" s="224">
        <f t="shared" si="81"/>
        <v>0.9</v>
      </c>
      <c r="U128" s="224">
        <f t="shared" si="82"/>
        <v>0.9</v>
      </c>
      <c r="V128" s="225">
        <f t="shared" si="143"/>
        <v>0</v>
      </c>
      <c r="W128" s="225">
        <f t="shared" si="144"/>
        <v>43977.48412013991</v>
      </c>
      <c r="X128" s="225">
        <f t="shared" si="145"/>
        <v>27.697629125599406</v>
      </c>
      <c r="Y128" s="225">
        <f t="shared" si="146"/>
        <v>166447.83834966991</v>
      </c>
      <c r="Z128" s="227">
        <f t="shared" si="147"/>
        <v>0</v>
      </c>
      <c r="AA128" s="227">
        <f t="shared" si="148"/>
        <v>109.3967266670147</v>
      </c>
      <c r="AB128" s="227">
        <f t="shared" si="149"/>
        <v>0</v>
      </c>
      <c r="AC128" s="227">
        <f t="shared" si="150"/>
        <v>61.601716635703148</v>
      </c>
      <c r="AD128" s="228">
        <f t="shared" si="151"/>
        <v>0</v>
      </c>
      <c r="AE128" s="228">
        <f t="shared" si="152"/>
        <v>0.5</v>
      </c>
      <c r="AF128" s="228">
        <f t="shared" si="153"/>
        <v>0</v>
      </c>
      <c r="AG128" s="228">
        <f t="shared" si="154"/>
        <v>-9.9999999999999867E-2</v>
      </c>
    </row>
    <row r="129" spans="1:33">
      <c r="A129" s="231">
        <v>658</v>
      </c>
      <c r="B129" s="222">
        <f>VLOOKUP($A129,'Allocate OPROC cost'!$A:$AO,30,FALSE)</f>
        <v>0</v>
      </c>
      <c r="C129" s="222">
        <f>VLOOKUP($A129,'Allocate OPROC cost'!$A:$AO,31,FALSE)</f>
        <v>20156</v>
      </c>
      <c r="D129" s="222">
        <f>VLOOKUP($A129,'Allocate OPROC cost'!$A:$AO,32,FALSE)</f>
        <v>0</v>
      </c>
      <c r="E129" s="222">
        <f>VLOOKUP($A129,'Allocate OPROC cost'!$A:$AO,33,FALSE)</f>
        <v>24573</v>
      </c>
      <c r="F129" s="222">
        <f>VLOOKUP($A129,'Allocate OPROC cost'!$A:$AO,34,FALSE)</f>
        <v>0</v>
      </c>
      <c r="G129" s="222">
        <f>VLOOKUP($A129,'Allocate OPROC cost'!$A:$AO,35,FALSE)</f>
        <v>2161367.5341800903</v>
      </c>
      <c r="H129" s="222">
        <f>VLOOKUP($A129,'Allocate OPROC cost'!$A:$AO,36,FALSE)</f>
        <v>0</v>
      </c>
      <c r="I129" s="222">
        <f>VLOOKUP($A129,'Allocate OPROC cost'!$A:$AO,37,FALSE)</f>
        <v>3472178.9849330308</v>
      </c>
      <c r="J129" s="223">
        <f t="shared" si="135"/>
        <v>0</v>
      </c>
      <c r="K129" s="223">
        <f t="shared" si="136"/>
        <v>107.23196736356869</v>
      </c>
      <c r="L129" s="223">
        <f t="shared" si="137"/>
        <v>0</v>
      </c>
      <c r="M129" s="223">
        <f t="shared" si="138"/>
        <v>141.30057318736135</v>
      </c>
      <c r="N129" s="224">
        <f t="shared" si="139"/>
        <v>1</v>
      </c>
      <c r="O129" s="224">
        <f t="shared" si="140"/>
        <v>1.1606473184233423</v>
      </c>
      <c r="P129" s="224">
        <f t="shared" si="155"/>
        <v>0.9</v>
      </c>
      <c r="Q129" s="224">
        <f t="shared" si="155"/>
        <v>0.9</v>
      </c>
      <c r="R129" s="224">
        <f t="shared" si="141"/>
        <v>1</v>
      </c>
      <c r="S129" s="224">
        <f t="shared" si="142"/>
        <v>1.1606473184233423</v>
      </c>
      <c r="T129" s="224">
        <f t="shared" si="81"/>
        <v>0.9</v>
      </c>
      <c r="U129" s="224">
        <f t="shared" si="82"/>
        <v>0.9</v>
      </c>
      <c r="V129" s="225">
        <f t="shared" si="143"/>
        <v>0</v>
      </c>
      <c r="W129" s="225">
        <f t="shared" si="144"/>
        <v>2508585.4326733937</v>
      </c>
      <c r="X129" s="225">
        <f t="shared" si="145"/>
        <v>0</v>
      </c>
      <c r="Y129" s="225">
        <f t="shared" si="146"/>
        <v>3124961.0864397278</v>
      </c>
      <c r="Z129" s="227">
        <f t="shared" si="147"/>
        <v>0</v>
      </c>
      <c r="AA129" s="227">
        <f t="shared" si="148"/>
        <v>124.45849536978537</v>
      </c>
      <c r="AB129" s="227">
        <f t="shared" si="149"/>
        <v>0</v>
      </c>
      <c r="AC129" s="227">
        <f t="shared" si="150"/>
        <v>127.17051586862523</v>
      </c>
      <c r="AD129" s="228">
        <f t="shared" si="151"/>
        <v>0</v>
      </c>
      <c r="AE129" s="228">
        <f t="shared" si="152"/>
        <v>0.16064731842334234</v>
      </c>
      <c r="AF129" s="228">
        <f t="shared" si="153"/>
        <v>0</v>
      </c>
      <c r="AG129" s="228">
        <f t="shared" si="154"/>
        <v>-9.9999999999999867E-2</v>
      </c>
    </row>
    <row r="130" spans="1:33">
      <c r="A130" s="231">
        <v>662</v>
      </c>
      <c r="B130" s="222">
        <f>VLOOKUP($A130,'Allocate OPROC cost'!$A:$AO,30,FALSE)</f>
        <v>9</v>
      </c>
      <c r="C130" s="222">
        <f>VLOOKUP($A130,'Allocate OPROC cost'!$A:$AO,31,FALSE)</f>
        <v>4145</v>
      </c>
      <c r="D130" s="222">
        <f>VLOOKUP($A130,'Allocate OPROC cost'!$A:$AO,32,FALSE)</f>
        <v>11</v>
      </c>
      <c r="E130" s="222">
        <f>VLOOKUP($A130,'Allocate OPROC cost'!$A:$AO,33,FALSE)</f>
        <v>5825</v>
      </c>
      <c r="F130" s="222">
        <f>VLOOKUP($A130,'Allocate OPROC cost'!$A:$AO,34,FALSE)</f>
        <v>613.90385927195302</v>
      </c>
      <c r="G130" s="222">
        <f>VLOOKUP($A130,'Allocate OPROC cost'!$A:$AO,35,FALSE)</f>
        <v>222447.17544034001</v>
      </c>
      <c r="H130" s="222">
        <f>VLOOKUP($A130,'Allocate OPROC cost'!$A:$AO,36,FALSE)</f>
        <v>688.83597839032529</v>
      </c>
      <c r="I130" s="222">
        <f>VLOOKUP($A130,'Allocate OPROC cost'!$A:$AO,37,FALSE)</f>
        <v>671344.93961808737</v>
      </c>
      <c r="J130" s="223">
        <f t="shared" si="135"/>
        <v>68.211539919105888</v>
      </c>
      <c r="K130" s="223">
        <f t="shared" si="136"/>
        <v>53.666387319744274</v>
      </c>
      <c r="L130" s="223">
        <f t="shared" si="137"/>
        <v>62.621452580938666</v>
      </c>
      <c r="M130" s="223">
        <f t="shared" si="138"/>
        <v>115.25235014902788</v>
      </c>
      <c r="N130" s="224">
        <f t="shared" si="139"/>
        <v>1.1122058393975951</v>
      </c>
      <c r="O130" s="224">
        <f t="shared" si="140"/>
        <v>1.3017997141519744</v>
      </c>
      <c r="P130" s="224">
        <f t="shared" si="155"/>
        <v>0.9</v>
      </c>
      <c r="Q130" s="224">
        <f t="shared" si="155"/>
        <v>0.9</v>
      </c>
      <c r="R130" s="224">
        <f t="shared" si="141"/>
        <v>1.1122058393975951</v>
      </c>
      <c r="S130" s="224">
        <f t="shared" si="142"/>
        <v>1.3017997141519744</v>
      </c>
      <c r="T130" s="224">
        <f t="shared" si="81"/>
        <v>0.9</v>
      </c>
      <c r="U130" s="224">
        <f t="shared" si="82"/>
        <v>0.9</v>
      </c>
      <c r="V130" s="225">
        <f t="shared" si="143"/>
        <v>682.78745711098566</v>
      </c>
      <c r="W130" s="225">
        <f t="shared" si="144"/>
        <v>289581.66940214875</v>
      </c>
      <c r="X130" s="225">
        <f t="shared" si="145"/>
        <v>619.95238055129278</v>
      </c>
      <c r="Y130" s="225">
        <f t="shared" si="146"/>
        <v>604210.44565627864</v>
      </c>
      <c r="Z130" s="227">
        <f t="shared" si="147"/>
        <v>75.865273012331741</v>
      </c>
      <c r="AA130" s="227">
        <f t="shared" si="148"/>
        <v>69.862887672412242</v>
      </c>
      <c r="AB130" s="227">
        <f t="shared" si="149"/>
        <v>56.359307322844799</v>
      </c>
      <c r="AC130" s="227">
        <f t="shared" si="150"/>
        <v>103.72711513412509</v>
      </c>
      <c r="AD130" s="228">
        <f t="shared" si="151"/>
        <v>0.11220583939759532</v>
      </c>
      <c r="AE130" s="228">
        <f t="shared" si="152"/>
        <v>0.30179971415197437</v>
      </c>
      <c r="AF130" s="228">
        <f t="shared" si="153"/>
        <v>-9.9999999999999978E-2</v>
      </c>
      <c r="AG130" s="228">
        <f t="shared" si="154"/>
        <v>-9.9999999999999978E-2</v>
      </c>
    </row>
    <row r="131" spans="1:33">
      <c r="A131" s="231">
        <v>663</v>
      </c>
      <c r="B131" s="222">
        <f>VLOOKUP($A131,'Allocate OPROC cost'!$A:$AO,30,FALSE)</f>
        <v>0</v>
      </c>
      <c r="C131" s="222">
        <f>VLOOKUP($A131,'Allocate OPROC cost'!$A:$AO,31,FALSE)</f>
        <v>1317</v>
      </c>
      <c r="D131" s="222">
        <f>VLOOKUP($A131,'Allocate OPROC cost'!$A:$AO,32,FALSE)</f>
        <v>0</v>
      </c>
      <c r="E131" s="222">
        <f>VLOOKUP($A131,'Allocate OPROC cost'!$A:$AO,33,FALSE)</f>
        <v>8606</v>
      </c>
      <c r="F131" s="222">
        <f>VLOOKUP($A131,'Allocate OPROC cost'!$A:$AO,34,FALSE)</f>
        <v>0</v>
      </c>
      <c r="G131" s="222">
        <f>VLOOKUP($A131,'Allocate OPROC cost'!$A:$AO,35,FALSE)</f>
        <v>136350.39474689899</v>
      </c>
      <c r="H131" s="222">
        <f>VLOOKUP($A131,'Allocate OPROC cost'!$A:$AO,36,FALSE)</f>
        <v>0</v>
      </c>
      <c r="I131" s="222">
        <f>VLOOKUP($A131,'Allocate OPROC cost'!$A:$AO,37,FALSE)</f>
        <v>488342.264263627</v>
      </c>
      <c r="J131" s="223">
        <f t="shared" si="135"/>
        <v>0</v>
      </c>
      <c r="K131" s="223">
        <f t="shared" si="136"/>
        <v>103.53105144031814</v>
      </c>
      <c r="L131" s="223">
        <f t="shared" si="137"/>
        <v>0</v>
      </c>
      <c r="M131" s="223">
        <f t="shared" si="138"/>
        <v>56.744395103837675</v>
      </c>
      <c r="N131" s="224">
        <f t="shared" si="139"/>
        <v>1</v>
      </c>
      <c r="O131" s="224">
        <f t="shared" si="140"/>
        <v>1.3581524389204112</v>
      </c>
      <c r="P131" s="224">
        <f t="shared" si="155"/>
        <v>0.9</v>
      </c>
      <c r="Q131" s="224">
        <f t="shared" si="155"/>
        <v>0.9</v>
      </c>
      <c r="R131" s="224">
        <f t="shared" si="141"/>
        <v>1</v>
      </c>
      <c r="S131" s="224">
        <f t="shared" si="142"/>
        <v>1.3581524389204112</v>
      </c>
      <c r="T131" s="224">
        <f t="shared" si="81"/>
        <v>0.9</v>
      </c>
      <c r="U131" s="224">
        <f t="shared" si="82"/>
        <v>0.9</v>
      </c>
      <c r="V131" s="225">
        <f t="shared" si="143"/>
        <v>0</v>
      </c>
      <c r="W131" s="225">
        <f t="shared" si="144"/>
        <v>185184.62117326169</v>
      </c>
      <c r="X131" s="225">
        <f t="shared" si="145"/>
        <v>0</v>
      </c>
      <c r="Y131" s="225">
        <f t="shared" si="146"/>
        <v>439508.0378372643</v>
      </c>
      <c r="Z131" s="227">
        <f t="shared" si="147"/>
        <v>0</v>
      </c>
      <c r="AA131" s="227">
        <f t="shared" si="148"/>
        <v>140.61095001766265</v>
      </c>
      <c r="AB131" s="227">
        <f t="shared" si="149"/>
        <v>0</v>
      </c>
      <c r="AC131" s="227">
        <f t="shared" si="150"/>
        <v>51.069955593453905</v>
      </c>
      <c r="AD131" s="228">
        <f t="shared" si="151"/>
        <v>0</v>
      </c>
      <c r="AE131" s="228">
        <f t="shared" si="152"/>
        <v>0.35815243892041138</v>
      </c>
      <c r="AF131" s="228">
        <f t="shared" si="153"/>
        <v>0</v>
      </c>
      <c r="AG131" s="228">
        <f t="shared" si="154"/>
        <v>-0.10000000000000009</v>
      </c>
    </row>
    <row r="132" spans="1:33">
      <c r="A132" s="231">
        <v>710</v>
      </c>
      <c r="B132" s="222">
        <f>VLOOKUP($A132,'Allocate OPROC cost'!$A:$AO,30,FALSE)</f>
        <v>0</v>
      </c>
      <c r="C132" s="222">
        <f>VLOOKUP($A132,'Allocate OPROC cost'!$A:$AO,31,FALSE)</f>
        <v>1136</v>
      </c>
      <c r="D132" s="222">
        <f>VLOOKUP($A132,'Allocate OPROC cost'!$A:$AO,32,FALSE)</f>
        <v>0</v>
      </c>
      <c r="E132" s="222">
        <f>VLOOKUP($A132,'Allocate OPROC cost'!$A:$AO,33,FALSE)</f>
        <v>4172</v>
      </c>
      <c r="F132" s="222">
        <f>VLOOKUP($A132,'Allocate OPROC cost'!$A:$AO,34,FALSE)</f>
        <v>0</v>
      </c>
      <c r="G132" s="222">
        <f>VLOOKUP($A132,'Allocate OPROC cost'!$A:$AO,35,FALSE)</f>
        <v>307571.65740103897</v>
      </c>
      <c r="H132" s="222">
        <f>VLOOKUP($A132,'Allocate OPROC cost'!$A:$AO,36,FALSE)</f>
        <v>0</v>
      </c>
      <c r="I132" s="222">
        <f>VLOOKUP($A132,'Allocate OPROC cost'!$A:$AO,37,FALSE)</f>
        <v>735444.64700680645</v>
      </c>
      <c r="J132" s="223">
        <f t="shared" si="135"/>
        <v>0</v>
      </c>
      <c r="K132" s="223">
        <f t="shared" si="136"/>
        <v>270.74969841640757</v>
      </c>
      <c r="L132" s="223">
        <f t="shared" si="137"/>
        <v>0</v>
      </c>
      <c r="M132" s="223">
        <f t="shared" si="138"/>
        <v>176.28107550498717</v>
      </c>
      <c r="N132" s="224">
        <f t="shared" si="139"/>
        <v>1</v>
      </c>
      <c r="O132" s="224">
        <f t="shared" si="140"/>
        <v>1.2391132698055689</v>
      </c>
      <c r="P132" s="224">
        <f t="shared" si="155"/>
        <v>0.9</v>
      </c>
      <c r="Q132" s="224">
        <f t="shared" si="155"/>
        <v>0.9</v>
      </c>
      <c r="R132" s="224">
        <f t="shared" si="141"/>
        <v>1</v>
      </c>
      <c r="S132" s="224">
        <f t="shared" si="142"/>
        <v>1.2391132698055689</v>
      </c>
      <c r="T132" s="224">
        <f t="shared" si="81"/>
        <v>0.9</v>
      </c>
      <c r="U132" s="224">
        <f t="shared" si="82"/>
        <v>0.9</v>
      </c>
      <c r="V132" s="225">
        <f t="shared" si="143"/>
        <v>0</v>
      </c>
      <c r="W132" s="225">
        <f t="shared" si="144"/>
        <v>381116.12210171961</v>
      </c>
      <c r="X132" s="225">
        <f t="shared" si="145"/>
        <v>0</v>
      </c>
      <c r="Y132" s="225">
        <f t="shared" si="146"/>
        <v>661900.18230612588</v>
      </c>
      <c r="Z132" s="227">
        <f t="shared" si="147"/>
        <v>0</v>
      </c>
      <c r="AA132" s="227">
        <f t="shared" si="148"/>
        <v>335.48954410362643</v>
      </c>
      <c r="AB132" s="227">
        <f t="shared" si="149"/>
        <v>0</v>
      </c>
      <c r="AC132" s="227">
        <f t="shared" si="150"/>
        <v>158.65296795448847</v>
      </c>
      <c r="AD132" s="228">
        <f t="shared" si="151"/>
        <v>0</v>
      </c>
      <c r="AE132" s="228">
        <f t="shared" si="152"/>
        <v>0.23911326980556891</v>
      </c>
      <c r="AF132" s="228">
        <f t="shared" si="153"/>
        <v>0</v>
      </c>
      <c r="AG132" s="228">
        <f t="shared" si="154"/>
        <v>-9.9999999999999867E-2</v>
      </c>
    </row>
    <row r="133" spans="1:33">
      <c r="A133" s="231">
        <v>711</v>
      </c>
      <c r="B133" s="222">
        <f>VLOOKUP($A133,'Allocate OPROC cost'!$A:$AO,30,FALSE)</f>
        <v>65</v>
      </c>
      <c r="C133" s="222">
        <f>VLOOKUP($A133,'Allocate OPROC cost'!$A:$AO,31,FALSE)</f>
        <v>2041</v>
      </c>
      <c r="D133" s="222">
        <f>VLOOKUP($A133,'Allocate OPROC cost'!$A:$AO,32,FALSE)</f>
        <v>8</v>
      </c>
      <c r="E133" s="222">
        <f>VLOOKUP($A133,'Allocate OPROC cost'!$A:$AO,33,FALSE)</f>
        <v>9150</v>
      </c>
      <c r="F133" s="222">
        <f>VLOOKUP($A133,'Allocate OPROC cost'!$A:$AO,34,FALSE)</f>
        <v>73324.758883858201</v>
      </c>
      <c r="G133" s="222">
        <f>VLOOKUP($A133,'Allocate OPROC cost'!$A:$AO,35,FALSE)</f>
        <v>616509.94816940976</v>
      </c>
      <c r="H133" s="222">
        <f>VLOOKUP($A133,'Allocate OPROC cost'!$A:$AO,36,FALSE)</f>
        <v>1620.6329420141999</v>
      </c>
      <c r="I133" s="222">
        <f>VLOOKUP($A133,'Allocate OPROC cost'!$A:$AO,37,FALSE)</f>
        <v>2579364.0448504058</v>
      </c>
      <c r="J133" s="223">
        <f t="shared" si="135"/>
        <v>1128.0732135978185</v>
      </c>
      <c r="K133" s="223">
        <f t="shared" si="136"/>
        <v>302.06268896100431</v>
      </c>
      <c r="L133" s="223">
        <f t="shared" si="137"/>
        <v>202.57911775177499</v>
      </c>
      <c r="M133" s="223">
        <f t="shared" si="138"/>
        <v>281.89770981971645</v>
      </c>
      <c r="N133" s="224">
        <f t="shared" si="139"/>
        <v>1.0022102124394043</v>
      </c>
      <c r="O133" s="224">
        <f t="shared" si="140"/>
        <v>1.4183815772169222</v>
      </c>
      <c r="P133" s="224">
        <f t="shared" si="155"/>
        <v>0.9</v>
      </c>
      <c r="Q133" s="224">
        <f t="shared" si="155"/>
        <v>0.9</v>
      </c>
      <c r="R133" s="224">
        <f t="shared" si="141"/>
        <v>1.0022102124394043</v>
      </c>
      <c r="S133" s="224">
        <f t="shared" si="142"/>
        <v>1.4183815772169222</v>
      </c>
      <c r="T133" s="224">
        <f t="shared" si="81"/>
        <v>0.9</v>
      </c>
      <c r="U133" s="224">
        <f t="shared" si="82"/>
        <v>0.9</v>
      </c>
      <c r="V133" s="225">
        <f t="shared" si="143"/>
        <v>73486.822178059621</v>
      </c>
      <c r="W133" s="225">
        <f t="shared" si="144"/>
        <v>874446.35265445034</v>
      </c>
      <c r="X133" s="225">
        <f t="shared" si="145"/>
        <v>1458.56964781278</v>
      </c>
      <c r="Y133" s="225">
        <f t="shared" si="146"/>
        <v>2321427.6403653654</v>
      </c>
      <c r="Z133" s="227">
        <f t="shared" si="147"/>
        <v>1130.5664950470712</v>
      </c>
      <c r="AA133" s="227">
        <f t="shared" si="148"/>
        <v>428.44015318689384</v>
      </c>
      <c r="AB133" s="227">
        <f t="shared" si="149"/>
        <v>182.3212059765975</v>
      </c>
      <c r="AC133" s="227">
        <f t="shared" si="150"/>
        <v>253.70793883774485</v>
      </c>
      <c r="AD133" s="228">
        <f t="shared" si="151"/>
        <v>2.2102124394043354E-3</v>
      </c>
      <c r="AE133" s="228">
        <f t="shared" si="152"/>
        <v>0.41838157721692193</v>
      </c>
      <c r="AF133" s="228">
        <f t="shared" si="153"/>
        <v>-9.9999999999999978E-2</v>
      </c>
      <c r="AG133" s="228">
        <f t="shared" si="154"/>
        <v>-9.9999999999999867E-2</v>
      </c>
    </row>
    <row r="134" spans="1:33">
      <c r="A134" s="231">
        <v>712</v>
      </c>
      <c r="B134" s="222">
        <f>VLOOKUP($A134,'Allocate OPROC cost'!$A:$AO,30,FALSE)</f>
        <v>0</v>
      </c>
      <c r="C134" s="222">
        <f>VLOOKUP($A134,'Allocate OPROC cost'!$A:$AO,31,FALSE)</f>
        <v>42</v>
      </c>
      <c r="D134" s="222">
        <f>VLOOKUP($A134,'Allocate OPROC cost'!$A:$AO,32,FALSE)</f>
        <v>0</v>
      </c>
      <c r="E134" s="222">
        <f>VLOOKUP($A134,'Allocate OPROC cost'!$A:$AO,33,FALSE)</f>
        <v>794</v>
      </c>
      <c r="F134" s="222">
        <f>VLOOKUP($A134,'Allocate OPROC cost'!$A:$AO,34,FALSE)</f>
        <v>0</v>
      </c>
      <c r="G134" s="222">
        <f>VLOOKUP($A134,'Allocate OPROC cost'!$A:$AO,35,FALSE)</f>
        <v>23936.629517517144</v>
      </c>
      <c r="H134" s="222">
        <f>VLOOKUP($A134,'Allocate OPROC cost'!$A:$AO,36,FALSE)</f>
        <v>0</v>
      </c>
      <c r="I134" s="222">
        <f>VLOOKUP($A134,'Allocate OPROC cost'!$A:$AO,37,FALSE)</f>
        <v>325787.294865829</v>
      </c>
      <c r="J134" s="223">
        <f t="shared" si="135"/>
        <v>0</v>
      </c>
      <c r="K134" s="223">
        <f t="shared" si="136"/>
        <v>569.91975041707485</v>
      </c>
      <c r="L134" s="223">
        <f t="shared" si="137"/>
        <v>0</v>
      </c>
      <c r="M134" s="223">
        <f t="shared" si="138"/>
        <v>410.31145449096852</v>
      </c>
      <c r="N134" s="224">
        <f t="shared" si="139"/>
        <v>1</v>
      </c>
      <c r="O134" s="224">
        <f t="shared" si="140"/>
        <v>2.3610408041258006</v>
      </c>
      <c r="P134" s="224">
        <f t="shared" si="155"/>
        <v>0.9</v>
      </c>
      <c r="Q134" s="224">
        <f t="shared" si="155"/>
        <v>0.9</v>
      </c>
      <c r="R134" s="224">
        <f t="shared" si="141"/>
        <v>1</v>
      </c>
      <c r="S134" s="224">
        <f t="shared" si="142"/>
        <v>1.5</v>
      </c>
      <c r="T134" s="224">
        <f t="shared" si="81"/>
        <v>0.9</v>
      </c>
      <c r="U134" s="224">
        <f t="shared" si="82"/>
        <v>0.9</v>
      </c>
      <c r="V134" s="225">
        <f t="shared" si="143"/>
        <v>0</v>
      </c>
      <c r="W134" s="225">
        <f t="shared" si="144"/>
        <v>35904.944276275717</v>
      </c>
      <c r="X134" s="225">
        <f t="shared" si="145"/>
        <v>0</v>
      </c>
      <c r="Y134" s="225">
        <f t="shared" si="146"/>
        <v>293208.56537924608</v>
      </c>
      <c r="Z134" s="227">
        <f t="shared" si="147"/>
        <v>0</v>
      </c>
      <c r="AA134" s="227">
        <f t="shared" si="148"/>
        <v>854.87962562561233</v>
      </c>
      <c r="AB134" s="227">
        <f t="shared" si="149"/>
        <v>0</v>
      </c>
      <c r="AC134" s="227">
        <f t="shared" si="150"/>
        <v>369.28030904187165</v>
      </c>
      <c r="AD134" s="228">
        <f t="shared" si="151"/>
        <v>0</v>
      </c>
      <c r="AE134" s="228">
        <f t="shared" si="152"/>
        <v>0.5</v>
      </c>
      <c r="AF134" s="228">
        <f t="shared" si="153"/>
        <v>0</v>
      </c>
      <c r="AG134" s="228">
        <f t="shared" si="154"/>
        <v>-0.10000000000000009</v>
      </c>
    </row>
    <row r="135" spans="1:33">
      <c r="A135" s="231">
        <v>713</v>
      </c>
      <c r="B135" s="222">
        <f>VLOOKUP($A135,'Allocate OPROC cost'!$A:$AO,30,FALSE)</f>
        <v>0</v>
      </c>
      <c r="C135" s="222">
        <f>VLOOKUP($A135,'Allocate OPROC cost'!$A:$AO,31,FALSE)</f>
        <v>187</v>
      </c>
      <c r="D135" s="222">
        <f>VLOOKUP($A135,'Allocate OPROC cost'!$A:$AO,32,FALSE)</f>
        <v>0</v>
      </c>
      <c r="E135" s="222">
        <f>VLOOKUP($A135,'Allocate OPROC cost'!$A:$AO,33,FALSE)</f>
        <v>2886</v>
      </c>
      <c r="F135" s="222">
        <f>VLOOKUP($A135,'Allocate OPROC cost'!$A:$AO,34,FALSE)</f>
        <v>0</v>
      </c>
      <c r="G135" s="222">
        <f>VLOOKUP($A135,'Allocate OPROC cost'!$A:$AO,35,FALSE)</f>
        <v>28439.5504024398</v>
      </c>
      <c r="H135" s="222">
        <f>VLOOKUP($A135,'Allocate OPROC cost'!$A:$AO,36,FALSE)</f>
        <v>0</v>
      </c>
      <c r="I135" s="222">
        <f>VLOOKUP($A135,'Allocate OPROC cost'!$A:$AO,37,FALSE)</f>
        <v>380515.37066333788</v>
      </c>
      <c r="J135" s="223">
        <f t="shared" si="135"/>
        <v>0</v>
      </c>
      <c r="K135" s="223">
        <f t="shared" si="136"/>
        <v>152.08315723229839</v>
      </c>
      <c r="L135" s="223">
        <f t="shared" si="137"/>
        <v>0</v>
      </c>
      <c r="M135" s="223">
        <f t="shared" si="138"/>
        <v>131.84870778355435</v>
      </c>
      <c r="N135" s="224">
        <f t="shared" si="139"/>
        <v>1</v>
      </c>
      <c r="O135" s="224">
        <f t="shared" si="140"/>
        <v>2.3379795576187936</v>
      </c>
      <c r="P135" s="224">
        <f t="shared" si="155"/>
        <v>0.9</v>
      </c>
      <c r="Q135" s="224">
        <f t="shared" si="155"/>
        <v>0.9</v>
      </c>
      <c r="R135" s="224">
        <f t="shared" si="141"/>
        <v>1</v>
      </c>
      <c r="S135" s="224">
        <f t="shared" si="142"/>
        <v>1.5</v>
      </c>
      <c r="T135" s="224">
        <f t="shared" si="81"/>
        <v>0.9</v>
      </c>
      <c r="U135" s="224">
        <f t="shared" si="82"/>
        <v>0.9</v>
      </c>
      <c r="V135" s="225">
        <f t="shared" si="143"/>
        <v>0</v>
      </c>
      <c r="W135" s="225">
        <f t="shared" si="144"/>
        <v>42659.325603659701</v>
      </c>
      <c r="X135" s="225">
        <f t="shared" si="145"/>
        <v>0</v>
      </c>
      <c r="Y135" s="225">
        <f t="shared" si="146"/>
        <v>342463.83359700412</v>
      </c>
      <c r="Z135" s="227">
        <f t="shared" si="147"/>
        <v>0</v>
      </c>
      <c r="AA135" s="227">
        <f t="shared" si="148"/>
        <v>228.12473584844761</v>
      </c>
      <c r="AB135" s="227">
        <f t="shared" si="149"/>
        <v>0</v>
      </c>
      <c r="AC135" s="227">
        <f t="shared" si="150"/>
        <v>118.66383700519893</v>
      </c>
      <c r="AD135" s="228">
        <f t="shared" si="151"/>
        <v>0</v>
      </c>
      <c r="AE135" s="228">
        <f t="shared" si="152"/>
        <v>0.50000000000000022</v>
      </c>
      <c r="AF135" s="228">
        <f t="shared" si="153"/>
        <v>0</v>
      </c>
      <c r="AG135" s="228">
        <f t="shared" si="154"/>
        <v>-9.9999999999999867E-2</v>
      </c>
    </row>
    <row r="136" spans="1:33">
      <c r="A136" s="231">
        <v>715</v>
      </c>
      <c r="B136" s="222">
        <f>VLOOKUP($A136,'Allocate OPROC cost'!$A:$AO,30,FALSE)</f>
        <v>0</v>
      </c>
      <c r="C136" s="222">
        <f>VLOOKUP($A136,'Allocate OPROC cost'!$A:$AO,31,FALSE)</f>
        <v>943</v>
      </c>
      <c r="D136" s="222">
        <f>VLOOKUP($A136,'Allocate OPROC cost'!$A:$AO,32,FALSE)</f>
        <v>0</v>
      </c>
      <c r="E136" s="222">
        <f>VLOOKUP($A136,'Allocate OPROC cost'!$A:$AO,33,FALSE)</f>
        <v>3018</v>
      </c>
      <c r="F136" s="222">
        <f>VLOOKUP($A136,'Allocate OPROC cost'!$A:$AO,34,FALSE)</f>
        <v>0</v>
      </c>
      <c r="G136" s="222">
        <f>VLOOKUP($A136,'Allocate OPROC cost'!$A:$AO,35,FALSE)</f>
        <v>98879.352720607203</v>
      </c>
      <c r="H136" s="222">
        <f>VLOOKUP($A136,'Allocate OPROC cost'!$A:$AO,36,FALSE)</f>
        <v>0</v>
      </c>
      <c r="I136" s="222">
        <f>VLOOKUP($A136,'Allocate OPROC cost'!$A:$AO,37,FALSE)</f>
        <v>315249.266054212</v>
      </c>
      <c r="J136" s="223">
        <f t="shared" si="135"/>
        <v>0</v>
      </c>
      <c r="K136" s="223">
        <f t="shared" si="136"/>
        <v>104.85615346830032</v>
      </c>
      <c r="L136" s="223">
        <f t="shared" si="137"/>
        <v>0</v>
      </c>
      <c r="M136" s="223">
        <f t="shared" si="138"/>
        <v>104.45635058124984</v>
      </c>
      <c r="N136" s="224">
        <f t="shared" si="139"/>
        <v>1</v>
      </c>
      <c r="O136" s="224">
        <f t="shared" si="140"/>
        <v>1.3188221376660687</v>
      </c>
      <c r="P136" s="224">
        <f t="shared" si="155"/>
        <v>0.9</v>
      </c>
      <c r="Q136" s="224">
        <f t="shared" si="155"/>
        <v>0.9</v>
      </c>
      <c r="R136" s="224">
        <f t="shared" si="141"/>
        <v>1</v>
      </c>
      <c r="S136" s="224">
        <f t="shared" si="142"/>
        <v>1.3188221376660687</v>
      </c>
      <c r="T136" s="224">
        <f t="shared" si="81"/>
        <v>0.9</v>
      </c>
      <c r="U136" s="224">
        <f t="shared" si="82"/>
        <v>0.9</v>
      </c>
      <c r="V136" s="225">
        <f t="shared" si="143"/>
        <v>0</v>
      </c>
      <c r="W136" s="225">
        <f t="shared" si="144"/>
        <v>130404.27932602839</v>
      </c>
      <c r="X136" s="225">
        <f t="shared" si="145"/>
        <v>0</v>
      </c>
      <c r="Y136" s="225">
        <f t="shared" si="146"/>
        <v>283724.33944879082</v>
      </c>
      <c r="Z136" s="227">
        <f t="shared" si="147"/>
        <v>0</v>
      </c>
      <c r="AA136" s="227">
        <f t="shared" si="148"/>
        <v>138.28661646450519</v>
      </c>
      <c r="AB136" s="227">
        <f t="shared" si="149"/>
        <v>0</v>
      </c>
      <c r="AC136" s="227">
        <f t="shared" si="150"/>
        <v>94.010715523124858</v>
      </c>
      <c r="AD136" s="228">
        <f t="shared" si="151"/>
        <v>0</v>
      </c>
      <c r="AE136" s="228">
        <f t="shared" si="152"/>
        <v>0.31882213766606871</v>
      </c>
      <c r="AF136" s="228">
        <f t="shared" si="153"/>
        <v>0</v>
      </c>
      <c r="AG136" s="228">
        <f t="shared" si="154"/>
        <v>-9.9999999999999978E-2</v>
      </c>
    </row>
    <row r="137" spans="1:33">
      <c r="A137" s="231">
        <v>721</v>
      </c>
      <c r="B137" s="222">
        <f>VLOOKUP($A137,'Allocate OPROC cost'!$A:$AO,30,FALSE)</f>
        <v>0</v>
      </c>
      <c r="C137" s="222">
        <f>VLOOKUP($A137,'Allocate OPROC cost'!$A:$AO,31,FALSE)</f>
        <v>78</v>
      </c>
      <c r="D137" s="222">
        <f>VLOOKUP($A137,'Allocate OPROC cost'!$A:$AO,32,FALSE)</f>
        <v>0</v>
      </c>
      <c r="E137" s="222">
        <f>VLOOKUP($A137,'Allocate OPROC cost'!$A:$AO,33,FALSE)</f>
        <v>190</v>
      </c>
      <c r="F137" s="222">
        <f>VLOOKUP($A137,'Allocate OPROC cost'!$A:$AO,34,FALSE)</f>
        <v>0</v>
      </c>
      <c r="G137" s="222">
        <f>VLOOKUP($A137,'Allocate OPROC cost'!$A:$AO,35,FALSE)</f>
        <v>6477.0299416301004</v>
      </c>
      <c r="H137" s="222">
        <f>VLOOKUP($A137,'Allocate OPROC cost'!$A:$AO,36,FALSE)</f>
        <v>0</v>
      </c>
      <c r="I137" s="222">
        <f>VLOOKUP($A137,'Allocate OPROC cost'!$A:$AO,37,FALSE)</f>
        <v>12389.494389539232</v>
      </c>
      <c r="J137" s="223">
        <f t="shared" si="135"/>
        <v>0</v>
      </c>
      <c r="K137" s="223">
        <f t="shared" si="136"/>
        <v>83.03884540551411</v>
      </c>
      <c r="L137" s="223">
        <f t="shared" si="137"/>
        <v>0</v>
      </c>
      <c r="M137" s="223">
        <f t="shared" si="138"/>
        <v>65.207865208101225</v>
      </c>
      <c r="N137" s="224">
        <f t="shared" si="139"/>
        <v>1</v>
      </c>
      <c r="O137" s="224">
        <f t="shared" si="140"/>
        <v>1.1912835744344439</v>
      </c>
      <c r="P137" s="224">
        <f t="shared" si="155"/>
        <v>0.9</v>
      </c>
      <c r="Q137" s="224">
        <f t="shared" si="155"/>
        <v>0.9</v>
      </c>
      <c r="R137" s="224">
        <f t="shared" si="141"/>
        <v>1</v>
      </c>
      <c r="S137" s="224">
        <f t="shared" si="142"/>
        <v>1.1912835744344439</v>
      </c>
      <c r="T137" s="224">
        <f t="shared" si="81"/>
        <v>0.9</v>
      </c>
      <c r="U137" s="224">
        <f t="shared" si="82"/>
        <v>0.9</v>
      </c>
      <c r="V137" s="225">
        <f t="shared" si="143"/>
        <v>0</v>
      </c>
      <c r="W137" s="225">
        <f t="shared" si="144"/>
        <v>7715.9793805840236</v>
      </c>
      <c r="X137" s="225">
        <f t="shared" si="145"/>
        <v>0</v>
      </c>
      <c r="Y137" s="225">
        <f t="shared" si="146"/>
        <v>11150.544950585308</v>
      </c>
      <c r="Z137" s="227">
        <f t="shared" si="147"/>
        <v>0</v>
      </c>
      <c r="AA137" s="227">
        <f t="shared" si="148"/>
        <v>98.922812571590043</v>
      </c>
      <c r="AB137" s="227">
        <f t="shared" si="149"/>
        <v>0</v>
      </c>
      <c r="AC137" s="227">
        <f t="shared" si="150"/>
        <v>58.687078687291098</v>
      </c>
      <c r="AD137" s="228">
        <f t="shared" si="151"/>
        <v>0</v>
      </c>
      <c r="AE137" s="228">
        <f t="shared" si="152"/>
        <v>0.19128357443444388</v>
      </c>
      <c r="AF137" s="228">
        <f t="shared" si="153"/>
        <v>0</v>
      </c>
      <c r="AG137" s="228">
        <f t="shared" si="154"/>
        <v>-0.10000000000000009</v>
      </c>
    </row>
    <row r="138" spans="1:33">
      <c r="A138" s="231">
        <v>722</v>
      </c>
      <c r="B138" s="222">
        <f>VLOOKUP($A138,'Allocate OPROC cost'!$A:$AO,30,FALSE)</f>
        <v>0</v>
      </c>
      <c r="C138" s="222">
        <f>VLOOKUP($A138,'Allocate OPROC cost'!$A:$AO,31,FALSE)</f>
        <v>2087</v>
      </c>
      <c r="D138" s="222">
        <f>VLOOKUP($A138,'Allocate OPROC cost'!$A:$AO,32,FALSE)</f>
        <v>0</v>
      </c>
      <c r="E138" s="222">
        <f>VLOOKUP($A138,'Allocate OPROC cost'!$A:$AO,33,FALSE)</f>
        <v>3581</v>
      </c>
      <c r="F138" s="222">
        <f>VLOOKUP($A138,'Allocate OPROC cost'!$A:$AO,34,FALSE)</f>
        <v>0</v>
      </c>
      <c r="G138" s="222">
        <f>VLOOKUP($A138,'Allocate OPROC cost'!$A:$AO,35,FALSE)</f>
        <v>257894.51633592401</v>
      </c>
      <c r="H138" s="222">
        <f>VLOOKUP($A138,'Allocate OPROC cost'!$A:$AO,36,FALSE)</f>
        <v>0</v>
      </c>
      <c r="I138" s="222">
        <f>VLOOKUP($A138,'Allocate OPROC cost'!$A:$AO,37,FALSE)</f>
        <v>401956.85803176317</v>
      </c>
      <c r="J138" s="223">
        <f t="shared" si="135"/>
        <v>0</v>
      </c>
      <c r="K138" s="223">
        <f t="shared" si="136"/>
        <v>123.57188133010254</v>
      </c>
      <c r="L138" s="223">
        <f t="shared" si="137"/>
        <v>0</v>
      </c>
      <c r="M138" s="223">
        <f t="shared" si="138"/>
        <v>112.24709802618352</v>
      </c>
      <c r="N138" s="224">
        <f t="shared" si="139"/>
        <v>1</v>
      </c>
      <c r="O138" s="224">
        <f t="shared" si="140"/>
        <v>1.1558609557669652</v>
      </c>
      <c r="P138" s="224">
        <f t="shared" si="155"/>
        <v>0.9</v>
      </c>
      <c r="Q138" s="224">
        <f t="shared" si="155"/>
        <v>0.9</v>
      </c>
      <c r="R138" s="224">
        <f t="shared" si="141"/>
        <v>1</v>
      </c>
      <c r="S138" s="224">
        <f t="shared" si="142"/>
        <v>1.1558609557669652</v>
      </c>
      <c r="T138" s="224">
        <f t="shared" si="81"/>
        <v>0.9</v>
      </c>
      <c r="U138" s="224">
        <f t="shared" si="82"/>
        <v>0.9</v>
      </c>
      <c r="V138" s="225">
        <f t="shared" si="143"/>
        <v>0</v>
      </c>
      <c r="W138" s="225">
        <f t="shared" si="144"/>
        <v>298090.20213910035</v>
      </c>
      <c r="X138" s="225">
        <f t="shared" si="145"/>
        <v>0</v>
      </c>
      <c r="Y138" s="225">
        <f t="shared" si="146"/>
        <v>361761.17222858686</v>
      </c>
      <c r="Z138" s="227">
        <f t="shared" si="147"/>
        <v>0</v>
      </c>
      <c r="AA138" s="227">
        <f t="shared" si="148"/>
        <v>142.83191286013434</v>
      </c>
      <c r="AB138" s="227">
        <f t="shared" si="149"/>
        <v>0</v>
      </c>
      <c r="AC138" s="227">
        <f t="shared" si="150"/>
        <v>101.02238822356517</v>
      </c>
      <c r="AD138" s="228">
        <f t="shared" si="151"/>
        <v>0</v>
      </c>
      <c r="AE138" s="228">
        <f t="shared" si="152"/>
        <v>0.15586095576696524</v>
      </c>
      <c r="AF138" s="228">
        <f t="shared" si="153"/>
        <v>0</v>
      </c>
      <c r="AG138" s="228">
        <f t="shared" si="154"/>
        <v>-9.9999999999999978E-2</v>
      </c>
    </row>
    <row r="139" spans="1:33">
      <c r="A139" s="231">
        <v>800</v>
      </c>
      <c r="B139" s="222">
        <f>VLOOKUP($A139,'Allocate OPROC cost'!$A:$AO,30,FALSE)</f>
        <v>13120</v>
      </c>
      <c r="C139" s="222">
        <f>VLOOKUP($A139,'Allocate OPROC cost'!$A:$AO,31,FALSE)</f>
        <v>156343</v>
      </c>
      <c r="D139" s="222">
        <f>VLOOKUP($A139,'Allocate OPROC cost'!$A:$AO,32,FALSE)</f>
        <v>67882</v>
      </c>
      <c r="E139" s="222">
        <f>VLOOKUP($A139,'Allocate OPROC cost'!$A:$AO,33,FALSE)</f>
        <v>983690</v>
      </c>
      <c r="F139" s="222">
        <f>VLOOKUP($A139,'Allocate OPROC cost'!$A:$AO,34,FALSE)</f>
        <v>2198194.1426346987</v>
      </c>
      <c r="G139" s="222">
        <f>VLOOKUP($A139,'Allocate OPROC cost'!$A:$AO,35,FALSE)</f>
        <v>23598996.684623804</v>
      </c>
      <c r="H139" s="222">
        <f>VLOOKUP($A139,'Allocate OPROC cost'!$A:$AO,36,FALSE)</f>
        <v>9839991.0206597503</v>
      </c>
      <c r="I139" s="222">
        <f>VLOOKUP($A139,'Allocate OPROC cost'!$A:$AO,37,FALSE)</f>
        <v>113449081.82902013</v>
      </c>
      <c r="J139" s="223">
        <f t="shared" si="135"/>
        <v>167.54528526179107</v>
      </c>
      <c r="K139" s="223">
        <f t="shared" si="136"/>
        <v>150.94373706928872</v>
      </c>
      <c r="L139" s="223">
        <f t="shared" si="137"/>
        <v>144.95729384313589</v>
      </c>
      <c r="M139" s="223">
        <f t="shared" si="138"/>
        <v>115.33011602132798</v>
      </c>
      <c r="N139" s="224">
        <f t="shared" si="139"/>
        <v>1.4476397616484316</v>
      </c>
      <c r="O139" s="224">
        <f t="shared" si="140"/>
        <v>1.4807368861699921</v>
      </c>
      <c r="P139" s="224">
        <f t="shared" si="155"/>
        <v>0.9</v>
      </c>
      <c r="Q139" s="224">
        <f t="shared" si="155"/>
        <v>0.9</v>
      </c>
      <c r="R139" s="224">
        <f t="shared" si="141"/>
        <v>1.4476397616484316</v>
      </c>
      <c r="S139" s="224">
        <f t="shared" si="142"/>
        <v>1.4807368861699921</v>
      </c>
      <c r="T139" s="224">
        <f t="shared" si="81"/>
        <v>0.9</v>
      </c>
      <c r="U139" s="224">
        <f t="shared" si="82"/>
        <v>0.9</v>
      </c>
      <c r="V139" s="225">
        <f t="shared" si="143"/>
        <v>3182193.2447006735</v>
      </c>
      <c r="W139" s="225">
        <f t="shared" si="144"/>
        <v>34943904.867525816</v>
      </c>
      <c r="X139" s="225">
        <f t="shared" si="145"/>
        <v>8855991.9185937755</v>
      </c>
      <c r="Y139" s="225">
        <f t="shared" si="146"/>
        <v>102104173.64611812</v>
      </c>
      <c r="Z139" s="227">
        <f t="shared" si="147"/>
        <v>242.54521682169766</v>
      </c>
      <c r="AA139" s="227">
        <f t="shared" si="148"/>
        <v>223.50795921484055</v>
      </c>
      <c r="AB139" s="227">
        <f t="shared" si="149"/>
        <v>130.46156445882229</v>
      </c>
      <c r="AC139" s="227">
        <f t="shared" si="150"/>
        <v>103.79710441919519</v>
      </c>
      <c r="AD139" s="228">
        <f t="shared" si="151"/>
        <v>0.44763976164843133</v>
      </c>
      <c r="AE139" s="228">
        <f t="shared" si="152"/>
        <v>0.48073688616999188</v>
      </c>
      <c r="AF139" s="228">
        <f t="shared" si="153"/>
        <v>-9.9999999999999978E-2</v>
      </c>
      <c r="AG139" s="228">
        <f t="shared" si="154"/>
        <v>-9.9999999999999867E-2</v>
      </c>
    </row>
    <row r="140" spans="1:33">
      <c r="A140" s="231">
        <v>811</v>
      </c>
      <c r="B140" s="222">
        <f>VLOOKUP($A140,'Allocate OPROC cost'!$A:$AO,30,FALSE)</f>
        <v>86</v>
      </c>
      <c r="C140" s="222">
        <f>VLOOKUP($A140,'Allocate OPROC cost'!$A:$AO,31,FALSE)</f>
        <v>6284</v>
      </c>
      <c r="D140" s="222">
        <f>VLOOKUP($A140,'Allocate OPROC cost'!$A:$AO,32,FALSE)</f>
        <v>112</v>
      </c>
      <c r="E140" s="222">
        <f>VLOOKUP($A140,'Allocate OPROC cost'!$A:$AO,33,FALSE)</f>
        <v>3000</v>
      </c>
      <c r="F140" s="222">
        <f>VLOOKUP($A140,'Allocate OPROC cost'!$A:$AO,34,FALSE)</f>
        <v>15049.043271658522</v>
      </c>
      <c r="G140" s="222">
        <f>VLOOKUP($A140,'Allocate OPROC cost'!$A:$AO,35,FALSE)</f>
        <v>885107.23869944154</v>
      </c>
      <c r="H140" s="222">
        <f>VLOOKUP($A140,'Allocate OPROC cost'!$A:$AO,36,FALSE)</f>
        <v>50967.17975786348</v>
      </c>
      <c r="I140" s="222">
        <f>VLOOKUP($A140,'Allocate OPROC cost'!$A:$AO,37,FALSE)</f>
        <v>622720.73770562746</v>
      </c>
      <c r="J140" s="223">
        <f t="shared" si="135"/>
        <v>174.98887525184327</v>
      </c>
      <c r="K140" s="223">
        <f t="shared" si="136"/>
        <v>140.85092913740317</v>
      </c>
      <c r="L140" s="223">
        <f t="shared" si="137"/>
        <v>455.0641049809239</v>
      </c>
      <c r="M140" s="223">
        <f t="shared" si="138"/>
        <v>207.57357923520914</v>
      </c>
      <c r="N140" s="224">
        <f t="shared" si="139"/>
        <v>1.3386738866905159</v>
      </c>
      <c r="O140" s="224">
        <f t="shared" si="140"/>
        <v>1.0703553999423439</v>
      </c>
      <c r="P140" s="224">
        <f t="shared" si="155"/>
        <v>0.9</v>
      </c>
      <c r="Q140" s="224">
        <f t="shared" si="155"/>
        <v>0.9</v>
      </c>
      <c r="R140" s="224">
        <f t="shared" si="141"/>
        <v>1.3386738866905159</v>
      </c>
      <c r="S140" s="224">
        <f t="shared" si="142"/>
        <v>1.0703553999423439</v>
      </c>
      <c r="T140" s="224">
        <f t="shared" si="81"/>
        <v>0.9</v>
      </c>
      <c r="U140" s="224">
        <f t="shared" si="82"/>
        <v>0.9</v>
      </c>
      <c r="V140" s="225">
        <f t="shared" si="143"/>
        <v>20145.761247444872</v>
      </c>
      <c r="W140" s="225">
        <f t="shared" si="144"/>
        <v>947379.31247000431</v>
      </c>
      <c r="X140" s="225">
        <f t="shared" si="145"/>
        <v>45870.461782077131</v>
      </c>
      <c r="Y140" s="225">
        <f t="shared" si="146"/>
        <v>560448.66393506469</v>
      </c>
      <c r="Z140" s="227">
        <f t="shared" si="147"/>
        <v>234.2530377609869</v>
      </c>
      <c r="AA140" s="227">
        <f t="shared" si="148"/>
        <v>150.76055258911589</v>
      </c>
      <c r="AB140" s="227">
        <f t="shared" si="149"/>
        <v>409.55769448283155</v>
      </c>
      <c r="AC140" s="227">
        <f t="shared" si="150"/>
        <v>186.81622131168822</v>
      </c>
      <c r="AD140" s="228">
        <f t="shared" si="151"/>
        <v>0.33867388669051612</v>
      </c>
      <c r="AE140" s="228">
        <f t="shared" si="152"/>
        <v>7.0355399942343855E-2</v>
      </c>
      <c r="AF140" s="228">
        <f t="shared" si="153"/>
        <v>-9.9999999999999867E-2</v>
      </c>
      <c r="AG140" s="228">
        <f t="shared" si="154"/>
        <v>-9.9999999999999978E-2</v>
      </c>
    </row>
    <row r="141" spans="1:33">
      <c r="A141" s="231">
        <v>812</v>
      </c>
      <c r="B141" s="222">
        <f>VLOOKUP($A141,'Allocate OPROC cost'!$A:$AO,30,FALSE)</f>
        <v>178</v>
      </c>
      <c r="C141" s="222">
        <f>VLOOKUP($A141,'Allocate OPROC cost'!$A:$AO,31,FALSE)</f>
        <v>175243</v>
      </c>
      <c r="D141" s="222">
        <f>VLOOKUP($A141,'Allocate OPROC cost'!$A:$AO,32,FALSE)</f>
        <v>1</v>
      </c>
      <c r="E141" s="222">
        <f>VLOOKUP($A141,'Allocate OPROC cost'!$A:$AO,33,FALSE)</f>
        <v>43383</v>
      </c>
      <c r="F141" s="222">
        <f>VLOOKUP($A141,'Allocate OPROC cost'!$A:$AO,34,FALSE)</f>
        <v>6378.3961661138037</v>
      </c>
      <c r="G141" s="222">
        <f>VLOOKUP($A141,'Allocate OPROC cost'!$A:$AO,35,FALSE)</f>
        <v>6524454.3713393938</v>
      </c>
      <c r="H141" s="222">
        <f>VLOOKUP($A141,'Allocate OPROC cost'!$A:$AO,36,FALSE)</f>
        <v>46.676271154398215</v>
      </c>
      <c r="I141" s="222">
        <f>VLOOKUP($A141,'Allocate OPROC cost'!$A:$AO,37,FALSE)</f>
        <v>2503525.8678061632</v>
      </c>
      <c r="J141" s="223">
        <f t="shared" si="135"/>
        <v>35.833686326482045</v>
      </c>
      <c r="K141" s="223">
        <f t="shared" si="136"/>
        <v>37.230898645534452</v>
      </c>
      <c r="L141" s="223">
        <f t="shared" si="137"/>
        <v>46.676271154398215</v>
      </c>
      <c r="M141" s="223">
        <f t="shared" si="138"/>
        <v>57.707532162509814</v>
      </c>
      <c r="N141" s="224">
        <f t="shared" si="139"/>
        <v>1.0007317869561376</v>
      </c>
      <c r="O141" s="224">
        <f t="shared" si="140"/>
        <v>1.0383714211996584</v>
      </c>
      <c r="P141" s="224">
        <f t="shared" si="155"/>
        <v>0.9</v>
      </c>
      <c r="Q141" s="224">
        <f t="shared" si="155"/>
        <v>0.9</v>
      </c>
      <c r="R141" s="224">
        <f t="shared" si="141"/>
        <v>1.0007317869561376</v>
      </c>
      <c r="S141" s="224">
        <f t="shared" si="142"/>
        <v>1.0383714211996584</v>
      </c>
      <c r="T141" s="224">
        <f t="shared" ref="T141:T145" si="156">$P$9</f>
        <v>0.9</v>
      </c>
      <c r="U141" s="224">
        <f t="shared" ref="U141:U145" si="157">$Q$9</f>
        <v>0.9</v>
      </c>
      <c r="V141" s="225">
        <f t="shared" si="143"/>
        <v>6383.0637932292439</v>
      </c>
      <c r="W141" s="225">
        <f t="shared" si="144"/>
        <v>6774806.9581200099</v>
      </c>
      <c r="X141" s="225">
        <f t="shared" si="145"/>
        <v>42.008644038958394</v>
      </c>
      <c r="Y141" s="225">
        <f t="shared" si="146"/>
        <v>2253173.2810255471</v>
      </c>
      <c r="Z141" s="227">
        <f t="shared" si="147"/>
        <v>35.859908950726087</v>
      </c>
      <c r="AA141" s="227">
        <f t="shared" si="148"/>
        <v>38.659501139104044</v>
      </c>
      <c r="AB141" s="227">
        <f t="shared" si="149"/>
        <v>42.008644038958394</v>
      </c>
      <c r="AC141" s="227">
        <f t="shared" si="150"/>
        <v>51.936778946258833</v>
      </c>
      <c r="AD141" s="228">
        <f t="shared" si="151"/>
        <v>7.3178695613740352E-4</v>
      </c>
      <c r="AE141" s="228">
        <f t="shared" si="152"/>
        <v>3.8371421199658418E-2</v>
      </c>
      <c r="AF141" s="228">
        <f t="shared" si="153"/>
        <v>-9.9999999999999978E-2</v>
      </c>
      <c r="AG141" s="228">
        <f t="shared" si="154"/>
        <v>-9.9999999999999978E-2</v>
      </c>
    </row>
    <row r="142" spans="1:33">
      <c r="A142" s="231">
        <v>822</v>
      </c>
      <c r="B142" s="222">
        <f>VLOOKUP($A142,'Allocate OPROC cost'!$A:$AO,30,FALSE)</f>
        <v>156</v>
      </c>
      <c r="C142" s="222">
        <f>VLOOKUP($A142,'Allocate OPROC cost'!$A:$AO,31,FALSE)</f>
        <v>14206</v>
      </c>
      <c r="D142" s="222">
        <f>VLOOKUP($A142,'Allocate OPROC cost'!$A:$AO,32,FALSE)</f>
        <v>116</v>
      </c>
      <c r="E142" s="222">
        <f>VLOOKUP($A142,'Allocate OPROC cost'!$A:$AO,33,FALSE)</f>
        <v>39058</v>
      </c>
      <c r="F142" s="222">
        <f>VLOOKUP($A142,'Allocate OPROC cost'!$A:$AO,34,FALSE)</f>
        <v>16026.867117520746</v>
      </c>
      <c r="G142" s="222">
        <f>VLOOKUP($A142,'Allocate OPROC cost'!$A:$AO,35,FALSE)</f>
        <v>1246736.2702314598</v>
      </c>
      <c r="H142" s="222">
        <f>VLOOKUP($A142,'Allocate OPROC cost'!$A:$AO,36,FALSE)</f>
        <v>16953.641407088144</v>
      </c>
      <c r="I142" s="222">
        <f>VLOOKUP($A142,'Allocate OPROC cost'!$A:$AO,37,FALSE)</f>
        <v>3152268.0502075185</v>
      </c>
      <c r="J142" s="223">
        <f t="shared" si="135"/>
        <v>102.73632767641503</v>
      </c>
      <c r="K142" s="223">
        <f t="shared" si="136"/>
        <v>87.761246672635494</v>
      </c>
      <c r="L142" s="223">
        <f t="shared" si="137"/>
        <v>146.15208109558745</v>
      </c>
      <c r="M142" s="223">
        <f t="shared" si="138"/>
        <v>80.707359573135292</v>
      </c>
      <c r="N142" s="224">
        <f t="shared" si="139"/>
        <v>1.1057826291487389</v>
      </c>
      <c r="O142" s="224">
        <f t="shared" si="140"/>
        <v>1.2528416093663732</v>
      </c>
      <c r="P142" s="224">
        <f t="shared" si="155"/>
        <v>0.9</v>
      </c>
      <c r="Q142" s="224">
        <f t="shared" si="155"/>
        <v>0.9</v>
      </c>
      <c r="R142" s="224">
        <f t="shared" si="141"/>
        <v>1.1057826291487389</v>
      </c>
      <c r="S142" s="224">
        <f t="shared" si="142"/>
        <v>1.2528416093663732</v>
      </c>
      <c r="T142" s="224">
        <f t="shared" si="156"/>
        <v>0.9</v>
      </c>
      <c r="U142" s="224">
        <f t="shared" si="157"/>
        <v>0.9</v>
      </c>
      <c r="V142" s="225">
        <f t="shared" si="143"/>
        <v>17722.23125822956</v>
      </c>
      <c r="W142" s="225">
        <f t="shared" si="144"/>
        <v>1561963.0752522117</v>
      </c>
      <c r="X142" s="225">
        <f t="shared" si="145"/>
        <v>15258.277266379329</v>
      </c>
      <c r="Y142" s="225">
        <f t="shared" si="146"/>
        <v>2837041.2451867666</v>
      </c>
      <c r="Z142" s="227">
        <f t="shared" si="147"/>
        <v>113.60404652711256</v>
      </c>
      <c r="AA142" s="227">
        <f t="shared" si="148"/>
        <v>109.95094152134392</v>
      </c>
      <c r="AB142" s="227">
        <f t="shared" si="149"/>
        <v>131.5368729860287</v>
      </c>
      <c r="AC142" s="227">
        <f t="shared" si="150"/>
        <v>72.636623615821762</v>
      </c>
      <c r="AD142" s="228">
        <f t="shared" si="151"/>
        <v>0.10578262914873893</v>
      </c>
      <c r="AE142" s="228">
        <f t="shared" si="152"/>
        <v>0.25284160936637323</v>
      </c>
      <c r="AF142" s="228">
        <f t="shared" si="153"/>
        <v>-0.10000000000000009</v>
      </c>
      <c r="AG142" s="228">
        <f t="shared" si="154"/>
        <v>-9.9999999999999978E-2</v>
      </c>
    </row>
    <row r="143" spans="1:33">
      <c r="A143" s="231">
        <v>834</v>
      </c>
      <c r="B143" s="222">
        <f>VLOOKUP($A143,'Allocate OPROC cost'!$A:$AO,30,FALSE)</f>
        <v>0</v>
      </c>
      <c r="C143" s="222">
        <f>VLOOKUP($A143,'Allocate OPROC cost'!$A:$AO,31,FALSE)</f>
        <v>18</v>
      </c>
      <c r="D143" s="222">
        <f>VLOOKUP($A143,'Allocate OPROC cost'!$A:$AO,32,FALSE)</f>
        <v>0</v>
      </c>
      <c r="E143" s="222">
        <f>VLOOKUP($A143,'Allocate OPROC cost'!$A:$AO,33,FALSE)</f>
        <v>205</v>
      </c>
      <c r="F143" s="222">
        <f>VLOOKUP($A143,'Allocate OPROC cost'!$A:$AO,34,FALSE)</f>
        <v>0</v>
      </c>
      <c r="G143" s="222">
        <f>VLOOKUP($A143,'Allocate OPROC cost'!$A:$AO,35,FALSE)</f>
        <v>7247.3150526448399</v>
      </c>
      <c r="H143" s="222">
        <f>VLOOKUP($A143,'Allocate OPROC cost'!$A:$AO,36,FALSE)</f>
        <v>0</v>
      </c>
      <c r="I143" s="222">
        <f>VLOOKUP($A143,'Allocate OPROC cost'!$A:$AO,37,FALSE)</f>
        <v>123639.08019046145</v>
      </c>
      <c r="J143" s="223">
        <f t="shared" si="135"/>
        <v>0</v>
      </c>
      <c r="K143" s="223">
        <f t="shared" si="136"/>
        <v>402.62861403582446</v>
      </c>
      <c r="L143" s="223">
        <f t="shared" si="137"/>
        <v>0</v>
      </c>
      <c r="M143" s="223">
        <f t="shared" si="138"/>
        <v>603.11746434371435</v>
      </c>
      <c r="N143" s="224">
        <f t="shared" si="139"/>
        <v>1</v>
      </c>
      <c r="O143" s="224">
        <f t="shared" si="140"/>
        <v>2.7059984186190515</v>
      </c>
      <c r="P143" s="224">
        <f t="shared" si="155"/>
        <v>0.9</v>
      </c>
      <c r="Q143" s="224">
        <f t="shared" si="155"/>
        <v>0.9</v>
      </c>
      <c r="R143" s="224">
        <f t="shared" si="141"/>
        <v>1</v>
      </c>
      <c r="S143" s="224">
        <f t="shared" si="142"/>
        <v>1.5</v>
      </c>
      <c r="T143" s="224">
        <f t="shared" si="156"/>
        <v>0.9</v>
      </c>
      <c r="U143" s="224">
        <f t="shared" si="157"/>
        <v>0.9</v>
      </c>
      <c r="V143" s="225">
        <f t="shared" si="143"/>
        <v>0</v>
      </c>
      <c r="W143" s="225">
        <f t="shared" si="144"/>
        <v>10870.972578967259</v>
      </c>
      <c r="X143" s="225">
        <f t="shared" si="145"/>
        <v>0</v>
      </c>
      <c r="Y143" s="225">
        <f t="shared" si="146"/>
        <v>111275.17217141531</v>
      </c>
      <c r="Z143" s="227">
        <f t="shared" si="147"/>
        <v>0</v>
      </c>
      <c r="AA143" s="227">
        <f t="shared" si="148"/>
        <v>603.94292105373665</v>
      </c>
      <c r="AB143" s="227">
        <f t="shared" si="149"/>
        <v>0</v>
      </c>
      <c r="AC143" s="227">
        <f t="shared" si="150"/>
        <v>542.805717909343</v>
      </c>
      <c r="AD143" s="228">
        <f t="shared" si="151"/>
        <v>0</v>
      </c>
      <c r="AE143" s="228">
        <f t="shared" si="152"/>
        <v>0.5</v>
      </c>
      <c r="AF143" s="228">
        <f t="shared" si="153"/>
        <v>0</v>
      </c>
      <c r="AG143" s="228">
        <f t="shared" si="154"/>
        <v>-9.9999999999999867E-2</v>
      </c>
    </row>
    <row r="144" spans="1:33">
      <c r="A144" s="231">
        <v>840</v>
      </c>
      <c r="B144" s="222">
        <f>VLOOKUP($A144,'Allocate OPROC cost'!$A:$AO,30,FALSE)</f>
        <v>1</v>
      </c>
      <c r="C144" s="222">
        <f>VLOOKUP($A144,'Allocate OPROC cost'!$A:$AO,31,FALSE)</f>
        <v>11434</v>
      </c>
      <c r="D144" s="222">
        <f>VLOOKUP($A144,'Allocate OPROC cost'!$A:$AO,32,FALSE)</f>
        <v>3</v>
      </c>
      <c r="E144" s="222">
        <f>VLOOKUP($A144,'Allocate OPROC cost'!$A:$AO,33,FALSE)</f>
        <v>14569</v>
      </c>
      <c r="F144" s="222">
        <f>VLOOKUP($A144,'Allocate OPROC cost'!$A:$AO,34,FALSE)</f>
        <v>123.10057389155291</v>
      </c>
      <c r="G144" s="222">
        <f>VLOOKUP($A144,'Allocate OPROC cost'!$A:$AO,35,FALSE)</f>
        <v>1835551.5501302183</v>
      </c>
      <c r="H144" s="222">
        <f>VLOOKUP($A144,'Allocate OPROC cost'!$A:$AO,36,FALSE)</f>
        <v>307.75143472888232</v>
      </c>
      <c r="I144" s="222">
        <f>VLOOKUP($A144,'Allocate OPROC cost'!$A:$AO,37,FALSE)</f>
        <v>1891821.9221264427</v>
      </c>
      <c r="J144" s="223">
        <f t="shared" si="135"/>
        <v>123.10057389155291</v>
      </c>
      <c r="K144" s="223">
        <f t="shared" si="136"/>
        <v>160.5345067456899</v>
      </c>
      <c r="L144" s="223">
        <f t="shared" si="137"/>
        <v>102.58381157629411</v>
      </c>
      <c r="M144" s="223">
        <f t="shared" si="138"/>
        <v>129.85255831741662</v>
      </c>
      <c r="N144" s="224">
        <f t="shared" si="139"/>
        <v>1.25</v>
      </c>
      <c r="O144" s="224">
        <f t="shared" si="140"/>
        <v>1.1030655838563745</v>
      </c>
      <c r="P144" s="224">
        <f t="shared" si="155"/>
        <v>0.9</v>
      </c>
      <c r="Q144" s="224">
        <f t="shared" si="155"/>
        <v>0.9</v>
      </c>
      <c r="R144" s="224">
        <f t="shared" si="141"/>
        <v>1.25</v>
      </c>
      <c r="S144" s="224">
        <f t="shared" si="142"/>
        <v>1.1030655838563745</v>
      </c>
      <c r="T144" s="224">
        <f t="shared" si="156"/>
        <v>0.9</v>
      </c>
      <c r="U144" s="224">
        <f t="shared" si="157"/>
        <v>0.9</v>
      </c>
      <c r="V144" s="225">
        <f t="shared" si="143"/>
        <v>153.87571736444113</v>
      </c>
      <c r="W144" s="225">
        <f t="shared" si="144"/>
        <v>2024733.7423428625</v>
      </c>
      <c r="X144" s="225">
        <f t="shared" si="145"/>
        <v>276.97629125599411</v>
      </c>
      <c r="Y144" s="225">
        <f t="shared" si="146"/>
        <v>1702639.7299137984</v>
      </c>
      <c r="Z144" s="227">
        <f t="shared" si="147"/>
        <v>153.87571736444113</v>
      </c>
      <c r="AA144" s="227">
        <f t="shared" si="148"/>
        <v>177.08008941252953</v>
      </c>
      <c r="AB144" s="227">
        <f t="shared" si="149"/>
        <v>92.325430418664709</v>
      </c>
      <c r="AC144" s="227">
        <f t="shared" si="150"/>
        <v>116.86730248567495</v>
      </c>
      <c r="AD144" s="228">
        <f t="shared" si="151"/>
        <v>0.25</v>
      </c>
      <c r="AE144" s="228">
        <f t="shared" si="152"/>
        <v>0.10306558385637454</v>
      </c>
      <c r="AF144" s="228">
        <f t="shared" si="153"/>
        <v>-9.9999999999999867E-2</v>
      </c>
      <c r="AG144" s="228">
        <f t="shared" si="154"/>
        <v>-0.10000000000000009</v>
      </c>
    </row>
    <row r="145" spans="1:33">
      <c r="A145" s="231">
        <v>920</v>
      </c>
      <c r="B145" s="222">
        <f>VLOOKUP($A145,'Allocate OPROC cost'!$A:$AO,30,FALSE)</f>
        <v>0</v>
      </c>
      <c r="C145" s="222">
        <f>VLOOKUP($A145,'Allocate OPROC cost'!$A:$AO,31,FALSE)</f>
        <v>12</v>
      </c>
      <c r="D145" s="222">
        <f>VLOOKUP($A145,'Allocate OPROC cost'!$A:$AO,32,FALSE)</f>
        <v>0</v>
      </c>
      <c r="E145" s="222">
        <f>VLOOKUP($A145,'Allocate OPROC cost'!$A:$AO,33,FALSE)</f>
        <v>19</v>
      </c>
      <c r="F145" s="222">
        <f>VLOOKUP($A145,'Allocate OPROC cost'!$A:$AO,34,FALSE)</f>
        <v>0</v>
      </c>
      <c r="G145" s="222">
        <f>VLOOKUP($A145,'Allocate OPROC cost'!$A:$AO,35,FALSE)</f>
        <v>181.356981207057</v>
      </c>
      <c r="H145" s="222">
        <f>VLOOKUP($A145,'Allocate OPROC cost'!$A:$AO,36,FALSE)</f>
        <v>0</v>
      </c>
      <c r="I145" s="222">
        <f>VLOOKUP($A145,'Allocate OPROC cost'!$A:$AO,37,FALSE)</f>
        <v>166.90442164526399</v>
      </c>
      <c r="J145" s="223">
        <f t="shared" si="135"/>
        <v>0</v>
      </c>
      <c r="K145" s="223">
        <f t="shared" si="136"/>
        <v>15.11308176725475</v>
      </c>
      <c r="L145" s="223">
        <f t="shared" si="137"/>
        <v>0</v>
      </c>
      <c r="M145" s="223">
        <f t="shared" si="138"/>
        <v>8.7844432444875782</v>
      </c>
      <c r="N145" s="224">
        <f t="shared" si="139"/>
        <v>1</v>
      </c>
      <c r="O145" s="224">
        <f t="shared" si="140"/>
        <v>1.0920308777387002</v>
      </c>
      <c r="P145" s="224">
        <f t="shared" si="155"/>
        <v>0.9</v>
      </c>
      <c r="Q145" s="224">
        <f t="shared" si="155"/>
        <v>0.9</v>
      </c>
      <c r="R145" s="224">
        <f t="shared" si="141"/>
        <v>1</v>
      </c>
      <c r="S145" s="224">
        <f t="shared" si="142"/>
        <v>1.0920308777387002</v>
      </c>
      <c r="T145" s="224">
        <f t="shared" si="156"/>
        <v>0.9</v>
      </c>
      <c r="U145" s="224">
        <f t="shared" si="157"/>
        <v>0.9</v>
      </c>
      <c r="V145" s="225">
        <f t="shared" si="143"/>
        <v>0</v>
      </c>
      <c r="W145" s="225">
        <f t="shared" si="144"/>
        <v>198.04742337158342</v>
      </c>
      <c r="X145" s="225">
        <f t="shared" si="145"/>
        <v>0</v>
      </c>
      <c r="Y145" s="225">
        <f t="shared" si="146"/>
        <v>150.21397948073761</v>
      </c>
      <c r="Z145" s="227">
        <f t="shared" si="147"/>
        <v>0</v>
      </c>
      <c r="AA145" s="227">
        <f t="shared" si="148"/>
        <v>16.503951947631951</v>
      </c>
      <c r="AB145" s="227">
        <f t="shared" si="149"/>
        <v>0</v>
      </c>
      <c r="AC145" s="227">
        <f t="shared" si="150"/>
        <v>7.9059989200388214</v>
      </c>
      <c r="AD145" s="228">
        <f t="shared" si="151"/>
        <v>0</v>
      </c>
      <c r="AE145" s="228">
        <f t="shared" si="152"/>
        <v>9.2030877738700223E-2</v>
      </c>
      <c r="AF145" s="228">
        <f t="shared" si="153"/>
        <v>0</v>
      </c>
      <c r="AG145" s="228">
        <f t="shared" si="154"/>
        <v>-9.9999999999999867E-2</v>
      </c>
    </row>
  </sheetData>
  <mergeCells count="9">
    <mergeCell ref="Z7:AC7"/>
    <mergeCell ref="AD7:AG7"/>
    <mergeCell ref="Z6:AG6"/>
    <mergeCell ref="B6:M6"/>
    <mergeCell ref="B7:E7"/>
    <mergeCell ref="F7:I7"/>
    <mergeCell ref="J7:M7"/>
    <mergeCell ref="N6:Y6"/>
    <mergeCell ref="V7:Y7"/>
  </mergeCells>
  <conditionalFormatting sqref="R9:U65 R67:U100 R102:U119">
    <cfRule type="cellIs" dxfId="16" priority="6" operator="equal">
      <formula>$S$4</formula>
    </cfRule>
  </conditionalFormatting>
  <conditionalFormatting sqref="R120:U120">
    <cfRule type="cellIs" dxfId="15" priority="3" operator="equal">
      <formula>$S$4</formula>
    </cfRule>
  </conditionalFormatting>
  <conditionalFormatting sqref="R121:U145">
    <cfRule type="cellIs" dxfId="14" priority="4" operator="equal">
      <formula>$S$4</formula>
    </cfRule>
  </conditionalFormatting>
  <conditionalFormatting sqref="R66:U66">
    <cfRule type="cellIs" dxfId="13" priority="2" operator="equal">
      <formula>$S$4</formula>
    </cfRule>
  </conditionalFormatting>
  <conditionalFormatting sqref="R101:U101">
    <cfRule type="cellIs" dxfId="12" priority="1" operator="equal">
      <formula>$S$4</formula>
    </cfRule>
  </conditionalFormatting>
  <dataValidations disablePrompts="1" count="2">
    <dataValidation type="list" allowBlank="1" showInputMessage="1" showErrorMessage="1" sqref="O4">
      <formula1>"0.1,0.2,0.3,0.4,0.5,0.6,0.7,0.8,0.9,1"</formula1>
    </dataValidation>
    <dataValidation type="list" allowBlank="1" showInputMessage="1" showErrorMessage="1" sqref="S4">
      <formula1>"No limit,1.5,1.6,1.7,1.8,1.9,2"</formula1>
    </dataValidation>
  </dataValidations>
  <hyperlinks>
    <hyperlink ref="A2"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249977111117893"/>
  </sheetPr>
  <dimension ref="A1:BN152"/>
  <sheetViews>
    <sheetView workbookViewId="0">
      <pane xSplit="2" ySplit="9" topLeftCell="C10" activePane="bottomRight" state="frozen"/>
      <selection pane="topRight" activeCell="C1" sqref="C1"/>
      <selection pane="bottomLeft" activeCell="A10" sqref="A10"/>
      <selection pane="bottomRight"/>
    </sheetView>
  </sheetViews>
  <sheetFormatPr defaultColWidth="9.140625" defaultRowHeight="12.75"/>
  <cols>
    <col min="1" max="1" width="12.7109375" style="128" customWidth="1"/>
    <col min="2" max="2" width="24.140625" style="128" customWidth="1"/>
    <col min="3" max="3" width="9" style="128" customWidth="1"/>
    <col min="4" max="4" width="8.140625" style="128" customWidth="1"/>
    <col min="5" max="5" width="8.5703125" style="128" customWidth="1"/>
    <col min="6" max="6" width="9.28515625" style="128" bestFit="1" customWidth="1"/>
    <col min="7" max="7" width="11.42578125" style="128" customWidth="1"/>
    <col min="8" max="8" width="10.28515625" style="128" customWidth="1"/>
    <col min="9" max="9" width="11.42578125" style="128" customWidth="1"/>
    <col min="10" max="10" width="11.140625" style="128" customWidth="1"/>
    <col min="11" max="11" width="14" style="128" customWidth="1"/>
    <col min="12" max="12" width="12.85546875" style="128" customWidth="1"/>
    <col min="13" max="13" width="13.85546875" style="128" customWidth="1"/>
    <col min="14" max="21" width="9.140625" style="128"/>
    <col min="22" max="22" width="9.140625" style="128" customWidth="1"/>
    <col min="23" max="24" width="9.140625" style="128"/>
    <col min="25" max="25" width="14.5703125" style="128" customWidth="1"/>
    <col min="26" max="28" width="9.140625" style="128" customWidth="1"/>
    <col min="29" max="29" width="14" style="128" customWidth="1"/>
    <col min="30" max="32" width="9.140625" style="128" customWidth="1"/>
    <col min="33" max="33" width="14" style="128" customWidth="1"/>
    <col min="34" max="36" width="9.140625" style="128" customWidth="1"/>
    <col min="37" max="37" width="14.5703125" style="128" customWidth="1"/>
    <col min="38" max="38" width="12.140625" style="128" customWidth="1"/>
    <col min="39" max="39" width="15.140625" style="128" customWidth="1"/>
    <col min="40" max="40" width="11.42578125" style="128" customWidth="1"/>
    <col min="41" max="41" width="13.42578125" style="128" customWidth="1"/>
    <col min="42" max="44" width="9.140625" style="128" customWidth="1"/>
    <col min="45" max="45" width="14.85546875" style="128" customWidth="1"/>
    <col min="46" max="51" width="11.5703125" style="128" customWidth="1"/>
    <col min="52" max="54" width="9.140625" style="128"/>
    <col min="55" max="55" width="14" style="128" customWidth="1"/>
    <col min="56" max="61" width="11.5703125" style="128" customWidth="1"/>
    <col min="62" max="62" width="12.42578125" style="128" customWidth="1"/>
    <col min="63" max="16384" width="9.140625" style="128"/>
  </cols>
  <sheetData>
    <row r="1" spans="1:63">
      <c r="A1" s="128">
        <v>1</v>
      </c>
      <c r="B1" s="128">
        <f>A1+1</f>
        <v>2</v>
      </c>
      <c r="C1" s="128">
        <f t="shared" ref="C1:BI1" si="0">B1+1</f>
        <v>3</v>
      </c>
      <c r="D1" s="128">
        <f t="shared" si="0"/>
        <v>4</v>
      </c>
      <c r="E1" s="128">
        <f t="shared" si="0"/>
        <v>5</v>
      </c>
      <c r="F1" s="128">
        <f t="shared" si="0"/>
        <v>6</v>
      </c>
      <c r="G1" s="128">
        <f t="shared" si="0"/>
        <v>7</v>
      </c>
      <c r="H1" s="128">
        <f t="shared" si="0"/>
        <v>8</v>
      </c>
      <c r="I1" s="128">
        <f t="shared" si="0"/>
        <v>9</v>
      </c>
      <c r="J1" s="128">
        <f t="shared" si="0"/>
        <v>10</v>
      </c>
      <c r="K1" s="128">
        <f t="shared" si="0"/>
        <v>11</v>
      </c>
      <c r="L1" s="128">
        <f t="shared" si="0"/>
        <v>12</v>
      </c>
      <c r="M1" s="128">
        <f t="shared" si="0"/>
        <v>13</v>
      </c>
      <c r="N1" s="128">
        <f t="shared" si="0"/>
        <v>14</v>
      </c>
      <c r="O1" s="128">
        <f t="shared" si="0"/>
        <v>15</v>
      </c>
      <c r="P1" s="128">
        <f t="shared" si="0"/>
        <v>16</v>
      </c>
      <c r="Q1" s="128">
        <f t="shared" si="0"/>
        <v>17</v>
      </c>
      <c r="R1" s="128">
        <f t="shared" si="0"/>
        <v>18</v>
      </c>
      <c r="S1" s="128">
        <f t="shared" si="0"/>
        <v>19</v>
      </c>
      <c r="T1" s="128">
        <f t="shared" si="0"/>
        <v>20</v>
      </c>
      <c r="U1" s="128">
        <f t="shared" si="0"/>
        <v>21</v>
      </c>
      <c r="V1" s="128">
        <f t="shared" si="0"/>
        <v>22</v>
      </c>
      <c r="W1" s="128">
        <f t="shared" si="0"/>
        <v>23</v>
      </c>
      <c r="X1" s="128">
        <f t="shared" si="0"/>
        <v>24</v>
      </c>
      <c r="Y1" s="128">
        <f t="shared" si="0"/>
        <v>25</v>
      </c>
      <c r="Z1" s="128">
        <f t="shared" si="0"/>
        <v>26</v>
      </c>
      <c r="AA1" s="128">
        <f t="shared" si="0"/>
        <v>27</v>
      </c>
      <c r="AB1" s="128">
        <f t="shared" si="0"/>
        <v>28</v>
      </c>
      <c r="AC1" s="128">
        <f t="shared" si="0"/>
        <v>29</v>
      </c>
      <c r="AD1" s="128">
        <f t="shared" si="0"/>
        <v>30</v>
      </c>
      <c r="AE1" s="128">
        <f t="shared" si="0"/>
        <v>31</v>
      </c>
      <c r="AF1" s="128">
        <f t="shared" si="0"/>
        <v>32</v>
      </c>
      <c r="AG1" s="128">
        <f t="shared" si="0"/>
        <v>33</v>
      </c>
      <c r="AH1" s="128">
        <f t="shared" si="0"/>
        <v>34</v>
      </c>
      <c r="AI1" s="128">
        <f t="shared" si="0"/>
        <v>35</v>
      </c>
      <c r="AJ1" s="128">
        <f t="shared" si="0"/>
        <v>36</v>
      </c>
      <c r="AK1" s="128">
        <f t="shared" si="0"/>
        <v>37</v>
      </c>
      <c r="AL1" s="128">
        <f t="shared" si="0"/>
        <v>38</v>
      </c>
      <c r="AM1" s="128">
        <f t="shared" si="0"/>
        <v>39</v>
      </c>
      <c r="AN1" s="128">
        <f t="shared" si="0"/>
        <v>40</v>
      </c>
      <c r="AO1" s="128">
        <f t="shared" si="0"/>
        <v>41</v>
      </c>
      <c r="AP1" s="128">
        <f t="shared" si="0"/>
        <v>42</v>
      </c>
      <c r="AQ1" s="128">
        <f t="shared" si="0"/>
        <v>43</v>
      </c>
      <c r="AR1" s="128">
        <f t="shared" si="0"/>
        <v>44</v>
      </c>
      <c r="AS1" s="128">
        <f t="shared" si="0"/>
        <v>45</v>
      </c>
      <c r="AT1" s="128">
        <f t="shared" si="0"/>
        <v>46</v>
      </c>
      <c r="AU1" s="128">
        <f t="shared" si="0"/>
        <v>47</v>
      </c>
      <c r="AV1" s="128">
        <f t="shared" si="0"/>
        <v>48</v>
      </c>
      <c r="AW1" s="128">
        <f t="shared" si="0"/>
        <v>49</v>
      </c>
      <c r="AX1" s="128">
        <f t="shared" si="0"/>
        <v>50</v>
      </c>
      <c r="AY1" s="128">
        <f t="shared" si="0"/>
        <v>51</v>
      </c>
      <c r="AZ1" s="128">
        <f t="shared" si="0"/>
        <v>52</v>
      </c>
      <c r="BA1" s="128">
        <f t="shared" si="0"/>
        <v>53</v>
      </c>
      <c r="BB1" s="128">
        <f t="shared" si="0"/>
        <v>54</v>
      </c>
      <c r="BC1" s="128">
        <f t="shared" si="0"/>
        <v>55</v>
      </c>
      <c r="BD1" s="128">
        <f t="shared" si="0"/>
        <v>56</v>
      </c>
      <c r="BE1" s="128">
        <f t="shared" si="0"/>
        <v>57</v>
      </c>
      <c r="BF1" s="128">
        <f t="shared" si="0"/>
        <v>58</v>
      </c>
      <c r="BG1" s="128">
        <f t="shared" si="0"/>
        <v>59</v>
      </c>
      <c r="BH1" s="128">
        <f t="shared" si="0"/>
        <v>60</v>
      </c>
      <c r="BI1" s="128">
        <f t="shared" si="0"/>
        <v>61</v>
      </c>
    </row>
    <row r="2" spans="1:63">
      <c r="Z2" s="312"/>
      <c r="AA2" s="312"/>
      <c r="AB2" s="312"/>
      <c r="AC2" s="313"/>
      <c r="AD2" s="314"/>
      <c r="AE2" s="314"/>
      <c r="AF2" s="314"/>
      <c r="AG2" s="314"/>
      <c r="AH2" s="314"/>
      <c r="AI2" s="314"/>
      <c r="AJ2" s="314"/>
      <c r="AK2" s="314"/>
      <c r="AL2" s="314"/>
      <c r="AM2" s="314"/>
      <c r="AN2" s="314"/>
      <c r="AO2" s="314"/>
      <c r="AP2" s="315"/>
      <c r="AQ2" s="316"/>
      <c r="AR2" s="316"/>
      <c r="AS2" s="314"/>
      <c r="AT2" s="314"/>
      <c r="AU2" s="314"/>
      <c r="AV2" s="314"/>
      <c r="AW2" s="314"/>
      <c r="AX2" s="314"/>
      <c r="AY2" s="314"/>
    </row>
    <row r="3" spans="1:63" ht="21" customHeight="1">
      <c r="A3" s="480" t="s">
        <v>545</v>
      </c>
      <c r="H3" s="232"/>
      <c r="I3" s="234"/>
      <c r="M3" s="234"/>
      <c r="Z3" s="312"/>
      <c r="AA3" s="312"/>
      <c r="AB3" s="312"/>
      <c r="AC3" s="317"/>
      <c r="AD3" s="234"/>
      <c r="AE3" s="234"/>
      <c r="AF3" s="234"/>
      <c r="AG3" s="234"/>
      <c r="AH3" s="234"/>
      <c r="AI3" s="234"/>
      <c r="AJ3" s="234"/>
      <c r="AK3" s="234"/>
      <c r="AL3" s="234"/>
      <c r="AM3" s="234"/>
      <c r="AN3" s="234"/>
      <c r="AO3" s="234"/>
      <c r="AP3" s="318"/>
      <c r="AQ3" s="316"/>
      <c r="AR3" s="316"/>
      <c r="AS3" s="234"/>
      <c r="AT3" s="234"/>
      <c r="AU3" s="234"/>
      <c r="AV3" s="234"/>
      <c r="AW3" s="234"/>
      <c r="AX3" s="234"/>
      <c r="AY3" s="234"/>
    </row>
    <row r="4" spans="1:63" ht="13.5" thickBot="1">
      <c r="V4" s="149"/>
      <c r="W4" s="149"/>
      <c r="X4" s="149"/>
      <c r="Y4" s="319">
        <f>Y5-SUM($J$5:$M$5)</f>
        <v>0</v>
      </c>
      <c r="Z4" s="320"/>
      <c r="AA4" s="320"/>
      <c r="AB4" s="320"/>
      <c r="AC4" s="321">
        <f>AC5-SUM($J$5:$M$5)</f>
        <v>0</v>
      </c>
      <c r="AD4" s="322"/>
      <c r="AE4" s="322"/>
      <c r="AF4" s="322"/>
      <c r="AG4" s="323">
        <f>AG5-SUM($J$5:$M$5)</f>
        <v>0</v>
      </c>
      <c r="AH4" s="322"/>
      <c r="AI4" s="322"/>
      <c r="AJ4" s="322"/>
      <c r="AK4" s="323">
        <f>AK5-SUM($J$5:$M$5)</f>
        <v>0</v>
      </c>
      <c r="AL4" s="323"/>
      <c r="AM4" s="323"/>
      <c r="AN4" s="323"/>
      <c r="AO4" s="323">
        <f>AO5-SUM($J$5:$M$5)</f>
        <v>0</v>
      </c>
      <c r="AP4" s="324"/>
      <c r="AQ4" s="325"/>
      <c r="AR4" s="316"/>
      <c r="AS4" s="319"/>
      <c r="AT4" s="232"/>
      <c r="AU4" s="319"/>
      <c r="AV4" s="319"/>
      <c r="AW4" s="319"/>
      <c r="AX4" s="319"/>
      <c r="AY4" s="319"/>
      <c r="BC4" s="326">
        <f>BC5-AS5+SUM(J112:M112)</f>
        <v>9034219.0955708232</v>
      </c>
    </row>
    <row r="5" spans="1:63" ht="13.5" thickBot="1">
      <c r="F5" s="193">
        <f t="shared" ref="F5:M5" si="1">SUM(F10:F119)</f>
        <v>487187</v>
      </c>
      <c r="G5" s="194">
        <f t="shared" si="1"/>
        <v>17092021</v>
      </c>
      <c r="H5" s="194">
        <f t="shared" si="1"/>
        <v>1079324</v>
      </c>
      <c r="I5" s="195">
        <f t="shared" si="1"/>
        <v>34259748</v>
      </c>
      <c r="J5" s="193">
        <f t="shared" si="1"/>
        <v>95476389.778824434</v>
      </c>
      <c r="K5" s="194">
        <f t="shared" si="1"/>
        <v>2626632038.0431256</v>
      </c>
      <c r="L5" s="194">
        <f t="shared" si="1"/>
        <v>139385693.25110602</v>
      </c>
      <c r="M5" s="195">
        <f t="shared" si="1"/>
        <v>3152838866.7930698</v>
      </c>
      <c r="T5" s="327"/>
      <c r="V5" s="241"/>
      <c r="W5" s="149"/>
      <c r="X5" s="149"/>
      <c r="Y5" s="192">
        <f>SUMPRODUCT(V10:Y119,$F$10:$I$119)</f>
        <v>6014332987.8661222</v>
      </c>
      <c r="Z5" s="328"/>
      <c r="AA5" s="328"/>
      <c r="AB5" s="328"/>
      <c r="AC5" s="329">
        <f>SUMPRODUCT(Z10:AC119,$F$10:$I$119)</f>
        <v>6014332987.8661213</v>
      </c>
      <c r="AD5" s="328"/>
      <c r="AE5" s="328"/>
      <c r="AF5" s="328"/>
      <c r="AG5" s="329">
        <f>SUMPRODUCT(AD10:AG119,$F$10:$I$119)</f>
        <v>6014332987.8661261</v>
      </c>
      <c r="AH5" s="328"/>
      <c r="AI5" s="328"/>
      <c r="AJ5" s="328"/>
      <c r="AK5" s="329">
        <f>SUMPRODUCT(AH10:AK119,$F$10:$I$119)</f>
        <v>6014332987.8661251</v>
      </c>
      <c r="AL5" s="328"/>
      <c r="AM5" s="328"/>
      <c r="AN5" s="328"/>
      <c r="AO5" s="329">
        <f>SUMPRODUCT(AL10:AO119,$F$10:$I$119)</f>
        <v>6014332987.8661251</v>
      </c>
      <c r="AP5" s="328"/>
      <c r="AQ5" s="330">
        <f>AQ3*AQ4*AQ2</f>
        <v>0</v>
      </c>
      <c r="AR5" s="328"/>
      <c r="AS5" s="329">
        <f>SUMPRODUCT(AP10:AS119,$F$10:$I$119)</f>
        <v>6014332987.8661251</v>
      </c>
      <c r="AT5" s="328"/>
      <c r="AU5" s="328"/>
      <c r="AV5" s="328"/>
      <c r="AW5" s="328"/>
      <c r="AX5" s="328" t="s">
        <v>250</v>
      </c>
      <c r="AY5" s="328"/>
      <c r="BB5" s="128" t="s">
        <v>246</v>
      </c>
      <c r="BC5" s="331">
        <f>SUMPRODUCT(AZ10:BC119,$F$10:$I$119)</f>
        <v>6014332801.6501131</v>
      </c>
    </row>
    <row r="6" spans="1:63" ht="13.5" thickBot="1">
      <c r="F6" s="332">
        <v>2</v>
      </c>
      <c r="G6" s="332">
        <v>3</v>
      </c>
      <c r="H6" s="332">
        <v>4</v>
      </c>
      <c r="I6" s="332">
        <v>5</v>
      </c>
      <c r="J6" s="332">
        <v>22</v>
      </c>
      <c r="K6" s="332">
        <v>23</v>
      </c>
      <c r="L6" s="332">
        <v>24</v>
      </c>
      <c r="M6" s="332">
        <v>25</v>
      </c>
      <c r="V6" s="149"/>
      <c r="Z6" s="149"/>
      <c r="AI6" s="301"/>
      <c r="AR6" s="333"/>
      <c r="BB6" s="128" t="s">
        <v>247</v>
      </c>
      <c r="BC6" s="331">
        <f>SUMIF(E:E,1,BJ:BJ)</f>
        <v>4989324241.4787121</v>
      </c>
    </row>
    <row r="7" spans="1:63" ht="13.5" thickBot="1">
      <c r="F7" s="589" t="s">
        <v>228</v>
      </c>
      <c r="G7" s="590"/>
      <c r="H7" s="590"/>
      <c r="I7" s="590"/>
      <c r="J7" s="590"/>
      <c r="K7" s="590"/>
      <c r="L7" s="590"/>
      <c r="M7" s="590"/>
      <c r="N7" s="590"/>
      <c r="O7" s="590"/>
      <c r="P7" s="590"/>
      <c r="Q7" s="591"/>
      <c r="R7" s="592"/>
      <c r="S7" s="593"/>
      <c r="T7" s="593"/>
      <c r="U7" s="593"/>
      <c r="V7" s="593"/>
      <c r="W7" s="593"/>
      <c r="X7" s="593"/>
      <c r="Y7" s="593"/>
      <c r="Z7" s="593"/>
      <c r="AA7" s="593"/>
      <c r="AB7" s="593"/>
      <c r="AC7" s="593"/>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row>
    <row r="8" spans="1:63" ht="13.5" thickBot="1">
      <c r="A8" s="217"/>
      <c r="B8" s="217"/>
      <c r="C8" s="217"/>
      <c r="D8" s="217"/>
      <c r="E8" s="217"/>
      <c r="F8" s="585" t="s">
        <v>210</v>
      </c>
      <c r="G8" s="585"/>
      <c r="H8" s="585"/>
      <c r="I8" s="585"/>
      <c r="J8" s="585" t="s">
        <v>211</v>
      </c>
      <c r="K8" s="585"/>
      <c r="L8" s="585"/>
      <c r="M8" s="585"/>
      <c r="N8" s="585" t="s">
        <v>206</v>
      </c>
      <c r="O8" s="585"/>
      <c r="P8" s="585"/>
      <c r="Q8" s="585"/>
      <c r="R8" s="586" t="s">
        <v>298</v>
      </c>
      <c r="S8" s="586"/>
      <c r="T8" s="586"/>
      <c r="U8" s="586"/>
      <c r="V8" s="586" t="s">
        <v>297</v>
      </c>
      <c r="W8" s="586"/>
      <c r="X8" s="586"/>
      <c r="Y8" s="586"/>
      <c r="Z8" s="586" t="s">
        <v>1120</v>
      </c>
      <c r="AA8" s="586"/>
      <c r="AB8" s="586"/>
      <c r="AC8" s="586"/>
      <c r="AD8" s="586" t="s">
        <v>299</v>
      </c>
      <c r="AE8" s="586"/>
      <c r="AF8" s="586"/>
      <c r="AG8" s="586"/>
      <c r="AH8" s="586" t="s">
        <v>236</v>
      </c>
      <c r="AI8" s="587"/>
      <c r="AJ8" s="587"/>
      <c r="AK8" s="587"/>
      <c r="AL8" s="586" t="s">
        <v>237</v>
      </c>
      <c r="AM8" s="587"/>
      <c r="AN8" s="587"/>
      <c r="AO8" s="587"/>
      <c r="AP8" s="586" t="s">
        <v>238</v>
      </c>
      <c r="AQ8" s="587"/>
      <c r="AR8" s="587"/>
      <c r="AS8" s="587"/>
      <c r="AT8" s="583" t="s">
        <v>239</v>
      </c>
      <c r="AU8" s="583"/>
      <c r="AV8" s="583"/>
      <c r="AW8" s="583"/>
      <c r="AX8" s="583"/>
      <c r="AY8" s="583"/>
      <c r="AZ8" s="583" t="s">
        <v>232</v>
      </c>
      <c r="BA8" s="583"/>
      <c r="BB8" s="583"/>
      <c r="BC8" s="583"/>
      <c r="BD8" s="583" t="s">
        <v>239</v>
      </c>
      <c r="BE8" s="583"/>
      <c r="BF8" s="583"/>
      <c r="BG8" s="583"/>
      <c r="BH8" s="583"/>
      <c r="BI8" s="583"/>
      <c r="BJ8" s="220"/>
    </row>
    <row r="9" spans="1:63" ht="26.25" thickBot="1">
      <c r="A9" s="229" t="s">
        <v>0</v>
      </c>
      <c r="B9" s="229" t="s">
        <v>0</v>
      </c>
      <c r="C9" s="302" t="s">
        <v>234</v>
      </c>
      <c r="D9" s="302" t="s">
        <v>235</v>
      </c>
      <c r="E9" s="302" t="s">
        <v>220</v>
      </c>
      <c r="F9" s="218" t="s">
        <v>66</v>
      </c>
      <c r="G9" s="218" t="s">
        <v>67</v>
      </c>
      <c r="H9" s="218" t="s">
        <v>68</v>
      </c>
      <c r="I9" s="218" t="s">
        <v>69</v>
      </c>
      <c r="J9" s="218" t="s">
        <v>66</v>
      </c>
      <c r="K9" s="218" t="s">
        <v>67</v>
      </c>
      <c r="L9" s="218" t="s">
        <v>68</v>
      </c>
      <c r="M9" s="218" t="s">
        <v>69</v>
      </c>
      <c r="N9" s="218" t="s">
        <v>66</v>
      </c>
      <c r="O9" s="218" t="s">
        <v>67</v>
      </c>
      <c r="P9" s="218" t="s">
        <v>68</v>
      </c>
      <c r="Q9" s="218" t="s">
        <v>69</v>
      </c>
      <c r="R9" s="219" t="s">
        <v>66</v>
      </c>
      <c r="S9" s="219" t="s">
        <v>67</v>
      </c>
      <c r="T9" s="219" t="s">
        <v>68</v>
      </c>
      <c r="U9" s="219" t="s">
        <v>69</v>
      </c>
      <c r="V9" s="219" t="s">
        <v>66</v>
      </c>
      <c r="W9" s="219" t="s">
        <v>67</v>
      </c>
      <c r="X9" s="219" t="s">
        <v>68</v>
      </c>
      <c r="Y9" s="219" t="s">
        <v>69</v>
      </c>
      <c r="Z9" s="219" t="s">
        <v>66</v>
      </c>
      <c r="AA9" s="219" t="s">
        <v>67</v>
      </c>
      <c r="AB9" s="219" t="s">
        <v>68</v>
      </c>
      <c r="AC9" s="219" t="s">
        <v>69</v>
      </c>
      <c r="AD9" s="219" t="s">
        <v>66</v>
      </c>
      <c r="AE9" s="219" t="s">
        <v>67</v>
      </c>
      <c r="AF9" s="219" t="s">
        <v>68</v>
      </c>
      <c r="AG9" s="219" t="s">
        <v>69</v>
      </c>
      <c r="AH9" s="219" t="s">
        <v>66</v>
      </c>
      <c r="AI9" s="219" t="s">
        <v>67</v>
      </c>
      <c r="AJ9" s="219" t="s">
        <v>68</v>
      </c>
      <c r="AK9" s="219" t="s">
        <v>69</v>
      </c>
      <c r="AL9" s="219" t="s">
        <v>66</v>
      </c>
      <c r="AM9" s="219" t="s">
        <v>67</v>
      </c>
      <c r="AN9" s="219" t="s">
        <v>68</v>
      </c>
      <c r="AO9" s="219" t="s">
        <v>69</v>
      </c>
      <c r="AP9" s="219" t="s">
        <v>66</v>
      </c>
      <c r="AQ9" s="219" t="s">
        <v>67</v>
      </c>
      <c r="AR9" s="219" t="s">
        <v>68</v>
      </c>
      <c r="AS9" s="219" t="s">
        <v>69</v>
      </c>
      <c r="AT9" s="303" t="s">
        <v>240</v>
      </c>
      <c r="AU9" s="303" t="s">
        <v>241</v>
      </c>
      <c r="AV9" s="303" t="s">
        <v>242</v>
      </c>
      <c r="AW9" s="303" t="s">
        <v>243</v>
      </c>
      <c r="AX9" s="303" t="s">
        <v>244</v>
      </c>
      <c r="AY9" s="303" t="s">
        <v>245</v>
      </c>
      <c r="AZ9" s="220" t="s">
        <v>66</v>
      </c>
      <c r="BA9" s="220" t="s">
        <v>67</v>
      </c>
      <c r="BB9" s="220" t="s">
        <v>68</v>
      </c>
      <c r="BC9" s="220" t="s">
        <v>69</v>
      </c>
      <c r="BD9" s="303" t="s">
        <v>240</v>
      </c>
      <c r="BE9" s="303" t="s">
        <v>241</v>
      </c>
      <c r="BF9" s="303" t="s">
        <v>242</v>
      </c>
      <c r="BG9" s="303" t="s">
        <v>243</v>
      </c>
      <c r="BH9" s="303" t="s">
        <v>244</v>
      </c>
      <c r="BI9" s="303" t="s">
        <v>245</v>
      </c>
      <c r="BJ9" s="220" t="s">
        <v>390</v>
      </c>
    </row>
    <row r="10" spans="1:63">
      <c r="A10" s="248">
        <v>101</v>
      </c>
      <c r="B10" s="248" t="str">
        <f>VLOOKUP(A10,'201314 RC list'!A:B,2,FALSE)</f>
        <v>Urology</v>
      </c>
      <c r="C10" s="248" t="str">
        <f>$A$10&amp;"&amp;"&amp;$A$11</f>
        <v>101&amp;211</v>
      </c>
      <c r="D10" s="304" t="str">
        <f>IF(ISERROR(FIND("Paed",B10,1)),"A","C")</f>
        <v>A</v>
      </c>
      <c r="E10" s="248">
        <f>IF(ISERROR(VLOOKUP(A10,Mandatory!A:A,1,FALSE)),0,1)</f>
        <v>1</v>
      </c>
      <c r="F10" s="305">
        <f>VLOOKUP(A10,'Front-loading'!A:AG,$F$6,FALSE)</f>
        <v>6807</v>
      </c>
      <c r="G10" s="305">
        <f>VLOOKUP(A10,'Front-loading'!A:AG,$G$6,FALSE)</f>
        <v>551537</v>
      </c>
      <c r="H10" s="305">
        <f>VLOOKUP(A10,'Front-loading'!A:AG,$H$6,FALSE)</f>
        <v>20413</v>
      </c>
      <c r="I10" s="305">
        <f>VLOOKUP(A10,'Front-loading'!A:AG,$I$6,FALSE)</f>
        <v>1092671</v>
      </c>
      <c r="J10" s="305">
        <f>VLOOKUP(A10,'Front-loading'!A:AG,$J$6,FALSE)</f>
        <v>1363621.7455807808</v>
      </c>
      <c r="K10" s="305">
        <f>VLOOKUP(A10,'Front-loading'!A:AG,$K$6,FALSE)</f>
        <v>69404292.653096154</v>
      </c>
      <c r="L10" s="305">
        <f>VLOOKUP(A10,'Front-loading'!A:AG,$L$6,FALSE)</f>
        <v>2558776.6883735298</v>
      </c>
      <c r="M10" s="305">
        <f>VLOOKUP(A10,'Front-loading'!A:AG,$M$6,FALSE)</f>
        <v>84408665.247482076</v>
      </c>
      <c r="N10" s="306">
        <f>IF(F10=0,0,J10/F10)</f>
        <v>200.32639130024691</v>
      </c>
      <c r="O10" s="306">
        <f t="shared" ref="O10:Q25" si="2">IF(G10=0,0,K10/G10)</f>
        <v>125.83796309784503</v>
      </c>
      <c r="P10" s="306">
        <f t="shared" si="2"/>
        <v>125.35034969742468</v>
      </c>
      <c r="Q10" s="306">
        <f t="shared" si="2"/>
        <v>77.249844873234551</v>
      </c>
      <c r="R10" s="409">
        <f>IFERROR(IF(F10&lt;50,(J10+L10)/(F10+H10),IF(H10&lt;50,(J10+L10)/(F10+H10),N10)),"")</f>
        <v>200.32639130024691</v>
      </c>
      <c r="S10" s="409">
        <f>IFERROR(IF(G10&lt;50,(K10+M10)/(G10+I10),IF(I10&lt;50,(K10+M10)/(G10+I10),O10)),"")</f>
        <v>125.83796309784503</v>
      </c>
      <c r="T10" s="409">
        <f>IFERROR(IF(F10&lt;50,(J10+L10)/(F10+H10),IF(H10&lt;50,(J10+L10)/(F10+H10),P10)),"")</f>
        <v>125.35034969742468</v>
      </c>
      <c r="U10" s="409">
        <f>IFERROR(IF(G10&lt;50,(K10+M10)/(G10+I10),IF(I10&lt;50,(K10+M10)/(G10+I10),Q10)),"")</f>
        <v>77.249844873234551</v>
      </c>
      <c r="V10" s="410">
        <f>IF(ISERROR(R10),S10,R10)</f>
        <v>200.32639130024691</v>
      </c>
      <c r="W10" s="410">
        <f>S10</f>
        <v>125.83796309784503</v>
      </c>
      <c r="X10" s="410">
        <f t="shared" ref="X10" si="3">IF(ISERROR(T10),U10,T10)</f>
        <v>125.35034969742468</v>
      </c>
      <c r="Y10" s="410">
        <f>U10</f>
        <v>77.249844873234551</v>
      </c>
      <c r="Z10" s="410">
        <f>IF(F10=0,V10,IF(V10&lt;X10,((V10*F10)+(H10*X10))/(F10+H10),V10))</f>
        <v>200.32639130024691</v>
      </c>
      <c r="AA10" s="410">
        <f>IF(G10=0,W10,IF(W10&lt;Y10,((W10*G10)+(I10*Y10))/(G10+I10),W10))</f>
        <v>125.83796309784503</v>
      </c>
      <c r="AB10" s="410">
        <f>IF(F10=0,X10,IF(V10&lt;X10,((V10*F10)+(H10*X10))/(F10+H10),X10))</f>
        <v>125.35034969742468</v>
      </c>
      <c r="AC10" s="410">
        <f>IF(G10=0,Y10,IF(W10&lt;Y10,((W10*G10)+(I10*Y10))/(G10+I10),Y10))</f>
        <v>77.249844873234551</v>
      </c>
      <c r="AD10" s="410">
        <f>IF(Z10&lt;AA10,SUMPRODUCT(Z10:AA10,F10:G10)/SUM(F10:G10),Z10)</f>
        <v>200.32639130024691</v>
      </c>
      <c r="AE10" s="410">
        <f>IF(Z10&lt;AA10,SUMPRODUCT(Z10:AA10,F10:G10)/SUM(F10:G10),AA10)</f>
        <v>125.83796309784503</v>
      </c>
      <c r="AF10" s="410">
        <f>IF(AB10&lt;AC10,SUMPRODUCT(AB10:AC10,H10:I10)/SUM(H10:I10),AB10)</f>
        <v>125.35034969742468</v>
      </c>
      <c r="AG10" s="410">
        <f>IF(AB10&lt;AC10,SUMPRODUCT(AB10:AC10,H10:I10)/SUM(H10:I10),AC10)</f>
        <v>77.249844873234551</v>
      </c>
      <c r="AH10" s="410">
        <f>IF(AD10&gt;2*AE10,(SUMPRODUCT(AD10:AE10,F10:G10)/(2*F10+G10))*2,AD10)</f>
        <v>200.32639130024691</v>
      </c>
      <c r="AI10" s="410">
        <f>IF(AD10&gt;2*AE10,(SUMPRODUCT(AD10:AE10,F10:G10)/(2*F10+G10)),AE10)</f>
        <v>125.83796309784503</v>
      </c>
      <c r="AJ10" s="410">
        <f>IF(AF10&gt;2*AG10,(SUMPRODUCT(AF10:AG10,H10:I10)/(2*H10+I10))*2,AF10)</f>
        <v>125.35034969742468</v>
      </c>
      <c r="AK10" s="410">
        <f>IF(AF10&gt;2*AG10,(SUMPRODUCT(AF10:AG10,H10:I10)/(2*H10+I10)),AG10)</f>
        <v>77.249844873234551</v>
      </c>
      <c r="AL10" s="410">
        <f>IF($C10="",AH10,IF(AH10&gt;AH11,SUMPRODUCT(AH10:AH11,F10:F11)/SUM(F10:F11),AH10))</f>
        <v>198.60552620525058</v>
      </c>
      <c r="AM10" s="410">
        <f>IF($C10="",AI10,IF(AI10&gt;AI11,SUMPRODUCT(AI10:AI11,G10:G11)/SUM(G10:G11),AI10))</f>
        <v>125.83796309784503</v>
      </c>
      <c r="AN10" s="410">
        <f>IF($C10="",AJ10,IF(AJ10&gt;AJ11,SUMPRODUCT(AJ10:AJ11,H10:H11)/SUM(H10:H11),AJ10))</f>
        <v>124.91138679693073</v>
      </c>
      <c r="AO10" s="410">
        <f>IF($C10="",AK10,IF(AK10&gt;AK11,SUMPRODUCT(AK10:AK11,I10:I11)/SUM(I10:I11),AK10))</f>
        <v>77.249844873234551</v>
      </c>
      <c r="AP10" s="410">
        <f>AL10</f>
        <v>198.60552620525058</v>
      </c>
      <c r="AQ10" s="410">
        <f t="shared" ref="AQ10:AS10" si="4">AM10</f>
        <v>125.83796309784503</v>
      </c>
      <c r="AR10" s="410">
        <f t="shared" si="4"/>
        <v>124.91138679693073</v>
      </c>
      <c r="AS10" s="410">
        <f t="shared" si="4"/>
        <v>77.249844873234551</v>
      </c>
      <c r="AT10" s="307" t="str">
        <f t="shared" ref="AT10:AT73" si="5">IF(AP10&lt;AR10,IFERROR(((AP10*F10)+(AR10*H10))/(F10+H10),AP10),"")</f>
        <v/>
      </c>
      <c r="AU10" s="307" t="str">
        <f>IF(AQ10&lt;AS10,((AQ10*G10)+(AS10*I10))/(G10+I10),"")</f>
        <v/>
      </c>
      <c r="AV10" s="307" t="str">
        <f>IF(AP10&lt;AQ10,"2FA","")</f>
        <v/>
      </c>
      <c r="AW10" s="307" t="str">
        <f>IF(AR10&lt;AS10,"2FU","")</f>
        <v/>
      </c>
      <c r="AX10" s="307" t="str">
        <f t="shared" ref="AX10:AX59" si="6">IF(AP10&gt;2*AQ10,2*AQ10,"")</f>
        <v/>
      </c>
      <c r="AY10" s="308" t="str">
        <f t="shared" ref="AY10:AY60" si="7">IF(AR10&gt;2*AS10,2*AS10,"")</f>
        <v/>
      </c>
      <c r="AZ10" s="308">
        <f t="shared" ref="AZ10:AZ59" si="8">IF(AX10="",AP10,AX10)</f>
        <v>198.60552620525058</v>
      </c>
      <c r="BA10" s="308">
        <f>AQ10</f>
        <v>125.83796309784503</v>
      </c>
      <c r="BB10" s="308">
        <f t="shared" ref="BB10:BB75" si="9">IF(AT10&lt;&gt;"",AT10,IF(AY10&lt;&gt;"",AY10,AR10))</f>
        <v>124.91138679693073</v>
      </c>
      <c r="BC10" s="308">
        <f t="shared" ref="BC10:BC42" si="10">IF(AU10="",AS10,AU10)</f>
        <v>77.249844873234551</v>
      </c>
      <c r="BD10" s="307" t="str">
        <f>IF(AZ10&lt;BB10,"1FA","")</f>
        <v/>
      </c>
      <c r="BE10" s="307" t="str">
        <f>IF(BA10&lt;BC10,"1FU","")</f>
        <v/>
      </c>
      <c r="BF10" s="307" t="str">
        <f>IF(AZ10&lt;BA10,"2FA","")</f>
        <v/>
      </c>
      <c r="BG10" s="307" t="str">
        <f>IF(BB10&lt;BC10,"2FU","")</f>
        <v/>
      </c>
      <c r="BH10" s="307" t="str">
        <f>IF(AZ10&gt;2*BA10,"3FA","")</f>
        <v/>
      </c>
      <c r="BI10" s="307" t="str">
        <f>IF(BB10&gt;2*BC10,"3FU","")</f>
        <v/>
      </c>
      <c r="BJ10" s="309">
        <f>SUMPRODUCT(AZ10:BC10,F10:I10)</f>
        <v>157714681.85614312</v>
      </c>
      <c r="BK10" s="335"/>
    </row>
    <row r="11" spans="1:63">
      <c r="A11" s="231">
        <v>211</v>
      </c>
      <c r="B11" s="231" t="str">
        <f>VLOOKUP(A11,'201314 RC list'!A:B,2,FALSE)</f>
        <v>Paediatric Urology</v>
      </c>
      <c r="C11" s="231" t="str">
        <f>$A$10&amp;"&amp;"&amp;$A$11</f>
        <v>101&amp;211</v>
      </c>
      <c r="D11" s="310" t="str">
        <f t="shared" ref="D11:D76" si="11">IF(ISERROR(FIND("Paed",B11,1)),"A","C")</f>
        <v>C</v>
      </c>
      <c r="E11" s="231">
        <f>IF(ISERROR(VLOOKUP(A11,Mandatory!A:A,1,FALSE)),0,1)</f>
        <v>1</v>
      </c>
      <c r="F11" s="222">
        <f>VLOOKUP(A11,'Front-loading'!A:AG,$F$6,FALSE)</f>
        <v>291</v>
      </c>
      <c r="G11" s="222">
        <f>VLOOKUP(A11,'Front-loading'!A:AG,$G$6,FALSE)</f>
        <v>17256</v>
      </c>
      <c r="H11" s="222">
        <f>VLOOKUP(A11,'Front-loading'!A:AG,$H$6,FALSE)</f>
        <v>630</v>
      </c>
      <c r="I11" s="222">
        <f>VLOOKUP(A11,'Front-loading'!A:AG,$I$6,FALSE)</f>
        <v>28440</v>
      </c>
      <c r="J11" s="222">
        <f>VLOOKUP(A11,'Front-loading'!A:AG,$J$6,FALSE)</f>
        <v>42100.001265101884</v>
      </c>
      <c r="K11" s="222">
        <f>VLOOKUP(A11,'Front-loading'!A:AG,$K$6,FALSE)</f>
        <v>2736493.3425646839</v>
      </c>
      <c r="L11" s="222">
        <f>VLOOKUP(A11,'Front-loading'!A:AG,$L$6,FALSE)</f>
        <v>69733.623994283596</v>
      </c>
      <c r="M11" s="222">
        <f>VLOOKUP(A11,'Front-loading'!A:AG,$M$6,FALSE)</f>
        <v>2886614.4949221313</v>
      </c>
      <c r="N11" s="223">
        <f t="shared" ref="N11:Q75" si="12">IF(F11=0,0,J11/F11)</f>
        <v>144.67354386632951</v>
      </c>
      <c r="O11" s="223">
        <f t="shared" si="2"/>
        <v>158.58213621723945</v>
      </c>
      <c r="P11" s="223">
        <f t="shared" si="2"/>
        <v>110.68829205441841</v>
      </c>
      <c r="Q11" s="223">
        <f t="shared" si="2"/>
        <v>101.49839996210025</v>
      </c>
      <c r="R11" s="409">
        <f t="shared" ref="R11:R74" si="13">IFERROR(IF(F11&lt;50,(J11+L11)/(F11+H11),IF(H11&lt;50,(J11+L11)/(F11+H11),N11)),"")</f>
        <v>144.67354386632951</v>
      </c>
      <c r="S11" s="409">
        <f t="shared" ref="S11:S74" si="14">IFERROR(IF(G11&lt;50,(K11+M11)/(G11+I11),IF(I11&lt;50,(K11+M11)/(G11+I11),O11)),"")</f>
        <v>158.58213621723945</v>
      </c>
      <c r="T11" s="409">
        <f t="shared" ref="T11:T74" si="15">IFERROR(IF(F11&lt;50,(J11+L11)/(F11+H11),IF(H11&lt;50,(J11+L11)/(F11+H11),P11)),"")</f>
        <v>110.68829205441841</v>
      </c>
      <c r="U11" s="409">
        <f t="shared" ref="U11:U74" si="16">IFERROR(IF(G11&lt;50,(K11+M11)/(G11+I11),IF(I11&lt;50,(K11+M11)/(G11+I11),Q11)),"")</f>
        <v>101.49839996210025</v>
      </c>
      <c r="V11" s="411">
        <f t="shared" ref="V11:V76" si="17">IF(ISERROR(R11),S11,R11)</f>
        <v>144.67354386632951</v>
      </c>
      <c r="W11" s="411">
        <f t="shared" ref="W11:W76" si="18">S11</f>
        <v>158.58213621723945</v>
      </c>
      <c r="X11" s="411">
        <f t="shared" ref="X11:X76" si="19">IF(ISERROR(T11),U11,T11)</f>
        <v>110.68829205441841</v>
      </c>
      <c r="Y11" s="411">
        <f t="shared" ref="Y11:Y76" si="20">U11</f>
        <v>101.49839996210025</v>
      </c>
      <c r="Z11" s="411">
        <f t="shared" ref="Z11:Z76" si="21">IF(F11=0,V11,IF(V11&lt;X11,((V11*F11)+(H11*X11))/(F11+H11),V11))</f>
        <v>144.67354386632951</v>
      </c>
      <c r="AA11" s="411">
        <f t="shared" ref="AA11:AA76" si="22">IF(G11=0,W11,IF(W11&lt;Y11,((W11*G11)+(I11*Y11))/(G11+I11),W11))</f>
        <v>158.58213621723945</v>
      </c>
      <c r="AB11" s="411">
        <f t="shared" ref="AB11:AB76" si="23">IF(F11=0,X11,IF(V11&lt;X11,((V11*F11)+(H11*X11))/(F11+H11),X11))</f>
        <v>110.68829205441841</v>
      </c>
      <c r="AC11" s="411">
        <f t="shared" ref="AC11:AC76" si="24">IF(G11=0,Y11,IF(W11&lt;Y11,((W11*G11)+(I11*Y11))/(G11+I11),Y11))</f>
        <v>101.49839996210025</v>
      </c>
      <c r="AD11" s="411">
        <f t="shared" ref="AD11:AD76" si="25">IF(Z11&lt;AA11,SUMPRODUCT(Z11:AA11,F11:G11)/SUM(F11:G11),Z11)</f>
        <v>158.35147568415033</v>
      </c>
      <c r="AE11" s="411">
        <f t="shared" ref="AE11:AE76" si="26">IF(Z11&lt;AA11,SUMPRODUCT(Z11:AA11,F11:G11)/SUM(F11:G11),AA11)</f>
        <v>158.35147568415033</v>
      </c>
      <c r="AF11" s="411">
        <f t="shared" ref="AF11:AF76" si="27">IF(AB11&lt;AC11,SUMPRODUCT(AB11:AC11,H11:I11)/SUM(H11:I11),AB11)</f>
        <v>110.68829205441841</v>
      </c>
      <c r="AG11" s="411">
        <f t="shared" ref="AG11:AG76" si="28">IF(AB11&lt;AC11,SUMPRODUCT(AB11:AC11,H11:I11)/SUM(H11:I11),AC11)</f>
        <v>101.49839996210025</v>
      </c>
      <c r="AH11" s="411">
        <f t="shared" ref="AH11:AH76" si="29">IF(AD11&gt;2*AE11,(SUMPRODUCT(AD11:AE11,F11:G11)/(2*F11+G11))*2,AD11)</f>
        <v>158.35147568415033</v>
      </c>
      <c r="AI11" s="411">
        <f t="shared" ref="AI11:AI76" si="30">IF(AD11&gt;2*AE11,(SUMPRODUCT(AD11:AE11,F11:G11)/(2*F11+G11)),AE11)</f>
        <v>158.35147568415033</v>
      </c>
      <c r="AJ11" s="411">
        <f t="shared" ref="AJ11:AJ76" si="31">IF(AF11&gt;2*AG11,(SUMPRODUCT(AF11:AG11,H11:I11)/(2*H11+I11))*2,AF11)</f>
        <v>110.68829205441841</v>
      </c>
      <c r="AK11" s="411">
        <f t="shared" ref="AK11:AK76" si="32">IF(AF11&gt;2*AG11,(SUMPRODUCT(AF11:AG11,H11:I11)/(2*H11+I11)),AG11)</f>
        <v>101.49839996210025</v>
      </c>
      <c r="AL11" s="411">
        <f>IF($C11="",AH11,IF(AH10&gt;AH11,SUMPRODUCT(AH10:AH11,F10:F11)/SUM(F10:F11),AH11))</f>
        <v>198.60552620525058</v>
      </c>
      <c r="AM11" s="411">
        <f>IF($C11="",AI11,IF(AI10&gt;AI11,SUMPRODUCT(AI10:AI11,G10:G11)/SUM(G10:G11),AI11))</f>
        <v>158.35147568415033</v>
      </c>
      <c r="AN11" s="411">
        <f>IF($C11="",AJ11,IF(AJ10&gt;AJ11,SUMPRODUCT(AJ10:AJ11,H10:H11)/SUM(H10:H11),AJ11))</f>
        <v>124.91138679693073</v>
      </c>
      <c r="AO11" s="411">
        <f>IF($C11="",AK11,IF(AK10&gt;AK11,SUMPRODUCT(AK10:AK11,I10:I11)/SUM(I10:I11),AK11))</f>
        <v>101.49839996210025</v>
      </c>
      <c r="AP11" s="411">
        <f t="shared" ref="AP11:AP76" si="33">AL11</f>
        <v>198.60552620525058</v>
      </c>
      <c r="AQ11" s="411">
        <f t="shared" ref="AQ11:AQ76" si="34">AM11</f>
        <v>158.35147568415033</v>
      </c>
      <c r="AR11" s="411">
        <f t="shared" ref="AR11:AR76" si="35">AN11</f>
        <v>124.91138679693073</v>
      </c>
      <c r="AS11" s="411">
        <f t="shared" ref="AS11:AS76" si="36">AO11</f>
        <v>101.49839996210025</v>
      </c>
      <c r="AT11" s="227" t="str">
        <f t="shared" si="5"/>
        <v/>
      </c>
      <c r="AU11" s="227" t="str">
        <f t="shared" ref="AU11:AU76" si="37">IF(AQ11&lt;AS11,((AQ11*G11)+(AS11*I11))/(G11+I11),"")</f>
        <v/>
      </c>
      <c r="AV11" s="227" t="str">
        <f t="shared" ref="AV11:AV76" si="38">IF(AP11&lt;AQ11,"2FA","")</f>
        <v/>
      </c>
      <c r="AW11" s="227" t="str">
        <f t="shared" ref="AW11:AW76" si="39">IF(AR11&lt;AS11,"2FU","")</f>
        <v/>
      </c>
      <c r="AX11" s="227" t="str">
        <f t="shared" si="6"/>
        <v/>
      </c>
      <c r="AY11" s="311" t="str">
        <f t="shared" si="7"/>
        <v/>
      </c>
      <c r="AZ11" s="311">
        <f t="shared" si="8"/>
        <v>198.60552620525058</v>
      </c>
      <c r="BA11" s="311">
        <f t="shared" ref="BA11:BA76" si="40">AQ11</f>
        <v>158.35147568415033</v>
      </c>
      <c r="BB11" s="311">
        <f t="shared" si="9"/>
        <v>124.91138679693073</v>
      </c>
      <c r="BC11" s="311">
        <f t="shared" si="10"/>
        <v>101.49839996210025</v>
      </c>
      <c r="BD11" s="227" t="str">
        <f t="shared" ref="BD11:BD76" si="41">IF(AZ11&lt;BB11,"1FA","")</f>
        <v/>
      </c>
      <c r="BE11" s="227" t="str">
        <f t="shared" ref="BE11:BE76" si="42">IF(BA11&lt;BC11,"1FU","")</f>
        <v/>
      </c>
      <c r="BF11" s="227" t="str">
        <f t="shared" ref="BF11:BF76" si="43">IF(AZ11&lt;BA11,"2FA","")</f>
        <v/>
      </c>
      <c r="BG11" s="227" t="str">
        <f t="shared" ref="BG11:BG76" si="44">IF(BB11&lt;BC11,"2FU","")</f>
        <v/>
      </c>
      <c r="BH11" s="227" t="str">
        <f t="shared" ref="BH11:BH76" si="45">IF(AZ11&gt;2*BA11,"3FA","")</f>
        <v/>
      </c>
      <c r="BI11" s="227" t="str">
        <f t="shared" ref="BI11:BI76" si="46">IF(BB11&gt;2*BC11,"3FU","")</f>
        <v/>
      </c>
      <c r="BJ11" s="226">
        <f t="shared" ref="BJ11:BJ76" si="47">SUMPRODUCT(AZ11:BC11,F11:I11)</f>
        <v>5755615.9411356226</v>
      </c>
      <c r="BK11" s="335"/>
    </row>
    <row r="12" spans="1:63">
      <c r="A12" s="231">
        <v>102</v>
      </c>
      <c r="B12" s="231" t="str">
        <f>VLOOKUP(A12,'201314 RC list'!A:B,2,FALSE)</f>
        <v>Transplantation Surgery</v>
      </c>
      <c r="C12" s="231" t="str">
        <f>$A$12&amp;"&amp;"&amp;$A$13</f>
        <v>102&amp;212</v>
      </c>
      <c r="D12" s="310" t="str">
        <f t="shared" si="11"/>
        <v>A</v>
      </c>
      <c r="E12" s="231">
        <f>IF(ISERROR(VLOOKUP(A12,Mandatory!A:A,1,FALSE)),0,1)</f>
        <v>0</v>
      </c>
      <c r="F12" s="222">
        <f>VLOOKUP(A12,'Front-loading'!A:AG,$F$6,FALSE)</f>
        <v>607</v>
      </c>
      <c r="G12" s="222">
        <f>VLOOKUP(A12,'Front-loading'!A:AG,$G$6,FALSE)</f>
        <v>5136</v>
      </c>
      <c r="H12" s="222">
        <f>VLOOKUP(A12,'Front-loading'!A:AG,$H$6,FALSE)</f>
        <v>6683</v>
      </c>
      <c r="I12" s="222">
        <f>VLOOKUP(A12,'Front-loading'!A:AG,$I$6,FALSE)</f>
        <v>66938</v>
      </c>
      <c r="J12" s="222">
        <f>VLOOKUP(A12,'Front-loading'!A:AG,$J$6,FALSE)</f>
        <v>300691.13768842048</v>
      </c>
      <c r="K12" s="222">
        <f>VLOOKUP(A12,'Front-loading'!A:AG,$K$6,FALSE)</f>
        <v>2173190.4073849916</v>
      </c>
      <c r="L12" s="222">
        <f>VLOOKUP(A12,'Front-loading'!A:AG,$L$6,FALSE)</f>
        <v>1797877.0869506055</v>
      </c>
      <c r="M12" s="222">
        <f>VLOOKUP(A12,'Front-loading'!A:AG,$M$6,FALSE)</f>
        <v>13982835.338343695</v>
      </c>
      <c r="N12" s="223">
        <f t="shared" si="12"/>
        <v>495.37254973380641</v>
      </c>
      <c r="O12" s="223">
        <f t="shared" si="2"/>
        <v>423.12897340050461</v>
      </c>
      <c r="P12" s="223">
        <f t="shared" si="2"/>
        <v>269.02245802044075</v>
      </c>
      <c r="Q12" s="223">
        <f t="shared" si="2"/>
        <v>208.89233825844354</v>
      </c>
      <c r="R12" s="409">
        <f t="shared" si="13"/>
        <v>495.37254973380641</v>
      </c>
      <c r="S12" s="409">
        <f t="shared" si="14"/>
        <v>423.12897340050461</v>
      </c>
      <c r="T12" s="409">
        <f t="shared" si="15"/>
        <v>269.02245802044075</v>
      </c>
      <c r="U12" s="409">
        <f t="shared" si="16"/>
        <v>208.89233825844354</v>
      </c>
      <c r="V12" s="411">
        <f t="shared" si="17"/>
        <v>495.37254973380641</v>
      </c>
      <c r="W12" s="411">
        <f t="shared" si="18"/>
        <v>423.12897340050461</v>
      </c>
      <c r="X12" s="411">
        <f t="shared" si="19"/>
        <v>269.02245802044075</v>
      </c>
      <c r="Y12" s="411">
        <f t="shared" si="20"/>
        <v>208.89233825844354</v>
      </c>
      <c r="Z12" s="411">
        <f t="shared" si="21"/>
        <v>495.37254973380641</v>
      </c>
      <c r="AA12" s="411">
        <f t="shared" si="22"/>
        <v>423.12897340050461</v>
      </c>
      <c r="AB12" s="411">
        <f t="shared" si="23"/>
        <v>269.02245802044075</v>
      </c>
      <c r="AC12" s="411">
        <f t="shared" si="24"/>
        <v>208.89233825844354</v>
      </c>
      <c r="AD12" s="411">
        <f t="shared" si="25"/>
        <v>495.37254973380641</v>
      </c>
      <c r="AE12" s="411">
        <f t="shared" si="26"/>
        <v>423.12897340050461</v>
      </c>
      <c r="AF12" s="411">
        <f t="shared" si="27"/>
        <v>269.02245802044075</v>
      </c>
      <c r="AG12" s="411">
        <f t="shared" si="28"/>
        <v>208.89233825844354</v>
      </c>
      <c r="AH12" s="411">
        <f t="shared" si="29"/>
        <v>495.37254973380641</v>
      </c>
      <c r="AI12" s="411">
        <f t="shared" si="30"/>
        <v>423.12897340050461</v>
      </c>
      <c r="AJ12" s="411">
        <f t="shared" si="31"/>
        <v>269.02245802044075</v>
      </c>
      <c r="AK12" s="411">
        <f t="shared" si="32"/>
        <v>208.89233825844354</v>
      </c>
      <c r="AL12" s="411">
        <f>IF($C12="",AH12,IF(AH12&gt;AH13,SUMPRODUCT(AH12:AH13,F12:F13)/SUM(F12:F13),AH12))</f>
        <v>490.74304221392032</v>
      </c>
      <c r="AM12" s="411">
        <f>IF($C12="",AI12,IF(AI12&gt;AI13,SUMPRODUCT(AI12:AI13,G12:G13)/SUM(G12:G13),AI12))</f>
        <v>396.44387693542637</v>
      </c>
      <c r="AN12" s="411">
        <f>IF($C12="",AJ12,IF(AJ12&gt;AJ13,SUMPRODUCT(AJ12:AJ13,H12:H13)/SUM(H12:H13),AJ12))</f>
        <v>267.86552734833691</v>
      </c>
      <c r="AO12" s="411">
        <f>IF($C12="",AK12,IF(AK12&gt;AK13,SUMPRODUCT(AK12:AK13,I12:I13)/SUM(I12:I13),AK12))</f>
        <v>208.55005386947127</v>
      </c>
      <c r="AP12" s="411">
        <f t="shared" si="33"/>
        <v>490.74304221392032</v>
      </c>
      <c r="AQ12" s="411">
        <f t="shared" si="34"/>
        <v>396.44387693542637</v>
      </c>
      <c r="AR12" s="411">
        <f t="shared" si="35"/>
        <v>267.86552734833691</v>
      </c>
      <c r="AS12" s="411">
        <f t="shared" si="36"/>
        <v>208.55005386947127</v>
      </c>
      <c r="AT12" s="227" t="str">
        <f t="shared" si="5"/>
        <v/>
      </c>
      <c r="AU12" s="227" t="str">
        <f t="shared" si="37"/>
        <v/>
      </c>
      <c r="AV12" s="227" t="str">
        <f t="shared" si="38"/>
        <v/>
      </c>
      <c r="AW12" s="227" t="str">
        <f t="shared" si="39"/>
        <v/>
      </c>
      <c r="AX12" s="227" t="str">
        <f t="shared" si="6"/>
        <v/>
      </c>
      <c r="AY12" s="311" t="str">
        <f t="shared" si="7"/>
        <v/>
      </c>
      <c r="AZ12" s="311">
        <f t="shared" si="8"/>
        <v>490.74304221392032</v>
      </c>
      <c r="BA12" s="311">
        <f t="shared" si="40"/>
        <v>396.44387693542637</v>
      </c>
      <c r="BB12" s="311">
        <f t="shared" si="9"/>
        <v>267.86552734833691</v>
      </c>
      <c r="BC12" s="311">
        <f t="shared" si="10"/>
        <v>208.55005386947127</v>
      </c>
      <c r="BD12" s="227" t="str">
        <f t="shared" si="41"/>
        <v/>
      </c>
      <c r="BE12" s="227" t="str">
        <f t="shared" si="42"/>
        <v/>
      </c>
      <c r="BF12" s="227" t="str">
        <f t="shared" si="43"/>
        <v/>
      </c>
      <c r="BG12" s="227" t="str">
        <f t="shared" si="44"/>
        <v/>
      </c>
      <c r="BH12" s="227" t="str">
        <f t="shared" si="45"/>
        <v/>
      </c>
      <c r="BI12" s="227" t="str">
        <f t="shared" si="46"/>
        <v/>
      </c>
      <c r="BJ12" s="226">
        <f t="shared" si="47"/>
        <v>18084085.603747804</v>
      </c>
      <c r="BK12" s="335"/>
    </row>
    <row r="13" spans="1:63">
      <c r="A13" s="231">
        <v>212</v>
      </c>
      <c r="B13" s="231" t="str">
        <f>VLOOKUP(A13,'201314 RC list'!A:B,2,FALSE)</f>
        <v>Paediatric Transplantation Surgery</v>
      </c>
      <c r="C13" s="231" t="str">
        <f>$A$12&amp;"&amp;"&amp;$A$13</f>
        <v>102&amp;212</v>
      </c>
      <c r="D13" s="310" t="str">
        <f t="shared" si="11"/>
        <v>C</v>
      </c>
      <c r="E13" s="231">
        <f>IF(ISERROR(VLOOKUP(A13,Mandatory!A:A,1,FALSE)),0,1)</f>
        <v>0</v>
      </c>
      <c r="F13" s="222">
        <f>VLOOKUP(A13,'Front-loading'!A:AG,$F$6,FALSE)</f>
        <v>10</v>
      </c>
      <c r="G13" s="222">
        <f>VLOOKUP(A13,'Front-loading'!A:AG,$G$6,FALSE)</f>
        <v>649</v>
      </c>
      <c r="H13" s="222">
        <f>VLOOKUP(A13,'Front-loading'!A:AG,$H$6,FALSE)</f>
        <v>133</v>
      </c>
      <c r="I13" s="222">
        <f>VLOOKUP(A13,'Front-loading'!A:AG,$I$6,FALSE)</f>
        <v>984</v>
      </c>
      <c r="J13" s="222">
        <f>VLOOKUP(A13,'Front-loading'!A:AG,$J$6,FALSE)</f>
        <v>4608.3605181817347</v>
      </c>
      <c r="K13" s="222">
        <f>VLOOKUP(A13,'Front-loading'!A:AG,$K$6,FALSE)</f>
        <v>63038.95678915926</v>
      </c>
      <c r="L13" s="222">
        <f>VLOOKUP(A13,'Front-loading'!A:AG,$L$6,FALSE)</f>
        <v>25383.30629504544</v>
      </c>
      <c r="M13" s="222">
        <f>VLOOKUP(A13,'Front-loading'!A:AG,$M$6,FALSE)</f>
        <v>239499.88447582212</v>
      </c>
      <c r="N13" s="223">
        <f t="shared" si="12"/>
        <v>460.83605181817347</v>
      </c>
      <c r="O13" s="223">
        <f t="shared" si="2"/>
        <v>97.13244497559208</v>
      </c>
      <c r="P13" s="223">
        <f t="shared" si="2"/>
        <v>190.85192703041685</v>
      </c>
      <c r="Q13" s="223">
        <f t="shared" si="2"/>
        <v>243.39419154046965</v>
      </c>
      <c r="R13" s="409">
        <f t="shared" si="13"/>
        <v>209.73193575683339</v>
      </c>
      <c r="S13" s="409">
        <f t="shared" si="14"/>
        <v>97.13244497559208</v>
      </c>
      <c r="T13" s="409">
        <f t="shared" si="15"/>
        <v>209.73193575683339</v>
      </c>
      <c r="U13" s="409">
        <f t="shared" si="16"/>
        <v>243.39419154046965</v>
      </c>
      <c r="V13" s="411">
        <f t="shared" si="17"/>
        <v>209.73193575683339</v>
      </c>
      <c r="W13" s="411">
        <f t="shared" si="18"/>
        <v>97.13244497559208</v>
      </c>
      <c r="X13" s="411">
        <f t="shared" si="19"/>
        <v>209.73193575683339</v>
      </c>
      <c r="Y13" s="411">
        <f t="shared" si="20"/>
        <v>243.39419154046965</v>
      </c>
      <c r="Z13" s="411">
        <f t="shared" si="21"/>
        <v>209.73193575683339</v>
      </c>
      <c r="AA13" s="411">
        <f t="shared" si="22"/>
        <v>185.26567131964566</v>
      </c>
      <c r="AB13" s="411">
        <f t="shared" si="23"/>
        <v>209.73193575683339</v>
      </c>
      <c r="AC13" s="411">
        <f t="shared" si="24"/>
        <v>185.26567131964566</v>
      </c>
      <c r="AD13" s="411">
        <f t="shared" si="25"/>
        <v>209.73193575683339</v>
      </c>
      <c r="AE13" s="411">
        <f t="shared" si="26"/>
        <v>185.26567131964566</v>
      </c>
      <c r="AF13" s="411">
        <f t="shared" si="27"/>
        <v>209.73193575683339</v>
      </c>
      <c r="AG13" s="411">
        <f t="shared" si="28"/>
        <v>185.26567131964566</v>
      </c>
      <c r="AH13" s="411">
        <f t="shared" si="29"/>
        <v>209.73193575683339</v>
      </c>
      <c r="AI13" s="411">
        <f t="shared" si="30"/>
        <v>185.26567131964566</v>
      </c>
      <c r="AJ13" s="411">
        <f t="shared" si="31"/>
        <v>209.73193575683339</v>
      </c>
      <c r="AK13" s="411">
        <f t="shared" si="32"/>
        <v>185.26567131964566</v>
      </c>
      <c r="AL13" s="411">
        <f>IF($C13="",AH13,IF(AH12&gt;AH13,SUMPRODUCT(AH12:AH13,F12:F13)/SUM(F12:F13),AH13))</f>
        <v>490.74304221392032</v>
      </c>
      <c r="AM13" s="411">
        <f>IF($C13="",AI13,IF(AI12&gt;AI13,SUMPRODUCT(AI12:AI13,G12:G13)/SUM(G12:G13),AI13))</f>
        <v>396.44387693542637</v>
      </c>
      <c r="AN13" s="411">
        <f>IF($C13="",AJ13,IF(AJ12&gt;AJ13,SUMPRODUCT(AJ12:AJ13,H12:H13)/SUM(H12:H13),AJ13))</f>
        <v>267.86552734833691</v>
      </c>
      <c r="AO13" s="411">
        <f>IF($C13="",AK13,IF(AK12&gt;AK13,SUMPRODUCT(AK12:AK13,I12:I13)/SUM(I12:I13),AK13))</f>
        <v>208.55005386947127</v>
      </c>
      <c r="AP13" s="411">
        <f t="shared" si="33"/>
        <v>490.74304221392032</v>
      </c>
      <c r="AQ13" s="411">
        <f t="shared" si="34"/>
        <v>396.44387693542637</v>
      </c>
      <c r="AR13" s="411">
        <f t="shared" si="35"/>
        <v>267.86552734833691</v>
      </c>
      <c r="AS13" s="411">
        <f t="shared" si="36"/>
        <v>208.55005386947127</v>
      </c>
      <c r="AT13" s="227" t="str">
        <f t="shared" si="5"/>
        <v/>
      </c>
      <c r="AU13" s="227" t="str">
        <f t="shared" si="37"/>
        <v/>
      </c>
      <c r="AV13" s="227" t="str">
        <f t="shared" si="38"/>
        <v/>
      </c>
      <c r="AW13" s="227" t="str">
        <f t="shared" si="39"/>
        <v/>
      </c>
      <c r="AX13" s="227" t="str">
        <f t="shared" si="6"/>
        <v/>
      </c>
      <c r="AY13" s="311" t="str">
        <f t="shared" si="7"/>
        <v/>
      </c>
      <c r="AZ13" s="311">
        <f t="shared" si="8"/>
        <v>490.74304221392032</v>
      </c>
      <c r="BA13" s="311">
        <f t="shared" si="40"/>
        <v>396.44387693542637</v>
      </c>
      <c r="BB13" s="311">
        <f t="shared" si="9"/>
        <v>267.86552734833691</v>
      </c>
      <c r="BC13" s="311">
        <f t="shared" si="10"/>
        <v>208.55005386947127</v>
      </c>
      <c r="BD13" s="227" t="str">
        <f t="shared" si="41"/>
        <v/>
      </c>
      <c r="BE13" s="227" t="str">
        <f t="shared" si="42"/>
        <v/>
      </c>
      <c r="BF13" s="227" t="str">
        <f t="shared" si="43"/>
        <v/>
      </c>
      <c r="BG13" s="227" t="str">
        <f t="shared" si="44"/>
        <v/>
      </c>
      <c r="BH13" s="227" t="str">
        <f t="shared" si="45"/>
        <v/>
      </c>
      <c r="BI13" s="227" t="str">
        <f t="shared" si="46"/>
        <v/>
      </c>
      <c r="BJ13" s="226">
        <f t="shared" si="47"/>
        <v>503038.87469811947</v>
      </c>
      <c r="BK13" s="335"/>
    </row>
    <row r="14" spans="1:63">
      <c r="A14" s="231">
        <v>106</v>
      </c>
      <c r="B14" s="231" t="str">
        <f>VLOOKUP(A14,'201314 RC list'!A:B,2,FALSE)</f>
        <v>Upper Gastrointestinal Surgery</v>
      </c>
      <c r="C14" s="231" t="str">
        <f>$A$14&amp;"&amp;"&amp;$A$15</f>
        <v>106&amp;213</v>
      </c>
      <c r="D14" s="310" t="str">
        <f t="shared" si="11"/>
        <v>A</v>
      </c>
      <c r="E14" s="231">
        <f>IF(ISERROR(VLOOKUP(A14,Mandatory!A:A,1,FALSE)),0,1)</f>
        <v>1</v>
      </c>
      <c r="F14" s="222">
        <f>VLOOKUP(A14,'Front-loading'!A:AG,$F$6,FALSE)</f>
        <v>869</v>
      </c>
      <c r="G14" s="222">
        <f>VLOOKUP(A14,'Front-loading'!A:AG,$G$6,FALSE)</f>
        <v>56998</v>
      </c>
      <c r="H14" s="222">
        <f>VLOOKUP(A14,'Front-loading'!A:AG,$H$6,FALSE)</f>
        <v>2028</v>
      </c>
      <c r="I14" s="222">
        <f>VLOOKUP(A14,'Front-loading'!A:AG,$I$6,FALSE)</f>
        <v>71619</v>
      </c>
      <c r="J14" s="222">
        <f>VLOOKUP(A14,'Front-loading'!A:AG,$J$6,FALSE)</f>
        <v>216878.74923250722</v>
      </c>
      <c r="K14" s="222">
        <f>VLOOKUP(A14,'Front-loading'!A:AG,$K$6,FALSE)</f>
        <v>8634636.4089553785</v>
      </c>
      <c r="L14" s="222">
        <f>VLOOKUP(A14,'Front-loading'!A:AG,$L$6,FALSE)</f>
        <v>283497.9627939621</v>
      </c>
      <c r="M14" s="222">
        <f>VLOOKUP(A14,'Front-loading'!A:AG,$M$6,FALSE)</f>
        <v>7082646.7082326924</v>
      </c>
      <c r="N14" s="223">
        <f t="shared" si="12"/>
        <v>249.57278392693581</v>
      </c>
      <c r="O14" s="223">
        <f t="shared" si="2"/>
        <v>151.4901647242952</v>
      </c>
      <c r="P14" s="223">
        <f t="shared" si="2"/>
        <v>139.79189486881759</v>
      </c>
      <c r="Q14" s="223">
        <f t="shared" si="2"/>
        <v>98.893404099927281</v>
      </c>
      <c r="R14" s="409">
        <f t="shared" si="13"/>
        <v>249.57278392693581</v>
      </c>
      <c r="S14" s="409">
        <f t="shared" si="14"/>
        <v>151.4901647242952</v>
      </c>
      <c r="T14" s="409">
        <f t="shared" si="15"/>
        <v>139.79189486881759</v>
      </c>
      <c r="U14" s="409">
        <f t="shared" si="16"/>
        <v>98.893404099927281</v>
      </c>
      <c r="V14" s="411">
        <f t="shared" si="17"/>
        <v>249.57278392693581</v>
      </c>
      <c r="W14" s="411">
        <f t="shared" si="18"/>
        <v>151.4901647242952</v>
      </c>
      <c r="X14" s="411">
        <f t="shared" si="19"/>
        <v>139.79189486881759</v>
      </c>
      <c r="Y14" s="411">
        <f t="shared" si="20"/>
        <v>98.893404099927281</v>
      </c>
      <c r="Z14" s="411">
        <f t="shared" si="21"/>
        <v>249.57278392693581</v>
      </c>
      <c r="AA14" s="411">
        <f t="shared" si="22"/>
        <v>151.4901647242952</v>
      </c>
      <c r="AB14" s="411">
        <f t="shared" si="23"/>
        <v>139.79189486881759</v>
      </c>
      <c r="AC14" s="411">
        <f t="shared" si="24"/>
        <v>98.893404099927281</v>
      </c>
      <c r="AD14" s="411">
        <f t="shared" si="25"/>
        <v>249.57278392693581</v>
      </c>
      <c r="AE14" s="411">
        <f t="shared" si="26"/>
        <v>151.4901647242952</v>
      </c>
      <c r="AF14" s="411">
        <f t="shared" si="27"/>
        <v>139.79189486881759</v>
      </c>
      <c r="AG14" s="411">
        <f t="shared" si="28"/>
        <v>98.893404099927281</v>
      </c>
      <c r="AH14" s="411">
        <f t="shared" si="29"/>
        <v>249.57278392693581</v>
      </c>
      <c r="AI14" s="411">
        <f t="shared" si="30"/>
        <v>151.4901647242952</v>
      </c>
      <c r="AJ14" s="411">
        <f t="shared" si="31"/>
        <v>139.79189486881759</v>
      </c>
      <c r="AK14" s="411">
        <f t="shared" si="32"/>
        <v>98.893404099927281</v>
      </c>
      <c r="AL14" s="411">
        <f>IF($C14="",AH14,IF(AH14&gt;AH15,SUMPRODUCT(AH14:AH15,F14:F15)/SUM(F14:F15),AH14))</f>
        <v>249.57278392693581</v>
      </c>
      <c r="AM14" s="411">
        <f>IF($C14="",AI14,IF(AI14&gt;AI15,SUMPRODUCT(AI14:AI15,G14:G15)/SUM(G14:G15),AI14))</f>
        <v>151.4901647242952</v>
      </c>
      <c r="AN14" s="411">
        <f>IF($C14="",AJ14,IF(AJ14&gt;AJ15,SUMPRODUCT(AJ14:AJ15,H14:H15)/SUM(H14:H15),AJ14))</f>
        <v>139.79189486881759</v>
      </c>
      <c r="AO14" s="411">
        <f>IF($C14="",AK14,IF(AK14&gt;AK15,SUMPRODUCT(AK14:AK15,I14:I15)/SUM(I14:I15),AK14))</f>
        <v>98.893404099927281</v>
      </c>
      <c r="AP14" s="411">
        <f t="shared" si="33"/>
        <v>249.57278392693581</v>
      </c>
      <c r="AQ14" s="411">
        <f t="shared" si="34"/>
        <v>151.4901647242952</v>
      </c>
      <c r="AR14" s="411">
        <f t="shared" si="35"/>
        <v>139.79189486881759</v>
      </c>
      <c r="AS14" s="411">
        <f t="shared" si="36"/>
        <v>98.893404099927281</v>
      </c>
      <c r="AT14" s="227" t="str">
        <f t="shared" si="5"/>
        <v/>
      </c>
      <c r="AU14" s="227" t="str">
        <f t="shared" si="37"/>
        <v/>
      </c>
      <c r="AV14" s="227" t="str">
        <f t="shared" si="38"/>
        <v/>
      </c>
      <c r="AW14" s="227" t="str">
        <f t="shared" si="39"/>
        <v/>
      </c>
      <c r="AX14" s="227" t="str">
        <f t="shared" si="6"/>
        <v/>
      </c>
      <c r="AY14" s="311" t="str">
        <f t="shared" si="7"/>
        <v/>
      </c>
      <c r="AZ14" s="311">
        <f t="shared" si="8"/>
        <v>249.57278392693581</v>
      </c>
      <c r="BA14" s="311">
        <f t="shared" si="40"/>
        <v>151.4901647242952</v>
      </c>
      <c r="BB14" s="311">
        <f t="shared" si="9"/>
        <v>139.79189486881759</v>
      </c>
      <c r="BC14" s="311">
        <f t="shared" si="10"/>
        <v>98.893404099927281</v>
      </c>
      <c r="BD14" s="227" t="str">
        <f t="shared" si="41"/>
        <v/>
      </c>
      <c r="BE14" s="227" t="str">
        <f t="shared" si="42"/>
        <v/>
      </c>
      <c r="BF14" s="227" t="str">
        <f t="shared" si="43"/>
        <v/>
      </c>
      <c r="BG14" s="227" t="str">
        <f t="shared" si="44"/>
        <v/>
      </c>
      <c r="BH14" s="227" t="str">
        <f t="shared" si="45"/>
        <v/>
      </c>
      <c r="BI14" s="227" t="str">
        <f t="shared" si="46"/>
        <v/>
      </c>
      <c r="BJ14" s="226">
        <f t="shared" si="47"/>
        <v>16217659.829214538</v>
      </c>
      <c r="BK14" s="335"/>
    </row>
    <row r="15" spans="1:63">
      <c r="A15" s="231">
        <v>213</v>
      </c>
      <c r="B15" s="231" t="str">
        <f>VLOOKUP(A15,'201314 RC list'!A:B,2,FALSE)</f>
        <v>Paediatric Gastrointestinal Surgery</v>
      </c>
      <c r="C15" s="231" t="str">
        <f>$A$14&amp;"&amp;"&amp;$A$15</f>
        <v>106&amp;213</v>
      </c>
      <c r="D15" s="310" t="str">
        <f t="shared" si="11"/>
        <v>C</v>
      </c>
      <c r="E15" s="231">
        <f>IF(ISERROR(VLOOKUP(A15,Mandatory!A:A,1,FALSE)),0,1)</f>
        <v>0</v>
      </c>
      <c r="F15" s="222">
        <f>VLOOKUP(A15,'Front-loading'!A:AG,$F$6,FALSE)</f>
        <v>0</v>
      </c>
      <c r="G15" s="222">
        <f>VLOOKUP(A15,'Front-loading'!A:AG,$G$6,FALSE)</f>
        <v>25</v>
      </c>
      <c r="H15" s="222">
        <f>VLOOKUP(A15,'Front-loading'!A:AG,$H$6,FALSE)</f>
        <v>0</v>
      </c>
      <c r="I15" s="222">
        <f>VLOOKUP(A15,'Front-loading'!A:AG,$I$6,FALSE)</f>
        <v>26</v>
      </c>
      <c r="J15" s="222">
        <f>VLOOKUP(A15,'Front-loading'!A:AG,$J$6,FALSE)</f>
        <v>0</v>
      </c>
      <c r="K15" s="222">
        <f>VLOOKUP(A15,'Front-loading'!A:AG,$K$6,FALSE)</f>
        <v>9699.9037127088795</v>
      </c>
      <c r="L15" s="222">
        <f>VLOOKUP(A15,'Front-loading'!A:AG,$L$6,FALSE)</f>
        <v>0</v>
      </c>
      <c r="M15" s="222">
        <f>VLOOKUP(A15,'Front-loading'!A:AG,$M$6,FALSE)</f>
        <v>5248.3848793974812</v>
      </c>
      <c r="N15" s="223">
        <f t="shared" si="12"/>
        <v>0</v>
      </c>
      <c r="O15" s="223">
        <f t="shared" si="2"/>
        <v>387.99614850835519</v>
      </c>
      <c r="P15" s="223">
        <f t="shared" si="2"/>
        <v>0</v>
      </c>
      <c r="Q15" s="223">
        <f t="shared" si="2"/>
        <v>201.86095689990313</v>
      </c>
      <c r="R15" s="409" t="str">
        <f t="shared" si="13"/>
        <v/>
      </c>
      <c r="S15" s="409">
        <f t="shared" si="14"/>
        <v>293.10369788443842</v>
      </c>
      <c r="T15" s="409" t="str">
        <f t="shared" si="15"/>
        <v/>
      </c>
      <c r="U15" s="409">
        <f t="shared" si="16"/>
        <v>293.10369788443842</v>
      </c>
      <c r="V15" s="411" t="str">
        <f t="shared" si="17"/>
        <v/>
      </c>
      <c r="W15" s="411">
        <f t="shared" si="18"/>
        <v>293.10369788443842</v>
      </c>
      <c r="X15" s="411" t="str">
        <f t="shared" si="19"/>
        <v/>
      </c>
      <c r="Y15" s="411">
        <f t="shared" si="20"/>
        <v>293.10369788443842</v>
      </c>
      <c r="Z15" s="411" t="str">
        <f t="shared" si="21"/>
        <v/>
      </c>
      <c r="AA15" s="411">
        <f t="shared" si="22"/>
        <v>293.10369788443842</v>
      </c>
      <c r="AB15" s="411" t="str">
        <f t="shared" si="23"/>
        <v/>
      </c>
      <c r="AC15" s="411">
        <f t="shared" si="24"/>
        <v>293.10369788443842</v>
      </c>
      <c r="AD15" s="411" t="str">
        <f t="shared" si="25"/>
        <v/>
      </c>
      <c r="AE15" s="411">
        <f t="shared" si="26"/>
        <v>293.10369788443842</v>
      </c>
      <c r="AF15" s="411" t="str">
        <f t="shared" si="27"/>
        <v/>
      </c>
      <c r="AG15" s="411">
        <f t="shared" si="28"/>
        <v>293.10369788443842</v>
      </c>
      <c r="AH15" s="411">
        <f t="shared" si="29"/>
        <v>586.20739576887684</v>
      </c>
      <c r="AI15" s="411">
        <f t="shared" si="30"/>
        <v>293.10369788443842</v>
      </c>
      <c r="AJ15" s="411">
        <f t="shared" si="31"/>
        <v>586.20739576887684</v>
      </c>
      <c r="AK15" s="411">
        <f t="shared" si="32"/>
        <v>293.10369788443842</v>
      </c>
      <c r="AL15" s="411">
        <f>IF($C15="",AH15,IF(AH14&gt;AH15,SUMPRODUCT(AH14:AH15,F14:F15)/SUM(F14:F15),AH15))</f>
        <v>586.20739576887684</v>
      </c>
      <c r="AM15" s="411">
        <f>IF($C15="",AI15,IF(AI14&gt;AI15,SUMPRODUCT(AI14:AI15,G14:G15)/SUM(G14:G15),AI15))</f>
        <v>293.10369788443842</v>
      </c>
      <c r="AN15" s="411">
        <f>IF($C15="",AJ15,IF(AJ14&gt;AJ15,SUMPRODUCT(AJ14:AJ15,H14:H15)/SUM(H14:H15),AJ15))</f>
        <v>586.20739576887684</v>
      </c>
      <c r="AO15" s="411">
        <f>IF($C15="",AK15,IF(AK14&gt;AK15,SUMPRODUCT(AK14:AK15,I14:I15)/SUM(I14:I15),AK15))</f>
        <v>293.10369788443842</v>
      </c>
      <c r="AP15" s="411">
        <f t="shared" si="33"/>
        <v>586.20739576887684</v>
      </c>
      <c r="AQ15" s="411">
        <f t="shared" si="34"/>
        <v>293.10369788443842</v>
      </c>
      <c r="AR15" s="411">
        <f t="shared" si="35"/>
        <v>586.20739576887684</v>
      </c>
      <c r="AS15" s="411">
        <f t="shared" si="36"/>
        <v>293.10369788443842</v>
      </c>
      <c r="AT15" s="227" t="str">
        <f t="shared" si="5"/>
        <v/>
      </c>
      <c r="AU15" s="227" t="str">
        <f t="shared" si="37"/>
        <v/>
      </c>
      <c r="AV15" s="227" t="str">
        <f t="shared" si="38"/>
        <v/>
      </c>
      <c r="AW15" s="227" t="str">
        <f t="shared" si="39"/>
        <v/>
      </c>
      <c r="AX15" s="227" t="str">
        <f t="shared" si="6"/>
        <v/>
      </c>
      <c r="AY15" s="311" t="str">
        <f t="shared" si="7"/>
        <v/>
      </c>
      <c r="AZ15" s="311">
        <f t="shared" si="8"/>
        <v>586.20739576887684</v>
      </c>
      <c r="BA15" s="311">
        <f t="shared" si="40"/>
        <v>293.10369788443842</v>
      </c>
      <c r="BB15" s="311">
        <f t="shared" si="9"/>
        <v>586.20739576887684</v>
      </c>
      <c r="BC15" s="311">
        <f t="shared" si="10"/>
        <v>293.10369788443842</v>
      </c>
      <c r="BD15" s="227" t="str">
        <f t="shared" si="41"/>
        <v/>
      </c>
      <c r="BE15" s="227" t="str">
        <f t="shared" si="42"/>
        <v/>
      </c>
      <c r="BF15" s="227" t="str">
        <f t="shared" si="43"/>
        <v/>
      </c>
      <c r="BG15" s="227" t="str">
        <f t="shared" si="44"/>
        <v/>
      </c>
      <c r="BH15" s="227" t="str">
        <f t="shared" si="45"/>
        <v/>
      </c>
      <c r="BI15" s="227" t="str">
        <f t="shared" si="46"/>
        <v/>
      </c>
      <c r="BJ15" s="226">
        <f t="shared" si="47"/>
        <v>14948.288592106359</v>
      </c>
      <c r="BK15" s="335"/>
    </row>
    <row r="16" spans="1:63">
      <c r="A16" s="231">
        <v>110</v>
      </c>
      <c r="B16" s="231" t="str">
        <f>VLOOKUP(A16,'201314 RC list'!A:B,2,FALSE)</f>
        <v>Trauma &amp; Orthopaedics</v>
      </c>
      <c r="C16" s="231" t="str">
        <f>$A$16&amp;"&amp;"&amp;$A$17</f>
        <v>110&amp;214</v>
      </c>
      <c r="D16" s="310" t="str">
        <f t="shared" si="11"/>
        <v>A</v>
      </c>
      <c r="E16" s="231">
        <f>IF(ISERROR(VLOOKUP(A16,Mandatory!A:A,1,FALSE)),0,1)</f>
        <v>1</v>
      </c>
      <c r="F16" s="222">
        <f>VLOOKUP(A16,'Front-loading'!A:AG,$F$6,FALSE)</f>
        <v>43770</v>
      </c>
      <c r="G16" s="222">
        <f>VLOOKUP(A16,'Front-loading'!A:AG,$G$6,FALSE)</f>
        <v>2077780</v>
      </c>
      <c r="H16" s="222">
        <f>VLOOKUP(A16,'Front-loading'!A:AG,$H$6,FALSE)</f>
        <v>78786</v>
      </c>
      <c r="I16" s="222">
        <f>VLOOKUP(A16,'Front-loading'!A:AG,$I$6,FALSE)</f>
        <v>3655213</v>
      </c>
      <c r="J16" s="222">
        <f>VLOOKUP(A16,'Front-loading'!A:AG,$J$6,FALSE)</f>
        <v>6566809.6385198329</v>
      </c>
      <c r="K16" s="222">
        <f>VLOOKUP(A16,'Front-loading'!A:AG,$K$6,FALSE)</f>
        <v>290255935.22747141</v>
      </c>
      <c r="L16" s="222">
        <f>VLOOKUP(A16,'Front-loading'!A:AG,$L$6,FALSE)</f>
        <v>7300806.006904847</v>
      </c>
      <c r="M16" s="222">
        <f>VLOOKUP(A16,'Front-loading'!A:AG,$M$6,FALSE)</f>
        <v>321138678.97031462</v>
      </c>
      <c r="N16" s="223">
        <f t="shared" si="12"/>
        <v>150.02992091660573</v>
      </c>
      <c r="O16" s="223">
        <f t="shared" si="2"/>
        <v>139.69522048892154</v>
      </c>
      <c r="P16" s="223">
        <f t="shared" si="2"/>
        <v>92.666285975996331</v>
      </c>
      <c r="Q16" s="223">
        <f t="shared" si="2"/>
        <v>87.857719637765186</v>
      </c>
      <c r="R16" s="409">
        <f t="shared" si="13"/>
        <v>150.02992091660573</v>
      </c>
      <c r="S16" s="409">
        <f t="shared" si="14"/>
        <v>139.69522048892154</v>
      </c>
      <c r="T16" s="409">
        <f t="shared" si="15"/>
        <v>92.666285975996331</v>
      </c>
      <c r="U16" s="409">
        <f t="shared" si="16"/>
        <v>87.857719637765186</v>
      </c>
      <c r="V16" s="411">
        <f t="shared" si="17"/>
        <v>150.02992091660573</v>
      </c>
      <c r="W16" s="411">
        <f t="shared" si="18"/>
        <v>139.69522048892154</v>
      </c>
      <c r="X16" s="411">
        <f t="shared" si="19"/>
        <v>92.666285975996331</v>
      </c>
      <c r="Y16" s="411">
        <f t="shared" si="20"/>
        <v>87.857719637765186</v>
      </c>
      <c r="Z16" s="411">
        <f t="shared" si="21"/>
        <v>150.02992091660573</v>
      </c>
      <c r="AA16" s="411">
        <f t="shared" si="22"/>
        <v>139.69522048892154</v>
      </c>
      <c r="AB16" s="411">
        <f t="shared" si="23"/>
        <v>92.666285975996331</v>
      </c>
      <c r="AC16" s="411">
        <f t="shared" si="24"/>
        <v>87.857719637765186</v>
      </c>
      <c r="AD16" s="411">
        <f t="shared" si="25"/>
        <v>150.02992091660573</v>
      </c>
      <c r="AE16" s="411">
        <f t="shared" si="26"/>
        <v>139.69522048892154</v>
      </c>
      <c r="AF16" s="411">
        <f t="shared" si="27"/>
        <v>92.666285975996331</v>
      </c>
      <c r="AG16" s="411">
        <f t="shared" si="28"/>
        <v>87.857719637765186</v>
      </c>
      <c r="AH16" s="411">
        <f t="shared" si="29"/>
        <v>150.02992091660573</v>
      </c>
      <c r="AI16" s="411">
        <f t="shared" si="30"/>
        <v>139.69522048892154</v>
      </c>
      <c r="AJ16" s="411">
        <f t="shared" si="31"/>
        <v>92.666285975996331</v>
      </c>
      <c r="AK16" s="411">
        <f t="shared" si="32"/>
        <v>87.857719637765186</v>
      </c>
      <c r="AL16" s="411">
        <f>IF($C16="",AH16,IF(AH16&gt;AH17,SUMPRODUCT(AH16:AH17,F16:F17)/SUM(F16:F17),AH16))</f>
        <v>150.02992091660573</v>
      </c>
      <c r="AM16" s="411">
        <f>IF($C16="",AI16,IF(AI16&gt;AI17,SUMPRODUCT(AI16:AI17,G16:G17)/SUM(G16:G17),AI16))</f>
        <v>139.69522048892154</v>
      </c>
      <c r="AN16" s="411">
        <f>IF($C16="",AJ16,IF(AJ16&gt;AJ17,SUMPRODUCT(AJ16:AJ17,H16:H17)/SUM(H16:H17),AJ16))</f>
        <v>92.666285975996331</v>
      </c>
      <c r="AO16" s="411">
        <f>IF($C16="",AK16,IF(AK16&gt;AK17,SUMPRODUCT(AK16:AK17,I16:I17)/SUM(I16:I17),AK16))</f>
        <v>87.857719637765186</v>
      </c>
      <c r="AP16" s="411">
        <f t="shared" si="33"/>
        <v>150.02992091660573</v>
      </c>
      <c r="AQ16" s="411">
        <f t="shared" si="34"/>
        <v>139.69522048892154</v>
      </c>
      <c r="AR16" s="411">
        <f t="shared" si="35"/>
        <v>92.666285975996331</v>
      </c>
      <c r="AS16" s="411">
        <f t="shared" si="36"/>
        <v>87.857719637765186</v>
      </c>
      <c r="AT16" s="227" t="str">
        <f t="shared" si="5"/>
        <v/>
      </c>
      <c r="AU16" s="227" t="str">
        <f t="shared" si="37"/>
        <v/>
      </c>
      <c r="AV16" s="227" t="str">
        <f t="shared" si="38"/>
        <v/>
      </c>
      <c r="AW16" s="227" t="str">
        <f t="shared" si="39"/>
        <v/>
      </c>
      <c r="AX16" s="227" t="str">
        <f t="shared" si="6"/>
        <v/>
      </c>
      <c r="AY16" s="311" t="str">
        <f t="shared" si="7"/>
        <v/>
      </c>
      <c r="AZ16" s="311">
        <f t="shared" si="8"/>
        <v>150.02992091660573</v>
      </c>
      <c r="BA16" s="311">
        <f t="shared" si="40"/>
        <v>139.69522048892154</v>
      </c>
      <c r="BB16" s="311">
        <f t="shared" si="9"/>
        <v>92.666285975996331</v>
      </c>
      <c r="BC16" s="311">
        <f t="shared" si="10"/>
        <v>87.857719637765186</v>
      </c>
      <c r="BD16" s="227" t="str">
        <f t="shared" si="41"/>
        <v/>
      </c>
      <c r="BE16" s="227" t="str">
        <f t="shared" si="42"/>
        <v/>
      </c>
      <c r="BF16" s="227" t="str">
        <f t="shared" si="43"/>
        <v/>
      </c>
      <c r="BG16" s="227" t="str">
        <f t="shared" si="44"/>
        <v/>
      </c>
      <c r="BH16" s="227" t="str">
        <f t="shared" si="45"/>
        <v/>
      </c>
      <c r="BI16" s="227" t="str">
        <f t="shared" si="46"/>
        <v/>
      </c>
      <c r="BJ16" s="226">
        <f t="shared" si="47"/>
        <v>625262229.8432107</v>
      </c>
      <c r="BK16" s="335"/>
    </row>
    <row r="17" spans="1:63">
      <c r="A17" s="231">
        <v>214</v>
      </c>
      <c r="B17" s="231" t="str">
        <f>VLOOKUP(A17,'201314 RC list'!A:B,2,FALSE)</f>
        <v>Paediatric Trauma and Orthopaedics</v>
      </c>
      <c r="C17" s="231" t="str">
        <f>$A$16&amp;"&amp;"&amp;$A$17</f>
        <v>110&amp;214</v>
      </c>
      <c r="D17" s="310" t="str">
        <f t="shared" si="11"/>
        <v>C</v>
      </c>
      <c r="E17" s="231">
        <f>IF(ISERROR(VLOOKUP(A17,Mandatory!A:A,1,FALSE)),0,1)</f>
        <v>1</v>
      </c>
      <c r="F17" s="222">
        <f>VLOOKUP(A17,'Front-loading'!A:AG,$F$6,FALSE)</f>
        <v>1887</v>
      </c>
      <c r="G17" s="222">
        <f>VLOOKUP(A17,'Front-loading'!A:AG,$G$6,FALSE)</f>
        <v>82660</v>
      </c>
      <c r="H17" s="222">
        <f>VLOOKUP(A17,'Front-loading'!A:AG,$H$6,FALSE)</f>
        <v>2815</v>
      </c>
      <c r="I17" s="222">
        <f>VLOOKUP(A17,'Front-loading'!A:AG,$I$6,FALSE)</f>
        <v>125104</v>
      </c>
      <c r="J17" s="222">
        <f>VLOOKUP(A17,'Front-loading'!A:AG,$J$6,FALSE)</f>
        <v>440607.04093559191</v>
      </c>
      <c r="K17" s="222">
        <f>VLOOKUP(A17,'Front-loading'!A:AG,$K$6,FALSE)</f>
        <v>13171094.091751242</v>
      </c>
      <c r="L17" s="222">
        <f>VLOOKUP(A17,'Front-loading'!A:AG,$L$6,FALSE)</f>
        <v>539266.6143658238</v>
      </c>
      <c r="M17" s="222">
        <f>VLOOKUP(A17,'Front-loading'!A:AG,$M$6,FALSE)</f>
        <v>14030306.693270193</v>
      </c>
      <c r="N17" s="223">
        <f t="shared" si="12"/>
        <v>233.49604713067933</v>
      </c>
      <c r="O17" s="223">
        <f t="shared" si="2"/>
        <v>159.34060115837457</v>
      </c>
      <c r="P17" s="223">
        <f t="shared" si="2"/>
        <v>191.56895714594097</v>
      </c>
      <c r="Q17" s="223">
        <f t="shared" si="2"/>
        <v>112.1491454571412</v>
      </c>
      <c r="R17" s="409">
        <f t="shared" si="13"/>
        <v>233.49604713067933</v>
      </c>
      <c r="S17" s="409">
        <f t="shared" si="14"/>
        <v>159.34060115837457</v>
      </c>
      <c r="T17" s="409">
        <f t="shared" si="15"/>
        <v>191.56895714594097</v>
      </c>
      <c r="U17" s="409">
        <f t="shared" si="16"/>
        <v>112.1491454571412</v>
      </c>
      <c r="V17" s="411">
        <f t="shared" si="17"/>
        <v>233.49604713067933</v>
      </c>
      <c r="W17" s="411">
        <f t="shared" si="18"/>
        <v>159.34060115837457</v>
      </c>
      <c r="X17" s="411">
        <f t="shared" si="19"/>
        <v>191.56895714594097</v>
      </c>
      <c r="Y17" s="411">
        <f t="shared" si="20"/>
        <v>112.1491454571412</v>
      </c>
      <c r="Z17" s="411">
        <f t="shared" si="21"/>
        <v>233.49604713067933</v>
      </c>
      <c r="AA17" s="411">
        <f t="shared" si="22"/>
        <v>159.34060115837457</v>
      </c>
      <c r="AB17" s="411">
        <f t="shared" si="23"/>
        <v>191.56895714594097</v>
      </c>
      <c r="AC17" s="411">
        <f t="shared" si="24"/>
        <v>112.1491454571412</v>
      </c>
      <c r="AD17" s="411">
        <f t="shared" si="25"/>
        <v>233.49604713067933</v>
      </c>
      <c r="AE17" s="411">
        <f t="shared" si="26"/>
        <v>159.34060115837457</v>
      </c>
      <c r="AF17" s="411">
        <f t="shared" si="27"/>
        <v>191.56895714594097</v>
      </c>
      <c r="AG17" s="411">
        <f t="shared" si="28"/>
        <v>112.1491454571412</v>
      </c>
      <c r="AH17" s="411">
        <f t="shared" si="29"/>
        <v>233.49604713067933</v>
      </c>
      <c r="AI17" s="411">
        <f t="shared" si="30"/>
        <v>159.34060115837457</v>
      </c>
      <c r="AJ17" s="411">
        <f t="shared" si="31"/>
        <v>191.56895714594097</v>
      </c>
      <c r="AK17" s="411">
        <f t="shared" si="32"/>
        <v>112.1491454571412</v>
      </c>
      <c r="AL17" s="411">
        <f>IF($C17="",AH17,IF(AH16&gt;AH17,SUMPRODUCT(AH16:AH17,F16:F17)/SUM(F16:F17),AH17))</f>
        <v>233.49604713067933</v>
      </c>
      <c r="AM17" s="411">
        <f>IF($C17="",AI17,IF(AI16&gt;AI17,SUMPRODUCT(AI16:AI17,G16:G17)/SUM(G16:G17),AI17))</f>
        <v>159.34060115837457</v>
      </c>
      <c r="AN17" s="411">
        <f>IF($C17="",AJ17,IF(AJ16&gt;AJ17,SUMPRODUCT(AJ16:AJ17,H16:H17)/SUM(H16:H17),AJ17))</f>
        <v>191.56895714594097</v>
      </c>
      <c r="AO17" s="411">
        <f>IF($C17="",AK17,IF(AK16&gt;AK17,SUMPRODUCT(AK16:AK17,I16:I17)/SUM(I16:I17),AK17))</f>
        <v>112.1491454571412</v>
      </c>
      <c r="AP17" s="411">
        <f t="shared" si="33"/>
        <v>233.49604713067933</v>
      </c>
      <c r="AQ17" s="411">
        <f t="shared" si="34"/>
        <v>159.34060115837457</v>
      </c>
      <c r="AR17" s="411">
        <f t="shared" si="35"/>
        <v>191.56895714594097</v>
      </c>
      <c r="AS17" s="411">
        <f t="shared" si="36"/>
        <v>112.1491454571412</v>
      </c>
      <c r="AT17" s="227" t="str">
        <f t="shared" si="5"/>
        <v/>
      </c>
      <c r="AU17" s="227" t="str">
        <f t="shared" si="37"/>
        <v/>
      </c>
      <c r="AV17" s="227" t="str">
        <f t="shared" si="38"/>
        <v/>
      </c>
      <c r="AW17" s="227" t="str">
        <f t="shared" si="39"/>
        <v/>
      </c>
      <c r="AX17" s="227" t="str">
        <f t="shared" si="6"/>
        <v/>
      </c>
      <c r="AY17" s="311" t="str">
        <f t="shared" si="7"/>
        <v/>
      </c>
      <c r="AZ17" s="311">
        <f t="shared" si="8"/>
        <v>233.49604713067933</v>
      </c>
      <c r="BA17" s="311">
        <f t="shared" si="40"/>
        <v>159.34060115837457</v>
      </c>
      <c r="BB17" s="311">
        <f t="shared" si="9"/>
        <v>191.56895714594097</v>
      </c>
      <c r="BC17" s="311">
        <f t="shared" si="10"/>
        <v>112.1491454571412</v>
      </c>
      <c r="BD17" s="227" t="str">
        <f t="shared" si="41"/>
        <v/>
      </c>
      <c r="BE17" s="227" t="str">
        <f t="shared" si="42"/>
        <v/>
      </c>
      <c r="BF17" s="227" t="str">
        <f t="shared" si="43"/>
        <v/>
      </c>
      <c r="BG17" s="227" t="str">
        <f t="shared" si="44"/>
        <v/>
      </c>
      <c r="BH17" s="227" t="str">
        <f t="shared" si="45"/>
        <v/>
      </c>
      <c r="BI17" s="227" t="str">
        <f t="shared" si="46"/>
        <v/>
      </c>
      <c r="BJ17" s="226">
        <f t="shared" si="47"/>
        <v>28181274.440322854</v>
      </c>
      <c r="BK17" s="335"/>
    </row>
    <row r="18" spans="1:63">
      <c r="A18" s="231">
        <v>120</v>
      </c>
      <c r="B18" s="231" t="str">
        <f>VLOOKUP(A18,'201314 RC list'!A:B,2,FALSE)</f>
        <v>ENT</v>
      </c>
      <c r="C18" s="231" t="str">
        <f>$A$18&amp;"&amp;"&amp;$A$19</f>
        <v>120&amp;215</v>
      </c>
      <c r="D18" s="310" t="str">
        <f t="shared" si="11"/>
        <v>A</v>
      </c>
      <c r="E18" s="231">
        <f>IF(ISERROR(VLOOKUP(A18,Mandatory!A:A,1,FALSE)),0,1)</f>
        <v>1</v>
      </c>
      <c r="F18" s="222">
        <f>VLOOKUP(A18,'Front-loading'!A:AG,$F$6,FALSE)</f>
        <v>8832</v>
      </c>
      <c r="G18" s="222">
        <f>VLOOKUP(A18,'Front-loading'!A:AG,$G$6,FALSE)</f>
        <v>621493</v>
      </c>
      <c r="H18" s="222">
        <f>VLOOKUP(A18,'Front-loading'!A:AG,$H$6,FALSE)</f>
        <v>19259</v>
      </c>
      <c r="I18" s="222">
        <f>VLOOKUP(A18,'Front-loading'!A:AG,$I$6,FALSE)</f>
        <v>899844</v>
      </c>
      <c r="J18" s="222">
        <f>VLOOKUP(A18,'Front-loading'!A:AG,$J$6,FALSE)</f>
        <v>1395811.3220651869</v>
      </c>
      <c r="K18" s="222">
        <f>VLOOKUP(A18,'Front-loading'!A:AG,$K$6,FALSE)</f>
        <v>69628663.109830931</v>
      </c>
      <c r="L18" s="222">
        <f>VLOOKUP(A18,'Front-loading'!A:AG,$L$6,FALSE)</f>
        <v>2062616.2511350592</v>
      </c>
      <c r="M18" s="222">
        <f>VLOOKUP(A18,'Front-loading'!A:AG,$M$6,FALSE)</f>
        <v>64610070.728160262</v>
      </c>
      <c r="N18" s="223">
        <f t="shared" si="12"/>
        <v>158.0402312120909</v>
      </c>
      <c r="O18" s="223">
        <f t="shared" si="2"/>
        <v>112.03450901270156</v>
      </c>
      <c r="P18" s="223">
        <f t="shared" si="2"/>
        <v>107.09882398541249</v>
      </c>
      <c r="Q18" s="223">
        <f t="shared" si="2"/>
        <v>71.801413053996313</v>
      </c>
      <c r="R18" s="409">
        <f t="shared" si="13"/>
        <v>158.0402312120909</v>
      </c>
      <c r="S18" s="409">
        <f t="shared" si="14"/>
        <v>112.03450901270156</v>
      </c>
      <c r="T18" s="409">
        <f t="shared" si="15"/>
        <v>107.09882398541249</v>
      </c>
      <c r="U18" s="409">
        <f t="shared" si="16"/>
        <v>71.801413053996313</v>
      </c>
      <c r="V18" s="411">
        <f t="shared" si="17"/>
        <v>158.0402312120909</v>
      </c>
      <c r="W18" s="411">
        <f t="shared" si="18"/>
        <v>112.03450901270156</v>
      </c>
      <c r="X18" s="411">
        <f t="shared" si="19"/>
        <v>107.09882398541249</v>
      </c>
      <c r="Y18" s="411">
        <f t="shared" si="20"/>
        <v>71.801413053996313</v>
      </c>
      <c r="Z18" s="411">
        <f t="shared" si="21"/>
        <v>158.0402312120909</v>
      </c>
      <c r="AA18" s="411">
        <f t="shared" si="22"/>
        <v>112.03450901270156</v>
      </c>
      <c r="AB18" s="411">
        <f t="shared" si="23"/>
        <v>107.09882398541249</v>
      </c>
      <c r="AC18" s="411">
        <f t="shared" si="24"/>
        <v>71.801413053996313</v>
      </c>
      <c r="AD18" s="411">
        <f t="shared" si="25"/>
        <v>158.0402312120909</v>
      </c>
      <c r="AE18" s="411">
        <f t="shared" si="26"/>
        <v>112.03450901270156</v>
      </c>
      <c r="AF18" s="411">
        <f t="shared" si="27"/>
        <v>107.09882398541249</v>
      </c>
      <c r="AG18" s="411">
        <f t="shared" si="28"/>
        <v>71.801413053996313</v>
      </c>
      <c r="AH18" s="411">
        <f t="shared" si="29"/>
        <v>158.0402312120909</v>
      </c>
      <c r="AI18" s="411">
        <f t="shared" si="30"/>
        <v>112.03450901270156</v>
      </c>
      <c r="AJ18" s="411">
        <f t="shared" si="31"/>
        <v>107.09882398541249</v>
      </c>
      <c r="AK18" s="411">
        <f t="shared" si="32"/>
        <v>71.801413053996313</v>
      </c>
      <c r="AL18" s="411">
        <f>IF($C18="",AH18,IF(AH18&gt;AH19,SUMPRODUCT(AH18:AH19,F18:F19)/SUM(F18:F19),AH18))</f>
        <v>153.04704437523651</v>
      </c>
      <c r="AM18" s="411">
        <f>IF($C18="",AI18,IF(AI18&gt;AI19,SUMPRODUCT(AI18:AI19,G18:G19)/SUM(G18:G19),AI18))</f>
        <v>112.03450901270156</v>
      </c>
      <c r="AN18" s="411">
        <f>IF($C18="",AJ18,IF(AJ18&gt;AJ19,SUMPRODUCT(AJ18:AJ19,H18:H19)/SUM(H18:H19),AJ18))</f>
        <v>104.12827458938014</v>
      </c>
      <c r="AO18" s="411">
        <f>IF($C18="",AK18,IF(AK18&gt;AK19,SUMPRODUCT(AK18:AK19,I18:I19)/SUM(I18:I19),AK18))</f>
        <v>71.801413053996313</v>
      </c>
      <c r="AP18" s="411">
        <f t="shared" si="33"/>
        <v>153.04704437523651</v>
      </c>
      <c r="AQ18" s="411">
        <f t="shared" si="34"/>
        <v>112.03450901270156</v>
      </c>
      <c r="AR18" s="411">
        <f t="shared" si="35"/>
        <v>104.12827458938014</v>
      </c>
      <c r="AS18" s="411">
        <f t="shared" si="36"/>
        <v>71.801413053996313</v>
      </c>
      <c r="AT18" s="227" t="str">
        <f t="shared" si="5"/>
        <v/>
      </c>
      <c r="AU18" s="227" t="str">
        <f t="shared" si="37"/>
        <v/>
      </c>
      <c r="AV18" s="227" t="str">
        <f t="shared" si="38"/>
        <v/>
      </c>
      <c r="AW18" s="227" t="str">
        <f t="shared" si="39"/>
        <v/>
      </c>
      <c r="AX18" s="227" t="str">
        <f t="shared" si="6"/>
        <v/>
      </c>
      <c r="AY18" s="311" t="str">
        <f t="shared" si="7"/>
        <v/>
      </c>
      <c r="AZ18" s="311">
        <f t="shared" si="8"/>
        <v>153.04704437523651</v>
      </c>
      <c r="BA18" s="311">
        <f t="shared" si="40"/>
        <v>112.03450901270156</v>
      </c>
      <c r="BB18" s="311">
        <f t="shared" si="9"/>
        <v>104.12827458938014</v>
      </c>
      <c r="BC18" s="311">
        <f t="shared" si="10"/>
        <v>71.801413053996313</v>
      </c>
      <c r="BD18" s="227" t="str">
        <f t="shared" si="41"/>
        <v/>
      </c>
      <c r="BE18" s="227" t="str">
        <f t="shared" si="42"/>
        <v/>
      </c>
      <c r="BF18" s="227" t="str">
        <f t="shared" si="43"/>
        <v/>
      </c>
      <c r="BG18" s="227" t="str">
        <f t="shared" si="44"/>
        <v/>
      </c>
      <c r="BH18" s="227" t="str">
        <f t="shared" si="45"/>
        <v/>
      </c>
      <c r="BI18" s="227" t="str">
        <f t="shared" si="46"/>
        <v/>
      </c>
      <c r="BJ18" s="226">
        <f t="shared" si="47"/>
        <v>137595851.77423015</v>
      </c>
      <c r="BK18" s="335"/>
    </row>
    <row r="19" spans="1:63">
      <c r="A19" s="231">
        <v>215</v>
      </c>
      <c r="B19" s="231" t="str">
        <f>VLOOKUP(A19,'201314 RC list'!A:B,2,FALSE)</f>
        <v>Paediatric Ear Nose and Throat</v>
      </c>
      <c r="C19" s="231" t="str">
        <f>$A$18&amp;"&amp;"&amp;$A$19</f>
        <v>120&amp;215</v>
      </c>
      <c r="D19" s="310" t="str">
        <f t="shared" si="11"/>
        <v>C</v>
      </c>
      <c r="E19" s="231">
        <f>IF(ISERROR(VLOOKUP(A19,Mandatory!A:A,1,FALSE)),0,1)</f>
        <v>1</v>
      </c>
      <c r="F19" s="222">
        <f>VLOOKUP(A19,'Front-loading'!A:AG,$F$6,FALSE)</f>
        <v>1946</v>
      </c>
      <c r="G19" s="222">
        <f>VLOOKUP(A19,'Front-loading'!A:AG,$G$6,FALSE)</f>
        <v>40507</v>
      </c>
      <c r="H19" s="222">
        <f>VLOOKUP(A19,'Front-loading'!A:AG,$H$6,FALSE)</f>
        <v>3093</v>
      </c>
      <c r="I19" s="222">
        <f>VLOOKUP(A19,'Front-loading'!A:AG,$I$6,FALSE)</f>
        <v>57841</v>
      </c>
      <c r="J19" s="222">
        <f>VLOOKUP(A19,'Front-loading'!A:AG,$J$6,FALSE)</f>
        <v>211847.03896145453</v>
      </c>
      <c r="K19" s="222">
        <f>VLOOKUP(A19,'Front-loading'!A:AG,$K$6,FALSE)</f>
        <v>5323398.5401898026</v>
      </c>
      <c r="L19" s="222">
        <f>VLOOKUP(A19,'Front-loading'!A:AG,$L$6,FALSE)</f>
        <v>264858.94248676585</v>
      </c>
      <c r="M19" s="222">
        <f>VLOOKUP(A19,'Front-loading'!A:AG,$M$6,FALSE)</f>
        <v>4797724.9533545934</v>
      </c>
      <c r="N19" s="223">
        <f t="shared" si="12"/>
        <v>108.86281549920582</v>
      </c>
      <c r="O19" s="223">
        <f t="shared" si="2"/>
        <v>131.41922483002452</v>
      </c>
      <c r="P19" s="223">
        <f t="shared" si="2"/>
        <v>85.631730516251494</v>
      </c>
      <c r="Q19" s="223">
        <f t="shared" si="2"/>
        <v>82.946784345958633</v>
      </c>
      <c r="R19" s="409">
        <f t="shared" si="13"/>
        <v>108.86281549920582</v>
      </c>
      <c r="S19" s="409">
        <f t="shared" si="14"/>
        <v>131.41922483002452</v>
      </c>
      <c r="T19" s="409">
        <f t="shared" si="15"/>
        <v>85.631730516251494</v>
      </c>
      <c r="U19" s="409">
        <f t="shared" si="16"/>
        <v>82.946784345958633</v>
      </c>
      <c r="V19" s="411">
        <f t="shared" si="17"/>
        <v>108.86281549920582</v>
      </c>
      <c r="W19" s="411">
        <f t="shared" si="18"/>
        <v>131.41922483002452</v>
      </c>
      <c r="X19" s="411">
        <f t="shared" si="19"/>
        <v>85.631730516251494</v>
      </c>
      <c r="Y19" s="411">
        <f t="shared" si="20"/>
        <v>82.946784345958633</v>
      </c>
      <c r="Z19" s="411">
        <f t="shared" si="21"/>
        <v>108.86281549920582</v>
      </c>
      <c r="AA19" s="411">
        <f t="shared" si="22"/>
        <v>131.41922483002452</v>
      </c>
      <c r="AB19" s="411">
        <f t="shared" si="23"/>
        <v>85.631730516251494</v>
      </c>
      <c r="AC19" s="411">
        <f t="shared" si="24"/>
        <v>82.946784345958633</v>
      </c>
      <c r="AD19" s="411">
        <f t="shared" si="25"/>
        <v>130.3852632122879</v>
      </c>
      <c r="AE19" s="411">
        <f t="shared" si="26"/>
        <v>130.3852632122879</v>
      </c>
      <c r="AF19" s="411">
        <f t="shared" si="27"/>
        <v>85.631730516251494</v>
      </c>
      <c r="AG19" s="411">
        <f t="shared" si="28"/>
        <v>82.946784345958633</v>
      </c>
      <c r="AH19" s="411">
        <f t="shared" si="29"/>
        <v>130.3852632122879</v>
      </c>
      <c r="AI19" s="411">
        <f t="shared" si="30"/>
        <v>130.3852632122879</v>
      </c>
      <c r="AJ19" s="411">
        <f t="shared" si="31"/>
        <v>85.631730516251494</v>
      </c>
      <c r="AK19" s="411">
        <f t="shared" si="32"/>
        <v>82.946784345958633</v>
      </c>
      <c r="AL19" s="411">
        <f>IF($C19="",AH19,IF(AH18&gt;AH19,SUMPRODUCT(AH18:AH19,F18:F19)/SUM(F18:F19),AH19))</f>
        <v>153.04704437523651</v>
      </c>
      <c r="AM19" s="411">
        <f>IF($C19="",AI19,IF(AI18&gt;AI19,SUMPRODUCT(AI18:AI19,G18:G19)/SUM(G18:G19),AI19))</f>
        <v>130.3852632122879</v>
      </c>
      <c r="AN19" s="411">
        <f>IF($C19="",AJ19,IF(AJ18&gt;AJ19,SUMPRODUCT(AJ18:AJ19,H18:H19)/SUM(H18:H19),AJ19))</f>
        <v>104.12827458938014</v>
      </c>
      <c r="AO19" s="411">
        <f>IF($C19="",AK19,IF(AK18&gt;AK19,SUMPRODUCT(AK18:AK19,I18:I19)/SUM(I18:I19),AK19))</f>
        <v>82.946784345958633</v>
      </c>
      <c r="AP19" s="411">
        <f t="shared" si="33"/>
        <v>153.04704437523651</v>
      </c>
      <c r="AQ19" s="411">
        <f t="shared" si="34"/>
        <v>130.3852632122879</v>
      </c>
      <c r="AR19" s="411">
        <f t="shared" si="35"/>
        <v>104.12827458938014</v>
      </c>
      <c r="AS19" s="411">
        <f t="shared" si="36"/>
        <v>82.946784345958633</v>
      </c>
      <c r="AT19" s="227" t="str">
        <f t="shared" si="5"/>
        <v/>
      </c>
      <c r="AU19" s="227" t="str">
        <f t="shared" si="37"/>
        <v/>
      </c>
      <c r="AV19" s="227" t="str">
        <f t="shared" si="38"/>
        <v/>
      </c>
      <c r="AW19" s="227" t="str">
        <f t="shared" si="39"/>
        <v/>
      </c>
      <c r="AX19" s="227" t="str">
        <f t="shared" si="6"/>
        <v/>
      </c>
      <c r="AY19" s="311" t="str">
        <f t="shared" si="7"/>
        <v/>
      </c>
      <c r="AZ19" s="311">
        <f t="shared" si="8"/>
        <v>153.04704437523651</v>
      </c>
      <c r="BA19" s="311">
        <f t="shared" si="40"/>
        <v>130.3852632122879</v>
      </c>
      <c r="BB19" s="311">
        <f t="shared" si="9"/>
        <v>104.12827458938014</v>
      </c>
      <c r="BC19" s="311">
        <f t="shared" si="10"/>
        <v>82.946784345958633</v>
      </c>
      <c r="BD19" s="227" t="str">
        <f t="shared" si="41"/>
        <v/>
      </c>
      <c r="BE19" s="227" t="str">
        <f t="shared" si="42"/>
        <v/>
      </c>
      <c r="BF19" s="227" t="str">
        <f t="shared" si="43"/>
        <v/>
      </c>
      <c r="BG19" s="227" t="str">
        <f t="shared" si="44"/>
        <v/>
      </c>
      <c r="BH19" s="227" t="str">
        <f t="shared" si="45"/>
        <v/>
      </c>
      <c r="BI19" s="227" t="str">
        <f t="shared" si="46"/>
        <v/>
      </c>
      <c r="BJ19" s="226">
        <f t="shared" si="47"/>
        <v>10699139.111953903</v>
      </c>
      <c r="BK19" s="335"/>
    </row>
    <row r="20" spans="1:63">
      <c r="A20" s="231">
        <v>130</v>
      </c>
      <c r="B20" s="231" t="str">
        <f>VLOOKUP(A20,'201314 RC list'!A:B,2,FALSE)</f>
        <v>Ophthalmology</v>
      </c>
      <c r="C20" s="231" t="str">
        <f>$A$20&amp;"&amp;"&amp;$A$21</f>
        <v>130&amp;216</v>
      </c>
      <c r="D20" s="310" t="str">
        <f t="shared" si="11"/>
        <v>A</v>
      </c>
      <c r="E20" s="231">
        <f>IF(ISERROR(VLOOKUP(A20,Mandatory!A:A,1,FALSE)),0,1)</f>
        <v>1</v>
      </c>
      <c r="F20" s="222">
        <f>VLOOKUP(A20,'Front-loading'!A:AG,$F$6,FALSE)</f>
        <v>51082</v>
      </c>
      <c r="G20" s="222">
        <f>VLOOKUP(A20,'Front-loading'!A:AG,$G$6,FALSE)</f>
        <v>1321856</v>
      </c>
      <c r="H20" s="222">
        <f>VLOOKUP(A20,'Front-loading'!A:AG,$H$6,FALSE)</f>
        <v>158104</v>
      </c>
      <c r="I20" s="222">
        <f>VLOOKUP(A20,'Front-loading'!A:AG,$I$6,FALSE)</f>
        <v>3456443</v>
      </c>
      <c r="J20" s="222">
        <f>VLOOKUP(A20,'Front-loading'!A:AG,$J$6,FALSE)</f>
        <v>7795998.1292900993</v>
      </c>
      <c r="K20" s="222">
        <f>VLOOKUP(A20,'Front-loading'!A:AG,$K$6,FALSE)</f>
        <v>154044884.73821914</v>
      </c>
      <c r="L20" s="222">
        <f>VLOOKUP(A20,'Front-loading'!A:AG,$L$6,FALSE)</f>
        <v>14360365.751771905</v>
      </c>
      <c r="M20" s="222">
        <f>VLOOKUP(A20,'Front-loading'!A:AG,$M$6,FALSE)</f>
        <v>239214861.49568951</v>
      </c>
      <c r="N20" s="223">
        <f t="shared" si="12"/>
        <v>152.6173237009142</v>
      </c>
      <c r="O20" s="223">
        <f t="shared" si="2"/>
        <v>116.53681243510574</v>
      </c>
      <c r="P20" s="223">
        <f t="shared" si="2"/>
        <v>90.828604916838941</v>
      </c>
      <c r="Q20" s="223">
        <f t="shared" si="2"/>
        <v>69.208391833943026</v>
      </c>
      <c r="R20" s="409">
        <f t="shared" si="13"/>
        <v>152.6173237009142</v>
      </c>
      <c r="S20" s="409">
        <f t="shared" si="14"/>
        <v>116.53681243510574</v>
      </c>
      <c r="T20" s="409">
        <f t="shared" si="15"/>
        <v>90.828604916838941</v>
      </c>
      <c r="U20" s="409">
        <f t="shared" si="16"/>
        <v>69.208391833943026</v>
      </c>
      <c r="V20" s="411">
        <f t="shared" si="17"/>
        <v>152.6173237009142</v>
      </c>
      <c r="W20" s="411">
        <f t="shared" si="18"/>
        <v>116.53681243510574</v>
      </c>
      <c r="X20" s="411">
        <f t="shared" si="19"/>
        <v>90.828604916838941</v>
      </c>
      <c r="Y20" s="411">
        <f t="shared" si="20"/>
        <v>69.208391833943026</v>
      </c>
      <c r="Z20" s="411">
        <f t="shared" si="21"/>
        <v>152.6173237009142</v>
      </c>
      <c r="AA20" s="411">
        <f t="shared" si="22"/>
        <v>116.53681243510574</v>
      </c>
      <c r="AB20" s="411">
        <f t="shared" si="23"/>
        <v>90.828604916838941</v>
      </c>
      <c r="AC20" s="411">
        <f t="shared" si="24"/>
        <v>69.208391833943026</v>
      </c>
      <c r="AD20" s="411">
        <f t="shared" si="25"/>
        <v>152.6173237009142</v>
      </c>
      <c r="AE20" s="411">
        <f t="shared" si="26"/>
        <v>116.53681243510574</v>
      </c>
      <c r="AF20" s="411">
        <f t="shared" si="27"/>
        <v>90.828604916838941</v>
      </c>
      <c r="AG20" s="411">
        <f t="shared" si="28"/>
        <v>69.208391833943026</v>
      </c>
      <c r="AH20" s="411">
        <f t="shared" si="29"/>
        <v>152.6173237009142</v>
      </c>
      <c r="AI20" s="411">
        <f t="shared" si="30"/>
        <v>116.53681243510574</v>
      </c>
      <c r="AJ20" s="411">
        <f t="shared" si="31"/>
        <v>90.828604916838941</v>
      </c>
      <c r="AK20" s="411">
        <f t="shared" si="32"/>
        <v>69.208391833943026</v>
      </c>
      <c r="AL20" s="411">
        <f>IF($C20="",AH20,IF(AH20&gt;AH21,SUMPRODUCT(AH20:AH21,F20:F21)/SUM(F20:F21),AH20))</f>
        <v>152.09234073194932</v>
      </c>
      <c r="AM20" s="411">
        <f>IF($C20="",AI20,IF(AI20&gt;AI21,SUMPRODUCT(AI20:AI21,G20:G21)/SUM(G20:G21),AI20))</f>
        <v>116.53681243510574</v>
      </c>
      <c r="AN20" s="411">
        <f>IF($C20="",AJ20,IF(AJ20&gt;AJ21,SUMPRODUCT(AJ20:AJ21,H20:H21)/SUM(H20:H21),AJ20))</f>
        <v>90.828604916838941</v>
      </c>
      <c r="AO20" s="411">
        <f>IF($C20="",AK20,IF(AK20&gt;AK21,SUMPRODUCT(AK20:AK21,I20:I21)/SUM(I20:I21),AK20))</f>
        <v>69.208391833943026</v>
      </c>
      <c r="AP20" s="411">
        <f t="shared" si="33"/>
        <v>152.09234073194932</v>
      </c>
      <c r="AQ20" s="411">
        <f t="shared" si="34"/>
        <v>116.53681243510574</v>
      </c>
      <c r="AR20" s="411">
        <f t="shared" si="35"/>
        <v>90.828604916838941</v>
      </c>
      <c r="AS20" s="411">
        <f t="shared" si="36"/>
        <v>69.208391833943026</v>
      </c>
      <c r="AT20" s="227" t="str">
        <f t="shared" si="5"/>
        <v/>
      </c>
      <c r="AU20" s="227" t="str">
        <f t="shared" si="37"/>
        <v/>
      </c>
      <c r="AV20" s="227" t="str">
        <f t="shared" si="38"/>
        <v/>
      </c>
      <c r="AW20" s="227" t="str">
        <f t="shared" si="39"/>
        <v/>
      </c>
      <c r="AX20" s="227" t="str">
        <f t="shared" si="6"/>
        <v/>
      </c>
      <c r="AY20" s="311" t="str">
        <f t="shared" si="7"/>
        <v/>
      </c>
      <c r="AZ20" s="311">
        <f t="shared" si="8"/>
        <v>152.09234073194932</v>
      </c>
      <c r="BA20" s="311">
        <f t="shared" si="40"/>
        <v>116.53681243510574</v>
      </c>
      <c r="BB20" s="311">
        <f t="shared" si="9"/>
        <v>90.828604916838941</v>
      </c>
      <c r="BC20" s="311">
        <f t="shared" si="10"/>
        <v>69.208391833943026</v>
      </c>
      <c r="BD20" s="227" t="str">
        <f t="shared" si="41"/>
        <v/>
      </c>
      <c r="BE20" s="227" t="str">
        <f t="shared" si="42"/>
        <v/>
      </c>
      <c r="BF20" s="227" t="str">
        <f t="shared" si="43"/>
        <v/>
      </c>
      <c r="BG20" s="227" t="str">
        <f t="shared" si="44"/>
        <v/>
      </c>
      <c r="BH20" s="227" t="str">
        <f t="shared" si="45"/>
        <v/>
      </c>
      <c r="BI20" s="227" t="str">
        <f t="shared" si="46"/>
        <v/>
      </c>
      <c r="BJ20" s="226">
        <f t="shared" si="47"/>
        <v>415389292.93494999</v>
      </c>
      <c r="BK20" s="335"/>
    </row>
    <row r="21" spans="1:63">
      <c r="A21" s="231">
        <v>216</v>
      </c>
      <c r="B21" s="231" t="str">
        <f>VLOOKUP(A21,'201314 RC list'!A:B,2,FALSE)</f>
        <v>Paediatric Ophthalmology</v>
      </c>
      <c r="C21" s="231" t="str">
        <f>$A$20&amp;"&amp;"&amp;$A$21</f>
        <v>130&amp;216</v>
      </c>
      <c r="D21" s="310" t="str">
        <f t="shared" si="11"/>
        <v>C</v>
      </c>
      <c r="E21" s="231">
        <f>IF(ISERROR(VLOOKUP(A21,Mandatory!A:A,1,FALSE)),0,1)</f>
        <v>1</v>
      </c>
      <c r="F21" s="222">
        <f>VLOOKUP(A21,'Front-loading'!A:AG,$F$6,FALSE)</f>
        <v>2317</v>
      </c>
      <c r="G21" s="222">
        <f>VLOOKUP(A21,'Front-loading'!A:AG,$G$6,FALSE)</f>
        <v>54731</v>
      </c>
      <c r="H21" s="222">
        <f>VLOOKUP(A21,'Front-loading'!A:AG,$H$6,FALSE)</f>
        <v>4763</v>
      </c>
      <c r="I21" s="222">
        <f>VLOOKUP(A21,'Front-loading'!A:AG,$I$6,FALSE)</f>
        <v>138647</v>
      </c>
      <c r="J21" s="222">
        <f>VLOOKUP(A21,'Front-loading'!A:AG,$J$6,FALSE)</f>
        <v>325580.77345526218</v>
      </c>
      <c r="K21" s="222">
        <f>VLOOKUP(A21,'Front-loading'!A:AG,$K$6,FALSE)</f>
        <v>7198344.1662255265</v>
      </c>
      <c r="L21" s="222">
        <f>VLOOKUP(A21,'Front-loading'!A:AG,$L$6,FALSE)</f>
        <v>458430.36885095079</v>
      </c>
      <c r="M21" s="222">
        <f>VLOOKUP(A21,'Front-loading'!A:AG,$M$6,FALSE)</f>
        <v>12576525.605068808</v>
      </c>
      <c r="N21" s="223">
        <f t="shared" si="12"/>
        <v>140.51824490947871</v>
      </c>
      <c r="O21" s="223">
        <f t="shared" si="2"/>
        <v>131.52224819984153</v>
      </c>
      <c r="P21" s="223">
        <f t="shared" si="2"/>
        <v>96.248240363416087</v>
      </c>
      <c r="Q21" s="223">
        <f t="shared" si="2"/>
        <v>90.708963086607056</v>
      </c>
      <c r="R21" s="409">
        <f t="shared" si="13"/>
        <v>140.51824490947871</v>
      </c>
      <c r="S21" s="409">
        <f t="shared" si="14"/>
        <v>131.52224819984153</v>
      </c>
      <c r="T21" s="409">
        <f t="shared" si="15"/>
        <v>96.248240363416087</v>
      </c>
      <c r="U21" s="409">
        <f t="shared" si="16"/>
        <v>90.708963086607056</v>
      </c>
      <c r="V21" s="411">
        <f t="shared" si="17"/>
        <v>140.51824490947871</v>
      </c>
      <c r="W21" s="411">
        <f t="shared" si="18"/>
        <v>131.52224819984153</v>
      </c>
      <c r="X21" s="411">
        <f t="shared" si="19"/>
        <v>96.248240363416087</v>
      </c>
      <c r="Y21" s="411">
        <f t="shared" si="20"/>
        <v>90.708963086607056</v>
      </c>
      <c r="Z21" s="411">
        <f t="shared" si="21"/>
        <v>140.51824490947871</v>
      </c>
      <c r="AA21" s="411">
        <f t="shared" si="22"/>
        <v>131.52224819984153</v>
      </c>
      <c r="AB21" s="411">
        <f t="shared" si="23"/>
        <v>96.248240363416087</v>
      </c>
      <c r="AC21" s="411">
        <f t="shared" si="24"/>
        <v>90.708963086607056</v>
      </c>
      <c r="AD21" s="411">
        <f t="shared" si="25"/>
        <v>140.51824490947871</v>
      </c>
      <c r="AE21" s="411">
        <f t="shared" si="26"/>
        <v>131.52224819984153</v>
      </c>
      <c r="AF21" s="411">
        <f t="shared" si="27"/>
        <v>96.248240363416087</v>
      </c>
      <c r="AG21" s="411">
        <f t="shared" si="28"/>
        <v>90.708963086607056</v>
      </c>
      <c r="AH21" s="411">
        <f t="shared" si="29"/>
        <v>140.51824490947871</v>
      </c>
      <c r="AI21" s="411">
        <f t="shared" si="30"/>
        <v>131.52224819984153</v>
      </c>
      <c r="AJ21" s="411">
        <f t="shared" si="31"/>
        <v>96.248240363416087</v>
      </c>
      <c r="AK21" s="411">
        <f t="shared" si="32"/>
        <v>90.708963086607056</v>
      </c>
      <c r="AL21" s="411">
        <f>IF($C21="",AH21,IF(AH20&gt;AH21,SUMPRODUCT(AH20:AH21,F20:F21)/SUM(F20:F21),AH21))</f>
        <v>152.09234073194932</v>
      </c>
      <c r="AM21" s="411">
        <f>IF($C21="",AI21,IF(AI20&gt;AI21,SUMPRODUCT(AI20:AI21,G20:G21)/SUM(G20:G21),AI21))</f>
        <v>131.52224819984153</v>
      </c>
      <c r="AN21" s="411">
        <f>IF($C21="",AJ21,IF(AJ20&gt;AJ21,SUMPRODUCT(AJ20:AJ21,H20:H21)/SUM(H20:H21),AJ21))</f>
        <v>96.248240363416087</v>
      </c>
      <c r="AO21" s="411">
        <f>IF($C21="",AK21,IF(AK20&gt;AK21,SUMPRODUCT(AK20:AK21,I20:I21)/SUM(I20:I21),AK21))</f>
        <v>90.708963086607056</v>
      </c>
      <c r="AP21" s="411">
        <f t="shared" si="33"/>
        <v>152.09234073194932</v>
      </c>
      <c r="AQ21" s="411">
        <f t="shared" si="34"/>
        <v>131.52224819984153</v>
      </c>
      <c r="AR21" s="411">
        <f t="shared" si="35"/>
        <v>96.248240363416087</v>
      </c>
      <c r="AS21" s="411">
        <f t="shared" si="36"/>
        <v>90.708963086607056</v>
      </c>
      <c r="AT21" s="227" t="str">
        <f t="shared" si="5"/>
        <v/>
      </c>
      <c r="AU21" s="227" t="str">
        <f t="shared" si="37"/>
        <v/>
      </c>
      <c r="AV21" s="227" t="str">
        <f t="shared" si="38"/>
        <v/>
      </c>
      <c r="AW21" s="227" t="str">
        <f t="shared" si="39"/>
        <v/>
      </c>
      <c r="AX21" s="227" t="str">
        <f t="shared" si="6"/>
        <v/>
      </c>
      <c r="AY21" s="311" t="str">
        <f t="shared" si="7"/>
        <v/>
      </c>
      <c r="AZ21" s="311">
        <f t="shared" si="8"/>
        <v>152.09234073194932</v>
      </c>
      <c r="BA21" s="311">
        <f t="shared" si="40"/>
        <v>131.52224819984153</v>
      </c>
      <c r="BB21" s="311">
        <f t="shared" si="9"/>
        <v>96.248240363416087</v>
      </c>
      <c r="BC21" s="311">
        <f t="shared" si="10"/>
        <v>90.708963086607056</v>
      </c>
      <c r="BD21" s="227" t="str">
        <f t="shared" si="41"/>
        <v/>
      </c>
      <c r="BE21" s="227" t="str">
        <f t="shared" si="42"/>
        <v/>
      </c>
      <c r="BF21" s="227" t="str">
        <f t="shared" si="43"/>
        <v/>
      </c>
      <c r="BG21" s="227" t="str">
        <f t="shared" si="44"/>
        <v/>
      </c>
      <c r="BH21" s="227" t="str">
        <f t="shared" si="45"/>
        <v/>
      </c>
      <c r="BI21" s="227" t="str">
        <f t="shared" si="46"/>
        <v/>
      </c>
      <c r="BJ21" s="226">
        <f t="shared" si="47"/>
        <v>20585698.093621213</v>
      </c>
      <c r="BK21" s="335"/>
    </row>
    <row r="22" spans="1:63">
      <c r="A22" s="231">
        <v>144</v>
      </c>
      <c r="B22" s="231" t="str">
        <f>VLOOKUP(A22,'201314 RC list'!A:B,2,FALSE)</f>
        <v>Maxillo-Facial Surgery</v>
      </c>
      <c r="C22" s="231" t="str">
        <f>$A$22&amp;"&amp;"&amp;$A$23</f>
        <v>144&amp;217</v>
      </c>
      <c r="D22" s="310" t="str">
        <f t="shared" si="11"/>
        <v>A</v>
      </c>
      <c r="E22" s="231">
        <f>IF(ISERROR(VLOOKUP(A22,Mandatory!A:A,1,FALSE)),0,1)</f>
        <v>1</v>
      </c>
      <c r="F22" s="222">
        <f>VLOOKUP(A22,'Front-loading'!A:AG,$F$6,FALSE)</f>
        <v>1406</v>
      </c>
      <c r="G22" s="222">
        <f>VLOOKUP(A22,'Front-loading'!A:AG,$G$6,FALSE)</f>
        <v>159842</v>
      </c>
      <c r="H22" s="222">
        <f>VLOOKUP(A22,'Front-loading'!A:AG,$H$6,FALSE)</f>
        <v>5827</v>
      </c>
      <c r="I22" s="222">
        <f>VLOOKUP(A22,'Front-loading'!A:AG,$I$6,FALSE)</f>
        <v>188376</v>
      </c>
      <c r="J22" s="222">
        <f>VLOOKUP(A22,'Front-loading'!A:AG,$J$6,FALSE)</f>
        <v>218189.02115534857</v>
      </c>
      <c r="K22" s="222">
        <f>VLOOKUP(A22,'Front-loading'!A:AG,$K$6,FALSE)</f>
        <v>19341929.657382987</v>
      </c>
      <c r="L22" s="222">
        <f>VLOOKUP(A22,'Front-loading'!A:AG,$L$6,FALSE)</f>
        <v>489232.67191806989</v>
      </c>
      <c r="M22" s="222">
        <f>VLOOKUP(A22,'Front-loading'!A:AG,$M$6,FALSE)</f>
        <v>16389927.941419711</v>
      </c>
      <c r="N22" s="223">
        <f t="shared" si="12"/>
        <v>155.18422557279413</v>
      </c>
      <c r="O22" s="223">
        <f t="shared" si="2"/>
        <v>121.00655433104558</v>
      </c>
      <c r="P22" s="223">
        <f t="shared" si="2"/>
        <v>83.959614195652975</v>
      </c>
      <c r="Q22" s="223">
        <f t="shared" si="2"/>
        <v>87.006454863781542</v>
      </c>
      <c r="R22" s="409">
        <f t="shared" si="13"/>
        <v>155.18422557279413</v>
      </c>
      <c r="S22" s="409">
        <f t="shared" si="14"/>
        <v>121.00655433104558</v>
      </c>
      <c r="T22" s="409">
        <f t="shared" si="15"/>
        <v>83.959614195652975</v>
      </c>
      <c r="U22" s="409">
        <f t="shared" si="16"/>
        <v>87.006454863781542</v>
      </c>
      <c r="V22" s="411">
        <f t="shared" si="17"/>
        <v>155.18422557279413</v>
      </c>
      <c r="W22" s="411">
        <f t="shared" si="18"/>
        <v>121.00655433104558</v>
      </c>
      <c r="X22" s="411">
        <f t="shared" si="19"/>
        <v>83.959614195652975</v>
      </c>
      <c r="Y22" s="411">
        <f t="shared" si="20"/>
        <v>87.006454863781542</v>
      </c>
      <c r="Z22" s="411">
        <f t="shared" si="21"/>
        <v>155.18422557279413</v>
      </c>
      <c r="AA22" s="411">
        <f t="shared" si="22"/>
        <v>121.00655433104558</v>
      </c>
      <c r="AB22" s="411">
        <f t="shared" si="23"/>
        <v>83.959614195652975</v>
      </c>
      <c r="AC22" s="411">
        <f t="shared" si="24"/>
        <v>87.006454863781542</v>
      </c>
      <c r="AD22" s="411">
        <f t="shared" si="25"/>
        <v>155.18422557279413</v>
      </c>
      <c r="AE22" s="411">
        <f t="shared" si="26"/>
        <v>121.00655433104558</v>
      </c>
      <c r="AF22" s="411">
        <f t="shared" si="27"/>
        <v>86.915035366795479</v>
      </c>
      <c r="AG22" s="411">
        <f t="shared" si="28"/>
        <v>86.915035366795479</v>
      </c>
      <c r="AH22" s="411">
        <f t="shared" si="29"/>
        <v>155.18422557279413</v>
      </c>
      <c r="AI22" s="411">
        <f t="shared" si="30"/>
        <v>121.00655433104558</v>
      </c>
      <c r="AJ22" s="411">
        <f t="shared" si="31"/>
        <v>86.915035366795479</v>
      </c>
      <c r="AK22" s="411">
        <f t="shared" si="32"/>
        <v>86.915035366795479</v>
      </c>
      <c r="AL22" s="411">
        <f>IF($C22="",AH22,IF(AH22&gt;AH23,SUMPRODUCT(AH22:AH23,F22:F23)/SUM(F22:F23),AH22))</f>
        <v>155.18422557279413</v>
      </c>
      <c r="AM22" s="411">
        <f>IF($C22="",AI22,IF(AI22&gt;AI23,SUMPRODUCT(AI22:AI23,G22:G23)/SUM(G22:G23),AI22))</f>
        <v>120.99988361194939</v>
      </c>
      <c r="AN22" s="411">
        <f>IF($C22="",AJ22,IF(AJ22&gt;AJ23,SUMPRODUCT(AJ22:AJ23,H22:H23)/SUM(H22:H23),AJ22))</f>
        <v>86.915035366795479</v>
      </c>
      <c r="AO22" s="411">
        <f>IF($C22="",AK22,IF(AK22&gt;AK23,SUMPRODUCT(AK22:AK23,I22:I23)/SUM(I22:I23),AK22))</f>
        <v>86.915035366795479</v>
      </c>
      <c r="AP22" s="411">
        <f t="shared" si="33"/>
        <v>155.18422557279413</v>
      </c>
      <c r="AQ22" s="411">
        <f t="shared" si="34"/>
        <v>120.99988361194939</v>
      </c>
      <c r="AR22" s="411">
        <f t="shared" si="35"/>
        <v>86.915035366795479</v>
      </c>
      <c r="AS22" s="411">
        <f t="shared" si="36"/>
        <v>86.915035366795479</v>
      </c>
      <c r="AT22" s="227" t="str">
        <f t="shared" si="5"/>
        <v/>
      </c>
      <c r="AU22" s="227" t="str">
        <f t="shared" si="37"/>
        <v/>
      </c>
      <c r="AV22" s="227" t="str">
        <f t="shared" si="38"/>
        <v/>
      </c>
      <c r="AW22" s="227" t="str">
        <f t="shared" si="39"/>
        <v/>
      </c>
      <c r="AX22" s="227" t="str">
        <f t="shared" si="6"/>
        <v/>
      </c>
      <c r="AY22" s="311" t="str">
        <f t="shared" si="7"/>
        <v/>
      </c>
      <c r="AZ22" s="311">
        <f t="shared" si="8"/>
        <v>155.18422557279413</v>
      </c>
      <c r="BA22" s="311">
        <f t="shared" si="40"/>
        <v>120.99988361194939</v>
      </c>
      <c r="BB22" s="311">
        <f t="shared" si="9"/>
        <v>86.915035366795479</v>
      </c>
      <c r="BC22" s="311">
        <f t="shared" si="10"/>
        <v>86.915035366795479</v>
      </c>
      <c r="BD22" s="227" t="str">
        <f t="shared" si="41"/>
        <v/>
      </c>
      <c r="BE22" s="227" t="str">
        <f t="shared" si="42"/>
        <v/>
      </c>
      <c r="BF22" s="227" t="str">
        <f t="shared" si="43"/>
        <v/>
      </c>
      <c r="BG22" s="227" t="str">
        <f t="shared" si="44"/>
        <v/>
      </c>
      <c r="BH22" s="227" t="str">
        <f t="shared" si="45"/>
        <v/>
      </c>
      <c r="BI22" s="227" t="str">
        <f t="shared" si="46"/>
        <v/>
      </c>
      <c r="BJ22" s="226">
        <f t="shared" si="47"/>
        <v>36438213.030794345</v>
      </c>
      <c r="BK22" s="335"/>
    </row>
    <row r="23" spans="1:63">
      <c r="A23" s="231">
        <v>217</v>
      </c>
      <c r="B23" s="231" t="str">
        <f>VLOOKUP(A23,'201314 RC list'!A:B,2,FALSE)</f>
        <v>Paediatric Maxillo-Facial Surgery</v>
      </c>
      <c r="C23" s="231" t="str">
        <f>$A$22&amp;"&amp;"&amp;$A$23</f>
        <v>144&amp;217</v>
      </c>
      <c r="D23" s="310" t="str">
        <f t="shared" si="11"/>
        <v>C</v>
      </c>
      <c r="E23" s="231">
        <f>IF(ISERROR(VLOOKUP(A23,Mandatory!A:A,1,FALSE)),0,1)</f>
        <v>1</v>
      </c>
      <c r="F23" s="222">
        <f>VLOOKUP(A23,'Front-loading'!A:AG,$F$6,FALSE)</f>
        <v>78</v>
      </c>
      <c r="G23" s="222">
        <f>VLOOKUP(A23,'Front-loading'!A:AG,$G$6,FALSE)</f>
        <v>3128</v>
      </c>
      <c r="H23" s="222">
        <f>VLOOKUP(A23,'Front-loading'!A:AG,$H$6,FALSE)</f>
        <v>252</v>
      </c>
      <c r="I23" s="222">
        <f>VLOOKUP(A23,'Front-loading'!A:AG,$I$6,FALSE)</f>
        <v>3531</v>
      </c>
      <c r="J23" s="222">
        <f>VLOOKUP(A23,'Front-loading'!A:AG,$J$6,FALSE)</f>
        <v>26451.934183671754</v>
      </c>
      <c r="K23" s="222">
        <f>VLOOKUP(A23,'Front-loading'!A:AG,$K$6,FALSE)</f>
        <v>369696.20289361192</v>
      </c>
      <c r="L23" s="222">
        <f>VLOOKUP(A23,'Front-loading'!A:AG,$L$6,FALSE)</f>
        <v>85866.430481556541</v>
      </c>
      <c r="M23" s="222">
        <f>VLOOKUP(A23,'Front-loading'!A:AG,$M$6,FALSE)</f>
        <v>389201.11047605495</v>
      </c>
      <c r="N23" s="223">
        <f t="shared" si="12"/>
        <v>339.12736132912505</v>
      </c>
      <c r="O23" s="223">
        <f t="shared" si="2"/>
        <v>118.18932317570713</v>
      </c>
      <c r="P23" s="223">
        <f t="shared" si="2"/>
        <v>340.73980349824024</v>
      </c>
      <c r="Q23" s="223">
        <f t="shared" si="2"/>
        <v>110.22404714699942</v>
      </c>
      <c r="R23" s="409">
        <f t="shared" si="13"/>
        <v>339.12736132912505</v>
      </c>
      <c r="S23" s="409">
        <f t="shared" si="14"/>
        <v>118.18932317570713</v>
      </c>
      <c r="T23" s="409">
        <f t="shared" si="15"/>
        <v>340.73980349824024</v>
      </c>
      <c r="U23" s="409">
        <f t="shared" si="16"/>
        <v>110.22404714699942</v>
      </c>
      <c r="V23" s="411">
        <f t="shared" si="17"/>
        <v>339.12736132912505</v>
      </c>
      <c r="W23" s="411">
        <f t="shared" si="18"/>
        <v>118.18932317570713</v>
      </c>
      <c r="X23" s="411">
        <f t="shared" si="19"/>
        <v>340.73980349824024</v>
      </c>
      <c r="Y23" s="411">
        <f t="shared" si="20"/>
        <v>110.22404714699942</v>
      </c>
      <c r="Z23" s="411">
        <f t="shared" si="21"/>
        <v>340.35868080372211</v>
      </c>
      <c r="AA23" s="411">
        <f t="shared" si="22"/>
        <v>118.18932317570713</v>
      </c>
      <c r="AB23" s="411">
        <f t="shared" si="23"/>
        <v>340.35868080372211</v>
      </c>
      <c r="AC23" s="411">
        <f t="shared" si="24"/>
        <v>110.22404714699942</v>
      </c>
      <c r="AD23" s="411">
        <f t="shared" si="25"/>
        <v>340.35868080372211</v>
      </c>
      <c r="AE23" s="411">
        <f t="shared" si="26"/>
        <v>118.18932317570713</v>
      </c>
      <c r="AF23" s="411">
        <f t="shared" si="27"/>
        <v>340.35868080372211</v>
      </c>
      <c r="AG23" s="411">
        <f t="shared" si="28"/>
        <v>110.22404714699942</v>
      </c>
      <c r="AH23" s="411">
        <f t="shared" si="29"/>
        <v>241.31801461406957</v>
      </c>
      <c r="AI23" s="411">
        <f t="shared" si="30"/>
        <v>120.65900730703478</v>
      </c>
      <c r="AJ23" s="411">
        <f t="shared" si="31"/>
        <v>235.4257735011613</v>
      </c>
      <c r="AK23" s="411">
        <f t="shared" si="32"/>
        <v>117.71288675058065</v>
      </c>
      <c r="AL23" s="411">
        <f>IF($C23="",AH23,IF(AH22&gt;AH23,SUMPRODUCT(AH22:AH23,F22:F23)/SUM(F22:F23),AH23))</f>
        <v>241.31801461406957</v>
      </c>
      <c r="AM23" s="411">
        <f>IF($C23="",AI23,IF(AI22&gt;AI23,SUMPRODUCT(AI22:AI23,G22:G23)/SUM(G22:G23),AI23))</f>
        <v>120.99988361194939</v>
      </c>
      <c r="AN23" s="411">
        <f>IF($C23="",AJ23,IF(AJ22&gt;AJ23,SUMPRODUCT(AJ22:AJ23,H22:H23)/SUM(H22:H23),AJ23))</f>
        <v>235.4257735011613</v>
      </c>
      <c r="AO23" s="411">
        <f>IF($C23="",AK23,IF(AK22&gt;AK23,SUMPRODUCT(AK22:AK23,I22:I23)/SUM(I22:I23),AK23))</f>
        <v>117.71288675058065</v>
      </c>
      <c r="AP23" s="411">
        <f t="shared" si="33"/>
        <v>241.31801461406957</v>
      </c>
      <c r="AQ23" s="411">
        <f t="shared" si="34"/>
        <v>120.99988361194939</v>
      </c>
      <c r="AR23" s="411">
        <f t="shared" si="35"/>
        <v>235.4257735011613</v>
      </c>
      <c r="AS23" s="411">
        <f t="shared" si="36"/>
        <v>117.71288675058065</v>
      </c>
      <c r="AT23" s="227" t="str">
        <f t="shared" si="5"/>
        <v/>
      </c>
      <c r="AU23" s="227" t="str">
        <f t="shared" si="37"/>
        <v/>
      </c>
      <c r="AV23" s="227" t="str">
        <f t="shared" si="38"/>
        <v/>
      </c>
      <c r="AW23" s="227" t="str">
        <f t="shared" si="39"/>
        <v/>
      </c>
      <c r="AX23" s="227" t="str">
        <f t="shared" si="6"/>
        <v/>
      </c>
      <c r="AY23" s="311" t="str">
        <f t="shared" si="7"/>
        <v/>
      </c>
      <c r="AZ23" s="311">
        <f t="shared" si="8"/>
        <v>241.31801461406957</v>
      </c>
      <c r="BA23" s="311">
        <f t="shared" si="40"/>
        <v>120.99988361194939</v>
      </c>
      <c r="BB23" s="311">
        <f t="shared" si="9"/>
        <v>235.4257735011613</v>
      </c>
      <c r="BC23" s="311">
        <f t="shared" si="10"/>
        <v>117.71288675058065</v>
      </c>
      <c r="BD23" s="227" t="str">
        <f t="shared" si="41"/>
        <v/>
      </c>
      <c r="BE23" s="227" t="str">
        <f t="shared" si="42"/>
        <v/>
      </c>
      <c r="BF23" s="227" t="str">
        <f t="shared" si="43"/>
        <v/>
      </c>
      <c r="BG23" s="227" t="str">
        <f t="shared" si="44"/>
        <v/>
      </c>
      <c r="BH23" s="227" t="str">
        <f t="shared" si="45"/>
        <v/>
      </c>
      <c r="BI23" s="227" t="str">
        <f t="shared" si="46"/>
        <v/>
      </c>
      <c r="BJ23" s="226">
        <f t="shared" si="47"/>
        <v>872281.93911666807</v>
      </c>
      <c r="BK23" s="335"/>
    </row>
    <row r="24" spans="1:63">
      <c r="A24" s="231">
        <v>150</v>
      </c>
      <c r="B24" s="231" t="str">
        <f>VLOOKUP(A24,'201314 RC list'!A:B,2,FALSE)</f>
        <v>Neurosurgery</v>
      </c>
      <c r="C24" s="231" t="str">
        <f>$A$24&amp;"&amp;"&amp;$A$25</f>
        <v>150&amp;218</v>
      </c>
      <c r="D24" s="310" t="str">
        <f t="shared" si="11"/>
        <v>A</v>
      </c>
      <c r="E24" s="231">
        <f>IF(ISERROR(VLOOKUP(A24,Mandatory!A:A,1,FALSE)),0,1)</f>
        <v>1</v>
      </c>
      <c r="F24" s="222">
        <f>VLOOKUP(A24,'Front-loading'!A:AG,$F$6,FALSE)</f>
        <v>4955</v>
      </c>
      <c r="G24" s="222">
        <f>VLOOKUP(A24,'Front-loading'!A:AG,$G$6,FALSE)</f>
        <v>95890</v>
      </c>
      <c r="H24" s="222">
        <f>VLOOKUP(A24,'Front-loading'!A:AG,$H$6,FALSE)</f>
        <v>4685</v>
      </c>
      <c r="I24" s="222">
        <f>VLOOKUP(A24,'Front-loading'!A:AG,$I$6,FALSE)</f>
        <v>150093</v>
      </c>
      <c r="J24" s="222">
        <f>VLOOKUP(A24,'Front-loading'!A:AG,$J$6,FALSE)</f>
        <v>1245192.2696353402</v>
      </c>
      <c r="K24" s="222">
        <f>VLOOKUP(A24,'Front-loading'!A:AG,$K$6,FALSE)</f>
        <v>19540246.174767327</v>
      </c>
      <c r="L24" s="222">
        <f>VLOOKUP(A24,'Front-loading'!A:AG,$L$6,FALSE)</f>
        <v>858839.1848198598</v>
      </c>
      <c r="M24" s="222">
        <f>VLOOKUP(A24,'Front-loading'!A:AG,$M$6,FALSE)</f>
        <v>20814624.176151227</v>
      </c>
      <c r="N24" s="223">
        <f t="shared" si="12"/>
        <v>251.30015532499297</v>
      </c>
      <c r="O24" s="223">
        <f t="shared" si="2"/>
        <v>203.7777262985434</v>
      </c>
      <c r="P24" s="223">
        <f t="shared" si="2"/>
        <v>183.31679505226464</v>
      </c>
      <c r="Q24" s="223">
        <f t="shared" si="2"/>
        <v>138.67818070230609</v>
      </c>
      <c r="R24" s="409">
        <f t="shared" si="13"/>
        <v>251.30015532499297</v>
      </c>
      <c r="S24" s="409">
        <f t="shared" si="14"/>
        <v>203.7777262985434</v>
      </c>
      <c r="T24" s="409">
        <f t="shared" si="15"/>
        <v>183.31679505226464</v>
      </c>
      <c r="U24" s="409">
        <f t="shared" si="16"/>
        <v>138.67818070230609</v>
      </c>
      <c r="V24" s="411">
        <f t="shared" si="17"/>
        <v>251.30015532499297</v>
      </c>
      <c r="W24" s="411">
        <f t="shared" si="18"/>
        <v>203.7777262985434</v>
      </c>
      <c r="X24" s="411">
        <f t="shared" si="19"/>
        <v>183.31679505226464</v>
      </c>
      <c r="Y24" s="411">
        <f t="shared" si="20"/>
        <v>138.67818070230609</v>
      </c>
      <c r="Z24" s="411">
        <f t="shared" si="21"/>
        <v>251.30015532499297</v>
      </c>
      <c r="AA24" s="411">
        <f t="shared" si="22"/>
        <v>203.7777262985434</v>
      </c>
      <c r="AB24" s="411">
        <f t="shared" si="23"/>
        <v>183.31679505226464</v>
      </c>
      <c r="AC24" s="411">
        <f t="shared" si="24"/>
        <v>138.67818070230609</v>
      </c>
      <c r="AD24" s="411">
        <f t="shared" si="25"/>
        <v>251.30015532499297</v>
      </c>
      <c r="AE24" s="411">
        <f t="shared" si="26"/>
        <v>203.7777262985434</v>
      </c>
      <c r="AF24" s="411">
        <f t="shared" si="27"/>
        <v>183.31679505226464</v>
      </c>
      <c r="AG24" s="411">
        <f t="shared" si="28"/>
        <v>138.67818070230609</v>
      </c>
      <c r="AH24" s="411">
        <f t="shared" si="29"/>
        <v>251.30015532499297</v>
      </c>
      <c r="AI24" s="411">
        <f t="shared" si="30"/>
        <v>203.7777262985434</v>
      </c>
      <c r="AJ24" s="411">
        <f t="shared" si="31"/>
        <v>183.31679505226464</v>
      </c>
      <c r="AK24" s="411">
        <f t="shared" si="32"/>
        <v>138.67818070230609</v>
      </c>
      <c r="AL24" s="411">
        <f>IF($C24="",AH24,IF(AH24&gt;AH25,SUMPRODUCT(AH24:AH25,F24:F25)/SUM(F24:F25),AH24))</f>
        <v>251.30015532499297</v>
      </c>
      <c r="AM24" s="411">
        <f>IF($C24="",AI24,IF(AI24&gt;AI25,SUMPRODUCT(AI24:AI25,G24:G25)/SUM(G24:G25),AI24))</f>
        <v>203.7777262985434</v>
      </c>
      <c r="AN24" s="411">
        <f>IF($C24="",AJ24,IF(AJ24&gt;AJ25,SUMPRODUCT(AJ24:AJ25,H24:H25)/SUM(H24:H25),AJ24))</f>
        <v>182.27019865757168</v>
      </c>
      <c r="AO24" s="411">
        <f>IF($C24="",AK24,IF(AK24&gt;AK25,SUMPRODUCT(AK24:AK25,I24:I25)/SUM(I24:I25),AK24))</f>
        <v>138.67818070230609</v>
      </c>
      <c r="AP24" s="411">
        <f t="shared" si="33"/>
        <v>251.30015532499297</v>
      </c>
      <c r="AQ24" s="411">
        <f t="shared" si="34"/>
        <v>203.7777262985434</v>
      </c>
      <c r="AR24" s="411">
        <f t="shared" si="35"/>
        <v>182.27019865757168</v>
      </c>
      <c r="AS24" s="411">
        <f t="shared" si="36"/>
        <v>138.67818070230609</v>
      </c>
      <c r="AT24" s="227" t="str">
        <f t="shared" si="5"/>
        <v/>
      </c>
      <c r="AU24" s="227" t="str">
        <f t="shared" si="37"/>
        <v/>
      </c>
      <c r="AV24" s="227" t="str">
        <f t="shared" si="38"/>
        <v/>
      </c>
      <c r="AW24" s="227" t="str">
        <f t="shared" si="39"/>
        <v/>
      </c>
      <c r="AX24" s="227" t="str">
        <f t="shared" si="6"/>
        <v/>
      </c>
      <c r="AY24" s="311" t="str">
        <f t="shared" si="7"/>
        <v/>
      </c>
      <c r="AZ24" s="311">
        <f t="shared" si="8"/>
        <v>251.30015532499297</v>
      </c>
      <c r="BA24" s="311">
        <f t="shared" si="40"/>
        <v>203.7777262985434</v>
      </c>
      <c r="BB24" s="311">
        <f t="shared" si="9"/>
        <v>182.27019865757168</v>
      </c>
      <c r="BC24" s="311">
        <f t="shared" si="10"/>
        <v>138.67818070230609</v>
      </c>
      <c r="BD24" s="227" t="str">
        <f t="shared" si="41"/>
        <v/>
      </c>
      <c r="BE24" s="227" t="str">
        <f t="shared" si="42"/>
        <v/>
      </c>
      <c r="BF24" s="227" t="str">
        <f t="shared" si="43"/>
        <v/>
      </c>
      <c r="BG24" s="227" t="str">
        <f t="shared" si="44"/>
        <v/>
      </c>
      <c r="BH24" s="227" t="str">
        <f t="shared" si="45"/>
        <v/>
      </c>
      <c r="BI24" s="227" t="str">
        <f t="shared" si="46"/>
        <v/>
      </c>
      <c r="BJ24" s="226">
        <f t="shared" si="47"/>
        <v>42453998.501264617</v>
      </c>
      <c r="BK24" s="335"/>
    </row>
    <row r="25" spans="1:63">
      <c r="A25" s="231">
        <v>218</v>
      </c>
      <c r="B25" s="231" t="str">
        <f>VLOOKUP(A25,'201314 RC list'!A:B,2,FALSE)</f>
        <v>Paediatric Neurosurgery</v>
      </c>
      <c r="C25" s="231" t="str">
        <f>$A$24&amp;"&amp;"&amp;$A$25</f>
        <v>150&amp;218</v>
      </c>
      <c r="D25" s="310" t="str">
        <f t="shared" si="11"/>
        <v>C</v>
      </c>
      <c r="E25" s="231">
        <f>IF(ISERROR(VLOOKUP(A25,Mandatory!A:A,1,FALSE)),0,1)</f>
        <v>1</v>
      </c>
      <c r="F25" s="222">
        <f>VLOOKUP(A25,'Front-loading'!A:AG,$F$6,FALSE)</f>
        <v>54</v>
      </c>
      <c r="G25" s="222">
        <f>VLOOKUP(A25,'Front-loading'!A:AG,$G$6,FALSE)</f>
        <v>3482</v>
      </c>
      <c r="H25" s="222">
        <f>VLOOKUP(A25,'Front-loading'!A:AG,$H$6,FALSE)</f>
        <v>237</v>
      </c>
      <c r="I25" s="222">
        <f>VLOOKUP(A25,'Front-loading'!A:AG,$I$6,FALSE)</f>
        <v>12512</v>
      </c>
      <c r="J25" s="222">
        <f>VLOOKUP(A25,'Front-loading'!A:AG,$J$6,FALSE)</f>
        <v>16139.533578716448</v>
      </c>
      <c r="K25" s="222">
        <f>VLOOKUP(A25,'Front-loading'!A:AG,$K$6,FALSE)</f>
        <v>1060739.0672281478</v>
      </c>
      <c r="L25" s="222">
        <f>VLOOKUP(A25,'Front-loading'!A:AG,$L$6,FALSE)</f>
        <v>28034.340295856851</v>
      </c>
      <c r="M25" s="222">
        <f>VLOOKUP(A25,'Front-loading'!A:AG,$M$6,FALSE)</f>
        <v>2031963.7637929854</v>
      </c>
      <c r="N25" s="223">
        <f t="shared" si="12"/>
        <v>298.88025145771201</v>
      </c>
      <c r="O25" s="223">
        <f t="shared" si="2"/>
        <v>304.63499920394821</v>
      </c>
      <c r="P25" s="223">
        <f t="shared" si="2"/>
        <v>118.28835567872089</v>
      </c>
      <c r="Q25" s="223">
        <f t="shared" si="2"/>
        <v>162.40119595532173</v>
      </c>
      <c r="R25" s="409">
        <f t="shared" si="13"/>
        <v>298.88025145771201</v>
      </c>
      <c r="S25" s="409">
        <f t="shared" si="14"/>
        <v>304.63499920394821</v>
      </c>
      <c r="T25" s="409">
        <f t="shared" si="15"/>
        <v>118.28835567872089</v>
      </c>
      <c r="U25" s="409">
        <f t="shared" si="16"/>
        <v>162.40119595532173</v>
      </c>
      <c r="V25" s="411">
        <f t="shared" si="17"/>
        <v>298.88025145771201</v>
      </c>
      <c r="W25" s="411">
        <f t="shared" si="18"/>
        <v>304.63499920394821</v>
      </c>
      <c r="X25" s="411">
        <f t="shared" si="19"/>
        <v>118.28835567872089</v>
      </c>
      <c r="Y25" s="411">
        <f t="shared" si="20"/>
        <v>162.40119595532173</v>
      </c>
      <c r="Z25" s="411">
        <f t="shared" si="21"/>
        <v>298.88025145771201</v>
      </c>
      <c r="AA25" s="411">
        <f t="shared" si="22"/>
        <v>304.63499920394821</v>
      </c>
      <c r="AB25" s="411">
        <f t="shared" si="23"/>
        <v>118.28835567872089</v>
      </c>
      <c r="AC25" s="411">
        <f t="shared" si="24"/>
        <v>162.40119595532173</v>
      </c>
      <c r="AD25" s="411">
        <f t="shared" si="25"/>
        <v>304.54711561280095</v>
      </c>
      <c r="AE25" s="411">
        <f t="shared" si="26"/>
        <v>304.54711561280095</v>
      </c>
      <c r="AF25" s="411">
        <f t="shared" si="27"/>
        <v>161.58115178357849</v>
      </c>
      <c r="AG25" s="411">
        <f t="shared" si="28"/>
        <v>161.58115178357849</v>
      </c>
      <c r="AH25" s="411">
        <f t="shared" si="29"/>
        <v>304.54711561280095</v>
      </c>
      <c r="AI25" s="411">
        <f t="shared" si="30"/>
        <v>304.54711561280095</v>
      </c>
      <c r="AJ25" s="411">
        <f t="shared" si="31"/>
        <v>161.58115178357849</v>
      </c>
      <c r="AK25" s="411">
        <f t="shared" si="32"/>
        <v>161.58115178357849</v>
      </c>
      <c r="AL25" s="411">
        <f>IF($C25="",AH25,IF(AH24&gt;AH25,SUMPRODUCT(AH24:AH25,F24:F25)/SUM(F24:F25),AH25))</f>
        <v>304.54711561280095</v>
      </c>
      <c r="AM25" s="411">
        <f>IF($C25="",AI25,IF(AI24&gt;AI25,SUMPRODUCT(AI24:AI25,G24:G25)/SUM(G24:G25),AI25))</f>
        <v>304.54711561280095</v>
      </c>
      <c r="AN25" s="411">
        <f>IF($C25="",AJ25,IF(AJ24&gt;AJ25,SUMPRODUCT(AJ24:AJ25,H24:H25)/SUM(H24:H25),AJ25))</f>
        <v>182.27019865757168</v>
      </c>
      <c r="AO25" s="411">
        <f>IF($C25="",AK25,IF(AK24&gt;AK25,SUMPRODUCT(AK24:AK25,I24:I25)/SUM(I24:I25),AK25))</f>
        <v>161.58115178357849</v>
      </c>
      <c r="AP25" s="411">
        <f t="shared" si="33"/>
        <v>304.54711561280095</v>
      </c>
      <c r="AQ25" s="411">
        <f t="shared" si="34"/>
        <v>304.54711561280095</v>
      </c>
      <c r="AR25" s="411">
        <f t="shared" si="35"/>
        <v>182.27019865757168</v>
      </c>
      <c r="AS25" s="411">
        <f t="shared" si="36"/>
        <v>161.58115178357849</v>
      </c>
      <c r="AT25" s="227" t="str">
        <f t="shared" si="5"/>
        <v/>
      </c>
      <c r="AU25" s="227" t="str">
        <f t="shared" si="37"/>
        <v/>
      </c>
      <c r="AV25" s="227" t="str">
        <f t="shared" si="38"/>
        <v/>
      </c>
      <c r="AW25" s="227" t="str">
        <f t="shared" si="39"/>
        <v/>
      </c>
      <c r="AX25" s="227" t="str">
        <f t="shared" si="6"/>
        <v/>
      </c>
      <c r="AY25" s="311" t="str">
        <f t="shared" si="7"/>
        <v/>
      </c>
      <c r="AZ25" s="311">
        <f t="shared" si="8"/>
        <v>304.54711561280095</v>
      </c>
      <c r="BA25" s="311">
        <f t="shared" si="40"/>
        <v>304.54711561280095</v>
      </c>
      <c r="BB25" s="311">
        <f t="shared" si="9"/>
        <v>182.27019865757168</v>
      </c>
      <c r="BC25" s="311">
        <f t="shared" si="10"/>
        <v>161.58115178357849</v>
      </c>
      <c r="BD25" s="227" t="str">
        <f t="shared" si="41"/>
        <v/>
      </c>
      <c r="BE25" s="227" t="str">
        <f t="shared" si="42"/>
        <v/>
      </c>
      <c r="BF25" s="227" t="str">
        <f t="shared" si="43"/>
        <v/>
      </c>
      <c r="BG25" s="227" t="str">
        <f t="shared" si="44"/>
        <v/>
      </c>
      <c r="BH25" s="227" t="str">
        <f t="shared" si="45"/>
        <v/>
      </c>
      <c r="BI25" s="227" t="str">
        <f t="shared" si="46"/>
        <v/>
      </c>
      <c r="BJ25" s="226">
        <f t="shared" si="47"/>
        <v>3141780.0090048425</v>
      </c>
      <c r="BK25" s="335"/>
    </row>
    <row r="26" spans="1:63">
      <c r="A26" s="231">
        <v>160</v>
      </c>
      <c r="B26" s="231" t="str">
        <f>VLOOKUP(A26,'201314 RC list'!A:B,2,FALSE)</f>
        <v>Plastic Surgery</v>
      </c>
      <c r="C26" s="231" t="str">
        <f>$A$26&amp;"&amp;"&amp;$A$27</f>
        <v>160&amp;219</v>
      </c>
      <c r="D26" s="310" t="str">
        <f t="shared" si="11"/>
        <v>A</v>
      </c>
      <c r="E26" s="231">
        <f>IF(ISERROR(VLOOKUP(A26,Mandatory!A:A,1,FALSE)),0,1)</f>
        <v>1</v>
      </c>
      <c r="F26" s="222">
        <f>VLOOKUP(A26,'Front-loading'!A:AG,$F$6,FALSE)</f>
        <v>12223</v>
      </c>
      <c r="G26" s="222">
        <f>VLOOKUP(A26,'Front-loading'!A:AG,$G$6,FALSE)</f>
        <v>229186</v>
      </c>
      <c r="H26" s="222">
        <f>VLOOKUP(A26,'Front-loading'!A:AG,$H$6,FALSE)</f>
        <v>15370</v>
      </c>
      <c r="I26" s="222">
        <f>VLOOKUP(A26,'Front-loading'!A:AG,$I$6,FALSE)</f>
        <v>467890</v>
      </c>
      <c r="J26" s="222">
        <f>VLOOKUP(A26,'Front-loading'!A:AG,$J$6,FALSE)</f>
        <v>2075696.4670118119</v>
      </c>
      <c r="K26" s="222">
        <f>VLOOKUP(A26,'Front-loading'!A:AG,$K$6,FALSE)</f>
        <v>26521881.963956751</v>
      </c>
      <c r="L26" s="222">
        <f>VLOOKUP(A26,'Front-loading'!A:AG,$L$6,FALSE)</f>
        <v>1906003.0157059305</v>
      </c>
      <c r="M26" s="222">
        <f>VLOOKUP(A26,'Front-loading'!A:AG,$M$6,FALSE)</f>
        <v>33405134.277917165</v>
      </c>
      <c r="N26" s="223">
        <f t="shared" si="12"/>
        <v>169.81890427978499</v>
      </c>
      <c r="O26" s="223">
        <f t="shared" si="12"/>
        <v>115.72208583402455</v>
      </c>
      <c r="P26" s="223">
        <f t="shared" si="12"/>
        <v>124.00800362432859</v>
      </c>
      <c r="Q26" s="223">
        <f t="shared" si="12"/>
        <v>71.395272987063549</v>
      </c>
      <c r="R26" s="409">
        <f t="shared" si="13"/>
        <v>169.81890427978499</v>
      </c>
      <c r="S26" s="409">
        <f t="shared" si="14"/>
        <v>115.72208583402455</v>
      </c>
      <c r="T26" s="409">
        <f t="shared" si="15"/>
        <v>124.00800362432859</v>
      </c>
      <c r="U26" s="409">
        <f t="shared" si="16"/>
        <v>71.395272987063549</v>
      </c>
      <c r="V26" s="411">
        <f t="shared" si="17"/>
        <v>169.81890427978499</v>
      </c>
      <c r="W26" s="411">
        <f t="shared" si="18"/>
        <v>115.72208583402455</v>
      </c>
      <c r="X26" s="411">
        <f t="shared" si="19"/>
        <v>124.00800362432859</v>
      </c>
      <c r="Y26" s="411">
        <f t="shared" si="20"/>
        <v>71.395272987063549</v>
      </c>
      <c r="Z26" s="411">
        <f t="shared" si="21"/>
        <v>169.81890427978499</v>
      </c>
      <c r="AA26" s="411">
        <f t="shared" si="22"/>
        <v>115.72208583402455</v>
      </c>
      <c r="AB26" s="411">
        <f t="shared" si="23"/>
        <v>124.00800362432859</v>
      </c>
      <c r="AC26" s="411">
        <f t="shared" si="24"/>
        <v>71.395272987063549</v>
      </c>
      <c r="AD26" s="411">
        <f t="shared" si="25"/>
        <v>169.81890427978499</v>
      </c>
      <c r="AE26" s="411">
        <f t="shared" si="26"/>
        <v>115.72208583402455</v>
      </c>
      <c r="AF26" s="411">
        <f t="shared" si="27"/>
        <v>124.00800362432859</v>
      </c>
      <c r="AG26" s="411">
        <f t="shared" si="28"/>
        <v>71.395272987063549</v>
      </c>
      <c r="AH26" s="411">
        <f t="shared" si="29"/>
        <v>169.81890427978499</v>
      </c>
      <c r="AI26" s="411">
        <f t="shared" si="30"/>
        <v>115.72208583402455</v>
      </c>
      <c r="AJ26" s="411">
        <f t="shared" si="31"/>
        <v>124.00800362432859</v>
      </c>
      <c r="AK26" s="411">
        <f t="shared" si="32"/>
        <v>71.395272987063549</v>
      </c>
      <c r="AL26" s="411">
        <f>IF($C26="",AH26,IF(AH26&gt;AH27,SUMPRODUCT(AH26:AH27,F26:F27)/SUM(F26:F27),AH26))</f>
        <v>169.81890427978499</v>
      </c>
      <c r="AM26" s="411">
        <f>IF($C26="",AI26,IF(AI26&gt;AI27,SUMPRODUCT(AI26:AI27,G26:G27)/SUM(G26:G27),AI26))</f>
        <v>115.72208583402455</v>
      </c>
      <c r="AN26" s="411">
        <f>IF($C26="",AJ26,IF(AJ26&gt;AJ27,SUMPRODUCT(AJ26:AJ27,H26:H27)/SUM(H26:H27),AJ26))</f>
        <v>124.00800362432859</v>
      </c>
      <c r="AO26" s="411">
        <f>IF($C26="",AK26,IF(AK26&gt;AK27,SUMPRODUCT(AK26:AK27,I26:I27)/SUM(I26:I27),AK26))</f>
        <v>71.395272987063549</v>
      </c>
      <c r="AP26" s="411">
        <f t="shared" si="33"/>
        <v>169.81890427978499</v>
      </c>
      <c r="AQ26" s="411">
        <f t="shared" si="34"/>
        <v>115.72208583402455</v>
      </c>
      <c r="AR26" s="411">
        <f t="shared" si="35"/>
        <v>124.00800362432859</v>
      </c>
      <c r="AS26" s="411">
        <f t="shared" si="36"/>
        <v>71.395272987063549</v>
      </c>
      <c r="AT26" s="227" t="str">
        <f t="shared" si="5"/>
        <v/>
      </c>
      <c r="AU26" s="227" t="str">
        <f t="shared" si="37"/>
        <v/>
      </c>
      <c r="AV26" s="227" t="str">
        <f t="shared" si="38"/>
        <v/>
      </c>
      <c r="AW26" s="227" t="str">
        <f t="shared" si="39"/>
        <v/>
      </c>
      <c r="AX26" s="227" t="str">
        <f t="shared" si="6"/>
        <v/>
      </c>
      <c r="AY26" s="311" t="str">
        <f t="shared" si="7"/>
        <v/>
      </c>
      <c r="AZ26" s="311">
        <f t="shared" si="8"/>
        <v>169.81890427978499</v>
      </c>
      <c r="BA26" s="311">
        <f t="shared" si="40"/>
        <v>115.72208583402455</v>
      </c>
      <c r="BB26" s="311">
        <f t="shared" si="9"/>
        <v>124.00800362432859</v>
      </c>
      <c r="BC26" s="311">
        <f t="shared" si="10"/>
        <v>71.395272987063549</v>
      </c>
      <c r="BD26" s="227" t="str">
        <f t="shared" si="41"/>
        <v/>
      </c>
      <c r="BE26" s="227" t="str">
        <f t="shared" si="42"/>
        <v/>
      </c>
      <c r="BF26" s="227" t="str">
        <f t="shared" si="43"/>
        <v/>
      </c>
      <c r="BG26" s="227" t="str">
        <f t="shared" si="44"/>
        <v/>
      </c>
      <c r="BH26" s="227" t="str">
        <f t="shared" si="45"/>
        <v/>
      </c>
      <c r="BI26" s="227" t="str">
        <f t="shared" si="46"/>
        <v/>
      </c>
      <c r="BJ26" s="226">
        <f t="shared" si="47"/>
        <v>63908715.724591658</v>
      </c>
      <c r="BK26" s="335"/>
    </row>
    <row r="27" spans="1:63">
      <c r="A27" s="231">
        <v>219</v>
      </c>
      <c r="B27" s="231" t="str">
        <f>VLOOKUP(A27,'201314 RC list'!A:B,2,FALSE)</f>
        <v>Paediatric Plastic Surgery</v>
      </c>
      <c r="C27" s="231" t="str">
        <f>$A$26&amp;"&amp;"&amp;$A$27</f>
        <v>160&amp;219</v>
      </c>
      <c r="D27" s="310" t="str">
        <f t="shared" si="11"/>
        <v>C</v>
      </c>
      <c r="E27" s="231">
        <f>IF(ISERROR(VLOOKUP(A27,Mandatory!A:A,1,FALSE)),0,1)</f>
        <v>1</v>
      </c>
      <c r="F27" s="222">
        <f>VLOOKUP(A27,'Front-loading'!A:AG,$F$6,FALSE)</f>
        <v>392</v>
      </c>
      <c r="G27" s="222">
        <f>VLOOKUP(A27,'Front-loading'!A:AG,$G$6,FALSE)</f>
        <v>14657</v>
      </c>
      <c r="H27" s="222">
        <f>VLOOKUP(A27,'Front-loading'!A:AG,$H$6,FALSE)</f>
        <v>1128</v>
      </c>
      <c r="I27" s="222">
        <f>VLOOKUP(A27,'Front-loading'!A:AG,$I$6,FALSE)</f>
        <v>38224</v>
      </c>
      <c r="J27" s="222">
        <f>VLOOKUP(A27,'Front-loading'!A:AG,$J$6,FALSE)</f>
        <v>109764.66990267563</v>
      </c>
      <c r="K27" s="222">
        <f>VLOOKUP(A27,'Front-loading'!A:AG,$K$6,FALSE)</f>
        <v>2770839.3658148665</v>
      </c>
      <c r="L27" s="222">
        <f>VLOOKUP(A27,'Front-loading'!A:AG,$L$6,FALSE)</f>
        <v>142152.20418492885</v>
      </c>
      <c r="M27" s="222">
        <f>VLOOKUP(A27,'Front-loading'!A:AG,$M$6,FALSE)</f>
        <v>4724314.1984029822</v>
      </c>
      <c r="N27" s="223">
        <f t="shared" si="12"/>
        <v>280.01191301702966</v>
      </c>
      <c r="O27" s="223">
        <f t="shared" si="12"/>
        <v>189.0454639977394</v>
      </c>
      <c r="P27" s="223">
        <f t="shared" si="12"/>
        <v>126.02145761075252</v>
      </c>
      <c r="Q27" s="223">
        <f t="shared" si="12"/>
        <v>123.59549493519732</v>
      </c>
      <c r="R27" s="409">
        <f t="shared" si="13"/>
        <v>280.01191301702966</v>
      </c>
      <c r="S27" s="409">
        <f t="shared" si="14"/>
        <v>189.0454639977394</v>
      </c>
      <c r="T27" s="409">
        <f t="shared" si="15"/>
        <v>126.02145761075252</v>
      </c>
      <c r="U27" s="409">
        <f t="shared" si="16"/>
        <v>123.59549493519732</v>
      </c>
      <c r="V27" s="411">
        <f t="shared" si="17"/>
        <v>280.01191301702966</v>
      </c>
      <c r="W27" s="411">
        <f t="shared" si="18"/>
        <v>189.0454639977394</v>
      </c>
      <c r="X27" s="411">
        <f t="shared" si="19"/>
        <v>126.02145761075252</v>
      </c>
      <c r="Y27" s="411">
        <f t="shared" si="20"/>
        <v>123.59549493519732</v>
      </c>
      <c r="Z27" s="411">
        <f t="shared" si="21"/>
        <v>280.01191301702966</v>
      </c>
      <c r="AA27" s="411">
        <f t="shared" si="22"/>
        <v>189.0454639977394</v>
      </c>
      <c r="AB27" s="411">
        <f t="shared" si="23"/>
        <v>126.02145761075252</v>
      </c>
      <c r="AC27" s="411">
        <f t="shared" si="24"/>
        <v>123.59549493519732</v>
      </c>
      <c r="AD27" s="411">
        <f t="shared" si="25"/>
        <v>280.01191301702966</v>
      </c>
      <c r="AE27" s="411">
        <f t="shared" si="26"/>
        <v>189.0454639977394</v>
      </c>
      <c r="AF27" s="411">
        <f t="shared" si="27"/>
        <v>126.02145761075252</v>
      </c>
      <c r="AG27" s="411">
        <f t="shared" si="28"/>
        <v>123.59549493519732</v>
      </c>
      <c r="AH27" s="411">
        <f t="shared" si="29"/>
        <v>280.01191301702966</v>
      </c>
      <c r="AI27" s="411">
        <f t="shared" si="30"/>
        <v>189.0454639977394</v>
      </c>
      <c r="AJ27" s="411">
        <f t="shared" si="31"/>
        <v>126.02145761075252</v>
      </c>
      <c r="AK27" s="411">
        <f t="shared" si="32"/>
        <v>123.59549493519732</v>
      </c>
      <c r="AL27" s="411">
        <f>IF($C27="",AH27,IF(AH26&gt;AH27,SUMPRODUCT(AH26:AH27,F26:F27)/SUM(F26:F27),AH27))</f>
        <v>280.01191301702966</v>
      </c>
      <c r="AM27" s="411">
        <f>IF($C27="",AI27,IF(AI26&gt;AI27,SUMPRODUCT(AI26:AI27,G26:G27)/SUM(G26:G27),AI27))</f>
        <v>189.0454639977394</v>
      </c>
      <c r="AN27" s="411">
        <f>IF($C27="",AJ27,IF(AJ26&gt;AJ27,SUMPRODUCT(AJ26:AJ27,H26:H27)/SUM(H26:H27),AJ27))</f>
        <v>126.02145761075252</v>
      </c>
      <c r="AO27" s="411">
        <f>IF($C27="",AK27,IF(AK26&gt;AK27,SUMPRODUCT(AK26:AK27,I26:I27)/SUM(I26:I27),AK27))</f>
        <v>123.59549493519732</v>
      </c>
      <c r="AP27" s="411">
        <f t="shared" si="33"/>
        <v>280.01191301702966</v>
      </c>
      <c r="AQ27" s="411">
        <f t="shared" si="34"/>
        <v>189.0454639977394</v>
      </c>
      <c r="AR27" s="411">
        <f t="shared" si="35"/>
        <v>126.02145761075252</v>
      </c>
      <c r="AS27" s="411">
        <f t="shared" si="36"/>
        <v>123.59549493519732</v>
      </c>
      <c r="AT27" s="227" t="str">
        <f t="shared" si="5"/>
        <v/>
      </c>
      <c r="AU27" s="227" t="str">
        <f t="shared" si="37"/>
        <v/>
      </c>
      <c r="AV27" s="227" t="str">
        <f t="shared" si="38"/>
        <v/>
      </c>
      <c r="AW27" s="227" t="str">
        <f t="shared" si="39"/>
        <v/>
      </c>
      <c r="AX27" s="227" t="str">
        <f t="shared" si="6"/>
        <v/>
      </c>
      <c r="AY27" s="311" t="str">
        <f t="shared" si="7"/>
        <v/>
      </c>
      <c r="AZ27" s="311">
        <f t="shared" si="8"/>
        <v>280.01191301702966</v>
      </c>
      <c r="BA27" s="311">
        <f t="shared" si="40"/>
        <v>189.0454639977394</v>
      </c>
      <c r="BB27" s="311">
        <f t="shared" si="9"/>
        <v>126.02145761075252</v>
      </c>
      <c r="BC27" s="311">
        <f t="shared" si="10"/>
        <v>123.59549493519732</v>
      </c>
      <c r="BD27" s="227" t="str">
        <f t="shared" si="41"/>
        <v/>
      </c>
      <c r="BE27" s="227" t="str">
        <f t="shared" si="42"/>
        <v/>
      </c>
      <c r="BF27" s="227" t="str">
        <f t="shared" si="43"/>
        <v/>
      </c>
      <c r="BG27" s="227" t="str">
        <f t="shared" si="44"/>
        <v/>
      </c>
      <c r="BH27" s="227" t="str">
        <f t="shared" si="45"/>
        <v/>
      </c>
      <c r="BI27" s="227" t="str">
        <f t="shared" si="46"/>
        <v/>
      </c>
      <c r="BJ27" s="226">
        <f t="shared" si="47"/>
        <v>7747070.4383054534</v>
      </c>
      <c r="BK27" s="335"/>
    </row>
    <row r="28" spans="1:63">
      <c r="A28" s="231">
        <v>161</v>
      </c>
      <c r="B28" s="231" t="str">
        <f>VLOOKUP(A28,'201314 RC list'!A:B,2,FALSE)</f>
        <v>Burns Care</v>
      </c>
      <c r="C28" s="231" t="str">
        <f>$A$28&amp;"&amp;"&amp;$A$29</f>
        <v>161&amp;220</v>
      </c>
      <c r="D28" s="310" t="str">
        <f t="shared" si="11"/>
        <v>A</v>
      </c>
      <c r="E28" s="231">
        <f>IF(ISERROR(VLOOKUP(A28,Mandatory!A:A,1,FALSE)),0,1)</f>
        <v>0</v>
      </c>
      <c r="F28" s="222">
        <f>VLOOKUP(A28,'Front-loading'!A:AG,$F$6,FALSE)</f>
        <v>91</v>
      </c>
      <c r="G28" s="222">
        <f>VLOOKUP(A28,'Front-loading'!A:AG,$G$6,FALSE)</f>
        <v>17784</v>
      </c>
      <c r="H28" s="222">
        <f>VLOOKUP(A28,'Front-loading'!A:AG,$H$6,FALSE)</f>
        <v>942</v>
      </c>
      <c r="I28" s="222">
        <f>VLOOKUP(A28,'Front-loading'!A:AG,$I$6,FALSE)</f>
        <v>15816</v>
      </c>
      <c r="J28" s="222">
        <f>VLOOKUP(A28,'Front-loading'!A:AG,$J$6,FALSE)</f>
        <v>17986.23834684752</v>
      </c>
      <c r="K28" s="222">
        <f>VLOOKUP(A28,'Front-loading'!A:AG,$K$6,FALSE)</f>
        <v>1855787.3590105486</v>
      </c>
      <c r="L28" s="222">
        <f>VLOOKUP(A28,'Front-loading'!A:AG,$L$6,FALSE)</f>
        <v>129024.78889301275</v>
      </c>
      <c r="M28" s="222">
        <f>VLOOKUP(A28,'Front-loading'!A:AG,$M$6,FALSE)</f>
        <v>1873682.71382402</v>
      </c>
      <c r="N28" s="223">
        <f t="shared" si="12"/>
        <v>197.65097084447825</v>
      </c>
      <c r="O28" s="223">
        <f t="shared" si="12"/>
        <v>104.35151591377354</v>
      </c>
      <c r="P28" s="223">
        <f t="shared" si="12"/>
        <v>136.9689903322853</v>
      </c>
      <c r="Q28" s="223">
        <f t="shared" si="12"/>
        <v>118.46754639757334</v>
      </c>
      <c r="R28" s="409">
        <f t="shared" si="13"/>
        <v>197.65097084447825</v>
      </c>
      <c r="S28" s="409">
        <f t="shared" si="14"/>
        <v>104.35151591377354</v>
      </c>
      <c r="T28" s="409">
        <f t="shared" si="15"/>
        <v>136.9689903322853</v>
      </c>
      <c r="U28" s="409">
        <f t="shared" si="16"/>
        <v>118.46754639757334</v>
      </c>
      <c r="V28" s="411">
        <f t="shared" si="17"/>
        <v>197.65097084447825</v>
      </c>
      <c r="W28" s="411">
        <f t="shared" si="18"/>
        <v>104.35151591377354</v>
      </c>
      <c r="X28" s="411">
        <f t="shared" si="19"/>
        <v>136.9689903322853</v>
      </c>
      <c r="Y28" s="411">
        <f t="shared" si="20"/>
        <v>118.46754639757334</v>
      </c>
      <c r="Z28" s="411">
        <f t="shared" si="21"/>
        <v>197.65097084447825</v>
      </c>
      <c r="AA28" s="411">
        <f t="shared" si="22"/>
        <v>110.99613312007645</v>
      </c>
      <c r="AB28" s="411">
        <f t="shared" si="23"/>
        <v>136.9689903322853</v>
      </c>
      <c r="AC28" s="411">
        <f t="shared" si="24"/>
        <v>110.99613312007645</v>
      </c>
      <c r="AD28" s="411">
        <f t="shared" si="25"/>
        <v>197.65097084447825</v>
      </c>
      <c r="AE28" s="411">
        <f t="shared" si="26"/>
        <v>110.99613312007645</v>
      </c>
      <c r="AF28" s="411">
        <f t="shared" si="27"/>
        <v>136.9689903322853</v>
      </c>
      <c r="AG28" s="411">
        <f t="shared" si="28"/>
        <v>110.99613312007645</v>
      </c>
      <c r="AH28" s="411">
        <f t="shared" si="29"/>
        <v>197.65097084447825</v>
      </c>
      <c r="AI28" s="411">
        <f t="shared" si="30"/>
        <v>110.99613312007645</v>
      </c>
      <c r="AJ28" s="411">
        <f t="shared" si="31"/>
        <v>136.9689903322853</v>
      </c>
      <c r="AK28" s="411">
        <f t="shared" si="32"/>
        <v>110.99613312007645</v>
      </c>
      <c r="AL28" s="411">
        <f>IF($C28="",AH28,IF(AH28&gt;AH29,SUMPRODUCT(AH28:AH29,F28:F29)/SUM(F28:F29),AH28))</f>
        <v>197.65097084447825</v>
      </c>
      <c r="AM28" s="411">
        <f>IF($C28="",AI28,IF(AI28&gt;AI29,SUMPRODUCT(AI28:AI29,G28:G29)/SUM(G28:G29),AI28))</f>
        <v>110.99613312007645</v>
      </c>
      <c r="AN28" s="411">
        <f>IF($C28="",AJ28,IF(AJ28&gt;AJ29,SUMPRODUCT(AJ28:AJ29,H28:H29)/SUM(H28:H29),AJ28))</f>
        <v>136.9689903322853</v>
      </c>
      <c r="AO28" s="411">
        <f>IF($C28="",AK28,IF(AK28&gt;AK29,SUMPRODUCT(AK28:AK29,I28:I29)/SUM(I28:I29),AK28))</f>
        <v>110.99613312007645</v>
      </c>
      <c r="AP28" s="411">
        <f t="shared" si="33"/>
        <v>197.65097084447825</v>
      </c>
      <c r="AQ28" s="411">
        <f t="shared" si="34"/>
        <v>110.99613312007645</v>
      </c>
      <c r="AR28" s="411">
        <f t="shared" si="35"/>
        <v>136.9689903322853</v>
      </c>
      <c r="AS28" s="411">
        <f t="shared" si="36"/>
        <v>110.99613312007645</v>
      </c>
      <c r="AT28" s="227" t="str">
        <f t="shared" si="5"/>
        <v/>
      </c>
      <c r="AU28" s="227" t="str">
        <f t="shared" si="37"/>
        <v/>
      </c>
      <c r="AV28" s="227" t="str">
        <f t="shared" si="38"/>
        <v/>
      </c>
      <c r="AW28" s="227" t="str">
        <f t="shared" si="39"/>
        <v/>
      </c>
      <c r="AX28" s="227" t="str">
        <f t="shared" si="6"/>
        <v/>
      </c>
      <c r="AY28" s="311" t="str">
        <f t="shared" si="7"/>
        <v/>
      </c>
      <c r="AZ28" s="311">
        <f t="shared" si="8"/>
        <v>197.65097084447825</v>
      </c>
      <c r="BA28" s="311">
        <f t="shared" si="40"/>
        <v>110.99613312007645</v>
      </c>
      <c r="BB28" s="311">
        <f t="shared" si="9"/>
        <v>136.9689903322853</v>
      </c>
      <c r="BC28" s="311">
        <f t="shared" si="10"/>
        <v>110.99613312007645</v>
      </c>
      <c r="BD28" s="227" t="str">
        <f t="shared" si="41"/>
        <v/>
      </c>
      <c r="BE28" s="227" t="str">
        <f t="shared" si="42"/>
        <v/>
      </c>
      <c r="BF28" s="227" t="str">
        <f t="shared" si="43"/>
        <v/>
      </c>
      <c r="BG28" s="227" t="str">
        <f t="shared" si="44"/>
        <v/>
      </c>
      <c r="BH28" s="227" t="str">
        <f t="shared" si="45"/>
        <v/>
      </c>
      <c r="BI28" s="227" t="str">
        <f t="shared" si="46"/>
        <v/>
      </c>
      <c r="BJ28" s="226">
        <f t="shared" si="47"/>
        <v>3876481.1000744291</v>
      </c>
      <c r="BK28" s="335"/>
    </row>
    <row r="29" spans="1:63">
      <c r="A29" s="231">
        <v>220</v>
      </c>
      <c r="B29" s="231" t="str">
        <f>VLOOKUP(A29,'201314 RC list'!A:B,2,FALSE)</f>
        <v>Paediatric Burns Care</v>
      </c>
      <c r="C29" s="231" t="str">
        <f>$A$28&amp;"&amp;"&amp;$A$29</f>
        <v>161&amp;220</v>
      </c>
      <c r="D29" s="310" t="str">
        <f t="shared" si="11"/>
        <v>C</v>
      </c>
      <c r="E29" s="231">
        <f>IF(ISERROR(VLOOKUP(A29,Mandatory!A:A,1,FALSE)),0,1)</f>
        <v>0</v>
      </c>
      <c r="F29" s="222">
        <f>VLOOKUP(A29,'Front-loading'!A:AG,$F$6,FALSE)</f>
        <v>9</v>
      </c>
      <c r="G29" s="222">
        <f>VLOOKUP(A29,'Front-loading'!A:AG,$G$6,FALSE)</f>
        <v>3550</v>
      </c>
      <c r="H29" s="222">
        <f>VLOOKUP(A29,'Front-loading'!A:AG,$H$6,FALSE)</f>
        <v>47</v>
      </c>
      <c r="I29" s="222">
        <f>VLOOKUP(A29,'Front-loading'!A:AG,$I$6,FALSE)</f>
        <v>11620</v>
      </c>
      <c r="J29" s="222">
        <f>VLOOKUP(A29,'Front-loading'!A:AG,$J$6,FALSE)</f>
        <v>4456.7302510623067</v>
      </c>
      <c r="K29" s="222">
        <f>VLOOKUP(A29,'Front-loading'!A:AG,$K$6,FALSE)</f>
        <v>899305.38730219577</v>
      </c>
      <c r="L29" s="222">
        <f>VLOOKUP(A29,'Front-loading'!A:AG,$L$6,FALSE)</f>
        <v>15284.601656044257</v>
      </c>
      <c r="M29" s="222">
        <f>VLOOKUP(A29,'Front-loading'!A:AG,$M$6,FALSE)</f>
        <v>1915152.8642237766</v>
      </c>
      <c r="N29" s="223">
        <f t="shared" si="12"/>
        <v>495.19225011803405</v>
      </c>
      <c r="O29" s="223">
        <f t="shared" si="12"/>
        <v>253.32546121188614</v>
      </c>
      <c r="P29" s="223">
        <f t="shared" si="12"/>
        <v>325.20429055413314</v>
      </c>
      <c r="Q29" s="223">
        <f t="shared" si="12"/>
        <v>164.81522067330263</v>
      </c>
      <c r="R29" s="409">
        <f t="shared" si="13"/>
        <v>352.52378405547432</v>
      </c>
      <c r="S29" s="409">
        <f t="shared" si="14"/>
        <v>253.32546121188614</v>
      </c>
      <c r="T29" s="409">
        <f t="shared" si="15"/>
        <v>352.52378405547432</v>
      </c>
      <c r="U29" s="409">
        <f t="shared" si="16"/>
        <v>164.81522067330263</v>
      </c>
      <c r="V29" s="411">
        <f t="shared" si="17"/>
        <v>352.52378405547432</v>
      </c>
      <c r="W29" s="411">
        <f t="shared" si="18"/>
        <v>253.32546121188614</v>
      </c>
      <c r="X29" s="411">
        <f t="shared" si="19"/>
        <v>352.52378405547432</v>
      </c>
      <c r="Y29" s="411">
        <f t="shared" si="20"/>
        <v>164.81522067330263</v>
      </c>
      <c r="Z29" s="411">
        <f t="shared" si="21"/>
        <v>352.52378405547432</v>
      </c>
      <c r="AA29" s="411">
        <f t="shared" si="22"/>
        <v>253.32546121188614</v>
      </c>
      <c r="AB29" s="411">
        <f t="shared" si="23"/>
        <v>352.52378405547432</v>
      </c>
      <c r="AC29" s="411">
        <f t="shared" si="24"/>
        <v>164.81522067330263</v>
      </c>
      <c r="AD29" s="411">
        <f t="shared" si="25"/>
        <v>352.52378405547432</v>
      </c>
      <c r="AE29" s="411">
        <f t="shared" si="26"/>
        <v>253.32546121188614</v>
      </c>
      <c r="AF29" s="411">
        <f t="shared" si="27"/>
        <v>352.52378405547432</v>
      </c>
      <c r="AG29" s="411">
        <f t="shared" si="28"/>
        <v>164.81522067330263</v>
      </c>
      <c r="AH29" s="411">
        <f t="shared" si="29"/>
        <v>352.52378405547432</v>
      </c>
      <c r="AI29" s="411">
        <f t="shared" si="30"/>
        <v>253.32546121188614</v>
      </c>
      <c r="AJ29" s="411">
        <f t="shared" si="31"/>
        <v>329.81415094321051</v>
      </c>
      <c r="AK29" s="411">
        <f t="shared" si="32"/>
        <v>164.90707547160525</v>
      </c>
      <c r="AL29" s="411">
        <f>IF($C29="",AH29,IF(AH28&gt;AH29,SUMPRODUCT(AH28:AH29,F28:F29)/SUM(F28:F29),AH29))</f>
        <v>352.52378405547432</v>
      </c>
      <c r="AM29" s="411">
        <f>IF($C29="",AI29,IF(AI28&gt;AI29,SUMPRODUCT(AI28:AI29,G28:G29)/SUM(G28:G29),AI29))</f>
        <v>253.32546121188614</v>
      </c>
      <c r="AN29" s="411">
        <f>IF($C29="",AJ29,IF(AJ28&gt;AJ29,SUMPRODUCT(AJ28:AJ29,H28:H29)/SUM(H28:H29),AJ29))</f>
        <v>329.81415094321051</v>
      </c>
      <c r="AO29" s="411">
        <f>IF($C29="",AK29,IF(AK28&gt;AK29,SUMPRODUCT(AK28:AK29,I28:I29)/SUM(I28:I29),AK29))</f>
        <v>164.90707547160525</v>
      </c>
      <c r="AP29" s="411">
        <f t="shared" si="33"/>
        <v>352.52378405547432</v>
      </c>
      <c r="AQ29" s="411">
        <f t="shared" si="34"/>
        <v>253.32546121188614</v>
      </c>
      <c r="AR29" s="411">
        <f t="shared" si="35"/>
        <v>329.81415094321051</v>
      </c>
      <c r="AS29" s="411">
        <f t="shared" si="36"/>
        <v>164.90707547160525</v>
      </c>
      <c r="AT29" s="227" t="str">
        <f t="shared" si="5"/>
        <v/>
      </c>
      <c r="AU29" s="227" t="str">
        <f t="shared" si="37"/>
        <v/>
      </c>
      <c r="AV29" s="227" t="str">
        <f t="shared" si="38"/>
        <v/>
      </c>
      <c r="AW29" s="227" t="str">
        <f t="shared" si="39"/>
        <v/>
      </c>
      <c r="AX29" s="227" t="str">
        <f t="shared" si="6"/>
        <v/>
      </c>
      <c r="AY29" s="311" t="str">
        <f t="shared" si="7"/>
        <v/>
      </c>
      <c r="AZ29" s="311">
        <f t="shared" si="8"/>
        <v>352.52378405547432</v>
      </c>
      <c r="BA29" s="311">
        <f t="shared" si="40"/>
        <v>253.32546121188614</v>
      </c>
      <c r="BB29" s="311">
        <f t="shared" si="9"/>
        <v>329.81415094321051</v>
      </c>
      <c r="BC29" s="311">
        <f t="shared" si="10"/>
        <v>164.90707547160525</v>
      </c>
      <c r="BD29" s="227" t="str">
        <f t="shared" si="41"/>
        <v/>
      </c>
      <c r="BE29" s="227" t="str">
        <f t="shared" si="42"/>
        <v/>
      </c>
      <c r="BF29" s="227" t="str">
        <f t="shared" si="43"/>
        <v/>
      </c>
      <c r="BG29" s="227" t="str">
        <f t="shared" si="44"/>
        <v/>
      </c>
      <c r="BH29" s="227" t="str">
        <f t="shared" si="45"/>
        <v/>
      </c>
      <c r="BI29" s="227" t="str">
        <f t="shared" si="46"/>
        <v/>
      </c>
      <c r="BJ29" s="226">
        <f t="shared" si="47"/>
        <v>2834199.5834330791</v>
      </c>
      <c r="BK29" s="335"/>
    </row>
    <row r="30" spans="1:63">
      <c r="A30" s="231">
        <v>172</v>
      </c>
      <c r="B30" s="231" t="str">
        <f>VLOOKUP(A30,'201314 RC list'!A:B,2,FALSE)</f>
        <v>Cardiac Surgery</v>
      </c>
      <c r="C30" s="231" t="str">
        <f>$A$30&amp;"&amp;"&amp;$A$31</f>
        <v>172&amp;221</v>
      </c>
      <c r="D30" s="310" t="str">
        <f t="shared" si="11"/>
        <v>A</v>
      </c>
      <c r="E30" s="231">
        <f>IF(ISERROR(VLOOKUP(A30,Mandatory!A:A,1,FALSE)),0,1)</f>
        <v>1</v>
      </c>
      <c r="F30" s="222">
        <f>VLOOKUP(A30,'Front-loading'!A:AG,$F$6,FALSE)</f>
        <v>1245</v>
      </c>
      <c r="G30" s="222">
        <f>VLOOKUP(A30,'Front-loading'!A:AG,$G$6,FALSE)</f>
        <v>15076</v>
      </c>
      <c r="H30" s="222">
        <f>VLOOKUP(A30,'Front-loading'!A:AG,$H$6,FALSE)</f>
        <v>2704</v>
      </c>
      <c r="I30" s="222">
        <f>VLOOKUP(A30,'Front-loading'!A:AG,$I$6,FALSE)</f>
        <v>24908</v>
      </c>
      <c r="J30" s="222">
        <f>VLOOKUP(A30,'Front-loading'!A:AG,$J$6,FALSE)</f>
        <v>278181.95201037807</v>
      </c>
      <c r="K30" s="222">
        <f>VLOOKUP(A30,'Front-loading'!A:AG,$K$6,FALSE)</f>
        <v>4898237.9550275253</v>
      </c>
      <c r="L30" s="222">
        <f>VLOOKUP(A30,'Front-loading'!A:AG,$L$6,FALSE)</f>
        <v>475656.06332887564</v>
      </c>
      <c r="M30" s="222">
        <f>VLOOKUP(A30,'Front-loading'!A:AG,$M$6,FALSE)</f>
        <v>5710983.4268810851</v>
      </c>
      <c r="N30" s="223">
        <f t="shared" si="12"/>
        <v>223.43931888383781</v>
      </c>
      <c r="O30" s="223">
        <f t="shared" si="12"/>
        <v>324.90302169192927</v>
      </c>
      <c r="P30" s="223">
        <f t="shared" si="12"/>
        <v>175.90830744411082</v>
      </c>
      <c r="Q30" s="223">
        <f t="shared" si="12"/>
        <v>229.28309887911857</v>
      </c>
      <c r="R30" s="409">
        <f t="shared" si="13"/>
        <v>223.43931888383781</v>
      </c>
      <c r="S30" s="409">
        <f t="shared" si="14"/>
        <v>324.90302169192927</v>
      </c>
      <c r="T30" s="409">
        <f t="shared" si="15"/>
        <v>175.90830744411082</v>
      </c>
      <c r="U30" s="409">
        <f t="shared" si="16"/>
        <v>229.28309887911857</v>
      </c>
      <c r="V30" s="411">
        <f t="shared" si="17"/>
        <v>223.43931888383781</v>
      </c>
      <c r="W30" s="411">
        <f t="shared" si="18"/>
        <v>324.90302169192927</v>
      </c>
      <c r="X30" s="411">
        <f t="shared" si="19"/>
        <v>175.90830744411082</v>
      </c>
      <c r="Y30" s="411">
        <f t="shared" si="20"/>
        <v>229.28309887911857</v>
      </c>
      <c r="Z30" s="411">
        <f t="shared" si="21"/>
        <v>223.43931888383781</v>
      </c>
      <c r="AA30" s="411">
        <f t="shared" si="22"/>
        <v>324.90302169192927</v>
      </c>
      <c r="AB30" s="411">
        <f t="shared" si="23"/>
        <v>175.90830744411082</v>
      </c>
      <c r="AC30" s="411">
        <f t="shared" si="24"/>
        <v>229.28309887911857</v>
      </c>
      <c r="AD30" s="411">
        <f t="shared" si="25"/>
        <v>317.1631583259545</v>
      </c>
      <c r="AE30" s="411">
        <f t="shared" si="26"/>
        <v>317.1631583259545</v>
      </c>
      <c r="AF30" s="411">
        <f t="shared" si="27"/>
        <v>224.05618898341157</v>
      </c>
      <c r="AG30" s="411">
        <f t="shared" si="28"/>
        <v>224.05618898341157</v>
      </c>
      <c r="AH30" s="411">
        <f t="shared" si="29"/>
        <v>317.1631583259545</v>
      </c>
      <c r="AI30" s="411">
        <f t="shared" si="30"/>
        <v>317.1631583259545</v>
      </c>
      <c r="AJ30" s="411">
        <f t="shared" si="31"/>
        <v>224.05618898341157</v>
      </c>
      <c r="AK30" s="411">
        <f t="shared" si="32"/>
        <v>224.05618898341157</v>
      </c>
      <c r="AL30" s="411">
        <f>IF($C30="",AH30,IF(AH30&gt;AH31,SUMPRODUCT(AH30:AH31,F30:F31)/SUM(F30:F31),AH30))</f>
        <v>317.1631583259545</v>
      </c>
      <c r="AM30" s="411">
        <f>IF($C30="",AI30,IF(AI30&gt;AI31,SUMPRODUCT(AI30:AI31,G30:G31)/SUM(G30:G31),AI30))</f>
        <v>317.1631583259545</v>
      </c>
      <c r="AN30" s="411">
        <f>IF($C30="",AJ30,IF(AJ30&gt;AJ31,SUMPRODUCT(AJ30:AJ31,H30:H31)/SUM(H30:H31),AJ30))</f>
        <v>224.05618898341157</v>
      </c>
      <c r="AO30" s="411">
        <f>IF($C30="",AK30,IF(AK30&gt;AK31,SUMPRODUCT(AK30:AK31,I30:I31)/SUM(I30:I31),AK30))</f>
        <v>224.05618898341157</v>
      </c>
      <c r="AP30" s="411">
        <f t="shared" si="33"/>
        <v>317.1631583259545</v>
      </c>
      <c r="AQ30" s="411">
        <f t="shared" si="34"/>
        <v>317.1631583259545</v>
      </c>
      <c r="AR30" s="411">
        <f t="shared" si="35"/>
        <v>224.05618898341157</v>
      </c>
      <c r="AS30" s="411">
        <f t="shared" si="36"/>
        <v>224.05618898341157</v>
      </c>
      <c r="AT30" s="227" t="str">
        <f t="shared" si="5"/>
        <v/>
      </c>
      <c r="AU30" s="227" t="str">
        <f t="shared" si="37"/>
        <v/>
      </c>
      <c r="AV30" s="227" t="str">
        <f t="shared" si="38"/>
        <v/>
      </c>
      <c r="AW30" s="227" t="str">
        <f t="shared" si="39"/>
        <v/>
      </c>
      <c r="AX30" s="227" t="str">
        <f t="shared" si="6"/>
        <v/>
      </c>
      <c r="AY30" s="311" t="str">
        <f t="shared" si="7"/>
        <v/>
      </c>
      <c r="AZ30" s="311">
        <f t="shared" si="8"/>
        <v>317.1631583259545</v>
      </c>
      <c r="BA30" s="311">
        <f t="shared" si="40"/>
        <v>317.1631583259545</v>
      </c>
      <c r="BB30" s="311">
        <f t="shared" si="9"/>
        <v>224.05618898341157</v>
      </c>
      <c r="BC30" s="311">
        <f t="shared" si="10"/>
        <v>224.05618898341157</v>
      </c>
      <c r="BD30" s="227" t="str">
        <f t="shared" si="41"/>
        <v/>
      </c>
      <c r="BE30" s="227" t="str">
        <f t="shared" si="42"/>
        <v/>
      </c>
      <c r="BF30" s="227" t="str">
        <f t="shared" si="43"/>
        <v/>
      </c>
      <c r="BG30" s="227" t="str">
        <f t="shared" si="44"/>
        <v/>
      </c>
      <c r="BH30" s="227" t="str">
        <f t="shared" si="45"/>
        <v/>
      </c>
      <c r="BI30" s="227" t="str">
        <f t="shared" si="46"/>
        <v/>
      </c>
      <c r="BJ30" s="226">
        <f t="shared" si="47"/>
        <v>11363059.397247862</v>
      </c>
      <c r="BK30" s="335"/>
    </row>
    <row r="31" spans="1:63">
      <c r="A31" s="231">
        <v>221</v>
      </c>
      <c r="B31" s="231" t="str">
        <f>VLOOKUP(A31,'201314 RC list'!A:B,2,FALSE)</f>
        <v>Paediatric Cardiac Surgery</v>
      </c>
      <c r="C31" s="231" t="str">
        <f>$A$30&amp;"&amp;"&amp;$A$31</f>
        <v>172&amp;221</v>
      </c>
      <c r="D31" s="310" t="str">
        <f t="shared" si="11"/>
        <v>C</v>
      </c>
      <c r="E31" s="231">
        <f>IF(ISERROR(VLOOKUP(A31,Mandatory!A:A,1,FALSE)),0,1)</f>
        <v>0</v>
      </c>
      <c r="F31" s="222">
        <f>VLOOKUP(A31,'Front-loading'!A:AG,$F$6,FALSE)</f>
        <v>0</v>
      </c>
      <c r="G31" s="222">
        <f>VLOOKUP(A31,'Front-loading'!A:AG,$G$6,FALSE)</f>
        <v>1043</v>
      </c>
      <c r="H31" s="222">
        <f>VLOOKUP(A31,'Front-loading'!A:AG,$H$6,FALSE)</f>
        <v>2</v>
      </c>
      <c r="I31" s="222">
        <f>VLOOKUP(A31,'Front-loading'!A:AG,$I$6,FALSE)</f>
        <v>1280</v>
      </c>
      <c r="J31" s="222">
        <f>VLOOKUP(A31,'Front-loading'!A:AG,$J$6,FALSE)</f>
        <v>0</v>
      </c>
      <c r="K31" s="222">
        <f>VLOOKUP(A31,'Front-loading'!A:AG,$K$6,FALSE)</f>
        <v>461731.51116768242</v>
      </c>
      <c r="L31" s="222">
        <f>VLOOKUP(A31,'Front-loading'!A:AG,$L$6,FALSE)</f>
        <v>335.98627341582494</v>
      </c>
      <c r="M31" s="222">
        <f>VLOOKUP(A31,'Front-loading'!A:AG,$M$6,FALSE)</f>
        <v>408075.84161914629</v>
      </c>
      <c r="N31" s="223">
        <f t="shared" si="12"/>
        <v>0</v>
      </c>
      <c r="O31" s="223">
        <f t="shared" si="12"/>
        <v>442.69560035252391</v>
      </c>
      <c r="P31" s="223">
        <f t="shared" si="12"/>
        <v>167.99313670791247</v>
      </c>
      <c r="Q31" s="223">
        <f t="shared" si="12"/>
        <v>318.80925126495805</v>
      </c>
      <c r="R31" s="409">
        <f t="shared" si="13"/>
        <v>167.99313670791247</v>
      </c>
      <c r="S31" s="409">
        <f t="shared" si="14"/>
        <v>442.69560035252391</v>
      </c>
      <c r="T31" s="409">
        <f t="shared" si="15"/>
        <v>167.99313670791247</v>
      </c>
      <c r="U31" s="409">
        <f t="shared" si="16"/>
        <v>318.80925126495805</v>
      </c>
      <c r="V31" s="411">
        <f t="shared" si="17"/>
        <v>167.99313670791247</v>
      </c>
      <c r="W31" s="411">
        <f t="shared" si="18"/>
        <v>442.69560035252391</v>
      </c>
      <c r="X31" s="411">
        <f t="shared" si="19"/>
        <v>167.99313670791247</v>
      </c>
      <c r="Y31" s="411">
        <f t="shared" si="20"/>
        <v>318.80925126495805</v>
      </c>
      <c r="Z31" s="411">
        <f t="shared" si="21"/>
        <v>167.99313670791247</v>
      </c>
      <c r="AA31" s="411">
        <f t="shared" si="22"/>
        <v>442.69560035252391</v>
      </c>
      <c r="AB31" s="411">
        <f t="shared" si="23"/>
        <v>167.99313670791247</v>
      </c>
      <c r="AC31" s="411">
        <f t="shared" si="24"/>
        <v>318.80925126495805</v>
      </c>
      <c r="AD31" s="411">
        <f t="shared" si="25"/>
        <v>442.69560035252391</v>
      </c>
      <c r="AE31" s="411">
        <f t="shared" si="26"/>
        <v>442.69560035252391</v>
      </c>
      <c r="AF31" s="411">
        <f t="shared" si="27"/>
        <v>318.57396871494706</v>
      </c>
      <c r="AG31" s="411">
        <f t="shared" si="28"/>
        <v>318.57396871494706</v>
      </c>
      <c r="AH31" s="411">
        <f t="shared" si="29"/>
        <v>442.69560035252391</v>
      </c>
      <c r="AI31" s="411">
        <f t="shared" si="30"/>
        <v>442.69560035252391</v>
      </c>
      <c r="AJ31" s="411">
        <f t="shared" si="31"/>
        <v>318.57396871494706</v>
      </c>
      <c r="AK31" s="411">
        <f t="shared" si="32"/>
        <v>318.57396871494706</v>
      </c>
      <c r="AL31" s="411">
        <f>IF($C31="",AH31,IF(AH30&gt;AH31,SUMPRODUCT(AH30:AH31,F30:F31)/SUM(F30:F31),AH31))</f>
        <v>442.69560035252391</v>
      </c>
      <c r="AM31" s="411">
        <f>IF($C31="",AI31,IF(AI30&gt;AI31,SUMPRODUCT(AI30:AI31,G30:G31)/SUM(G30:G31),AI31))</f>
        <v>442.69560035252391</v>
      </c>
      <c r="AN31" s="411">
        <f>IF($C31="",AJ31,IF(AJ30&gt;AJ31,SUMPRODUCT(AJ30:AJ31,H30:H31)/SUM(H30:H31),AJ31))</f>
        <v>318.57396871494706</v>
      </c>
      <c r="AO31" s="411">
        <f>IF($C31="",AK31,IF(AK30&gt;AK31,SUMPRODUCT(AK30:AK31,I30:I31)/SUM(I30:I31),AK31))</f>
        <v>318.57396871494706</v>
      </c>
      <c r="AP31" s="411">
        <f t="shared" si="33"/>
        <v>442.69560035252391</v>
      </c>
      <c r="AQ31" s="411">
        <f t="shared" si="34"/>
        <v>442.69560035252391</v>
      </c>
      <c r="AR31" s="411">
        <f t="shared" si="35"/>
        <v>318.57396871494706</v>
      </c>
      <c r="AS31" s="411">
        <f t="shared" si="36"/>
        <v>318.57396871494706</v>
      </c>
      <c r="AT31" s="227" t="str">
        <f t="shared" si="5"/>
        <v/>
      </c>
      <c r="AU31" s="227" t="str">
        <f t="shared" si="37"/>
        <v/>
      </c>
      <c r="AV31" s="227" t="str">
        <f t="shared" si="38"/>
        <v/>
      </c>
      <c r="AW31" s="227" t="str">
        <f t="shared" si="39"/>
        <v/>
      </c>
      <c r="AX31" s="227" t="str">
        <f t="shared" si="6"/>
        <v/>
      </c>
      <c r="AY31" s="311" t="str">
        <f t="shared" si="7"/>
        <v/>
      </c>
      <c r="AZ31" s="311">
        <f t="shared" si="8"/>
        <v>442.69560035252391</v>
      </c>
      <c r="BA31" s="311">
        <f t="shared" si="40"/>
        <v>442.69560035252391</v>
      </c>
      <c r="BB31" s="311">
        <f t="shared" si="9"/>
        <v>318.57396871494706</v>
      </c>
      <c r="BC31" s="311">
        <f t="shared" si="10"/>
        <v>318.57396871494706</v>
      </c>
      <c r="BD31" s="227" t="str">
        <f t="shared" si="41"/>
        <v/>
      </c>
      <c r="BE31" s="227" t="str">
        <f t="shared" si="42"/>
        <v/>
      </c>
      <c r="BF31" s="227" t="str">
        <f t="shared" si="43"/>
        <v/>
      </c>
      <c r="BG31" s="227" t="str">
        <f t="shared" si="44"/>
        <v/>
      </c>
      <c r="BH31" s="227" t="str">
        <f t="shared" si="45"/>
        <v/>
      </c>
      <c r="BI31" s="227" t="str">
        <f t="shared" si="46"/>
        <v/>
      </c>
      <c r="BJ31" s="226">
        <f t="shared" si="47"/>
        <v>870143.33906024462</v>
      </c>
      <c r="BK31" s="335"/>
    </row>
    <row r="32" spans="1:63">
      <c r="A32" s="231">
        <v>173</v>
      </c>
      <c r="B32" s="231" t="str">
        <f>VLOOKUP(A32,'201314 RC list'!A:B,2,FALSE)</f>
        <v>Thoracic Surgery</v>
      </c>
      <c r="C32" s="231" t="str">
        <f>$A$32&amp;"&amp;"&amp;$A$33</f>
        <v>173&amp;222</v>
      </c>
      <c r="D32" s="310" t="str">
        <f t="shared" si="11"/>
        <v>A</v>
      </c>
      <c r="E32" s="231">
        <f>IF(ISERROR(VLOOKUP(A32,Mandatory!A:A,1,FALSE)),0,1)</f>
        <v>1</v>
      </c>
      <c r="F32" s="222">
        <f>VLOOKUP(A32,'Front-loading'!A:AG,$F$6,FALSE)</f>
        <v>219</v>
      </c>
      <c r="G32" s="222">
        <f>VLOOKUP(A32,'Front-loading'!A:AG,$G$6,FALSE)</f>
        <v>8947</v>
      </c>
      <c r="H32" s="222">
        <f>VLOOKUP(A32,'Front-loading'!A:AG,$H$6,FALSE)</f>
        <v>225</v>
      </c>
      <c r="I32" s="222">
        <f>VLOOKUP(A32,'Front-loading'!A:AG,$I$6,FALSE)</f>
        <v>20935</v>
      </c>
      <c r="J32" s="222">
        <f>VLOOKUP(A32,'Front-loading'!A:AG,$J$6,FALSE)</f>
        <v>30725.409817690434</v>
      </c>
      <c r="K32" s="222">
        <f>VLOOKUP(A32,'Front-loading'!A:AG,$K$6,FALSE)</f>
        <v>2329577.7418861422</v>
      </c>
      <c r="L32" s="222">
        <f>VLOOKUP(A32,'Front-loading'!A:AG,$L$6,FALSE)</f>
        <v>28221.133550127928</v>
      </c>
      <c r="M32" s="222">
        <f>VLOOKUP(A32,'Front-loading'!A:AG,$M$6,FALSE)</f>
        <v>3510635.362194451</v>
      </c>
      <c r="N32" s="223">
        <f t="shared" si="12"/>
        <v>140.298674966623</v>
      </c>
      <c r="O32" s="223">
        <f t="shared" si="12"/>
        <v>260.37529248755362</v>
      </c>
      <c r="P32" s="223">
        <f t="shared" si="12"/>
        <v>125.42726022279079</v>
      </c>
      <c r="Q32" s="223">
        <f t="shared" si="12"/>
        <v>167.69215964625991</v>
      </c>
      <c r="R32" s="409">
        <f t="shared" si="13"/>
        <v>140.298674966623</v>
      </c>
      <c r="S32" s="409">
        <f t="shared" si="14"/>
        <v>260.37529248755362</v>
      </c>
      <c r="T32" s="409">
        <f t="shared" si="15"/>
        <v>125.42726022279079</v>
      </c>
      <c r="U32" s="409">
        <f t="shared" si="16"/>
        <v>167.69215964625991</v>
      </c>
      <c r="V32" s="411">
        <f t="shared" si="17"/>
        <v>140.298674966623</v>
      </c>
      <c r="W32" s="411">
        <f t="shared" si="18"/>
        <v>260.37529248755362</v>
      </c>
      <c r="X32" s="411">
        <f t="shared" si="19"/>
        <v>125.42726022279079</v>
      </c>
      <c r="Y32" s="411">
        <f t="shared" si="20"/>
        <v>167.69215964625991</v>
      </c>
      <c r="Z32" s="411">
        <f t="shared" si="21"/>
        <v>140.298674966623</v>
      </c>
      <c r="AA32" s="411">
        <f t="shared" si="22"/>
        <v>260.37529248755362</v>
      </c>
      <c r="AB32" s="411">
        <f t="shared" si="23"/>
        <v>125.42726022279079</v>
      </c>
      <c r="AC32" s="411">
        <f t="shared" si="24"/>
        <v>167.69215964625991</v>
      </c>
      <c r="AD32" s="411">
        <f t="shared" si="25"/>
        <v>257.50634428363873</v>
      </c>
      <c r="AE32" s="411">
        <f t="shared" si="26"/>
        <v>257.50634428363873</v>
      </c>
      <c r="AF32" s="411">
        <f t="shared" si="27"/>
        <v>167.24274554558502</v>
      </c>
      <c r="AG32" s="411">
        <f t="shared" si="28"/>
        <v>167.24274554558502</v>
      </c>
      <c r="AH32" s="411">
        <f t="shared" si="29"/>
        <v>257.50634428363873</v>
      </c>
      <c r="AI32" s="411">
        <f t="shared" si="30"/>
        <v>257.50634428363873</v>
      </c>
      <c r="AJ32" s="411">
        <f t="shared" si="31"/>
        <v>167.24274554558502</v>
      </c>
      <c r="AK32" s="411">
        <f t="shared" si="32"/>
        <v>167.24274554558502</v>
      </c>
      <c r="AL32" s="411">
        <f>IF($C32="",AH32,IF(AH32&gt;AH33,SUMPRODUCT(AH32:AH33,F32:F33)/SUM(F32:F33),AH32))</f>
        <v>256.73197409765112</v>
      </c>
      <c r="AM32" s="411">
        <f>IF($C32="",AI32,IF(AI32&gt;AI33,SUMPRODUCT(AI32:AI33,G32:G33)/SUM(G32:G33),AI32))</f>
        <v>255.53541257121651</v>
      </c>
      <c r="AN32" s="411">
        <f>IF($C32="",AJ32,IF(AJ32&gt;AJ33,SUMPRODUCT(AJ32:AJ33,H32:H33)/SUM(H32:H33),AJ32))</f>
        <v>167.24274554558502</v>
      </c>
      <c r="AO32" s="411">
        <f>IF($C32="",AK32,IF(AK32&gt;AK33,SUMPRODUCT(AK32:AK33,I32:I33)/SUM(I32:I33),AK32))</f>
        <v>166.44323710084245</v>
      </c>
      <c r="AP32" s="411">
        <f t="shared" si="33"/>
        <v>256.73197409765112</v>
      </c>
      <c r="AQ32" s="411">
        <f t="shared" si="34"/>
        <v>255.53541257121651</v>
      </c>
      <c r="AR32" s="411">
        <f t="shared" si="35"/>
        <v>167.24274554558502</v>
      </c>
      <c r="AS32" s="411">
        <f t="shared" si="36"/>
        <v>166.44323710084245</v>
      </c>
      <c r="AT32" s="227" t="str">
        <f t="shared" si="5"/>
        <v/>
      </c>
      <c r="AU32" s="227" t="str">
        <f t="shared" si="37"/>
        <v/>
      </c>
      <c r="AV32" s="227" t="str">
        <f t="shared" si="38"/>
        <v/>
      </c>
      <c r="AW32" s="227" t="str">
        <f t="shared" si="39"/>
        <v/>
      </c>
      <c r="AX32" s="227" t="str">
        <f t="shared" si="6"/>
        <v/>
      </c>
      <c r="AY32" s="311" t="str">
        <f t="shared" si="7"/>
        <v/>
      </c>
      <c r="AZ32" s="311">
        <f t="shared" si="8"/>
        <v>256.73197409765112</v>
      </c>
      <c r="BA32" s="311">
        <f t="shared" si="40"/>
        <v>255.53541257121651</v>
      </c>
      <c r="BB32" s="311">
        <f t="shared" si="9"/>
        <v>167.24274554558502</v>
      </c>
      <c r="BC32" s="311">
        <f t="shared" si="10"/>
        <v>166.44323710084245</v>
      </c>
      <c r="BD32" s="227" t="str">
        <f t="shared" si="41"/>
        <v/>
      </c>
      <c r="BE32" s="227" t="str">
        <f t="shared" si="42"/>
        <v/>
      </c>
      <c r="BF32" s="227" t="str">
        <f t="shared" si="43"/>
        <v/>
      </c>
      <c r="BG32" s="227" t="str">
        <f t="shared" si="44"/>
        <v/>
      </c>
      <c r="BH32" s="227" t="str">
        <f t="shared" si="45"/>
        <v/>
      </c>
      <c r="BI32" s="227" t="str">
        <f t="shared" si="46"/>
        <v/>
      </c>
      <c r="BJ32" s="226">
        <f t="shared" si="47"/>
        <v>5864618.4250559527</v>
      </c>
      <c r="BK32" s="335"/>
    </row>
    <row r="33" spans="1:63">
      <c r="A33" s="231">
        <v>222</v>
      </c>
      <c r="B33" s="231" t="str">
        <f>VLOOKUP(A33,'201314 RC list'!A:B,2,FALSE)</f>
        <v>Paediatric Thoracic Surgery</v>
      </c>
      <c r="C33" s="231" t="str">
        <f>$A$32&amp;"&amp;"&amp;$A$33</f>
        <v>173&amp;222</v>
      </c>
      <c r="D33" s="310" t="str">
        <f t="shared" si="11"/>
        <v>C</v>
      </c>
      <c r="E33" s="231">
        <f>IF(ISERROR(VLOOKUP(A33,Mandatory!A:A,1,FALSE)),0,1)</f>
        <v>0</v>
      </c>
      <c r="F33" s="222">
        <f>VLOOKUP(A33,'Front-loading'!A:AG,$F$6,FALSE)</f>
        <v>2</v>
      </c>
      <c r="G33" s="222">
        <f>VLOOKUP(A33,'Front-loading'!A:AG,$G$6,FALSE)</f>
        <v>171</v>
      </c>
      <c r="H33" s="222">
        <f>VLOOKUP(A33,'Front-loading'!A:AG,$H$6,FALSE)</f>
        <v>0</v>
      </c>
      <c r="I33" s="222">
        <f>VLOOKUP(A33,'Front-loading'!A:AG,$I$6,FALSE)</f>
        <v>284</v>
      </c>
      <c r="J33" s="222">
        <f>VLOOKUP(A33,'Front-loading'!A:AG,$J$6,FALSE)</f>
        <v>343.87687746402298</v>
      </c>
      <c r="K33" s="222">
        <f>VLOOKUP(A33,'Front-loading'!A:AG,$K$6,FALSE)</f>
        <v>26062.629518636484</v>
      </c>
      <c r="L33" s="222">
        <f>VLOOKUP(A33,'Front-loading'!A:AG,$L$6,FALSE)</f>
        <v>0</v>
      </c>
      <c r="M33" s="222">
        <f>VLOOKUP(A33,'Front-loading'!A:AG,$M$6,FALSE)</f>
        <v>30532.17004595352</v>
      </c>
      <c r="N33" s="223">
        <f t="shared" si="12"/>
        <v>171.93843873201149</v>
      </c>
      <c r="O33" s="223">
        <f t="shared" si="12"/>
        <v>152.41303812068119</v>
      </c>
      <c r="P33" s="223">
        <f t="shared" si="12"/>
        <v>0</v>
      </c>
      <c r="Q33" s="223">
        <f t="shared" si="12"/>
        <v>107.50764100687859</v>
      </c>
      <c r="R33" s="409">
        <f t="shared" si="13"/>
        <v>171.93843873201149</v>
      </c>
      <c r="S33" s="409">
        <f t="shared" si="14"/>
        <v>152.41303812068119</v>
      </c>
      <c r="T33" s="409">
        <f t="shared" si="15"/>
        <v>171.93843873201149</v>
      </c>
      <c r="U33" s="409">
        <f t="shared" si="16"/>
        <v>107.50764100687859</v>
      </c>
      <c r="V33" s="411">
        <f t="shared" si="17"/>
        <v>171.93843873201149</v>
      </c>
      <c r="W33" s="411">
        <f t="shared" si="18"/>
        <v>152.41303812068119</v>
      </c>
      <c r="X33" s="411">
        <f t="shared" si="19"/>
        <v>171.93843873201149</v>
      </c>
      <c r="Y33" s="411">
        <f t="shared" si="20"/>
        <v>107.50764100687859</v>
      </c>
      <c r="Z33" s="411">
        <f t="shared" si="21"/>
        <v>171.93843873201149</v>
      </c>
      <c r="AA33" s="411">
        <f t="shared" si="22"/>
        <v>152.41303812068119</v>
      </c>
      <c r="AB33" s="411">
        <f t="shared" si="23"/>
        <v>171.93843873201149</v>
      </c>
      <c r="AC33" s="411">
        <f t="shared" si="24"/>
        <v>107.50764100687859</v>
      </c>
      <c r="AD33" s="411">
        <f t="shared" si="25"/>
        <v>171.93843873201149</v>
      </c>
      <c r="AE33" s="411">
        <f t="shared" si="26"/>
        <v>152.41303812068119</v>
      </c>
      <c r="AF33" s="411">
        <f t="shared" si="27"/>
        <v>171.93843873201149</v>
      </c>
      <c r="AG33" s="411">
        <f t="shared" si="28"/>
        <v>107.50764100687859</v>
      </c>
      <c r="AH33" s="411">
        <f t="shared" si="29"/>
        <v>171.93843873201149</v>
      </c>
      <c r="AI33" s="411">
        <f t="shared" si="30"/>
        <v>152.41303812068119</v>
      </c>
      <c r="AJ33" s="411">
        <f t="shared" si="31"/>
        <v>171.93843873201149</v>
      </c>
      <c r="AK33" s="411">
        <f t="shared" si="32"/>
        <v>107.50764100687859</v>
      </c>
      <c r="AL33" s="411">
        <f>IF($C33="",AH33,IF(AH32&gt;AH33,SUMPRODUCT(AH32:AH33,F32:F33)/SUM(F32:F33),AH33))</f>
        <v>256.73197409765112</v>
      </c>
      <c r="AM33" s="411">
        <f>IF($C33="",AI33,IF(AI32&gt;AI33,SUMPRODUCT(AI32:AI33,G32:G33)/SUM(G32:G33),AI33))</f>
        <v>255.53541257121651</v>
      </c>
      <c r="AN33" s="411">
        <f>IF($C33="",AJ33,IF(AJ32&gt;AJ33,SUMPRODUCT(AJ32:AJ33,H32:H33)/SUM(H32:H33),AJ33))</f>
        <v>171.93843873201149</v>
      </c>
      <c r="AO33" s="411">
        <f>IF($C33="",AK33,IF(AK32&gt;AK33,SUMPRODUCT(AK32:AK33,I32:I33)/SUM(I32:I33),AK33))</f>
        <v>166.44323710084245</v>
      </c>
      <c r="AP33" s="411">
        <f t="shared" si="33"/>
        <v>256.73197409765112</v>
      </c>
      <c r="AQ33" s="411">
        <f t="shared" si="34"/>
        <v>255.53541257121651</v>
      </c>
      <c r="AR33" s="411">
        <f t="shared" si="35"/>
        <v>171.93843873201149</v>
      </c>
      <c r="AS33" s="411">
        <f t="shared" si="36"/>
        <v>166.44323710084245</v>
      </c>
      <c r="AT33" s="227" t="str">
        <f t="shared" si="5"/>
        <v/>
      </c>
      <c r="AU33" s="227" t="str">
        <f t="shared" si="37"/>
        <v/>
      </c>
      <c r="AV33" s="227" t="str">
        <f t="shared" si="38"/>
        <v/>
      </c>
      <c r="AW33" s="227" t="str">
        <f t="shared" si="39"/>
        <v/>
      </c>
      <c r="AX33" s="227" t="str">
        <f t="shared" si="6"/>
        <v/>
      </c>
      <c r="AY33" s="311" t="str">
        <f t="shared" si="7"/>
        <v/>
      </c>
      <c r="AZ33" s="311">
        <f t="shared" si="8"/>
        <v>256.73197409765112</v>
      </c>
      <c r="BA33" s="311">
        <f t="shared" si="40"/>
        <v>255.53541257121651</v>
      </c>
      <c r="BB33" s="311">
        <f t="shared" si="9"/>
        <v>171.93843873201149</v>
      </c>
      <c r="BC33" s="311">
        <f t="shared" si="10"/>
        <v>166.44323710084245</v>
      </c>
      <c r="BD33" s="227" t="str">
        <f t="shared" si="41"/>
        <v/>
      </c>
      <c r="BE33" s="227" t="str">
        <f t="shared" si="42"/>
        <v/>
      </c>
      <c r="BF33" s="227" t="str">
        <f t="shared" si="43"/>
        <v/>
      </c>
      <c r="BG33" s="227" t="str">
        <f t="shared" si="44"/>
        <v/>
      </c>
      <c r="BH33" s="227" t="str">
        <f t="shared" si="45"/>
        <v/>
      </c>
      <c r="BI33" s="227" t="str">
        <f t="shared" si="46"/>
        <v/>
      </c>
      <c r="BJ33" s="226">
        <f t="shared" si="47"/>
        <v>91479.898834512584</v>
      </c>
      <c r="BK33" s="335"/>
    </row>
    <row r="34" spans="1:63">
      <c r="A34" s="231">
        <v>191</v>
      </c>
      <c r="B34" s="231" t="str">
        <f>VLOOKUP(A34,'201314 RC list'!A:B,2,FALSE)</f>
        <v>Pain Management</v>
      </c>
      <c r="C34" s="231" t="str">
        <f>$A$34&amp;"&amp;"&amp;$A$35</f>
        <v>191&amp;241</v>
      </c>
      <c r="D34" s="310" t="str">
        <f t="shared" si="11"/>
        <v>A</v>
      </c>
      <c r="E34" s="231">
        <f>IF(ISERROR(VLOOKUP(A34,Mandatory!A:A,1,FALSE)),0,1)</f>
        <v>1</v>
      </c>
      <c r="F34" s="222">
        <f>VLOOKUP(A34,'Front-loading'!A:AG,$F$6,FALSE)</f>
        <v>5677</v>
      </c>
      <c r="G34" s="222">
        <f>VLOOKUP(A34,'Front-loading'!A:AG,$G$6,FALSE)</f>
        <v>191748</v>
      </c>
      <c r="H34" s="222">
        <f>VLOOKUP(A34,'Front-loading'!A:AG,$H$6,FALSE)</f>
        <v>5322</v>
      </c>
      <c r="I34" s="222">
        <f>VLOOKUP(A34,'Front-loading'!A:AG,$I$6,FALSE)</f>
        <v>345050</v>
      </c>
      <c r="J34" s="222">
        <f>VLOOKUP(A34,'Front-loading'!A:AG,$J$6,FALSE)</f>
        <v>1044700.4179490879</v>
      </c>
      <c r="K34" s="222">
        <f>VLOOKUP(A34,'Front-loading'!A:AG,$K$6,FALSE)</f>
        <v>33463863.700198673</v>
      </c>
      <c r="L34" s="222">
        <f>VLOOKUP(A34,'Front-loading'!A:AG,$L$6,FALSE)</f>
        <v>701419.2425391596</v>
      </c>
      <c r="M34" s="222">
        <f>VLOOKUP(A34,'Front-loading'!A:AG,$M$6,FALSE)</f>
        <v>35130488.101389423</v>
      </c>
      <c r="N34" s="223">
        <f t="shared" si="12"/>
        <v>184.0233253389269</v>
      </c>
      <c r="O34" s="223">
        <f t="shared" si="12"/>
        <v>174.52001429062454</v>
      </c>
      <c r="P34" s="223">
        <f t="shared" si="12"/>
        <v>131.79617484764367</v>
      </c>
      <c r="Q34" s="223">
        <f t="shared" si="12"/>
        <v>101.81274627268344</v>
      </c>
      <c r="R34" s="409">
        <f t="shared" si="13"/>
        <v>184.0233253389269</v>
      </c>
      <c r="S34" s="409">
        <f t="shared" si="14"/>
        <v>174.52001429062454</v>
      </c>
      <c r="T34" s="409">
        <f t="shared" si="15"/>
        <v>131.79617484764367</v>
      </c>
      <c r="U34" s="409">
        <f t="shared" si="16"/>
        <v>101.81274627268344</v>
      </c>
      <c r="V34" s="411">
        <f t="shared" si="17"/>
        <v>184.0233253389269</v>
      </c>
      <c r="W34" s="411">
        <f t="shared" si="18"/>
        <v>174.52001429062454</v>
      </c>
      <c r="X34" s="411">
        <f t="shared" si="19"/>
        <v>131.79617484764367</v>
      </c>
      <c r="Y34" s="411">
        <f t="shared" si="20"/>
        <v>101.81274627268344</v>
      </c>
      <c r="Z34" s="411">
        <f t="shared" si="21"/>
        <v>184.0233253389269</v>
      </c>
      <c r="AA34" s="411">
        <f t="shared" si="22"/>
        <v>174.52001429062454</v>
      </c>
      <c r="AB34" s="411">
        <f t="shared" si="23"/>
        <v>131.79617484764367</v>
      </c>
      <c r="AC34" s="411">
        <f t="shared" si="24"/>
        <v>101.81274627268344</v>
      </c>
      <c r="AD34" s="411">
        <f t="shared" si="25"/>
        <v>184.0233253389269</v>
      </c>
      <c r="AE34" s="411">
        <f t="shared" si="26"/>
        <v>174.52001429062454</v>
      </c>
      <c r="AF34" s="411">
        <f t="shared" si="27"/>
        <v>131.79617484764367</v>
      </c>
      <c r="AG34" s="411">
        <f t="shared" si="28"/>
        <v>101.81274627268344</v>
      </c>
      <c r="AH34" s="411">
        <f t="shared" si="29"/>
        <v>184.0233253389269</v>
      </c>
      <c r="AI34" s="411">
        <f t="shared" si="30"/>
        <v>174.52001429062454</v>
      </c>
      <c r="AJ34" s="411">
        <f t="shared" si="31"/>
        <v>131.79617484764367</v>
      </c>
      <c r="AK34" s="411">
        <f t="shared" si="32"/>
        <v>101.81274627268344</v>
      </c>
      <c r="AL34" s="411">
        <f>IF($C34="",AH34,IF(AH34&gt;AH35,SUMPRODUCT(AH34:AH35,F34:F35)/SUM(F34:F35),AH34))</f>
        <v>184.0233253389269</v>
      </c>
      <c r="AM34" s="411">
        <f>IF($C34="",AI34,IF(AI34&gt;AI35,SUMPRODUCT(AI34:AI35,G34:G35)/SUM(G34:G35),AI34))</f>
        <v>174.52001429062454</v>
      </c>
      <c r="AN34" s="411">
        <f>IF($C34="",AJ34,IF(AJ34&gt;AJ35,SUMPRODUCT(AJ34:AJ35,H34:H35)/SUM(H34:H35),AJ34))</f>
        <v>131.79617484764367</v>
      </c>
      <c r="AO34" s="411">
        <f>IF($C34="",AK34,IF(AK34&gt;AK35,SUMPRODUCT(AK34:AK35,I34:I35)/SUM(I34:I35),AK34))</f>
        <v>101.81274627268344</v>
      </c>
      <c r="AP34" s="411">
        <f t="shared" si="33"/>
        <v>184.0233253389269</v>
      </c>
      <c r="AQ34" s="411">
        <f t="shared" si="34"/>
        <v>174.52001429062454</v>
      </c>
      <c r="AR34" s="411">
        <f t="shared" si="35"/>
        <v>131.79617484764367</v>
      </c>
      <c r="AS34" s="411">
        <f t="shared" si="36"/>
        <v>101.81274627268344</v>
      </c>
      <c r="AT34" s="227" t="str">
        <f t="shared" si="5"/>
        <v/>
      </c>
      <c r="AU34" s="227" t="str">
        <f t="shared" si="37"/>
        <v/>
      </c>
      <c r="AV34" s="227" t="str">
        <f t="shared" si="38"/>
        <v/>
      </c>
      <c r="AW34" s="227" t="str">
        <f t="shared" si="39"/>
        <v/>
      </c>
      <c r="AX34" s="227" t="str">
        <f t="shared" si="6"/>
        <v/>
      </c>
      <c r="AY34" s="311" t="str">
        <f t="shared" si="7"/>
        <v/>
      </c>
      <c r="AZ34" s="311">
        <f t="shared" si="8"/>
        <v>184.0233253389269</v>
      </c>
      <c r="BA34" s="311">
        <f t="shared" si="40"/>
        <v>174.52001429062454</v>
      </c>
      <c r="BB34" s="311">
        <f t="shared" si="9"/>
        <v>131.79617484764367</v>
      </c>
      <c r="BC34" s="311">
        <f t="shared" si="10"/>
        <v>101.81274627268344</v>
      </c>
      <c r="BD34" s="227" t="str">
        <f t="shared" si="41"/>
        <v/>
      </c>
      <c r="BE34" s="227" t="str">
        <f t="shared" si="42"/>
        <v/>
      </c>
      <c r="BF34" s="227" t="str">
        <f t="shared" si="43"/>
        <v/>
      </c>
      <c r="BG34" s="227" t="str">
        <f t="shared" si="44"/>
        <v/>
      </c>
      <c r="BH34" s="227" t="str">
        <f t="shared" si="45"/>
        <v/>
      </c>
      <c r="BI34" s="227" t="str">
        <f t="shared" si="46"/>
        <v/>
      </c>
      <c r="BJ34" s="226">
        <f t="shared" si="47"/>
        <v>70340471.462076351</v>
      </c>
      <c r="BK34" s="335"/>
    </row>
    <row r="35" spans="1:63">
      <c r="A35" s="231">
        <v>241</v>
      </c>
      <c r="B35" s="231" t="str">
        <f>VLOOKUP(A35,'201314 RC list'!A:B,2,FALSE)</f>
        <v>Paediatric Pain Management</v>
      </c>
      <c r="C35" s="231" t="str">
        <f>$A$34&amp;"&amp;"&amp;$A$35</f>
        <v>191&amp;241</v>
      </c>
      <c r="D35" s="310" t="str">
        <f t="shared" si="11"/>
        <v>C</v>
      </c>
      <c r="E35" s="231">
        <f>IF(ISERROR(VLOOKUP(A35,Mandatory!A:A,1,FALSE)),0,1)</f>
        <v>0</v>
      </c>
      <c r="F35" s="222">
        <f>VLOOKUP(A35,'Front-loading'!A:AG,$F$6,FALSE)</f>
        <v>49</v>
      </c>
      <c r="G35" s="222">
        <f>VLOOKUP(A35,'Front-loading'!A:AG,$G$6,FALSE)</f>
        <v>348</v>
      </c>
      <c r="H35" s="222">
        <f>VLOOKUP(A35,'Front-loading'!A:AG,$H$6,FALSE)</f>
        <v>25</v>
      </c>
      <c r="I35" s="222">
        <f>VLOOKUP(A35,'Front-loading'!A:AG,$I$6,FALSE)</f>
        <v>826</v>
      </c>
      <c r="J35" s="222">
        <f>VLOOKUP(A35,'Front-loading'!A:AG,$J$6,FALSE)</f>
        <v>10841.963008389777</v>
      </c>
      <c r="K35" s="222">
        <f>VLOOKUP(A35,'Front-loading'!A:AG,$K$6,FALSE)</f>
        <v>417146.26017882454</v>
      </c>
      <c r="L35" s="222">
        <f>VLOOKUP(A35,'Front-loading'!A:AG,$L$6,FALSE)</f>
        <v>2427.2000151198931</v>
      </c>
      <c r="M35" s="222">
        <f>VLOOKUP(A35,'Front-loading'!A:AG,$M$6,FALSE)</f>
        <v>348853.58293011028</v>
      </c>
      <c r="N35" s="223">
        <f t="shared" si="12"/>
        <v>221.2645511916281</v>
      </c>
      <c r="O35" s="223">
        <f t="shared" si="12"/>
        <v>1198.6961499391509</v>
      </c>
      <c r="P35" s="223">
        <f t="shared" si="12"/>
        <v>97.088000604795724</v>
      </c>
      <c r="Q35" s="223">
        <f t="shared" si="12"/>
        <v>422.34089943112622</v>
      </c>
      <c r="R35" s="409">
        <f t="shared" si="13"/>
        <v>179.31301383121178</v>
      </c>
      <c r="S35" s="409">
        <f t="shared" si="14"/>
        <v>1198.6961499391509</v>
      </c>
      <c r="T35" s="409">
        <f t="shared" si="15"/>
        <v>179.31301383121178</v>
      </c>
      <c r="U35" s="409">
        <f t="shared" si="16"/>
        <v>422.34089943112622</v>
      </c>
      <c r="V35" s="411">
        <f t="shared" si="17"/>
        <v>179.31301383121178</v>
      </c>
      <c r="W35" s="411">
        <f t="shared" si="18"/>
        <v>1198.6961499391509</v>
      </c>
      <c r="X35" s="411">
        <f t="shared" si="19"/>
        <v>179.31301383121178</v>
      </c>
      <c r="Y35" s="411">
        <f t="shared" si="20"/>
        <v>422.34089943112622</v>
      </c>
      <c r="Z35" s="411">
        <f t="shared" si="21"/>
        <v>179.31301383121178</v>
      </c>
      <c r="AA35" s="411">
        <f t="shared" si="22"/>
        <v>1198.6961499391509</v>
      </c>
      <c r="AB35" s="411">
        <f t="shared" si="23"/>
        <v>179.31301383121178</v>
      </c>
      <c r="AC35" s="411">
        <f t="shared" si="24"/>
        <v>422.34089943112622</v>
      </c>
      <c r="AD35" s="411">
        <f t="shared" si="25"/>
        <v>1072.8780802432088</v>
      </c>
      <c r="AE35" s="411">
        <f t="shared" si="26"/>
        <v>1072.8780802432088</v>
      </c>
      <c r="AF35" s="411">
        <f t="shared" si="27"/>
        <v>415.20141983065872</v>
      </c>
      <c r="AG35" s="411">
        <f t="shared" si="28"/>
        <v>415.20141983065872</v>
      </c>
      <c r="AH35" s="411">
        <f t="shared" si="29"/>
        <v>1072.8780802432088</v>
      </c>
      <c r="AI35" s="411">
        <f t="shared" si="30"/>
        <v>1072.8780802432088</v>
      </c>
      <c r="AJ35" s="411">
        <f t="shared" si="31"/>
        <v>415.20141983065872</v>
      </c>
      <c r="AK35" s="411">
        <f t="shared" si="32"/>
        <v>415.20141983065872</v>
      </c>
      <c r="AL35" s="411">
        <f>IF($C35="",AH35,IF(AH34&gt;AH35,SUMPRODUCT(AH34:AH35,F34:F35)/SUM(F34:F35),AH35))</f>
        <v>1072.8780802432088</v>
      </c>
      <c r="AM35" s="411">
        <f>IF($C35="",AI35,IF(AI34&gt;AI35,SUMPRODUCT(AI34:AI35,G34:G35)/SUM(G34:G35),AI35))</f>
        <v>1072.8780802432088</v>
      </c>
      <c r="AN35" s="411">
        <f>IF($C35="",AJ35,IF(AJ34&gt;AJ35,SUMPRODUCT(AJ34:AJ35,H34:H35)/SUM(H34:H35),AJ35))</f>
        <v>415.20141983065872</v>
      </c>
      <c r="AO35" s="411">
        <f>IF($C35="",AK35,IF(AK34&gt;AK35,SUMPRODUCT(AK34:AK35,I34:I35)/SUM(I34:I35),AK35))</f>
        <v>415.20141983065872</v>
      </c>
      <c r="AP35" s="411">
        <f t="shared" si="33"/>
        <v>1072.8780802432088</v>
      </c>
      <c r="AQ35" s="411">
        <f t="shared" si="34"/>
        <v>1072.8780802432088</v>
      </c>
      <c r="AR35" s="411">
        <f t="shared" si="35"/>
        <v>415.20141983065872</v>
      </c>
      <c r="AS35" s="411">
        <f t="shared" si="36"/>
        <v>415.20141983065872</v>
      </c>
      <c r="AT35" s="227" t="str">
        <f t="shared" si="5"/>
        <v/>
      </c>
      <c r="AU35" s="227" t="str">
        <f t="shared" si="37"/>
        <v/>
      </c>
      <c r="AV35" s="227" t="str">
        <f t="shared" si="38"/>
        <v/>
      </c>
      <c r="AW35" s="227" t="str">
        <f t="shared" si="39"/>
        <v/>
      </c>
      <c r="AX35" s="227" t="str">
        <f t="shared" si="6"/>
        <v/>
      </c>
      <c r="AY35" s="311" t="str">
        <f t="shared" si="7"/>
        <v/>
      </c>
      <c r="AZ35" s="311">
        <f t="shared" si="8"/>
        <v>1072.8780802432088</v>
      </c>
      <c r="BA35" s="311">
        <f t="shared" si="40"/>
        <v>1072.8780802432088</v>
      </c>
      <c r="BB35" s="311">
        <f t="shared" si="9"/>
        <v>415.20141983065872</v>
      </c>
      <c r="BC35" s="311">
        <f t="shared" si="10"/>
        <v>415.20141983065872</v>
      </c>
      <c r="BD35" s="227" t="str">
        <f t="shared" si="41"/>
        <v/>
      </c>
      <c r="BE35" s="227" t="str">
        <f t="shared" si="42"/>
        <v/>
      </c>
      <c r="BF35" s="227" t="str">
        <f t="shared" si="43"/>
        <v/>
      </c>
      <c r="BG35" s="227" t="str">
        <f t="shared" si="44"/>
        <v/>
      </c>
      <c r="BH35" s="227" t="str">
        <f t="shared" si="45"/>
        <v/>
      </c>
      <c r="BI35" s="227" t="str">
        <f t="shared" si="46"/>
        <v/>
      </c>
      <c r="BJ35" s="226">
        <f t="shared" si="47"/>
        <v>779269.0061324446</v>
      </c>
      <c r="BK35" s="335"/>
    </row>
    <row r="36" spans="1:63">
      <c r="A36" s="231">
        <v>301</v>
      </c>
      <c r="B36" s="231" t="str">
        <f>VLOOKUP(A36,'201314 RC list'!A:B,2,FALSE)</f>
        <v>Gastroenterology</v>
      </c>
      <c r="C36" s="231" t="str">
        <f>$A$36&amp;"&amp;"&amp;$A$37</f>
        <v>301&amp;251</v>
      </c>
      <c r="D36" s="310" t="str">
        <f t="shared" si="11"/>
        <v>A</v>
      </c>
      <c r="E36" s="231">
        <f>IF(ISERROR(VLOOKUP(A36,Mandatory!A:A,1,FALSE)),0,1)</f>
        <v>1</v>
      </c>
      <c r="F36" s="222">
        <f>VLOOKUP(A36,'Front-loading'!A:AG,$F$6,FALSE)</f>
        <v>4167</v>
      </c>
      <c r="G36" s="222">
        <f>VLOOKUP(A36,'Front-loading'!A:AG,$G$6,FALSE)</f>
        <v>407741</v>
      </c>
      <c r="H36" s="222">
        <f>VLOOKUP(A36,'Front-loading'!A:AG,$H$6,FALSE)</f>
        <v>13158</v>
      </c>
      <c r="I36" s="222">
        <f>VLOOKUP(A36,'Front-loading'!A:AG,$I$6,FALSE)</f>
        <v>730613</v>
      </c>
      <c r="J36" s="222">
        <f>VLOOKUP(A36,'Front-loading'!A:AG,$J$6,FALSE)</f>
        <v>917656.21092540515</v>
      </c>
      <c r="K36" s="222">
        <f>VLOOKUP(A36,'Front-loading'!A:AG,$K$6,FALSE)</f>
        <v>68889960.471497133</v>
      </c>
      <c r="L36" s="222">
        <f>VLOOKUP(A36,'Front-loading'!A:AG,$L$6,FALSE)</f>
        <v>1878441.0600022648</v>
      </c>
      <c r="M36" s="222">
        <f>VLOOKUP(A36,'Front-loading'!A:AG,$M$6,FALSE)</f>
        <v>71758668.472257301</v>
      </c>
      <c r="N36" s="223">
        <f t="shared" si="12"/>
        <v>220.21987303225467</v>
      </c>
      <c r="O36" s="223">
        <f t="shared" si="12"/>
        <v>168.95519575293417</v>
      </c>
      <c r="P36" s="223">
        <f t="shared" si="12"/>
        <v>142.76037847714431</v>
      </c>
      <c r="Q36" s="223">
        <f t="shared" si="12"/>
        <v>98.217070422039171</v>
      </c>
      <c r="R36" s="409">
        <f t="shared" si="13"/>
        <v>220.21987303225467</v>
      </c>
      <c r="S36" s="409">
        <f t="shared" si="14"/>
        <v>168.95519575293417</v>
      </c>
      <c r="T36" s="409">
        <f t="shared" si="15"/>
        <v>142.76037847714431</v>
      </c>
      <c r="U36" s="409">
        <f t="shared" si="16"/>
        <v>98.217070422039171</v>
      </c>
      <c r="V36" s="411">
        <f t="shared" si="17"/>
        <v>220.21987303225467</v>
      </c>
      <c r="W36" s="411">
        <f t="shared" si="18"/>
        <v>168.95519575293417</v>
      </c>
      <c r="X36" s="411">
        <f t="shared" si="19"/>
        <v>142.76037847714431</v>
      </c>
      <c r="Y36" s="411">
        <f t="shared" si="20"/>
        <v>98.217070422039171</v>
      </c>
      <c r="Z36" s="411">
        <f t="shared" si="21"/>
        <v>220.21987303225467</v>
      </c>
      <c r="AA36" s="411">
        <f t="shared" si="22"/>
        <v>168.95519575293417</v>
      </c>
      <c r="AB36" s="411">
        <f t="shared" si="23"/>
        <v>142.76037847714431</v>
      </c>
      <c r="AC36" s="411">
        <f t="shared" si="24"/>
        <v>98.217070422039171</v>
      </c>
      <c r="AD36" s="411">
        <f t="shared" si="25"/>
        <v>220.21987303225467</v>
      </c>
      <c r="AE36" s="411">
        <f t="shared" si="26"/>
        <v>168.95519575293417</v>
      </c>
      <c r="AF36" s="411">
        <f t="shared" si="27"/>
        <v>142.76037847714431</v>
      </c>
      <c r="AG36" s="411">
        <f t="shared" si="28"/>
        <v>98.217070422039171</v>
      </c>
      <c r="AH36" s="411">
        <f t="shared" si="29"/>
        <v>220.21987303225467</v>
      </c>
      <c r="AI36" s="411">
        <f t="shared" si="30"/>
        <v>168.95519575293417</v>
      </c>
      <c r="AJ36" s="411">
        <f t="shared" si="31"/>
        <v>142.76037847714431</v>
      </c>
      <c r="AK36" s="411">
        <f t="shared" si="32"/>
        <v>98.217070422039171</v>
      </c>
      <c r="AL36" s="411">
        <f>IF($C36="",AH36,IF(AH36&gt;AH37,SUMPRODUCT(AH36:AH37,F36:F37)/SUM(F36:F37),AH36))</f>
        <v>220.21987303225467</v>
      </c>
      <c r="AM36" s="411">
        <f>IF($C36="",AI36,IF(AI36&gt;AI37,SUMPRODUCT(AI36:AI37,G36:G37)/SUM(G36:G37),AI36))</f>
        <v>168.95519575293417</v>
      </c>
      <c r="AN36" s="411">
        <f>IF($C36="",AJ36,IF(AJ36&gt;AJ37,SUMPRODUCT(AJ36:AJ37,H36:H37)/SUM(H36:H37),AJ36))</f>
        <v>142.76037847714431</v>
      </c>
      <c r="AO36" s="411">
        <f>IF($C36="",AK36,IF(AK36&gt;AK37,SUMPRODUCT(AK36:AK37,I36:I37)/SUM(I36:I37),AK36))</f>
        <v>98.217070422039171</v>
      </c>
      <c r="AP36" s="411">
        <f t="shared" si="33"/>
        <v>220.21987303225467</v>
      </c>
      <c r="AQ36" s="411">
        <f t="shared" si="34"/>
        <v>168.95519575293417</v>
      </c>
      <c r="AR36" s="411">
        <f t="shared" si="35"/>
        <v>142.76037847714431</v>
      </c>
      <c r="AS36" s="411">
        <f t="shared" si="36"/>
        <v>98.217070422039171</v>
      </c>
      <c r="AT36" s="227" t="str">
        <f t="shared" si="5"/>
        <v/>
      </c>
      <c r="AU36" s="227" t="str">
        <f t="shared" si="37"/>
        <v/>
      </c>
      <c r="AV36" s="227" t="str">
        <f t="shared" si="38"/>
        <v/>
      </c>
      <c r="AW36" s="227" t="str">
        <f t="shared" si="39"/>
        <v/>
      </c>
      <c r="AX36" s="227" t="str">
        <f t="shared" si="6"/>
        <v/>
      </c>
      <c r="AY36" s="311" t="str">
        <f t="shared" si="7"/>
        <v/>
      </c>
      <c r="AZ36" s="311">
        <f t="shared" si="8"/>
        <v>220.21987303225467</v>
      </c>
      <c r="BA36" s="311">
        <f t="shared" si="40"/>
        <v>168.95519575293417</v>
      </c>
      <c r="BB36" s="311">
        <f t="shared" si="9"/>
        <v>142.76037847714431</v>
      </c>
      <c r="BC36" s="311">
        <f t="shared" si="10"/>
        <v>98.217070422039171</v>
      </c>
      <c r="BD36" s="227" t="str">
        <f t="shared" si="41"/>
        <v/>
      </c>
      <c r="BE36" s="227" t="str">
        <f t="shared" si="42"/>
        <v/>
      </c>
      <c r="BF36" s="227" t="str">
        <f t="shared" si="43"/>
        <v/>
      </c>
      <c r="BG36" s="227" t="str">
        <f t="shared" si="44"/>
        <v/>
      </c>
      <c r="BH36" s="227" t="str">
        <f t="shared" si="45"/>
        <v/>
      </c>
      <c r="BI36" s="227" t="str">
        <f t="shared" si="46"/>
        <v/>
      </c>
      <c r="BJ36" s="226">
        <f t="shared" si="47"/>
        <v>143444726.2146821</v>
      </c>
      <c r="BK36" s="335"/>
    </row>
    <row r="37" spans="1:63">
      <c r="A37" s="231">
        <v>251</v>
      </c>
      <c r="B37" s="231" t="str">
        <f>VLOOKUP(A37,'201314 RC list'!A:B,2,FALSE)</f>
        <v>Paediatric Gastroenterology</v>
      </c>
      <c r="C37" s="231" t="str">
        <f>$A$36&amp;"&amp;"&amp;$A$37</f>
        <v>301&amp;251</v>
      </c>
      <c r="D37" s="310" t="str">
        <f t="shared" si="11"/>
        <v>C</v>
      </c>
      <c r="E37" s="231">
        <f>IF(ISERROR(VLOOKUP(A37,Mandatory!A:A,1,FALSE)),0,1)</f>
        <v>1</v>
      </c>
      <c r="F37" s="222">
        <f>VLOOKUP(A37,'Front-loading'!A:AG,$F$6,FALSE)</f>
        <v>1516</v>
      </c>
      <c r="G37" s="222">
        <f>VLOOKUP(A37,'Front-loading'!A:AG,$G$6,FALSE)</f>
        <v>18341</v>
      </c>
      <c r="H37" s="222">
        <f>VLOOKUP(A37,'Front-loading'!A:AG,$H$6,FALSE)</f>
        <v>5595</v>
      </c>
      <c r="I37" s="222">
        <f>VLOOKUP(A37,'Front-loading'!A:AG,$I$6,FALSE)</f>
        <v>46186</v>
      </c>
      <c r="J37" s="222">
        <f>VLOOKUP(A37,'Front-loading'!A:AG,$J$6,FALSE)</f>
        <v>376161.83451356995</v>
      </c>
      <c r="K37" s="222">
        <f>VLOOKUP(A37,'Front-loading'!A:AG,$K$6,FALSE)</f>
        <v>5023052.7860534657</v>
      </c>
      <c r="L37" s="222">
        <f>VLOOKUP(A37,'Front-loading'!A:AG,$L$6,FALSE)</f>
        <v>831308.49459183204</v>
      </c>
      <c r="M37" s="222">
        <f>VLOOKUP(A37,'Front-loading'!A:AG,$M$6,FALSE)</f>
        <v>8394990.7643553466</v>
      </c>
      <c r="N37" s="223">
        <f t="shared" si="12"/>
        <v>248.12785917781659</v>
      </c>
      <c r="O37" s="223">
        <f t="shared" si="12"/>
        <v>273.87016989550546</v>
      </c>
      <c r="P37" s="223">
        <f t="shared" si="12"/>
        <v>148.58060671882609</v>
      </c>
      <c r="Q37" s="223">
        <f t="shared" si="12"/>
        <v>181.76483705788218</v>
      </c>
      <c r="R37" s="409">
        <f t="shared" si="13"/>
        <v>248.12785917781659</v>
      </c>
      <c r="S37" s="409">
        <f t="shared" si="14"/>
        <v>273.87016989550546</v>
      </c>
      <c r="T37" s="409">
        <f t="shared" si="15"/>
        <v>148.58060671882609</v>
      </c>
      <c r="U37" s="409">
        <f t="shared" si="16"/>
        <v>181.76483705788218</v>
      </c>
      <c r="V37" s="411">
        <f t="shared" si="17"/>
        <v>248.12785917781659</v>
      </c>
      <c r="W37" s="411">
        <f t="shared" si="18"/>
        <v>273.87016989550546</v>
      </c>
      <c r="X37" s="411">
        <f t="shared" si="19"/>
        <v>148.58060671882609</v>
      </c>
      <c r="Y37" s="411">
        <f t="shared" si="20"/>
        <v>181.76483705788218</v>
      </c>
      <c r="Z37" s="411">
        <f t="shared" si="21"/>
        <v>248.12785917781659</v>
      </c>
      <c r="AA37" s="411">
        <f t="shared" si="22"/>
        <v>273.87016989550546</v>
      </c>
      <c r="AB37" s="411">
        <f t="shared" si="23"/>
        <v>148.58060671882609</v>
      </c>
      <c r="AC37" s="411">
        <f t="shared" si="24"/>
        <v>181.76483705788218</v>
      </c>
      <c r="AD37" s="411">
        <f t="shared" si="25"/>
        <v>271.90485071093497</v>
      </c>
      <c r="AE37" s="411">
        <f t="shared" si="26"/>
        <v>271.90485071093497</v>
      </c>
      <c r="AF37" s="411">
        <f t="shared" si="27"/>
        <v>178.17924062778198</v>
      </c>
      <c r="AG37" s="411">
        <f t="shared" si="28"/>
        <v>178.17924062778198</v>
      </c>
      <c r="AH37" s="411">
        <f t="shared" si="29"/>
        <v>271.90485071093497</v>
      </c>
      <c r="AI37" s="411">
        <f t="shared" si="30"/>
        <v>271.90485071093497</v>
      </c>
      <c r="AJ37" s="411">
        <f t="shared" si="31"/>
        <v>178.17924062778198</v>
      </c>
      <c r="AK37" s="411">
        <f t="shared" si="32"/>
        <v>178.17924062778198</v>
      </c>
      <c r="AL37" s="411">
        <f>IF($C37="",AH37,IF(AH36&gt;AH37,SUMPRODUCT(AH36:AH37,F36:F37)/SUM(F36:F37),AH37))</f>
        <v>271.90485071093497</v>
      </c>
      <c r="AM37" s="411">
        <f>IF($C37="",AI37,IF(AI36&gt;AI37,SUMPRODUCT(AI36:AI37,G36:G37)/SUM(G36:G37),AI37))</f>
        <v>271.90485071093497</v>
      </c>
      <c r="AN37" s="411">
        <f>IF($C37="",AJ37,IF(AJ36&gt;AJ37,SUMPRODUCT(AJ36:AJ37,H36:H37)/SUM(H36:H37),AJ37))</f>
        <v>178.17924062778198</v>
      </c>
      <c r="AO37" s="411">
        <f>IF($C37="",AK37,IF(AK36&gt;AK37,SUMPRODUCT(AK36:AK37,I36:I37)/SUM(I36:I37),AK37))</f>
        <v>178.17924062778198</v>
      </c>
      <c r="AP37" s="411">
        <f t="shared" si="33"/>
        <v>271.90485071093497</v>
      </c>
      <c r="AQ37" s="411">
        <f t="shared" si="34"/>
        <v>271.90485071093497</v>
      </c>
      <c r="AR37" s="411">
        <f t="shared" si="35"/>
        <v>178.17924062778198</v>
      </c>
      <c r="AS37" s="411">
        <f t="shared" si="36"/>
        <v>178.17924062778198</v>
      </c>
      <c r="AT37" s="227" t="str">
        <f t="shared" si="5"/>
        <v/>
      </c>
      <c r="AU37" s="227" t="str">
        <f t="shared" si="37"/>
        <v/>
      </c>
      <c r="AV37" s="227" t="str">
        <f t="shared" si="38"/>
        <v/>
      </c>
      <c r="AW37" s="227" t="str">
        <f t="shared" si="39"/>
        <v/>
      </c>
      <c r="AX37" s="227" t="str">
        <f t="shared" si="6"/>
        <v/>
      </c>
      <c r="AY37" s="311" t="str">
        <f t="shared" si="7"/>
        <v/>
      </c>
      <c r="AZ37" s="311">
        <f t="shared" si="8"/>
        <v>271.90485071093497</v>
      </c>
      <c r="BA37" s="311">
        <f t="shared" si="40"/>
        <v>271.90485071093497</v>
      </c>
      <c r="BB37" s="311">
        <f t="shared" si="9"/>
        <v>178.17924062778198</v>
      </c>
      <c r="BC37" s="311">
        <f t="shared" si="10"/>
        <v>178.17924062778198</v>
      </c>
      <c r="BD37" s="227" t="str">
        <f t="shared" si="41"/>
        <v/>
      </c>
      <c r="BE37" s="227" t="str">
        <f t="shared" si="42"/>
        <v/>
      </c>
      <c r="BF37" s="227" t="str">
        <f t="shared" si="43"/>
        <v/>
      </c>
      <c r="BG37" s="227" t="str">
        <f t="shared" si="44"/>
        <v/>
      </c>
      <c r="BH37" s="227" t="str">
        <f t="shared" si="45"/>
        <v/>
      </c>
      <c r="BI37" s="227" t="str">
        <f t="shared" si="46"/>
        <v/>
      </c>
      <c r="BJ37" s="226">
        <f t="shared" si="47"/>
        <v>14625513.879514214</v>
      </c>
      <c r="BK37" s="335"/>
    </row>
    <row r="38" spans="1:63">
      <c r="A38" s="231">
        <v>302</v>
      </c>
      <c r="B38" s="231" t="str">
        <f>VLOOKUP(A38,'201314 RC list'!A:B,2,FALSE)</f>
        <v>Endocrinology</v>
      </c>
      <c r="C38" s="231" t="str">
        <f>$A$38&amp;"&amp;"&amp;$A$39</f>
        <v>302&amp;252</v>
      </c>
      <c r="D38" s="310" t="str">
        <f t="shared" si="11"/>
        <v>A</v>
      </c>
      <c r="E38" s="231">
        <f>IF(ISERROR(VLOOKUP(A38,Mandatory!A:A,1,FALSE)),0,1)</f>
        <v>1</v>
      </c>
      <c r="F38" s="222">
        <f>VLOOKUP(A38,'Front-loading'!A:AG,$F$6,FALSE)</f>
        <v>2862</v>
      </c>
      <c r="G38" s="222">
        <f>VLOOKUP(A38,'Front-loading'!A:AG,$G$6,FALSE)</f>
        <v>109353</v>
      </c>
      <c r="H38" s="222">
        <f>VLOOKUP(A38,'Front-loading'!A:AG,$H$6,FALSE)</f>
        <v>8880</v>
      </c>
      <c r="I38" s="222">
        <f>VLOOKUP(A38,'Front-loading'!A:AG,$I$6,FALSE)</f>
        <v>353384</v>
      </c>
      <c r="J38" s="222">
        <f>VLOOKUP(A38,'Front-loading'!A:AG,$J$6,FALSE)</f>
        <v>685341.98834476841</v>
      </c>
      <c r="K38" s="222">
        <f>VLOOKUP(A38,'Front-loading'!A:AG,$K$6,FALSE)</f>
        <v>22698833.334272698</v>
      </c>
      <c r="L38" s="222">
        <f>VLOOKUP(A38,'Front-loading'!A:AG,$L$6,FALSE)</f>
        <v>1246908.0742123167</v>
      </c>
      <c r="M38" s="222">
        <f>VLOOKUP(A38,'Front-loading'!A:AG,$M$6,FALSE)</f>
        <v>38355601.004540846</v>
      </c>
      <c r="N38" s="223">
        <f t="shared" si="12"/>
        <v>239.46260948454523</v>
      </c>
      <c r="O38" s="223">
        <f t="shared" si="12"/>
        <v>207.57394250064195</v>
      </c>
      <c r="P38" s="223">
        <f t="shared" si="12"/>
        <v>140.41757592481042</v>
      </c>
      <c r="Q38" s="223">
        <f t="shared" si="12"/>
        <v>108.53802380566422</v>
      </c>
      <c r="R38" s="409">
        <f t="shared" si="13"/>
        <v>239.46260948454523</v>
      </c>
      <c r="S38" s="409">
        <f t="shared" si="14"/>
        <v>207.57394250064195</v>
      </c>
      <c r="T38" s="409">
        <f t="shared" si="15"/>
        <v>140.41757592481042</v>
      </c>
      <c r="U38" s="409">
        <f t="shared" si="16"/>
        <v>108.53802380566422</v>
      </c>
      <c r="V38" s="411">
        <f t="shared" si="17"/>
        <v>239.46260948454523</v>
      </c>
      <c r="W38" s="411">
        <f t="shared" si="18"/>
        <v>207.57394250064195</v>
      </c>
      <c r="X38" s="411">
        <f t="shared" si="19"/>
        <v>140.41757592481042</v>
      </c>
      <c r="Y38" s="411">
        <f t="shared" si="20"/>
        <v>108.53802380566422</v>
      </c>
      <c r="Z38" s="411">
        <f t="shared" si="21"/>
        <v>239.46260948454523</v>
      </c>
      <c r="AA38" s="411">
        <f t="shared" si="22"/>
        <v>207.57394250064195</v>
      </c>
      <c r="AB38" s="411">
        <f t="shared" si="23"/>
        <v>140.41757592481042</v>
      </c>
      <c r="AC38" s="411">
        <f t="shared" si="24"/>
        <v>108.53802380566422</v>
      </c>
      <c r="AD38" s="411">
        <f t="shared" si="25"/>
        <v>239.46260948454523</v>
      </c>
      <c r="AE38" s="411">
        <f t="shared" si="26"/>
        <v>207.57394250064195</v>
      </c>
      <c r="AF38" s="411">
        <f t="shared" si="27"/>
        <v>140.41757592481042</v>
      </c>
      <c r="AG38" s="411">
        <f t="shared" si="28"/>
        <v>108.53802380566422</v>
      </c>
      <c r="AH38" s="411">
        <f t="shared" si="29"/>
        <v>239.46260948454523</v>
      </c>
      <c r="AI38" s="411">
        <f t="shared" si="30"/>
        <v>207.57394250064195</v>
      </c>
      <c r="AJ38" s="411">
        <f t="shared" si="31"/>
        <v>140.41757592481042</v>
      </c>
      <c r="AK38" s="411">
        <f t="shared" si="32"/>
        <v>108.53802380566422</v>
      </c>
      <c r="AL38" s="411">
        <f>IF($C38="",AH38,IF(AH38&gt;AH39,SUMPRODUCT(AH38:AH39,F38:F39)/SUM(F38:F39),AH38))</f>
        <v>239.46260948454523</v>
      </c>
      <c r="AM38" s="411">
        <f>IF($C38="",AI38,IF(AI38&gt;AI39,SUMPRODUCT(AI38:AI39,G38:G39)/SUM(G38:G39),AI38))</f>
        <v>207.57394250064195</v>
      </c>
      <c r="AN38" s="411">
        <f>IF($C38="",AJ38,IF(AJ38&gt;AJ39,SUMPRODUCT(AJ38:AJ39,H38:H39)/SUM(H38:H39),AJ38))</f>
        <v>140.41757592481042</v>
      </c>
      <c r="AO38" s="411">
        <f>IF($C38="",AK38,IF(AK38&gt;AK39,SUMPRODUCT(AK38:AK39,I38:I39)/SUM(I38:I39),AK38))</f>
        <v>108.53802380566422</v>
      </c>
      <c r="AP38" s="411">
        <f t="shared" si="33"/>
        <v>239.46260948454523</v>
      </c>
      <c r="AQ38" s="411">
        <f t="shared" si="34"/>
        <v>207.57394250064195</v>
      </c>
      <c r="AR38" s="411">
        <f t="shared" si="35"/>
        <v>140.41757592481042</v>
      </c>
      <c r="AS38" s="411">
        <f t="shared" si="36"/>
        <v>108.53802380566422</v>
      </c>
      <c r="AT38" s="227" t="str">
        <f t="shared" si="5"/>
        <v/>
      </c>
      <c r="AU38" s="227" t="str">
        <f t="shared" si="37"/>
        <v/>
      </c>
      <c r="AV38" s="227" t="str">
        <f t="shared" si="38"/>
        <v/>
      </c>
      <c r="AW38" s="227" t="str">
        <f t="shared" si="39"/>
        <v/>
      </c>
      <c r="AX38" s="227" t="str">
        <f t="shared" si="6"/>
        <v/>
      </c>
      <c r="AY38" s="311" t="str">
        <f t="shared" si="7"/>
        <v/>
      </c>
      <c r="AZ38" s="311">
        <f t="shared" si="8"/>
        <v>239.46260948454523</v>
      </c>
      <c r="BA38" s="311">
        <f t="shared" si="40"/>
        <v>207.57394250064195</v>
      </c>
      <c r="BB38" s="311">
        <f t="shared" si="9"/>
        <v>140.41757592481042</v>
      </c>
      <c r="BC38" s="311">
        <f t="shared" si="10"/>
        <v>108.53802380566422</v>
      </c>
      <c r="BD38" s="227" t="str">
        <f t="shared" si="41"/>
        <v/>
      </c>
      <c r="BE38" s="227" t="str">
        <f t="shared" si="42"/>
        <v/>
      </c>
      <c r="BF38" s="227" t="str">
        <f t="shared" si="43"/>
        <v/>
      </c>
      <c r="BG38" s="227" t="str">
        <f t="shared" si="44"/>
        <v/>
      </c>
      <c r="BH38" s="227" t="str">
        <f t="shared" si="45"/>
        <v/>
      </c>
      <c r="BI38" s="227" t="str">
        <f t="shared" si="46"/>
        <v/>
      </c>
      <c r="BJ38" s="226">
        <f t="shared" si="47"/>
        <v>62986684.40137063</v>
      </c>
      <c r="BK38" s="335"/>
    </row>
    <row r="39" spans="1:63">
      <c r="A39" s="231">
        <v>252</v>
      </c>
      <c r="B39" s="231" t="str">
        <f>VLOOKUP(A39,'201314 RC list'!A:B,2,FALSE)</f>
        <v>Paediatric Endocrinology</v>
      </c>
      <c r="C39" s="231" t="str">
        <f>$A$38&amp;"&amp;"&amp;$A$39</f>
        <v>302&amp;252</v>
      </c>
      <c r="D39" s="310" t="str">
        <f t="shared" si="11"/>
        <v>C</v>
      </c>
      <c r="E39" s="231">
        <f>IF(ISERROR(VLOOKUP(A39,Mandatory!A:A,1,FALSE)),0,1)</f>
        <v>1</v>
      </c>
      <c r="F39" s="222">
        <f>VLOOKUP(A39,'Front-loading'!A:AG,$F$6,FALSE)</f>
        <v>1261</v>
      </c>
      <c r="G39" s="222">
        <f>VLOOKUP(A39,'Front-loading'!A:AG,$G$6,FALSE)</f>
        <v>9785</v>
      </c>
      <c r="H39" s="222">
        <f>VLOOKUP(A39,'Front-loading'!A:AG,$H$6,FALSE)</f>
        <v>5278</v>
      </c>
      <c r="I39" s="222">
        <f>VLOOKUP(A39,'Front-loading'!A:AG,$I$6,FALSE)</f>
        <v>37255</v>
      </c>
      <c r="J39" s="222">
        <f>VLOOKUP(A39,'Front-loading'!A:AG,$J$6,FALSE)</f>
        <v>420485.0022542777</v>
      </c>
      <c r="K39" s="222">
        <f>VLOOKUP(A39,'Front-loading'!A:AG,$K$6,FALSE)</f>
        <v>3611903.6633171476</v>
      </c>
      <c r="L39" s="222">
        <f>VLOOKUP(A39,'Front-loading'!A:AG,$L$6,FALSE)</f>
        <v>955361.37430173787</v>
      </c>
      <c r="M39" s="222">
        <f>VLOOKUP(A39,'Front-loading'!A:AG,$M$6,FALSE)</f>
        <v>6441992.3158397237</v>
      </c>
      <c r="N39" s="223">
        <f t="shared" si="12"/>
        <v>333.45361003511317</v>
      </c>
      <c r="O39" s="223">
        <f t="shared" si="12"/>
        <v>369.12658797313719</v>
      </c>
      <c r="P39" s="223">
        <f t="shared" si="12"/>
        <v>181.0082179427317</v>
      </c>
      <c r="Q39" s="223">
        <f t="shared" si="12"/>
        <v>172.9161808036431</v>
      </c>
      <c r="R39" s="409">
        <f t="shared" si="13"/>
        <v>333.45361003511317</v>
      </c>
      <c r="S39" s="409">
        <f t="shared" si="14"/>
        <v>369.12658797313719</v>
      </c>
      <c r="T39" s="409">
        <f t="shared" si="15"/>
        <v>181.0082179427317</v>
      </c>
      <c r="U39" s="409">
        <f t="shared" si="16"/>
        <v>172.9161808036431</v>
      </c>
      <c r="V39" s="411">
        <f t="shared" si="17"/>
        <v>333.45361003511317</v>
      </c>
      <c r="W39" s="411">
        <f t="shared" si="18"/>
        <v>369.12658797313719</v>
      </c>
      <c r="X39" s="411">
        <f t="shared" si="19"/>
        <v>181.0082179427317</v>
      </c>
      <c r="Y39" s="411">
        <f t="shared" si="20"/>
        <v>172.9161808036431</v>
      </c>
      <c r="Z39" s="411">
        <f t="shared" si="21"/>
        <v>333.45361003511317</v>
      </c>
      <c r="AA39" s="411">
        <f t="shared" si="22"/>
        <v>369.12658797313719</v>
      </c>
      <c r="AB39" s="411">
        <f t="shared" si="23"/>
        <v>181.0082179427317</v>
      </c>
      <c r="AC39" s="411">
        <f t="shared" si="24"/>
        <v>172.9161808036431</v>
      </c>
      <c r="AD39" s="411">
        <f t="shared" si="25"/>
        <v>365.05419749877103</v>
      </c>
      <c r="AE39" s="411">
        <f t="shared" si="26"/>
        <v>365.05419749877103</v>
      </c>
      <c r="AF39" s="411">
        <f t="shared" si="27"/>
        <v>181.0082179427317</v>
      </c>
      <c r="AG39" s="411">
        <f t="shared" si="28"/>
        <v>172.9161808036431</v>
      </c>
      <c r="AH39" s="411">
        <f t="shared" si="29"/>
        <v>365.05419749877103</v>
      </c>
      <c r="AI39" s="411">
        <f t="shared" si="30"/>
        <v>365.05419749877103</v>
      </c>
      <c r="AJ39" s="411">
        <f t="shared" si="31"/>
        <v>181.0082179427317</v>
      </c>
      <c r="AK39" s="411">
        <f t="shared" si="32"/>
        <v>172.9161808036431</v>
      </c>
      <c r="AL39" s="411">
        <f>IF($C39="",AH39,IF(AH38&gt;AH39,SUMPRODUCT(AH38:AH39,F38:F39)/SUM(F38:F39),AH39))</f>
        <v>365.05419749877103</v>
      </c>
      <c r="AM39" s="411">
        <f>IF($C39="",AI39,IF(AI38&gt;AI39,SUMPRODUCT(AI38:AI39,G38:G39)/SUM(G38:G39),AI39))</f>
        <v>365.05419749877103</v>
      </c>
      <c r="AN39" s="411">
        <f>IF($C39="",AJ39,IF(AJ38&gt;AJ39,SUMPRODUCT(AJ38:AJ39,H38:H39)/SUM(H38:H39),AJ39))</f>
        <v>181.0082179427317</v>
      </c>
      <c r="AO39" s="411">
        <f>IF($C39="",AK39,IF(AK38&gt;AK39,SUMPRODUCT(AK38:AK39,I38:I39)/SUM(I38:I39),AK39))</f>
        <v>172.9161808036431</v>
      </c>
      <c r="AP39" s="411">
        <f t="shared" si="33"/>
        <v>365.05419749877103</v>
      </c>
      <c r="AQ39" s="411">
        <f t="shared" si="34"/>
        <v>365.05419749877103</v>
      </c>
      <c r="AR39" s="411">
        <f t="shared" si="35"/>
        <v>181.0082179427317</v>
      </c>
      <c r="AS39" s="411">
        <f t="shared" si="36"/>
        <v>172.9161808036431</v>
      </c>
      <c r="AT39" s="227" t="str">
        <f t="shared" si="5"/>
        <v/>
      </c>
      <c r="AU39" s="227" t="str">
        <f t="shared" si="37"/>
        <v/>
      </c>
      <c r="AV39" s="227" t="str">
        <f t="shared" si="38"/>
        <v/>
      </c>
      <c r="AW39" s="227" t="str">
        <f t="shared" si="39"/>
        <v/>
      </c>
      <c r="AX39" s="227" t="str">
        <f t="shared" si="6"/>
        <v/>
      </c>
      <c r="AY39" s="311" t="str">
        <f t="shared" si="7"/>
        <v/>
      </c>
      <c r="AZ39" s="311">
        <f t="shared" si="8"/>
        <v>365.05419749877103</v>
      </c>
      <c r="BA39" s="311">
        <f t="shared" si="40"/>
        <v>365.05419749877103</v>
      </c>
      <c r="BB39" s="311">
        <f t="shared" si="9"/>
        <v>181.0082179427317</v>
      </c>
      <c r="BC39" s="311">
        <f t="shared" si="10"/>
        <v>172.9161808036431</v>
      </c>
      <c r="BD39" s="227" t="str">
        <f t="shared" si="41"/>
        <v/>
      </c>
      <c r="BE39" s="227" t="str">
        <f t="shared" si="42"/>
        <v/>
      </c>
      <c r="BF39" s="227" t="str">
        <f t="shared" si="43"/>
        <v/>
      </c>
      <c r="BG39" s="227" t="str">
        <f t="shared" si="44"/>
        <v/>
      </c>
      <c r="BH39" s="227" t="str">
        <f t="shared" si="45"/>
        <v/>
      </c>
      <c r="BI39" s="227" t="str">
        <f t="shared" si="46"/>
        <v/>
      </c>
      <c r="BJ39" s="226">
        <f t="shared" si="47"/>
        <v>11429742.355712887</v>
      </c>
      <c r="BK39" s="335"/>
    </row>
    <row r="40" spans="1:63">
      <c r="A40" s="231">
        <v>303</v>
      </c>
      <c r="B40" s="231" t="str">
        <f>VLOOKUP(A40,'201314 RC list'!A:B,2,FALSE)</f>
        <v>Clinical Haematology</v>
      </c>
      <c r="C40" s="231" t="str">
        <f>$A$40&amp;"&amp;"&amp;$A$41</f>
        <v>303&amp;253</v>
      </c>
      <c r="D40" s="310" t="str">
        <f t="shared" si="11"/>
        <v>A</v>
      </c>
      <c r="E40" s="231">
        <f>IF(ISERROR(VLOOKUP(A40,Mandatory!A:A,1,FALSE)),0,1)</f>
        <v>1</v>
      </c>
      <c r="F40" s="222">
        <f>VLOOKUP(A40,'Front-loading'!A:AG,$F$6,FALSE)</f>
        <v>4882</v>
      </c>
      <c r="G40" s="222">
        <f>VLOOKUP(A40,'Front-loading'!A:AG,$G$6,FALSE)</f>
        <v>169691</v>
      </c>
      <c r="H40" s="222">
        <f>VLOOKUP(A40,'Front-loading'!A:AG,$H$6,FALSE)</f>
        <v>43124</v>
      </c>
      <c r="I40" s="222">
        <f>VLOOKUP(A40,'Front-loading'!A:AG,$I$6,FALSE)</f>
        <v>1074499</v>
      </c>
      <c r="J40" s="222">
        <f>VLOOKUP(A40,'Front-loading'!A:AG,$J$6,FALSE)</f>
        <v>2275210.4959518714</v>
      </c>
      <c r="K40" s="222">
        <f>VLOOKUP(A40,'Front-loading'!A:AG,$K$6,FALSE)</f>
        <v>48081916.398014955</v>
      </c>
      <c r="L40" s="222">
        <f>VLOOKUP(A40,'Front-loading'!A:AG,$L$6,FALSE)</f>
        <v>9598051.6862165183</v>
      </c>
      <c r="M40" s="222">
        <f>VLOOKUP(A40,'Front-loading'!A:AG,$M$6,FALSE)</f>
        <v>137488256.6021221</v>
      </c>
      <c r="N40" s="223">
        <f t="shared" si="12"/>
        <v>466.04065873655702</v>
      </c>
      <c r="O40" s="223">
        <f t="shared" si="12"/>
        <v>283.34983233061831</v>
      </c>
      <c r="P40" s="223">
        <f t="shared" si="12"/>
        <v>222.56867837437431</v>
      </c>
      <c r="Q40" s="223">
        <f t="shared" si="12"/>
        <v>127.95568595421875</v>
      </c>
      <c r="R40" s="409">
        <f t="shared" si="13"/>
        <v>466.04065873655702</v>
      </c>
      <c r="S40" s="409">
        <f t="shared" si="14"/>
        <v>283.34983233061831</v>
      </c>
      <c r="T40" s="409">
        <f t="shared" si="15"/>
        <v>222.56867837437431</v>
      </c>
      <c r="U40" s="409">
        <f t="shared" si="16"/>
        <v>127.95568595421875</v>
      </c>
      <c r="V40" s="411">
        <f t="shared" si="17"/>
        <v>466.04065873655702</v>
      </c>
      <c r="W40" s="411">
        <f t="shared" si="18"/>
        <v>283.34983233061831</v>
      </c>
      <c r="X40" s="411">
        <f t="shared" si="19"/>
        <v>222.56867837437431</v>
      </c>
      <c r="Y40" s="411">
        <f t="shared" si="20"/>
        <v>127.95568595421875</v>
      </c>
      <c r="Z40" s="411">
        <f t="shared" si="21"/>
        <v>466.04065873655702</v>
      </c>
      <c r="AA40" s="411">
        <f t="shared" si="22"/>
        <v>283.34983233061831</v>
      </c>
      <c r="AB40" s="411">
        <f t="shared" si="23"/>
        <v>222.56867837437431</v>
      </c>
      <c r="AC40" s="411">
        <f t="shared" si="24"/>
        <v>127.95568595421875</v>
      </c>
      <c r="AD40" s="411">
        <f t="shared" si="25"/>
        <v>466.04065873655702</v>
      </c>
      <c r="AE40" s="411">
        <f t="shared" si="26"/>
        <v>283.34983233061831</v>
      </c>
      <c r="AF40" s="411">
        <f t="shared" si="27"/>
        <v>222.56867837437431</v>
      </c>
      <c r="AG40" s="411">
        <f t="shared" si="28"/>
        <v>127.95568595421875</v>
      </c>
      <c r="AH40" s="411">
        <f t="shared" si="29"/>
        <v>466.04065873655702</v>
      </c>
      <c r="AI40" s="411">
        <f t="shared" si="30"/>
        <v>283.34983233061831</v>
      </c>
      <c r="AJ40" s="411">
        <f t="shared" si="31"/>
        <v>222.56867837437431</v>
      </c>
      <c r="AK40" s="411">
        <f t="shared" si="32"/>
        <v>127.95568595421875</v>
      </c>
      <c r="AL40" s="411">
        <f>IF($C40="",AH40,IF(AH40&gt;AH41,SUMPRODUCT(AH40:AH41,F40:F41)/SUM(F40:F41),AH40))</f>
        <v>464.30620172211127</v>
      </c>
      <c r="AM40" s="411">
        <f>IF($C40="",AI40,IF(AI40&gt;AI41,SUMPRODUCT(AI40:AI41,G40:G41)/SUM(G40:G41),AI40))</f>
        <v>283.34983233061831</v>
      </c>
      <c r="AN40" s="411">
        <f>IF($C40="",AJ40,IF(AJ40&gt;AJ41,SUMPRODUCT(AJ40:AJ41,H40:H41)/SUM(H40:H41),AJ40))</f>
        <v>221.62089591394292</v>
      </c>
      <c r="AO40" s="411">
        <f>IF($C40="",AK40,IF(AK40&gt;AK41,SUMPRODUCT(AK40:AK41,I40:I41)/SUM(I40:I41),AK40))</f>
        <v>127.95568595421875</v>
      </c>
      <c r="AP40" s="411">
        <f t="shared" si="33"/>
        <v>464.30620172211127</v>
      </c>
      <c r="AQ40" s="411">
        <f t="shared" si="34"/>
        <v>283.34983233061831</v>
      </c>
      <c r="AR40" s="411">
        <f t="shared" si="35"/>
        <v>221.62089591394292</v>
      </c>
      <c r="AS40" s="411">
        <f t="shared" si="36"/>
        <v>127.95568595421875</v>
      </c>
      <c r="AT40" s="227" t="str">
        <f t="shared" si="5"/>
        <v/>
      </c>
      <c r="AU40" s="227" t="str">
        <f t="shared" si="37"/>
        <v/>
      </c>
      <c r="AV40" s="227" t="str">
        <f t="shared" si="38"/>
        <v/>
      </c>
      <c r="AW40" s="227" t="str">
        <f t="shared" si="39"/>
        <v/>
      </c>
      <c r="AX40" s="227" t="str">
        <f t="shared" si="6"/>
        <v/>
      </c>
      <c r="AY40" s="311" t="str">
        <f t="shared" si="7"/>
        <v/>
      </c>
      <c r="AZ40" s="311">
        <f t="shared" si="8"/>
        <v>464.30620172211127</v>
      </c>
      <c r="BA40" s="311">
        <f t="shared" si="40"/>
        <v>283.34983233061831</v>
      </c>
      <c r="BB40" s="311">
        <f t="shared" si="9"/>
        <v>221.62089591394292</v>
      </c>
      <c r="BC40" s="311">
        <f t="shared" si="10"/>
        <v>127.95568595421875</v>
      </c>
      <c r="BD40" s="227" t="str">
        <f t="shared" si="41"/>
        <v/>
      </c>
      <c r="BE40" s="227" t="str">
        <f t="shared" si="42"/>
        <v/>
      </c>
      <c r="BF40" s="227" t="str">
        <f t="shared" si="43"/>
        <v/>
      </c>
      <c r="BG40" s="227" t="str">
        <f t="shared" si="44"/>
        <v/>
      </c>
      <c r="BH40" s="227" t="str">
        <f t="shared" si="45"/>
        <v/>
      </c>
      <c r="BI40" s="227" t="str">
        <f t="shared" si="46"/>
        <v/>
      </c>
      <c r="BJ40" s="226">
        <f t="shared" si="47"/>
        <v>197394095.39233726</v>
      </c>
      <c r="BK40" s="335"/>
    </row>
    <row r="41" spans="1:63">
      <c r="A41" s="231">
        <v>253</v>
      </c>
      <c r="B41" s="231" t="str">
        <f>VLOOKUP(A41,'201314 RC list'!A:B,2,FALSE)</f>
        <v>Paediatric Clinical Haematology</v>
      </c>
      <c r="C41" s="231" t="str">
        <f>$A$40&amp;"&amp;"&amp;$A$41</f>
        <v>303&amp;253</v>
      </c>
      <c r="D41" s="310" t="str">
        <f t="shared" si="11"/>
        <v>C</v>
      </c>
      <c r="E41" s="231">
        <f>IF(ISERROR(VLOOKUP(A41,Mandatory!A:A,1,FALSE)),0,1)</f>
        <v>1</v>
      </c>
      <c r="F41" s="222">
        <f>VLOOKUP(A41,'Front-loading'!A:AG,$F$6,FALSE)</f>
        <v>409</v>
      </c>
      <c r="G41" s="222">
        <f>VLOOKUP(A41,'Front-loading'!A:AG,$G$6,FALSE)</f>
        <v>5342</v>
      </c>
      <c r="H41" s="222">
        <f>VLOOKUP(A41,'Front-loading'!A:AG,$H$6,FALSE)</f>
        <v>3026</v>
      </c>
      <c r="I41" s="222">
        <f>VLOOKUP(A41,'Front-loading'!A:AG,$I$6,FALSE)</f>
        <v>33596</v>
      </c>
      <c r="J41" s="222">
        <f>VLOOKUP(A41,'Front-loading'!A:AG,$J$6,FALSE)</f>
        <v>181433.61735981918</v>
      </c>
      <c r="K41" s="222">
        <f>VLOOKUP(A41,'Front-loading'!A:AG,$K$6,FALSE)</f>
        <v>2239223.2694994598</v>
      </c>
      <c r="L41" s="222">
        <f>VLOOKUP(A41,'Front-loading'!A:AG,$L$6,FALSE)</f>
        <v>582598.49146929057</v>
      </c>
      <c r="M41" s="222">
        <f>VLOOKUP(A41,'Front-loading'!A:AG,$M$6,FALSE)</f>
        <v>7038948.7399523659</v>
      </c>
      <c r="N41" s="223">
        <f t="shared" si="12"/>
        <v>443.60297642987575</v>
      </c>
      <c r="O41" s="223">
        <f t="shared" si="12"/>
        <v>419.17320657047168</v>
      </c>
      <c r="P41" s="223">
        <f t="shared" si="12"/>
        <v>192.5308960572672</v>
      </c>
      <c r="Q41" s="223">
        <f t="shared" si="12"/>
        <v>209.51746457769872</v>
      </c>
      <c r="R41" s="409">
        <f t="shared" si="13"/>
        <v>443.60297642987575</v>
      </c>
      <c r="S41" s="409">
        <f t="shared" si="14"/>
        <v>419.17320657047168</v>
      </c>
      <c r="T41" s="409">
        <f t="shared" si="15"/>
        <v>192.5308960572672</v>
      </c>
      <c r="U41" s="409">
        <f t="shared" si="16"/>
        <v>209.51746457769872</v>
      </c>
      <c r="V41" s="411">
        <f t="shared" si="17"/>
        <v>443.60297642987575</v>
      </c>
      <c r="W41" s="411">
        <f t="shared" si="18"/>
        <v>419.17320657047168</v>
      </c>
      <c r="X41" s="411">
        <f t="shared" si="19"/>
        <v>192.5308960572672</v>
      </c>
      <c r="Y41" s="411">
        <f t="shared" si="20"/>
        <v>209.51746457769872</v>
      </c>
      <c r="Z41" s="411">
        <f t="shared" si="21"/>
        <v>443.60297642987575</v>
      </c>
      <c r="AA41" s="411">
        <f t="shared" si="22"/>
        <v>419.17320657047168</v>
      </c>
      <c r="AB41" s="411">
        <f t="shared" si="23"/>
        <v>192.5308960572672</v>
      </c>
      <c r="AC41" s="411">
        <f t="shared" si="24"/>
        <v>209.51746457769872</v>
      </c>
      <c r="AD41" s="411">
        <f t="shared" si="25"/>
        <v>443.60297642987575</v>
      </c>
      <c r="AE41" s="411">
        <f t="shared" si="26"/>
        <v>419.17320657047168</v>
      </c>
      <c r="AF41" s="411">
        <f t="shared" si="27"/>
        <v>208.11389960738509</v>
      </c>
      <c r="AG41" s="411">
        <f t="shared" si="28"/>
        <v>208.11389960738509</v>
      </c>
      <c r="AH41" s="411">
        <f t="shared" si="29"/>
        <v>443.60297642987575</v>
      </c>
      <c r="AI41" s="411">
        <f t="shared" si="30"/>
        <v>419.17320657047168</v>
      </c>
      <c r="AJ41" s="411">
        <f t="shared" si="31"/>
        <v>208.11389960738509</v>
      </c>
      <c r="AK41" s="411">
        <f t="shared" si="32"/>
        <v>208.11389960738509</v>
      </c>
      <c r="AL41" s="411">
        <f>IF($C41="",AH41,IF(AH40&gt;AH41,SUMPRODUCT(AH40:AH41,F40:F41)/SUM(F40:F41),AH41))</f>
        <v>464.30620172211127</v>
      </c>
      <c r="AM41" s="411">
        <f>IF($C41="",AI41,IF(AI40&gt;AI41,SUMPRODUCT(AI40:AI41,G40:G41)/SUM(G40:G41),AI41))</f>
        <v>419.17320657047168</v>
      </c>
      <c r="AN41" s="411">
        <f>IF($C41="",AJ41,IF(AJ40&gt;AJ41,SUMPRODUCT(AJ40:AJ41,H40:H41)/SUM(H40:H41),AJ41))</f>
        <v>221.62089591394292</v>
      </c>
      <c r="AO41" s="411">
        <f>IF($C41="",AK41,IF(AK40&gt;AK41,SUMPRODUCT(AK40:AK41,I40:I41)/SUM(I40:I41),AK41))</f>
        <v>208.11389960738509</v>
      </c>
      <c r="AP41" s="411">
        <f t="shared" si="33"/>
        <v>464.30620172211127</v>
      </c>
      <c r="AQ41" s="411">
        <f t="shared" si="34"/>
        <v>419.17320657047168</v>
      </c>
      <c r="AR41" s="411">
        <f t="shared" si="35"/>
        <v>221.62089591394292</v>
      </c>
      <c r="AS41" s="411">
        <f t="shared" si="36"/>
        <v>208.11389960738509</v>
      </c>
      <c r="AT41" s="227" t="str">
        <f t="shared" si="5"/>
        <v/>
      </c>
      <c r="AU41" s="227" t="str">
        <f t="shared" si="37"/>
        <v/>
      </c>
      <c r="AV41" s="227" t="str">
        <f t="shared" si="38"/>
        <v/>
      </c>
      <c r="AW41" s="227" t="str">
        <f t="shared" si="39"/>
        <v/>
      </c>
      <c r="AX41" s="227" t="str">
        <f t="shared" si="6"/>
        <v/>
      </c>
      <c r="AY41" s="311" t="str">
        <f t="shared" si="7"/>
        <v/>
      </c>
      <c r="AZ41" s="311">
        <f t="shared" si="8"/>
        <v>464.30620172211127</v>
      </c>
      <c r="BA41" s="311">
        <f t="shared" si="40"/>
        <v>419.17320657047168</v>
      </c>
      <c r="BB41" s="311">
        <f t="shared" si="9"/>
        <v>221.62089591394292</v>
      </c>
      <c r="BC41" s="311">
        <f t="shared" si="10"/>
        <v>208.11389960738509</v>
      </c>
      <c r="BD41" s="227" t="str">
        <f t="shared" si="41"/>
        <v/>
      </c>
      <c r="BE41" s="227" t="str">
        <f t="shared" si="42"/>
        <v/>
      </c>
      <c r="BF41" s="227" t="str">
        <f t="shared" si="43"/>
        <v/>
      </c>
      <c r="BG41" s="227" t="str">
        <f t="shared" si="44"/>
        <v/>
      </c>
      <c r="BH41" s="227" t="str">
        <f t="shared" si="45"/>
        <v/>
      </c>
      <c r="BI41" s="227" t="str">
        <f t="shared" si="46"/>
        <v/>
      </c>
      <c r="BJ41" s="226">
        <f t="shared" si="47"/>
        <v>10091543.908249103</v>
      </c>
      <c r="BK41" s="335"/>
    </row>
    <row r="42" spans="1:63">
      <c r="A42" s="231">
        <v>310</v>
      </c>
      <c r="B42" s="231" t="str">
        <f>VLOOKUP(A42,'201314 RC list'!A:B,2,FALSE)</f>
        <v>Audiological Medicine</v>
      </c>
      <c r="C42" s="231" t="str">
        <f>$A$42&amp;"&amp;"&amp;$A$43</f>
        <v>310&amp;254</v>
      </c>
      <c r="D42" s="310" t="str">
        <f t="shared" si="11"/>
        <v>A</v>
      </c>
      <c r="E42" s="231">
        <f>IF(ISERROR(VLOOKUP(A42,Mandatory!A:A,1,FALSE)),0,1)</f>
        <v>0</v>
      </c>
      <c r="F42" s="222">
        <f>VLOOKUP(A42,'Front-loading'!A:AG,$F$6,FALSE)</f>
        <v>363</v>
      </c>
      <c r="G42" s="222">
        <f>VLOOKUP(A42,'Front-loading'!A:AG,$G$6,FALSE)</f>
        <v>32890</v>
      </c>
      <c r="H42" s="222">
        <f>VLOOKUP(A42,'Front-loading'!A:AG,$H$6,FALSE)</f>
        <v>492</v>
      </c>
      <c r="I42" s="222">
        <f>VLOOKUP(A42,'Front-loading'!A:AG,$I$6,FALSE)</f>
        <v>84067</v>
      </c>
      <c r="J42" s="222">
        <f>VLOOKUP(A42,'Front-loading'!A:AG,$J$6,FALSE)</f>
        <v>56386.537227763358</v>
      </c>
      <c r="K42" s="222">
        <f>VLOOKUP(A42,'Front-loading'!A:AG,$K$6,FALSE)</f>
        <v>3247938.7025713082</v>
      </c>
      <c r="L42" s="222">
        <f>VLOOKUP(A42,'Front-loading'!A:AG,$L$6,FALSE)</f>
        <v>63083.245332672719</v>
      </c>
      <c r="M42" s="222">
        <f>VLOOKUP(A42,'Front-loading'!A:AG,$M$6,FALSE)</f>
        <v>4130072.4177594907</v>
      </c>
      <c r="N42" s="223">
        <f t="shared" si="12"/>
        <v>155.33481329962356</v>
      </c>
      <c r="O42" s="223">
        <f t="shared" si="12"/>
        <v>98.751556782344423</v>
      </c>
      <c r="P42" s="223">
        <f t="shared" si="12"/>
        <v>128.21797831844049</v>
      </c>
      <c r="Q42" s="223">
        <f t="shared" si="12"/>
        <v>49.128343080632007</v>
      </c>
      <c r="R42" s="409">
        <f t="shared" si="13"/>
        <v>155.33481329962356</v>
      </c>
      <c r="S42" s="409">
        <f t="shared" si="14"/>
        <v>98.751556782344423</v>
      </c>
      <c r="T42" s="409">
        <f t="shared" si="15"/>
        <v>128.21797831844049</v>
      </c>
      <c r="U42" s="409">
        <f t="shared" si="16"/>
        <v>49.128343080632007</v>
      </c>
      <c r="V42" s="411">
        <f t="shared" si="17"/>
        <v>155.33481329962356</v>
      </c>
      <c r="W42" s="411">
        <f t="shared" si="18"/>
        <v>98.751556782344423</v>
      </c>
      <c r="X42" s="411">
        <f t="shared" si="19"/>
        <v>128.21797831844049</v>
      </c>
      <c r="Y42" s="411">
        <f t="shared" si="20"/>
        <v>49.128343080632007</v>
      </c>
      <c r="Z42" s="411">
        <f t="shared" si="21"/>
        <v>155.33481329962356</v>
      </c>
      <c r="AA42" s="411">
        <f t="shared" si="22"/>
        <v>98.751556782344423</v>
      </c>
      <c r="AB42" s="411">
        <f t="shared" si="23"/>
        <v>128.21797831844049</v>
      </c>
      <c r="AC42" s="411">
        <f t="shared" si="24"/>
        <v>49.128343080632007</v>
      </c>
      <c r="AD42" s="411">
        <f t="shared" si="25"/>
        <v>155.33481329962356</v>
      </c>
      <c r="AE42" s="411">
        <f t="shared" si="26"/>
        <v>98.751556782344423</v>
      </c>
      <c r="AF42" s="411">
        <f t="shared" si="27"/>
        <v>128.21797831844049</v>
      </c>
      <c r="AG42" s="411">
        <f t="shared" si="28"/>
        <v>49.128343080632007</v>
      </c>
      <c r="AH42" s="411">
        <f t="shared" si="29"/>
        <v>155.33481329962356</v>
      </c>
      <c r="AI42" s="411">
        <f t="shared" si="30"/>
        <v>98.751556782344423</v>
      </c>
      <c r="AJ42" s="411">
        <f t="shared" si="31"/>
        <v>98.60332419588633</v>
      </c>
      <c r="AK42" s="411">
        <f t="shared" si="32"/>
        <v>49.301662097943165</v>
      </c>
      <c r="AL42" s="411">
        <f>IF($C42="",AH42,IF(AH42&gt;AH43,SUMPRODUCT(AH42:AH43,F42:F43)/SUM(F42:F43),AH42))</f>
        <v>151.623660705898</v>
      </c>
      <c r="AM42" s="411">
        <f>IF($C42="",AI42,IF(AI42&gt;AI43,SUMPRODUCT(AI42:AI43,G42:G43)/SUM(G42:G43),AI42))</f>
        <v>98.751556782344423</v>
      </c>
      <c r="AN42" s="411">
        <f>IF($C42="",AJ42,IF(AJ42&gt;AJ43,SUMPRODUCT(AJ42:AJ43,H42:H43)/SUM(H42:H43),AJ42))</f>
        <v>98.60332419588633</v>
      </c>
      <c r="AO42" s="411">
        <f>IF($C42="",AK42,IF(AK42&gt;AK43,SUMPRODUCT(AK42:AK43,I42:I43)/SUM(I42:I43),AK42))</f>
        <v>49.301662097943165</v>
      </c>
      <c r="AP42" s="411">
        <f t="shared" si="33"/>
        <v>151.623660705898</v>
      </c>
      <c r="AQ42" s="411">
        <f t="shared" si="34"/>
        <v>98.751556782344423</v>
      </c>
      <c r="AR42" s="411">
        <f t="shared" si="35"/>
        <v>98.60332419588633</v>
      </c>
      <c r="AS42" s="411">
        <f t="shared" si="36"/>
        <v>49.301662097943165</v>
      </c>
      <c r="AT42" s="227" t="str">
        <f t="shared" si="5"/>
        <v/>
      </c>
      <c r="AU42" s="227" t="str">
        <f t="shared" si="37"/>
        <v/>
      </c>
      <c r="AV42" s="227" t="str">
        <f t="shared" si="38"/>
        <v/>
      </c>
      <c r="AW42" s="227" t="str">
        <f t="shared" si="39"/>
        <v/>
      </c>
      <c r="AX42" s="227" t="str">
        <f t="shared" si="6"/>
        <v/>
      </c>
      <c r="AY42" s="311" t="str">
        <f t="shared" si="7"/>
        <v/>
      </c>
      <c r="AZ42" s="311">
        <f t="shared" si="8"/>
        <v>151.623660705898</v>
      </c>
      <c r="BA42" s="311">
        <f t="shared" si="40"/>
        <v>98.751556782344423</v>
      </c>
      <c r="BB42" s="311">
        <f t="shared" si="9"/>
        <v>98.60332419588633</v>
      </c>
      <c r="BC42" s="311">
        <f t="shared" si="10"/>
        <v>49.301662097943165</v>
      </c>
      <c r="BD42" s="227" t="str">
        <f t="shared" si="41"/>
        <v/>
      </c>
      <c r="BE42" s="227" t="str">
        <f t="shared" si="42"/>
        <v/>
      </c>
      <c r="BF42" s="227" t="str">
        <f t="shared" si="43"/>
        <v/>
      </c>
      <c r="BG42" s="227" t="str">
        <f t="shared" si="44"/>
        <v/>
      </c>
      <c r="BH42" s="227" t="str">
        <f t="shared" si="45"/>
        <v/>
      </c>
      <c r="BI42" s="227" t="str">
        <f t="shared" si="46"/>
        <v/>
      </c>
      <c r="BJ42" s="226">
        <f t="shared" si="47"/>
        <v>7496133.754499713</v>
      </c>
      <c r="BK42" s="335"/>
    </row>
    <row r="43" spans="1:63">
      <c r="A43" s="231">
        <v>254</v>
      </c>
      <c r="B43" s="231" t="str">
        <f>VLOOKUP(A43,'201314 RC list'!A:B,2,FALSE)</f>
        <v>Paediatric Audiological Medicine</v>
      </c>
      <c r="C43" s="231" t="str">
        <f>$A$42&amp;"&amp;"&amp;$A$43</f>
        <v>310&amp;254</v>
      </c>
      <c r="D43" s="310" t="str">
        <f t="shared" si="11"/>
        <v>C</v>
      </c>
      <c r="E43" s="231">
        <f>IF(ISERROR(VLOOKUP(A43,Mandatory!A:A,1,FALSE)),0,1)</f>
        <v>0</v>
      </c>
      <c r="F43" s="222">
        <f>VLOOKUP(A43,'Front-loading'!A:AG,$F$6,FALSE)</f>
        <v>68</v>
      </c>
      <c r="G43" s="222">
        <f>VLOOKUP(A43,'Front-loading'!A:AG,$G$6,FALSE)</f>
        <v>19620</v>
      </c>
      <c r="H43" s="222">
        <f>VLOOKUP(A43,'Front-loading'!A:AG,$H$6,FALSE)</f>
        <v>82</v>
      </c>
      <c r="I43" s="222">
        <f>VLOOKUP(A43,'Front-loading'!A:AG,$I$6,FALSE)</f>
        <v>12737</v>
      </c>
      <c r="J43" s="222">
        <f>VLOOKUP(A43,'Front-loading'!A:AG,$J$6,FALSE)</f>
        <v>8963.2605364786978</v>
      </c>
      <c r="K43" s="222">
        <f>VLOOKUP(A43,'Front-loading'!A:AG,$K$6,FALSE)</f>
        <v>2154169.3667443083</v>
      </c>
      <c r="L43" s="222">
        <f>VLOOKUP(A43,'Front-loading'!A:AG,$L$6,FALSE)</f>
        <v>8655.5091017498162</v>
      </c>
      <c r="M43" s="222">
        <f>VLOOKUP(A43,'Front-loading'!A:AG,$M$6,FALSE)</f>
        <v>1791218.4137991138</v>
      </c>
      <c r="N43" s="223">
        <f t="shared" si="12"/>
        <v>131.81265494821614</v>
      </c>
      <c r="O43" s="223">
        <f t="shared" si="12"/>
        <v>109.79456507361408</v>
      </c>
      <c r="P43" s="223">
        <f t="shared" si="12"/>
        <v>105.55498904572947</v>
      </c>
      <c r="Q43" s="223">
        <f t="shared" si="12"/>
        <v>140.63110730934395</v>
      </c>
      <c r="R43" s="409">
        <f t="shared" si="13"/>
        <v>131.81265494821614</v>
      </c>
      <c r="S43" s="409">
        <f t="shared" si="14"/>
        <v>109.79456507361408</v>
      </c>
      <c r="T43" s="409">
        <f t="shared" si="15"/>
        <v>105.55498904572947</v>
      </c>
      <c r="U43" s="409">
        <f t="shared" si="16"/>
        <v>140.63110730934395</v>
      </c>
      <c r="V43" s="411">
        <f t="shared" si="17"/>
        <v>131.81265494821614</v>
      </c>
      <c r="W43" s="411">
        <f t="shared" si="18"/>
        <v>109.79456507361408</v>
      </c>
      <c r="X43" s="411">
        <f t="shared" si="19"/>
        <v>105.55498904572947</v>
      </c>
      <c r="Y43" s="411">
        <f t="shared" si="20"/>
        <v>140.63110730934395</v>
      </c>
      <c r="Z43" s="411">
        <f t="shared" si="21"/>
        <v>131.81265494821614</v>
      </c>
      <c r="AA43" s="411">
        <f t="shared" si="22"/>
        <v>121.93305252475268</v>
      </c>
      <c r="AB43" s="411">
        <f t="shared" si="23"/>
        <v>105.55498904572947</v>
      </c>
      <c r="AC43" s="411">
        <f t="shared" si="24"/>
        <v>121.93305252475268</v>
      </c>
      <c r="AD43" s="411">
        <f t="shared" si="25"/>
        <v>131.81265494821614</v>
      </c>
      <c r="AE43" s="411">
        <f t="shared" si="26"/>
        <v>121.93305252475268</v>
      </c>
      <c r="AF43" s="411">
        <f t="shared" si="27"/>
        <v>121.82828606829899</v>
      </c>
      <c r="AG43" s="411">
        <f t="shared" si="28"/>
        <v>121.82828606829899</v>
      </c>
      <c r="AH43" s="411">
        <f t="shared" si="29"/>
        <v>131.81265494821614</v>
      </c>
      <c r="AI43" s="411">
        <f t="shared" si="30"/>
        <v>121.93305252475268</v>
      </c>
      <c r="AJ43" s="411">
        <f t="shared" si="31"/>
        <v>121.82828606829899</v>
      </c>
      <c r="AK43" s="411">
        <f t="shared" si="32"/>
        <v>121.82828606829899</v>
      </c>
      <c r="AL43" s="411">
        <f>IF($C43="",AH43,IF(AH42&gt;AH43,SUMPRODUCT(AH42:AH43,F42:F43)/SUM(F42:F43),AH43))</f>
        <v>151.623660705898</v>
      </c>
      <c r="AM43" s="411">
        <f>IF($C43="",AI43,IF(AI42&gt;AI43,SUMPRODUCT(AI42:AI43,G42:G43)/SUM(G42:G43),AI43))</f>
        <v>121.93305252475268</v>
      </c>
      <c r="AN43" s="411">
        <f>IF($C43="",AJ43,IF(AJ42&gt;AJ43,SUMPRODUCT(AJ42:AJ43,H42:H43)/SUM(H42:H43),AJ43))</f>
        <v>121.82828606829899</v>
      </c>
      <c r="AO43" s="411">
        <f>IF($C43="",AK43,IF(AK42&gt;AK43,SUMPRODUCT(AK42:AK43,I42:I43)/SUM(I42:I43),AK43))</f>
        <v>121.82828606829899</v>
      </c>
      <c r="AP43" s="411">
        <f t="shared" si="33"/>
        <v>151.623660705898</v>
      </c>
      <c r="AQ43" s="411">
        <f t="shared" si="34"/>
        <v>121.93305252475268</v>
      </c>
      <c r="AR43" s="411">
        <f t="shared" si="35"/>
        <v>121.82828606829899</v>
      </c>
      <c r="AS43" s="411">
        <f t="shared" si="36"/>
        <v>121.82828606829899</v>
      </c>
      <c r="AT43" s="227" t="str">
        <f t="shared" si="5"/>
        <v/>
      </c>
      <c r="AU43" s="227" t="str">
        <f t="shared" si="37"/>
        <v/>
      </c>
      <c r="AV43" s="227" t="str">
        <f t="shared" si="38"/>
        <v/>
      </c>
      <c r="AW43" s="227" t="str">
        <f t="shared" si="39"/>
        <v/>
      </c>
      <c r="AX43" s="227" t="str">
        <f t="shared" si="6"/>
        <v/>
      </c>
      <c r="AY43" s="311" t="str">
        <f t="shared" si="7"/>
        <v/>
      </c>
      <c r="AZ43" s="311">
        <f t="shared" si="8"/>
        <v>151.623660705898</v>
      </c>
      <c r="BA43" s="311">
        <f t="shared" si="40"/>
        <v>121.93305252475268</v>
      </c>
      <c r="BB43" s="311">
        <f t="shared" si="9"/>
        <v>121.82828606829899</v>
      </c>
      <c r="BC43" s="311">
        <f>IF(AU43="",AS43,AU43)</f>
        <v>121.82828606829899</v>
      </c>
      <c r="BD43" s="227" t="str">
        <f t="shared" si="41"/>
        <v/>
      </c>
      <c r="BE43" s="227" t="str">
        <f t="shared" si="42"/>
        <v/>
      </c>
      <c r="BF43" s="227" t="str">
        <f t="shared" si="43"/>
        <v/>
      </c>
      <c r="BG43" s="227" t="str">
        <f t="shared" si="44"/>
        <v/>
      </c>
      <c r="BH43" s="227" t="str">
        <f t="shared" si="45"/>
        <v/>
      </c>
      <c r="BI43" s="227" t="str">
        <f t="shared" si="46"/>
        <v/>
      </c>
      <c r="BJ43" s="226">
        <f t="shared" si="47"/>
        <v>3964353.698573173</v>
      </c>
      <c r="BK43" s="335"/>
    </row>
    <row r="44" spans="1:63">
      <c r="A44" s="231">
        <v>313</v>
      </c>
      <c r="B44" s="231" t="str">
        <f>VLOOKUP(A44,'201314 RC list'!A:B,2,FALSE)</f>
        <v>Clinical Immunology &amp; Allergy</v>
      </c>
      <c r="C44" s="231" t="str">
        <f>$A$44&amp;"&amp;"&amp;$A$45</f>
        <v>313&amp;255</v>
      </c>
      <c r="D44" s="310" t="str">
        <f t="shared" si="11"/>
        <v>A</v>
      </c>
      <c r="E44" s="231">
        <f>IF(ISERROR(VLOOKUP(A44,Mandatory!A:A,1,FALSE)),0,1)</f>
        <v>0</v>
      </c>
      <c r="F44" s="222">
        <f>VLOOKUP(A44,'Front-loading'!A:AG,$F$6,FALSE)</f>
        <v>870</v>
      </c>
      <c r="G44" s="222">
        <f>VLOOKUP(A44,'Front-loading'!A:AG,$G$6,FALSE)</f>
        <v>11619</v>
      </c>
      <c r="H44" s="222">
        <f>VLOOKUP(A44,'Front-loading'!A:AG,$H$6,FALSE)</f>
        <v>1582</v>
      </c>
      <c r="I44" s="222">
        <f>VLOOKUP(A44,'Front-loading'!A:AG,$I$6,FALSE)</f>
        <v>20190</v>
      </c>
      <c r="J44" s="222">
        <f>VLOOKUP(A44,'Front-loading'!A:AG,$J$6,FALSE)</f>
        <v>246450.883744002</v>
      </c>
      <c r="K44" s="222">
        <f>VLOOKUP(A44,'Front-loading'!A:AG,$K$6,FALSE)</f>
        <v>2164798.8844755664</v>
      </c>
      <c r="L44" s="222">
        <f>VLOOKUP(A44,'Front-loading'!A:AG,$L$6,FALSE)</f>
        <v>184784.60176474607</v>
      </c>
      <c r="M44" s="222">
        <f>VLOOKUP(A44,'Front-loading'!A:AG,$M$6,FALSE)</f>
        <v>2338625.6244520284</v>
      </c>
      <c r="N44" s="223">
        <f t="shared" si="12"/>
        <v>283.27687786666894</v>
      </c>
      <c r="O44" s="223">
        <f t="shared" si="12"/>
        <v>186.315421677904</v>
      </c>
      <c r="P44" s="223">
        <f t="shared" si="12"/>
        <v>116.8044258942769</v>
      </c>
      <c r="Q44" s="223">
        <f t="shared" si="12"/>
        <v>115.83088778860963</v>
      </c>
      <c r="R44" s="409">
        <f t="shared" si="13"/>
        <v>283.27687786666894</v>
      </c>
      <c r="S44" s="409">
        <f t="shared" si="14"/>
        <v>186.315421677904</v>
      </c>
      <c r="T44" s="409">
        <f t="shared" si="15"/>
        <v>116.8044258942769</v>
      </c>
      <c r="U44" s="409">
        <f t="shared" si="16"/>
        <v>115.83088778860963</v>
      </c>
      <c r="V44" s="411">
        <f t="shared" si="17"/>
        <v>283.27687786666894</v>
      </c>
      <c r="W44" s="411">
        <f t="shared" si="18"/>
        <v>186.315421677904</v>
      </c>
      <c r="X44" s="411">
        <f t="shared" si="19"/>
        <v>116.8044258942769</v>
      </c>
      <c r="Y44" s="411">
        <f t="shared" si="20"/>
        <v>115.83088778860963</v>
      </c>
      <c r="Z44" s="411">
        <f t="shared" si="21"/>
        <v>283.27687786666894</v>
      </c>
      <c r="AA44" s="411">
        <f t="shared" si="22"/>
        <v>186.315421677904</v>
      </c>
      <c r="AB44" s="411">
        <f t="shared" si="23"/>
        <v>116.8044258942769</v>
      </c>
      <c r="AC44" s="411">
        <f t="shared" si="24"/>
        <v>115.83088778860963</v>
      </c>
      <c r="AD44" s="411">
        <f t="shared" si="25"/>
        <v>283.27687786666894</v>
      </c>
      <c r="AE44" s="411">
        <f t="shared" si="26"/>
        <v>186.315421677904</v>
      </c>
      <c r="AF44" s="411">
        <f t="shared" si="27"/>
        <v>116.8044258942769</v>
      </c>
      <c r="AG44" s="411">
        <f t="shared" si="28"/>
        <v>115.83088778860963</v>
      </c>
      <c r="AH44" s="411">
        <f t="shared" si="29"/>
        <v>283.27687786666894</v>
      </c>
      <c r="AI44" s="411">
        <f t="shared" si="30"/>
        <v>186.315421677904</v>
      </c>
      <c r="AJ44" s="411">
        <f t="shared" si="31"/>
        <v>116.8044258942769</v>
      </c>
      <c r="AK44" s="411">
        <f t="shared" si="32"/>
        <v>115.83088778860963</v>
      </c>
      <c r="AL44" s="411">
        <f>IF($C44="",AH44,IF(AH44&gt;AH45,SUMPRODUCT(AH44:AH45,F44:F45)/SUM(F44:F45),AH44))</f>
        <v>283.27687786666894</v>
      </c>
      <c r="AM44" s="411">
        <f>IF($C44="",AI44,IF(AI44&gt;AI45,SUMPRODUCT(AI44:AI45,G44:G45)/SUM(G44:G45),AI44))</f>
        <v>186.315421677904</v>
      </c>
      <c r="AN44" s="411">
        <f>IF($C44="",AJ44,IF(AJ44&gt;AJ45,SUMPRODUCT(AJ44:AJ45,H44:H45)/SUM(H44:H45),AJ44))</f>
        <v>116.8044258942769</v>
      </c>
      <c r="AO44" s="411">
        <f>IF($C44="",AK44,IF(AK44&gt;AK45,SUMPRODUCT(AK44:AK45,I44:I45)/SUM(I44:I45),AK44))</f>
        <v>115.83088778860963</v>
      </c>
      <c r="AP44" s="411">
        <f t="shared" si="33"/>
        <v>283.27687786666894</v>
      </c>
      <c r="AQ44" s="411">
        <f t="shared" si="34"/>
        <v>186.315421677904</v>
      </c>
      <c r="AR44" s="411">
        <f t="shared" si="35"/>
        <v>116.8044258942769</v>
      </c>
      <c r="AS44" s="411">
        <f t="shared" si="36"/>
        <v>115.83088778860963</v>
      </c>
      <c r="AT44" s="227" t="str">
        <f t="shared" si="5"/>
        <v/>
      </c>
      <c r="AU44" s="227" t="str">
        <f t="shared" si="37"/>
        <v/>
      </c>
      <c r="AV44" s="227" t="str">
        <f t="shared" si="38"/>
        <v/>
      </c>
      <c r="AW44" s="227" t="str">
        <f t="shared" si="39"/>
        <v/>
      </c>
      <c r="AX44" s="227" t="str">
        <f t="shared" si="6"/>
        <v/>
      </c>
      <c r="AY44" s="311" t="str">
        <f t="shared" si="7"/>
        <v/>
      </c>
      <c r="AZ44" s="311">
        <f t="shared" si="8"/>
        <v>283.27687786666894</v>
      </c>
      <c r="BA44" s="311">
        <f t="shared" si="40"/>
        <v>186.315421677904</v>
      </c>
      <c r="BB44" s="311">
        <f t="shared" si="9"/>
        <v>116.8044258942769</v>
      </c>
      <c r="BC44" s="311">
        <f t="shared" ref="BC44:BC108" si="48">IF(AU44="",AS44,AU44)</f>
        <v>115.83088778860963</v>
      </c>
      <c r="BD44" s="227" t="str">
        <f t="shared" si="41"/>
        <v/>
      </c>
      <c r="BE44" s="227" t="str">
        <f t="shared" si="42"/>
        <v/>
      </c>
      <c r="BF44" s="227" t="str">
        <f t="shared" si="43"/>
        <v/>
      </c>
      <c r="BG44" s="227" t="str">
        <f t="shared" si="44"/>
        <v/>
      </c>
      <c r="BH44" s="227" t="str">
        <f t="shared" si="45"/>
        <v/>
      </c>
      <c r="BI44" s="227" t="str">
        <f t="shared" si="46"/>
        <v/>
      </c>
      <c r="BJ44" s="226">
        <f t="shared" si="47"/>
        <v>4934659.9944363423</v>
      </c>
      <c r="BK44" s="335"/>
    </row>
    <row r="45" spans="1:63">
      <c r="A45" s="231">
        <v>255</v>
      </c>
      <c r="B45" s="231" t="str">
        <f>VLOOKUP(A45,'201314 RC list'!A:B,2,FALSE)</f>
        <v>Paediatric Clinical Immunology and Allergy</v>
      </c>
      <c r="C45" s="231" t="str">
        <f>$A$44&amp;"&amp;"&amp;$A$45</f>
        <v>313&amp;255</v>
      </c>
      <c r="D45" s="310" t="str">
        <f t="shared" si="11"/>
        <v>C</v>
      </c>
      <c r="E45" s="231">
        <f>IF(ISERROR(VLOOKUP(A45,Mandatory!A:A,1,FALSE)),0,1)</f>
        <v>0</v>
      </c>
      <c r="F45" s="222">
        <f>VLOOKUP(A45,'Front-loading'!A:AG,$F$6,FALSE)</f>
        <v>2213</v>
      </c>
      <c r="G45" s="222">
        <f>VLOOKUP(A45,'Front-loading'!A:AG,$G$6,FALSE)</f>
        <v>12143</v>
      </c>
      <c r="H45" s="222">
        <f>VLOOKUP(A45,'Front-loading'!A:AG,$H$6,FALSE)</f>
        <v>2282</v>
      </c>
      <c r="I45" s="222">
        <f>VLOOKUP(A45,'Front-loading'!A:AG,$I$6,FALSE)</f>
        <v>18414</v>
      </c>
      <c r="J45" s="222">
        <f>VLOOKUP(A45,'Front-loading'!A:AG,$J$6,FALSE)</f>
        <v>464166.6734183298</v>
      </c>
      <c r="K45" s="222">
        <f>VLOOKUP(A45,'Front-loading'!A:AG,$K$6,FALSE)</f>
        <v>3622470.1351325377</v>
      </c>
      <c r="L45" s="222">
        <f>VLOOKUP(A45,'Front-loading'!A:AG,$L$6,FALSE)</f>
        <v>254140.26766671854</v>
      </c>
      <c r="M45" s="222">
        <f>VLOOKUP(A45,'Front-loading'!A:AG,$M$6,FALSE)</f>
        <v>3595912.4851542632</v>
      </c>
      <c r="N45" s="223">
        <f t="shared" si="12"/>
        <v>209.74544664181192</v>
      </c>
      <c r="O45" s="223">
        <f t="shared" si="12"/>
        <v>298.31756033373449</v>
      </c>
      <c r="P45" s="223">
        <f t="shared" si="12"/>
        <v>111.3673390301133</v>
      </c>
      <c r="Q45" s="223">
        <f t="shared" si="12"/>
        <v>195.28144266070726</v>
      </c>
      <c r="R45" s="409">
        <f t="shared" si="13"/>
        <v>209.74544664181192</v>
      </c>
      <c r="S45" s="409">
        <f t="shared" si="14"/>
        <v>298.31756033373449</v>
      </c>
      <c r="T45" s="409">
        <f t="shared" si="15"/>
        <v>111.3673390301133</v>
      </c>
      <c r="U45" s="409">
        <f t="shared" si="16"/>
        <v>195.28144266070726</v>
      </c>
      <c r="V45" s="411">
        <f t="shared" si="17"/>
        <v>209.74544664181192</v>
      </c>
      <c r="W45" s="411">
        <f t="shared" si="18"/>
        <v>298.31756033373449</v>
      </c>
      <c r="X45" s="411">
        <f t="shared" si="19"/>
        <v>111.3673390301133</v>
      </c>
      <c r="Y45" s="411">
        <f t="shared" si="20"/>
        <v>195.28144266070726</v>
      </c>
      <c r="Z45" s="411">
        <f t="shared" si="21"/>
        <v>209.74544664181192</v>
      </c>
      <c r="AA45" s="411">
        <f t="shared" si="22"/>
        <v>298.31756033373449</v>
      </c>
      <c r="AB45" s="411">
        <f t="shared" si="23"/>
        <v>111.3673390301133</v>
      </c>
      <c r="AC45" s="411">
        <f t="shared" si="24"/>
        <v>195.28144266070726</v>
      </c>
      <c r="AD45" s="411">
        <f t="shared" si="25"/>
        <v>284.66402957306133</v>
      </c>
      <c r="AE45" s="411">
        <f t="shared" si="26"/>
        <v>284.66402957306133</v>
      </c>
      <c r="AF45" s="411">
        <f t="shared" si="27"/>
        <v>186.02883421052289</v>
      </c>
      <c r="AG45" s="411">
        <f t="shared" si="28"/>
        <v>186.02883421052289</v>
      </c>
      <c r="AH45" s="411">
        <f t="shared" si="29"/>
        <v>284.66402957306133</v>
      </c>
      <c r="AI45" s="411">
        <f t="shared" si="30"/>
        <v>284.66402957306133</v>
      </c>
      <c r="AJ45" s="411">
        <f t="shared" si="31"/>
        <v>186.02883421052289</v>
      </c>
      <c r="AK45" s="411">
        <f t="shared" si="32"/>
        <v>186.02883421052289</v>
      </c>
      <c r="AL45" s="411">
        <f>IF($C45="",AH45,IF(AH44&gt;AH45,SUMPRODUCT(AH44:AH45,F44:F45)/SUM(F44:F45),AH45))</f>
        <v>284.66402957306133</v>
      </c>
      <c r="AM45" s="411">
        <f>IF($C45="",AI45,IF(AI44&gt;AI45,SUMPRODUCT(AI44:AI45,G44:G45)/SUM(G44:G45),AI45))</f>
        <v>284.66402957306133</v>
      </c>
      <c r="AN45" s="411">
        <f>IF($C45="",AJ45,IF(AJ44&gt;AJ45,SUMPRODUCT(AJ44:AJ45,H44:H45)/SUM(H44:H45),AJ45))</f>
        <v>186.02883421052289</v>
      </c>
      <c r="AO45" s="411">
        <f>IF($C45="",AK45,IF(AK44&gt;AK45,SUMPRODUCT(AK44:AK45,I44:I45)/SUM(I44:I45),AK45))</f>
        <v>186.02883421052289</v>
      </c>
      <c r="AP45" s="411">
        <f t="shared" si="33"/>
        <v>284.66402957306133</v>
      </c>
      <c r="AQ45" s="411">
        <f t="shared" si="34"/>
        <v>284.66402957306133</v>
      </c>
      <c r="AR45" s="411">
        <f t="shared" si="35"/>
        <v>186.02883421052289</v>
      </c>
      <c r="AS45" s="411">
        <f t="shared" si="36"/>
        <v>186.02883421052289</v>
      </c>
      <c r="AT45" s="227" t="str">
        <f t="shared" si="5"/>
        <v/>
      </c>
      <c r="AU45" s="227" t="str">
        <f t="shared" si="37"/>
        <v/>
      </c>
      <c r="AV45" s="227" t="str">
        <f t="shared" si="38"/>
        <v/>
      </c>
      <c r="AW45" s="227" t="str">
        <f t="shared" si="39"/>
        <v/>
      </c>
      <c r="AX45" s="227" t="str">
        <f t="shared" si="6"/>
        <v/>
      </c>
      <c r="AY45" s="311" t="str">
        <f t="shared" si="7"/>
        <v/>
      </c>
      <c r="AZ45" s="311">
        <f t="shared" si="8"/>
        <v>284.66402957306133</v>
      </c>
      <c r="BA45" s="311">
        <f t="shared" si="40"/>
        <v>284.66402957306133</v>
      </c>
      <c r="BB45" s="311">
        <f t="shared" si="9"/>
        <v>186.02883421052289</v>
      </c>
      <c r="BC45" s="311">
        <f t="shared" si="48"/>
        <v>186.02883421052289</v>
      </c>
      <c r="BD45" s="227" t="str">
        <f t="shared" si="41"/>
        <v/>
      </c>
      <c r="BE45" s="227" t="str">
        <f t="shared" si="42"/>
        <v/>
      </c>
      <c r="BF45" s="227" t="str">
        <f t="shared" si="43"/>
        <v/>
      </c>
      <c r="BG45" s="227" t="str">
        <f t="shared" si="44"/>
        <v/>
      </c>
      <c r="BH45" s="227" t="str">
        <f t="shared" si="45"/>
        <v/>
      </c>
      <c r="BI45" s="227" t="str">
        <f t="shared" si="46"/>
        <v/>
      </c>
      <c r="BJ45" s="226">
        <f t="shared" si="47"/>
        <v>7936689.5613718498</v>
      </c>
      <c r="BK45" s="335"/>
    </row>
    <row r="46" spans="1:63">
      <c r="A46" s="231">
        <v>320</v>
      </c>
      <c r="B46" s="231" t="str">
        <f>VLOOKUP(A46,'201314 RC list'!A:B,2,FALSE)</f>
        <v>Cardiology</v>
      </c>
      <c r="C46" s="231" t="str">
        <f>$A$46&amp;"&amp;"&amp;$A$47</f>
        <v>320&amp;321</v>
      </c>
      <c r="D46" s="310" t="str">
        <f t="shared" si="11"/>
        <v>A</v>
      </c>
      <c r="E46" s="231">
        <f>IF(ISERROR(VLOOKUP(A46,Mandatory!A:A,1,FALSE)),0,1)</f>
        <v>1</v>
      </c>
      <c r="F46" s="222">
        <f>VLOOKUP(A46,'Front-loading'!A:AG,$F$6,FALSE)</f>
        <v>15319</v>
      </c>
      <c r="G46" s="222">
        <f>VLOOKUP(A46,'Front-loading'!A:AG,$G$6,FALSE)</f>
        <v>733196</v>
      </c>
      <c r="H46" s="222">
        <f>VLOOKUP(A46,'Front-loading'!A:AG,$H$6,FALSE)</f>
        <v>33868</v>
      </c>
      <c r="I46" s="222">
        <f>VLOOKUP(A46,'Front-loading'!A:AG,$I$6,FALSE)</f>
        <v>1064036</v>
      </c>
      <c r="J46" s="222">
        <f>VLOOKUP(A46,'Front-loading'!A:AG,$J$6,FALSE)</f>
        <v>3673150.1261466783</v>
      </c>
      <c r="K46" s="222">
        <f>VLOOKUP(A46,'Front-loading'!A:AG,$K$6,FALSE)</f>
        <v>118235228.41810273</v>
      </c>
      <c r="L46" s="222">
        <f>VLOOKUP(A46,'Front-loading'!A:AG,$L$6,FALSE)</f>
        <v>4697033.4001870519</v>
      </c>
      <c r="M46" s="222">
        <f>VLOOKUP(A46,'Front-loading'!A:AG,$M$6,FALSE)</f>
        <v>108055649.46346037</v>
      </c>
      <c r="N46" s="223">
        <f t="shared" si="12"/>
        <v>239.77740884827196</v>
      </c>
      <c r="O46" s="223">
        <f t="shared" si="12"/>
        <v>161.26005654436565</v>
      </c>
      <c r="P46" s="223">
        <f t="shared" si="12"/>
        <v>138.68647101060151</v>
      </c>
      <c r="Q46" s="223">
        <f t="shared" si="12"/>
        <v>101.5526255347191</v>
      </c>
      <c r="R46" s="409">
        <f t="shared" si="13"/>
        <v>239.77740884827196</v>
      </c>
      <c r="S46" s="409">
        <f t="shared" si="14"/>
        <v>161.26005654436565</v>
      </c>
      <c r="T46" s="409">
        <f t="shared" si="15"/>
        <v>138.68647101060151</v>
      </c>
      <c r="U46" s="409">
        <f t="shared" si="16"/>
        <v>101.5526255347191</v>
      </c>
      <c r="V46" s="411">
        <f t="shared" si="17"/>
        <v>239.77740884827196</v>
      </c>
      <c r="W46" s="411">
        <f t="shared" si="18"/>
        <v>161.26005654436565</v>
      </c>
      <c r="X46" s="411">
        <f t="shared" si="19"/>
        <v>138.68647101060151</v>
      </c>
      <c r="Y46" s="411">
        <f t="shared" si="20"/>
        <v>101.5526255347191</v>
      </c>
      <c r="Z46" s="411">
        <f t="shared" si="21"/>
        <v>239.77740884827196</v>
      </c>
      <c r="AA46" s="411">
        <f t="shared" si="22"/>
        <v>161.26005654436565</v>
      </c>
      <c r="AB46" s="411">
        <f t="shared" si="23"/>
        <v>138.68647101060151</v>
      </c>
      <c r="AC46" s="411">
        <f t="shared" si="24"/>
        <v>101.5526255347191</v>
      </c>
      <c r="AD46" s="411">
        <f t="shared" si="25"/>
        <v>239.77740884827196</v>
      </c>
      <c r="AE46" s="411">
        <f t="shared" si="26"/>
        <v>161.26005654436565</v>
      </c>
      <c r="AF46" s="411">
        <f t="shared" si="27"/>
        <v>138.68647101060151</v>
      </c>
      <c r="AG46" s="411">
        <f t="shared" si="28"/>
        <v>101.5526255347191</v>
      </c>
      <c r="AH46" s="411">
        <f t="shared" si="29"/>
        <v>239.77740884827196</v>
      </c>
      <c r="AI46" s="411">
        <f t="shared" si="30"/>
        <v>161.26005654436565</v>
      </c>
      <c r="AJ46" s="411">
        <f t="shared" si="31"/>
        <v>138.68647101060151</v>
      </c>
      <c r="AK46" s="411">
        <f t="shared" si="32"/>
        <v>101.5526255347191</v>
      </c>
      <c r="AL46" s="411">
        <f>IF($C46="",AH46,IF(AH46&gt;AH47,SUMPRODUCT(AH46:AH47,F46:F47)/SUM(F46:F47),AH46))</f>
        <v>239.77740884827196</v>
      </c>
      <c r="AM46" s="411">
        <f>IF($C46="",AI46,IF(AI46&gt;AI47,SUMPRODUCT(AI46:AI47,G46:G47)/SUM(G46:G47),AI46))</f>
        <v>161.26005654436565</v>
      </c>
      <c r="AN46" s="411">
        <f>IF($C46="",AJ46,IF(AJ46&gt;AJ47,SUMPRODUCT(AJ46:AJ47,H46:H47)/SUM(H46:H47),AJ46))</f>
        <v>138.68647101060151</v>
      </c>
      <c r="AO46" s="411">
        <f>IF($C46="",AK46,IF(AK46&gt;AK47,SUMPRODUCT(AK46:AK47,I46:I47)/SUM(I46:I47),AK46))</f>
        <v>101.5526255347191</v>
      </c>
      <c r="AP46" s="411">
        <f t="shared" si="33"/>
        <v>239.77740884827196</v>
      </c>
      <c r="AQ46" s="411">
        <f t="shared" si="34"/>
        <v>161.26005654436565</v>
      </c>
      <c r="AR46" s="411">
        <f t="shared" si="35"/>
        <v>138.68647101060151</v>
      </c>
      <c r="AS46" s="411">
        <f t="shared" si="36"/>
        <v>101.5526255347191</v>
      </c>
      <c r="AT46" s="227" t="str">
        <f t="shared" si="5"/>
        <v/>
      </c>
      <c r="AU46" s="227" t="str">
        <f t="shared" si="37"/>
        <v/>
      </c>
      <c r="AV46" s="227" t="str">
        <f t="shared" si="38"/>
        <v/>
      </c>
      <c r="AW46" s="227" t="str">
        <f t="shared" si="39"/>
        <v/>
      </c>
      <c r="AX46" s="227" t="str">
        <f t="shared" si="6"/>
        <v/>
      </c>
      <c r="AY46" s="311" t="str">
        <f t="shared" si="7"/>
        <v/>
      </c>
      <c r="AZ46" s="311">
        <f t="shared" si="8"/>
        <v>239.77740884827196</v>
      </c>
      <c r="BA46" s="311">
        <f t="shared" si="40"/>
        <v>161.26005654436565</v>
      </c>
      <c r="BB46" s="311">
        <f t="shared" si="9"/>
        <v>138.68647101060151</v>
      </c>
      <c r="BC46" s="311">
        <f t="shared" si="48"/>
        <v>101.5526255347191</v>
      </c>
      <c r="BD46" s="227" t="str">
        <f t="shared" si="41"/>
        <v/>
      </c>
      <c r="BE46" s="227" t="str">
        <f t="shared" si="42"/>
        <v/>
      </c>
      <c r="BF46" s="227" t="str">
        <f t="shared" si="43"/>
        <v/>
      </c>
      <c r="BG46" s="227" t="str">
        <f t="shared" si="44"/>
        <v/>
      </c>
      <c r="BH46" s="227" t="str">
        <f t="shared" si="45"/>
        <v/>
      </c>
      <c r="BI46" s="227" t="str">
        <f t="shared" si="46"/>
        <v/>
      </c>
      <c r="BJ46" s="226">
        <f t="shared" si="47"/>
        <v>234661061.40789682</v>
      </c>
      <c r="BK46" s="335"/>
    </row>
    <row r="47" spans="1:63">
      <c r="A47" s="231">
        <v>321</v>
      </c>
      <c r="B47" s="231" t="str">
        <f>VLOOKUP(A47,'201314 RC list'!A:B,2,FALSE)</f>
        <v>Paediatric Cardiology</v>
      </c>
      <c r="C47" s="231" t="str">
        <f>$A$46&amp;"&amp;"&amp;$A$47</f>
        <v>320&amp;321</v>
      </c>
      <c r="D47" s="310" t="str">
        <f t="shared" si="11"/>
        <v>C</v>
      </c>
      <c r="E47" s="231">
        <f>IF(ISERROR(VLOOKUP(A47,Mandatory!A:A,1,FALSE)),0,1)</f>
        <v>1</v>
      </c>
      <c r="F47" s="222">
        <f>VLOOKUP(A47,'Front-loading'!A:AG,$F$6,FALSE)</f>
        <v>1564</v>
      </c>
      <c r="G47" s="222">
        <f>VLOOKUP(A47,'Front-loading'!A:AG,$G$6,FALSE)</f>
        <v>29219</v>
      </c>
      <c r="H47" s="222">
        <f>VLOOKUP(A47,'Front-loading'!A:AG,$H$6,FALSE)</f>
        <v>3558</v>
      </c>
      <c r="I47" s="222">
        <f>VLOOKUP(A47,'Front-loading'!A:AG,$I$6,FALSE)</f>
        <v>77767</v>
      </c>
      <c r="J47" s="222">
        <f>VLOOKUP(A47,'Front-loading'!A:AG,$J$6,FALSE)</f>
        <v>345430.71149745869</v>
      </c>
      <c r="K47" s="222">
        <f>VLOOKUP(A47,'Front-loading'!A:AG,$K$6,FALSE)</f>
        <v>7060978.7638740065</v>
      </c>
      <c r="L47" s="222">
        <f>VLOOKUP(A47,'Front-loading'!A:AG,$L$6,FALSE)</f>
        <v>611097.18973738316</v>
      </c>
      <c r="M47" s="222">
        <f>VLOOKUP(A47,'Front-loading'!A:AG,$M$6,FALSE)</f>
        <v>10226096.553067092</v>
      </c>
      <c r="N47" s="223">
        <f t="shared" si="12"/>
        <v>220.86362627714749</v>
      </c>
      <c r="O47" s="223">
        <f t="shared" si="12"/>
        <v>241.65709859591385</v>
      </c>
      <c r="P47" s="223">
        <f t="shared" si="12"/>
        <v>171.75300442309813</v>
      </c>
      <c r="Q47" s="223">
        <f t="shared" si="12"/>
        <v>131.49660592625526</v>
      </c>
      <c r="R47" s="409">
        <f t="shared" si="13"/>
        <v>220.86362627714749</v>
      </c>
      <c r="S47" s="409">
        <f t="shared" si="14"/>
        <v>241.65709859591385</v>
      </c>
      <c r="T47" s="409">
        <f t="shared" si="15"/>
        <v>171.75300442309813</v>
      </c>
      <c r="U47" s="409">
        <f t="shared" si="16"/>
        <v>131.49660592625526</v>
      </c>
      <c r="V47" s="411">
        <f t="shared" si="17"/>
        <v>220.86362627714749</v>
      </c>
      <c r="W47" s="411">
        <f t="shared" si="18"/>
        <v>241.65709859591385</v>
      </c>
      <c r="X47" s="411">
        <f t="shared" si="19"/>
        <v>171.75300442309813</v>
      </c>
      <c r="Y47" s="411">
        <f t="shared" si="20"/>
        <v>131.49660592625526</v>
      </c>
      <c r="Z47" s="411">
        <f t="shared" si="21"/>
        <v>220.86362627714749</v>
      </c>
      <c r="AA47" s="411">
        <f t="shared" si="22"/>
        <v>241.65709859591385</v>
      </c>
      <c r="AB47" s="411">
        <f t="shared" si="23"/>
        <v>171.75300442309813</v>
      </c>
      <c r="AC47" s="411">
        <f t="shared" si="24"/>
        <v>131.49660592625526</v>
      </c>
      <c r="AD47" s="411">
        <f t="shared" si="25"/>
        <v>240.60063916354693</v>
      </c>
      <c r="AE47" s="411">
        <f t="shared" si="26"/>
        <v>240.60063916354693</v>
      </c>
      <c r="AF47" s="411">
        <f t="shared" si="27"/>
        <v>171.75300442309813</v>
      </c>
      <c r="AG47" s="411">
        <f t="shared" si="28"/>
        <v>131.49660592625526</v>
      </c>
      <c r="AH47" s="411">
        <f t="shared" si="29"/>
        <v>240.60063916354693</v>
      </c>
      <c r="AI47" s="411">
        <f t="shared" si="30"/>
        <v>240.60063916354693</v>
      </c>
      <c r="AJ47" s="411">
        <f t="shared" si="31"/>
        <v>171.75300442309813</v>
      </c>
      <c r="AK47" s="411">
        <f t="shared" si="32"/>
        <v>131.49660592625526</v>
      </c>
      <c r="AL47" s="411">
        <f>IF($C47="",AH47,IF(AH46&gt;AH47,SUMPRODUCT(AH46:AH47,F46:F47)/SUM(F46:F47),AH47))</f>
        <v>240.60063916354693</v>
      </c>
      <c r="AM47" s="411">
        <f>IF($C47="",AI47,IF(AI46&gt;AI47,SUMPRODUCT(AI46:AI47,G46:G47)/SUM(G46:G47),AI47))</f>
        <v>240.60063916354693</v>
      </c>
      <c r="AN47" s="411">
        <f>IF($C47="",AJ47,IF(AJ46&gt;AJ47,SUMPRODUCT(AJ46:AJ47,H46:H47)/SUM(H46:H47),AJ47))</f>
        <v>171.75300442309813</v>
      </c>
      <c r="AO47" s="411">
        <f>IF($C47="",AK47,IF(AK46&gt;AK47,SUMPRODUCT(AK46:AK47,I46:I47)/SUM(I46:I47),AK47))</f>
        <v>131.49660592625526</v>
      </c>
      <c r="AP47" s="411">
        <f t="shared" si="33"/>
        <v>240.60063916354693</v>
      </c>
      <c r="AQ47" s="411">
        <f t="shared" si="34"/>
        <v>240.60063916354693</v>
      </c>
      <c r="AR47" s="411">
        <f t="shared" si="35"/>
        <v>171.75300442309813</v>
      </c>
      <c r="AS47" s="411">
        <f t="shared" si="36"/>
        <v>131.49660592625526</v>
      </c>
      <c r="AT47" s="227" t="str">
        <f t="shared" si="5"/>
        <v/>
      </c>
      <c r="AU47" s="227" t="str">
        <f t="shared" si="37"/>
        <v/>
      </c>
      <c r="AV47" s="227" t="str">
        <f t="shared" si="38"/>
        <v/>
      </c>
      <c r="AW47" s="227" t="str">
        <f t="shared" si="39"/>
        <v/>
      </c>
      <c r="AX47" s="227" t="str">
        <f t="shared" si="6"/>
        <v/>
      </c>
      <c r="AY47" s="311" t="str">
        <f t="shared" si="7"/>
        <v/>
      </c>
      <c r="AZ47" s="311">
        <f t="shared" si="8"/>
        <v>240.60063916354693</v>
      </c>
      <c r="BA47" s="311">
        <f t="shared" si="40"/>
        <v>240.60063916354693</v>
      </c>
      <c r="BB47" s="311">
        <f t="shared" si="9"/>
        <v>171.75300442309813</v>
      </c>
      <c r="BC47" s="311">
        <f t="shared" si="48"/>
        <v>131.49660592625526</v>
      </c>
      <c r="BD47" s="227" t="str">
        <f t="shared" si="41"/>
        <v/>
      </c>
      <c r="BE47" s="227" t="str">
        <f t="shared" si="42"/>
        <v/>
      </c>
      <c r="BF47" s="227" t="str">
        <f t="shared" si="43"/>
        <v/>
      </c>
      <c r="BG47" s="227" t="str">
        <f t="shared" si="44"/>
        <v/>
      </c>
      <c r="BH47" s="227" t="str">
        <f t="shared" si="45"/>
        <v/>
      </c>
      <c r="BI47" s="227" t="str">
        <f t="shared" si="46"/>
        <v/>
      </c>
      <c r="BJ47" s="226">
        <f t="shared" si="47"/>
        <v>18243603.21817594</v>
      </c>
      <c r="BK47" s="335"/>
    </row>
    <row r="48" spans="1:63">
      <c r="A48" s="231">
        <v>330</v>
      </c>
      <c r="B48" s="231" t="str">
        <f>VLOOKUP(A48,'201314 RC list'!A:B,2,FALSE)</f>
        <v>Dermatology</v>
      </c>
      <c r="C48" s="231" t="str">
        <f>$A$48&amp;"&amp;"&amp;$A$49</f>
        <v>330&amp;257</v>
      </c>
      <c r="D48" s="310" t="str">
        <f t="shared" si="11"/>
        <v>A</v>
      </c>
      <c r="E48" s="231">
        <f>IF(ISERROR(VLOOKUP(A48,Mandatory!A:A,1,FALSE)),0,1)</f>
        <v>1</v>
      </c>
      <c r="F48" s="222">
        <f>VLOOKUP(A48,'Front-loading'!A:AG,$F$6,FALSE)</f>
        <v>8011</v>
      </c>
      <c r="G48" s="222">
        <f>VLOOKUP(A48,'Front-loading'!A:AG,$G$6,FALSE)</f>
        <v>712861</v>
      </c>
      <c r="H48" s="222">
        <f>VLOOKUP(A48,'Front-loading'!A:AG,$H$6,FALSE)</f>
        <v>17182</v>
      </c>
      <c r="I48" s="222">
        <f>VLOOKUP(A48,'Front-loading'!A:AG,$I$6,FALSE)</f>
        <v>1324331</v>
      </c>
      <c r="J48" s="222">
        <f>VLOOKUP(A48,'Front-loading'!A:AG,$J$6,FALSE)</f>
        <v>1115775.1205814178</v>
      </c>
      <c r="K48" s="222">
        <f>VLOOKUP(A48,'Front-loading'!A:AG,$K$6,FALSE)</f>
        <v>83136670.258304954</v>
      </c>
      <c r="L48" s="222">
        <f>VLOOKUP(A48,'Front-loading'!A:AG,$L$6,FALSE)</f>
        <v>1588362.5494474568</v>
      </c>
      <c r="M48" s="222">
        <f>VLOOKUP(A48,'Front-loading'!A:AG,$M$6,FALSE)</f>
        <v>104736456.38884082</v>
      </c>
      <c r="N48" s="223">
        <f t="shared" si="12"/>
        <v>139.28037955079489</v>
      </c>
      <c r="O48" s="223">
        <f t="shared" si="12"/>
        <v>116.62395650527235</v>
      </c>
      <c r="P48" s="223">
        <f t="shared" si="12"/>
        <v>92.443402947704385</v>
      </c>
      <c r="Q48" s="223">
        <f t="shared" si="12"/>
        <v>79.086313307504568</v>
      </c>
      <c r="R48" s="409">
        <f t="shared" si="13"/>
        <v>139.28037955079489</v>
      </c>
      <c r="S48" s="409">
        <f t="shared" si="14"/>
        <v>116.62395650527235</v>
      </c>
      <c r="T48" s="409">
        <f t="shared" si="15"/>
        <v>92.443402947704385</v>
      </c>
      <c r="U48" s="409">
        <f t="shared" si="16"/>
        <v>79.086313307504568</v>
      </c>
      <c r="V48" s="411">
        <f t="shared" si="17"/>
        <v>139.28037955079489</v>
      </c>
      <c r="W48" s="411">
        <f t="shared" si="18"/>
        <v>116.62395650527235</v>
      </c>
      <c r="X48" s="411">
        <f t="shared" si="19"/>
        <v>92.443402947704385</v>
      </c>
      <c r="Y48" s="411">
        <f t="shared" si="20"/>
        <v>79.086313307504568</v>
      </c>
      <c r="Z48" s="411">
        <f t="shared" si="21"/>
        <v>139.28037955079489</v>
      </c>
      <c r="AA48" s="411">
        <f t="shared" si="22"/>
        <v>116.62395650527235</v>
      </c>
      <c r="AB48" s="411">
        <f t="shared" si="23"/>
        <v>92.443402947704385</v>
      </c>
      <c r="AC48" s="411">
        <f t="shared" si="24"/>
        <v>79.086313307504568</v>
      </c>
      <c r="AD48" s="411">
        <f t="shared" si="25"/>
        <v>139.28037955079489</v>
      </c>
      <c r="AE48" s="411">
        <f t="shared" si="26"/>
        <v>116.62395650527235</v>
      </c>
      <c r="AF48" s="411">
        <f t="shared" si="27"/>
        <v>92.443402947704385</v>
      </c>
      <c r="AG48" s="411">
        <f t="shared" si="28"/>
        <v>79.086313307504568</v>
      </c>
      <c r="AH48" s="411">
        <f t="shared" si="29"/>
        <v>139.28037955079489</v>
      </c>
      <c r="AI48" s="411">
        <f t="shared" si="30"/>
        <v>116.62395650527235</v>
      </c>
      <c r="AJ48" s="411">
        <f t="shared" si="31"/>
        <v>92.443402947704385</v>
      </c>
      <c r="AK48" s="411">
        <f t="shared" si="32"/>
        <v>79.086313307504568</v>
      </c>
      <c r="AL48" s="411">
        <f>IF($C48="",AH48,IF(AH48&gt;AH49,SUMPRODUCT(AH48:AH49,F48:F49)/SUM(F48:F49),AH48))</f>
        <v>139.28037955079489</v>
      </c>
      <c r="AM48" s="411">
        <f>IF($C48="",AI48,IF(AI48&gt;AI49,SUMPRODUCT(AI48:AI49,G48:G49)/SUM(G48:G49),AI48))</f>
        <v>116.62395650527235</v>
      </c>
      <c r="AN48" s="411">
        <f>IF($C48="",AJ48,IF(AJ48&gt;AJ49,SUMPRODUCT(AJ48:AJ49,H48:H49)/SUM(H48:H49),AJ48))</f>
        <v>92.443402947704385</v>
      </c>
      <c r="AO48" s="411">
        <f>IF($C48="",AK48,IF(AK48&gt;AK49,SUMPRODUCT(AK48:AK49,I48:I49)/SUM(I48:I49),AK48))</f>
        <v>79.086313307504568</v>
      </c>
      <c r="AP48" s="411">
        <f t="shared" si="33"/>
        <v>139.28037955079489</v>
      </c>
      <c r="AQ48" s="411">
        <f t="shared" si="34"/>
        <v>116.62395650527235</v>
      </c>
      <c r="AR48" s="411">
        <f t="shared" si="35"/>
        <v>92.443402947704385</v>
      </c>
      <c r="AS48" s="411">
        <f t="shared" si="36"/>
        <v>79.086313307504568</v>
      </c>
      <c r="AT48" s="227" t="str">
        <f t="shared" si="5"/>
        <v/>
      </c>
      <c r="AU48" s="227" t="str">
        <f t="shared" si="37"/>
        <v/>
      </c>
      <c r="AV48" s="227" t="str">
        <f t="shared" si="38"/>
        <v/>
      </c>
      <c r="AW48" s="227" t="str">
        <f t="shared" si="39"/>
        <v/>
      </c>
      <c r="AX48" s="227" t="str">
        <f t="shared" si="6"/>
        <v/>
      </c>
      <c r="AY48" s="311" t="str">
        <f t="shared" si="7"/>
        <v/>
      </c>
      <c r="AZ48" s="311">
        <f t="shared" si="8"/>
        <v>139.28037955079489</v>
      </c>
      <c r="BA48" s="311">
        <f t="shared" si="40"/>
        <v>116.62395650527235</v>
      </c>
      <c r="BB48" s="311">
        <f t="shared" si="9"/>
        <v>92.443402947704385</v>
      </c>
      <c r="BC48" s="311">
        <f t="shared" si="48"/>
        <v>79.086313307504568</v>
      </c>
      <c r="BD48" s="227" t="str">
        <f t="shared" si="41"/>
        <v/>
      </c>
      <c r="BE48" s="227" t="str">
        <f t="shared" si="42"/>
        <v/>
      </c>
      <c r="BF48" s="227" t="str">
        <f t="shared" si="43"/>
        <v/>
      </c>
      <c r="BG48" s="227" t="str">
        <f t="shared" si="44"/>
        <v/>
      </c>
      <c r="BH48" s="227" t="str">
        <f t="shared" si="45"/>
        <v/>
      </c>
      <c r="BI48" s="227" t="str">
        <f t="shared" si="46"/>
        <v/>
      </c>
      <c r="BJ48" s="226">
        <f t="shared" si="47"/>
        <v>190577264.31717467</v>
      </c>
      <c r="BK48" s="335"/>
    </row>
    <row r="49" spans="1:63">
      <c r="A49" s="231">
        <v>257</v>
      </c>
      <c r="B49" s="231" t="str">
        <f>VLOOKUP(A49,'201314 RC list'!A:B,2,FALSE)</f>
        <v>Paediatric Dermatology</v>
      </c>
      <c r="C49" s="231" t="str">
        <f>$A$48&amp;"&amp;"&amp;$A$49</f>
        <v>330&amp;257</v>
      </c>
      <c r="D49" s="310" t="str">
        <f t="shared" si="11"/>
        <v>C</v>
      </c>
      <c r="E49" s="231">
        <f>IF(ISERROR(VLOOKUP(A49,Mandatory!A:A,1,FALSE)),0,1)</f>
        <v>1</v>
      </c>
      <c r="F49" s="222">
        <f>VLOOKUP(A49,'Front-loading'!A:AG,$F$6,FALSE)</f>
        <v>574</v>
      </c>
      <c r="G49" s="222">
        <f>VLOOKUP(A49,'Front-loading'!A:AG,$G$6,FALSE)</f>
        <v>24472</v>
      </c>
      <c r="H49" s="222">
        <f>VLOOKUP(A49,'Front-loading'!A:AG,$H$6,FALSE)</f>
        <v>758</v>
      </c>
      <c r="I49" s="222">
        <f>VLOOKUP(A49,'Front-loading'!A:AG,$I$6,FALSE)</f>
        <v>42237</v>
      </c>
      <c r="J49" s="222">
        <f>VLOOKUP(A49,'Front-loading'!A:AG,$J$6,FALSE)</f>
        <v>92582.78364933921</v>
      </c>
      <c r="K49" s="222">
        <f>VLOOKUP(A49,'Front-loading'!A:AG,$K$6,FALSE)</f>
        <v>4115154.0982463402</v>
      </c>
      <c r="L49" s="222">
        <f>VLOOKUP(A49,'Front-loading'!A:AG,$L$6,FALSE)</f>
        <v>92901.2095869107</v>
      </c>
      <c r="M49" s="222">
        <f>VLOOKUP(A49,'Front-loading'!A:AG,$M$6,FALSE)</f>
        <v>4572423.6792912185</v>
      </c>
      <c r="N49" s="223">
        <f t="shared" si="12"/>
        <v>161.29404816958049</v>
      </c>
      <c r="O49" s="223">
        <f t="shared" si="12"/>
        <v>168.15765357332216</v>
      </c>
      <c r="P49" s="223">
        <f t="shared" si="12"/>
        <v>122.56096251571333</v>
      </c>
      <c r="Q49" s="223">
        <f t="shared" si="12"/>
        <v>108.25635531148563</v>
      </c>
      <c r="R49" s="409">
        <f t="shared" si="13"/>
        <v>161.29404816958049</v>
      </c>
      <c r="S49" s="409">
        <f t="shared" si="14"/>
        <v>168.15765357332216</v>
      </c>
      <c r="T49" s="409">
        <f t="shared" si="15"/>
        <v>122.56096251571333</v>
      </c>
      <c r="U49" s="409">
        <f t="shared" si="16"/>
        <v>108.25635531148563</v>
      </c>
      <c r="V49" s="411">
        <f t="shared" si="17"/>
        <v>161.29404816958049</v>
      </c>
      <c r="W49" s="411">
        <f t="shared" si="18"/>
        <v>168.15765357332216</v>
      </c>
      <c r="X49" s="411">
        <f t="shared" si="19"/>
        <v>122.56096251571333</v>
      </c>
      <c r="Y49" s="411">
        <f t="shared" si="20"/>
        <v>108.25635531148563</v>
      </c>
      <c r="Z49" s="411">
        <f t="shared" si="21"/>
        <v>161.29404816958049</v>
      </c>
      <c r="AA49" s="411">
        <f t="shared" si="22"/>
        <v>168.15765357332216</v>
      </c>
      <c r="AB49" s="411">
        <f t="shared" si="23"/>
        <v>122.56096251571333</v>
      </c>
      <c r="AC49" s="411">
        <f t="shared" si="24"/>
        <v>108.25635531148563</v>
      </c>
      <c r="AD49" s="411">
        <f t="shared" si="25"/>
        <v>168.00035462332025</v>
      </c>
      <c r="AE49" s="411">
        <f t="shared" si="26"/>
        <v>168.00035462332025</v>
      </c>
      <c r="AF49" s="411">
        <f t="shared" si="27"/>
        <v>122.56096251571333</v>
      </c>
      <c r="AG49" s="411">
        <f t="shared" si="28"/>
        <v>108.25635531148563</v>
      </c>
      <c r="AH49" s="411">
        <f t="shared" si="29"/>
        <v>168.00035462332025</v>
      </c>
      <c r="AI49" s="411">
        <f t="shared" si="30"/>
        <v>168.00035462332025</v>
      </c>
      <c r="AJ49" s="411">
        <f t="shared" si="31"/>
        <v>122.56096251571333</v>
      </c>
      <c r="AK49" s="411">
        <f t="shared" si="32"/>
        <v>108.25635531148563</v>
      </c>
      <c r="AL49" s="411">
        <f>IF($C49="",AH49,IF(AH48&gt;AH49,SUMPRODUCT(AH48:AH49,F48:F49)/SUM(F48:F49),AH49))</f>
        <v>168.00035462332025</v>
      </c>
      <c r="AM49" s="411">
        <f>IF($C49="",AI49,IF(AI48&gt;AI49,SUMPRODUCT(AI48:AI49,G48:G49)/SUM(G48:G49),AI49))</f>
        <v>168.00035462332025</v>
      </c>
      <c r="AN49" s="411">
        <f>IF($C49="",AJ49,IF(AJ48&gt;AJ49,SUMPRODUCT(AJ48:AJ49,H48:H49)/SUM(H48:H49),AJ49))</f>
        <v>122.56096251571333</v>
      </c>
      <c r="AO49" s="411">
        <f>IF($C49="",AK49,IF(AK48&gt;AK49,SUMPRODUCT(AK48:AK49,I48:I49)/SUM(I48:I49),AK49))</f>
        <v>108.25635531148563</v>
      </c>
      <c r="AP49" s="411">
        <f t="shared" si="33"/>
        <v>168.00035462332025</v>
      </c>
      <c r="AQ49" s="411">
        <f t="shared" si="34"/>
        <v>168.00035462332025</v>
      </c>
      <c r="AR49" s="411">
        <f t="shared" si="35"/>
        <v>122.56096251571333</v>
      </c>
      <c r="AS49" s="411">
        <f t="shared" si="36"/>
        <v>108.25635531148563</v>
      </c>
      <c r="AT49" s="227" t="str">
        <f t="shared" si="5"/>
        <v/>
      </c>
      <c r="AU49" s="227" t="str">
        <f t="shared" si="37"/>
        <v/>
      </c>
      <c r="AV49" s="227" t="str">
        <f t="shared" si="38"/>
        <v/>
      </c>
      <c r="AW49" s="227" t="str">
        <f t="shared" si="39"/>
        <v/>
      </c>
      <c r="AX49" s="227" t="str">
        <f t="shared" si="6"/>
        <v/>
      </c>
      <c r="AY49" s="311" t="str">
        <f t="shared" si="7"/>
        <v/>
      </c>
      <c r="AZ49" s="311">
        <f t="shared" si="8"/>
        <v>168.00035462332025</v>
      </c>
      <c r="BA49" s="311">
        <f t="shared" si="40"/>
        <v>168.00035462332025</v>
      </c>
      <c r="BB49" s="311">
        <f t="shared" si="9"/>
        <v>122.56096251571333</v>
      </c>
      <c r="BC49" s="311">
        <f t="shared" si="48"/>
        <v>108.25635531148563</v>
      </c>
      <c r="BD49" s="227" t="str">
        <f t="shared" si="41"/>
        <v/>
      </c>
      <c r="BE49" s="227" t="str">
        <f t="shared" si="42"/>
        <v/>
      </c>
      <c r="BF49" s="227" t="str">
        <f t="shared" si="43"/>
        <v/>
      </c>
      <c r="BG49" s="227" t="str">
        <f t="shared" si="44"/>
        <v/>
      </c>
      <c r="BH49" s="227" t="str">
        <f t="shared" si="45"/>
        <v/>
      </c>
      <c r="BI49" s="227" t="str">
        <f t="shared" si="46"/>
        <v/>
      </c>
      <c r="BJ49" s="226">
        <f t="shared" si="47"/>
        <v>8873061.7707738094</v>
      </c>
      <c r="BK49" s="335"/>
    </row>
    <row r="50" spans="1:63">
      <c r="A50" s="231">
        <v>340</v>
      </c>
      <c r="B50" s="231" t="str">
        <f>VLOOKUP(A50,'201314 RC list'!A:B,2,FALSE)</f>
        <v>Respiratory Medicine</v>
      </c>
      <c r="C50" s="231" t="str">
        <f>$A$50&amp;"&amp;"&amp;$A$51</f>
        <v>340&amp;258</v>
      </c>
      <c r="D50" s="310" t="str">
        <f t="shared" si="11"/>
        <v>A</v>
      </c>
      <c r="E50" s="231">
        <f>IF(ISERROR(VLOOKUP(A50,Mandatory!A:A,1,FALSE)),0,1)</f>
        <v>1</v>
      </c>
      <c r="F50" s="222">
        <f>VLOOKUP(A50,'Front-loading'!A:AG,$F$6,FALSE)</f>
        <v>13097</v>
      </c>
      <c r="G50" s="222">
        <f>VLOOKUP(A50,'Front-loading'!A:AG,$G$6,FALSE)</f>
        <v>334650</v>
      </c>
      <c r="H50" s="222">
        <f>VLOOKUP(A50,'Front-loading'!A:AG,$H$6,FALSE)</f>
        <v>34868</v>
      </c>
      <c r="I50" s="222">
        <f>VLOOKUP(A50,'Front-loading'!A:AG,$I$6,FALSE)</f>
        <v>727250</v>
      </c>
      <c r="J50" s="222">
        <f>VLOOKUP(A50,'Front-loading'!A:AG,$J$6,FALSE)</f>
        <v>3407876.2013789215</v>
      </c>
      <c r="K50" s="222">
        <f>VLOOKUP(A50,'Front-loading'!A:AG,$K$6,FALSE)</f>
        <v>65596411.09962178</v>
      </c>
      <c r="L50" s="222">
        <f>VLOOKUP(A50,'Front-loading'!A:AG,$L$6,FALSE)</f>
        <v>5569478.5534582827</v>
      </c>
      <c r="M50" s="222">
        <f>VLOOKUP(A50,'Front-loading'!A:AG,$M$6,FALSE)</f>
        <v>81047817.275321364</v>
      </c>
      <c r="N50" s="223">
        <f t="shared" si="12"/>
        <v>260.20280990905712</v>
      </c>
      <c r="O50" s="223">
        <f t="shared" si="12"/>
        <v>196.01497415096901</v>
      </c>
      <c r="P50" s="223">
        <f t="shared" si="12"/>
        <v>159.73037035270971</v>
      </c>
      <c r="Q50" s="223">
        <f t="shared" si="12"/>
        <v>111.44423138579768</v>
      </c>
      <c r="R50" s="409">
        <f t="shared" si="13"/>
        <v>260.20280990905712</v>
      </c>
      <c r="S50" s="409">
        <f t="shared" si="14"/>
        <v>196.01497415096901</v>
      </c>
      <c r="T50" s="409">
        <f t="shared" si="15"/>
        <v>159.73037035270971</v>
      </c>
      <c r="U50" s="409">
        <f t="shared" si="16"/>
        <v>111.44423138579768</v>
      </c>
      <c r="V50" s="411">
        <f t="shared" si="17"/>
        <v>260.20280990905712</v>
      </c>
      <c r="W50" s="411">
        <f t="shared" si="18"/>
        <v>196.01497415096901</v>
      </c>
      <c r="X50" s="411">
        <f t="shared" si="19"/>
        <v>159.73037035270971</v>
      </c>
      <c r="Y50" s="411">
        <f t="shared" si="20"/>
        <v>111.44423138579768</v>
      </c>
      <c r="Z50" s="411">
        <f t="shared" si="21"/>
        <v>260.20280990905712</v>
      </c>
      <c r="AA50" s="411">
        <f t="shared" si="22"/>
        <v>196.01497415096901</v>
      </c>
      <c r="AB50" s="411">
        <f t="shared" si="23"/>
        <v>159.73037035270971</v>
      </c>
      <c r="AC50" s="411">
        <f t="shared" si="24"/>
        <v>111.44423138579768</v>
      </c>
      <c r="AD50" s="411">
        <f t="shared" si="25"/>
        <v>260.20280990905712</v>
      </c>
      <c r="AE50" s="411">
        <f t="shared" si="26"/>
        <v>196.01497415096901</v>
      </c>
      <c r="AF50" s="411">
        <f t="shared" si="27"/>
        <v>159.73037035270971</v>
      </c>
      <c r="AG50" s="411">
        <f t="shared" si="28"/>
        <v>111.44423138579768</v>
      </c>
      <c r="AH50" s="411">
        <f t="shared" si="29"/>
        <v>260.20280990905712</v>
      </c>
      <c r="AI50" s="411">
        <f t="shared" si="30"/>
        <v>196.01497415096901</v>
      </c>
      <c r="AJ50" s="411">
        <f t="shared" si="31"/>
        <v>159.73037035270971</v>
      </c>
      <c r="AK50" s="411">
        <f t="shared" si="32"/>
        <v>111.44423138579768</v>
      </c>
      <c r="AL50" s="411">
        <f>IF($C50="",AH50,IF(AH50&gt;AH51,SUMPRODUCT(AH50:AH51,F50:F51)/SUM(F50:F51),AH50))</f>
        <v>260.20280990905712</v>
      </c>
      <c r="AM50" s="411">
        <f>IF($C50="",AI50,IF(AI50&gt;AI51,SUMPRODUCT(AI50:AI51,G50:G51)/SUM(G50:G51),AI50))</f>
        <v>196.01497415096901</v>
      </c>
      <c r="AN50" s="411">
        <f>IF($C50="",AJ50,IF(AJ50&gt;AJ51,SUMPRODUCT(AJ50:AJ51,H50:H51)/SUM(H50:H51),AJ50))</f>
        <v>159.73037035270971</v>
      </c>
      <c r="AO50" s="411">
        <f>IF($C50="",AK50,IF(AK50&gt;AK51,SUMPRODUCT(AK50:AK51,I50:I51)/SUM(I50:I51),AK50))</f>
        <v>111.44423138579768</v>
      </c>
      <c r="AP50" s="411">
        <f t="shared" si="33"/>
        <v>260.20280990905712</v>
      </c>
      <c r="AQ50" s="411">
        <f t="shared" si="34"/>
        <v>196.01497415096901</v>
      </c>
      <c r="AR50" s="411">
        <f t="shared" si="35"/>
        <v>159.73037035270971</v>
      </c>
      <c r="AS50" s="411">
        <f t="shared" si="36"/>
        <v>111.44423138579768</v>
      </c>
      <c r="AT50" s="227" t="str">
        <f t="shared" si="5"/>
        <v/>
      </c>
      <c r="AU50" s="227" t="str">
        <f t="shared" si="37"/>
        <v/>
      </c>
      <c r="AV50" s="227" t="str">
        <f t="shared" si="38"/>
        <v/>
      </c>
      <c r="AW50" s="227" t="str">
        <f t="shared" si="39"/>
        <v/>
      </c>
      <c r="AX50" s="227" t="str">
        <f t="shared" si="6"/>
        <v/>
      </c>
      <c r="AY50" s="311" t="str">
        <f t="shared" si="7"/>
        <v/>
      </c>
      <c r="AZ50" s="311">
        <f t="shared" si="8"/>
        <v>260.20280990905712</v>
      </c>
      <c r="BA50" s="311">
        <f t="shared" si="40"/>
        <v>196.01497415096901</v>
      </c>
      <c r="BB50" s="311">
        <f t="shared" si="9"/>
        <v>159.73037035270971</v>
      </c>
      <c r="BC50" s="311">
        <f t="shared" si="48"/>
        <v>111.44423138579768</v>
      </c>
      <c r="BD50" s="227" t="str">
        <f t="shared" si="41"/>
        <v/>
      </c>
      <c r="BE50" s="227" t="str">
        <f t="shared" si="42"/>
        <v/>
      </c>
      <c r="BF50" s="227" t="str">
        <f t="shared" si="43"/>
        <v/>
      </c>
      <c r="BG50" s="227" t="str">
        <f t="shared" si="44"/>
        <v/>
      </c>
      <c r="BH50" s="227" t="str">
        <f t="shared" si="45"/>
        <v/>
      </c>
      <c r="BI50" s="227" t="str">
        <f t="shared" si="46"/>
        <v/>
      </c>
      <c r="BJ50" s="226">
        <f t="shared" si="47"/>
        <v>155621583.12978035</v>
      </c>
      <c r="BK50" s="335"/>
    </row>
    <row r="51" spans="1:63">
      <c r="A51" s="231">
        <v>258</v>
      </c>
      <c r="B51" s="231" t="str">
        <f>VLOOKUP(A51,'201314 RC list'!A:B,2,FALSE)</f>
        <v>Paediatric Respiratory Medicine</v>
      </c>
      <c r="C51" s="231" t="str">
        <f>$A$50&amp;"&amp;"&amp;$A$51</f>
        <v>340&amp;258</v>
      </c>
      <c r="D51" s="310" t="str">
        <f t="shared" si="11"/>
        <v>C</v>
      </c>
      <c r="E51" s="231">
        <f>IF(ISERROR(VLOOKUP(A51,Mandatory!A:A,1,FALSE)),0,1)</f>
        <v>1</v>
      </c>
      <c r="F51" s="222">
        <f>VLOOKUP(A51,'Front-loading'!A:AG,$F$6,FALSE)</f>
        <v>697</v>
      </c>
      <c r="G51" s="222">
        <f>VLOOKUP(A51,'Front-loading'!A:AG,$G$6,FALSE)</f>
        <v>11935</v>
      </c>
      <c r="H51" s="222">
        <f>VLOOKUP(A51,'Front-loading'!A:AG,$H$6,FALSE)</f>
        <v>2357</v>
      </c>
      <c r="I51" s="222">
        <f>VLOOKUP(A51,'Front-loading'!A:AG,$I$6,FALSE)</f>
        <v>37066</v>
      </c>
      <c r="J51" s="222">
        <f>VLOOKUP(A51,'Front-loading'!A:AG,$J$6,FALSE)</f>
        <v>225579.56600647638</v>
      </c>
      <c r="K51" s="222">
        <f>VLOOKUP(A51,'Front-loading'!A:AG,$K$6,FALSE)</f>
        <v>3850710.6639976869</v>
      </c>
      <c r="L51" s="222">
        <f>VLOOKUP(A51,'Front-loading'!A:AG,$L$6,FALSE)</f>
        <v>385689.06543283613</v>
      </c>
      <c r="M51" s="222">
        <f>VLOOKUP(A51,'Front-loading'!A:AG,$M$6,FALSE)</f>
        <v>6374723.7226968361</v>
      </c>
      <c r="N51" s="223">
        <f t="shared" si="12"/>
        <v>323.64356672378244</v>
      </c>
      <c r="O51" s="223">
        <f t="shared" si="12"/>
        <v>322.64018969398296</v>
      </c>
      <c r="P51" s="223">
        <f t="shared" si="12"/>
        <v>163.63558143098689</v>
      </c>
      <c r="Q51" s="223">
        <f t="shared" si="12"/>
        <v>171.98304976789609</v>
      </c>
      <c r="R51" s="409">
        <f t="shared" si="13"/>
        <v>323.64356672378244</v>
      </c>
      <c r="S51" s="409">
        <f t="shared" si="14"/>
        <v>322.64018969398296</v>
      </c>
      <c r="T51" s="409">
        <f t="shared" si="15"/>
        <v>163.63558143098689</v>
      </c>
      <c r="U51" s="409">
        <f t="shared" si="16"/>
        <v>171.98304976789609</v>
      </c>
      <c r="V51" s="411">
        <f t="shared" si="17"/>
        <v>323.64356672378244</v>
      </c>
      <c r="W51" s="411">
        <f t="shared" si="18"/>
        <v>322.64018969398296</v>
      </c>
      <c r="X51" s="411">
        <f t="shared" si="19"/>
        <v>163.63558143098689</v>
      </c>
      <c r="Y51" s="411">
        <f t="shared" si="20"/>
        <v>171.98304976789609</v>
      </c>
      <c r="Z51" s="411">
        <f t="shared" si="21"/>
        <v>323.64356672378244</v>
      </c>
      <c r="AA51" s="411">
        <f t="shared" si="22"/>
        <v>322.64018969398296</v>
      </c>
      <c r="AB51" s="411">
        <f t="shared" si="23"/>
        <v>163.63558143098689</v>
      </c>
      <c r="AC51" s="411">
        <f t="shared" si="24"/>
        <v>171.98304976789609</v>
      </c>
      <c r="AD51" s="411">
        <f t="shared" si="25"/>
        <v>323.64356672378244</v>
      </c>
      <c r="AE51" s="411">
        <f t="shared" si="26"/>
        <v>322.64018969398296</v>
      </c>
      <c r="AF51" s="411">
        <f t="shared" si="27"/>
        <v>171.48397605787667</v>
      </c>
      <c r="AG51" s="411">
        <f t="shared" si="28"/>
        <v>171.48397605787667</v>
      </c>
      <c r="AH51" s="411">
        <f t="shared" si="29"/>
        <v>323.64356672378244</v>
      </c>
      <c r="AI51" s="411">
        <f t="shared" si="30"/>
        <v>322.64018969398296</v>
      </c>
      <c r="AJ51" s="411">
        <f t="shared" si="31"/>
        <v>171.48397605787667</v>
      </c>
      <c r="AK51" s="411">
        <f t="shared" si="32"/>
        <v>171.48397605787667</v>
      </c>
      <c r="AL51" s="411">
        <f>IF($C51="",AH51,IF(AH50&gt;AH51,SUMPRODUCT(AH50:AH51,F50:F51)/SUM(F50:F51),AH51))</f>
        <v>323.64356672378244</v>
      </c>
      <c r="AM51" s="411">
        <f>IF($C51="",AI51,IF(AI50&gt;AI51,SUMPRODUCT(AI50:AI51,G50:G51)/SUM(G50:G51),AI51))</f>
        <v>322.64018969398296</v>
      </c>
      <c r="AN51" s="411">
        <f>IF($C51="",AJ51,IF(AJ50&gt;AJ51,SUMPRODUCT(AJ50:AJ51,H50:H51)/SUM(H50:H51),AJ51))</f>
        <v>171.48397605787667</v>
      </c>
      <c r="AO51" s="411">
        <f>IF($C51="",AK51,IF(AK50&gt;AK51,SUMPRODUCT(AK50:AK51,I50:I51)/SUM(I50:I51),AK51))</f>
        <v>171.48397605787667</v>
      </c>
      <c r="AP51" s="411">
        <f t="shared" si="33"/>
        <v>323.64356672378244</v>
      </c>
      <c r="AQ51" s="411">
        <f t="shared" si="34"/>
        <v>322.64018969398296</v>
      </c>
      <c r="AR51" s="411">
        <f t="shared" si="35"/>
        <v>171.48397605787667</v>
      </c>
      <c r="AS51" s="411">
        <f t="shared" si="36"/>
        <v>171.48397605787667</v>
      </c>
      <c r="AT51" s="227" t="str">
        <f t="shared" si="5"/>
        <v/>
      </c>
      <c r="AU51" s="227" t="str">
        <f t="shared" si="37"/>
        <v/>
      </c>
      <c r="AV51" s="227" t="str">
        <f t="shared" si="38"/>
        <v/>
      </c>
      <c r="AW51" s="227" t="str">
        <f t="shared" si="39"/>
        <v/>
      </c>
      <c r="AX51" s="227" t="str">
        <f t="shared" si="6"/>
        <v/>
      </c>
      <c r="AY51" s="311" t="str">
        <f t="shared" si="7"/>
        <v/>
      </c>
      <c r="AZ51" s="311">
        <f t="shared" si="8"/>
        <v>323.64356672378244</v>
      </c>
      <c r="BA51" s="311">
        <f t="shared" si="40"/>
        <v>322.64018969398296</v>
      </c>
      <c r="BB51" s="311">
        <f t="shared" si="9"/>
        <v>171.48397605787667</v>
      </c>
      <c r="BC51" s="311">
        <f t="shared" si="48"/>
        <v>171.48397605787667</v>
      </c>
      <c r="BD51" s="227" t="str">
        <f t="shared" si="41"/>
        <v/>
      </c>
      <c r="BE51" s="227" t="str">
        <f t="shared" si="42"/>
        <v/>
      </c>
      <c r="BF51" s="227" t="str">
        <f t="shared" si="43"/>
        <v/>
      </c>
      <c r="BG51" s="227" t="str">
        <f t="shared" si="44"/>
        <v/>
      </c>
      <c r="BH51" s="227" t="str">
        <f t="shared" si="45"/>
        <v/>
      </c>
      <c r="BI51" s="227" t="str">
        <f t="shared" si="46"/>
        <v/>
      </c>
      <c r="BJ51" s="226">
        <f t="shared" si="47"/>
        <v>10836703.018133834</v>
      </c>
      <c r="BK51" s="335"/>
    </row>
    <row r="52" spans="1:63">
      <c r="A52" s="231">
        <v>350</v>
      </c>
      <c r="B52" s="231" t="str">
        <f>VLOOKUP(A52,'201314 RC list'!A:B,2,FALSE)</f>
        <v>Infectious Diseases</v>
      </c>
      <c r="C52" s="231" t="str">
        <f>$A$52&amp;"&amp;"&amp;$A$53</f>
        <v>350&amp;256</v>
      </c>
      <c r="D52" s="310" t="str">
        <f t="shared" si="11"/>
        <v>A</v>
      </c>
      <c r="E52" s="231">
        <f>IF(ISERROR(VLOOKUP(A52,Mandatory!A:A,1,FALSE)),0,1)</f>
        <v>1</v>
      </c>
      <c r="F52" s="222">
        <f>VLOOKUP(A52,'Front-loading'!A:AG,$F$6,FALSE)</f>
        <v>1607</v>
      </c>
      <c r="G52" s="222">
        <f>VLOOKUP(A52,'Front-loading'!A:AG,$G$6,FALSE)</f>
        <v>20491</v>
      </c>
      <c r="H52" s="222">
        <f>VLOOKUP(A52,'Front-loading'!A:AG,$H$6,FALSE)</f>
        <v>4937</v>
      </c>
      <c r="I52" s="222">
        <f>VLOOKUP(A52,'Front-loading'!A:AG,$I$6,FALSE)</f>
        <v>70510</v>
      </c>
      <c r="J52" s="222">
        <f>VLOOKUP(A52,'Front-loading'!A:AG,$J$6,FALSE)</f>
        <v>385391.96111200401</v>
      </c>
      <c r="K52" s="222">
        <f>VLOOKUP(A52,'Front-loading'!A:AG,$K$6,FALSE)</f>
        <v>6286382.9411851922</v>
      </c>
      <c r="L52" s="222">
        <f>VLOOKUP(A52,'Front-loading'!A:AG,$L$6,FALSE)</f>
        <v>840658.43630442547</v>
      </c>
      <c r="M52" s="222">
        <f>VLOOKUP(A52,'Front-loading'!A:AG,$M$6,FALSE)</f>
        <v>13134348.494261792</v>
      </c>
      <c r="N52" s="223">
        <f t="shared" si="12"/>
        <v>239.82075987056876</v>
      </c>
      <c r="O52" s="223">
        <f t="shared" si="12"/>
        <v>306.78751360037052</v>
      </c>
      <c r="P52" s="223">
        <f t="shared" si="12"/>
        <v>170.27717972542544</v>
      </c>
      <c r="Q52" s="223">
        <f t="shared" si="12"/>
        <v>186.27639333799166</v>
      </c>
      <c r="R52" s="409">
        <f t="shared" si="13"/>
        <v>239.82075987056876</v>
      </c>
      <c r="S52" s="409">
        <f t="shared" si="14"/>
        <v>306.78751360037052</v>
      </c>
      <c r="T52" s="409">
        <f t="shared" si="15"/>
        <v>170.27717972542544</v>
      </c>
      <c r="U52" s="409">
        <f t="shared" si="16"/>
        <v>186.27639333799166</v>
      </c>
      <c r="V52" s="411">
        <f t="shared" si="17"/>
        <v>239.82075987056876</v>
      </c>
      <c r="W52" s="411">
        <f t="shared" si="18"/>
        <v>306.78751360037052</v>
      </c>
      <c r="X52" s="411">
        <f t="shared" si="19"/>
        <v>170.27717972542544</v>
      </c>
      <c r="Y52" s="411">
        <f t="shared" si="20"/>
        <v>186.27639333799166</v>
      </c>
      <c r="Z52" s="411">
        <f t="shared" si="21"/>
        <v>239.82075987056876</v>
      </c>
      <c r="AA52" s="411">
        <f t="shared" si="22"/>
        <v>306.78751360037052</v>
      </c>
      <c r="AB52" s="411">
        <f t="shared" si="23"/>
        <v>170.27717972542544</v>
      </c>
      <c r="AC52" s="411">
        <f t="shared" si="24"/>
        <v>186.27639333799166</v>
      </c>
      <c r="AD52" s="411">
        <f t="shared" si="25"/>
        <v>301.91758993108863</v>
      </c>
      <c r="AE52" s="411">
        <f t="shared" si="26"/>
        <v>301.91758993108863</v>
      </c>
      <c r="AF52" s="411">
        <f t="shared" si="27"/>
        <v>185.22945817018859</v>
      </c>
      <c r="AG52" s="411">
        <f t="shared" si="28"/>
        <v>185.22945817018859</v>
      </c>
      <c r="AH52" s="411">
        <f t="shared" si="29"/>
        <v>301.91758993108863</v>
      </c>
      <c r="AI52" s="411">
        <f t="shared" si="30"/>
        <v>301.91758993108863</v>
      </c>
      <c r="AJ52" s="411">
        <f t="shared" si="31"/>
        <v>185.22945817018859</v>
      </c>
      <c r="AK52" s="411">
        <f t="shared" si="32"/>
        <v>185.22945817018859</v>
      </c>
      <c r="AL52" s="411">
        <f>IF($C52="",AH52,IF(AH52&gt;AH53,SUMPRODUCT(AH52:AH53,F52:F53)/SUM(F52:F53),AH52))</f>
        <v>301.91758993108863</v>
      </c>
      <c r="AM52" s="411">
        <f>IF($C52="",AI52,IF(AI52&gt;AI53,SUMPRODUCT(AI52:AI53,G52:G53)/SUM(G52:G53),AI52))</f>
        <v>301.91758993108863</v>
      </c>
      <c r="AN52" s="411">
        <f>IF($C52="",AJ52,IF(AJ52&gt;AJ53,SUMPRODUCT(AJ52:AJ53,H52:H53)/SUM(H52:H53),AJ52))</f>
        <v>185.22945817018859</v>
      </c>
      <c r="AO52" s="411">
        <f>IF($C52="",AK52,IF(AK52&gt;AK53,SUMPRODUCT(AK52:AK53,I52:I53)/SUM(I52:I53),AK52))</f>
        <v>185.22945817018859</v>
      </c>
      <c r="AP52" s="411">
        <f t="shared" si="33"/>
        <v>301.91758993108863</v>
      </c>
      <c r="AQ52" s="411">
        <f t="shared" si="34"/>
        <v>301.91758993108863</v>
      </c>
      <c r="AR52" s="411">
        <f t="shared" si="35"/>
        <v>185.22945817018859</v>
      </c>
      <c r="AS52" s="411">
        <f t="shared" si="36"/>
        <v>185.22945817018859</v>
      </c>
      <c r="AT52" s="227" t="str">
        <f t="shared" si="5"/>
        <v/>
      </c>
      <c r="AU52" s="227" t="str">
        <f t="shared" si="37"/>
        <v/>
      </c>
      <c r="AV52" s="227" t="str">
        <f t="shared" si="38"/>
        <v/>
      </c>
      <c r="AW52" s="227" t="str">
        <f t="shared" si="39"/>
        <v/>
      </c>
      <c r="AX52" s="227" t="str">
        <f t="shared" si="6"/>
        <v/>
      </c>
      <c r="AY52" s="311" t="str">
        <f t="shared" si="7"/>
        <v/>
      </c>
      <c r="AZ52" s="311">
        <f t="shared" si="8"/>
        <v>301.91758993108863</v>
      </c>
      <c r="BA52" s="311">
        <f t="shared" si="40"/>
        <v>301.91758993108863</v>
      </c>
      <c r="BB52" s="311">
        <f t="shared" si="9"/>
        <v>185.22945817018859</v>
      </c>
      <c r="BC52" s="311">
        <f t="shared" si="48"/>
        <v>185.22945817018859</v>
      </c>
      <c r="BD52" s="227" t="str">
        <f t="shared" si="41"/>
        <v/>
      </c>
      <c r="BE52" s="227" t="str">
        <f t="shared" si="42"/>
        <v/>
      </c>
      <c r="BF52" s="227" t="str">
        <f t="shared" si="43"/>
        <v/>
      </c>
      <c r="BG52" s="227" t="str">
        <f t="shared" si="44"/>
        <v/>
      </c>
      <c r="BH52" s="227" t="str">
        <f t="shared" si="45"/>
        <v/>
      </c>
      <c r="BI52" s="227" t="str">
        <f t="shared" si="46"/>
        <v/>
      </c>
      <c r="BJ52" s="226">
        <f t="shared" si="47"/>
        <v>20646781.832863417</v>
      </c>
      <c r="BK52" s="335"/>
    </row>
    <row r="53" spans="1:63">
      <c r="A53" s="231">
        <v>256</v>
      </c>
      <c r="B53" s="231" t="str">
        <f>VLOOKUP(A53,'201314 RC list'!A:B,2,FALSE)</f>
        <v>Paediatric Infectious Diseases</v>
      </c>
      <c r="C53" s="231" t="str">
        <f>$A$52&amp;"&amp;"&amp;$A$53</f>
        <v>350&amp;256</v>
      </c>
      <c r="D53" s="310" t="str">
        <f t="shared" si="11"/>
        <v>C</v>
      </c>
      <c r="E53" s="231">
        <f>IF(ISERROR(VLOOKUP(A53,Mandatory!A:A,1,FALSE)),0,1)</f>
        <v>0</v>
      </c>
      <c r="F53" s="222">
        <f>VLOOKUP(A53,'Front-loading'!A:AG,$F$6,FALSE)</f>
        <v>36</v>
      </c>
      <c r="G53" s="222">
        <f>VLOOKUP(A53,'Front-loading'!A:AG,$G$6,FALSE)</f>
        <v>1184</v>
      </c>
      <c r="H53" s="222">
        <f>VLOOKUP(A53,'Front-loading'!A:AG,$H$6,FALSE)</f>
        <v>161</v>
      </c>
      <c r="I53" s="222">
        <f>VLOOKUP(A53,'Front-loading'!A:AG,$I$6,FALSE)</f>
        <v>4956</v>
      </c>
      <c r="J53" s="222">
        <f>VLOOKUP(A53,'Front-loading'!A:AG,$J$6,FALSE)</f>
        <v>4397.7516669079505</v>
      </c>
      <c r="K53" s="222">
        <f>VLOOKUP(A53,'Front-loading'!A:AG,$K$6,FALSE)</f>
        <v>471333.91643193364</v>
      </c>
      <c r="L53" s="222">
        <f>VLOOKUP(A53,'Front-loading'!A:AG,$L$6,FALSE)</f>
        <v>23378.513436574198</v>
      </c>
      <c r="M53" s="222">
        <f>VLOOKUP(A53,'Front-loading'!A:AG,$M$6,FALSE)</f>
        <v>1165499.4112755088</v>
      </c>
      <c r="N53" s="223">
        <f t="shared" si="12"/>
        <v>122.15976852522084</v>
      </c>
      <c r="O53" s="223">
        <f t="shared" si="12"/>
        <v>398.08607806751149</v>
      </c>
      <c r="P53" s="223">
        <f t="shared" si="12"/>
        <v>145.20815799114408</v>
      </c>
      <c r="Q53" s="223">
        <f t="shared" si="12"/>
        <v>235.16937273517127</v>
      </c>
      <c r="R53" s="409">
        <f t="shared" si="13"/>
        <v>140.99626956082307</v>
      </c>
      <c r="S53" s="409">
        <f t="shared" si="14"/>
        <v>398.08607806751149</v>
      </c>
      <c r="T53" s="409">
        <f t="shared" si="15"/>
        <v>140.99626956082307</v>
      </c>
      <c r="U53" s="409">
        <f t="shared" si="16"/>
        <v>235.16937273517127</v>
      </c>
      <c r="V53" s="411">
        <f t="shared" si="17"/>
        <v>140.99626956082307</v>
      </c>
      <c r="W53" s="411">
        <f t="shared" si="18"/>
        <v>398.08607806751149</v>
      </c>
      <c r="X53" s="411">
        <f t="shared" si="19"/>
        <v>140.99626956082307</v>
      </c>
      <c r="Y53" s="411">
        <f t="shared" si="20"/>
        <v>235.16937273517127</v>
      </c>
      <c r="Z53" s="411">
        <f t="shared" si="21"/>
        <v>140.99626956082307</v>
      </c>
      <c r="AA53" s="411">
        <f t="shared" si="22"/>
        <v>398.08607806751149</v>
      </c>
      <c r="AB53" s="411">
        <f t="shared" si="23"/>
        <v>140.99626956082307</v>
      </c>
      <c r="AC53" s="411">
        <f t="shared" si="24"/>
        <v>235.16937273517127</v>
      </c>
      <c r="AD53" s="411">
        <f t="shared" si="25"/>
        <v>390.4998214230518</v>
      </c>
      <c r="AE53" s="411">
        <f t="shared" si="26"/>
        <v>390.4998214230518</v>
      </c>
      <c r="AF53" s="411">
        <f t="shared" si="27"/>
        <v>232.20633392120408</v>
      </c>
      <c r="AG53" s="411">
        <f t="shared" si="28"/>
        <v>232.20633392120408</v>
      </c>
      <c r="AH53" s="411">
        <f t="shared" si="29"/>
        <v>390.4998214230518</v>
      </c>
      <c r="AI53" s="411">
        <f t="shared" si="30"/>
        <v>390.4998214230518</v>
      </c>
      <c r="AJ53" s="411">
        <f t="shared" si="31"/>
        <v>232.20633392120408</v>
      </c>
      <c r="AK53" s="411">
        <f t="shared" si="32"/>
        <v>232.20633392120408</v>
      </c>
      <c r="AL53" s="411">
        <f>IF($C53="",AH53,IF(AH52&gt;AH53,SUMPRODUCT(AH52:AH53,F52:F53)/SUM(F52:F53),AH53))</f>
        <v>390.4998214230518</v>
      </c>
      <c r="AM53" s="411">
        <f>IF($C53="",AI53,IF(AI52&gt;AI53,SUMPRODUCT(AI52:AI53,G52:G53)/SUM(G52:G53),AI53))</f>
        <v>390.4998214230518</v>
      </c>
      <c r="AN53" s="411">
        <f>IF($C53="",AJ53,IF(AJ52&gt;AJ53,SUMPRODUCT(AJ52:AJ53,H52:H53)/SUM(H52:H53),AJ53))</f>
        <v>232.20633392120408</v>
      </c>
      <c r="AO53" s="411">
        <f>IF($C53="",AK53,IF(AK52&gt;AK53,SUMPRODUCT(AK52:AK53,I52:I53)/SUM(I52:I53),AK53))</f>
        <v>232.20633392120408</v>
      </c>
      <c r="AP53" s="411">
        <f t="shared" si="33"/>
        <v>390.4998214230518</v>
      </c>
      <c r="AQ53" s="411">
        <f t="shared" si="34"/>
        <v>390.4998214230518</v>
      </c>
      <c r="AR53" s="411">
        <f t="shared" si="35"/>
        <v>232.20633392120408</v>
      </c>
      <c r="AS53" s="411">
        <f t="shared" si="36"/>
        <v>232.20633392120408</v>
      </c>
      <c r="AT53" s="227" t="str">
        <f t="shared" si="5"/>
        <v/>
      </c>
      <c r="AU53" s="227" t="str">
        <f t="shared" si="37"/>
        <v/>
      </c>
      <c r="AV53" s="227" t="str">
        <f t="shared" si="38"/>
        <v/>
      </c>
      <c r="AW53" s="227" t="str">
        <f t="shared" si="39"/>
        <v/>
      </c>
      <c r="AX53" s="227" t="str">
        <f t="shared" si="6"/>
        <v/>
      </c>
      <c r="AY53" s="311" t="str">
        <f t="shared" si="7"/>
        <v/>
      </c>
      <c r="AZ53" s="311">
        <f t="shared" si="8"/>
        <v>390.4998214230518</v>
      </c>
      <c r="BA53" s="311">
        <f t="shared" si="40"/>
        <v>390.4998214230518</v>
      </c>
      <c r="BB53" s="311">
        <f t="shared" si="9"/>
        <v>232.20633392120408</v>
      </c>
      <c r="BC53" s="311">
        <f t="shared" si="48"/>
        <v>232.20633392120408</v>
      </c>
      <c r="BD53" s="227" t="str">
        <f t="shared" si="41"/>
        <v/>
      </c>
      <c r="BE53" s="227" t="str">
        <f t="shared" si="42"/>
        <v/>
      </c>
      <c r="BF53" s="227" t="str">
        <f t="shared" si="43"/>
        <v/>
      </c>
      <c r="BG53" s="227" t="str">
        <f t="shared" si="44"/>
        <v/>
      </c>
      <c r="BH53" s="227" t="str">
        <f t="shared" si="45"/>
        <v/>
      </c>
      <c r="BI53" s="227" t="str">
        <f t="shared" si="46"/>
        <v/>
      </c>
      <c r="BJ53" s="226">
        <f t="shared" si="47"/>
        <v>1664609.5928109244</v>
      </c>
      <c r="BK53" s="335"/>
    </row>
    <row r="54" spans="1:63">
      <c r="A54" s="231">
        <v>361</v>
      </c>
      <c r="B54" s="231" t="str">
        <f>VLOOKUP(A54,'201314 RC list'!A:B,2,FALSE)</f>
        <v>Nephrology</v>
      </c>
      <c r="C54" s="231" t="str">
        <f>$A$54&amp;"&amp;"&amp;$A$55</f>
        <v>361&amp;259</v>
      </c>
      <c r="D54" s="310" t="str">
        <f t="shared" si="11"/>
        <v>A</v>
      </c>
      <c r="E54" s="231">
        <f>IF(ISERROR(VLOOKUP(A54,Mandatory!A:A,1,FALSE)),0,1)</f>
        <v>1</v>
      </c>
      <c r="F54" s="222">
        <f>VLOOKUP(A54,'Front-loading'!A:AG,$F$6,FALSE)</f>
        <v>2826</v>
      </c>
      <c r="G54" s="222">
        <f>VLOOKUP(A54,'Front-loading'!A:AG,$G$6,FALSE)</f>
        <v>85441</v>
      </c>
      <c r="H54" s="222">
        <f>VLOOKUP(A54,'Front-loading'!A:AG,$H$6,FALSE)</f>
        <v>24412</v>
      </c>
      <c r="I54" s="222">
        <f>VLOOKUP(A54,'Front-loading'!A:AG,$I$6,FALSE)</f>
        <v>655290</v>
      </c>
      <c r="J54" s="222">
        <f>VLOOKUP(A54,'Front-loading'!A:AG,$J$6,FALSE)</f>
        <v>947865.15281882614</v>
      </c>
      <c r="K54" s="222">
        <f>VLOOKUP(A54,'Front-loading'!A:AG,$K$6,FALSE)</f>
        <v>21750736.535733134</v>
      </c>
      <c r="L54" s="222">
        <f>VLOOKUP(A54,'Front-loading'!A:AG,$L$6,FALSE)</f>
        <v>3914840.8137719599</v>
      </c>
      <c r="M54" s="222">
        <f>VLOOKUP(A54,'Front-loading'!A:AG,$M$6,FALSE)</f>
        <v>77865880.025976002</v>
      </c>
      <c r="N54" s="223">
        <f t="shared" si="12"/>
        <v>335.40875895924489</v>
      </c>
      <c r="O54" s="223">
        <f t="shared" si="12"/>
        <v>254.57024772337792</v>
      </c>
      <c r="P54" s="223">
        <f t="shared" si="12"/>
        <v>160.36542740340653</v>
      </c>
      <c r="Q54" s="223">
        <f t="shared" si="12"/>
        <v>118.82659589796273</v>
      </c>
      <c r="R54" s="409">
        <f t="shared" si="13"/>
        <v>335.40875895924489</v>
      </c>
      <c r="S54" s="409">
        <f t="shared" si="14"/>
        <v>254.57024772337792</v>
      </c>
      <c r="T54" s="409">
        <f t="shared" si="15"/>
        <v>160.36542740340653</v>
      </c>
      <c r="U54" s="409">
        <f t="shared" si="16"/>
        <v>118.82659589796273</v>
      </c>
      <c r="V54" s="411">
        <f t="shared" si="17"/>
        <v>335.40875895924489</v>
      </c>
      <c r="W54" s="411">
        <f t="shared" si="18"/>
        <v>254.57024772337792</v>
      </c>
      <c r="X54" s="411">
        <f t="shared" si="19"/>
        <v>160.36542740340653</v>
      </c>
      <c r="Y54" s="411">
        <f t="shared" si="20"/>
        <v>118.82659589796273</v>
      </c>
      <c r="Z54" s="411">
        <f t="shared" si="21"/>
        <v>335.40875895924489</v>
      </c>
      <c r="AA54" s="411">
        <f t="shared" si="22"/>
        <v>254.57024772337792</v>
      </c>
      <c r="AB54" s="411">
        <f t="shared" si="23"/>
        <v>160.36542740340653</v>
      </c>
      <c r="AC54" s="411">
        <f t="shared" si="24"/>
        <v>118.82659589796273</v>
      </c>
      <c r="AD54" s="411">
        <f t="shared" si="25"/>
        <v>335.40875895924489</v>
      </c>
      <c r="AE54" s="411">
        <f t="shared" si="26"/>
        <v>254.57024772337792</v>
      </c>
      <c r="AF54" s="411">
        <f t="shared" si="27"/>
        <v>160.36542740340653</v>
      </c>
      <c r="AG54" s="411">
        <f t="shared" si="28"/>
        <v>118.82659589796273</v>
      </c>
      <c r="AH54" s="411">
        <f t="shared" si="29"/>
        <v>335.40875895924489</v>
      </c>
      <c r="AI54" s="411">
        <f t="shared" si="30"/>
        <v>254.57024772337792</v>
      </c>
      <c r="AJ54" s="411">
        <f t="shared" si="31"/>
        <v>160.36542740340653</v>
      </c>
      <c r="AK54" s="411">
        <f t="shared" si="32"/>
        <v>118.82659589796273</v>
      </c>
      <c r="AL54" s="411">
        <f>IF($C54="",AH54,IF(AH54&gt;AH55,SUMPRODUCT(AH54:AH55,F54:F55)/SUM(F54:F55),AH54))</f>
        <v>335.40875895924489</v>
      </c>
      <c r="AM54" s="411">
        <f>IF($C54="",AI54,IF(AI54&gt;AI55,SUMPRODUCT(AI54:AI55,G54:G55)/SUM(G54:G55),AI54))</f>
        <v>254.57024772337792</v>
      </c>
      <c r="AN54" s="411">
        <f>IF($C54="",AJ54,IF(AJ54&gt;AJ55,SUMPRODUCT(AJ54:AJ55,H54:H55)/SUM(H54:H55),AJ54))</f>
        <v>160.36542740340653</v>
      </c>
      <c r="AO54" s="411">
        <f>IF($C54="",AK54,IF(AK54&gt;AK55,SUMPRODUCT(AK54:AK55,I54:I55)/SUM(I54:I55),AK54))</f>
        <v>118.82659589796273</v>
      </c>
      <c r="AP54" s="411">
        <f t="shared" si="33"/>
        <v>335.40875895924489</v>
      </c>
      <c r="AQ54" s="411">
        <f t="shared" si="34"/>
        <v>254.57024772337792</v>
      </c>
      <c r="AR54" s="411">
        <f t="shared" si="35"/>
        <v>160.36542740340653</v>
      </c>
      <c r="AS54" s="411">
        <f t="shared" si="36"/>
        <v>118.82659589796273</v>
      </c>
      <c r="AT54" s="227" t="str">
        <f t="shared" si="5"/>
        <v/>
      </c>
      <c r="AU54" s="227" t="str">
        <f t="shared" si="37"/>
        <v/>
      </c>
      <c r="AV54" s="227" t="str">
        <f t="shared" si="38"/>
        <v/>
      </c>
      <c r="AW54" s="227" t="str">
        <f t="shared" si="39"/>
        <v/>
      </c>
      <c r="AX54" s="227" t="str">
        <f t="shared" si="6"/>
        <v/>
      </c>
      <c r="AY54" s="311" t="str">
        <f t="shared" si="7"/>
        <v/>
      </c>
      <c r="AZ54" s="311">
        <f t="shared" si="8"/>
        <v>335.40875895924489</v>
      </c>
      <c r="BA54" s="311">
        <f t="shared" si="40"/>
        <v>254.57024772337792</v>
      </c>
      <c r="BB54" s="311">
        <f t="shared" si="9"/>
        <v>160.36542740340653</v>
      </c>
      <c r="BC54" s="311">
        <f t="shared" si="48"/>
        <v>118.82659589796273</v>
      </c>
      <c r="BD54" s="227" t="str">
        <f t="shared" si="41"/>
        <v/>
      </c>
      <c r="BE54" s="227" t="str">
        <f t="shared" si="42"/>
        <v/>
      </c>
      <c r="BF54" s="227" t="str">
        <f t="shared" si="43"/>
        <v/>
      </c>
      <c r="BG54" s="227" t="str">
        <f t="shared" si="44"/>
        <v/>
      </c>
      <c r="BH54" s="227" t="str">
        <f t="shared" si="45"/>
        <v/>
      </c>
      <c r="BI54" s="227" t="str">
        <f t="shared" si="46"/>
        <v/>
      </c>
      <c r="BJ54" s="226">
        <f t="shared" si="47"/>
        <v>104479322.52829993</v>
      </c>
      <c r="BK54" s="335"/>
    </row>
    <row r="55" spans="1:63">
      <c r="A55" s="231">
        <v>259</v>
      </c>
      <c r="B55" s="231" t="str">
        <f>VLOOKUP(A55,'201314 RC list'!A:B,2,FALSE)</f>
        <v>Paediatric Nephrology</v>
      </c>
      <c r="C55" s="231" t="str">
        <f>$A$54&amp;"&amp;"&amp;$A$55</f>
        <v>361&amp;259</v>
      </c>
      <c r="D55" s="310" t="str">
        <f t="shared" si="11"/>
        <v>C</v>
      </c>
      <c r="E55" s="231">
        <f>IF(ISERROR(VLOOKUP(A55,Mandatory!A:A,1,FALSE)),0,1)</f>
        <v>0</v>
      </c>
      <c r="F55" s="222">
        <f>VLOOKUP(A55,'Front-loading'!A:AG,$F$6,FALSE)</f>
        <v>432</v>
      </c>
      <c r="G55" s="222">
        <f>VLOOKUP(A55,'Front-loading'!A:AG,$G$6,FALSE)</f>
        <v>5185</v>
      </c>
      <c r="H55" s="222">
        <f>VLOOKUP(A55,'Front-loading'!A:AG,$H$6,FALSE)</f>
        <v>4080</v>
      </c>
      <c r="I55" s="222">
        <f>VLOOKUP(A55,'Front-loading'!A:AG,$I$6,FALSE)</f>
        <v>32282</v>
      </c>
      <c r="J55" s="222">
        <f>VLOOKUP(A55,'Front-loading'!A:AG,$J$6,FALSE)</f>
        <v>56717.102639807403</v>
      </c>
      <c r="K55" s="222">
        <f>VLOOKUP(A55,'Front-loading'!A:AG,$K$6,FALSE)</f>
        <v>2046519.5379362488</v>
      </c>
      <c r="L55" s="222">
        <f>VLOOKUP(A55,'Front-loading'!A:AG,$L$6,FALSE)</f>
        <v>616879.5119188698</v>
      </c>
      <c r="M55" s="222">
        <f>VLOOKUP(A55,'Front-loading'!A:AG,$M$6,FALSE)</f>
        <v>6414212.3480035504</v>
      </c>
      <c r="N55" s="223">
        <f t="shared" si="12"/>
        <v>131.28958944399861</v>
      </c>
      <c r="O55" s="223">
        <f t="shared" si="12"/>
        <v>394.70000731653784</v>
      </c>
      <c r="P55" s="223">
        <f t="shared" si="12"/>
        <v>151.19595880364457</v>
      </c>
      <c r="Q55" s="223">
        <f t="shared" si="12"/>
        <v>198.69315246897807</v>
      </c>
      <c r="R55" s="409">
        <f t="shared" si="13"/>
        <v>131.28958944399861</v>
      </c>
      <c r="S55" s="409">
        <f t="shared" si="14"/>
        <v>394.70000731653784</v>
      </c>
      <c r="T55" s="409">
        <f t="shared" si="15"/>
        <v>151.19595880364457</v>
      </c>
      <c r="U55" s="409">
        <f t="shared" si="16"/>
        <v>198.69315246897807</v>
      </c>
      <c r="V55" s="411">
        <f t="shared" si="17"/>
        <v>131.28958944399861</v>
      </c>
      <c r="W55" s="411">
        <f t="shared" si="18"/>
        <v>394.70000731653784</v>
      </c>
      <c r="X55" s="411">
        <f t="shared" si="19"/>
        <v>151.19595880364457</v>
      </c>
      <c r="Y55" s="411">
        <f t="shared" si="20"/>
        <v>198.69315246897807</v>
      </c>
      <c r="Z55" s="411">
        <f t="shared" si="21"/>
        <v>149.29002982240186</v>
      </c>
      <c r="AA55" s="411">
        <f t="shared" si="22"/>
        <v>394.70000731653784</v>
      </c>
      <c r="AB55" s="411">
        <f t="shared" si="23"/>
        <v>149.29002982240186</v>
      </c>
      <c r="AC55" s="411">
        <f t="shared" si="24"/>
        <v>198.69315246897807</v>
      </c>
      <c r="AD55" s="411">
        <f t="shared" si="25"/>
        <v>375.82567755377005</v>
      </c>
      <c r="AE55" s="411">
        <f t="shared" si="26"/>
        <v>375.82567755377005</v>
      </c>
      <c r="AF55" s="411">
        <f t="shared" si="27"/>
        <v>193.14987266044085</v>
      </c>
      <c r="AG55" s="411">
        <f t="shared" si="28"/>
        <v>193.14987266044085</v>
      </c>
      <c r="AH55" s="411">
        <f t="shared" si="29"/>
        <v>375.82567755377005</v>
      </c>
      <c r="AI55" s="411">
        <f t="shared" si="30"/>
        <v>375.82567755377005</v>
      </c>
      <c r="AJ55" s="411">
        <f t="shared" si="31"/>
        <v>193.14987266044085</v>
      </c>
      <c r="AK55" s="411">
        <f t="shared" si="32"/>
        <v>193.14987266044085</v>
      </c>
      <c r="AL55" s="411">
        <f>IF($C55="",AH55,IF(AH54&gt;AH55,SUMPRODUCT(AH54:AH55,F54:F55)/SUM(F54:F55),AH55))</f>
        <v>375.82567755377005</v>
      </c>
      <c r="AM55" s="411">
        <f>IF($C55="",AI55,IF(AI54&gt;AI55,SUMPRODUCT(AI54:AI55,G54:G55)/SUM(G54:G55),AI55))</f>
        <v>375.82567755377005</v>
      </c>
      <c r="AN55" s="411">
        <f>IF($C55="",AJ55,IF(AJ54&gt;AJ55,SUMPRODUCT(AJ54:AJ55,H54:H55)/SUM(H54:H55),AJ55))</f>
        <v>193.14987266044085</v>
      </c>
      <c r="AO55" s="411">
        <f>IF($C55="",AK55,IF(AK54&gt;AK55,SUMPRODUCT(AK54:AK55,I54:I55)/SUM(I54:I55),AK55))</f>
        <v>193.14987266044085</v>
      </c>
      <c r="AP55" s="411">
        <f t="shared" si="33"/>
        <v>375.82567755377005</v>
      </c>
      <c r="AQ55" s="411">
        <f t="shared" si="34"/>
        <v>375.82567755377005</v>
      </c>
      <c r="AR55" s="411">
        <f t="shared" si="35"/>
        <v>193.14987266044085</v>
      </c>
      <c r="AS55" s="411">
        <f t="shared" si="36"/>
        <v>193.14987266044085</v>
      </c>
      <c r="AT55" s="227" t="str">
        <f t="shared" si="5"/>
        <v/>
      </c>
      <c r="AU55" s="227" t="str">
        <f t="shared" si="37"/>
        <v/>
      </c>
      <c r="AV55" s="227" t="str">
        <f t="shared" si="38"/>
        <v/>
      </c>
      <c r="AW55" s="227" t="str">
        <f t="shared" si="39"/>
        <v/>
      </c>
      <c r="AX55" s="227" t="str">
        <f t="shared" si="6"/>
        <v/>
      </c>
      <c r="AY55" s="311" t="str">
        <f t="shared" si="7"/>
        <v/>
      </c>
      <c r="AZ55" s="311">
        <f t="shared" si="8"/>
        <v>375.82567755377005</v>
      </c>
      <c r="BA55" s="311">
        <f t="shared" si="40"/>
        <v>375.82567755377005</v>
      </c>
      <c r="BB55" s="311">
        <f t="shared" si="9"/>
        <v>193.14987266044085</v>
      </c>
      <c r="BC55" s="311">
        <f t="shared" si="48"/>
        <v>193.14987266044085</v>
      </c>
      <c r="BD55" s="227" t="str">
        <f t="shared" si="41"/>
        <v/>
      </c>
      <c r="BE55" s="227" t="str">
        <f t="shared" si="42"/>
        <v/>
      </c>
      <c r="BF55" s="227" t="str">
        <f t="shared" si="43"/>
        <v/>
      </c>
      <c r="BG55" s="227" t="str">
        <f t="shared" si="44"/>
        <v/>
      </c>
      <c r="BH55" s="227" t="str">
        <f t="shared" si="45"/>
        <v/>
      </c>
      <c r="BI55" s="227" t="str">
        <f t="shared" si="46"/>
        <v/>
      </c>
      <c r="BJ55" s="226">
        <f t="shared" si="47"/>
        <v>9134328.5004984755</v>
      </c>
      <c r="BK55" s="335"/>
    </row>
    <row r="56" spans="1:63">
      <c r="A56" s="231">
        <v>370</v>
      </c>
      <c r="B56" s="231" t="str">
        <f>VLOOKUP(A56,'201314 RC list'!A:B,2,FALSE)</f>
        <v>Medical Oncology</v>
      </c>
      <c r="C56" s="231" t="str">
        <f>$A$56&amp;"&amp;"&amp;$A$57</f>
        <v>370&amp;260</v>
      </c>
      <c r="D56" s="310" t="str">
        <f t="shared" si="11"/>
        <v>A</v>
      </c>
      <c r="E56" s="231">
        <f>IF(ISERROR(VLOOKUP(A56,Mandatory!A:A,1,FALSE)),0,1)</f>
        <v>1</v>
      </c>
      <c r="F56" s="222">
        <f>VLOOKUP(A56,'Front-loading'!A:AG,$F$6,FALSE)</f>
        <v>6719</v>
      </c>
      <c r="G56" s="222">
        <f>VLOOKUP(A56,'Front-loading'!A:AG,$G$6,FALSE)</f>
        <v>88223</v>
      </c>
      <c r="H56" s="222">
        <f>VLOOKUP(A56,'Front-loading'!A:AG,$H$6,FALSE)</f>
        <v>43661</v>
      </c>
      <c r="I56" s="222">
        <f>VLOOKUP(A56,'Front-loading'!A:AG,$I$6,FALSE)</f>
        <v>692420</v>
      </c>
      <c r="J56" s="222">
        <f>VLOOKUP(A56,'Front-loading'!A:AG,$J$6,FALSE)</f>
        <v>1938790.3113210462</v>
      </c>
      <c r="K56" s="222">
        <f>VLOOKUP(A56,'Front-loading'!A:AG,$K$6,FALSE)</f>
        <v>21761631.514672991</v>
      </c>
      <c r="L56" s="222">
        <f>VLOOKUP(A56,'Front-loading'!A:AG,$L$6,FALSE)</f>
        <v>6644757.8234655485</v>
      </c>
      <c r="M56" s="222">
        <f>VLOOKUP(A56,'Front-loading'!A:AG,$M$6,FALSE)</f>
        <v>80325437.856265381</v>
      </c>
      <c r="N56" s="223">
        <f t="shared" si="12"/>
        <v>288.55340248862126</v>
      </c>
      <c r="O56" s="223">
        <f t="shared" si="12"/>
        <v>246.66619265580394</v>
      </c>
      <c r="P56" s="223">
        <f t="shared" si="12"/>
        <v>152.1897763098772</v>
      </c>
      <c r="Q56" s="223">
        <f t="shared" si="12"/>
        <v>116.00681357595879</v>
      </c>
      <c r="R56" s="409">
        <f t="shared" si="13"/>
        <v>288.55340248862126</v>
      </c>
      <c r="S56" s="409">
        <f t="shared" si="14"/>
        <v>246.66619265580394</v>
      </c>
      <c r="T56" s="409">
        <f t="shared" si="15"/>
        <v>152.1897763098772</v>
      </c>
      <c r="U56" s="409">
        <f t="shared" si="16"/>
        <v>116.00681357595879</v>
      </c>
      <c r="V56" s="411">
        <f t="shared" si="17"/>
        <v>288.55340248862126</v>
      </c>
      <c r="W56" s="411">
        <f t="shared" si="18"/>
        <v>246.66619265580394</v>
      </c>
      <c r="X56" s="411">
        <f t="shared" si="19"/>
        <v>152.1897763098772</v>
      </c>
      <c r="Y56" s="411">
        <f t="shared" si="20"/>
        <v>116.00681357595879</v>
      </c>
      <c r="Z56" s="411">
        <f t="shared" si="21"/>
        <v>288.55340248862126</v>
      </c>
      <c r="AA56" s="411">
        <f t="shared" si="22"/>
        <v>246.66619265580394</v>
      </c>
      <c r="AB56" s="411">
        <f t="shared" si="23"/>
        <v>152.1897763098772</v>
      </c>
      <c r="AC56" s="411">
        <f t="shared" si="24"/>
        <v>116.00681357595879</v>
      </c>
      <c r="AD56" s="411">
        <f t="shared" si="25"/>
        <v>288.55340248862126</v>
      </c>
      <c r="AE56" s="411">
        <f t="shared" si="26"/>
        <v>246.66619265580394</v>
      </c>
      <c r="AF56" s="411">
        <f t="shared" si="27"/>
        <v>152.1897763098772</v>
      </c>
      <c r="AG56" s="411">
        <f t="shared" si="28"/>
        <v>116.00681357595879</v>
      </c>
      <c r="AH56" s="411">
        <f t="shared" si="29"/>
        <v>288.55340248862126</v>
      </c>
      <c r="AI56" s="411">
        <f t="shared" si="30"/>
        <v>246.66619265580394</v>
      </c>
      <c r="AJ56" s="411">
        <f t="shared" si="31"/>
        <v>152.1897763098772</v>
      </c>
      <c r="AK56" s="411">
        <f t="shared" si="32"/>
        <v>116.00681357595879</v>
      </c>
      <c r="AL56" s="411">
        <f>IF($C56="",AH56,IF(AH56&gt;AH57,SUMPRODUCT(AH56:AH57,F56:F57)/SUM(F56:F57),AH56))</f>
        <v>288.55340248862126</v>
      </c>
      <c r="AM56" s="411">
        <f>IF($C56="",AI56,IF(AI56&gt;AI57,SUMPRODUCT(AI56:AI57,G56:G57)/SUM(G56:G57),AI56))</f>
        <v>246.66619265580394</v>
      </c>
      <c r="AN56" s="411">
        <f>IF($C56="",AJ56,IF(AJ56&gt;AJ57,SUMPRODUCT(AJ56:AJ57,H56:H57)/SUM(H56:H57),AJ56))</f>
        <v>152.1897763098772</v>
      </c>
      <c r="AO56" s="411">
        <f>IF($C56="",AK56,IF(AK56&gt;AK57,SUMPRODUCT(AK56:AK57,I56:I57)/SUM(I56:I57),AK56))</f>
        <v>116.00681357595879</v>
      </c>
      <c r="AP56" s="411">
        <f t="shared" si="33"/>
        <v>288.55340248862126</v>
      </c>
      <c r="AQ56" s="411">
        <f t="shared" si="34"/>
        <v>246.66619265580394</v>
      </c>
      <c r="AR56" s="411">
        <f t="shared" si="35"/>
        <v>152.1897763098772</v>
      </c>
      <c r="AS56" s="411">
        <f t="shared" si="36"/>
        <v>116.00681357595879</v>
      </c>
      <c r="AT56" s="227" t="str">
        <f t="shared" si="5"/>
        <v/>
      </c>
      <c r="AU56" s="227" t="str">
        <f t="shared" si="37"/>
        <v/>
      </c>
      <c r="AV56" s="227" t="str">
        <f t="shared" si="38"/>
        <v/>
      </c>
      <c r="AW56" s="227" t="str">
        <f t="shared" si="39"/>
        <v/>
      </c>
      <c r="AX56" s="227" t="str">
        <f t="shared" si="6"/>
        <v/>
      </c>
      <c r="AY56" s="311" t="str">
        <f t="shared" si="7"/>
        <v/>
      </c>
      <c r="AZ56" s="311">
        <f t="shared" si="8"/>
        <v>288.55340248862126</v>
      </c>
      <c r="BA56" s="311">
        <f t="shared" si="40"/>
        <v>246.66619265580394</v>
      </c>
      <c r="BB56" s="311">
        <f t="shared" si="9"/>
        <v>152.1897763098772</v>
      </c>
      <c r="BC56" s="311">
        <f t="shared" si="48"/>
        <v>116.00681357595879</v>
      </c>
      <c r="BD56" s="227" t="str">
        <f t="shared" si="41"/>
        <v/>
      </c>
      <c r="BE56" s="227" t="str">
        <f t="shared" si="42"/>
        <v/>
      </c>
      <c r="BF56" s="227" t="str">
        <f t="shared" si="43"/>
        <v/>
      </c>
      <c r="BG56" s="227" t="str">
        <f t="shared" si="44"/>
        <v/>
      </c>
      <c r="BH56" s="227" t="str">
        <f t="shared" si="45"/>
        <v/>
      </c>
      <c r="BI56" s="227" t="str">
        <f t="shared" si="46"/>
        <v/>
      </c>
      <c r="BJ56" s="226">
        <f t="shared" si="47"/>
        <v>110670617.50572497</v>
      </c>
      <c r="BK56" s="335"/>
    </row>
    <row r="57" spans="1:63">
      <c r="A57" s="231">
        <v>260</v>
      </c>
      <c r="B57" s="231" t="str">
        <f>VLOOKUP(A57,'201314 RC list'!A:B,2,FALSE)</f>
        <v>Paediatric Medical Oncology</v>
      </c>
      <c r="C57" s="231" t="str">
        <f>$A$56&amp;"&amp;"&amp;$A$57</f>
        <v>370&amp;260</v>
      </c>
      <c r="D57" s="310" t="str">
        <f t="shared" si="11"/>
        <v>C</v>
      </c>
      <c r="E57" s="231">
        <f>IF(ISERROR(VLOOKUP(A57,Mandatory!A:A,1,FALSE)),0,1)</f>
        <v>0</v>
      </c>
      <c r="F57" s="222">
        <f>VLOOKUP(A57,'Front-loading'!A:AG,$F$6,FALSE)</f>
        <v>179</v>
      </c>
      <c r="G57" s="222">
        <f>VLOOKUP(A57,'Front-loading'!A:AG,$G$6,FALSE)</f>
        <v>2520</v>
      </c>
      <c r="H57" s="222">
        <f>VLOOKUP(A57,'Front-loading'!A:AG,$H$6,FALSE)</f>
        <v>1988</v>
      </c>
      <c r="I57" s="222">
        <f>VLOOKUP(A57,'Front-loading'!A:AG,$I$6,FALSE)</f>
        <v>35710</v>
      </c>
      <c r="J57" s="222">
        <f>VLOOKUP(A57,'Front-loading'!A:AG,$J$6,FALSE)</f>
        <v>82322.075934745531</v>
      </c>
      <c r="K57" s="222">
        <f>VLOOKUP(A57,'Front-loading'!A:AG,$K$6,FALSE)</f>
        <v>1322944.313535972</v>
      </c>
      <c r="L57" s="222">
        <f>VLOOKUP(A57,'Front-loading'!A:AG,$L$6,FALSE)</f>
        <v>451935.16540920886</v>
      </c>
      <c r="M57" s="222">
        <f>VLOOKUP(A57,'Front-loading'!A:AG,$M$6,FALSE)</f>
        <v>7887981.3549147993</v>
      </c>
      <c r="N57" s="223">
        <f t="shared" si="12"/>
        <v>459.8998655572376</v>
      </c>
      <c r="O57" s="223">
        <f t="shared" si="12"/>
        <v>524.97790219681428</v>
      </c>
      <c r="P57" s="223">
        <f t="shared" si="12"/>
        <v>227.33157213742899</v>
      </c>
      <c r="Q57" s="223">
        <f t="shared" si="12"/>
        <v>220.88998473578266</v>
      </c>
      <c r="R57" s="409">
        <f t="shared" si="13"/>
        <v>459.8998655572376</v>
      </c>
      <c r="S57" s="409">
        <f t="shared" si="14"/>
        <v>524.97790219681428</v>
      </c>
      <c r="T57" s="409">
        <f t="shared" si="15"/>
        <v>227.33157213742899</v>
      </c>
      <c r="U57" s="409">
        <f t="shared" si="16"/>
        <v>220.88998473578266</v>
      </c>
      <c r="V57" s="411">
        <f t="shared" si="17"/>
        <v>459.8998655572376</v>
      </c>
      <c r="W57" s="411">
        <f t="shared" si="18"/>
        <v>524.97790219681428</v>
      </c>
      <c r="X57" s="411">
        <f t="shared" si="19"/>
        <v>227.33157213742899</v>
      </c>
      <c r="Y57" s="411">
        <f t="shared" si="20"/>
        <v>220.88998473578266</v>
      </c>
      <c r="Z57" s="411">
        <f t="shared" si="21"/>
        <v>459.8998655572376</v>
      </c>
      <c r="AA57" s="411">
        <f t="shared" si="22"/>
        <v>524.97790219681428</v>
      </c>
      <c r="AB57" s="411">
        <f t="shared" si="23"/>
        <v>227.33157213742899</v>
      </c>
      <c r="AC57" s="411">
        <f t="shared" si="24"/>
        <v>220.88998473578266</v>
      </c>
      <c r="AD57" s="411">
        <f t="shared" si="25"/>
        <v>520.6618708672537</v>
      </c>
      <c r="AE57" s="411">
        <f t="shared" si="26"/>
        <v>520.6618708672537</v>
      </c>
      <c r="AF57" s="411">
        <f t="shared" si="27"/>
        <v>227.33157213742899</v>
      </c>
      <c r="AG57" s="411">
        <f t="shared" si="28"/>
        <v>220.88998473578266</v>
      </c>
      <c r="AH57" s="411">
        <f t="shared" si="29"/>
        <v>520.6618708672537</v>
      </c>
      <c r="AI57" s="411">
        <f t="shared" si="30"/>
        <v>520.6618708672537</v>
      </c>
      <c r="AJ57" s="411">
        <f t="shared" si="31"/>
        <v>227.33157213742899</v>
      </c>
      <c r="AK57" s="411">
        <f t="shared" si="32"/>
        <v>220.88998473578266</v>
      </c>
      <c r="AL57" s="411">
        <f>IF($C57="",AH57,IF(AH56&gt;AH57,SUMPRODUCT(AH56:AH57,F56:F57)/SUM(F56:F57),AH57))</f>
        <v>520.6618708672537</v>
      </c>
      <c r="AM57" s="411">
        <f>IF($C57="",AI57,IF(AI56&gt;AI57,SUMPRODUCT(AI56:AI57,G56:G57)/SUM(G56:G57),AI57))</f>
        <v>520.6618708672537</v>
      </c>
      <c r="AN57" s="411">
        <f>IF($C57="",AJ57,IF(AJ56&gt;AJ57,SUMPRODUCT(AJ56:AJ57,H56:H57)/SUM(H56:H57),AJ57))</f>
        <v>227.33157213742899</v>
      </c>
      <c r="AO57" s="411">
        <f>IF($C57="",AK57,IF(AK56&gt;AK57,SUMPRODUCT(AK56:AK57,I56:I57)/SUM(I56:I57),AK57))</f>
        <v>220.88998473578266</v>
      </c>
      <c r="AP57" s="411">
        <f t="shared" si="33"/>
        <v>520.6618708672537</v>
      </c>
      <c r="AQ57" s="411">
        <f t="shared" si="34"/>
        <v>520.6618708672537</v>
      </c>
      <c r="AR57" s="411">
        <f t="shared" si="35"/>
        <v>227.33157213742899</v>
      </c>
      <c r="AS57" s="411">
        <f t="shared" si="36"/>
        <v>220.88998473578266</v>
      </c>
      <c r="AT57" s="227" t="str">
        <f t="shared" si="5"/>
        <v/>
      </c>
      <c r="AU57" s="227" t="str">
        <f t="shared" si="37"/>
        <v/>
      </c>
      <c r="AV57" s="227" t="str">
        <f t="shared" si="38"/>
        <v/>
      </c>
      <c r="AW57" s="227" t="str">
        <f t="shared" si="39"/>
        <v/>
      </c>
      <c r="AX57" s="227" t="str">
        <f t="shared" si="6"/>
        <v/>
      </c>
      <c r="AY57" s="311" t="str">
        <f t="shared" si="7"/>
        <v/>
      </c>
      <c r="AZ57" s="311">
        <f t="shared" si="8"/>
        <v>520.6618708672537</v>
      </c>
      <c r="BA57" s="311">
        <f t="shared" si="40"/>
        <v>520.6618708672537</v>
      </c>
      <c r="BB57" s="311">
        <f t="shared" si="9"/>
        <v>227.33157213742899</v>
      </c>
      <c r="BC57" s="311">
        <f t="shared" si="48"/>
        <v>220.88998473578266</v>
      </c>
      <c r="BD57" s="227" t="str">
        <f t="shared" si="41"/>
        <v/>
      </c>
      <c r="BE57" s="227" t="str">
        <f t="shared" si="42"/>
        <v/>
      </c>
      <c r="BF57" s="227" t="str">
        <f t="shared" si="43"/>
        <v/>
      </c>
      <c r="BG57" s="227" t="str">
        <f t="shared" si="44"/>
        <v/>
      </c>
      <c r="BH57" s="227" t="str">
        <f t="shared" si="45"/>
        <v/>
      </c>
      <c r="BI57" s="227" t="str">
        <f t="shared" si="46"/>
        <v/>
      </c>
      <c r="BJ57" s="226">
        <f t="shared" si="47"/>
        <v>9745182.9097947255</v>
      </c>
      <c r="BK57" s="335"/>
    </row>
    <row r="58" spans="1:63">
      <c r="A58" s="231">
        <v>400</v>
      </c>
      <c r="B58" s="231" t="str">
        <f>VLOOKUP(A58,'201314 RC list'!A:B,2,FALSE)</f>
        <v>Neurology</v>
      </c>
      <c r="C58" s="231" t="str">
        <f>$A$58&amp;"&amp;"&amp;$A$59</f>
        <v>400&amp;421</v>
      </c>
      <c r="D58" s="310" t="str">
        <f t="shared" si="11"/>
        <v>A</v>
      </c>
      <c r="E58" s="231">
        <f>IF(ISERROR(VLOOKUP(A58,Mandatory!A:A,1,FALSE)),0,1)</f>
        <v>1</v>
      </c>
      <c r="F58" s="222">
        <f>VLOOKUP(A58,'Front-loading'!A:AG,$F$6,FALSE)</f>
        <v>3311</v>
      </c>
      <c r="G58" s="222">
        <f>VLOOKUP(A58,'Front-loading'!A:AG,$G$6,FALSE)</f>
        <v>421554</v>
      </c>
      <c r="H58" s="222">
        <f>VLOOKUP(A58,'Front-loading'!A:AG,$H$6,FALSE)</f>
        <v>7997</v>
      </c>
      <c r="I58" s="222">
        <f>VLOOKUP(A58,'Front-loading'!A:AG,$I$6,FALSE)</f>
        <v>631138</v>
      </c>
      <c r="J58" s="222">
        <f>VLOOKUP(A58,'Front-loading'!A:AG,$J$6,FALSE)</f>
        <v>980358.42743578809</v>
      </c>
      <c r="K58" s="222">
        <f>VLOOKUP(A58,'Front-loading'!A:AG,$K$6,FALSE)</f>
        <v>88184548.946206436</v>
      </c>
      <c r="L58" s="222">
        <f>VLOOKUP(A58,'Front-loading'!A:AG,$L$6,FALSE)</f>
        <v>1590934.3459548184</v>
      </c>
      <c r="M58" s="222">
        <f>VLOOKUP(A58,'Front-loading'!A:AG,$M$6,FALSE)</f>
        <v>80444427.405041605</v>
      </c>
      <c r="N58" s="223">
        <f t="shared" si="12"/>
        <v>296.09134021014438</v>
      </c>
      <c r="O58" s="223">
        <f t="shared" si="12"/>
        <v>209.18921169341635</v>
      </c>
      <c r="P58" s="223">
        <f t="shared" si="12"/>
        <v>198.9413962679528</v>
      </c>
      <c r="Q58" s="223">
        <f t="shared" si="12"/>
        <v>127.45933124774868</v>
      </c>
      <c r="R58" s="409">
        <f t="shared" si="13"/>
        <v>296.09134021014438</v>
      </c>
      <c r="S58" s="409">
        <f t="shared" si="14"/>
        <v>209.18921169341635</v>
      </c>
      <c r="T58" s="409">
        <f t="shared" si="15"/>
        <v>198.9413962679528</v>
      </c>
      <c r="U58" s="409">
        <f t="shared" si="16"/>
        <v>127.45933124774868</v>
      </c>
      <c r="V58" s="411">
        <f t="shared" si="17"/>
        <v>296.09134021014438</v>
      </c>
      <c r="W58" s="411">
        <f t="shared" si="18"/>
        <v>209.18921169341635</v>
      </c>
      <c r="X58" s="411">
        <f t="shared" si="19"/>
        <v>198.9413962679528</v>
      </c>
      <c r="Y58" s="411">
        <f t="shared" si="20"/>
        <v>127.45933124774868</v>
      </c>
      <c r="Z58" s="411">
        <f t="shared" si="21"/>
        <v>296.09134021014438</v>
      </c>
      <c r="AA58" s="411">
        <f t="shared" si="22"/>
        <v>209.18921169341635</v>
      </c>
      <c r="AB58" s="411">
        <f t="shared" si="23"/>
        <v>198.9413962679528</v>
      </c>
      <c r="AC58" s="411">
        <f t="shared" si="24"/>
        <v>127.45933124774868</v>
      </c>
      <c r="AD58" s="411">
        <f t="shared" si="25"/>
        <v>296.09134021014438</v>
      </c>
      <c r="AE58" s="411">
        <f t="shared" si="26"/>
        <v>209.18921169341635</v>
      </c>
      <c r="AF58" s="411">
        <f t="shared" si="27"/>
        <v>198.9413962679528</v>
      </c>
      <c r="AG58" s="411">
        <f t="shared" si="28"/>
        <v>127.45933124774868</v>
      </c>
      <c r="AH58" s="411">
        <f t="shared" si="29"/>
        <v>296.09134021014438</v>
      </c>
      <c r="AI58" s="411">
        <f t="shared" si="30"/>
        <v>209.18921169341635</v>
      </c>
      <c r="AJ58" s="411">
        <f t="shared" si="31"/>
        <v>198.9413962679528</v>
      </c>
      <c r="AK58" s="411">
        <f t="shared" si="32"/>
        <v>127.45933124774868</v>
      </c>
      <c r="AL58" s="411">
        <f>IF($C58="",AH58,IF(AH58&gt;AH59,SUMPRODUCT(AH58:AH59,F58:F59)/SUM(F58:F59),AH58))</f>
        <v>296.09134021014438</v>
      </c>
      <c r="AM58" s="411">
        <f>IF($C58="",AI58,IF(AI58&gt;AI59,SUMPRODUCT(AI58:AI59,G58:G59)/SUM(G58:G59),AI58))</f>
        <v>209.18921169341635</v>
      </c>
      <c r="AN58" s="411">
        <f>IF($C58="",AJ58,IF(AJ58&gt;AJ59,SUMPRODUCT(AJ58:AJ59,H58:H59)/SUM(H58:H59),AJ58))</f>
        <v>198.9413962679528</v>
      </c>
      <c r="AO58" s="411">
        <f>IF($C58="",AK58,IF(AK58&gt;AK59,SUMPRODUCT(AK58:AK59,I58:I59)/SUM(I58:I59),AK58))</f>
        <v>127.45933124774868</v>
      </c>
      <c r="AP58" s="411">
        <f t="shared" si="33"/>
        <v>296.09134021014438</v>
      </c>
      <c r="AQ58" s="411">
        <f t="shared" si="34"/>
        <v>209.18921169341635</v>
      </c>
      <c r="AR58" s="411">
        <f t="shared" si="35"/>
        <v>198.9413962679528</v>
      </c>
      <c r="AS58" s="411">
        <f t="shared" si="36"/>
        <v>127.45933124774868</v>
      </c>
      <c r="AT58" s="227" t="str">
        <f t="shared" si="5"/>
        <v/>
      </c>
      <c r="AU58" s="227" t="str">
        <f t="shared" si="37"/>
        <v/>
      </c>
      <c r="AV58" s="227" t="str">
        <f t="shared" si="38"/>
        <v/>
      </c>
      <c r="AW58" s="227" t="str">
        <f t="shared" si="39"/>
        <v/>
      </c>
      <c r="AX58" s="227" t="str">
        <f t="shared" si="6"/>
        <v/>
      </c>
      <c r="AY58" s="311" t="str">
        <f t="shared" si="7"/>
        <v/>
      </c>
      <c r="AZ58" s="311">
        <f t="shared" si="8"/>
        <v>296.09134021014438</v>
      </c>
      <c r="BA58" s="311">
        <f t="shared" si="40"/>
        <v>209.18921169341635</v>
      </c>
      <c r="BB58" s="311">
        <f t="shared" si="9"/>
        <v>198.9413962679528</v>
      </c>
      <c r="BC58" s="311">
        <f t="shared" si="48"/>
        <v>127.45933124774868</v>
      </c>
      <c r="BD58" s="227" t="str">
        <f t="shared" si="41"/>
        <v/>
      </c>
      <c r="BE58" s="227" t="str">
        <f t="shared" si="42"/>
        <v/>
      </c>
      <c r="BF58" s="227" t="str">
        <f t="shared" si="43"/>
        <v/>
      </c>
      <c r="BG58" s="227" t="str">
        <f t="shared" si="44"/>
        <v/>
      </c>
      <c r="BH58" s="227" t="str">
        <f t="shared" si="45"/>
        <v/>
      </c>
      <c r="BI58" s="227" t="str">
        <f t="shared" si="46"/>
        <v/>
      </c>
      <c r="BJ58" s="226">
        <f t="shared" si="47"/>
        <v>171200269.12463865</v>
      </c>
      <c r="BK58" s="335"/>
    </row>
    <row r="59" spans="1:63">
      <c r="A59" s="231">
        <v>421</v>
      </c>
      <c r="B59" s="231" t="str">
        <f>VLOOKUP(A59,'201314 RC list'!A:B,2,FALSE)</f>
        <v>Paediatric Neurology</v>
      </c>
      <c r="C59" s="231" t="str">
        <f>$A$58&amp;"&amp;"&amp;$A$59</f>
        <v>400&amp;421</v>
      </c>
      <c r="D59" s="310" t="str">
        <f t="shared" si="11"/>
        <v>C</v>
      </c>
      <c r="E59" s="231">
        <f>IF(ISERROR(VLOOKUP(A59,Mandatory!A:A,1,FALSE)),0,1)</f>
        <v>1</v>
      </c>
      <c r="F59" s="222">
        <f>VLOOKUP(A59,'Front-loading'!A:AG,$F$6,FALSE)</f>
        <v>1234</v>
      </c>
      <c r="G59" s="222">
        <f>VLOOKUP(A59,'Front-loading'!A:AG,$G$6,FALSE)</f>
        <v>17172</v>
      </c>
      <c r="H59" s="222">
        <f>VLOOKUP(A59,'Front-loading'!A:AG,$H$6,FALSE)</f>
        <v>3526</v>
      </c>
      <c r="I59" s="222">
        <f>VLOOKUP(A59,'Front-loading'!A:AG,$I$6,FALSE)</f>
        <v>35815</v>
      </c>
      <c r="J59" s="222">
        <f>VLOOKUP(A59,'Front-loading'!A:AG,$J$6,FALSE)</f>
        <v>543677.61580592813</v>
      </c>
      <c r="K59" s="222">
        <f>VLOOKUP(A59,'Front-loading'!A:AG,$K$6,FALSE)</f>
        <v>6086855.3367235344</v>
      </c>
      <c r="L59" s="222">
        <f>VLOOKUP(A59,'Front-loading'!A:AG,$L$6,FALSE)</f>
        <v>826489.24950608728</v>
      </c>
      <c r="M59" s="222">
        <f>VLOOKUP(A59,'Front-loading'!A:AG,$M$6,FALSE)</f>
        <v>8121976.2246993165</v>
      </c>
      <c r="N59" s="223">
        <f t="shared" si="12"/>
        <v>440.58153630950414</v>
      </c>
      <c r="O59" s="223">
        <f t="shared" si="12"/>
        <v>354.46397255552841</v>
      </c>
      <c r="P59" s="223">
        <f t="shared" si="12"/>
        <v>234.39853928136338</v>
      </c>
      <c r="Q59" s="223">
        <f t="shared" si="12"/>
        <v>226.77582646096096</v>
      </c>
      <c r="R59" s="409">
        <f t="shared" si="13"/>
        <v>440.58153630950414</v>
      </c>
      <c r="S59" s="409">
        <f t="shared" si="14"/>
        <v>354.46397255552841</v>
      </c>
      <c r="T59" s="409">
        <f t="shared" si="15"/>
        <v>234.39853928136338</v>
      </c>
      <c r="U59" s="409">
        <f t="shared" si="16"/>
        <v>226.77582646096096</v>
      </c>
      <c r="V59" s="411">
        <f t="shared" si="17"/>
        <v>440.58153630950414</v>
      </c>
      <c r="W59" s="411">
        <f t="shared" si="18"/>
        <v>354.46397255552841</v>
      </c>
      <c r="X59" s="411">
        <f t="shared" si="19"/>
        <v>234.39853928136338</v>
      </c>
      <c r="Y59" s="411">
        <f t="shared" si="20"/>
        <v>226.77582646096096</v>
      </c>
      <c r="Z59" s="411">
        <f t="shared" si="21"/>
        <v>440.58153630950414</v>
      </c>
      <c r="AA59" s="411">
        <f t="shared" si="22"/>
        <v>354.46397255552841</v>
      </c>
      <c r="AB59" s="411">
        <f t="shared" si="23"/>
        <v>234.39853928136338</v>
      </c>
      <c r="AC59" s="411">
        <f t="shared" si="24"/>
        <v>226.77582646096096</v>
      </c>
      <c r="AD59" s="411">
        <f t="shared" si="25"/>
        <v>440.58153630950414</v>
      </c>
      <c r="AE59" s="411">
        <f t="shared" si="26"/>
        <v>354.46397255552841</v>
      </c>
      <c r="AF59" s="411">
        <f t="shared" si="27"/>
        <v>234.39853928136338</v>
      </c>
      <c r="AG59" s="411">
        <f t="shared" si="28"/>
        <v>226.77582646096096</v>
      </c>
      <c r="AH59" s="411">
        <f t="shared" si="29"/>
        <v>440.58153630950414</v>
      </c>
      <c r="AI59" s="411">
        <f t="shared" si="30"/>
        <v>354.46397255552841</v>
      </c>
      <c r="AJ59" s="411">
        <f t="shared" si="31"/>
        <v>234.39853928136338</v>
      </c>
      <c r="AK59" s="411">
        <f t="shared" si="32"/>
        <v>226.77582646096096</v>
      </c>
      <c r="AL59" s="411">
        <f>IF($C59="",AH59,IF(AH58&gt;AH59,SUMPRODUCT(AH58:AH59,F58:F59)/SUM(F58:F59),AH59))</f>
        <v>440.58153630950414</v>
      </c>
      <c r="AM59" s="411">
        <f>IF($C59="",AI59,IF(AI58&gt;AI59,SUMPRODUCT(AI58:AI59,G58:G59)/SUM(G58:G59),AI59))</f>
        <v>354.46397255552841</v>
      </c>
      <c r="AN59" s="411">
        <f>IF($C59="",AJ59,IF(AJ58&gt;AJ59,SUMPRODUCT(AJ58:AJ59,H58:H59)/SUM(H58:H59),AJ59))</f>
        <v>234.39853928136338</v>
      </c>
      <c r="AO59" s="411">
        <f>IF($C59="",AK59,IF(AK58&gt;AK59,SUMPRODUCT(AK58:AK59,I58:I59)/SUM(I58:I59),AK59))</f>
        <v>226.77582646096096</v>
      </c>
      <c r="AP59" s="411">
        <f t="shared" si="33"/>
        <v>440.58153630950414</v>
      </c>
      <c r="AQ59" s="411">
        <f t="shared" si="34"/>
        <v>354.46397255552841</v>
      </c>
      <c r="AR59" s="411">
        <f t="shared" si="35"/>
        <v>234.39853928136338</v>
      </c>
      <c r="AS59" s="411">
        <f t="shared" si="36"/>
        <v>226.77582646096096</v>
      </c>
      <c r="AT59" s="227" t="str">
        <f t="shared" si="5"/>
        <v/>
      </c>
      <c r="AU59" s="227" t="str">
        <f t="shared" si="37"/>
        <v/>
      </c>
      <c r="AV59" s="227" t="str">
        <f t="shared" si="38"/>
        <v/>
      </c>
      <c r="AW59" s="227" t="str">
        <f t="shared" si="39"/>
        <v/>
      </c>
      <c r="AX59" s="227" t="str">
        <f t="shared" si="6"/>
        <v/>
      </c>
      <c r="AY59" s="311" t="str">
        <f t="shared" si="7"/>
        <v/>
      </c>
      <c r="AZ59" s="311">
        <f t="shared" si="8"/>
        <v>440.58153630950414</v>
      </c>
      <c r="BA59" s="311">
        <f t="shared" si="40"/>
        <v>354.46397255552841</v>
      </c>
      <c r="BB59" s="311">
        <f t="shared" si="9"/>
        <v>234.39853928136338</v>
      </c>
      <c r="BC59" s="311">
        <f t="shared" si="48"/>
        <v>226.77582646096096</v>
      </c>
      <c r="BD59" s="227" t="str">
        <f t="shared" si="41"/>
        <v/>
      </c>
      <c r="BE59" s="227" t="str">
        <f t="shared" si="42"/>
        <v/>
      </c>
      <c r="BF59" s="227" t="str">
        <f t="shared" si="43"/>
        <v/>
      </c>
      <c r="BG59" s="227" t="str">
        <f t="shared" si="44"/>
        <v/>
      </c>
      <c r="BH59" s="227" t="str">
        <f t="shared" si="45"/>
        <v/>
      </c>
      <c r="BI59" s="227" t="str">
        <f t="shared" si="46"/>
        <v/>
      </c>
      <c r="BJ59" s="226">
        <f t="shared" si="47"/>
        <v>15578998.426734865</v>
      </c>
      <c r="BK59" s="335"/>
    </row>
    <row r="60" spans="1:63">
      <c r="A60" s="231">
        <v>401</v>
      </c>
      <c r="B60" s="231" t="str">
        <f>VLOOKUP(A60,'201314 RC list'!A:B,2,FALSE)</f>
        <v>Clinical Neuro-Physiology</v>
      </c>
      <c r="C60" s="231" t="str">
        <f>$A$60&amp;"&amp;"&amp;$A$61</f>
        <v>401&amp;291</v>
      </c>
      <c r="D60" s="310" t="str">
        <f t="shared" si="11"/>
        <v>A</v>
      </c>
      <c r="E60" s="231">
        <f>IF(ISERROR(VLOOKUP(A60,Mandatory!A:A,1,FALSE)),0,1)</f>
        <v>0</v>
      </c>
      <c r="F60" s="222">
        <f>VLOOKUP(A60,'Front-loading'!A:AG,$F$6,FALSE)</f>
        <v>447</v>
      </c>
      <c r="G60" s="222">
        <f>VLOOKUP(A60,'Front-loading'!A:AG,$G$6,FALSE)</f>
        <v>66756</v>
      </c>
      <c r="H60" s="222">
        <f>VLOOKUP(A60,'Front-loading'!A:AG,$H$6,FALSE)</f>
        <v>21</v>
      </c>
      <c r="I60" s="222">
        <f>VLOOKUP(A60,'Front-loading'!A:AG,$I$6,FALSE)</f>
        <v>8113</v>
      </c>
      <c r="J60" s="222">
        <f>VLOOKUP(A60,'Front-loading'!A:AG,$J$6,FALSE)</f>
        <v>141335.9250986191</v>
      </c>
      <c r="K60" s="222">
        <f>VLOOKUP(A60,'Front-loading'!A:AG,$K$6,FALSE)</f>
        <v>9970236.6242745947</v>
      </c>
      <c r="L60" s="222">
        <f>VLOOKUP(A60,'Front-loading'!A:AG,$L$6,FALSE)</f>
        <v>5370.8965983071466</v>
      </c>
      <c r="M60" s="222">
        <f>VLOOKUP(A60,'Front-loading'!A:AG,$M$6,FALSE)</f>
        <v>821941.86378541437</v>
      </c>
      <c r="N60" s="223">
        <f t="shared" si="12"/>
        <v>316.18775189847673</v>
      </c>
      <c r="O60" s="223">
        <f t="shared" si="12"/>
        <v>149.35341578696438</v>
      </c>
      <c r="P60" s="223">
        <f t="shared" si="12"/>
        <v>255.75698087176889</v>
      </c>
      <c r="Q60" s="223">
        <f t="shared" si="12"/>
        <v>101.31170513810112</v>
      </c>
      <c r="R60" s="409">
        <f t="shared" si="13"/>
        <v>313.47611473702193</v>
      </c>
      <c r="S60" s="409">
        <f t="shared" si="14"/>
        <v>149.35341578696438</v>
      </c>
      <c r="T60" s="409">
        <f t="shared" si="15"/>
        <v>313.47611473702193</v>
      </c>
      <c r="U60" s="409">
        <f t="shared" si="16"/>
        <v>101.31170513810112</v>
      </c>
      <c r="V60" s="411">
        <f t="shared" si="17"/>
        <v>313.47611473702193</v>
      </c>
      <c r="W60" s="411">
        <f t="shared" si="18"/>
        <v>149.35341578696438</v>
      </c>
      <c r="X60" s="411">
        <f t="shared" si="19"/>
        <v>313.47611473702193</v>
      </c>
      <c r="Y60" s="411">
        <f t="shared" si="20"/>
        <v>101.31170513810112</v>
      </c>
      <c r="Z60" s="411">
        <f t="shared" si="21"/>
        <v>313.47611473702193</v>
      </c>
      <c r="AA60" s="411">
        <f t="shared" si="22"/>
        <v>149.35341578696438</v>
      </c>
      <c r="AB60" s="411">
        <f t="shared" si="23"/>
        <v>313.47611473702193</v>
      </c>
      <c r="AC60" s="411">
        <f t="shared" si="24"/>
        <v>101.31170513810112</v>
      </c>
      <c r="AD60" s="411">
        <f t="shared" si="25"/>
        <v>313.47611473702193</v>
      </c>
      <c r="AE60" s="411">
        <f t="shared" si="26"/>
        <v>149.35341578696438</v>
      </c>
      <c r="AF60" s="411">
        <f t="shared" si="27"/>
        <v>313.47611473702193</v>
      </c>
      <c r="AG60" s="411">
        <f t="shared" si="28"/>
        <v>101.31170513810112</v>
      </c>
      <c r="AH60" s="411">
        <f t="shared" si="29"/>
        <v>298.90200879710397</v>
      </c>
      <c r="AI60" s="411">
        <f t="shared" si="30"/>
        <v>149.45100439855199</v>
      </c>
      <c r="AJ60" s="411">
        <f t="shared" si="31"/>
        <v>203.19432549230945</v>
      </c>
      <c r="AK60" s="411">
        <f t="shared" si="32"/>
        <v>101.59716274615472</v>
      </c>
      <c r="AL60" s="411">
        <f>IF($C60="",AH60,IF(AH60&gt;AH61,SUMPRODUCT(AH60:AH61,F60:F61)/SUM(F60:F61),AH60))</f>
        <v>298.90200879710397</v>
      </c>
      <c r="AM60" s="411">
        <f>IF($C60="",AI60,IF(AI60&gt;AI61,SUMPRODUCT(AI60:AI61,G60:G61)/SUM(G60:G61),AI60))</f>
        <v>149.45100439855199</v>
      </c>
      <c r="AN60" s="411">
        <f>IF($C60="",AJ60,IF(AJ60&gt;AJ61,SUMPRODUCT(AJ60:AJ61,H60:H61)/SUM(H60:H61),AJ60))</f>
        <v>203.19432549230945</v>
      </c>
      <c r="AO60" s="411">
        <f>IF($C60="",AK60,IF(AK60&gt;AK61,SUMPRODUCT(AK60:AK61,I60:I61)/SUM(I60:I61),AK60))</f>
        <v>101.59716274615472</v>
      </c>
      <c r="AP60" s="411">
        <f t="shared" si="33"/>
        <v>298.90200879710397</v>
      </c>
      <c r="AQ60" s="411">
        <f t="shared" si="34"/>
        <v>149.45100439855199</v>
      </c>
      <c r="AR60" s="411">
        <f t="shared" si="35"/>
        <v>203.19432549230945</v>
      </c>
      <c r="AS60" s="411">
        <f t="shared" si="36"/>
        <v>101.59716274615472</v>
      </c>
      <c r="AT60" s="227" t="str">
        <f t="shared" si="5"/>
        <v/>
      </c>
      <c r="AU60" s="227" t="str">
        <f t="shared" si="37"/>
        <v/>
      </c>
      <c r="AV60" s="227" t="str">
        <f t="shared" si="38"/>
        <v/>
      </c>
      <c r="AW60" s="227" t="str">
        <f t="shared" si="39"/>
        <v/>
      </c>
      <c r="AX60" s="311" t="str">
        <f>IF(AP60&gt;2*AQ60,2*AQ60,"")</f>
        <v/>
      </c>
      <c r="AY60" s="311" t="str">
        <f t="shared" si="7"/>
        <v/>
      </c>
      <c r="AZ60" s="311">
        <f>IF(AX60="",AP60,AX60)</f>
        <v>298.90200879710397</v>
      </c>
      <c r="BA60" s="311">
        <f t="shared" si="40"/>
        <v>149.45100439855199</v>
      </c>
      <c r="BB60" s="311">
        <f t="shared" si="9"/>
        <v>203.19432549230945</v>
      </c>
      <c r="BC60" s="311">
        <f t="shared" si="48"/>
        <v>101.59716274615472</v>
      </c>
      <c r="BD60" s="311" t="str">
        <f t="shared" si="41"/>
        <v/>
      </c>
      <c r="BE60" s="311" t="str">
        <f t="shared" si="42"/>
        <v/>
      </c>
      <c r="BF60" s="311" t="str">
        <f t="shared" si="43"/>
        <v/>
      </c>
      <c r="BG60" s="311" t="str">
        <f t="shared" si="44"/>
        <v/>
      </c>
      <c r="BH60" s="311" t="str">
        <f t="shared" si="45"/>
        <v/>
      </c>
      <c r="BI60" s="311" t="str">
        <f t="shared" si="46"/>
        <v/>
      </c>
      <c r="BJ60" s="226">
        <f t="shared" si="47"/>
        <v>10938885.309756933</v>
      </c>
      <c r="BK60" s="335"/>
    </row>
    <row r="61" spans="1:63">
      <c r="A61" s="231">
        <v>291</v>
      </c>
      <c r="B61" s="231" t="str">
        <f>VLOOKUP(A61,'201314 RC list'!A:B,2,FALSE)</f>
        <v>Paediatric Neuro-Disability</v>
      </c>
      <c r="C61" s="231" t="str">
        <f>$A$60&amp;"&amp;"&amp;$A$61</f>
        <v>401&amp;291</v>
      </c>
      <c r="D61" s="310" t="str">
        <f t="shared" si="11"/>
        <v>C</v>
      </c>
      <c r="E61" s="231">
        <f>IF(ISERROR(VLOOKUP(A61,Mandatory!A:A,1,FALSE)),0,1)</f>
        <v>0</v>
      </c>
      <c r="F61" s="222">
        <f>VLOOKUP(A61,'Front-loading'!A:AG,$F$6,FALSE)</f>
        <v>16</v>
      </c>
      <c r="G61" s="222">
        <f>VLOOKUP(A61,'Front-loading'!A:AG,$G$6,FALSE)</f>
        <v>15216</v>
      </c>
      <c r="H61" s="222">
        <f>VLOOKUP(A61,'Front-loading'!A:AG,$H$6,FALSE)</f>
        <v>236</v>
      </c>
      <c r="I61" s="222">
        <f>VLOOKUP(A61,'Front-loading'!A:AG,$I$6,FALSE)</f>
        <v>45462</v>
      </c>
      <c r="J61" s="222">
        <f>VLOOKUP(A61,'Front-loading'!A:AG,$J$6,FALSE)</f>
        <v>4368.6853523401951</v>
      </c>
      <c r="K61" s="222">
        <f>VLOOKUP(A61,'Front-loading'!A:AG,$K$6,FALSE)</f>
        <v>7613260.2982325209</v>
      </c>
      <c r="L61" s="222">
        <f>VLOOKUP(A61,'Front-loading'!A:AG,$L$6,FALSE)</f>
        <v>82025.002737941337</v>
      </c>
      <c r="M61" s="222">
        <f>VLOOKUP(A61,'Front-loading'!A:AG,$M$6,FALSE)</f>
        <v>11156226.52859916</v>
      </c>
      <c r="N61" s="223">
        <f t="shared" si="12"/>
        <v>273.04283452126219</v>
      </c>
      <c r="O61" s="223">
        <f t="shared" si="12"/>
        <v>500.34570834861466</v>
      </c>
      <c r="P61" s="223">
        <f t="shared" si="12"/>
        <v>347.56357092348026</v>
      </c>
      <c r="Q61" s="223">
        <f t="shared" si="12"/>
        <v>245.39673856405702</v>
      </c>
      <c r="R61" s="409">
        <f t="shared" si="13"/>
        <v>342.83209559635526</v>
      </c>
      <c r="S61" s="409">
        <f t="shared" si="14"/>
        <v>500.34570834861466</v>
      </c>
      <c r="T61" s="409">
        <f t="shared" si="15"/>
        <v>342.83209559635526</v>
      </c>
      <c r="U61" s="409">
        <f t="shared" si="16"/>
        <v>245.39673856405702</v>
      </c>
      <c r="V61" s="411">
        <f t="shared" si="17"/>
        <v>342.83209559635526</v>
      </c>
      <c r="W61" s="411">
        <f t="shared" si="18"/>
        <v>500.34570834861466</v>
      </c>
      <c r="X61" s="411">
        <f t="shared" si="19"/>
        <v>342.83209559635526</v>
      </c>
      <c r="Y61" s="411">
        <f t="shared" si="20"/>
        <v>245.39673856405702</v>
      </c>
      <c r="Z61" s="411">
        <f t="shared" si="21"/>
        <v>342.83209559635526</v>
      </c>
      <c r="AA61" s="411">
        <f t="shared" si="22"/>
        <v>500.34570834861466</v>
      </c>
      <c r="AB61" s="411">
        <f t="shared" si="23"/>
        <v>342.83209559635526</v>
      </c>
      <c r="AC61" s="411">
        <f t="shared" si="24"/>
        <v>245.39673856405702</v>
      </c>
      <c r="AD61" s="411">
        <f t="shared" si="25"/>
        <v>500.18025287303459</v>
      </c>
      <c r="AE61" s="411">
        <f t="shared" si="26"/>
        <v>500.18025287303459</v>
      </c>
      <c r="AF61" s="411">
        <f t="shared" si="27"/>
        <v>342.83209559635526</v>
      </c>
      <c r="AG61" s="411">
        <f t="shared" si="28"/>
        <v>245.39673856405702</v>
      </c>
      <c r="AH61" s="411">
        <f t="shared" si="29"/>
        <v>500.18025287303459</v>
      </c>
      <c r="AI61" s="411">
        <f t="shared" si="30"/>
        <v>500.18025287303459</v>
      </c>
      <c r="AJ61" s="411">
        <f t="shared" si="31"/>
        <v>342.83209559635526</v>
      </c>
      <c r="AK61" s="411">
        <f t="shared" si="32"/>
        <v>245.39673856405702</v>
      </c>
      <c r="AL61" s="411">
        <f>IF($C61="",AH61,IF(AH60&gt;AH61,SUMPRODUCT(AH60:AH61,F60:F61)/SUM(F60:F61),AH61))</f>
        <v>500.18025287303459</v>
      </c>
      <c r="AM61" s="411">
        <f>IF($C61="",AI61,IF(AI60&gt;AI61,SUMPRODUCT(AI60:AI61,G60:G61)/SUM(G60:G61),AI61))</f>
        <v>500.18025287303459</v>
      </c>
      <c r="AN61" s="411">
        <f>IF($C61="",AJ61,IF(AJ60&gt;AJ61,SUMPRODUCT(AJ60:AJ61,H60:H61)/SUM(H60:H61),AJ61))</f>
        <v>342.83209559635526</v>
      </c>
      <c r="AO61" s="411">
        <f>IF($C61="",AK61,IF(AK60&gt;AK61,SUMPRODUCT(AK60:AK61,I60:I61)/SUM(I60:I61),AK61))</f>
        <v>245.39673856405702</v>
      </c>
      <c r="AP61" s="411">
        <f t="shared" si="33"/>
        <v>500.18025287303459</v>
      </c>
      <c r="AQ61" s="411">
        <f t="shared" si="34"/>
        <v>500.18025287303459</v>
      </c>
      <c r="AR61" s="411">
        <f t="shared" si="35"/>
        <v>342.83209559635526</v>
      </c>
      <c r="AS61" s="411">
        <f t="shared" si="36"/>
        <v>245.39673856405702</v>
      </c>
      <c r="AT61" s="227" t="str">
        <f t="shared" si="5"/>
        <v/>
      </c>
      <c r="AU61" s="227" t="str">
        <f t="shared" si="37"/>
        <v/>
      </c>
      <c r="AV61" s="227" t="str">
        <f t="shared" si="38"/>
        <v/>
      </c>
      <c r="AW61" s="227" t="str">
        <f t="shared" si="39"/>
        <v/>
      </c>
      <c r="AX61" s="311" t="str">
        <f t="shared" ref="AX61:AX119" si="49">IF(AP61&gt;2*AQ61,2*AQ61,"")</f>
        <v/>
      </c>
      <c r="AY61" s="311" t="str">
        <f>IF(AR61&gt;2*AS61,2*AS61,"")</f>
        <v/>
      </c>
      <c r="AZ61" s="311">
        <f t="shared" ref="AZ61:AZ119" si="50">IF(AX61="",AP61,AX61)</f>
        <v>500.18025287303459</v>
      </c>
      <c r="BA61" s="311">
        <f t="shared" si="40"/>
        <v>500.18025287303459</v>
      </c>
      <c r="BB61" s="311">
        <f t="shared" si="9"/>
        <v>342.83209559635526</v>
      </c>
      <c r="BC61" s="311">
        <f t="shared" si="48"/>
        <v>245.39673856405702</v>
      </c>
      <c r="BD61" s="311" t="str">
        <f t="shared" si="41"/>
        <v/>
      </c>
      <c r="BE61" s="311" t="str">
        <f t="shared" si="42"/>
        <v/>
      </c>
      <c r="BF61" s="311" t="str">
        <f t="shared" si="43"/>
        <v/>
      </c>
      <c r="BG61" s="311" t="str">
        <f t="shared" si="44"/>
        <v/>
      </c>
      <c r="BH61" s="311" t="str">
        <f t="shared" si="45"/>
        <v/>
      </c>
      <c r="BI61" s="311" t="str">
        <f t="shared" si="46"/>
        <v/>
      </c>
      <c r="BJ61" s="226">
        <f t="shared" si="47"/>
        <v>18855880.514921963</v>
      </c>
      <c r="BK61" s="335"/>
    </row>
    <row r="62" spans="1:63">
      <c r="A62" s="231">
        <v>410</v>
      </c>
      <c r="B62" s="231" t="str">
        <f>VLOOKUP(A62,'201314 RC list'!A:B,2,FALSE)</f>
        <v>Rheumatology</v>
      </c>
      <c r="C62" s="231" t="str">
        <f>$A$62&amp;"&amp;"&amp;$A$63</f>
        <v>410&amp;262</v>
      </c>
      <c r="D62" s="310" t="str">
        <f t="shared" si="11"/>
        <v>A</v>
      </c>
      <c r="E62" s="231">
        <f>IF(ISERROR(VLOOKUP(A62,Mandatory!A:A,1,FALSE)),0,1)</f>
        <v>1</v>
      </c>
      <c r="F62" s="222">
        <f>VLOOKUP(A62,'Front-loading'!A:AG,$F$6,FALSE)</f>
        <v>3223</v>
      </c>
      <c r="G62" s="222">
        <f>VLOOKUP(A62,'Front-loading'!A:AG,$G$6,FALSE)</f>
        <v>368674</v>
      </c>
      <c r="H62" s="222">
        <f>VLOOKUP(A62,'Front-loading'!A:AG,$H$6,FALSE)</f>
        <v>7540</v>
      </c>
      <c r="I62" s="222">
        <f>VLOOKUP(A62,'Front-loading'!A:AG,$I$6,FALSE)</f>
        <v>1294230</v>
      </c>
      <c r="J62" s="222">
        <f>VLOOKUP(A62,'Front-loading'!A:AG,$J$6,FALSE)</f>
        <v>712680.64427991735</v>
      </c>
      <c r="K62" s="222">
        <f>VLOOKUP(A62,'Front-loading'!A:AG,$K$6,FALSE)</f>
        <v>78473224.798564732</v>
      </c>
      <c r="L62" s="222">
        <f>VLOOKUP(A62,'Front-loading'!A:AG,$L$6,FALSE)</f>
        <v>860041.6695314981</v>
      </c>
      <c r="M62" s="222">
        <f>VLOOKUP(A62,'Front-loading'!A:AG,$M$6,FALSE)</f>
        <v>135999015.29718021</v>
      </c>
      <c r="N62" s="223">
        <f t="shared" si="12"/>
        <v>221.12337706482077</v>
      </c>
      <c r="O62" s="223">
        <f t="shared" si="12"/>
        <v>212.85261450106253</v>
      </c>
      <c r="P62" s="223">
        <f t="shared" si="12"/>
        <v>114.06388190072919</v>
      </c>
      <c r="Q62" s="223">
        <f t="shared" si="12"/>
        <v>105.08102524062973</v>
      </c>
      <c r="R62" s="409">
        <f t="shared" si="13"/>
        <v>221.12337706482077</v>
      </c>
      <c r="S62" s="409">
        <f t="shared" si="14"/>
        <v>212.85261450106253</v>
      </c>
      <c r="T62" s="409">
        <f t="shared" si="15"/>
        <v>114.06388190072919</v>
      </c>
      <c r="U62" s="409">
        <f t="shared" si="16"/>
        <v>105.08102524062973</v>
      </c>
      <c r="V62" s="411">
        <f t="shared" si="17"/>
        <v>221.12337706482077</v>
      </c>
      <c r="W62" s="411">
        <f t="shared" si="18"/>
        <v>212.85261450106253</v>
      </c>
      <c r="X62" s="411">
        <f t="shared" si="19"/>
        <v>114.06388190072919</v>
      </c>
      <c r="Y62" s="411">
        <f t="shared" si="20"/>
        <v>105.08102524062973</v>
      </c>
      <c r="Z62" s="411">
        <f t="shared" si="21"/>
        <v>221.12337706482077</v>
      </c>
      <c r="AA62" s="411">
        <f t="shared" si="22"/>
        <v>212.85261450106253</v>
      </c>
      <c r="AB62" s="411">
        <f t="shared" si="23"/>
        <v>114.06388190072919</v>
      </c>
      <c r="AC62" s="411">
        <f t="shared" si="24"/>
        <v>105.08102524062973</v>
      </c>
      <c r="AD62" s="411">
        <f t="shared" si="25"/>
        <v>221.12337706482077</v>
      </c>
      <c r="AE62" s="411">
        <f t="shared" si="26"/>
        <v>212.85261450106253</v>
      </c>
      <c r="AF62" s="411">
        <f t="shared" si="27"/>
        <v>114.06388190072919</v>
      </c>
      <c r="AG62" s="411">
        <f t="shared" si="28"/>
        <v>105.08102524062973</v>
      </c>
      <c r="AH62" s="411">
        <f t="shared" si="29"/>
        <v>221.12337706482077</v>
      </c>
      <c r="AI62" s="411">
        <f t="shared" si="30"/>
        <v>212.85261450106253</v>
      </c>
      <c r="AJ62" s="411">
        <f t="shared" si="31"/>
        <v>114.06388190072919</v>
      </c>
      <c r="AK62" s="411">
        <f t="shared" si="32"/>
        <v>105.08102524062973</v>
      </c>
      <c r="AL62" s="411">
        <f>IF($C62="",AH62,IF(AH62&gt;AH63,SUMPRODUCT(AH62:AH63,F62:F63)/SUM(F62:F63),AH62))</f>
        <v>221.12337706482077</v>
      </c>
      <c r="AM62" s="411">
        <f>IF($C62="",AI62,IF(AI62&gt;AI63,SUMPRODUCT(AI62:AI63,G62:G63)/SUM(G62:G63),AI62))</f>
        <v>212.85261450106253</v>
      </c>
      <c r="AN62" s="411">
        <f>IF($C62="",AJ62,IF(AJ62&gt;AJ63,SUMPRODUCT(AJ62:AJ63,H62:H63)/SUM(H62:H63),AJ62))</f>
        <v>114.06388190072919</v>
      </c>
      <c r="AO62" s="411">
        <f>IF($C62="",AK62,IF(AK62&gt;AK63,SUMPRODUCT(AK62:AK63,I62:I63)/SUM(I62:I63),AK62))</f>
        <v>105.08102524062973</v>
      </c>
      <c r="AP62" s="411">
        <f t="shared" si="33"/>
        <v>221.12337706482077</v>
      </c>
      <c r="AQ62" s="411">
        <f t="shared" si="34"/>
        <v>212.85261450106253</v>
      </c>
      <c r="AR62" s="411">
        <f t="shared" si="35"/>
        <v>114.06388190072919</v>
      </c>
      <c r="AS62" s="411">
        <f t="shared" si="36"/>
        <v>105.08102524062973</v>
      </c>
      <c r="AT62" s="227" t="str">
        <f t="shared" si="5"/>
        <v/>
      </c>
      <c r="AU62" s="227" t="str">
        <f t="shared" si="37"/>
        <v/>
      </c>
      <c r="AV62" s="227" t="str">
        <f t="shared" si="38"/>
        <v/>
      </c>
      <c r="AW62" s="227" t="str">
        <f t="shared" si="39"/>
        <v/>
      </c>
      <c r="AX62" s="227" t="str">
        <f t="shared" si="49"/>
        <v/>
      </c>
      <c r="AY62" s="311" t="str">
        <f t="shared" ref="AY62:AY119" si="51">IF(AR62&gt;2*AS62,2*AS62,"")</f>
        <v/>
      </c>
      <c r="AZ62" s="311">
        <f t="shared" si="50"/>
        <v>221.12337706482077</v>
      </c>
      <c r="BA62" s="311">
        <f t="shared" si="40"/>
        <v>212.85261450106253</v>
      </c>
      <c r="BB62" s="311">
        <f t="shared" si="9"/>
        <v>114.06388190072919</v>
      </c>
      <c r="BC62" s="311">
        <f t="shared" si="48"/>
        <v>105.08102524062973</v>
      </c>
      <c r="BD62" s="227" t="str">
        <f t="shared" si="41"/>
        <v/>
      </c>
      <c r="BE62" s="227" t="str">
        <f t="shared" si="42"/>
        <v/>
      </c>
      <c r="BF62" s="227" t="str">
        <f t="shared" si="43"/>
        <v/>
      </c>
      <c r="BG62" s="227" t="str">
        <f t="shared" si="44"/>
        <v/>
      </c>
      <c r="BH62" s="227" t="str">
        <f t="shared" si="45"/>
        <v/>
      </c>
      <c r="BI62" s="227" t="str">
        <f t="shared" si="46"/>
        <v/>
      </c>
      <c r="BJ62" s="226">
        <f t="shared" si="47"/>
        <v>216044962.40955633</v>
      </c>
      <c r="BK62" s="335"/>
    </row>
    <row r="63" spans="1:63">
      <c r="A63" s="231">
        <v>262</v>
      </c>
      <c r="B63" s="231" t="str">
        <f>VLOOKUP(A63,'201314 RC list'!A:B,2,FALSE)</f>
        <v>Paediatric Rheumatology</v>
      </c>
      <c r="C63" s="231" t="str">
        <f>$A$62&amp;"&amp;"&amp;$A$63</f>
        <v>410&amp;262</v>
      </c>
      <c r="D63" s="310" t="str">
        <f t="shared" si="11"/>
        <v>C</v>
      </c>
      <c r="E63" s="231">
        <f>IF(ISERROR(VLOOKUP(A63,Mandatory!A:A,1,FALSE)),0,1)</f>
        <v>0</v>
      </c>
      <c r="F63" s="222">
        <f>VLOOKUP(A63,'Front-loading'!A:AG,$F$6,FALSE)</f>
        <v>518</v>
      </c>
      <c r="G63" s="222">
        <f>VLOOKUP(A63,'Front-loading'!A:AG,$G$6,FALSE)</f>
        <v>5672</v>
      </c>
      <c r="H63" s="222">
        <f>VLOOKUP(A63,'Front-loading'!A:AG,$H$6,FALSE)</f>
        <v>2086</v>
      </c>
      <c r="I63" s="222">
        <f>VLOOKUP(A63,'Front-loading'!A:AG,$I$6,FALSE)</f>
        <v>18307</v>
      </c>
      <c r="J63" s="222">
        <f>VLOOKUP(A63,'Front-loading'!A:AG,$J$6,FALSE)</f>
        <v>174770.992159655</v>
      </c>
      <c r="K63" s="222">
        <f>VLOOKUP(A63,'Front-loading'!A:AG,$K$6,FALSE)</f>
        <v>2161158.6070446568</v>
      </c>
      <c r="L63" s="222">
        <f>VLOOKUP(A63,'Front-loading'!A:AG,$L$6,FALSE)</f>
        <v>463864.95706946816</v>
      </c>
      <c r="M63" s="222">
        <f>VLOOKUP(A63,'Front-loading'!A:AG,$M$6,FALSE)</f>
        <v>3265620.081299169</v>
      </c>
      <c r="N63" s="223">
        <f t="shared" si="12"/>
        <v>337.39573775995171</v>
      </c>
      <c r="O63" s="223">
        <f t="shared" si="12"/>
        <v>381.02232141125825</v>
      </c>
      <c r="P63" s="223">
        <f t="shared" si="12"/>
        <v>222.37054509562233</v>
      </c>
      <c r="Q63" s="223">
        <f t="shared" si="12"/>
        <v>178.38095161955366</v>
      </c>
      <c r="R63" s="409">
        <f t="shared" si="13"/>
        <v>337.39573775995171</v>
      </c>
      <c r="S63" s="409">
        <f t="shared" si="14"/>
        <v>381.02232141125825</v>
      </c>
      <c r="T63" s="409">
        <f t="shared" si="15"/>
        <v>222.37054509562233</v>
      </c>
      <c r="U63" s="409">
        <f t="shared" si="16"/>
        <v>178.38095161955366</v>
      </c>
      <c r="V63" s="411">
        <f t="shared" si="17"/>
        <v>337.39573775995171</v>
      </c>
      <c r="W63" s="411">
        <f t="shared" si="18"/>
        <v>381.02232141125825</v>
      </c>
      <c r="X63" s="411">
        <f t="shared" si="19"/>
        <v>222.37054509562233</v>
      </c>
      <c r="Y63" s="411">
        <f t="shared" si="20"/>
        <v>178.38095161955366</v>
      </c>
      <c r="Z63" s="411">
        <f t="shared" si="21"/>
        <v>337.39573775995171</v>
      </c>
      <c r="AA63" s="411">
        <f t="shared" si="22"/>
        <v>381.02232141125825</v>
      </c>
      <c r="AB63" s="411">
        <f t="shared" si="23"/>
        <v>222.37054509562233</v>
      </c>
      <c r="AC63" s="411">
        <f t="shared" si="24"/>
        <v>178.38095161955366</v>
      </c>
      <c r="AD63" s="411">
        <f t="shared" si="25"/>
        <v>377.37150229471916</v>
      </c>
      <c r="AE63" s="411">
        <f t="shared" si="26"/>
        <v>377.37150229471916</v>
      </c>
      <c r="AF63" s="411">
        <f t="shared" si="27"/>
        <v>222.37054509562233</v>
      </c>
      <c r="AG63" s="411">
        <f t="shared" si="28"/>
        <v>178.38095161955366</v>
      </c>
      <c r="AH63" s="411">
        <f t="shared" si="29"/>
        <v>377.37150229471916</v>
      </c>
      <c r="AI63" s="411">
        <f t="shared" si="30"/>
        <v>377.37150229471916</v>
      </c>
      <c r="AJ63" s="411">
        <f t="shared" si="31"/>
        <v>222.37054509562233</v>
      </c>
      <c r="AK63" s="411">
        <f t="shared" si="32"/>
        <v>178.38095161955366</v>
      </c>
      <c r="AL63" s="411">
        <f>IF($C63="",AH63,IF(AH62&gt;AH63,SUMPRODUCT(AH62:AH63,F62:F63)/SUM(F62:F63),AH63))</f>
        <v>377.37150229471916</v>
      </c>
      <c r="AM63" s="411">
        <f>IF($C63="",AI63,IF(AI62&gt;AI63,SUMPRODUCT(AI62:AI63,G62:G63)/SUM(G62:G63),AI63))</f>
        <v>377.37150229471916</v>
      </c>
      <c r="AN63" s="411">
        <f>IF($C63="",AJ63,IF(AJ62&gt;AJ63,SUMPRODUCT(AJ62:AJ63,H62:H63)/SUM(H62:H63),AJ63))</f>
        <v>222.37054509562233</v>
      </c>
      <c r="AO63" s="411">
        <f>IF($C63="",AK63,IF(AK62&gt;AK63,SUMPRODUCT(AK62:AK63,I62:I63)/SUM(I62:I63),AK63))</f>
        <v>178.38095161955366</v>
      </c>
      <c r="AP63" s="411">
        <f t="shared" si="33"/>
        <v>377.37150229471916</v>
      </c>
      <c r="AQ63" s="411">
        <f t="shared" si="34"/>
        <v>377.37150229471916</v>
      </c>
      <c r="AR63" s="411">
        <f t="shared" si="35"/>
        <v>222.37054509562233</v>
      </c>
      <c r="AS63" s="411">
        <f t="shared" si="36"/>
        <v>178.38095161955366</v>
      </c>
      <c r="AT63" s="227" t="str">
        <f t="shared" si="5"/>
        <v/>
      </c>
      <c r="AU63" s="227" t="str">
        <f t="shared" si="37"/>
        <v/>
      </c>
      <c r="AV63" s="227" t="str">
        <f t="shared" si="38"/>
        <v/>
      </c>
      <c r="AW63" s="227" t="str">
        <f t="shared" si="39"/>
        <v/>
      </c>
      <c r="AX63" s="227" t="str">
        <f t="shared" si="49"/>
        <v/>
      </c>
      <c r="AY63" s="311" t="str">
        <f t="shared" si="51"/>
        <v/>
      </c>
      <c r="AZ63" s="311">
        <f t="shared" si="50"/>
        <v>377.37150229471916</v>
      </c>
      <c r="BA63" s="311">
        <f t="shared" si="40"/>
        <v>377.37150229471916</v>
      </c>
      <c r="BB63" s="311">
        <f t="shared" si="9"/>
        <v>222.37054509562233</v>
      </c>
      <c r="BC63" s="311">
        <f t="shared" si="48"/>
        <v>178.38095161955366</v>
      </c>
      <c r="BD63" s="227" t="str">
        <f t="shared" si="41"/>
        <v/>
      </c>
      <c r="BE63" s="227" t="str">
        <f t="shared" si="42"/>
        <v/>
      </c>
      <c r="BF63" s="227" t="str">
        <f t="shared" si="43"/>
        <v/>
      </c>
      <c r="BG63" s="227" t="str">
        <f t="shared" si="44"/>
        <v/>
      </c>
      <c r="BH63" s="227" t="str">
        <f t="shared" si="45"/>
        <v/>
      </c>
      <c r="BI63" s="227" t="str">
        <f t="shared" si="46"/>
        <v/>
      </c>
      <c r="BJ63" s="226">
        <f t="shared" si="47"/>
        <v>6065414.6375729488</v>
      </c>
      <c r="BK63" s="335"/>
    </row>
    <row r="64" spans="1:63">
      <c r="A64" s="231">
        <v>307</v>
      </c>
      <c r="B64" s="231" t="str">
        <f>VLOOKUP(A64,'201314 RC list'!A:B,2,FALSE)</f>
        <v>Diabetic Medicine</v>
      </c>
      <c r="C64" s="231" t="str">
        <f>$A$64&amp;"&amp;"&amp;$A$65</f>
        <v>307&amp;263</v>
      </c>
      <c r="D64" s="310" t="str">
        <f>IF(ISERROR(FIND("Paed",B64,1)),"A","C")</f>
        <v>A</v>
      </c>
      <c r="E64" s="231">
        <f>IF(ISERROR(VLOOKUP(A64,Mandatory!A:A,1,FALSE)),0,1)</f>
        <v>1</v>
      </c>
      <c r="F64" s="222">
        <f>VLOOKUP(A64,'Front-loading'!A:AG,$F$6,FALSE)</f>
        <v>11057</v>
      </c>
      <c r="G64" s="222">
        <f>VLOOKUP(A64,'Front-loading'!A:AG,$G$6,FALSE)</f>
        <v>107398</v>
      </c>
      <c r="H64" s="222">
        <f>VLOOKUP(A64,'Front-loading'!A:AG,$H$6,FALSE)</f>
        <v>63227</v>
      </c>
      <c r="I64" s="222">
        <f>VLOOKUP(A64,'Front-loading'!A:AG,$I$6,FALSE)</f>
        <v>552027</v>
      </c>
      <c r="J64" s="222">
        <f>VLOOKUP(A64,'Front-loading'!A:AG,$J$6,FALSE)</f>
        <v>3036787.2794436263</v>
      </c>
      <c r="K64" s="222">
        <f>VLOOKUP(A64,'Front-loading'!A:AG,$K$6,FALSE)</f>
        <v>23231413.711335827</v>
      </c>
      <c r="L64" s="222">
        <f>VLOOKUP(A64,'Front-loading'!A:AG,$L$6,FALSE)</f>
        <v>7899014.21782065</v>
      </c>
      <c r="M64" s="222">
        <f>VLOOKUP(A64,'Front-loading'!A:AG,$M$6,FALSE)</f>
        <v>57856322.795208342</v>
      </c>
      <c r="N64" s="223">
        <f t="shared" ref="N64:Q65" si="52">IF(F64=0,0,J64/F64)</f>
        <v>274.64839282297424</v>
      </c>
      <c r="O64" s="223">
        <f t="shared" si="52"/>
        <v>216.31141838149526</v>
      </c>
      <c r="P64" s="223">
        <f t="shared" si="52"/>
        <v>124.93102974711199</v>
      </c>
      <c r="Q64" s="223">
        <f t="shared" si="52"/>
        <v>104.80705254490874</v>
      </c>
      <c r="R64" s="409">
        <f t="shared" si="13"/>
        <v>274.64839282297424</v>
      </c>
      <c r="S64" s="409">
        <f t="shared" si="14"/>
        <v>216.31141838149526</v>
      </c>
      <c r="T64" s="409">
        <f t="shared" si="15"/>
        <v>124.93102974711199</v>
      </c>
      <c r="U64" s="409">
        <f t="shared" si="16"/>
        <v>104.80705254490874</v>
      </c>
      <c r="V64" s="411">
        <f>IF(ISERROR(R64),S64,R64)</f>
        <v>274.64839282297424</v>
      </c>
      <c r="W64" s="411">
        <f>S64</f>
        <v>216.31141838149526</v>
      </c>
      <c r="X64" s="411">
        <f>IF(ISERROR(T64),U64,T64)</f>
        <v>124.93102974711199</v>
      </c>
      <c r="Y64" s="411">
        <f>U64</f>
        <v>104.80705254490874</v>
      </c>
      <c r="Z64" s="411">
        <f>IF(F64=0,V64,IF(V64&lt;X64,((V64*F64)+(H64*X64))/(F64+H64),V64))</f>
        <v>274.64839282297424</v>
      </c>
      <c r="AA64" s="411">
        <f>IF(G64=0,W64,IF(W64&lt;Y64,((W64*G64)+(I64*Y64))/(G64+I64),W64))</f>
        <v>216.31141838149526</v>
      </c>
      <c r="AB64" s="411">
        <f>IF(F64=0,X64,IF(V64&lt;X64,((V64*F64)+(H64*X64))/(F64+H64),X64))</f>
        <v>124.93102974711199</v>
      </c>
      <c r="AC64" s="411">
        <f>IF(G64=0,Y64,IF(W64&lt;Y64,((W64*G64)+(I64*Y64))/(G64+I64),Y64))</f>
        <v>104.80705254490874</v>
      </c>
      <c r="AD64" s="411">
        <f>IF(Z64&lt;AA64,SUMPRODUCT(Z64:AA64,F64:G64)/SUM(F64:G64),Z64)</f>
        <v>274.64839282297424</v>
      </c>
      <c r="AE64" s="411">
        <f>IF(Z64&lt;AA64,SUMPRODUCT(Z64:AA64,F64:G64)/SUM(F64:G64),AA64)</f>
        <v>216.31141838149526</v>
      </c>
      <c r="AF64" s="411">
        <f>IF(AB64&lt;AC64,SUMPRODUCT(AB64:AC64,H64:I64)/SUM(H64:I64),AB64)</f>
        <v>124.93102974711199</v>
      </c>
      <c r="AG64" s="411">
        <f>IF(AB64&lt;AC64,SUMPRODUCT(AB64:AC64,H64:I64)/SUM(H64:I64),AC64)</f>
        <v>104.80705254490874</v>
      </c>
      <c r="AH64" s="411">
        <f>IF(AD64&gt;2*AE64,(SUMPRODUCT(AD64:AE64,F64:G64)/(2*F64+G64))*2,AD64)</f>
        <v>274.64839282297424</v>
      </c>
      <c r="AI64" s="411">
        <f>IF(AD64&gt;2*AE64,(SUMPRODUCT(AD64:AE64,F64:G64)/(2*F64+G64)),AE64)</f>
        <v>216.31141838149526</v>
      </c>
      <c r="AJ64" s="411">
        <f>IF(AF64&gt;2*AG64,(SUMPRODUCT(AF64:AG64,H64:I64)/(2*H64+I64))*2,AF64)</f>
        <v>124.93102974711199</v>
      </c>
      <c r="AK64" s="411">
        <f>IF(AF64&gt;2*AG64,(SUMPRODUCT(AF64:AG64,H64:I64)/(2*H64+I64)),AG64)</f>
        <v>104.80705254490874</v>
      </c>
      <c r="AL64" s="411">
        <f>IF($C64="",AH64,IF(AH64&gt;AH65,SUMPRODUCT(AH64:AH65,F64:F65)/SUM(F64:F65),AH64))</f>
        <v>272.40112471744942</v>
      </c>
      <c r="AM64" s="411">
        <f>IF($C64="",AI64,IF(AI64&gt;AI65,SUMPRODUCT(AI64:AI65,G64:G65)/SUM(G64:G65),AI64))</f>
        <v>215.9391454931407</v>
      </c>
      <c r="AN64" s="411">
        <f>IF($C64="",AJ64,IF(AJ64&gt;AJ65,SUMPRODUCT(AJ64:AJ65,H64:H65)/SUM(H64:H65),AJ64))</f>
        <v>122.88743199403187</v>
      </c>
      <c r="AO64" s="411">
        <f>IF($C64="",AK64,IF(AK64&gt;AK65,SUMPRODUCT(AK64:AK65,I64:I65)/SUM(I64:I65),AK64))</f>
        <v>104.11557016283905</v>
      </c>
      <c r="AP64" s="411">
        <f t="shared" ref="AP64:AS65" si="53">AL64</f>
        <v>272.40112471744942</v>
      </c>
      <c r="AQ64" s="411">
        <f t="shared" si="53"/>
        <v>215.9391454931407</v>
      </c>
      <c r="AR64" s="411">
        <f t="shared" si="53"/>
        <v>122.88743199403187</v>
      </c>
      <c r="AS64" s="411">
        <f t="shared" si="53"/>
        <v>104.11557016283905</v>
      </c>
      <c r="AT64" s="227" t="str">
        <f t="shared" si="5"/>
        <v/>
      </c>
      <c r="AU64" s="227" t="str">
        <f>IF(AQ64&lt;AS64,((AQ64*G64)+(AS64*I64))/(G64+I64),"")</f>
        <v/>
      </c>
      <c r="AV64" s="227" t="str">
        <f>IF(AP64&lt;AQ64,"2FA","")</f>
        <v/>
      </c>
      <c r="AW64" s="227" t="str">
        <f>IF(AR64&lt;AS64,"2FU","")</f>
        <v/>
      </c>
      <c r="AX64" s="227" t="str">
        <f>IF(AP64&gt;2*AQ64,2*AQ64,"")</f>
        <v/>
      </c>
      <c r="AY64" s="311" t="str">
        <f>IF(AR64&gt;2*AS64,2*AS64,"")</f>
        <v/>
      </c>
      <c r="AZ64" s="311">
        <f>IF(AX64="",AP64,AX64)</f>
        <v>272.40112471744942</v>
      </c>
      <c r="BA64" s="311">
        <f>AQ64</f>
        <v>215.9391454931407</v>
      </c>
      <c r="BB64" s="311">
        <f>IF(AT64&lt;&gt;"",AT64,IF(AY64&lt;&gt;"",AY64,AR64))</f>
        <v>122.88743199403187</v>
      </c>
      <c r="BC64" s="311">
        <f>IF(AU64="",AS64,AU64)</f>
        <v>104.11557016283905</v>
      </c>
      <c r="BD64" s="227" t="str">
        <f>IF(AZ64&lt;BB64,"1FA","")</f>
        <v/>
      </c>
      <c r="BE64" s="227" t="str">
        <f>IF(BA64&lt;BC64,"1FU","")</f>
        <v/>
      </c>
      <c r="BF64" s="227" t="str">
        <f>IF(AZ64&lt;BA64,"2FA","")</f>
        <v/>
      </c>
      <c r="BG64" s="227" t="str">
        <f>IF(BB64&lt;BC64,"2FU","")</f>
        <v/>
      </c>
      <c r="BH64" s="227" t="str">
        <f>IF(AZ64&gt;2*BA64,"3FA","")</f>
        <v/>
      </c>
      <c r="BI64" s="227" t="str">
        <f>IF(BB64&gt;2*BC64,"3FU","")</f>
        <v/>
      </c>
      <c r="BJ64" s="226">
        <f>SUMPRODUCT(AZ64:BC64,F64:I64)</f>
        <v>91447781.096641362</v>
      </c>
      <c r="BK64" s="335"/>
    </row>
    <row r="65" spans="1:66">
      <c r="A65" s="231">
        <v>263</v>
      </c>
      <c r="B65" s="231" t="str">
        <f>VLOOKUP(A65,'201314 RC list'!A:B,2,FALSE)</f>
        <v>Paediatric Diabetic Medicine</v>
      </c>
      <c r="C65" s="231" t="str">
        <f>$A$64&amp;"&amp;"&amp;$A$65</f>
        <v>307&amp;263</v>
      </c>
      <c r="D65" s="310" t="str">
        <f>IF(ISERROR(FIND("Paed",B65,1)),"A","C")</f>
        <v>C</v>
      </c>
      <c r="E65" s="231">
        <f>IF(ISERROR(VLOOKUP(A65,Mandatory!A:A,1,FALSE)),0,1)</f>
        <v>1</v>
      </c>
      <c r="F65" s="222">
        <f>VLOOKUP(A65,'Front-loading'!A:AG,$F$6,FALSE)</f>
        <v>334</v>
      </c>
      <c r="G65" s="222">
        <f>VLOOKUP(A65,'Front-loading'!A:AG,$G$6,FALSE)</f>
        <v>2216</v>
      </c>
      <c r="H65" s="222">
        <f>VLOOKUP(A65,'Front-loading'!A:AG,$H$6,FALSE)</f>
        <v>9782</v>
      </c>
      <c r="I65" s="222">
        <f>VLOOKUP(A65,'Front-loading'!A:AG,$I$6,FALSE)</f>
        <v>42150</v>
      </c>
      <c r="J65" s="222">
        <f>VLOOKUP(A65,'Front-loading'!A:AG,$J$6,FALSE)</f>
        <v>66133.932212839936</v>
      </c>
      <c r="K65" s="222">
        <f>VLOOKUP(A65,'Front-loading'!A:AG,$K$6,FALSE)</f>
        <v>438539.78274929966</v>
      </c>
      <c r="L65" s="222">
        <f>VLOOKUP(A65,'Front-loading'!A:AG,$L$6,FALSE)</f>
        <v>1072874.3046316223</v>
      </c>
      <c r="M65" s="222">
        <f>VLOOKUP(A65,'Front-loading'!A:AG,$M$6,FALSE)</f>
        <v>4006754.3374368828</v>
      </c>
      <c r="N65" s="223">
        <f t="shared" si="52"/>
        <v>198.00578506838303</v>
      </c>
      <c r="O65" s="223">
        <f t="shared" si="52"/>
        <v>197.89701387603776</v>
      </c>
      <c r="P65" s="223">
        <f t="shared" si="52"/>
        <v>109.67842001958927</v>
      </c>
      <c r="Q65" s="223">
        <f t="shared" si="52"/>
        <v>95.059414885809787</v>
      </c>
      <c r="R65" s="409">
        <f t="shared" si="13"/>
        <v>198.00578506838303</v>
      </c>
      <c r="S65" s="409">
        <f t="shared" si="14"/>
        <v>197.89701387603776</v>
      </c>
      <c r="T65" s="409">
        <f t="shared" si="15"/>
        <v>109.67842001958927</v>
      </c>
      <c r="U65" s="409">
        <f t="shared" si="16"/>
        <v>95.059414885809787</v>
      </c>
      <c r="V65" s="411">
        <f>IF(ISERROR(R65),S65,R65)</f>
        <v>198.00578506838303</v>
      </c>
      <c r="W65" s="411">
        <f>S65</f>
        <v>197.89701387603776</v>
      </c>
      <c r="X65" s="411">
        <f>IF(ISERROR(T65),U65,T65)</f>
        <v>109.67842001958927</v>
      </c>
      <c r="Y65" s="411">
        <f>U65</f>
        <v>95.059414885809787</v>
      </c>
      <c r="Z65" s="411">
        <f>IF(F65=0,V65,IF(V65&lt;X65,((V65*F65)+(H65*X65))/(F65+H65),V65))</f>
        <v>198.00578506838303</v>
      </c>
      <c r="AA65" s="411">
        <f>IF(G65=0,W65,IF(W65&lt;Y65,((W65*G65)+(I65*Y65))/(G65+I65),W65))</f>
        <v>197.89701387603776</v>
      </c>
      <c r="AB65" s="411">
        <f>IF(F65=0,X65,IF(V65&lt;X65,((V65*F65)+(H65*X65))/(F65+H65),X65))</f>
        <v>109.67842001958927</v>
      </c>
      <c r="AC65" s="411">
        <f>IF(G65=0,Y65,IF(W65&lt;Y65,((W65*G65)+(I65*Y65))/(G65+I65),Y65))</f>
        <v>95.059414885809787</v>
      </c>
      <c r="AD65" s="411">
        <f>IF(Z65&lt;AA65,SUMPRODUCT(Z65:AA65,F65:G65)/SUM(F65:G65),Z65)</f>
        <v>198.00578506838303</v>
      </c>
      <c r="AE65" s="411">
        <f>IF(Z65&lt;AA65,SUMPRODUCT(Z65:AA65,F65:G65)/SUM(F65:G65),AA65)</f>
        <v>197.89701387603776</v>
      </c>
      <c r="AF65" s="411">
        <f>IF(AB65&lt;AC65,SUMPRODUCT(AB65:AC65,H65:I65)/SUM(H65:I65),AB65)</f>
        <v>109.67842001958927</v>
      </c>
      <c r="AG65" s="411">
        <f>IF(AB65&lt;AC65,SUMPRODUCT(AB65:AC65,H65:I65)/SUM(H65:I65),AC65)</f>
        <v>95.059414885809787</v>
      </c>
      <c r="AH65" s="411">
        <f>IF(AD65&gt;2*AE65,(SUMPRODUCT(AD65:AE65,F65:G65)/(2*F65+G65))*2,AD65)</f>
        <v>198.00578506838303</v>
      </c>
      <c r="AI65" s="411">
        <f>IF(AD65&gt;2*AE65,(SUMPRODUCT(AD65:AE65,F65:G65)/(2*F65+G65)),AE65)</f>
        <v>197.89701387603776</v>
      </c>
      <c r="AJ65" s="411">
        <f>IF(AF65&gt;2*AG65,(SUMPRODUCT(AF65:AG65,H65:I65)/(2*H65+I65))*2,AF65)</f>
        <v>109.67842001958927</v>
      </c>
      <c r="AK65" s="411">
        <f>IF(AF65&gt;2*AG65,(SUMPRODUCT(AF65:AG65,H65:I65)/(2*H65+I65)),AG65)</f>
        <v>95.059414885809787</v>
      </c>
      <c r="AL65" s="411">
        <f>IF($C65="",AH65,IF(AH64&gt;AH65,SUMPRODUCT(AH64:AH65,F64:F65)/SUM(F64:F65),AH65))</f>
        <v>272.40112471744942</v>
      </c>
      <c r="AM65" s="411">
        <f>IF($C65="",AI65,IF(AI64&gt;AI65,SUMPRODUCT(AI64:AI65,G64:G65)/SUM(G64:G65),AI65))</f>
        <v>215.9391454931407</v>
      </c>
      <c r="AN65" s="411">
        <f>IF($C65="",AJ65,IF(AJ64&gt;AJ65,SUMPRODUCT(AJ64:AJ65,H64:H65)/SUM(H64:H65),AJ65))</f>
        <v>122.88743199403187</v>
      </c>
      <c r="AO65" s="411">
        <f>IF($C65="",AK65,IF(AK64&gt;AK65,SUMPRODUCT(AK64:AK65,I64:I65)/SUM(I64:I65),AK65))</f>
        <v>104.11557016283905</v>
      </c>
      <c r="AP65" s="411">
        <f t="shared" si="53"/>
        <v>272.40112471744942</v>
      </c>
      <c r="AQ65" s="411">
        <f t="shared" si="53"/>
        <v>215.9391454931407</v>
      </c>
      <c r="AR65" s="411">
        <f t="shared" si="53"/>
        <v>122.88743199403187</v>
      </c>
      <c r="AS65" s="411">
        <f t="shared" si="53"/>
        <v>104.11557016283905</v>
      </c>
      <c r="AT65" s="227" t="str">
        <f t="shared" si="5"/>
        <v/>
      </c>
      <c r="AU65" s="227" t="str">
        <f>IF(AQ65&lt;AS65,((AQ65*G65)+(AS65*I65))/(G65+I65),"")</f>
        <v/>
      </c>
      <c r="AV65" s="227" t="str">
        <f>IF(AP65&lt;AQ65,"2FA","")</f>
        <v/>
      </c>
      <c r="AW65" s="227" t="str">
        <f>IF(AR65&lt;AS65,"2FU","")</f>
        <v/>
      </c>
      <c r="AX65" s="227" t="str">
        <f>IF(AP65&gt;2*AQ65,2*AQ65,"")</f>
        <v/>
      </c>
      <c r="AY65" s="311" t="str">
        <f>IF(AR65&gt;2*AS65,2*AS65,"")</f>
        <v/>
      </c>
      <c r="AZ65" s="311">
        <f>IF(AX65="",AP65,AX65)</f>
        <v>272.40112471744942</v>
      </c>
      <c r="BA65" s="311">
        <f>AQ65</f>
        <v>215.9391454931407</v>
      </c>
      <c r="BB65" s="311">
        <f>IF(AT65&lt;&gt;"",AT65,IF(AY65&lt;&gt;"",AY65,AR65))</f>
        <v>122.88743199403187</v>
      </c>
      <c r="BC65" s="311">
        <f>IF(AU65="",AS65,AU65)</f>
        <v>104.11557016283905</v>
      </c>
      <c r="BD65" s="227" t="str">
        <f>IF(AZ65&lt;BB65,"1FA","")</f>
        <v/>
      </c>
      <c r="BE65" s="227" t="str">
        <f>IF(BA65&lt;BC65,"1FU","")</f>
        <v/>
      </c>
      <c r="BF65" s="227" t="str">
        <f>IF(AZ65&lt;BA65,"2FA","")</f>
        <v/>
      </c>
      <c r="BG65" s="227" t="str">
        <f>IF(BB65&lt;BC65,"2FU","")</f>
        <v/>
      </c>
      <c r="BH65" s="227" t="str">
        <f>IF(AZ65&gt;2*BA65,"3FA","")</f>
        <v/>
      </c>
      <c r="BI65" s="227" t="str">
        <f>IF(BB65&gt;2*BC65,"3FU","")</f>
        <v/>
      </c>
      <c r="BJ65" s="226">
        <f>SUMPRODUCT(AZ65:BC65,F65:I65)</f>
        <v>6160059.2641977137</v>
      </c>
      <c r="BK65" s="335"/>
    </row>
    <row r="66" spans="1:66">
      <c r="A66" s="231">
        <v>100</v>
      </c>
      <c r="B66" s="231" t="str">
        <f>VLOOKUP(A66,'201314 RC list'!A:B,2,FALSE)</f>
        <v>General Surgery</v>
      </c>
      <c r="C66" s="231"/>
      <c r="D66" s="310" t="str">
        <f t="shared" si="11"/>
        <v>A</v>
      </c>
      <c r="E66" s="231">
        <f>IF(ISERROR(VLOOKUP(A66,Mandatory!A:A,1,FALSE)),0,1)</f>
        <v>1</v>
      </c>
      <c r="F66" s="222">
        <f>VLOOKUP(A66,'Front-loading'!A:AG,$F$6,FALSE)</f>
        <v>9575</v>
      </c>
      <c r="G66" s="222">
        <f>VLOOKUP(A66,'Front-loading'!A:AG,$G$6,FALSE)</f>
        <v>657468</v>
      </c>
      <c r="H66" s="222">
        <f>VLOOKUP(A66,'Front-loading'!A:AG,$H$6,FALSE)</f>
        <v>12498</v>
      </c>
      <c r="I66" s="222">
        <f>VLOOKUP(A66,'Front-loading'!A:AG,$I$6,FALSE)</f>
        <v>908710</v>
      </c>
      <c r="J66" s="222">
        <f>VLOOKUP(A66,'Front-loading'!A:AG,$J$6,FALSE)</f>
        <v>1817818.1868858414</v>
      </c>
      <c r="K66" s="222">
        <f>VLOOKUP(A66,'Front-loading'!A:AG,$K$6,FALSE)</f>
        <v>100288004.8240272</v>
      </c>
      <c r="L66" s="222">
        <f>VLOOKUP(A66,'Front-loading'!A:AG,$L$6,FALSE)</f>
        <v>1805292.56560013</v>
      </c>
      <c r="M66" s="222">
        <f>VLOOKUP(A66,'Front-loading'!A:AG,$M$6,FALSE)</f>
        <v>84886037.741387904</v>
      </c>
      <c r="N66" s="223">
        <f t="shared" si="12"/>
        <v>189.85046338233332</v>
      </c>
      <c r="O66" s="223">
        <f t="shared" si="12"/>
        <v>152.53670874328057</v>
      </c>
      <c r="P66" s="223">
        <f t="shared" si="12"/>
        <v>144.44651669068091</v>
      </c>
      <c r="Q66" s="223">
        <f t="shared" si="12"/>
        <v>93.413781890138665</v>
      </c>
      <c r="R66" s="409">
        <f t="shared" si="13"/>
        <v>189.85046338233332</v>
      </c>
      <c r="S66" s="409">
        <f t="shared" si="14"/>
        <v>152.53670874328057</v>
      </c>
      <c r="T66" s="409">
        <f t="shared" si="15"/>
        <v>144.44651669068091</v>
      </c>
      <c r="U66" s="409">
        <f t="shared" si="16"/>
        <v>93.413781890138665</v>
      </c>
      <c r="V66" s="411">
        <f t="shared" si="17"/>
        <v>189.85046338233332</v>
      </c>
      <c r="W66" s="411">
        <f t="shared" si="18"/>
        <v>152.53670874328057</v>
      </c>
      <c r="X66" s="411">
        <f t="shared" si="19"/>
        <v>144.44651669068091</v>
      </c>
      <c r="Y66" s="411">
        <f t="shared" si="20"/>
        <v>93.413781890138665</v>
      </c>
      <c r="Z66" s="411">
        <f t="shared" si="21"/>
        <v>189.85046338233332</v>
      </c>
      <c r="AA66" s="411">
        <f t="shared" si="22"/>
        <v>152.53670874328057</v>
      </c>
      <c r="AB66" s="411">
        <f t="shared" si="23"/>
        <v>144.44651669068091</v>
      </c>
      <c r="AC66" s="411">
        <f t="shared" si="24"/>
        <v>93.413781890138665</v>
      </c>
      <c r="AD66" s="411">
        <f t="shared" si="25"/>
        <v>189.85046338233332</v>
      </c>
      <c r="AE66" s="411">
        <f t="shared" si="26"/>
        <v>152.53670874328057</v>
      </c>
      <c r="AF66" s="411">
        <f t="shared" si="27"/>
        <v>144.44651669068091</v>
      </c>
      <c r="AG66" s="411">
        <f t="shared" si="28"/>
        <v>93.413781890138665</v>
      </c>
      <c r="AH66" s="411">
        <f t="shared" si="29"/>
        <v>189.85046338233332</v>
      </c>
      <c r="AI66" s="411">
        <f t="shared" si="30"/>
        <v>152.53670874328057</v>
      </c>
      <c r="AJ66" s="411">
        <f t="shared" si="31"/>
        <v>144.44651669068091</v>
      </c>
      <c r="AK66" s="411">
        <f t="shared" si="32"/>
        <v>93.413781890138665</v>
      </c>
      <c r="AL66" s="411">
        <f>AH66</f>
        <v>189.85046338233332</v>
      </c>
      <c r="AM66" s="411">
        <f t="shared" ref="AM66:AM129" si="54">AI66</f>
        <v>152.53670874328057</v>
      </c>
      <c r="AN66" s="411">
        <f t="shared" ref="AN66:AN129" si="55">AJ66</f>
        <v>144.44651669068091</v>
      </c>
      <c r="AO66" s="411">
        <f t="shared" ref="AO66:AO129" si="56">AK66</f>
        <v>93.413781890138665</v>
      </c>
      <c r="AP66" s="411">
        <f t="shared" si="33"/>
        <v>189.85046338233332</v>
      </c>
      <c r="AQ66" s="411">
        <f t="shared" si="34"/>
        <v>152.53670874328057</v>
      </c>
      <c r="AR66" s="411">
        <f t="shared" si="35"/>
        <v>144.44651669068091</v>
      </c>
      <c r="AS66" s="411">
        <f t="shared" si="36"/>
        <v>93.413781890138665</v>
      </c>
      <c r="AT66" s="227" t="str">
        <f t="shared" si="5"/>
        <v/>
      </c>
      <c r="AU66" s="227" t="str">
        <f t="shared" si="37"/>
        <v/>
      </c>
      <c r="AV66" s="227" t="str">
        <f t="shared" si="38"/>
        <v/>
      </c>
      <c r="AW66" s="227" t="str">
        <f t="shared" si="39"/>
        <v/>
      </c>
      <c r="AX66" s="227" t="str">
        <f t="shared" si="49"/>
        <v/>
      </c>
      <c r="AY66" s="311" t="str">
        <f t="shared" si="51"/>
        <v/>
      </c>
      <c r="AZ66" s="311">
        <f t="shared" si="50"/>
        <v>189.85046338233332</v>
      </c>
      <c r="BA66" s="311">
        <f t="shared" si="40"/>
        <v>152.53670874328057</v>
      </c>
      <c r="BB66" s="311">
        <f t="shared" si="9"/>
        <v>144.44651669068091</v>
      </c>
      <c r="BC66" s="311">
        <f t="shared" si="48"/>
        <v>93.413781890138665</v>
      </c>
      <c r="BD66" s="227" t="str">
        <f t="shared" si="41"/>
        <v/>
      </c>
      <c r="BE66" s="227" t="str">
        <f t="shared" si="42"/>
        <v/>
      </c>
      <c r="BF66" s="227" t="str">
        <f t="shared" si="43"/>
        <v/>
      </c>
      <c r="BG66" s="227" t="str">
        <f t="shared" si="44"/>
        <v/>
      </c>
      <c r="BH66" s="227" t="str">
        <f t="shared" si="45"/>
        <v/>
      </c>
      <c r="BI66" s="227" t="str">
        <f t="shared" si="46"/>
        <v/>
      </c>
      <c r="BJ66" s="226">
        <f t="shared" si="47"/>
        <v>188797153.31790107</v>
      </c>
      <c r="BK66" s="335"/>
      <c r="BL66" s="335"/>
      <c r="BM66" s="335"/>
      <c r="BN66" s="335"/>
    </row>
    <row r="67" spans="1:66">
      <c r="A67" s="231">
        <v>103</v>
      </c>
      <c r="B67" s="231" t="str">
        <f>VLOOKUP(A67,'201314 RC list'!A:B,2,FALSE)</f>
        <v>Breast Surgery</v>
      </c>
      <c r="C67" s="231"/>
      <c r="D67" s="310" t="str">
        <f t="shared" si="11"/>
        <v>A</v>
      </c>
      <c r="E67" s="231">
        <f>IF(ISERROR(VLOOKUP(A67,Mandatory!A:A,1,FALSE)),0,1)</f>
        <v>1</v>
      </c>
      <c r="F67" s="222">
        <f>VLOOKUP(A67,'Front-loading'!A:AG,$F$6,FALSE)</f>
        <v>59739</v>
      </c>
      <c r="G67" s="222">
        <f>VLOOKUP(A67,'Front-loading'!A:AG,$G$6,FALSE)</f>
        <v>351185</v>
      </c>
      <c r="H67" s="222">
        <f>VLOOKUP(A67,'Front-loading'!A:AG,$H$6,FALSE)</f>
        <v>37980</v>
      </c>
      <c r="I67" s="222">
        <f>VLOOKUP(A67,'Front-loading'!A:AG,$I$6,FALSE)</f>
        <v>449529</v>
      </c>
      <c r="J67" s="222">
        <f>VLOOKUP(A67,'Front-loading'!A:AG,$J$6,FALSE)</f>
        <v>10848588.563306993</v>
      </c>
      <c r="K67" s="222">
        <f>VLOOKUP(A67,'Front-loading'!A:AG,$K$6,FALSE)</f>
        <v>59356764.069738843</v>
      </c>
      <c r="L67" s="222">
        <f>VLOOKUP(A67,'Front-loading'!A:AG,$L$6,FALSE)</f>
        <v>4564257.5900674434</v>
      </c>
      <c r="M67" s="222">
        <f>VLOOKUP(A67,'Front-loading'!A:AG,$M$6,FALSE)</f>
        <v>44465789.52472049</v>
      </c>
      <c r="N67" s="223">
        <f t="shared" si="12"/>
        <v>181.59976838090682</v>
      </c>
      <c r="O67" s="223">
        <f t="shared" si="12"/>
        <v>169.01850611426696</v>
      </c>
      <c r="P67" s="223">
        <f t="shared" si="12"/>
        <v>120.17529199756302</v>
      </c>
      <c r="Q67" s="223">
        <f t="shared" si="12"/>
        <v>98.916398107175482</v>
      </c>
      <c r="R67" s="409">
        <f t="shared" si="13"/>
        <v>181.59976838090682</v>
      </c>
      <c r="S67" s="409">
        <f t="shared" si="14"/>
        <v>169.01850611426696</v>
      </c>
      <c r="T67" s="409">
        <f t="shared" si="15"/>
        <v>120.17529199756302</v>
      </c>
      <c r="U67" s="409">
        <f t="shared" si="16"/>
        <v>98.916398107175482</v>
      </c>
      <c r="V67" s="411">
        <f t="shared" si="17"/>
        <v>181.59976838090682</v>
      </c>
      <c r="W67" s="411">
        <f t="shared" si="18"/>
        <v>169.01850611426696</v>
      </c>
      <c r="X67" s="411">
        <f t="shared" si="19"/>
        <v>120.17529199756302</v>
      </c>
      <c r="Y67" s="411">
        <f t="shared" si="20"/>
        <v>98.916398107175482</v>
      </c>
      <c r="Z67" s="411">
        <f t="shared" si="21"/>
        <v>181.59976838090682</v>
      </c>
      <c r="AA67" s="411">
        <f t="shared" si="22"/>
        <v>169.01850611426696</v>
      </c>
      <c r="AB67" s="411">
        <f t="shared" si="23"/>
        <v>120.17529199756302</v>
      </c>
      <c r="AC67" s="411">
        <f t="shared" si="24"/>
        <v>98.916398107175482</v>
      </c>
      <c r="AD67" s="411">
        <f t="shared" si="25"/>
        <v>181.59976838090682</v>
      </c>
      <c r="AE67" s="411">
        <f t="shared" si="26"/>
        <v>169.01850611426696</v>
      </c>
      <c r="AF67" s="411">
        <f t="shared" si="27"/>
        <v>120.17529199756302</v>
      </c>
      <c r="AG67" s="411">
        <f t="shared" si="28"/>
        <v>98.916398107175482</v>
      </c>
      <c r="AH67" s="411">
        <f t="shared" si="29"/>
        <v>181.59976838090682</v>
      </c>
      <c r="AI67" s="411">
        <f t="shared" si="30"/>
        <v>169.01850611426696</v>
      </c>
      <c r="AJ67" s="411">
        <f t="shared" si="31"/>
        <v>120.17529199756302</v>
      </c>
      <c r="AK67" s="411">
        <f t="shared" si="32"/>
        <v>98.916398107175482</v>
      </c>
      <c r="AL67" s="411">
        <f t="shared" ref="AL67:AL130" si="57">AH67</f>
        <v>181.59976838090682</v>
      </c>
      <c r="AM67" s="411">
        <f t="shared" si="54"/>
        <v>169.01850611426696</v>
      </c>
      <c r="AN67" s="411">
        <f t="shared" si="55"/>
        <v>120.17529199756302</v>
      </c>
      <c r="AO67" s="411">
        <f t="shared" si="56"/>
        <v>98.916398107175482</v>
      </c>
      <c r="AP67" s="411">
        <f t="shared" si="33"/>
        <v>181.59976838090682</v>
      </c>
      <c r="AQ67" s="411">
        <f t="shared" si="34"/>
        <v>169.01850611426696</v>
      </c>
      <c r="AR67" s="411">
        <f t="shared" si="35"/>
        <v>120.17529199756302</v>
      </c>
      <c r="AS67" s="411">
        <f t="shared" si="36"/>
        <v>98.916398107175482</v>
      </c>
      <c r="AT67" s="227" t="str">
        <f t="shared" si="5"/>
        <v/>
      </c>
      <c r="AU67" s="227" t="str">
        <f t="shared" si="37"/>
        <v/>
      </c>
      <c r="AV67" s="227" t="str">
        <f t="shared" si="38"/>
        <v/>
      </c>
      <c r="AW67" s="227" t="str">
        <f t="shared" si="39"/>
        <v/>
      </c>
      <c r="AX67" s="227" t="str">
        <f t="shared" si="49"/>
        <v/>
      </c>
      <c r="AY67" s="311" t="str">
        <f t="shared" si="51"/>
        <v/>
      </c>
      <c r="AZ67" s="311">
        <f t="shared" si="50"/>
        <v>181.59976838090682</v>
      </c>
      <c r="BA67" s="311">
        <f t="shared" si="40"/>
        <v>169.01850611426696</v>
      </c>
      <c r="BB67" s="311">
        <f t="shared" si="9"/>
        <v>120.17529199756302</v>
      </c>
      <c r="BC67" s="311">
        <f t="shared" si="48"/>
        <v>98.916398107175482</v>
      </c>
      <c r="BD67" s="227" t="str">
        <f t="shared" si="41"/>
        <v/>
      </c>
      <c r="BE67" s="227" t="str">
        <f t="shared" si="42"/>
        <v/>
      </c>
      <c r="BF67" s="227" t="str">
        <f t="shared" si="43"/>
        <v/>
      </c>
      <c r="BG67" s="227" t="str">
        <f t="shared" si="44"/>
        <v/>
      </c>
      <c r="BH67" s="227" t="str">
        <f t="shared" si="45"/>
        <v/>
      </c>
      <c r="BI67" s="227" t="str">
        <f t="shared" si="46"/>
        <v/>
      </c>
      <c r="BJ67" s="226">
        <f t="shared" si="47"/>
        <v>119235399.74783377</v>
      </c>
      <c r="BK67" s="335"/>
      <c r="BL67" s="335"/>
      <c r="BM67" s="335"/>
      <c r="BN67" s="335"/>
    </row>
    <row r="68" spans="1:66">
      <c r="A68" s="231">
        <v>104</v>
      </c>
      <c r="B68" s="231" t="str">
        <f>VLOOKUP(A68,'201314 RC list'!A:B,2,FALSE)</f>
        <v>Colorectal Surgery</v>
      </c>
      <c r="C68" s="231"/>
      <c r="D68" s="310" t="str">
        <f t="shared" si="11"/>
        <v>A</v>
      </c>
      <c r="E68" s="231">
        <f>IF(ISERROR(VLOOKUP(A68,Mandatory!A:A,1,FALSE)),0,1)</f>
        <v>1</v>
      </c>
      <c r="F68" s="222">
        <f>VLOOKUP(A68,'Front-loading'!A:AG,$F$6,FALSE)</f>
        <v>3058</v>
      </c>
      <c r="G68" s="222">
        <f>VLOOKUP(A68,'Front-loading'!A:AG,$G$6,FALSE)</f>
        <v>195049</v>
      </c>
      <c r="H68" s="222">
        <f>VLOOKUP(A68,'Front-loading'!A:AG,$H$6,FALSE)</f>
        <v>9234</v>
      </c>
      <c r="I68" s="222">
        <f>VLOOKUP(A68,'Front-loading'!A:AG,$I$6,FALSE)</f>
        <v>261043</v>
      </c>
      <c r="J68" s="222">
        <f>VLOOKUP(A68,'Front-loading'!A:AG,$J$6,FALSE)</f>
        <v>743683.69130527647</v>
      </c>
      <c r="K68" s="222">
        <f>VLOOKUP(A68,'Front-loading'!A:AG,$K$6,FALSE)</f>
        <v>25781495.624938704</v>
      </c>
      <c r="L68" s="222">
        <f>VLOOKUP(A68,'Front-loading'!A:AG,$L$6,FALSE)</f>
        <v>2062253.7762084343</v>
      </c>
      <c r="M68" s="222">
        <f>VLOOKUP(A68,'Front-loading'!A:AG,$M$6,FALSE)</f>
        <v>22822679.478141602</v>
      </c>
      <c r="N68" s="223">
        <f t="shared" si="12"/>
        <v>243.19283561323627</v>
      </c>
      <c r="O68" s="223">
        <f t="shared" si="12"/>
        <v>132.17958371967404</v>
      </c>
      <c r="P68" s="223">
        <f t="shared" si="12"/>
        <v>223.3326593251499</v>
      </c>
      <c r="Q68" s="223">
        <f t="shared" si="12"/>
        <v>87.428812410758383</v>
      </c>
      <c r="R68" s="409">
        <f t="shared" si="13"/>
        <v>243.19283561323627</v>
      </c>
      <c r="S68" s="409">
        <f t="shared" si="14"/>
        <v>132.17958371967404</v>
      </c>
      <c r="T68" s="409">
        <f t="shared" si="15"/>
        <v>223.3326593251499</v>
      </c>
      <c r="U68" s="409">
        <f t="shared" si="16"/>
        <v>87.428812410758383</v>
      </c>
      <c r="V68" s="411">
        <f t="shared" si="17"/>
        <v>243.19283561323627</v>
      </c>
      <c r="W68" s="411">
        <f t="shared" si="18"/>
        <v>132.17958371967404</v>
      </c>
      <c r="X68" s="411">
        <f t="shared" si="19"/>
        <v>223.3326593251499</v>
      </c>
      <c r="Y68" s="411">
        <f t="shared" si="20"/>
        <v>87.428812410758383</v>
      </c>
      <c r="Z68" s="411">
        <f t="shared" si="21"/>
        <v>243.19283561323627</v>
      </c>
      <c r="AA68" s="411">
        <f t="shared" si="22"/>
        <v>132.17958371967404</v>
      </c>
      <c r="AB68" s="411">
        <f t="shared" si="23"/>
        <v>223.3326593251499</v>
      </c>
      <c r="AC68" s="411">
        <f t="shared" si="24"/>
        <v>87.428812410758383</v>
      </c>
      <c r="AD68" s="411">
        <f t="shared" si="25"/>
        <v>243.19283561323627</v>
      </c>
      <c r="AE68" s="411">
        <f t="shared" si="26"/>
        <v>132.17958371967404</v>
      </c>
      <c r="AF68" s="411">
        <f t="shared" si="27"/>
        <v>223.3326593251499</v>
      </c>
      <c r="AG68" s="411">
        <f t="shared" si="28"/>
        <v>87.428812410758383</v>
      </c>
      <c r="AH68" s="411">
        <f t="shared" si="29"/>
        <v>243.19283561323627</v>
      </c>
      <c r="AI68" s="411">
        <f t="shared" si="30"/>
        <v>132.17958371967404</v>
      </c>
      <c r="AJ68" s="411">
        <f t="shared" si="31"/>
        <v>178.06049317808626</v>
      </c>
      <c r="AK68" s="411">
        <f t="shared" si="32"/>
        <v>89.030246589043131</v>
      </c>
      <c r="AL68" s="411">
        <f t="shared" si="57"/>
        <v>243.19283561323627</v>
      </c>
      <c r="AM68" s="411">
        <f t="shared" si="54"/>
        <v>132.17958371967404</v>
      </c>
      <c r="AN68" s="411">
        <f t="shared" si="55"/>
        <v>178.06049317808626</v>
      </c>
      <c r="AO68" s="411">
        <f t="shared" si="56"/>
        <v>89.030246589043131</v>
      </c>
      <c r="AP68" s="411">
        <f t="shared" si="33"/>
        <v>243.19283561323627</v>
      </c>
      <c r="AQ68" s="411">
        <f t="shared" si="34"/>
        <v>132.17958371967404</v>
      </c>
      <c r="AR68" s="411">
        <f t="shared" si="35"/>
        <v>178.06049317808626</v>
      </c>
      <c r="AS68" s="411">
        <f t="shared" si="36"/>
        <v>89.030246589043131</v>
      </c>
      <c r="AT68" s="227" t="str">
        <f t="shared" si="5"/>
        <v/>
      </c>
      <c r="AU68" s="227" t="str">
        <f t="shared" si="37"/>
        <v/>
      </c>
      <c r="AV68" s="227" t="str">
        <f t="shared" si="38"/>
        <v/>
      </c>
      <c r="AW68" s="227" t="str">
        <f t="shared" si="39"/>
        <v/>
      </c>
      <c r="AX68" s="227" t="str">
        <f t="shared" si="49"/>
        <v/>
      </c>
      <c r="AY68" s="311" t="str">
        <f t="shared" si="51"/>
        <v/>
      </c>
      <c r="AZ68" s="311">
        <f t="shared" si="50"/>
        <v>243.19283561323627</v>
      </c>
      <c r="BA68" s="311">
        <f t="shared" si="40"/>
        <v>132.17958371967404</v>
      </c>
      <c r="BB68" s="311">
        <f t="shared" si="9"/>
        <v>178.06049317808626</v>
      </c>
      <c r="BC68" s="311">
        <f t="shared" si="48"/>
        <v>89.030246589043131</v>
      </c>
      <c r="BD68" s="227" t="str">
        <f t="shared" si="41"/>
        <v/>
      </c>
      <c r="BE68" s="227" t="str">
        <f t="shared" si="42"/>
        <v/>
      </c>
      <c r="BF68" s="227" t="str">
        <f t="shared" si="43"/>
        <v/>
      </c>
      <c r="BG68" s="227" t="str">
        <f t="shared" si="44"/>
        <v/>
      </c>
      <c r="BH68" s="227" t="str">
        <f t="shared" si="45"/>
        <v/>
      </c>
      <c r="BI68" s="227" t="str">
        <f t="shared" si="46"/>
        <v/>
      </c>
      <c r="BJ68" s="226">
        <f t="shared" si="47"/>
        <v>51410112.570594013</v>
      </c>
      <c r="BK68" s="335"/>
      <c r="BL68" s="335"/>
      <c r="BM68" s="335"/>
      <c r="BN68" s="335"/>
    </row>
    <row r="69" spans="1:66">
      <c r="A69" s="231">
        <v>105</v>
      </c>
      <c r="B69" s="231" t="str">
        <f>VLOOKUP(A69,'201314 RC list'!A:B,2,FALSE)</f>
        <v>Hepatobiliary &amp; Pancreatic Surgery</v>
      </c>
      <c r="C69" s="231"/>
      <c r="D69" s="310" t="str">
        <f t="shared" si="11"/>
        <v>A</v>
      </c>
      <c r="E69" s="231">
        <f>IF(ISERROR(VLOOKUP(A69,Mandatory!A:A,1,FALSE)),0,1)</f>
        <v>1</v>
      </c>
      <c r="F69" s="222">
        <f>VLOOKUP(A69,'Front-loading'!A:AG,$F$6,FALSE)</f>
        <v>1595</v>
      </c>
      <c r="G69" s="222">
        <f>VLOOKUP(A69,'Front-loading'!A:AG,$G$6,FALSE)</f>
        <v>12389</v>
      </c>
      <c r="H69" s="222">
        <f>VLOOKUP(A69,'Front-loading'!A:AG,$H$6,FALSE)</f>
        <v>4088</v>
      </c>
      <c r="I69" s="222">
        <f>VLOOKUP(A69,'Front-loading'!A:AG,$I$6,FALSE)</f>
        <v>28799</v>
      </c>
      <c r="J69" s="222">
        <f>VLOOKUP(A69,'Front-loading'!A:AG,$J$6,FALSE)</f>
        <v>413394.35307654849</v>
      </c>
      <c r="K69" s="222">
        <f>VLOOKUP(A69,'Front-loading'!A:AG,$K$6,FALSE)</f>
        <v>2173875.7147761672</v>
      </c>
      <c r="L69" s="222">
        <f>VLOOKUP(A69,'Front-loading'!A:AG,$L$6,FALSE)</f>
        <v>745249.21758572396</v>
      </c>
      <c r="M69" s="222">
        <f>VLOOKUP(A69,'Front-loading'!A:AG,$M$6,FALSE)</f>
        <v>3401925.0551839159</v>
      </c>
      <c r="N69" s="223">
        <f t="shared" si="12"/>
        <v>259.18141258717776</v>
      </c>
      <c r="O69" s="223">
        <f t="shared" si="12"/>
        <v>175.46821493067779</v>
      </c>
      <c r="P69" s="223">
        <f t="shared" si="12"/>
        <v>182.30166770687964</v>
      </c>
      <c r="Q69" s="223">
        <f t="shared" si="12"/>
        <v>118.12649936400277</v>
      </c>
      <c r="R69" s="409">
        <f t="shared" si="13"/>
        <v>259.18141258717776</v>
      </c>
      <c r="S69" s="409">
        <f t="shared" si="14"/>
        <v>175.46821493067779</v>
      </c>
      <c r="T69" s="409">
        <f t="shared" si="15"/>
        <v>182.30166770687964</v>
      </c>
      <c r="U69" s="409">
        <f t="shared" si="16"/>
        <v>118.12649936400277</v>
      </c>
      <c r="V69" s="411">
        <f t="shared" si="17"/>
        <v>259.18141258717776</v>
      </c>
      <c r="W69" s="411">
        <f t="shared" si="18"/>
        <v>175.46821493067779</v>
      </c>
      <c r="X69" s="411">
        <f t="shared" si="19"/>
        <v>182.30166770687964</v>
      </c>
      <c r="Y69" s="411">
        <f t="shared" si="20"/>
        <v>118.12649936400277</v>
      </c>
      <c r="Z69" s="411">
        <f t="shared" si="21"/>
        <v>259.18141258717776</v>
      </c>
      <c r="AA69" s="411">
        <f t="shared" si="22"/>
        <v>175.46821493067779</v>
      </c>
      <c r="AB69" s="411">
        <f t="shared" si="23"/>
        <v>182.30166770687964</v>
      </c>
      <c r="AC69" s="411">
        <f t="shared" si="24"/>
        <v>118.12649936400277</v>
      </c>
      <c r="AD69" s="411">
        <f t="shared" si="25"/>
        <v>259.18141258717776</v>
      </c>
      <c r="AE69" s="411">
        <f t="shared" si="26"/>
        <v>175.46821493067779</v>
      </c>
      <c r="AF69" s="411">
        <f t="shared" si="27"/>
        <v>182.30166770687964</v>
      </c>
      <c r="AG69" s="411">
        <f t="shared" si="28"/>
        <v>118.12649936400277</v>
      </c>
      <c r="AH69" s="411">
        <f t="shared" si="29"/>
        <v>259.18141258717776</v>
      </c>
      <c r="AI69" s="411">
        <f t="shared" si="30"/>
        <v>175.46821493067779</v>
      </c>
      <c r="AJ69" s="411">
        <f t="shared" si="31"/>
        <v>182.30166770687964</v>
      </c>
      <c r="AK69" s="411">
        <f t="shared" si="32"/>
        <v>118.12649936400277</v>
      </c>
      <c r="AL69" s="411">
        <f t="shared" si="57"/>
        <v>259.18141258717776</v>
      </c>
      <c r="AM69" s="411">
        <f t="shared" si="54"/>
        <v>175.46821493067779</v>
      </c>
      <c r="AN69" s="411">
        <f t="shared" si="55"/>
        <v>182.30166770687964</v>
      </c>
      <c r="AO69" s="411">
        <f t="shared" si="56"/>
        <v>118.12649936400277</v>
      </c>
      <c r="AP69" s="411">
        <f t="shared" si="33"/>
        <v>259.18141258717776</v>
      </c>
      <c r="AQ69" s="411">
        <f t="shared" si="34"/>
        <v>175.46821493067779</v>
      </c>
      <c r="AR69" s="411">
        <f t="shared" si="35"/>
        <v>182.30166770687964</v>
      </c>
      <c r="AS69" s="411">
        <f t="shared" si="36"/>
        <v>118.12649936400277</v>
      </c>
      <c r="AT69" s="227" t="str">
        <f t="shared" si="5"/>
        <v/>
      </c>
      <c r="AU69" s="227" t="str">
        <f t="shared" si="37"/>
        <v/>
      </c>
      <c r="AV69" s="227" t="str">
        <f t="shared" si="38"/>
        <v/>
      </c>
      <c r="AW69" s="227" t="str">
        <f t="shared" si="39"/>
        <v/>
      </c>
      <c r="AX69" s="227" t="str">
        <f t="shared" si="49"/>
        <v/>
      </c>
      <c r="AY69" s="311" t="str">
        <f t="shared" si="51"/>
        <v/>
      </c>
      <c r="AZ69" s="311">
        <f t="shared" si="50"/>
        <v>259.18141258717776</v>
      </c>
      <c r="BA69" s="311">
        <f t="shared" si="40"/>
        <v>175.46821493067779</v>
      </c>
      <c r="BB69" s="311">
        <f t="shared" si="9"/>
        <v>182.30166770687964</v>
      </c>
      <c r="BC69" s="311">
        <f t="shared" si="48"/>
        <v>118.12649936400277</v>
      </c>
      <c r="BD69" s="227" t="str">
        <f t="shared" si="41"/>
        <v/>
      </c>
      <c r="BE69" s="227" t="str">
        <f t="shared" si="42"/>
        <v/>
      </c>
      <c r="BF69" s="227" t="str">
        <f t="shared" si="43"/>
        <v/>
      </c>
      <c r="BG69" s="227" t="str">
        <f t="shared" si="44"/>
        <v/>
      </c>
      <c r="BH69" s="227" t="str">
        <f t="shared" si="45"/>
        <v/>
      </c>
      <c r="BI69" s="227" t="str">
        <f t="shared" si="46"/>
        <v/>
      </c>
      <c r="BJ69" s="226">
        <f t="shared" si="47"/>
        <v>6734444.3406223562</v>
      </c>
      <c r="BK69" s="335"/>
      <c r="BL69" s="335"/>
      <c r="BM69" s="335"/>
      <c r="BN69" s="335"/>
    </row>
    <row r="70" spans="1:66">
      <c r="A70" s="231">
        <v>107</v>
      </c>
      <c r="B70" s="231" t="str">
        <f>VLOOKUP(A70,'201314 RC list'!A:B,2,FALSE)</f>
        <v>Vascular Surgery</v>
      </c>
      <c r="C70" s="231"/>
      <c r="D70" s="310" t="str">
        <f t="shared" si="11"/>
        <v>A</v>
      </c>
      <c r="E70" s="231">
        <f>IF(ISERROR(VLOOKUP(A70,Mandatory!A:A,1,FALSE)),0,1)</f>
        <v>1</v>
      </c>
      <c r="F70" s="222">
        <f>VLOOKUP(A70,'Front-loading'!A:AG,$F$6,FALSE)</f>
        <v>3277</v>
      </c>
      <c r="G70" s="222">
        <f>VLOOKUP(A70,'Front-loading'!A:AG,$G$6,FALSE)</f>
        <v>161188</v>
      </c>
      <c r="H70" s="222">
        <f>VLOOKUP(A70,'Front-loading'!A:AG,$H$6,FALSE)</f>
        <v>5003</v>
      </c>
      <c r="I70" s="222">
        <f>VLOOKUP(A70,'Front-loading'!A:AG,$I$6,FALSE)</f>
        <v>204153</v>
      </c>
      <c r="J70" s="222">
        <f>VLOOKUP(A70,'Front-loading'!A:AG,$J$6,FALSE)</f>
        <v>883965.88213577564</v>
      </c>
      <c r="K70" s="222">
        <f>VLOOKUP(A70,'Front-loading'!A:AG,$K$6,FALSE)</f>
        <v>27823517.024636783</v>
      </c>
      <c r="L70" s="222">
        <f>VLOOKUP(A70,'Front-loading'!A:AG,$L$6,FALSE)</f>
        <v>946978.70736881939</v>
      </c>
      <c r="M70" s="222">
        <f>VLOOKUP(A70,'Front-loading'!A:AG,$M$6,FALSE)</f>
        <v>23908669.58851397</v>
      </c>
      <c r="N70" s="223">
        <f t="shared" si="12"/>
        <v>269.74851453639781</v>
      </c>
      <c r="O70" s="223">
        <f t="shared" si="12"/>
        <v>172.61531270712945</v>
      </c>
      <c r="P70" s="223">
        <f t="shared" si="12"/>
        <v>189.28217217046159</v>
      </c>
      <c r="Q70" s="223">
        <f t="shared" si="12"/>
        <v>117.11152708269763</v>
      </c>
      <c r="R70" s="409">
        <f t="shared" si="13"/>
        <v>269.74851453639781</v>
      </c>
      <c r="S70" s="409">
        <f t="shared" si="14"/>
        <v>172.61531270712945</v>
      </c>
      <c r="T70" s="409">
        <f t="shared" si="15"/>
        <v>189.28217217046159</v>
      </c>
      <c r="U70" s="409">
        <f t="shared" si="16"/>
        <v>117.11152708269763</v>
      </c>
      <c r="V70" s="411">
        <f t="shared" si="17"/>
        <v>269.74851453639781</v>
      </c>
      <c r="W70" s="411">
        <f t="shared" si="18"/>
        <v>172.61531270712945</v>
      </c>
      <c r="X70" s="411">
        <f t="shared" si="19"/>
        <v>189.28217217046159</v>
      </c>
      <c r="Y70" s="411">
        <f t="shared" si="20"/>
        <v>117.11152708269763</v>
      </c>
      <c r="Z70" s="411">
        <f t="shared" si="21"/>
        <v>269.74851453639781</v>
      </c>
      <c r="AA70" s="411">
        <f t="shared" si="22"/>
        <v>172.61531270712945</v>
      </c>
      <c r="AB70" s="411">
        <f t="shared" si="23"/>
        <v>189.28217217046159</v>
      </c>
      <c r="AC70" s="411">
        <f t="shared" si="24"/>
        <v>117.11152708269763</v>
      </c>
      <c r="AD70" s="411">
        <f t="shared" si="25"/>
        <v>269.74851453639781</v>
      </c>
      <c r="AE70" s="411">
        <f t="shared" si="26"/>
        <v>172.61531270712945</v>
      </c>
      <c r="AF70" s="411">
        <f t="shared" si="27"/>
        <v>189.28217217046159</v>
      </c>
      <c r="AG70" s="411">
        <f t="shared" si="28"/>
        <v>117.11152708269763</v>
      </c>
      <c r="AH70" s="411">
        <f t="shared" si="29"/>
        <v>269.74851453639781</v>
      </c>
      <c r="AI70" s="411">
        <f t="shared" si="30"/>
        <v>172.61531270712945</v>
      </c>
      <c r="AJ70" s="411">
        <f t="shared" si="31"/>
        <v>189.28217217046159</v>
      </c>
      <c r="AK70" s="411">
        <f t="shared" si="32"/>
        <v>117.11152708269763</v>
      </c>
      <c r="AL70" s="411">
        <f t="shared" si="57"/>
        <v>269.74851453639781</v>
      </c>
      <c r="AM70" s="411">
        <f t="shared" si="54"/>
        <v>172.61531270712945</v>
      </c>
      <c r="AN70" s="411">
        <f t="shared" si="55"/>
        <v>189.28217217046159</v>
      </c>
      <c r="AO70" s="411">
        <f t="shared" si="56"/>
        <v>117.11152708269763</v>
      </c>
      <c r="AP70" s="411">
        <f t="shared" si="33"/>
        <v>269.74851453639781</v>
      </c>
      <c r="AQ70" s="411">
        <f t="shared" si="34"/>
        <v>172.61531270712945</v>
      </c>
      <c r="AR70" s="411">
        <f t="shared" si="35"/>
        <v>189.28217217046159</v>
      </c>
      <c r="AS70" s="411">
        <f t="shared" si="36"/>
        <v>117.11152708269763</v>
      </c>
      <c r="AT70" s="227" t="str">
        <f t="shared" si="5"/>
        <v/>
      </c>
      <c r="AU70" s="227" t="str">
        <f t="shared" si="37"/>
        <v/>
      </c>
      <c r="AV70" s="227" t="str">
        <f t="shared" si="38"/>
        <v/>
      </c>
      <c r="AW70" s="227" t="str">
        <f t="shared" si="39"/>
        <v/>
      </c>
      <c r="AX70" s="227" t="str">
        <f t="shared" si="49"/>
        <v/>
      </c>
      <c r="AY70" s="311" t="str">
        <f t="shared" si="51"/>
        <v/>
      </c>
      <c r="AZ70" s="311">
        <f t="shared" si="50"/>
        <v>269.74851453639781</v>
      </c>
      <c r="BA70" s="311">
        <f t="shared" si="40"/>
        <v>172.61531270712945</v>
      </c>
      <c r="BB70" s="311">
        <f t="shared" si="9"/>
        <v>189.28217217046159</v>
      </c>
      <c r="BC70" s="311">
        <f t="shared" si="48"/>
        <v>117.11152708269763</v>
      </c>
      <c r="BD70" s="227" t="str">
        <f t="shared" si="41"/>
        <v/>
      </c>
      <c r="BE70" s="227" t="str">
        <f t="shared" si="42"/>
        <v/>
      </c>
      <c r="BF70" s="227" t="str">
        <f t="shared" si="43"/>
        <v/>
      </c>
      <c r="BG70" s="227" t="str">
        <f t="shared" si="44"/>
        <v/>
      </c>
      <c r="BH70" s="227" t="str">
        <f t="shared" si="45"/>
        <v/>
      </c>
      <c r="BI70" s="227" t="str">
        <f t="shared" si="46"/>
        <v/>
      </c>
      <c r="BJ70" s="226">
        <f t="shared" si="47"/>
        <v>53563131.202655345</v>
      </c>
      <c r="BK70" s="335"/>
      <c r="BL70" s="335"/>
      <c r="BM70" s="335"/>
      <c r="BN70" s="335"/>
    </row>
    <row r="71" spans="1:66">
      <c r="A71" s="231">
        <v>140</v>
      </c>
      <c r="B71" s="231" t="str">
        <f>VLOOKUP(A71,'201314 RC list'!A:B,2,FALSE)</f>
        <v>Oral Surgery</v>
      </c>
      <c r="C71" s="231"/>
      <c r="D71" s="310" t="str">
        <f t="shared" si="11"/>
        <v>A</v>
      </c>
      <c r="E71" s="231">
        <f>IF(ISERROR(VLOOKUP(A71,Mandatory!A:A,1,FALSE)),0,1)</f>
        <v>1</v>
      </c>
      <c r="F71" s="222">
        <f>VLOOKUP(A71,'Front-loading'!A:AG,$F$6,FALSE)</f>
        <v>4792</v>
      </c>
      <c r="G71" s="222">
        <f>VLOOKUP(A71,'Front-loading'!A:AG,$G$6,FALSE)</f>
        <v>373923</v>
      </c>
      <c r="H71" s="222">
        <f>VLOOKUP(A71,'Front-loading'!A:AG,$H$6,FALSE)</f>
        <v>8705</v>
      </c>
      <c r="I71" s="222">
        <f>VLOOKUP(A71,'Front-loading'!A:AG,$I$6,FALSE)</f>
        <v>396505</v>
      </c>
      <c r="J71" s="222">
        <f>VLOOKUP(A71,'Front-loading'!A:AG,$J$6,FALSE)</f>
        <v>1000817.2048965737</v>
      </c>
      <c r="K71" s="222">
        <f>VLOOKUP(A71,'Front-loading'!A:AG,$K$6,FALSE)</f>
        <v>48398307.88974148</v>
      </c>
      <c r="L71" s="222">
        <f>VLOOKUP(A71,'Front-loading'!A:AG,$L$6,FALSE)</f>
        <v>1236301.8686933054</v>
      </c>
      <c r="M71" s="222">
        <f>VLOOKUP(A71,'Front-loading'!A:AG,$M$6,FALSE)</f>
        <v>33272614.459096786</v>
      </c>
      <c r="N71" s="223">
        <f t="shared" si="12"/>
        <v>208.85167047090437</v>
      </c>
      <c r="O71" s="223">
        <f t="shared" si="12"/>
        <v>129.43388850041714</v>
      </c>
      <c r="P71" s="223">
        <f t="shared" si="12"/>
        <v>142.02204120543428</v>
      </c>
      <c r="Q71" s="223">
        <f t="shared" si="12"/>
        <v>83.914741198967945</v>
      </c>
      <c r="R71" s="409">
        <f t="shared" si="13"/>
        <v>208.85167047090437</v>
      </c>
      <c r="S71" s="409">
        <f t="shared" si="14"/>
        <v>129.43388850041714</v>
      </c>
      <c r="T71" s="409">
        <f t="shared" si="15"/>
        <v>142.02204120543428</v>
      </c>
      <c r="U71" s="409">
        <f t="shared" si="16"/>
        <v>83.914741198967945</v>
      </c>
      <c r="V71" s="411">
        <f t="shared" si="17"/>
        <v>208.85167047090437</v>
      </c>
      <c r="W71" s="411">
        <f t="shared" si="18"/>
        <v>129.43388850041714</v>
      </c>
      <c r="X71" s="411">
        <f t="shared" si="19"/>
        <v>142.02204120543428</v>
      </c>
      <c r="Y71" s="411">
        <f t="shared" si="20"/>
        <v>83.914741198967945</v>
      </c>
      <c r="Z71" s="411">
        <f t="shared" si="21"/>
        <v>208.85167047090437</v>
      </c>
      <c r="AA71" s="411">
        <f t="shared" si="22"/>
        <v>129.43388850041714</v>
      </c>
      <c r="AB71" s="411">
        <f t="shared" si="23"/>
        <v>142.02204120543428</v>
      </c>
      <c r="AC71" s="411">
        <f t="shared" si="24"/>
        <v>83.914741198967945</v>
      </c>
      <c r="AD71" s="411">
        <f t="shared" si="25"/>
        <v>208.85167047090437</v>
      </c>
      <c r="AE71" s="411">
        <f t="shared" si="26"/>
        <v>129.43388850041714</v>
      </c>
      <c r="AF71" s="411">
        <f t="shared" si="27"/>
        <v>142.02204120543428</v>
      </c>
      <c r="AG71" s="411">
        <f t="shared" si="28"/>
        <v>83.914741198967945</v>
      </c>
      <c r="AH71" s="411">
        <f t="shared" si="29"/>
        <v>208.85167047090437</v>
      </c>
      <c r="AI71" s="411">
        <f t="shared" si="30"/>
        <v>129.43388850041714</v>
      </c>
      <c r="AJ71" s="411">
        <f t="shared" si="31"/>
        <v>142.02204120543428</v>
      </c>
      <c r="AK71" s="411">
        <f t="shared" si="32"/>
        <v>83.914741198967945</v>
      </c>
      <c r="AL71" s="411">
        <f t="shared" si="57"/>
        <v>208.85167047090437</v>
      </c>
      <c r="AM71" s="411">
        <f t="shared" si="54"/>
        <v>129.43388850041714</v>
      </c>
      <c r="AN71" s="411">
        <f t="shared" si="55"/>
        <v>142.02204120543428</v>
      </c>
      <c r="AO71" s="411">
        <f t="shared" si="56"/>
        <v>83.914741198967945</v>
      </c>
      <c r="AP71" s="411">
        <f t="shared" si="33"/>
        <v>208.85167047090437</v>
      </c>
      <c r="AQ71" s="411">
        <f t="shared" si="34"/>
        <v>129.43388850041714</v>
      </c>
      <c r="AR71" s="411">
        <f t="shared" si="35"/>
        <v>142.02204120543428</v>
      </c>
      <c r="AS71" s="411">
        <f t="shared" si="36"/>
        <v>83.914741198967945</v>
      </c>
      <c r="AT71" s="227" t="str">
        <f t="shared" si="5"/>
        <v/>
      </c>
      <c r="AU71" s="227" t="str">
        <f t="shared" si="37"/>
        <v/>
      </c>
      <c r="AV71" s="227" t="str">
        <f t="shared" si="38"/>
        <v/>
      </c>
      <c r="AW71" s="227" t="str">
        <f t="shared" si="39"/>
        <v/>
      </c>
      <c r="AX71" s="227" t="str">
        <f t="shared" si="49"/>
        <v/>
      </c>
      <c r="AY71" s="311" t="str">
        <f t="shared" si="51"/>
        <v/>
      </c>
      <c r="AZ71" s="311">
        <f t="shared" si="50"/>
        <v>208.85167047090437</v>
      </c>
      <c r="BA71" s="311">
        <f t="shared" si="40"/>
        <v>129.43388850041714</v>
      </c>
      <c r="BB71" s="311">
        <f t="shared" si="9"/>
        <v>142.02204120543428</v>
      </c>
      <c r="BC71" s="311">
        <f t="shared" si="48"/>
        <v>83.914741198967945</v>
      </c>
      <c r="BD71" s="227" t="str">
        <f t="shared" si="41"/>
        <v/>
      </c>
      <c r="BE71" s="227" t="str">
        <f t="shared" si="42"/>
        <v/>
      </c>
      <c r="BF71" s="227" t="str">
        <f t="shared" si="43"/>
        <v/>
      </c>
      <c r="BG71" s="227" t="str">
        <f t="shared" si="44"/>
        <v/>
      </c>
      <c r="BH71" s="227" t="str">
        <f t="shared" si="45"/>
        <v/>
      </c>
      <c r="BI71" s="227" t="str">
        <f t="shared" si="46"/>
        <v/>
      </c>
      <c r="BJ71" s="226">
        <f t="shared" si="47"/>
        <v>83908041.422428146</v>
      </c>
      <c r="BK71" s="335"/>
      <c r="BL71" s="335"/>
      <c r="BM71" s="335"/>
      <c r="BN71" s="335"/>
    </row>
    <row r="72" spans="1:66">
      <c r="A72" s="231">
        <v>141</v>
      </c>
      <c r="B72" s="231" t="str">
        <f>VLOOKUP(A72,'201314 RC list'!A:B,2,FALSE)</f>
        <v>Restorative Dentistry</v>
      </c>
      <c r="C72" s="231"/>
      <c r="D72" s="310" t="str">
        <f t="shared" si="11"/>
        <v>A</v>
      </c>
      <c r="E72" s="231">
        <f>IF(ISERROR(VLOOKUP(A72,Mandatory!A:A,1,FALSE)),0,1)</f>
        <v>0</v>
      </c>
      <c r="F72" s="222">
        <f>VLOOKUP(A72,'Front-loading'!A:AG,$F$6,FALSE)</f>
        <v>1154</v>
      </c>
      <c r="G72" s="222">
        <f>VLOOKUP(A72,'Front-loading'!A:AG,$G$6,FALSE)</f>
        <v>89404</v>
      </c>
      <c r="H72" s="222">
        <f>VLOOKUP(A72,'Front-loading'!A:AG,$H$6,FALSE)</f>
        <v>687</v>
      </c>
      <c r="I72" s="222">
        <f>VLOOKUP(A72,'Front-loading'!A:AG,$I$6,FALSE)</f>
        <v>204469</v>
      </c>
      <c r="J72" s="222">
        <f>VLOOKUP(A72,'Front-loading'!A:AG,$J$6,FALSE)</f>
        <v>160631.46916536608</v>
      </c>
      <c r="K72" s="222">
        <f>VLOOKUP(A72,'Front-loading'!A:AG,$K$6,FALSE)</f>
        <v>10864844.681657139</v>
      </c>
      <c r="L72" s="222">
        <f>VLOOKUP(A72,'Front-loading'!A:AG,$L$6,FALSE)</f>
        <v>57877.811351770688</v>
      </c>
      <c r="M72" s="222">
        <f>VLOOKUP(A72,'Front-loading'!A:AG,$M$6,FALSE)</f>
        <v>18749125.075630505</v>
      </c>
      <c r="N72" s="223">
        <f t="shared" si="12"/>
        <v>139.19538055924272</v>
      </c>
      <c r="O72" s="223">
        <f t="shared" si="12"/>
        <v>121.52526376512392</v>
      </c>
      <c r="P72" s="223">
        <f t="shared" si="12"/>
        <v>84.247178095736075</v>
      </c>
      <c r="Q72" s="223">
        <f t="shared" si="12"/>
        <v>91.696663433725917</v>
      </c>
      <c r="R72" s="409">
        <f t="shared" si="13"/>
        <v>139.19538055924272</v>
      </c>
      <c r="S72" s="409">
        <f t="shared" si="14"/>
        <v>121.52526376512392</v>
      </c>
      <c r="T72" s="409">
        <f t="shared" si="15"/>
        <v>84.247178095736075</v>
      </c>
      <c r="U72" s="409">
        <f t="shared" si="16"/>
        <v>91.696663433725917</v>
      </c>
      <c r="V72" s="411">
        <f t="shared" si="17"/>
        <v>139.19538055924272</v>
      </c>
      <c r="W72" s="411">
        <f t="shared" si="18"/>
        <v>121.52526376512392</v>
      </c>
      <c r="X72" s="411">
        <f t="shared" si="19"/>
        <v>84.247178095736075</v>
      </c>
      <c r="Y72" s="411">
        <f t="shared" si="20"/>
        <v>91.696663433725917</v>
      </c>
      <c r="Z72" s="411">
        <f t="shared" si="21"/>
        <v>139.19538055924272</v>
      </c>
      <c r="AA72" s="411">
        <f t="shared" si="22"/>
        <v>121.52526376512392</v>
      </c>
      <c r="AB72" s="411">
        <f t="shared" si="23"/>
        <v>84.247178095736075</v>
      </c>
      <c r="AC72" s="411">
        <f t="shared" si="24"/>
        <v>91.696663433725917</v>
      </c>
      <c r="AD72" s="411">
        <f t="shared" si="25"/>
        <v>139.19538055924272</v>
      </c>
      <c r="AE72" s="411">
        <f t="shared" si="26"/>
        <v>121.52526376512392</v>
      </c>
      <c r="AF72" s="411">
        <f t="shared" si="27"/>
        <v>91.671717556309716</v>
      </c>
      <c r="AG72" s="411">
        <f t="shared" si="28"/>
        <v>91.671717556309716</v>
      </c>
      <c r="AH72" s="411">
        <f t="shared" si="29"/>
        <v>139.19538055924272</v>
      </c>
      <c r="AI72" s="411">
        <f t="shared" si="30"/>
        <v>121.52526376512392</v>
      </c>
      <c r="AJ72" s="411">
        <f t="shared" si="31"/>
        <v>91.671717556309716</v>
      </c>
      <c r="AK72" s="411">
        <f t="shared" si="32"/>
        <v>91.671717556309716</v>
      </c>
      <c r="AL72" s="411">
        <f t="shared" si="57"/>
        <v>139.19538055924272</v>
      </c>
      <c r="AM72" s="411">
        <f t="shared" si="54"/>
        <v>121.52526376512392</v>
      </c>
      <c r="AN72" s="411">
        <f t="shared" si="55"/>
        <v>91.671717556309716</v>
      </c>
      <c r="AO72" s="411">
        <f t="shared" si="56"/>
        <v>91.671717556309716</v>
      </c>
      <c r="AP72" s="411">
        <f t="shared" si="33"/>
        <v>139.19538055924272</v>
      </c>
      <c r="AQ72" s="411">
        <f t="shared" si="34"/>
        <v>121.52526376512392</v>
      </c>
      <c r="AR72" s="411">
        <f t="shared" si="35"/>
        <v>91.671717556309716</v>
      </c>
      <c r="AS72" s="411">
        <f t="shared" si="36"/>
        <v>91.671717556309716</v>
      </c>
      <c r="AT72" s="227" t="str">
        <f t="shared" si="5"/>
        <v/>
      </c>
      <c r="AU72" s="227" t="str">
        <f t="shared" si="37"/>
        <v/>
      </c>
      <c r="AV72" s="227" t="str">
        <f t="shared" si="38"/>
        <v/>
      </c>
      <c r="AW72" s="227" t="str">
        <f t="shared" si="39"/>
        <v/>
      </c>
      <c r="AX72" s="227" t="str">
        <f t="shared" si="49"/>
        <v/>
      </c>
      <c r="AY72" s="311" t="str">
        <f t="shared" si="51"/>
        <v/>
      </c>
      <c r="AZ72" s="311">
        <f t="shared" si="50"/>
        <v>139.19538055924272</v>
      </c>
      <c r="BA72" s="311">
        <f t="shared" si="40"/>
        <v>121.52526376512392</v>
      </c>
      <c r="BB72" s="311">
        <f t="shared" si="9"/>
        <v>91.671717556309716</v>
      </c>
      <c r="BC72" s="311">
        <f t="shared" si="48"/>
        <v>91.671717556309716</v>
      </c>
      <c r="BD72" s="227" t="str">
        <f t="shared" si="41"/>
        <v/>
      </c>
      <c r="BE72" s="227" t="str">
        <f t="shared" si="42"/>
        <v/>
      </c>
      <c r="BF72" s="227" t="str">
        <f t="shared" si="43"/>
        <v/>
      </c>
      <c r="BG72" s="227" t="str">
        <f t="shared" si="44"/>
        <v/>
      </c>
      <c r="BH72" s="227" t="str">
        <f t="shared" si="45"/>
        <v/>
      </c>
      <c r="BI72" s="227" t="str">
        <f t="shared" si="46"/>
        <v/>
      </c>
      <c r="BJ72" s="226">
        <f t="shared" si="47"/>
        <v>29832479.037804782</v>
      </c>
      <c r="BK72" s="335"/>
      <c r="BL72" s="335"/>
      <c r="BM72" s="335"/>
      <c r="BN72" s="335"/>
    </row>
    <row r="73" spans="1:66">
      <c r="A73" s="231">
        <v>143</v>
      </c>
      <c r="B73" s="231" t="str">
        <f>VLOOKUP(A73,'201314 RC list'!A:B,2,FALSE)</f>
        <v>Orthodontics</v>
      </c>
      <c r="C73" s="231"/>
      <c r="D73" s="310" t="str">
        <f t="shared" si="11"/>
        <v>A</v>
      </c>
      <c r="E73" s="231">
        <f>IF(ISERROR(VLOOKUP(A73,Mandatory!A:A,1,FALSE)),0,1)</f>
        <v>1</v>
      </c>
      <c r="F73" s="222">
        <f>VLOOKUP(A73,'Front-loading'!A:AG,$F$6,FALSE)</f>
        <v>1601</v>
      </c>
      <c r="G73" s="222">
        <f>VLOOKUP(A73,'Front-loading'!A:AG,$G$6,FALSE)</f>
        <v>59900</v>
      </c>
      <c r="H73" s="222">
        <f>VLOOKUP(A73,'Front-loading'!A:AG,$H$6,FALSE)</f>
        <v>7363</v>
      </c>
      <c r="I73" s="222">
        <f>VLOOKUP(A73,'Front-loading'!A:AG,$I$6,FALSE)</f>
        <v>264666</v>
      </c>
      <c r="J73" s="222">
        <f>VLOOKUP(A73,'Front-loading'!A:AG,$J$6,FALSE)</f>
        <v>296923.40104062163</v>
      </c>
      <c r="K73" s="222">
        <f>VLOOKUP(A73,'Front-loading'!A:AG,$K$6,FALSE)</f>
        <v>9859903.8686119672</v>
      </c>
      <c r="L73" s="222">
        <f>VLOOKUP(A73,'Front-loading'!A:AG,$L$6,FALSE)</f>
        <v>767008.36070593179</v>
      </c>
      <c r="M73" s="222">
        <f>VLOOKUP(A73,'Front-loading'!A:AG,$M$6,FALSE)</f>
        <v>22677690.154229429</v>
      </c>
      <c r="N73" s="223">
        <f t="shared" si="12"/>
        <v>185.46121239264312</v>
      </c>
      <c r="O73" s="223">
        <f t="shared" si="12"/>
        <v>164.60607460120144</v>
      </c>
      <c r="P73" s="223">
        <f t="shared" si="12"/>
        <v>104.17063163193424</v>
      </c>
      <c r="Q73" s="223">
        <f t="shared" si="12"/>
        <v>85.684183666316898</v>
      </c>
      <c r="R73" s="409">
        <f t="shared" si="13"/>
        <v>185.46121239264312</v>
      </c>
      <c r="S73" s="409">
        <f t="shared" si="14"/>
        <v>164.60607460120144</v>
      </c>
      <c r="T73" s="409">
        <f t="shared" si="15"/>
        <v>104.17063163193424</v>
      </c>
      <c r="U73" s="409">
        <f t="shared" si="16"/>
        <v>85.684183666316898</v>
      </c>
      <c r="V73" s="411">
        <f t="shared" si="17"/>
        <v>185.46121239264312</v>
      </c>
      <c r="W73" s="411">
        <f t="shared" si="18"/>
        <v>164.60607460120144</v>
      </c>
      <c r="X73" s="411">
        <f t="shared" si="19"/>
        <v>104.17063163193424</v>
      </c>
      <c r="Y73" s="411">
        <f t="shared" si="20"/>
        <v>85.684183666316898</v>
      </c>
      <c r="Z73" s="411">
        <f t="shared" si="21"/>
        <v>185.46121239264312</v>
      </c>
      <c r="AA73" s="411">
        <f t="shared" si="22"/>
        <v>164.60607460120144</v>
      </c>
      <c r="AB73" s="411">
        <f t="shared" si="23"/>
        <v>104.17063163193424</v>
      </c>
      <c r="AC73" s="411">
        <f t="shared" si="24"/>
        <v>85.684183666316898</v>
      </c>
      <c r="AD73" s="411">
        <f t="shared" si="25"/>
        <v>185.46121239264312</v>
      </c>
      <c r="AE73" s="411">
        <f t="shared" si="26"/>
        <v>164.60607460120144</v>
      </c>
      <c r="AF73" s="411">
        <f t="shared" si="27"/>
        <v>104.17063163193424</v>
      </c>
      <c r="AG73" s="411">
        <f t="shared" si="28"/>
        <v>85.684183666316898</v>
      </c>
      <c r="AH73" s="411">
        <f t="shared" si="29"/>
        <v>185.46121239264312</v>
      </c>
      <c r="AI73" s="411">
        <f t="shared" si="30"/>
        <v>164.60607460120144</v>
      </c>
      <c r="AJ73" s="411">
        <f t="shared" si="31"/>
        <v>104.17063163193424</v>
      </c>
      <c r="AK73" s="411">
        <f t="shared" si="32"/>
        <v>85.684183666316898</v>
      </c>
      <c r="AL73" s="411">
        <f t="shared" si="57"/>
        <v>185.46121239264312</v>
      </c>
      <c r="AM73" s="411">
        <f t="shared" si="54"/>
        <v>164.60607460120144</v>
      </c>
      <c r="AN73" s="411">
        <f t="shared" si="55"/>
        <v>104.17063163193424</v>
      </c>
      <c r="AO73" s="411">
        <f t="shared" si="56"/>
        <v>85.684183666316898</v>
      </c>
      <c r="AP73" s="411">
        <f t="shared" si="33"/>
        <v>185.46121239264312</v>
      </c>
      <c r="AQ73" s="411">
        <f t="shared" si="34"/>
        <v>164.60607460120144</v>
      </c>
      <c r="AR73" s="411">
        <f t="shared" si="35"/>
        <v>104.17063163193424</v>
      </c>
      <c r="AS73" s="411">
        <f t="shared" si="36"/>
        <v>85.684183666316898</v>
      </c>
      <c r="AT73" s="227" t="str">
        <f t="shared" si="5"/>
        <v/>
      </c>
      <c r="AU73" s="227" t="str">
        <f t="shared" si="37"/>
        <v/>
      </c>
      <c r="AV73" s="227" t="str">
        <f t="shared" si="38"/>
        <v/>
      </c>
      <c r="AW73" s="227" t="str">
        <f t="shared" si="39"/>
        <v/>
      </c>
      <c r="AX73" s="227" t="str">
        <f t="shared" si="49"/>
        <v/>
      </c>
      <c r="AY73" s="311" t="str">
        <f t="shared" si="51"/>
        <v/>
      </c>
      <c r="AZ73" s="311">
        <f t="shared" si="50"/>
        <v>185.46121239264312</v>
      </c>
      <c r="BA73" s="311">
        <f t="shared" si="40"/>
        <v>164.60607460120144</v>
      </c>
      <c r="BB73" s="311">
        <f t="shared" si="9"/>
        <v>104.17063163193424</v>
      </c>
      <c r="BC73" s="311">
        <f t="shared" si="48"/>
        <v>85.684183666316898</v>
      </c>
      <c r="BD73" s="227" t="str">
        <f t="shared" si="41"/>
        <v/>
      </c>
      <c r="BE73" s="227" t="str">
        <f t="shared" si="42"/>
        <v/>
      </c>
      <c r="BF73" s="227" t="str">
        <f t="shared" si="43"/>
        <v/>
      </c>
      <c r="BG73" s="227" t="str">
        <f t="shared" si="44"/>
        <v/>
      </c>
      <c r="BH73" s="227" t="str">
        <f t="shared" si="45"/>
        <v/>
      </c>
      <c r="BI73" s="227" t="str">
        <f t="shared" si="46"/>
        <v/>
      </c>
      <c r="BJ73" s="226">
        <f t="shared" si="47"/>
        <v>33601525.78458795</v>
      </c>
      <c r="BK73" s="335"/>
      <c r="BL73" s="335"/>
      <c r="BM73" s="335"/>
      <c r="BN73" s="335"/>
    </row>
    <row r="74" spans="1:66">
      <c r="A74" s="231">
        <v>170</v>
      </c>
      <c r="B74" s="231" t="str">
        <f>VLOOKUP(A74,'201314 RC list'!A:B,2,FALSE)</f>
        <v>Cardiothoracic Surgery</v>
      </c>
      <c r="C74" s="231"/>
      <c r="D74" s="310" t="str">
        <f t="shared" si="11"/>
        <v>A</v>
      </c>
      <c r="E74" s="231">
        <f>IF(ISERROR(VLOOKUP(A74,Mandatory!A:A,1,FALSE)),0,1)</f>
        <v>1</v>
      </c>
      <c r="F74" s="222">
        <f>VLOOKUP(A74,'Front-loading'!A:AG,$F$6,FALSE)</f>
        <v>243</v>
      </c>
      <c r="G74" s="222">
        <f>VLOOKUP(A74,'Front-loading'!A:AG,$G$6,FALSE)</f>
        <v>23738</v>
      </c>
      <c r="H74" s="222">
        <f>VLOOKUP(A74,'Front-loading'!A:AG,$H$6,FALSE)</f>
        <v>487</v>
      </c>
      <c r="I74" s="222">
        <f>VLOOKUP(A74,'Front-loading'!A:AG,$I$6,FALSE)</f>
        <v>37877</v>
      </c>
      <c r="J74" s="222">
        <f>VLOOKUP(A74,'Front-loading'!A:AG,$J$6,FALSE)</f>
        <v>175874.14714364443</v>
      </c>
      <c r="K74" s="222">
        <f>VLOOKUP(A74,'Front-loading'!A:AG,$K$6,FALSE)</f>
        <v>6809814.1246111561</v>
      </c>
      <c r="L74" s="222">
        <f>VLOOKUP(A74,'Front-loading'!A:AG,$L$6,FALSE)</f>
        <v>329754.56375477003</v>
      </c>
      <c r="M74" s="222">
        <f>VLOOKUP(A74,'Front-loading'!A:AG,$M$6,FALSE)</f>
        <v>8475875.979550695</v>
      </c>
      <c r="N74" s="223">
        <f t="shared" si="12"/>
        <v>723.76192240182888</v>
      </c>
      <c r="O74" s="223">
        <f t="shared" si="12"/>
        <v>286.87396261737115</v>
      </c>
      <c r="P74" s="223">
        <f t="shared" si="12"/>
        <v>677.11409395229987</v>
      </c>
      <c r="Q74" s="223">
        <f t="shared" si="12"/>
        <v>223.77368797821092</v>
      </c>
      <c r="R74" s="409">
        <f t="shared" si="13"/>
        <v>723.76192240182888</v>
      </c>
      <c r="S74" s="409">
        <f t="shared" si="14"/>
        <v>286.87396261737115</v>
      </c>
      <c r="T74" s="409">
        <f t="shared" si="15"/>
        <v>677.11409395229987</v>
      </c>
      <c r="U74" s="409">
        <f t="shared" si="16"/>
        <v>223.77368797821092</v>
      </c>
      <c r="V74" s="411">
        <f t="shared" si="17"/>
        <v>723.76192240182888</v>
      </c>
      <c r="W74" s="411">
        <f t="shared" si="18"/>
        <v>286.87396261737115</v>
      </c>
      <c r="X74" s="411">
        <f t="shared" si="19"/>
        <v>677.11409395229987</v>
      </c>
      <c r="Y74" s="411">
        <f t="shared" si="20"/>
        <v>223.77368797821092</v>
      </c>
      <c r="Z74" s="411">
        <f t="shared" si="21"/>
        <v>723.76192240182888</v>
      </c>
      <c r="AA74" s="411">
        <f t="shared" si="22"/>
        <v>286.87396261737115</v>
      </c>
      <c r="AB74" s="411">
        <f t="shared" si="23"/>
        <v>677.11409395229987</v>
      </c>
      <c r="AC74" s="411">
        <f t="shared" si="24"/>
        <v>223.77368797821092</v>
      </c>
      <c r="AD74" s="411">
        <f t="shared" si="25"/>
        <v>723.76192240182888</v>
      </c>
      <c r="AE74" s="411">
        <f t="shared" si="26"/>
        <v>286.87396261737115</v>
      </c>
      <c r="AF74" s="411">
        <f t="shared" si="27"/>
        <v>677.11409395229987</v>
      </c>
      <c r="AG74" s="411">
        <f t="shared" si="28"/>
        <v>223.77368797821092</v>
      </c>
      <c r="AH74" s="411">
        <f t="shared" si="29"/>
        <v>576.75761820961031</v>
      </c>
      <c r="AI74" s="411">
        <f t="shared" si="30"/>
        <v>288.37880910480516</v>
      </c>
      <c r="AJ74" s="411">
        <f t="shared" si="31"/>
        <v>453.3026456619117</v>
      </c>
      <c r="AK74" s="411">
        <f t="shared" si="32"/>
        <v>226.65132283095585</v>
      </c>
      <c r="AL74" s="411">
        <f t="shared" si="57"/>
        <v>576.75761820961031</v>
      </c>
      <c r="AM74" s="411">
        <f t="shared" si="54"/>
        <v>288.37880910480516</v>
      </c>
      <c r="AN74" s="411">
        <f t="shared" si="55"/>
        <v>453.3026456619117</v>
      </c>
      <c r="AO74" s="411">
        <f t="shared" si="56"/>
        <v>226.65132283095585</v>
      </c>
      <c r="AP74" s="411">
        <f t="shared" si="33"/>
        <v>576.75761820961031</v>
      </c>
      <c r="AQ74" s="411">
        <f t="shared" si="34"/>
        <v>288.37880910480516</v>
      </c>
      <c r="AR74" s="411">
        <f t="shared" si="35"/>
        <v>453.3026456619117</v>
      </c>
      <c r="AS74" s="411">
        <f t="shared" si="36"/>
        <v>226.65132283095585</v>
      </c>
      <c r="AT74" s="227" t="str">
        <f t="shared" ref="AT74:AT106" si="58">IF(AP74&lt;AR74,IFERROR(((AP74*F74)+(AR74*H74))/(F74+H74),AP74),"")</f>
        <v/>
      </c>
      <c r="AU74" s="227" t="str">
        <f t="shared" si="37"/>
        <v/>
      </c>
      <c r="AV74" s="227" t="str">
        <f t="shared" si="38"/>
        <v/>
      </c>
      <c r="AW74" s="227" t="str">
        <f t="shared" si="39"/>
        <v/>
      </c>
      <c r="AX74" s="227" t="str">
        <f t="shared" si="49"/>
        <v/>
      </c>
      <c r="AY74" s="311" t="str">
        <f t="shared" si="51"/>
        <v/>
      </c>
      <c r="AZ74" s="311">
        <f t="shared" si="50"/>
        <v>576.75761820961031</v>
      </c>
      <c r="BA74" s="311">
        <f t="shared" si="40"/>
        <v>288.37880910480516</v>
      </c>
      <c r="BB74" s="311">
        <f t="shared" si="9"/>
        <v>453.3026456619117</v>
      </c>
      <c r="BC74" s="311">
        <f t="shared" si="48"/>
        <v>226.65132283095585</v>
      </c>
      <c r="BD74" s="227" t="str">
        <f t="shared" si="41"/>
        <v/>
      </c>
      <c r="BE74" s="227" t="str">
        <f t="shared" si="42"/>
        <v/>
      </c>
      <c r="BF74" s="227" t="str">
        <f t="shared" si="43"/>
        <v/>
      </c>
      <c r="BG74" s="227" t="str">
        <f t="shared" si="44"/>
        <v/>
      </c>
      <c r="BH74" s="227" t="str">
        <f t="shared" si="45"/>
        <v/>
      </c>
      <c r="BI74" s="227" t="str">
        <f t="shared" si="46"/>
        <v/>
      </c>
      <c r="BJ74" s="226">
        <f t="shared" si="47"/>
        <v>15791318.815060265</v>
      </c>
      <c r="BK74" s="335"/>
      <c r="BL74" s="335"/>
      <c r="BM74" s="335"/>
      <c r="BN74" s="335"/>
    </row>
    <row r="75" spans="1:66">
      <c r="A75" s="231">
        <v>174</v>
      </c>
      <c r="B75" s="231" t="str">
        <f>VLOOKUP(A75,'201314 RC list'!A:B,2,FALSE)</f>
        <v>Cardiothoracic Transplantation</v>
      </c>
      <c r="C75" s="231"/>
      <c r="D75" s="310" t="str">
        <f t="shared" si="11"/>
        <v>A</v>
      </c>
      <c r="E75" s="231">
        <f>IF(ISERROR(VLOOKUP(A75,Mandatory!A:A,1,FALSE)),0,1)</f>
        <v>0</v>
      </c>
      <c r="F75" s="222">
        <f>VLOOKUP(A75,'Front-loading'!A:AG,$F$6,FALSE)</f>
        <v>2</v>
      </c>
      <c r="G75" s="222">
        <f>VLOOKUP(A75,'Front-loading'!A:AG,$G$6,FALSE)</f>
        <v>458</v>
      </c>
      <c r="H75" s="222">
        <f>VLOOKUP(A75,'Front-loading'!A:AG,$H$6,FALSE)</f>
        <v>14</v>
      </c>
      <c r="I75" s="222">
        <f>VLOOKUP(A75,'Front-loading'!A:AG,$I$6,FALSE)</f>
        <v>8811</v>
      </c>
      <c r="J75" s="222">
        <f>VLOOKUP(A75,'Front-loading'!A:AG,$J$6,FALSE)</f>
        <v>1300.4582079557531</v>
      </c>
      <c r="K75" s="222">
        <f>VLOOKUP(A75,'Front-loading'!A:AG,$K$6,FALSE)</f>
        <v>317305.1529166447</v>
      </c>
      <c r="L75" s="222">
        <f>VLOOKUP(A75,'Front-loading'!A:AG,$L$6,FALSE)</f>
        <v>7957.2857025568201</v>
      </c>
      <c r="M75" s="222">
        <f>VLOOKUP(A75,'Front-loading'!A:AG,$M$6,FALSE)</f>
        <v>2205065.4808239182</v>
      </c>
      <c r="N75" s="223">
        <f t="shared" si="12"/>
        <v>650.22910397787655</v>
      </c>
      <c r="O75" s="223">
        <f t="shared" si="12"/>
        <v>692.80601073503215</v>
      </c>
      <c r="P75" s="223">
        <f t="shared" si="12"/>
        <v>568.37755018262999</v>
      </c>
      <c r="Q75" s="223">
        <f t="shared" si="12"/>
        <v>250.26279432798981</v>
      </c>
      <c r="R75" s="409">
        <f t="shared" ref="R75:R138" si="59">IFERROR(IF(F75&lt;50,(J75+L75)/(F75+H75),IF(H75&lt;50,(J75+L75)/(F75+H75),N75)),"")</f>
        <v>578.60899440703588</v>
      </c>
      <c r="S75" s="409">
        <f t="shared" ref="S75:S138" si="60">IFERROR(IF(G75&lt;50,(K75+M75)/(G75+I75),IF(I75&lt;50,(K75+M75)/(G75+I75),O75)),"")</f>
        <v>692.80601073503215</v>
      </c>
      <c r="T75" s="409">
        <f t="shared" ref="T75:T138" si="61">IFERROR(IF(F75&lt;50,(J75+L75)/(F75+H75),IF(H75&lt;50,(J75+L75)/(F75+H75),P75)),"")</f>
        <v>578.60899440703588</v>
      </c>
      <c r="U75" s="409">
        <f t="shared" ref="U75:U138" si="62">IFERROR(IF(G75&lt;50,(K75+M75)/(G75+I75),IF(I75&lt;50,(K75+M75)/(G75+I75),Q75)),"")</f>
        <v>250.26279432798981</v>
      </c>
      <c r="V75" s="411">
        <f t="shared" si="17"/>
        <v>578.60899440703588</v>
      </c>
      <c r="W75" s="411">
        <f t="shared" si="18"/>
        <v>692.80601073503215</v>
      </c>
      <c r="X75" s="411">
        <f t="shared" si="19"/>
        <v>578.60899440703588</v>
      </c>
      <c r="Y75" s="411">
        <f t="shared" si="20"/>
        <v>250.26279432798981</v>
      </c>
      <c r="Z75" s="411">
        <f t="shared" si="21"/>
        <v>578.60899440703588</v>
      </c>
      <c r="AA75" s="411">
        <f t="shared" si="22"/>
        <v>692.80601073503215</v>
      </c>
      <c r="AB75" s="411">
        <f t="shared" si="23"/>
        <v>578.60899440703588</v>
      </c>
      <c r="AC75" s="411">
        <f t="shared" si="24"/>
        <v>250.26279432798981</v>
      </c>
      <c r="AD75" s="411">
        <f t="shared" si="25"/>
        <v>692.30950196838864</v>
      </c>
      <c r="AE75" s="411">
        <f t="shared" si="26"/>
        <v>692.30950196838864</v>
      </c>
      <c r="AF75" s="411">
        <f t="shared" si="27"/>
        <v>578.60899440703588</v>
      </c>
      <c r="AG75" s="411">
        <f t="shared" si="28"/>
        <v>250.26279432798981</v>
      </c>
      <c r="AH75" s="411">
        <f t="shared" si="29"/>
        <v>692.30950196838864</v>
      </c>
      <c r="AI75" s="411">
        <f t="shared" si="30"/>
        <v>692.30950196838864</v>
      </c>
      <c r="AJ75" s="411">
        <f t="shared" si="31"/>
        <v>500.77293964150175</v>
      </c>
      <c r="AK75" s="411">
        <f t="shared" si="32"/>
        <v>250.38646982075088</v>
      </c>
      <c r="AL75" s="411">
        <f t="shared" si="57"/>
        <v>692.30950196838864</v>
      </c>
      <c r="AM75" s="411">
        <f t="shared" si="54"/>
        <v>692.30950196838864</v>
      </c>
      <c r="AN75" s="411">
        <f t="shared" si="55"/>
        <v>500.77293964150175</v>
      </c>
      <c r="AO75" s="411">
        <f t="shared" si="56"/>
        <v>250.38646982075088</v>
      </c>
      <c r="AP75" s="411">
        <f t="shared" si="33"/>
        <v>692.30950196838864</v>
      </c>
      <c r="AQ75" s="411">
        <f t="shared" si="34"/>
        <v>692.30950196838864</v>
      </c>
      <c r="AR75" s="411">
        <f t="shared" si="35"/>
        <v>500.77293964150175</v>
      </c>
      <c r="AS75" s="411">
        <f t="shared" si="36"/>
        <v>250.38646982075088</v>
      </c>
      <c r="AT75" s="227" t="str">
        <f t="shared" si="58"/>
        <v/>
      </c>
      <c r="AU75" s="227" t="str">
        <f t="shared" si="37"/>
        <v/>
      </c>
      <c r="AV75" s="227" t="str">
        <f t="shared" si="38"/>
        <v/>
      </c>
      <c r="AW75" s="227" t="str">
        <f t="shared" si="39"/>
        <v/>
      </c>
      <c r="AX75" s="227" t="str">
        <f t="shared" si="49"/>
        <v/>
      </c>
      <c r="AY75" s="311" t="str">
        <f t="shared" si="51"/>
        <v/>
      </c>
      <c r="AZ75" s="311">
        <f t="shared" si="50"/>
        <v>692.30950196838864</v>
      </c>
      <c r="BA75" s="311">
        <f t="shared" si="40"/>
        <v>692.30950196838864</v>
      </c>
      <c r="BB75" s="311">
        <f t="shared" si="9"/>
        <v>500.77293964150175</v>
      </c>
      <c r="BC75" s="311">
        <f t="shared" si="48"/>
        <v>250.38646982075088</v>
      </c>
      <c r="BD75" s="227" t="str">
        <f t="shared" si="41"/>
        <v/>
      </c>
      <c r="BE75" s="227" t="str">
        <f t="shared" si="42"/>
        <v/>
      </c>
      <c r="BF75" s="227" t="str">
        <f t="shared" si="43"/>
        <v/>
      </c>
      <c r="BG75" s="227" t="str">
        <f t="shared" si="44"/>
        <v/>
      </c>
      <c r="BH75" s="227" t="str">
        <f t="shared" si="45"/>
        <v/>
      </c>
      <c r="BI75" s="227" t="str">
        <f t="shared" si="46"/>
        <v/>
      </c>
      <c r="BJ75" s="226">
        <f t="shared" si="47"/>
        <v>2531628.3776510758</v>
      </c>
      <c r="BK75" s="335"/>
      <c r="BL75" s="335"/>
      <c r="BM75" s="335"/>
      <c r="BN75" s="335"/>
    </row>
    <row r="76" spans="1:66">
      <c r="A76" s="231">
        <v>180</v>
      </c>
      <c r="B76" s="231" t="str">
        <f>VLOOKUP(A76,'201314 RC list'!A:B,2,FALSE)</f>
        <v>Accident &amp; Emergency</v>
      </c>
      <c r="C76" s="231"/>
      <c r="D76" s="310" t="str">
        <f t="shared" si="11"/>
        <v>A</v>
      </c>
      <c r="E76" s="231">
        <f>IF(ISERROR(VLOOKUP(A76,Mandatory!A:A,1,FALSE)),0,1)</f>
        <v>0</v>
      </c>
      <c r="F76" s="222">
        <f>VLOOKUP(A76,'Front-loading'!A:AG,$F$6,FALSE)</f>
        <v>88</v>
      </c>
      <c r="G76" s="222">
        <f>VLOOKUP(A76,'Front-loading'!A:AG,$G$6,FALSE)</f>
        <v>168005</v>
      </c>
      <c r="H76" s="222">
        <f>VLOOKUP(A76,'Front-loading'!A:AG,$H$6,FALSE)</f>
        <v>115</v>
      </c>
      <c r="I76" s="222">
        <f>VLOOKUP(A76,'Front-loading'!A:AG,$I$6,FALSE)</f>
        <v>46454</v>
      </c>
      <c r="J76" s="222">
        <f>VLOOKUP(A76,'Front-loading'!A:AG,$J$6,FALSE)</f>
        <v>13832.988015767956</v>
      </c>
      <c r="K76" s="222">
        <f>VLOOKUP(A76,'Front-loading'!A:AG,$K$6,FALSE)</f>
        <v>22475688.609799534</v>
      </c>
      <c r="L76" s="222">
        <f>VLOOKUP(A76,'Front-loading'!A:AG,$L$6,FALSE)</f>
        <v>6215.8942242707517</v>
      </c>
      <c r="M76" s="222">
        <f>VLOOKUP(A76,'Front-loading'!A:AG,$M$6,FALSE)</f>
        <v>5662168.5876277965</v>
      </c>
      <c r="N76" s="223">
        <f t="shared" ref="N76:Q119" si="63">IF(F76=0,0,J76/F76)</f>
        <v>157.19304563372677</v>
      </c>
      <c r="O76" s="223">
        <f t="shared" si="63"/>
        <v>133.77987922859162</v>
      </c>
      <c r="P76" s="223">
        <f t="shared" si="63"/>
        <v>54.051254124093497</v>
      </c>
      <c r="Q76" s="223">
        <f t="shared" si="63"/>
        <v>121.88764342420021</v>
      </c>
      <c r="R76" s="409">
        <f t="shared" si="59"/>
        <v>157.19304563372677</v>
      </c>
      <c r="S76" s="409">
        <f t="shared" si="60"/>
        <v>133.77987922859162</v>
      </c>
      <c r="T76" s="409">
        <f t="shared" si="61"/>
        <v>54.051254124093497</v>
      </c>
      <c r="U76" s="409">
        <f t="shared" si="62"/>
        <v>121.88764342420021</v>
      </c>
      <c r="V76" s="411">
        <f t="shared" si="17"/>
        <v>157.19304563372677</v>
      </c>
      <c r="W76" s="411">
        <f t="shared" si="18"/>
        <v>133.77987922859162</v>
      </c>
      <c r="X76" s="411">
        <f t="shared" si="19"/>
        <v>54.051254124093497</v>
      </c>
      <c r="Y76" s="411">
        <f t="shared" si="20"/>
        <v>121.88764342420021</v>
      </c>
      <c r="Z76" s="411">
        <f t="shared" si="21"/>
        <v>157.19304563372677</v>
      </c>
      <c r="AA76" s="411">
        <f t="shared" si="22"/>
        <v>133.77987922859162</v>
      </c>
      <c r="AB76" s="411">
        <f t="shared" si="23"/>
        <v>54.051254124093497</v>
      </c>
      <c r="AC76" s="411">
        <f t="shared" si="24"/>
        <v>121.88764342420021</v>
      </c>
      <c r="AD76" s="411">
        <f t="shared" si="25"/>
        <v>157.19304563372677</v>
      </c>
      <c r="AE76" s="411">
        <f t="shared" si="26"/>
        <v>133.77987922859162</v>
      </c>
      <c r="AF76" s="411">
        <f t="shared" si="27"/>
        <v>121.72012458614245</v>
      </c>
      <c r="AG76" s="411">
        <f t="shared" si="28"/>
        <v>121.72012458614245</v>
      </c>
      <c r="AH76" s="411">
        <f t="shared" si="29"/>
        <v>157.19304563372677</v>
      </c>
      <c r="AI76" s="411">
        <f t="shared" si="30"/>
        <v>133.77987922859162</v>
      </c>
      <c r="AJ76" s="411">
        <f t="shared" si="31"/>
        <v>121.72012458614245</v>
      </c>
      <c r="AK76" s="411">
        <f t="shared" si="32"/>
        <v>121.72012458614245</v>
      </c>
      <c r="AL76" s="411">
        <f t="shared" si="57"/>
        <v>157.19304563372677</v>
      </c>
      <c r="AM76" s="411">
        <f t="shared" si="54"/>
        <v>133.77987922859162</v>
      </c>
      <c r="AN76" s="411">
        <f t="shared" si="55"/>
        <v>121.72012458614245</v>
      </c>
      <c r="AO76" s="411">
        <f t="shared" si="56"/>
        <v>121.72012458614245</v>
      </c>
      <c r="AP76" s="411">
        <f t="shared" si="33"/>
        <v>157.19304563372677</v>
      </c>
      <c r="AQ76" s="411">
        <f t="shared" si="34"/>
        <v>133.77987922859162</v>
      </c>
      <c r="AR76" s="411">
        <f t="shared" si="35"/>
        <v>121.72012458614245</v>
      </c>
      <c r="AS76" s="411">
        <f t="shared" si="36"/>
        <v>121.72012458614245</v>
      </c>
      <c r="AT76" s="227" t="str">
        <f t="shared" si="58"/>
        <v/>
      </c>
      <c r="AU76" s="227" t="str">
        <f t="shared" si="37"/>
        <v/>
      </c>
      <c r="AV76" s="227" t="str">
        <f t="shared" si="38"/>
        <v/>
      </c>
      <c r="AW76" s="227" t="str">
        <f t="shared" si="39"/>
        <v/>
      </c>
      <c r="AX76" s="227" t="str">
        <f t="shared" si="49"/>
        <v/>
      </c>
      <c r="AY76" s="311" t="str">
        <f t="shared" si="51"/>
        <v/>
      </c>
      <c r="AZ76" s="311">
        <f t="shared" si="50"/>
        <v>157.19304563372677</v>
      </c>
      <c r="BA76" s="311">
        <f t="shared" si="40"/>
        <v>133.77987922859162</v>
      </c>
      <c r="BB76" s="311">
        <f t="shared" ref="BB76:BB85" si="64">IF(AT76&lt;&gt;"",AT76,IF(AY76&lt;&gt;"",AY76,AR76))</f>
        <v>121.72012458614245</v>
      </c>
      <c r="BC76" s="311">
        <f t="shared" si="48"/>
        <v>121.72012458614245</v>
      </c>
      <c r="BD76" s="227" t="str">
        <f t="shared" si="41"/>
        <v/>
      </c>
      <c r="BE76" s="227" t="str">
        <f t="shared" si="42"/>
        <v/>
      </c>
      <c r="BF76" s="227" t="str">
        <f t="shared" si="43"/>
        <v/>
      </c>
      <c r="BG76" s="227" t="str">
        <f t="shared" si="44"/>
        <v/>
      </c>
      <c r="BH76" s="227" t="str">
        <f t="shared" si="45"/>
        <v/>
      </c>
      <c r="BI76" s="227" t="str">
        <f t="shared" si="46"/>
        <v/>
      </c>
      <c r="BJ76" s="226">
        <f t="shared" si="47"/>
        <v>28157906.079667374</v>
      </c>
      <c r="BK76" s="335"/>
      <c r="BL76" s="335"/>
      <c r="BM76" s="335"/>
      <c r="BN76" s="335"/>
    </row>
    <row r="77" spans="1:66">
      <c r="A77" s="231">
        <v>190</v>
      </c>
      <c r="B77" s="231" t="str">
        <f>VLOOKUP(A77,'201314 RC list'!A:B,2,FALSE)</f>
        <v>Anaesthetics</v>
      </c>
      <c r="C77" s="231"/>
      <c r="D77" s="310" t="str">
        <f t="shared" ref="D77:D119" si="65">IF(ISERROR(FIND("Paed",B77,1)),"A","C")</f>
        <v>A</v>
      </c>
      <c r="E77" s="231">
        <f>IF(ISERROR(VLOOKUP(A77,Mandatory!A:A,1,FALSE)),0,1)</f>
        <v>1</v>
      </c>
      <c r="F77" s="222">
        <f>VLOOKUP(A77,'Front-loading'!A:AG,$F$6,FALSE)</f>
        <v>330</v>
      </c>
      <c r="G77" s="222">
        <f>VLOOKUP(A77,'Front-loading'!A:AG,$G$6,FALSE)</f>
        <v>87983</v>
      </c>
      <c r="H77" s="222">
        <f>VLOOKUP(A77,'Front-loading'!A:AG,$H$6,FALSE)</f>
        <v>2008</v>
      </c>
      <c r="I77" s="222">
        <f>VLOOKUP(A77,'Front-loading'!A:AG,$I$6,FALSE)</f>
        <v>142753</v>
      </c>
      <c r="J77" s="222">
        <f>VLOOKUP(A77,'Front-loading'!A:AG,$J$6,FALSE)</f>
        <v>80164.620541991171</v>
      </c>
      <c r="K77" s="222">
        <f>VLOOKUP(A77,'Front-loading'!A:AG,$K$6,FALSE)</f>
        <v>11432956.597339548</v>
      </c>
      <c r="L77" s="222">
        <f>VLOOKUP(A77,'Front-loading'!A:AG,$L$6,FALSE)</f>
        <v>205928.30067858787</v>
      </c>
      <c r="M77" s="222">
        <f>VLOOKUP(A77,'Front-loading'!A:AG,$M$6,FALSE)</f>
        <v>10709066.070246702</v>
      </c>
      <c r="N77" s="223">
        <f t="shared" si="63"/>
        <v>242.92309255148839</v>
      </c>
      <c r="O77" s="223">
        <f t="shared" si="63"/>
        <v>129.94506435720024</v>
      </c>
      <c r="P77" s="223">
        <f t="shared" si="63"/>
        <v>102.55393460089037</v>
      </c>
      <c r="Q77" s="223">
        <f t="shared" si="63"/>
        <v>75.018150723604421</v>
      </c>
      <c r="R77" s="409">
        <f t="shared" si="59"/>
        <v>242.92309255148839</v>
      </c>
      <c r="S77" s="409">
        <f t="shared" si="60"/>
        <v>129.94506435720024</v>
      </c>
      <c r="T77" s="409">
        <f t="shared" si="61"/>
        <v>102.55393460089037</v>
      </c>
      <c r="U77" s="409">
        <f t="shared" si="62"/>
        <v>75.018150723604421</v>
      </c>
      <c r="V77" s="411">
        <f t="shared" ref="V77:V119" si="66">IF(ISERROR(R77),S77,R77)</f>
        <v>242.92309255148839</v>
      </c>
      <c r="W77" s="411">
        <f t="shared" ref="W77:W119" si="67">S77</f>
        <v>129.94506435720024</v>
      </c>
      <c r="X77" s="411">
        <f t="shared" ref="X77:X119" si="68">IF(ISERROR(T77),U77,T77)</f>
        <v>102.55393460089037</v>
      </c>
      <c r="Y77" s="411">
        <f t="shared" ref="Y77:Y119" si="69">U77</f>
        <v>75.018150723604421</v>
      </c>
      <c r="Z77" s="411">
        <f t="shared" ref="Z77:Z119" si="70">IF(F77=0,V77,IF(V77&lt;X77,((V77*F77)+(H77*X77))/(F77+H77),V77))</f>
        <v>242.92309255148839</v>
      </c>
      <c r="AA77" s="411">
        <f t="shared" ref="AA77:AA119" si="71">IF(G77=0,W77,IF(W77&lt;Y77,((W77*G77)+(I77*Y77))/(G77+I77),W77))</f>
        <v>129.94506435720024</v>
      </c>
      <c r="AB77" s="411">
        <f t="shared" ref="AB77:AB119" si="72">IF(F77=0,X77,IF(V77&lt;X77,((V77*F77)+(H77*X77))/(F77+H77),X77))</f>
        <v>102.55393460089037</v>
      </c>
      <c r="AC77" s="411">
        <f t="shared" ref="AC77:AC119" si="73">IF(G77=0,Y77,IF(W77&lt;Y77,((W77*G77)+(I77*Y77))/(G77+I77),Y77))</f>
        <v>75.018150723604421</v>
      </c>
      <c r="AD77" s="411">
        <f t="shared" ref="AD77:AD119" si="74">IF(Z77&lt;AA77,SUMPRODUCT(Z77:AA77,F77:G77)/SUM(F77:G77),Z77)</f>
        <v>242.92309255148839</v>
      </c>
      <c r="AE77" s="411">
        <f t="shared" ref="AE77:AE119" si="75">IF(Z77&lt;AA77,SUMPRODUCT(Z77:AA77,F77:G77)/SUM(F77:G77),AA77)</f>
        <v>129.94506435720024</v>
      </c>
      <c r="AF77" s="411">
        <f t="shared" ref="AF77:AF119" si="76">IF(AB77&lt;AC77,SUMPRODUCT(AB77:AC77,H77:I77)/SUM(H77:I77),AB77)</f>
        <v>102.55393460089037</v>
      </c>
      <c r="AG77" s="411">
        <f t="shared" ref="AG77:AG119" si="77">IF(AB77&lt;AC77,SUMPRODUCT(AB77:AC77,H77:I77)/SUM(H77:I77),AC77)</f>
        <v>75.018150723604421</v>
      </c>
      <c r="AH77" s="411">
        <f t="shared" ref="AH77:AH119" si="78">IF(AD77&gt;2*AE77,(SUMPRODUCT(AD77:AE77,F77:G77)/(2*F77+G77))*2,AD77)</f>
        <v>242.92309255148839</v>
      </c>
      <c r="AI77" s="411">
        <f t="shared" ref="AI77:AI119" si="79">IF(AD77&gt;2*AE77,(SUMPRODUCT(AD77:AE77,F77:G77)/(2*F77+G77)),AE77)</f>
        <v>129.94506435720024</v>
      </c>
      <c r="AJ77" s="411">
        <f t="shared" ref="AJ77:AJ119" si="80">IF(AF77&gt;2*AG77,(SUMPRODUCT(AF77:AG77,H77:I77)/(2*H77+I77))*2,AF77)</f>
        <v>102.55393460089037</v>
      </c>
      <c r="AK77" s="411">
        <f t="shared" ref="AK77:AK119" si="81">IF(AF77&gt;2*AG77,(SUMPRODUCT(AF77:AG77,H77:I77)/(2*H77+I77)),AG77)</f>
        <v>75.018150723604421</v>
      </c>
      <c r="AL77" s="411">
        <f t="shared" si="57"/>
        <v>242.92309255148839</v>
      </c>
      <c r="AM77" s="411">
        <f t="shared" si="54"/>
        <v>129.94506435720024</v>
      </c>
      <c r="AN77" s="411">
        <f t="shared" si="55"/>
        <v>102.55393460089037</v>
      </c>
      <c r="AO77" s="411">
        <f t="shared" si="56"/>
        <v>75.018150723604421</v>
      </c>
      <c r="AP77" s="411">
        <f t="shared" ref="AP77:AP119" si="82">AL77</f>
        <v>242.92309255148839</v>
      </c>
      <c r="AQ77" s="411">
        <f t="shared" ref="AQ77:AQ119" si="83">AM77</f>
        <v>129.94506435720024</v>
      </c>
      <c r="AR77" s="411">
        <f t="shared" ref="AR77:AR119" si="84">AN77</f>
        <v>102.55393460089037</v>
      </c>
      <c r="AS77" s="411">
        <f t="shared" ref="AS77:AS119" si="85">AO77</f>
        <v>75.018150723604421</v>
      </c>
      <c r="AT77" s="227" t="str">
        <f t="shared" si="58"/>
        <v/>
      </c>
      <c r="AU77" s="227" t="str">
        <f t="shared" ref="AU77:AU119" si="86">IF(AQ77&lt;AS77,((AQ77*G77)+(AS77*I77))/(G77+I77),"")</f>
        <v/>
      </c>
      <c r="AV77" s="227" t="str">
        <f t="shared" ref="AV77:AV119" si="87">IF(AP77&lt;AQ77,"2FA","")</f>
        <v/>
      </c>
      <c r="AW77" s="227" t="str">
        <f t="shared" ref="AW77:AW118" si="88">IF(AR77&lt;AS77,"2FU","")</f>
        <v/>
      </c>
      <c r="AX77" s="227" t="str">
        <f t="shared" si="49"/>
        <v/>
      </c>
      <c r="AY77" s="311" t="str">
        <f t="shared" si="51"/>
        <v/>
      </c>
      <c r="AZ77" s="311">
        <f t="shared" si="50"/>
        <v>242.92309255148839</v>
      </c>
      <c r="BA77" s="311">
        <f t="shared" ref="BA77:BA119" si="89">AQ77</f>
        <v>129.94506435720024</v>
      </c>
      <c r="BB77" s="311">
        <f t="shared" si="64"/>
        <v>102.55393460089037</v>
      </c>
      <c r="BC77" s="311">
        <f t="shared" si="48"/>
        <v>75.018150723604421</v>
      </c>
      <c r="BD77" s="227" t="str">
        <f t="shared" ref="BD77:BD119" si="90">IF(AZ77&lt;BB77,"1FA","")</f>
        <v/>
      </c>
      <c r="BE77" s="227" t="str">
        <f t="shared" ref="BE77:BE119" si="91">IF(BA77&lt;BC77,"1FU","")</f>
        <v/>
      </c>
      <c r="BF77" s="227" t="str">
        <f t="shared" ref="BF77:BF119" si="92">IF(AZ77&lt;BA77,"2FA","")</f>
        <v/>
      </c>
      <c r="BG77" s="227" t="str">
        <f t="shared" ref="BG77:BG119" si="93">IF(BB77&lt;BC77,"2FU","")</f>
        <v/>
      </c>
      <c r="BH77" s="227" t="str">
        <f t="shared" ref="BH77:BH119" si="94">IF(AZ77&gt;2*BA77,"3FA","")</f>
        <v/>
      </c>
      <c r="BI77" s="227" t="str">
        <f t="shared" ref="BI77:BI119" si="95">IF(BB77&gt;2*BC77,"3FU","")</f>
        <v/>
      </c>
      <c r="BJ77" s="226">
        <f t="shared" ref="BJ77:BJ119" si="96">SUMPRODUCT(AZ77:BC77,F77:I77)</f>
        <v>22428115.58880683</v>
      </c>
      <c r="BK77" s="335"/>
      <c r="BL77" s="335"/>
      <c r="BM77" s="335"/>
      <c r="BN77" s="335"/>
    </row>
    <row r="78" spans="1:66">
      <c r="A78" s="231">
        <v>192</v>
      </c>
      <c r="B78" s="231" t="str">
        <f>VLOOKUP(A78,'201314 RC list'!A:B,2,FALSE)</f>
        <v>Critical Care Medicine</v>
      </c>
      <c r="C78" s="231"/>
      <c r="D78" s="310" t="str">
        <f t="shared" si="65"/>
        <v>A</v>
      </c>
      <c r="E78" s="231">
        <f>IF(ISERROR(VLOOKUP(A78,Mandatory!A:A,1,FALSE)),0,1)</f>
        <v>0</v>
      </c>
      <c r="F78" s="222">
        <f>VLOOKUP(A78,'Front-loading'!A:AG,$F$6,FALSE)</f>
        <v>0</v>
      </c>
      <c r="G78" s="222">
        <f>VLOOKUP(A78,'Front-loading'!A:AG,$G$6,FALSE)</f>
        <v>546</v>
      </c>
      <c r="H78" s="222">
        <f>VLOOKUP(A78,'Front-loading'!A:AG,$H$6,FALSE)</f>
        <v>1</v>
      </c>
      <c r="I78" s="222">
        <f>VLOOKUP(A78,'Front-loading'!A:AG,$I$6,FALSE)</f>
        <v>327</v>
      </c>
      <c r="J78" s="222">
        <f>VLOOKUP(A78,'Front-loading'!A:AG,$J$6,FALSE)</f>
        <v>0</v>
      </c>
      <c r="K78" s="222">
        <f>VLOOKUP(A78,'Front-loading'!A:AG,$K$6,FALSE)</f>
        <v>178836.23424756239</v>
      </c>
      <c r="L78" s="222">
        <f>VLOOKUP(A78,'Front-loading'!A:AG,$L$6,FALSE)</f>
        <v>424.07731058115689</v>
      </c>
      <c r="M78" s="222">
        <f>VLOOKUP(A78,'Front-loading'!A:AG,$M$6,FALSE)</f>
        <v>37771.737545821758</v>
      </c>
      <c r="N78" s="223">
        <f t="shared" si="63"/>
        <v>0</v>
      </c>
      <c r="O78" s="223">
        <f t="shared" si="63"/>
        <v>327.53889056330109</v>
      </c>
      <c r="P78" s="223">
        <f t="shared" si="63"/>
        <v>424.07731058115689</v>
      </c>
      <c r="Q78" s="223">
        <f t="shared" si="63"/>
        <v>115.50990075174849</v>
      </c>
      <c r="R78" s="409">
        <f t="shared" si="59"/>
        <v>424.07731058115689</v>
      </c>
      <c r="S78" s="409">
        <f t="shared" si="60"/>
        <v>327.53889056330109</v>
      </c>
      <c r="T78" s="409">
        <f t="shared" si="61"/>
        <v>424.07731058115689</v>
      </c>
      <c r="U78" s="409">
        <f t="shared" si="62"/>
        <v>115.50990075174849</v>
      </c>
      <c r="V78" s="411">
        <f t="shared" si="66"/>
        <v>424.07731058115689</v>
      </c>
      <c r="W78" s="411">
        <f t="shared" si="67"/>
        <v>327.53889056330109</v>
      </c>
      <c r="X78" s="411">
        <f t="shared" si="68"/>
        <v>424.07731058115689</v>
      </c>
      <c r="Y78" s="411">
        <f t="shared" si="69"/>
        <v>115.50990075174849</v>
      </c>
      <c r="Z78" s="411">
        <f t="shared" si="70"/>
        <v>424.07731058115689</v>
      </c>
      <c r="AA78" s="411">
        <f t="shared" si="71"/>
        <v>327.53889056330109</v>
      </c>
      <c r="AB78" s="411">
        <f t="shared" si="72"/>
        <v>424.07731058115689</v>
      </c>
      <c r="AC78" s="411">
        <f t="shared" si="73"/>
        <v>115.50990075174849</v>
      </c>
      <c r="AD78" s="411">
        <f t="shared" si="74"/>
        <v>424.07731058115689</v>
      </c>
      <c r="AE78" s="411">
        <f t="shared" si="75"/>
        <v>327.53889056330109</v>
      </c>
      <c r="AF78" s="411">
        <f t="shared" si="76"/>
        <v>424.07731058115689</v>
      </c>
      <c r="AG78" s="411">
        <f t="shared" si="77"/>
        <v>115.50990075174849</v>
      </c>
      <c r="AH78" s="411">
        <f t="shared" si="78"/>
        <v>424.07731058115689</v>
      </c>
      <c r="AI78" s="411">
        <f t="shared" si="79"/>
        <v>327.53889056330109</v>
      </c>
      <c r="AJ78" s="411">
        <f t="shared" si="80"/>
        <v>232.19340338238857</v>
      </c>
      <c r="AK78" s="411">
        <f t="shared" si="81"/>
        <v>116.09670169119428</v>
      </c>
      <c r="AL78" s="411">
        <f t="shared" si="57"/>
        <v>424.07731058115689</v>
      </c>
      <c r="AM78" s="411">
        <f t="shared" si="54"/>
        <v>327.53889056330109</v>
      </c>
      <c r="AN78" s="411">
        <f t="shared" si="55"/>
        <v>232.19340338238857</v>
      </c>
      <c r="AO78" s="411">
        <f t="shared" si="56"/>
        <v>116.09670169119428</v>
      </c>
      <c r="AP78" s="411">
        <f t="shared" si="82"/>
        <v>424.07731058115689</v>
      </c>
      <c r="AQ78" s="411">
        <f t="shared" si="83"/>
        <v>327.53889056330109</v>
      </c>
      <c r="AR78" s="411">
        <f t="shared" si="84"/>
        <v>232.19340338238857</v>
      </c>
      <c r="AS78" s="411">
        <f t="shared" si="85"/>
        <v>116.09670169119428</v>
      </c>
      <c r="AT78" s="227" t="str">
        <f t="shared" si="58"/>
        <v/>
      </c>
      <c r="AU78" s="227" t="str">
        <f t="shared" si="86"/>
        <v/>
      </c>
      <c r="AV78" s="227" t="str">
        <f t="shared" si="87"/>
        <v/>
      </c>
      <c r="AW78" s="227" t="str">
        <f t="shared" si="88"/>
        <v/>
      </c>
      <c r="AX78" s="227" t="str">
        <f t="shared" si="49"/>
        <v/>
      </c>
      <c r="AY78" s="311" t="str">
        <f t="shared" si="51"/>
        <v/>
      </c>
      <c r="AZ78" s="311">
        <f t="shared" si="50"/>
        <v>424.07731058115689</v>
      </c>
      <c r="BA78" s="311">
        <f t="shared" si="89"/>
        <v>327.53889056330109</v>
      </c>
      <c r="BB78" s="311">
        <f t="shared" si="64"/>
        <v>232.19340338238857</v>
      </c>
      <c r="BC78" s="311">
        <f t="shared" si="48"/>
        <v>116.09670169119428</v>
      </c>
      <c r="BD78" s="227" t="str">
        <f t="shared" si="90"/>
        <v/>
      </c>
      <c r="BE78" s="227" t="str">
        <f t="shared" si="91"/>
        <v/>
      </c>
      <c r="BF78" s="227" t="str">
        <f t="shared" si="92"/>
        <v/>
      </c>
      <c r="BG78" s="227" t="str">
        <f t="shared" si="93"/>
        <v/>
      </c>
      <c r="BH78" s="227" t="str">
        <f t="shared" si="94"/>
        <v/>
      </c>
      <c r="BI78" s="227" t="str">
        <f t="shared" si="95"/>
        <v/>
      </c>
      <c r="BJ78" s="226">
        <f t="shared" si="96"/>
        <v>217032.04910396528</v>
      </c>
      <c r="BK78" s="335"/>
      <c r="BL78" s="335"/>
      <c r="BM78" s="335"/>
      <c r="BN78" s="335"/>
    </row>
    <row r="79" spans="1:66">
      <c r="A79" s="231">
        <v>300</v>
      </c>
      <c r="B79" s="231" t="str">
        <f>VLOOKUP(A79,'201314 RC list'!A:B,2,FALSE)</f>
        <v>General Medicine</v>
      </c>
      <c r="C79" s="231"/>
      <c r="D79" s="310" t="str">
        <f t="shared" si="65"/>
        <v>A</v>
      </c>
      <c r="E79" s="231">
        <f>IF(ISERROR(VLOOKUP(A79,Mandatory!A:A,1,FALSE)),0,1)</f>
        <v>1</v>
      </c>
      <c r="F79" s="222">
        <f>VLOOKUP(A79,'Front-loading'!A:AG,$F$6,FALSE)</f>
        <v>8611</v>
      </c>
      <c r="G79" s="222">
        <f>VLOOKUP(A79,'Front-loading'!A:AG,$G$6,FALSE)</f>
        <v>317480</v>
      </c>
      <c r="H79" s="222">
        <f>VLOOKUP(A79,'Front-loading'!A:AG,$H$6,FALSE)</f>
        <v>10391</v>
      </c>
      <c r="I79" s="222">
        <f>VLOOKUP(A79,'Front-loading'!A:AG,$I$6,FALSE)</f>
        <v>526950</v>
      </c>
      <c r="J79" s="222">
        <f>VLOOKUP(A79,'Front-loading'!A:AG,$J$6,FALSE)</f>
        <v>2271614.482708212</v>
      </c>
      <c r="K79" s="222">
        <f>VLOOKUP(A79,'Front-loading'!A:AG,$K$6,FALSE)</f>
        <v>64877392.433014348</v>
      </c>
      <c r="L79" s="222">
        <f>VLOOKUP(A79,'Front-loading'!A:AG,$L$6,FALSE)</f>
        <v>1699362.4813254578</v>
      </c>
      <c r="M79" s="222">
        <f>VLOOKUP(A79,'Front-loading'!A:AG,$M$6,FALSE)</f>
        <v>62844859.796304397</v>
      </c>
      <c r="N79" s="223">
        <f t="shared" si="63"/>
        <v>263.80379546024989</v>
      </c>
      <c r="O79" s="223">
        <f t="shared" si="63"/>
        <v>204.35111639477873</v>
      </c>
      <c r="P79" s="223">
        <f t="shared" si="63"/>
        <v>163.54176511649098</v>
      </c>
      <c r="Q79" s="223">
        <f t="shared" si="63"/>
        <v>119.26152347718835</v>
      </c>
      <c r="R79" s="409">
        <f t="shared" si="59"/>
        <v>263.80379546024989</v>
      </c>
      <c r="S79" s="409">
        <f t="shared" si="60"/>
        <v>204.35111639477873</v>
      </c>
      <c r="T79" s="409">
        <f t="shared" si="61"/>
        <v>163.54176511649098</v>
      </c>
      <c r="U79" s="409">
        <f t="shared" si="62"/>
        <v>119.26152347718835</v>
      </c>
      <c r="V79" s="411">
        <f t="shared" si="66"/>
        <v>263.80379546024989</v>
      </c>
      <c r="W79" s="411">
        <f t="shared" si="67"/>
        <v>204.35111639477873</v>
      </c>
      <c r="X79" s="411">
        <f t="shared" si="68"/>
        <v>163.54176511649098</v>
      </c>
      <c r="Y79" s="411">
        <f t="shared" si="69"/>
        <v>119.26152347718835</v>
      </c>
      <c r="Z79" s="411">
        <f t="shared" si="70"/>
        <v>263.80379546024989</v>
      </c>
      <c r="AA79" s="411">
        <f t="shared" si="71"/>
        <v>204.35111639477873</v>
      </c>
      <c r="AB79" s="411">
        <f t="shared" si="72"/>
        <v>163.54176511649098</v>
      </c>
      <c r="AC79" s="411">
        <f t="shared" si="73"/>
        <v>119.26152347718835</v>
      </c>
      <c r="AD79" s="411">
        <f t="shared" si="74"/>
        <v>263.80379546024989</v>
      </c>
      <c r="AE79" s="411">
        <f t="shared" si="75"/>
        <v>204.35111639477873</v>
      </c>
      <c r="AF79" s="411">
        <f t="shared" si="76"/>
        <v>163.54176511649098</v>
      </c>
      <c r="AG79" s="411">
        <f t="shared" si="77"/>
        <v>119.26152347718835</v>
      </c>
      <c r="AH79" s="411">
        <f t="shared" si="78"/>
        <v>263.80379546024989</v>
      </c>
      <c r="AI79" s="411">
        <f t="shared" si="79"/>
        <v>204.35111639477873</v>
      </c>
      <c r="AJ79" s="411">
        <f t="shared" si="80"/>
        <v>163.54176511649098</v>
      </c>
      <c r="AK79" s="411">
        <f t="shared" si="81"/>
        <v>119.26152347718835</v>
      </c>
      <c r="AL79" s="411">
        <f t="shared" si="57"/>
        <v>263.80379546024989</v>
      </c>
      <c r="AM79" s="411">
        <f t="shared" si="54"/>
        <v>204.35111639477873</v>
      </c>
      <c r="AN79" s="411">
        <f t="shared" si="55"/>
        <v>163.54176511649098</v>
      </c>
      <c r="AO79" s="411">
        <f t="shared" si="56"/>
        <v>119.26152347718835</v>
      </c>
      <c r="AP79" s="411">
        <f t="shared" si="82"/>
        <v>263.80379546024989</v>
      </c>
      <c r="AQ79" s="411">
        <f t="shared" si="83"/>
        <v>204.35111639477873</v>
      </c>
      <c r="AR79" s="411">
        <f t="shared" si="84"/>
        <v>163.54176511649098</v>
      </c>
      <c r="AS79" s="411">
        <f t="shared" si="85"/>
        <v>119.26152347718835</v>
      </c>
      <c r="AT79" s="227" t="str">
        <f t="shared" si="58"/>
        <v/>
      </c>
      <c r="AU79" s="227" t="str">
        <f t="shared" si="86"/>
        <v/>
      </c>
      <c r="AV79" s="227" t="str">
        <f t="shared" si="87"/>
        <v/>
      </c>
      <c r="AW79" s="227" t="str">
        <f t="shared" si="88"/>
        <v/>
      </c>
      <c r="AX79" s="227" t="str">
        <f t="shared" si="49"/>
        <v/>
      </c>
      <c r="AY79" s="311" t="str">
        <f t="shared" si="51"/>
        <v/>
      </c>
      <c r="AZ79" s="311">
        <f t="shared" si="50"/>
        <v>263.80379546024989</v>
      </c>
      <c r="BA79" s="311">
        <f t="shared" si="89"/>
        <v>204.35111639477873</v>
      </c>
      <c r="BB79" s="311">
        <f t="shared" si="64"/>
        <v>163.54176511649098</v>
      </c>
      <c r="BC79" s="311">
        <f t="shared" si="48"/>
        <v>119.26152347718835</v>
      </c>
      <c r="BD79" s="227" t="str">
        <f t="shared" si="90"/>
        <v/>
      </c>
      <c r="BE79" s="227" t="str">
        <f t="shared" si="91"/>
        <v/>
      </c>
      <c r="BF79" s="227" t="str">
        <f t="shared" si="92"/>
        <v/>
      </c>
      <c r="BG79" s="227" t="str">
        <f t="shared" si="93"/>
        <v/>
      </c>
      <c r="BH79" s="227" t="str">
        <f t="shared" si="94"/>
        <v/>
      </c>
      <c r="BI79" s="227" t="str">
        <f t="shared" si="95"/>
        <v/>
      </c>
      <c r="BJ79" s="226">
        <f t="shared" si="96"/>
        <v>131693229.19335243</v>
      </c>
      <c r="BK79" s="335"/>
      <c r="BL79" s="335"/>
      <c r="BM79" s="335"/>
      <c r="BN79" s="335"/>
    </row>
    <row r="80" spans="1:66">
      <c r="A80" s="231">
        <v>304</v>
      </c>
      <c r="B80" s="231" t="str">
        <f>VLOOKUP(A80,'201314 RC list'!A:B,2,FALSE)</f>
        <v>Clinical Physiology</v>
      </c>
      <c r="C80" s="231"/>
      <c r="D80" s="310" t="str">
        <f t="shared" si="65"/>
        <v>A</v>
      </c>
      <c r="E80" s="231">
        <f>IF(ISERROR(VLOOKUP(A80,Mandatory!A:A,1,FALSE)),0,1)</f>
        <v>0</v>
      </c>
      <c r="F80" s="222">
        <f>VLOOKUP(A80,'Front-loading'!A:AG,$F$6,FALSE)</f>
        <v>110</v>
      </c>
      <c r="G80" s="222">
        <f>VLOOKUP(A80,'Front-loading'!A:AG,$G$6,FALSE)</f>
        <v>30498</v>
      </c>
      <c r="H80" s="222">
        <f>VLOOKUP(A80,'Front-loading'!A:AG,$H$6,FALSE)</f>
        <v>87</v>
      </c>
      <c r="I80" s="222">
        <f>VLOOKUP(A80,'Front-loading'!A:AG,$I$6,FALSE)</f>
        <v>21294</v>
      </c>
      <c r="J80" s="222">
        <f>VLOOKUP(A80,'Front-loading'!A:AG,$J$6,FALSE)</f>
        <v>13910.36484974548</v>
      </c>
      <c r="K80" s="222">
        <f>VLOOKUP(A80,'Front-loading'!A:AG,$K$6,FALSE)</f>
        <v>3157146.7218148261</v>
      </c>
      <c r="L80" s="222">
        <f>VLOOKUP(A80,'Front-loading'!A:AG,$L$6,FALSE)</f>
        <v>9140.2176114478043</v>
      </c>
      <c r="M80" s="222">
        <f>VLOOKUP(A80,'Front-loading'!A:AG,$M$6,FALSE)</f>
        <v>1987266.1780330455</v>
      </c>
      <c r="N80" s="223">
        <f t="shared" si="63"/>
        <v>126.45786227041346</v>
      </c>
      <c r="O80" s="223">
        <f t="shared" si="63"/>
        <v>103.51979545592583</v>
      </c>
      <c r="P80" s="223">
        <f t="shared" si="63"/>
        <v>105.05997254537706</v>
      </c>
      <c r="Q80" s="223">
        <f t="shared" si="63"/>
        <v>93.325170378183785</v>
      </c>
      <c r="R80" s="409">
        <f t="shared" si="59"/>
        <v>126.45786227041346</v>
      </c>
      <c r="S80" s="409">
        <f t="shared" si="60"/>
        <v>103.51979545592583</v>
      </c>
      <c r="T80" s="409">
        <f t="shared" si="61"/>
        <v>105.05997254537706</v>
      </c>
      <c r="U80" s="409">
        <f t="shared" si="62"/>
        <v>93.325170378183785</v>
      </c>
      <c r="V80" s="411">
        <f t="shared" si="66"/>
        <v>126.45786227041346</v>
      </c>
      <c r="W80" s="411">
        <f t="shared" si="67"/>
        <v>103.51979545592583</v>
      </c>
      <c r="X80" s="411">
        <f t="shared" si="68"/>
        <v>105.05997254537706</v>
      </c>
      <c r="Y80" s="411">
        <f t="shared" si="69"/>
        <v>93.325170378183785</v>
      </c>
      <c r="Z80" s="411">
        <f t="shared" si="70"/>
        <v>126.45786227041346</v>
      </c>
      <c r="AA80" s="411">
        <f t="shared" si="71"/>
        <v>103.51979545592583</v>
      </c>
      <c r="AB80" s="411">
        <f t="shared" si="72"/>
        <v>105.05997254537706</v>
      </c>
      <c r="AC80" s="411">
        <f t="shared" si="73"/>
        <v>93.325170378183785</v>
      </c>
      <c r="AD80" s="411">
        <f t="shared" si="74"/>
        <v>126.45786227041346</v>
      </c>
      <c r="AE80" s="411">
        <f t="shared" si="75"/>
        <v>103.51979545592583</v>
      </c>
      <c r="AF80" s="411">
        <f t="shared" si="76"/>
        <v>105.05997254537706</v>
      </c>
      <c r="AG80" s="411">
        <f t="shared" si="77"/>
        <v>93.325170378183785</v>
      </c>
      <c r="AH80" s="411">
        <f t="shared" si="78"/>
        <v>126.45786227041346</v>
      </c>
      <c r="AI80" s="411">
        <f t="shared" si="79"/>
        <v>103.51979545592583</v>
      </c>
      <c r="AJ80" s="411">
        <f t="shared" si="80"/>
        <v>105.05997254537706</v>
      </c>
      <c r="AK80" s="411">
        <f t="shared" si="81"/>
        <v>93.325170378183785</v>
      </c>
      <c r="AL80" s="411">
        <f t="shared" si="57"/>
        <v>126.45786227041346</v>
      </c>
      <c r="AM80" s="411">
        <f t="shared" si="54"/>
        <v>103.51979545592583</v>
      </c>
      <c r="AN80" s="411">
        <f t="shared" si="55"/>
        <v>105.05997254537706</v>
      </c>
      <c r="AO80" s="411">
        <f t="shared" si="56"/>
        <v>93.325170378183785</v>
      </c>
      <c r="AP80" s="411">
        <f t="shared" si="82"/>
        <v>126.45786227041346</v>
      </c>
      <c r="AQ80" s="411">
        <f t="shared" si="83"/>
        <v>103.51979545592583</v>
      </c>
      <c r="AR80" s="411">
        <f t="shared" si="84"/>
        <v>105.05997254537706</v>
      </c>
      <c r="AS80" s="411">
        <f t="shared" si="85"/>
        <v>93.325170378183785</v>
      </c>
      <c r="AT80" s="227" t="str">
        <f t="shared" si="58"/>
        <v/>
      </c>
      <c r="AU80" s="227" t="str">
        <f t="shared" si="86"/>
        <v/>
      </c>
      <c r="AV80" s="227" t="str">
        <f t="shared" si="87"/>
        <v/>
      </c>
      <c r="AW80" s="227" t="str">
        <f t="shared" si="88"/>
        <v/>
      </c>
      <c r="AX80" s="227" t="str">
        <f t="shared" si="49"/>
        <v/>
      </c>
      <c r="AY80" s="311" t="str">
        <f t="shared" si="51"/>
        <v/>
      </c>
      <c r="AZ80" s="311">
        <f t="shared" si="50"/>
        <v>126.45786227041346</v>
      </c>
      <c r="BA80" s="311">
        <f t="shared" si="89"/>
        <v>103.51979545592583</v>
      </c>
      <c r="BB80" s="311">
        <f t="shared" si="64"/>
        <v>105.05997254537706</v>
      </c>
      <c r="BC80" s="311">
        <f t="shared" si="48"/>
        <v>93.325170378183785</v>
      </c>
      <c r="BD80" s="227" t="str">
        <f t="shared" si="90"/>
        <v/>
      </c>
      <c r="BE80" s="227" t="str">
        <f t="shared" si="91"/>
        <v/>
      </c>
      <c r="BF80" s="227" t="str">
        <f t="shared" si="92"/>
        <v/>
      </c>
      <c r="BG80" s="227" t="str">
        <f t="shared" si="93"/>
        <v/>
      </c>
      <c r="BH80" s="227" t="str">
        <f t="shared" si="94"/>
        <v/>
      </c>
      <c r="BI80" s="227" t="str">
        <f t="shared" si="95"/>
        <v/>
      </c>
      <c r="BJ80" s="226">
        <f t="shared" si="96"/>
        <v>5167463.4823090648</v>
      </c>
      <c r="BK80" s="335"/>
      <c r="BL80" s="335"/>
      <c r="BM80" s="335"/>
      <c r="BN80" s="335"/>
    </row>
    <row r="81" spans="1:66">
      <c r="A81" s="231">
        <v>305</v>
      </c>
      <c r="B81" s="231" t="str">
        <f>VLOOKUP(A81,'201314 RC list'!A:B,2,FALSE)</f>
        <v>Clinical Pharmacology</v>
      </c>
      <c r="C81" s="231"/>
      <c r="D81" s="310" t="str">
        <f t="shared" si="65"/>
        <v>A</v>
      </c>
      <c r="E81" s="231">
        <f>IF(ISERROR(VLOOKUP(A81,Mandatory!A:A,1,FALSE)),0,1)</f>
        <v>0</v>
      </c>
      <c r="F81" s="222">
        <f>VLOOKUP(A81,'Front-loading'!A:AG,$F$6,FALSE)</f>
        <v>0</v>
      </c>
      <c r="G81" s="222">
        <f>VLOOKUP(A81,'Front-loading'!A:AG,$G$6,FALSE)</f>
        <v>2097</v>
      </c>
      <c r="H81" s="222">
        <f>VLOOKUP(A81,'Front-loading'!A:AG,$H$6,FALSE)</f>
        <v>0</v>
      </c>
      <c r="I81" s="222">
        <f>VLOOKUP(A81,'Front-loading'!A:AG,$I$6,FALSE)</f>
        <v>10600</v>
      </c>
      <c r="J81" s="222">
        <f>VLOOKUP(A81,'Front-loading'!A:AG,$J$6,FALSE)</f>
        <v>0</v>
      </c>
      <c r="K81" s="222">
        <f>VLOOKUP(A81,'Front-loading'!A:AG,$K$6,FALSE)</f>
        <v>383603.83829762769</v>
      </c>
      <c r="L81" s="222">
        <f>VLOOKUP(A81,'Front-loading'!A:AG,$L$6,FALSE)</f>
        <v>0</v>
      </c>
      <c r="M81" s="222">
        <f>VLOOKUP(A81,'Front-loading'!A:AG,$M$6,FALSE)</f>
        <v>1192053.1458876042</v>
      </c>
      <c r="N81" s="223">
        <f t="shared" si="63"/>
        <v>0</v>
      </c>
      <c r="O81" s="223">
        <f t="shared" si="63"/>
        <v>182.92982274564983</v>
      </c>
      <c r="P81" s="223">
        <f t="shared" si="63"/>
        <v>0</v>
      </c>
      <c r="Q81" s="223">
        <f t="shared" si="63"/>
        <v>112.45784395166078</v>
      </c>
      <c r="R81" s="409" t="str">
        <f t="shared" si="59"/>
        <v/>
      </c>
      <c r="S81" s="409">
        <f t="shared" si="60"/>
        <v>182.92982274564983</v>
      </c>
      <c r="T81" s="409" t="str">
        <f t="shared" si="61"/>
        <v/>
      </c>
      <c r="U81" s="409">
        <f t="shared" si="62"/>
        <v>112.45784395166078</v>
      </c>
      <c r="V81" s="411" t="str">
        <f t="shared" si="66"/>
        <v/>
      </c>
      <c r="W81" s="411">
        <f t="shared" si="67"/>
        <v>182.92982274564983</v>
      </c>
      <c r="X81" s="411" t="str">
        <f t="shared" si="68"/>
        <v/>
      </c>
      <c r="Y81" s="411">
        <f t="shared" si="69"/>
        <v>112.45784395166078</v>
      </c>
      <c r="Z81" s="411" t="str">
        <f t="shared" si="70"/>
        <v/>
      </c>
      <c r="AA81" s="411">
        <f t="shared" si="71"/>
        <v>182.92982274564983</v>
      </c>
      <c r="AB81" s="411" t="str">
        <f t="shared" si="72"/>
        <v/>
      </c>
      <c r="AC81" s="411">
        <f t="shared" si="73"/>
        <v>112.45784395166078</v>
      </c>
      <c r="AD81" s="411" t="str">
        <f t="shared" si="74"/>
        <v/>
      </c>
      <c r="AE81" s="411">
        <f t="shared" si="75"/>
        <v>182.92982274564983</v>
      </c>
      <c r="AF81" s="411" t="str">
        <f t="shared" si="76"/>
        <v/>
      </c>
      <c r="AG81" s="411">
        <f t="shared" si="77"/>
        <v>112.45784395166078</v>
      </c>
      <c r="AH81" s="411">
        <f t="shared" si="78"/>
        <v>365.85964549129966</v>
      </c>
      <c r="AI81" s="411">
        <f t="shared" si="79"/>
        <v>182.92982274564983</v>
      </c>
      <c r="AJ81" s="411">
        <f t="shared" si="80"/>
        <v>224.91568790332155</v>
      </c>
      <c r="AK81" s="411">
        <f t="shared" si="81"/>
        <v>112.45784395166078</v>
      </c>
      <c r="AL81" s="411">
        <f t="shared" si="57"/>
        <v>365.85964549129966</v>
      </c>
      <c r="AM81" s="411">
        <f t="shared" si="54"/>
        <v>182.92982274564983</v>
      </c>
      <c r="AN81" s="411">
        <f t="shared" si="55"/>
        <v>224.91568790332155</v>
      </c>
      <c r="AO81" s="411">
        <f t="shared" si="56"/>
        <v>112.45784395166078</v>
      </c>
      <c r="AP81" s="411">
        <f t="shared" si="82"/>
        <v>365.85964549129966</v>
      </c>
      <c r="AQ81" s="411">
        <f t="shared" si="83"/>
        <v>182.92982274564983</v>
      </c>
      <c r="AR81" s="411">
        <f t="shared" si="84"/>
        <v>224.91568790332155</v>
      </c>
      <c r="AS81" s="411">
        <f t="shared" si="85"/>
        <v>112.45784395166078</v>
      </c>
      <c r="AT81" s="227" t="str">
        <f t="shared" si="58"/>
        <v/>
      </c>
      <c r="AU81" s="227" t="str">
        <f t="shared" si="86"/>
        <v/>
      </c>
      <c r="AV81" s="227" t="str">
        <f t="shared" si="87"/>
        <v/>
      </c>
      <c r="AW81" s="227" t="str">
        <f t="shared" si="88"/>
        <v/>
      </c>
      <c r="AX81" s="227" t="str">
        <f t="shared" si="49"/>
        <v/>
      </c>
      <c r="AY81" s="311" t="str">
        <f t="shared" si="51"/>
        <v/>
      </c>
      <c r="AZ81" s="311">
        <f t="shared" si="50"/>
        <v>365.85964549129966</v>
      </c>
      <c r="BA81" s="311">
        <f t="shared" si="89"/>
        <v>182.92982274564983</v>
      </c>
      <c r="BB81" s="311">
        <f t="shared" si="64"/>
        <v>224.91568790332155</v>
      </c>
      <c r="BC81" s="311">
        <f t="shared" si="48"/>
        <v>112.45784395166078</v>
      </c>
      <c r="BD81" s="227" t="str">
        <f t="shared" si="90"/>
        <v/>
      </c>
      <c r="BE81" s="227" t="str">
        <f t="shared" si="91"/>
        <v/>
      </c>
      <c r="BF81" s="227" t="str">
        <f t="shared" si="92"/>
        <v/>
      </c>
      <c r="BG81" s="227" t="str">
        <f t="shared" si="93"/>
        <v/>
      </c>
      <c r="BH81" s="227" t="str">
        <f t="shared" si="94"/>
        <v/>
      </c>
      <c r="BI81" s="227" t="str">
        <f t="shared" si="95"/>
        <v/>
      </c>
      <c r="BJ81" s="226">
        <f t="shared" si="96"/>
        <v>1575656.9841852318</v>
      </c>
      <c r="BK81" s="335"/>
      <c r="BL81" s="335"/>
      <c r="BM81" s="335"/>
      <c r="BN81" s="335"/>
    </row>
    <row r="82" spans="1:66">
      <c r="A82" s="231">
        <v>306</v>
      </c>
      <c r="B82" s="231" t="str">
        <f>VLOOKUP(A82,'201314 RC list'!A:B,2,FALSE)</f>
        <v>Hepatology</v>
      </c>
      <c r="C82" s="231"/>
      <c r="D82" s="310" t="str">
        <f t="shared" si="65"/>
        <v>A</v>
      </c>
      <c r="E82" s="231">
        <f>IF(ISERROR(VLOOKUP(A82,Mandatory!A:A,1,FALSE)),0,1)</f>
        <v>1</v>
      </c>
      <c r="F82" s="222">
        <f>VLOOKUP(A82,'Front-loading'!A:AG,$F$6,FALSE)</f>
        <v>2609</v>
      </c>
      <c r="G82" s="222">
        <f>VLOOKUP(A82,'Front-loading'!A:AG,$G$6,FALSE)</f>
        <v>31501</v>
      </c>
      <c r="H82" s="222">
        <f>VLOOKUP(A82,'Front-loading'!A:AG,$H$6,FALSE)</f>
        <v>14735</v>
      </c>
      <c r="I82" s="222">
        <f>VLOOKUP(A82,'Front-loading'!A:AG,$I$6,FALSE)</f>
        <v>130053</v>
      </c>
      <c r="J82" s="222">
        <f>VLOOKUP(A82,'Front-loading'!A:AG,$J$6,FALSE)</f>
        <v>1045406.919163609</v>
      </c>
      <c r="K82" s="222">
        <f>VLOOKUP(A82,'Front-loading'!A:AG,$K$6,FALSE)</f>
        <v>8127089.5538830394</v>
      </c>
      <c r="L82" s="222">
        <f>VLOOKUP(A82,'Front-loading'!A:AG,$L$6,FALSE)</f>
        <v>2818615.7858719751</v>
      </c>
      <c r="M82" s="222">
        <f>VLOOKUP(A82,'Front-loading'!A:AG,$M$6,FALSE)</f>
        <v>18552336.081313353</v>
      </c>
      <c r="N82" s="223">
        <f t="shared" si="63"/>
        <v>400.69257154603645</v>
      </c>
      <c r="O82" s="223">
        <f t="shared" si="63"/>
        <v>257.99465267397983</v>
      </c>
      <c r="P82" s="223">
        <f t="shared" si="63"/>
        <v>191.2871249319291</v>
      </c>
      <c r="Q82" s="223">
        <f t="shared" si="63"/>
        <v>142.65211937681832</v>
      </c>
      <c r="R82" s="409">
        <f t="shared" si="59"/>
        <v>400.69257154603645</v>
      </c>
      <c r="S82" s="409">
        <f t="shared" si="60"/>
        <v>257.99465267397983</v>
      </c>
      <c r="T82" s="409">
        <f t="shared" si="61"/>
        <v>191.2871249319291</v>
      </c>
      <c r="U82" s="409">
        <f t="shared" si="62"/>
        <v>142.65211937681832</v>
      </c>
      <c r="V82" s="411">
        <f t="shared" si="66"/>
        <v>400.69257154603645</v>
      </c>
      <c r="W82" s="411">
        <f t="shared" si="67"/>
        <v>257.99465267397983</v>
      </c>
      <c r="X82" s="411">
        <f t="shared" si="68"/>
        <v>191.2871249319291</v>
      </c>
      <c r="Y82" s="411">
        <f t="shared" si="69"/>
        <v>142.65211937681832</v>
      </c>
      <c r="Z82" s="411">
        <f t="shared" si="70"/>
        <v>400.69257154603645</v>
      </c>
      <c r="AA82" s="411">
        <f t="shared" si="71"/>
        <v>257.99465267397983</v>
      </c>
      <c r="AB82" s="411">
        <f t="shared" si="72"/>
        <v>191.2871249319291</v>
      </c>
      <c r="AC82" s="411">
        <f t="shared" si="73"/>
        <v>142.65211937681832</v>
      </c>
      <c r="AD82" s="411">
        <f t="shared" si="74"/>
        <v>400.69257154603645</v>
      </c>
      <c r="AE82" s="411">
        <f t="shared" si="75"/>
        <v>257.99465267397983</v>
      </c>
      <c r="AF82" s="411">
        <f t="shared" si="76"/>
        <v>191.2871249319291</v>
      </c>
      <c r="AG82" s="411">
        <f t="shared" si="77"/>
        <v>142.65211937681832</v>
      </c>
      <c r="AH82" s="411">
        <f t="shared" si="78"/>
        <v>400.69257154603645</v>
      </c>
      <c r="AI82" s="411">
        <f t="shared" si="79"/>
        <v>257.99465267397983</v>
      </c>
      <c r="AJ82" s="411">
        <f t="shared" si="80"/>
        <v>191.2871249319291</v>
      </c>
      <c r="AK82" s="411">
        <f t="shared" si="81"/>
        <v>142.65211937681832</v>
      </c>
      <c r="AL82" s="411">
        <f t="shared" si="57"/>
        <v>400.69257154603645</v>
      </c>
      <c r="AM82" s="411">
        <f t="shared" si="54"/>
        <v>257.99465267397983</v>
      </c>
      <c r="AN82" s="411">
        <f t="shared" si="55"/>
        <v>191.2871249319291</v>
      </c>
      <c r="AO82" s="411">
        <f t="shared" si="56"/>
        <v>142.65211937681832</v>
      </c>
      <c r="AP82" s="411">
        <f t="shared" si="82"/>
        <v>400.69257154603645</v>
      </c>
      <c r="AQ82" s="411">
        <f t="shared" si="83"/>
        <v>257.99465267397983</v>
      </c>
      <c r="AR82" s="411">
        <f t="shared" si="84"/>
        <v>191.2871249319291</v>
      </c>
      <c r="AS82" s="411">
        <f t="shared" si="85"/>
        <v>142.65211937681832</v>
      </c>
      <c r="AT82" s="227" t="str">
        <f t="shared" si="58"/>
        <v/>
      </c>
      <c r="AU82" s="227" t="str">
        <f t="shared" si="86"/>
        <v/>
      </c>
      <c r="AV82" s="227" t="str">
        <f t="shared" si="87"/>
        <v/>
      </c>
      <c r="AW82" s="227" t="str">
        <f t="shared" si="88"/>
        <v/>
      </c>
      <c r="AX82" s="227" t="str">
        <f t="shared" si="49"/>
        <v/>
      </c>
      <c r="AY82" s="311" t="str">
        <f t="shared" si="51"/>
        <v/>
      </c>
      <c r="AZ82" s="311">
        <f t="shared" si="50"/>
        <v>400.69257154603645</v>
      </c>
      <c r="BA82" s="311">
        <f t="shared" si="89"/>
        <v>257.99465267397983</v>
      </c>
      <c r="BB82" s="311">
        <f t="shared" si="64"/>
        <v>191.2871249319291</v>
      </c>
      <c r="BC82" s="311">
        <f t="shared" si="48"/>
        <v>142.65211937681832</v>
      </c>
      <c r="BD82" s="227" t="str">
        <f t="shared" si="90"/>
        <v/>
      </c>
      <c r="BE82" s="227" t="str">
        <f t="shared" si="91"/>
        <v/>
      </c>
      <c r="BF82" s="227" t="str">
        <f t="shared" si="92"/>
        <v/>
      </c>
      <c r="BG82" s="227" t="str">
        <f t="shared" si="93"/>
        <v/>
      </c>
      <c r="BH82" s="227" t="str">
        <f t="shared" si="94"/>
        <v/>
      </c>
      <c r="BI82" s="227" t="str">
        <f t="shared" si="95"/>
        <v/>
      </c>
      <c r="BJ82" s="226">
        <f t="shared" si="96"/>
        <v>30543448.340231977</v>
      </c>
      <c r="BK82" s="335"/>
      <c r="BL82" s="335"/>
      <c r="BM82" s="335"/>
      <c r="BN82" s="335"/>
    </row>
    <row r="83" spans="1:66">
      <c r="A83" s="231">
        <v>309</v>
      </c>
      <c r="B83" s="231" t="str">
        <f>VLOOKUP(A83,'201314 RC list'!A:B,2,FALSE)</f>
        <v>Haemophilia</v>
      </c>
      <c r="C83" s="231"/>
      <c r="D83" s="310" t="str">
        <f t="shared" si="65"/>
        <v>A</v>
      </c>
      <c r="E83" s="231">
        <f>IF(ISERROR(VLOOKUP(A83,Mandatory!A:A,1,FALSE)),0,1)</f>
        <v>0</v>
      </c>
      <c r="F83" s="222">
        <f>VLOOKUP(A83,'Front-loading'!A:AG,$F$6,FALSE)</f>
        <v>154</v>
      </c>
      <c r="G83" s="222">
        <f>VLOOKUP(A83,'Front-loading'!A:AG,$G$6,FALSE)</f>
        <v>4017</v>
      </c>
      <c r="H83" s="222">
        <f>VLOOKUP(A83,'Front-loading'!A:AG,$H$6,FALSE)</f>
        <v>952</v>
      </c>
      <c r="I83" s="222">
        <f>VLOOKUP(A83,'Front-loading'!A:AG,$I$6,FALSE)</f>
        <v>20833</v>
      </c>
      <c r="J83" s="222">
        <f>VLOOKUP(A83,'Front-loading'!A:AG,$J$6,FALSE)</f>
        <v>166356.6902321708</v>
      </c>
      <c r="K83" s="222">
        <f>VLOOKUP(A83,'Front-loading'!A:AG,$K$6,FALSE)</f>
        <v>5088916.5027447334</v>
      </c>
      <c r="L83" s="222">
        <f>VLOOKUP(A83,'Front-loading'!A:AG,$L$6,FALSE)</f>
        <v>327882.80176375917</v>
      </c>
      <c r="M83" s="222">
        <f>VLOOKUP(A83,'Front-loading'!A:AG,$M$6,FALSE)</f>
        <v>16238805.785235861</v>
      </c>
      <c r="N83" s="223">
        <f t="shared" si="63"/>
        <v>1080.2382482608493</v>
      </c>
      <c r="O83" s="223">
        <f t="shared" si="63"/>
        <v>1266.8450342904489</v>
      </c>
      <c r="P83" s="223">
        <f t="shared" si="63"/>
        <v>344.41470773504113</v>
      </c>
      <c r="Q83" s="223">
        <f t="shared" si="63"/>
        <v>779.47514929371005</v>
      </c>
      <c r="R83" s="409">
        <f t="shared" si="59"/>
        <v>1080.2382482608493</v>
      </c>
      <c r="S83" s="409">
        <f t="shared" si="60"/>
        <v>1266.8450342904489</v>
      </c>
      <c r="T83" s="409">
        <f t="shared" si="61"/>
        <v>344.41470773504113</v>
      </c>
      <c r="U83" s="409">
        <f t="shared" si="62"/>
        <v>779.47514929371005</v>
      </c>
      <c r="V83" s="411">
        <f t="shared" si="66"/>
        <v>1080.2382482608493</v>
      </c>
      <c r="W83" s="411">
        <f t="shared" si="67"/>
        <v>1266.8450342904489</v>
      </c>
      <c r="X83" s="411">
        <f t="shared" si="68"/>
        <v>344.41470773504113</v>
      </c>
      <c r="Y83" s="411">
        <f t="shared" si="69"/>
        <v>779.47514929371005</v>
      </c>
      <c r="Z83" s="411">
        <f t="shared" si="70"/>
        <v>1080.2382482608493</v>
      </c>
      <c r="AA83" s="411">
        <f t="shared" si="71"/>
        <v>1266.8450342904489</v>
      </c>
      <c r="AB83" s="411">
        <f t="shared" si="72"/>
        <v>344.41470773504113</v>
      </c>
      <c r="AC83" s="411">
        <f t="shared" si="73"/>
        <v>779.47514929371005</v>
      </c>
      <c r="AD83" s="411">
        <f t="shared" si="74"/>
        <v>1259.9552128930482</v>
      </c>
      <c r="AE83" s="411">
        <f t="shared" si="75"/>
        <v>1259.9552128930482</v>
      </c>
      <c r="AF83" s="411">
        <f t="shared" si="76"/>
        <v>760.46309786548636</v>
      </c>
      <c r="AG83" s="411">
        <f t="shared" si="77"/>
        <v>760.46309786548636</v>
      </c>
      <c r="AH83" s="411">
        <f t="shared" si="78"/>
        <v>1259.9552128930482</v>
      </c>
      <c r="AI83" s="411">
        <f t="shared" si="79"/>
        <v>1259.9552128930482</v>
      </c>
      <c r="AJ83" s="411">
        <f t="shared" si="80"/>
        <v>760.46309786548636</v>
      </c>
      <c r="AK83" s="411">
        <f t="shared" si="81"/>
        <v>760.46309786548636</v>
      </c>
      <c r="AL83" s="411">
        <f t="shared" si="57"/>
        <v>1259.9552128930482</v>
      </c>
      <c r="AM83" s="411">
        <f t="shared" si="54"/>
        <v>1259.9552128930482</v>
      </c>
      <c r="AN83" s="411">
        <f t="shared" si="55"/>
        <v>760.46309786548636</v>
      </c>
      <c r="AO83" s="411">
        <f t="shared" si="56"/>
        <v>760.46309786548636</v>
      </c>
      <c r="AP83" s="411">
        <f t="shared" si="82"/>
        <v>1259.9552128930482</v>
      </c>
      <c r="AQ83" s="411">
        <f t="shared" si="83"/>
        <v>1259.9552128930482</v>
      </c>
      <c r="AR83" s="411">
        <f t="shared" si="84"/>
        <v>760.46309786548636</v>
      </c>
      <c r="AS83" s="411">
        <f t="shared" si="85"/>
        <v>760.46309786548636</v>
      </c>
      <c r="AT83" s="227" t="str">
        <f t="shared" si="58"/>
        <v/>
      </c>
      <c r="AU83" s="227" t="str">
        <f t="shared" si="86"/>
        <v/>
      </c>
      <c r="AV83" s="227" t="str">
        <f t="shared" si="87"/>
        <v/>
      </c>
      <c r="AW83" s="227" t="str">
        <f t="shared" si="88"/>
        <v/>
      </c>
      <c r="AX83" s="227" t="str">
        <f t="shared" si="49"/>
        <v/>
      </c>
      <c r="AY83" s="311" t="str">
        <f t="shared" si="51"/>
        <v/>
      </c>
      <c r="AZ83" s="311">
        <f t="shared" si="50"/>
        <v>1259.9552128930482</v>
      </c>
      <c r="BA83" s="311">
        <f t="shared" si="89"/>
        <v>1259.9552128930482</v>
      </c>
      <c r="BB83" s="311">
        <f t="shared" si="64"/>
        <v>760.46309786548636</v>
      </c>
      <c r="BC83" s="311">
        <f t="shared" si="48"/>
        <v>760.46309786548636</v>
      </c>
      <c r="BD83" s="227" t="str">
        <f t="shared" si="90"/>
        <v/>
      </c>
      <c r="BE83" s="227" t="str">
        <f t="shared" si="91"/>
        <v/>
      </c>
      <c r="BF83" s="227" t="str">
        <f t="shared" si="92"/>
        <v/>
      </c>
      <c r="BG83" s="227" t="str">
        <f t="shared" si="93"/>
        <v/>
      </c>
      <c r="BH83" s="227" t="str">
        <f t="shared" si="94"/>
        <v/>
      </c>
      <c r="BI83" s="227" t="str">
        <f t="shared" si="95"/>
        <v/>
      </c>
      <c r="BJ83" s="226">
        <f t="shared" si="96"/>
        <v>21821961.779976524</v>
      </c>
      <c r="BK83" s="335"/>
      <c r="BL83" s="335"/>
      <c r="BM83" s="335"/>
      <c r="BN83" s="335"/>
    </row>
    <row r="84" spans="1:66">
      <c r="A84" s="231">
        <v>311</v>
      </c>
      <c r="B84" s="231" t="str">
        <f>VLOOKUP(A84,'201314 RC list'!A:B,2,FALSE)</f>
        <v>Clinical Genetics</v>
      </c>
      <c r="C84" s="231"/>
      <c r="D84" s="310" t="str">
        <f t="shared" si="65"/>
        <v>A</v>
      </c>
      <c r="E84" s="231">
        <f>IF(ISERROR(VLOOKUP(A84,Mandatory!A:A,1,FALSE)),0,1)</f>
        <v>0</v>
      </c>
      <c r="F84" s="222">
        <f>VLOOKUP(A84,'Front-loading'!A:AG,$F$6,FALSE)</f>
        <v>4697</v>
      </c>
      <c r="G84" s="222">
        <f>VLOOKUP(A84,'Front-loading'!A:AG,$G$6,FALSE)</f>
        <v>43475</v>
      </c>
      <c r="H84" s="222">
        <f>VLOOKUP(A84,'Front-loading'!A:AG,$H$6,FALSE)</f>
        <v>128</v>
      </c>
      <c r="I84" s="222">
        <f>VLOOKUP(A84,'Front-loading'!A:AG,$I$6,FALSE)</f>
        <v>22625</v>
      </c>
      <c r="J84" s="222">
        <f>VLOOKUP(A84,'Front-loading'!A:AG,$J$6,FALSE)</f>
        <v>1567427.3497803821</v>
      </c>
      <c r="K84" s="222">
        <f>VLOOKUP(A84,'Front-loading'!A:AG,$K$6,FALSE)</f>
        <v>21829212.444468677</v>
      </c>
      <c r="L84" s="222">
        <f>VLOOKUP(A84,'Front-loading'!A:AG,$L$6,FALSE)</f>
        <v>47996.333511116631</v>
      </c>
      <c r="M84" s="222">
        <f>VLOOKUP(A84,'Front-loading'!A:AG,$M$6,FALSE)</f>
        <v>7739460.7686931789</v>
      </c>
      <c r="N84" s="223">
        <f t="shared" si="63"/>
        <v>333.70818602946179</v>
      </c>
      <c r="O84" s="223">
        <f t="shared" si="63"/>
        <v>502.10954443861249</v>
      </c>
      <c r="P84" s="223">
        <f t="shared" si="63"/>
        <v>374.97135555559868</v>
      </c>
      <c r="Q84" s="223">
        <f t="shared" si="63"/>
        <v>342.07561408588634</v>
      </c>
      <c r="R84" s="409">
        <f t="shared" si="59"/>
        <v>333.70818602946179</v>
      </c>
      <c r="S84" s="409">
        <f t="shared" si="60"/>
        <v>502.10954443861249</v>
      </c>
      <c r="T84" s="409">
        <f t="shared" si="61"/>
        <v>374.97135555559868</v>
      </c>
      <c r="U84" s="409">
        <f t="shared" si="62"/>
        <v>342.07561408588634</v>
      </c>
      <c r="V84" s="411">
        <f t="shared" si="66"/>
        <v>333.70818602946179</v>
      </c>
      <c r="W84" s="411">
        <f t="shared" si="67"/>
        <v>502.10954443861249</v>
      </c>
      <c r="X84" s="411">
        <f t="shared" si="68"/>
        <v>374.97135555559868</v>
      </c>
      <c r="Y84" s="411">
        <f t="shared" si="69"/>
        <v>342.07561408588634</v>
      </c>
      <c r="Z84" s="411">
        <f t="shared" si="70"/>
        <v>334.80283591533652</v>
      </c>
      <c r="AA84" s="411">
        <f t="shared" si="71"/>
        <v>502.10954443861249</v>
      </c>
      <c r="AB84" s="411">
        <f t="shared" si="72"/>
        <v>334.80283591533652</v>
      </c>
      <c r="AC84" s="411">
        <f t="shared" si="73"/>
        <v>342.07561408588634</v>
      </c>
      <c r="AD84" s="411">
        <f t="shared" si="74"/>
        <v>485.79634154203717</v>
      </c>
      <c r="AE84" s="411">
        <f t="shared" si="75"/>
        <v>485.79634154203717</v>
      </c>
      <c r="AF84" s="411">
        <f t="shared" si="76"/>
        <v>342.03470011384621</v>
      </c>
      <c r="AG84" s="411">
        <f t="shared" si="77"/>
        <v>342.03470011384621</v>
      </c>
      <c r="AH84" s="411">
        <f t="shared" si="78"/>
        <v>485.79634154203717</v>
      </c>
      <c r="AI84" s="411">
        <f t="shared" si="79"/>
        <v>485.79634154203717</v>
      </c>
      <c r="AJ84" s="411">
        <f t="shared" si="80"/>
        <v>342.03470011384621</v>
      </c>
      <c r="AK84" s="411">
        <f t="shared" si="81"/>
        <v>342.03470011384621</v>
      </c>
      <c r="AL84" s="411">
        <f t="shared" si="57"/>
        <v>485.79634154203717</v>
      </c>
      <c r="AM84" s="411">
        <f t="shared" si="54"/>
        <v>485.79634154203717</v>
      </c>
      <c r="AN84" s="411">
        <f t="shared" si="55"/>
        <v>342.03470011384621</v>
      </c>
      <c r="AO84" s="411">
        <f t="shared" si="56"/>
        <v>342.03470011384621</v>
      </c>
      <c r="AP84" s="411">
        <f t="shared" si="82"/>
        <v>485.79634154203717</v>
      </c>
      <c r="AQ84" s="411">
        <f t="shared" si="83"/>
        <v>485.79634154203717</v>
      </c>
      <c r="AR84" s="411">
        <f t="shared" si="84"/>
        <v>342.03470011384621</v>
      </c>
      <c r="AS84" s="411">
        <f t="shared" si="85"/>
        <v>342.03470011384621</v>
      </c>
      <c r="AT84" s="227" t="str">
        <f t="shared" si="58"/>
        <v/>
      </c>
      <c r="AU84" s="227" t="str">
        <f t="shared" si="86"/>
        <v/>
      </c>
      <c r="AV84" s="227" t="str">
        <f t="shared" si="87"/>
        <v/>
      </c>
      <c r="AW84" s="227" t="str">
        <f t="shared" si="88"/>
        <v/>
      </c>
      <c r="AX84" s="227" t="str">
        <f t="shared" si="49"/>
        <v/>
      </c>
      <c r="AY84" s="311" t="str">
        <f t="shared" si="51"/>
        <v/>
      </c>
      <c r="AZ84" s="311">
        <f t="shared" si="50"/>
        <v>485.79634154203717</v>
      </c>
      <c r="BA84" s="311">
        <f t="shared" si="89"/>
        <v>485.79634154203717</v>
      </c>
      <c r="BB84" s="311">
        <f t="shared" si="64"/>
        <v>342.03470011384621</v>
      </c>
      <c r="BC84" s="311">
        <f t="shared" si="48"/>
        <v>342.03470011384621</v>
      </c>
      <c r="BD84" s="227" t="str">
        <f t="shared" si="90"/>
        <v/>
      </c>
      <c r="BE84" s="227" t="str">
        <f t="shared" si="91"/>
        <v/>
      </c>
      <c r="BF84" s="227" t="str">
        <f t="shared" si="92"/>
        <v/>
      </c>
      <c r="BG84" s="227" t="str">
        <f t="shared" si="93"/>
        <v/>
      </c>
      <c r="BH84" s="227" t="str">
        <f t="shared" si="94"/>
        <v/>
      </c>
      <c r="BI84" s="227" t="str">
        <f t="shared" si="95"/>
        <v/>
      </c>
      <c r="BJ84" s="226">
        <f t="shared" si="96"/>
        <v>31184096.896453358</v>
      </c>
      <c r="BK84" s="335"/>
      <c r="BL84" s="335"/>
      <c r="BM84" s="335"/>
      <c r="BN84" s="335"/>
    </row>
    <row r="85" spans="1:66">
      <c r="A85" s="231">
        <v>314</v>
      </c>
      <c r="B85" s="231" t="str">
        <f>VLOOKUP(A85,'201314 RC list'!A:B,2,FALSE)</f>
        <v>Rehabilitation</v>
      </c>
      <c r="C85" s="231"/>
      <c r="D85" s="310" t="str">
        <f t="shared" si="65"/>
        <v>A</v>
      </c>
      <c r="E85" s="231">
        <f>IF(ISERROR(VLOOKUP(A85,Mandatory!A:A,1,FALSE)),0,1)</f>
        <v>0</v>
      </c>
      <c r="F85" s="222">
        <f>VLOOKUP(A85,'Front-loading'!A:AG,$F$6,FALSE)</f>
        <v>588</v>
      </c>
      <c r="G85" s="222">
        <f>VLOOKUP(A85,'Front-loading'!A:AG,$G$6,FALSE)</f>
        <v>22921</v>
      </c>
      <c r="H85" s="222">
        <f>VLOOKUP(A85,'Front-loading'!A:AG,$H$6,FALSE)</f>
        <v>649</v>
      </c>
      <c r="I85" s="222">
        <f>VLOOKUP(A85,'Front-loading'!A:AG,$I$6,FALSE)</f>
        <v>53721</v>
      </c>
      <c r="J85" s="222">
        <f>VLOOKUP(A85,'Front-loading'!A:AG,$J$6,FALSE)</f>
        <v>119022.80307800588</v>
      </c>
      <c r="K85" s="222">
        <f>VLOOKUP(A85,'Front-loading'!A:AG,$K$6,FALSE)</f>
        <v>6896064.3719249405</v>
      </c>
      <c r="L85" s="222">
        <f>VLOOKUP(A85,'Front-loading'!A:AG,$L$6,FALSE)</f>
        <v>79049.971875238116</v>
      </c>
      <c r="M85" s="222">
        <f>VLOOKUP(A85,'Front-loading'!A:AG,$M$6,FALSE)</f>
        <v>9152615.8230771851</v>
      </c>
      <c r="N85" s="223">
        <f t="shared" si="63"/>
        <v>202.41973312586035</v>
      </c>
      <c r="O85" s="223">
        <f t="shared" si="63"/>
        <v>300.86228227062259</v>
      </c>
      <c r="P85" s="223">
        <f t="shared" si="63"/>
        <v>121.80273016215426</v>
      </c>
      <c r="Q85" s="223">
        <f t="shared" si="63"/>
        <v>170.37314687137589</v>
      </c>
      <c r="R85" s="409">
        <f t="shared" si="59"/>
        <v>202.41973312586035</v>
      </c>
      <c r="S85" s="409">
        <f t="shared" si="60"/>
        <v>300.86228227062259</v>
      </c>
      <c r="T85" s="409">
        <f t="shared" si="61"/>
        <v>121.80273016215426</v>
      </c>
      <c r="U85" s="409">
        <f t="shared" si="62"/>
        <v>170.37314687137589</v>
      </c>
      <c r="V85" s="411">
        <f t="shared" si="66"/>
        <v>202.41973312586035</v>
      </c>
      <c r="W85" s="411">
        <f t="shared" si="67"/>
        <v>300.86228227062259</v>
      </c>
      <c r="X85" s="411">
        <f t="shared" si="68"/>
        <v>121.80273016215426</v>
      </c>
      <c r="Y85" s="411">
        <f t="shared" si="69"/>
        <v>170.37314687137589</v>
      </c>
      <c r="Z85" s="411">
        <f t="shared" si="70"/>
        <v>202.41973312586035</v>
      </c>
      <c r="AA85" s="411">
        <f t="shared" si="71"/>
        <v>300.86228227062259</v>
      </c>
      <c r="AB85" s="411">
        <f t="shared" si="72"/>
        <v>121.80273016215426</v>
      </c>
      <c r="AC85" s="411">
        <f t="shared" si="73"/>
        <v>170.37314687137589</v>
      </c>
      <c r="AD85" s="411">
        <f t="shared" si="74"/>
        <v>298.40006699574406</v>
      </c>
      <c r="AE85" s="411">
        <f t="shared" si="75"/>
        <v>298.40006699574406</v>
      </c>
      <c r="AF85" s="411">
        <f t="shared" si="76"/>
        <v>169.79337493015308</v>
      </c>
      <c r="AG85" s="411">
        <f t="shared" si="77"/>
        <v>169.79337493015308</v>
      </c>
      <c r="AH85" s="411">
        <f t="shared" si="78"/>
        <v>298.40006699574406</v>
      </c>
      <c r="AI85" s="411">
        <f t="shared" si="79"/>
        <v>298.40006699574406</v>
      </c>
      <c r="AJ85" s="411">
        <f t="shared" si="80"/>
        <v>169.79337493015308</v>
      </c>
      <c r="AK85" s="411">
        <f t="shared" si="81"/>
        <v>169.79337493015308</v>
      </c>
      <c r="AL85" s="411">
        <f t="shared" si="57"/>
        <v>298.40006699574406</v>
      </c>
      <c r="AM85" s="411">
        <f t="shared" si="54"/>
        <v>298.40006699574406</v>
      </c>
      <c r="AN85" s="411">
        <f t="shared" si="55"/>
        <v>169.79337493015308</v>
      </c>
      <c r="AO85" s="411">
        <f t="shared" si="56"/>
        <v>169.79337493015308</v>
      </c>
      <c r="AP85" s="411">
        <f t="shared" si="82"/>
        <v>298.40006699574406</v>
      </c>
      <c r="AQ85" s="411">
        <f t="shared" si="83"/>
        <v>298.40006699574406</v>
      </c>
      <c r="AR85" s="411">
        <f t="shared" si="84"/>
        <v>169.79337493015308</v>
      </c>
      <c r="AS85" s="411">
        <f t="shared" si="85"/>
        <v>169.79337493015308</v>
      </c>
      <c r="AT85" s="227" t="str">
        <f t="shared" si="58"/>
        <v/>
      </c>
      <c r="AU85" s="227" t="str">
        <f t="shared" si="86"/>
        <v/>
      </c>
      <c r="AV85" s="227" t="str">
        <f t="shared" si="87"/>
        <v/>
      </c>
      <c r="AW85" s="227" t="str">
        <f t="shared" si="88"/>
        <v/>
      </c>
      <c r="AX85" s="227" t="str">
        <f t="shared" si="49"/>
        <v/>
      </c>
      <c r="AY85" s="311" t="str">
        <f t="shared" si="51"/>
        <v/>
      </c>
      <c r="AZ85" s="311">
        <f t="shared" si="50"/>
        <v>298.40006699574406</v>
      </c>
      <c r="BA85" s="311">
        <f t="shared" si="89"/>
        <v>298.40006699574406</v>
      </c>
      <c r="BB85" s="311">
        <f t="shared" si="64"/>
        <v>169.79337493015308</v>
      </c>
      <c r="BC85" s="311">
        <f t="shared" si="48"/>
        <v>169.79337493015308</v>
      </c>
      <c r="BD85" s="227" t="str">
        <f t="shared" si="90"/>
        <v/>
      </c>
      <c r="BE85" s="227" t="str">
        <f t="shared" si="91"/>
        <v/>
      </c>
      <c r="BF85" s="227" t="str">
        <f t="shared" si="92"/>
        <v/>
      </c>
      <c r="BG85" s="227" t="str">
        <f t="shared" si="93"/>
        <v/>
      </c>
      <c r="BH85" s="227" t="str">
        <f t="shared" si="94"/>
        <v/>
      </c>
      <c r="BI85" s="227" t="str">
        <f t="shared" si="95"/>
        <v/>
      </c>
      <c r="BJ85" s="226">
        <f t="shared" si="96"/>
        <v>16246752.96995537</v>
      </c>
      <c r="BK85" s="335"/>
      <c r="BL85" s="335"/>
      <c r="BM85" s="335"/>
      <c r="BN85" s="335"/>
    </row>
    <row r="86" spans="1:66">
      <c r="A86" s="231">
        <v>315</v>
      </c>
      <c r="B86" s="231" t="str">
        <f>VLOOKUP(A86,'201314 RC list'!A:B,2,FALSE)</f>
        <v>Palliative Medicine</v>
      </c>
      <c r="C86" s="231"/>
      <c r="D86" s="310" t="str">
        <f t="shared" si="65"/>
        <v>A</v>
      </c>
      <c r="E86" s="231">
        <f>IF(ISERROR(VLOOKUP(A86,Mandatory!A:A,1,FALSE)),0,1)</f>
        <v>0</v>
      </c>
      <c r="F86" s="222">
        <f>VLOOKUP(A86,'Front-loading'!A:AG,$F$6,FALSE)</f>
        <v>219</v>
      </c>
      <c r="G86" s="222">
        <f>VLOOKUP(A86,'Front-loading'!A:AG,$G$6,FALSE)</f>
        <v>7932</v>
      </c>
      <c r="H86" s="222">
        <f>VLOOKUP(A86,'Front-loading'!A:AG,$H$6,FALSE)</f>
        <v>588</v>
      </c>
      <c r="I86" s="222">
        <f>VLOOKUP(A86,'Front-loading'!A:AG,$I$6,FALSE)</f>
        <v>17223</v>
      </c>
      <c r="J86" s="222">
        <f>VLOOKUP(A86,'Front-loading'!A:AG,$J$6,FALSE)</f>
        <v>59994.945469111764</v>
      </c>
      <c r="K86" s="222">
        <f>VLOOKUP(A86,'Front-loading'!A:AG,$K$6,FALSE)</f>
        <v>1706708.0200618727</v>
      </c>
      <c r="L86" s="222">
        <f>VLOOKUP(A86,'Front-loading'!A:AG,$L$6,FALSE)</f>
        <v>68154.034086311556</v>
      </c>
      <c r="M86" s="222">
        <f>VLOOKUP(A86,'Front-loading'!A:AG,$M$6,FALSE)</f>
        <v>2244815.8094854616</v>
      </c>
      <c r="N86" s="223">
        <f t="shared" si="63"/>
        <v>273.94952269000805</v>
      </c>
      <c r="O86" s="223">
        <f t="shared" si="63"/>
        <v>215.16742562555126</v>
      </c>
      <c r="P86" s="223">
        <f t="shared" si="63"/>
        <v>115.90822123522373</v>
      </c>
      <c r="Q86" s="223">
        <f t="shared" si="63"/>
        <v>130.33825753268661</v>
      </c>
      <c r="R86" s="409">
        <f t="shared" si="59"/>
        <v>273.94952269000805</v>
      </c>
      <c r="S86" s="409">
        <f t="shared" si="60"/>
        <v>215.16742562555126</v>
      </c>
      <c r="T86" s="409">
        <f t="shared" si="61"/>
        <v>115.90822123522373</v>
      </c>
      <c r="U86" s="409">
        <f t="shared" si="62"/>
        <v>130.33825753268661</v>
      </c>
      <c r="V86" s="411">
        <f t="shared" si="66"/>
        <v>273.94952269000805</v>
      </c>
      <c r="W86" s="411">
        <f t="shared" si="67"/>
        <v>215.16742562555126</v>
      </c>
      <c r="X86" s="411">
        <f t="shared" si="68"/>
        <v>115.90822123522373</v>
      </c>
      <c r="Y86" s="411">
        <f t="shared" si="69"/>
        <v>130.33825753268661</v>
      </c>
      <c r="Z86" s="411">
        <f t="shared" si="70"/>
        <v>273.94952269000805</v>
      </c>
      <c r="AA86" s="411">
        <f t="shared" si="71"/>
        <v>215.16742562555126</v>
      </c>
      <c r="AB86" s="411">
        <f t="shared" si="72"/>
        <v>115.90822123522373</v>
      </c>
      <c r="AC86" s="411">
        <f t="shared" si="73"/>
        <v>130.33825753268661</v>
      </c>
      <c r="AD86" s="411">
        <f t="shared" si="74"/>
        <v>273.94952269000805</v>
      </c>
      <c r="AE86" s="411">
        <f t="shared" si="75"/>
        <v>215.16742562555126</v>
      </c>
      <c r="AF86" s="411">
        <f t="shared" si="76"/>
        <v>129.86187432327063</v>
      </c>
      <c r="AG86" s="411">
        <f t="shared" si="77"/>
        <v>129.86187432327063</v>
      </c>
      <c r="AH86" s="411">
        <f t="shared" si="78"/>
        <v>273.94952269000805</v>
      </c>
      <c r="AI86" s="411">
        <f t="shared" si="79"/>
        <v>215.16742562555126</v>
      </c>
      <c r="AJ86" s="411">
        <f t="shared" si="80"/>
        <v>129.86187432327063</v>
      </c>
      <c r="AK86" s="411">
        <f t="shared" si="81"/>
        <v>129.86187432327063</v>
      </c>
      <c r="AL86" s="411">
        <f t="shared" si="57"/>
        <v>273.94952269000805</v>
      </c>
      <c r="AM86" s="411">
        <f t="shared" si="54"/>
        <v>215.16742562555126</v>
      </c>
      <c r="AN86" s="411">
        <f t="shared" si="55"/>
        <v>129.86187432327063</v>
      </c>
      <c r="AO86" s="411">
        <f t="shared" si="56"/>
        <v>129.86187432327063</v>
      </c>
      <c r="AP86" s="411">
        <f t="shared" si="82"/>
        <v>273.94952269000805</v>
      </c>
      <c r="AQ86" s="411">
        <f t="shared" si="83"/>
        <v>215.16742562555126</v>
      </c>
      <c r="AR86" s="411">
        <f t="shared" si="84"/>
        <v>129.86187432327063</v>
      </c>
      <c r="AS86" s="411">
        <f t="shared" si="85"/>
        <v>129.86187432327063</v>
      </c>
      <c r="AT86" s="227" t="str">
        <f t="shared" si="58"/>
        <v/>
      </c>
      <c r="AU86" s="227" t="str">
        <f t="shared" si="86"/>
        <v/>
      </c>
      <c r="AV86" s="227" t="str">
        <f t="shared" si="87"/>
        <v/>
      </c>
      <c r="AW86" s="227" t="str">
        <f t="shared" si="88"/>
        <v/>
      </c>
      <c r="AX86" s="227" t="str">
        <f t="shared" si="49"/>
        <v/>
      </c>
      <c r="AY86" s="311" t="str">
        <f t="shared" si="51"/>
        <v/>
      </c>
      <c r="AZ86" s="311">
        <f t="shared" si="50"/>
        <v>273.94952269000805</v>
      </c>
      <c r="BA86" s="311">
        <f t="shared" si="89"/>
        <v>215.16742562555126</v>
      </c>
      <c r="BB86" s="311">
        <f t="shared" ref="BB86:BB119" si="97">IF(AT86&lt;&gt;"",AT86,IF(AY86&lt;&gt;"",AY86,AR86))</f>
        <v>129.86187432327063</v>
      </c>
      <c r="BC86" s="311">
        <f t="shared" si="48"/>
        <v>129.86187432327063</v>
      </c>
      <c r="BD86" s="227" t="str">
        <f t="shared" si="90"/>
        <v/>
      </c>
      <c r="BE86" s="227" t="str">
        <f t="shared" si="91"/>
        <v/>
      </c>
      <c r="BF86" s="227" t="str">
        <f t="shared" si="92"/>
        <v/>
      </c>
      <c r="BG86" s="227" t="str">
        <f t="shared" si="93"/>
        <v/>
      </c>
      <c r="BH86" s="227" t="str">
        <f t="shared" si="94"/>
        <v/>
      </c>
      <c r="BI86" s="227" t="str">
        <f t="shared" si="95"/>
        <v/>
      </c>
      <c r="BJ86" s="226">
        <f t="shared" si="96"/>
        <v>4079672.8091027574</v>
      </c>
      <c r="BK86" s="335"/>
      <c r="BL86" s="335"/>
      <c r="BM86" s="335"/>
      <c r="BN86" s="335"/>
    </row>
    <row r="87" spans="1:66">
      <c r="A87" s="231">
        <v>316</v>
      </c>
      <c r="B87" s="231" t="str">
        <f>VLOOKUP(A87,'201314 RC list'!A:B,2,FALSE)</f>
        <v>Clinical Immunology</v>
      </c>
      <c r="C87" s="231"/>
      <c r="D87" s="310" t="str">
        <f t="shared" si="65"/>
        <v>A</v>
      </c>
      <c r="E87" s="231">
        <f>IF(ISERROR(VLOOKUP(A87,Mandatory!A:A,1,FALSE)),0,1)</f>
        <v>0</v>
      </c>
      <c r="F87" s="222">
        <f>VLOOKUP(A87,'Front-loading'!A:AG,$F$6,FALSE)</f>
        <v>656</v>
      </c>
      <c r="G87" s="222">
        <f>VLOOKUP(A87,'Front-loading'!A:AG,$G$6,FALSE)</f>
        <v>5985</v>
      </c>
      <c r="H87" s="222">
        <f>VLOOKUP(A87,'Front-loading'!A:AG,$H$6,FALSE)</f>
        <v>1961</v>
      </c>
      <c r="I87" s="222">
        <f>VLOOKUP(A87,'Front-loading'!A:AG,$I$6,FALSE)</f>
        <v>12889</v>
      </c>
      <c r="J87" s="222">
        <f>VLOOKUP(A87,'Front-loading'!A:AG,$J$6,FALSE)</f>
        <v>233644.07414661394</v>
      </c>
      <c r="K87" s="222">
        <f>VLOOKUP(A87,'Front-loading'!A:AG,$K$6,FALSE)</f>
        <v>1580429.5556359626</v>
      </c>
      <c r="L87" s="222">
        <f>VLOOKUP(A87,'Front-loading'!A:AG,$L$6,FALSE)</f>
        <v>432395.02016300563</v>
      </c>
      <c r="M87" s="222">
        <f>VLOOKUP(A87,'Front-loading'!A:AG,$M$6,FALSE)</f>
        <v>2236441.0973719792</v>
      </c>
      <c r="N87" s="223">
        <f t="shared" si="63"/>
        <v>356.16474717471635</v>
      </c>
      <c r="O87" s="223">
        <f t="shared" si="63"/>
        <v>264.06508866097954</v>
      </c>
      <c r="P87" s="223">
        <f t="shared" si="63"/>
        <v>220.49720559051792</v>
      </c>
      <c r="Q87" s="223">
        <f t="shared" si="63"/>
        <v>173.51548586949951</v>
      </c>
      <c r="R87" s="409">
        <f t="shared" si="59"/>
        <v>356.16474717471635</v>
      </c>
      <c r="S87" s="409">
        <f t="shared" si="60"/>
        <v>264.06508866097954</v>
      </c>
      <c r="T87" s="409">
        <f t="shared" si="61"/>
        <v>220.49720559051792</v>
      </c>
      <c r="U87" s="409">
        <f t="shared" si="62"/>
        <v>173.51548586949951</v>
      </c>
      <c r="V87" s="411">
        <f t="shared" si="66"/>
        <v>356.16474717471635</v>
      </c>
      <c r="W87" s="411">
        <f t="shared" si="67"/>
        <v>264.06508866097954</v>
      </c>
      <c r="X87" s="411">
        <f t="shared" si="68"/>
        <v>220.49720559051792</v>
      </c>
      <c r="Y87" s="411">
        <f t="shared" si="69"/>
        <v>173.51548586949951</v>
      </c>
      <c r="Z87" s="411">
        <f t="shared" si="70"/>
        <v>356.16474717471635</v>
      </c>
      <c r="AA87" s="411">
        <f t="shared" si="71"/>
        <v>264.06508866097954</v>
      </c>
      <c r="AB87" s="411">
        <f t="shared" si="72"/>
        <v>220.49720559051792</v>
      </c>
      <c r="AC87" s="411">
        <f t="shared" si="73"/>
        <v>173.51548586949951</v>
      </c>
      <c r="AD87" s="411">
        <f t="shared" si="74"/>
        <v>356.16474717471635</v>
      </c>
      <c r="AE87" s="411">
        <f t="shared" si="75"/>
        <v>264.06508866097954</v>
      </c>
      <c r="AF87" s="411">
        <f t="shared" si="76"/>
        <v>220.49720559051792</v>
      </c>
      <c r="AG87" s="411">
        <f t="shared" si="77"/>
        <v>173.51548586949951</v>
      </c>
      <c r="AH87" s="411">
        <f t="shared" si="78"/>
        <v>356.16474717471635</v>
      </c>
      <c r="AI87" s="411">
        <f t="shared" si="79"/>
        <v>264.06508866097954</v>
      </c>
      <c r="AJ87" s="411">
        <f t="shared" si="80"/>
        <v>220.49720559051792</v>
      </c>
      <c r="AK87" s="411">
        <f t="shared" si="81"/>
        <v>173.51548586949951</v>
      </c>
      <c r="AL87" s="411">
        <f t="shared" si="57"/>
        <v>356.16474717471635</v>
      </c>
      <c r="AM87" s="411">
        <f t="shared" si="54"/>
        <v>264.06508866097954</v>
      </c>
      <c r="AN87" s="411">
        <f t="shared" si="55"/>
        <v>220.49720559051792</v>
      </c>
      <c r="AO87" s="411">
        <f t="shared" si="56"/>
        <v>173.51548586949951</v>
      </c>
      <c r="AP87" s="411">
        <f t="shared" si="82"/>
        <v>356.16474717471635</v>
      </c>
      <c r="AQ87" s="411">
        <f t="shared" si="83"/>
        <v>264.06508866097954</v>
      </c>
      <c r="AR87" s="411">
        <f t="shared" si="84"/>
        <v>220.49720559051792</v>
      </c>
      <c r="AS87" s="411">
        <f t="shared" si="85"/>
        <v>173.51548586949951</v>
      </c>
      <c r="AT87" s="227" t="str">
        <f t="shared" si="58"/>
        <v/>
      </c>
      <c r="AU87" s="227" t="str">
        <f t="shared" si="86"/>
        <v/>
      </c>
      <c r="AV87" s="227" t="str">
        <f t="shared" si="87"/>
        <v/>
      </c>
      <c r="AW87" s="227" t="str">
        <f t="shared" si="88"/>
        <v/>
      </c>
      <c r="AX87" s="227" t="str">
        <f t="shared" si="49"/>
        <v/>
      </c>
      <c r="AY87" s="311" t="str">
        <f t="shared" si="51"/>
        <v/>
      </c>
      <c r="AZ87" s="311">
        <f t="shared" si="50"/>
        <v>356.16474717471635</v>
      </c>
      <c r="BA87" s="311">
        <f t="shared" si="89"/>
        <v>264.06508866097954</v>
      </c>
      <c r="BB87" s="311">
        <f t="shared" si="97"/>
        <v>220.49720559051792</v>
      </c>
      <c r="BC87" s="311">
        <f t="shared" si="48"/>
        <v>173.51548586949951</v>
      </c>
      <c r="BD87" s="227" t="str">
        <f t="shared" si="90"/>
        <v/>
      </c>
      <c r="BE87" s="227" t="str">
        <f t="shared" si="91"/>
        <v/>
      </c>
      <c r="BF87" s="227" t="str">
        <f t="shared" si="92"/>
        <v/>
      </c>
      <c r="BG87" s="227" t="str">
        <f t="shared" si="93"/>
        <v/>
      </c>
      <c r="BH87" s="227" t="str">
        <f t="shared" si="94"/>
        <v/>
      </c>
      <c r="BI87" s="227" t="str">
        <f t="shared" si="95"/>
        <v/>
      </c>
      <c r="BJ87" s="226">
        <f t="shared" si="96"/>
        <v>4482909.7473175619</v>
      </c>
      <c r="BK87" s="335"/>
      <c r="BL87" s="335"/>
      <c r="BM87" s="335"/>
      <c r="BN87" s="335"/>
    </row>
    <row r="88" spans="1:66">
      <c r="A88" s="231">
        <v>317</v>
      </c>
      <c r="B88" s="231" t="str">
        <f>VLOOKUP(A88,'201314 RC list'!A:B,2,FALSE)</f>
        <v>Allergy</v>
      </c>
      <c r="C88" s="231"/>
      <c r="D88" s="310" t="str">
        <f t="shared" si="65"/>
        <v>A</v>
      </c>
      <c r="E88" s="231">
        <f>IF(ISERROR(VLOOKUP(A88,Mandatory!A:A,1,FALSE)),0,1)</f>
        <v>0</v>
      </c>
      <c r="F88" s="222">
        <f>VLOOKUP(A88,'Front-loading'!A:AG,$F$6,FALSE)</f>
        <v>316</v>
      </c>
      <c r="G88" s="222">
        <f>VLOOKUP(A88,'Front-loading'!A:AG,$G$6,FALSE)</f>
        <v>13569</v>
      </c>
      <c r="H88" s="222">
        <f>VLOOKUP(A88,'Front-loading'!A:AG,$H$6,FALSE)</f>
        <v>804</v>
      </c>
      <c r="I88" s="222">
        <f>VLOOKUP(A88,'Front-loading'!A:AG,$I$6,FALSE)</f>
        <v>16437</v>
      </c>
      <c r="J88" s="222">
        <f>VLOOKUP(A88,'Front-loading'!A:AG,$J$6,FALSE)</f>
        <v>52983.212761161951</v>
      </c>
      <c r="K88" s="222">
        <f>VLOOKUP(A88,'Front-loading'!A:AG,$K$6,FALSE)</f>
        <v>2213727.2359203054</v>
      </c>
      <c r="L88" s="222">
        <f>VLOOKUP(A88,'Front-loading'!A:AG,$L$6,FALSE)</f>
        <v>135424.60463103361</v>
      </c>
      <c r="M88" s="222">
        <f>VLOOKUP(A88,'Front-loading'!A:AG,$M$6,FALSE)</f>
        <v>1714326.9885015935</v>
      </c>
      <c r="N88" s="223">
        <f t="shared" si="63"/>
        <v>167.66839481380364</v>
      </c>
      <c r="O88" s="223">
        <f t="shared" si="63"/>
        <v>163.14593823570678</v>
      </c>
      <c r="P88" s="223">
        <f t="shared" si="63"/>
        <v>168.43856297392239</v>
      </c>
      <c r="Q88" s="223">
        <f t="shared" si="63"/>
        <v>104.29682962229077</v>
      </c>
      <c r="R88" s="409">
        <f t="shared" si="59"/>
        <v>167.66839481380364</v>
      </c>
      <c r="S88" s="409">
        <f t="shared" si="60"/>
        <v>163.14593823570678</v>
      </c>
      <c r="T88" s="409">
        <f t="shared" si="61"/>
        <v>168.43856297392239</v>
      </c>
      <c r="U88" s="409">
        <f t="shared" si="62"/>
        <v>104.29682962229077</v>
      </c>
      <c r="V88" s="411">
        <f t="shared" si="66"/>
        <v>167.66839481380364</v>
      </c>
      <c r="W88" s="411">
        <f t="shared" si="67"/>
        <v>163.14593823570678</v>
      </c>
      <c r="X88" s="411">
        <f t="shared" si="68"/>
        <v>168.43856297392239</v>
      </c>
      <c r="Y88" s="411">
        <f t="shared" si="69"/>
        <v>104.29682962229077</v>
      </c>
      <c r="Z88" s="411">
        <f t="shared" si="70"/>
        <v>168.22126552874604</v>
      </c>
      <c r="AA88" s="411">
        <f t="shared" si="71"/>
        <v>163.14593823570678</v>
      </c>
      <c r="AB88" s="411">
        <f t="shared" si="72"/>
        <v>168.22126552874604</v>
      </c>
      <c r="AC88" s="411">
        <f t="shared" si="73"/>
        <v>104.29682962229077</v>
      </c>
      <c r="AD88" s="411">
        <f t="shared" si="74"/>
        <v>168.22126552874604</v>
      </c>
      <c r="AE88" s="411">
        <f t="shared" si="75"/>
        <v>163.14593823570678</v>
      </c>
      <c r="AF88" s="411">
        <f t="shared" si="76"/>
        <v>168.22126552874604</v>
      </c>
      <c r="AG88" s="411">
        <f t="shared" si="77"/>
        <v>104.29682962229077</v>
      </c>
      <c r="AH88" s="411">
        <f t="shared" si="78"/>
        <v>168.22126552874604</v>
      </c>
      <c r="AI88" s="411">
        <f t="shared" si="79"/>
        <v>163.14593823570678</v>
      </c>
      <c r="AJ88" s="411">
        <f t="shared" si="80"/>
        <v>168.22126552874604</v>
      </c>
      <c r="AK88" s="411">
        <f t="shared" si="81"/>
        <v>104.29682962229077</v>
      </c>
      <c r="AL88" s="411">
        <f t="shared" si="57"/>
        <v>168.22126552874604</v>
      </c>
      <c r="AM88" s="411">
        <f t="shared" si="54"/>
        <v>163.14593823570678</v>
      </c>
      <c r="AN88" s="411">
        <f t="shared" si="55"/>
        <v>168.22126552874604</v>
      </c>
      <c r="AO88" s="411">
        <f t="shared" si="56"/>
        <v>104.29682962229077</v>
      </c>
      <c r="AP88" s="411">
        <f t="shared" si="82"/>
        <v>168.22126552874604</v>
      </c>
      <c r="AQ88" s="411">
        <f t="shared" si="83"/>
        <v>163.14593823570678</v>
      </c>
      <c r="AR88" s="411">
        <f t="shared" si="84"/>
        <v>168.22126552874604</v>
      </c>
      <c r="AS88" s="411">
        <f t="shared" si="85"/>
        <v>104.29682962229077</v>
      </c>
      <c r="AT88" s="227" t="str">
        <f t="shared" si="58"/>
        <v/>
      </c>
      <c r="AU88" s="227" t="str">
        <f t="shared" si="86"/>
        <v/>
      </c>
      <c r="AV88" s="227" t="str">
        <f t="shared" si="87"/>
        <v/>
      </c>
      <c r="AW88" s="227" t="str">
        <f t="shared" si="88"/>
        <v/>
      </c>
      <c r="AX88" s="227" t="str">
        <f t="shared" si="49"/>
        <v/>
      </c>
      <c r="AY88" s="311" t="str">
        <f t="shared" si="51"/>
        <v/>
      </c>
      <c r="AZ88" s="311">
        <f t="shared" si="50"/>
        <v>168.22126552874604</v>
      </c>
      <c r="BA88" s="311">
        <f t="shared" si="89"/>
        <v>163.14593823570678</v>
      </c>
      <c r="BB88" s="311">
        <f t="shared" si="97"/>
        <v>168.22126552874604</v>
      </c>
      <c r="BC88" s="311">
        <f t="shared" si="48"/>
        <v>104.29682962229077</v>
      </c>
      <c r="BD88" s="227" t="str">
        <f t="shared" si="90"/>
        <v/>
      </c>
      <c r="BE88" s="227" t="str">
        <f t="shared" si="91"/>
        <v/>
      </c>
      <c r="BF88" s="227" t="str">
        <f t="shared" si="92"/>
        <v/>
      </c>
      <c r="BG88" s="227" t="str">
        <f t="shared" si="93"/>
        <v/>
      </c>
      <c r="BH88" s="227" t="str">
        <f t="shared" si="94"/>
        <v/>
      </c>
      <c r="BI88" s="227" t="str">
        <f t="shared" si="95"/>
        <v/>
      </c>
      <c r="BJ88" s="226">
        <f t="shared" si="96"/>
        <v>4116462.0418140944</v>
      </c>
      <c r="BK88" s="335"/>
      <c r="BL88" s="335"/>
      <c r="BM88" s="335"/>
      <c r="BN88" s="335"/>
    </row>
    <row r="89" spans="1:66">
      <c r="A89" s="231">
        <v>322</v>
      </c>
      <c r="B89" s="231" t="str">
        <f>VLOOKUP(A89,'201314 RC list'!A:B,2,FALSE)</f>
        <v>Clinical Microbiology</v>
      </c>
      <c r="C89" s="231"/>
      <c r="D89" s="310" t="str">
        <f t="shared" si="65"/>
        <v>A</v>
      </c>
      <c r="E89" s="231">
        <f>IF(ISERROR(VLOOKUP(A89,Mandatory!A:A,1,FALSE)),0,1)</f>
        <v>0</v>
      </c>
      <c r="F89" s="222">
        <f>VLOOKUP(A89,'Front-loading'!A:AG,$F$6,FALSE)</f>
        <v>0</v>
      </c>
      <c r="G89" s="222">
        <f>VLOOKUP(A89,'Front-loading'!A:AG,$G$6,FALSE)</f>
        <v>210</v>
      </c>
      <c r="H89" s="222">
        <f>VLOOKUP(A89,'Front-loading'!A:AG,$H$6,FALSE)</f>
        <v>0</v>
      </c>
      <c r="I89" s="222">
        <f>VLOOKUP(A89,'Front-loading'!A:AG,$I$6,FALSE)</f>
        <v>469</v>
      </c>
      <c r="J89" s="222">
        <f>VLOOKUP(A89,'Front-loading'!A:AG,$J$6,FALSE)</f>
        <v>0</v>
      </c>
      <c r="K89" s="222">
        <f>VLOOKUP(A89,'Front-loading'!A:AG,$K$6,FALSE)</f>
        <v>43658.313538228766</v>
      </c>
      <c r="L89" s="222">
        <f>VLOOKUP(A89,'Front-loading'!A:AG,$L$6,FALSE)</f>
        <v>0</v>
      </c>
      <c r="M89" s="222">
        <f>VLOOKUP(A89,'Front-loading'!A:AG,$M$6,FALSE)</f>
        <v>36660.109541825172</v>
      </c>
      <c r="N89" s="223">
        <f t="shared" si="63"/>
        <v>0</v>
      </c>
      <c r="O89" s="223">
        <f t="shared" si="63"/>
        <v>207.89673113442268</v>
      </c>
      <c r="P89" s="223">
        <f t="shared" si="63"/>
        <v>0</v>
      </c>
      <c r="Q89" s="223">
        <f t="shared" si="63"/>
        <v>78.166544865298874</v>
      </c>
      <c r="R89" s="409" t="str">
        <f t="shared" si="59"/>
        <v/>
      </c>
      <c r="S89" s="409">
        <f t="shared" si="60"/>
        <v>207.89673113442268</v>
      </c>
      <c r="T89" s="409" t="str">
        <f t="shared" si="61"/>
        <v/>
      </c>
      <c r="U89" s="409">
        <f t="shared" si="62"/>
        <v>78.166544865298874</v>
      </c>
      <c r="V89" s="411" t="str">
        <f t="shared" si="66"/>
        <v/>
      </c>
      <c r="W89" s="411">
        <f t="shared" si="67"/>
        <v>207.89673113442268</v>
      </c>
      <c r="X89" s="411" t="str">
        <f t="shared" si="68"/>
        <v/>
      </c>
      <c r="Y89" s="411">
        <f t="shared" si="69"/>
        <v>78.166544865298874</v>
      </c>
      <c r="Z89" s="411" t="str">
        <f t="shared" si="70"/>
        <v/>
      </c>
      <c r="AA89" s="411">
        <f t="shared" si="71"/>
        <v>207.89673113442268</v>
      </c>
      <c r="AB89" s="411" t="str">
        <f t="shared" si="72"/>
        <v/>
      </c>
      <c r="AC89" s="411">
        <f t="shared" si="73"/>
        <v>78.166544865298874</v>
      </c>
      <c r="AD89" s="411" t="str">
        <f t="shared" si="74"/>
        <v/>
      </c>
      <c r="AE89" s="411">
        <f t="shared" si="75"/>
        <v>207.89673113442268</v>
      </c>
      <c r="AF89" s="411" t="str">
        <f t="shared" si="76"/>
        <v/>
      </c>
      <c r="AG89" s="411">
        <f t="shared" si="77"/>
        <v>78.166544865298874</v>
      </c>
      <c r="AH89" s="411">
        <f t="shared" si="78"/>
        <v>415.79346226884536</v>
      </c>
      <c r="AI89" s="411">
        <f t="shared" si="79"/>
        <v>207.89673113442268</v>
      </c>
      <c r="AJ89" s="411">
        <f t="shared" si="80"/>
        <v>156.33308973059775</v>
      </c>
      <c r="AK89" s="411">
        <f t="shared" si="81"/>
        <v>78.166544865298874</v>
      </c>
      <c r="AL89" s="411">
        <f t="shared" si="57"/>
        <v>415.79346226884536</v>
      </c>
      <c r="AM89" s="411">
        <f t="shared" si="54"/>
        <v>207.89673113442268</v>
      </c>
      <c r="AN89" s="411">
        <f t="shared" si="55"/>
        <v>156.33308973059775</v>
      </c>
      <c r="AO89" s="411">
        <f t="shared" si="56"/>
        <v>78.166544865298874</v>
      </c>
      <c r="AP89" s="411">
        <f t="shared" si="82"/>
        <v>415.79346226884536</v>
      </c>
      <c r="AQ89" s="411">
        <f t="shared" si="83"/>
        <v>207.89673113442268</v>
      </c>
      <c r="AR89" s="411">
        <f t="shared" si="84"/>
        <v>156.33308973059775</v>
      </c>
      <c r="AS89" s="411">
        <f t="shared" si="85"/>
        <v>78.166544865298874</v>
      </c>
      <c r="AT89" s="227" t="str">
        <f t="shared" si="58"/>
        <v/>
      </c>
      <c r="AU89" s="227" t="str">
        <f t="shared" si="86"/>
        <v/>
      </c>
      <c r="AV89" s="227" t="str">
        <f t="shared" si="87"/>
        <v/>
      </c>
      <c r="AW89" s="227" t="str">
        <f t="shared" si="88"/>
        <v/>
      </c>
      <c r="AX89" s="227" t="str">
        <f t="shared" si="49"/>
        <v/>
      </c>
      <c r="AY89" s="311" t="str">
        <f t="shared" si="51"/>
        <v/>
      </c>
      <c r="AZ89" s="311">
        <f t="shared" si="50"/>
        <v>415.79346226884536</v>
      </c>
      <c r="BA89" s="311">
        <f t="shared" si="89"/>
        <v>207.89673113442268</v>
      </c>
      <c r="BB89" s="311">
        <f t="shared" si="97"/>
        <v>156.33308973059775</v>
      </c>
      <c r="BC89" s="311">
        <f t="shared" si="48"/>
        <v>78.166544865298874</v>
      </c>
      <c r="BD89" s="227" t="str">
        <f t="shared" si="90"/>
        <v/>
      </c>
      <c r="BE89" s="227" t="str">
        <f t="shared" si="91"/>
        <v/>
      </c>
      <c r="BF89" s="227" t="str">
        <f t="shared" si="92"/>
        <v/>
      </c>
      <c r="BG89" s="227" t="str">
        <f t="shared" si="93"/>
        <v/>
      </c>
      <c r="BH89" s="227" t="str">
        <f t="shared" si="94"/>
        <v/>
      </c>
      <c r="BI89" s="227" t="str">
        <f t="shared" si="95"/>
        <v/>
      </c>
      <c r="BJ89" s="226">
        <f t="shared" si="96"/>
        <v>80318.423080053937</v>
      </c>
      <c r="BK89" s="335"/>
      <c r="BL89" s="335"/>
      <c r="BM89" s="335"/>
      <c r="BN89" s="335"/>
    </row>
    <row r="90" spans="1:66">
      <c r="A90" s="231">
        <v>323</v>
      </c>
      <c r="B90" s="231" t="str">
        <f>VLOOKUP(A90,'201314 RC list'!A:B,2,FALSE)</f>
        <v>Spinal Injuries</v>
      </c>
      <c r="C90" s="231"/>
      <c r="D90" s="310" t="str">
        <f t="shared" si="65"/>
        <v>A</v>
      </c>
      <c r="E90" s="231">
        <f>IF(ISERROR(VLOOKUP(A90,Mandatory!A:A,1,FALSE)),0,1)</f>
        <v>0</v>
      </c>
      <c r="F90" s="222">
        <f>VLOOKUP(A90,'Front-loading'!A:AG,$F$6,FALSE)</f>
        <v>17</v>
      </c>
      <c r="G90" s="222">
        <f>VLOOKUP(A90,'Front-loading'!A:AG,$G$6,FALSE)</f>
        <v>1167</v>
      </c>
      <c r="H90" s="222">
        <f>VLOOKUP(A90,'Front-loading'!A:AG,$H$6,FALSE)</f>
        <v>79</v>
      </c>
      <c r="I90" s="222">
        <f>VLOOKUP(A90,'Front-loading'!A:AG,$I$6,FALSE)</f>
        <v>11365</v>
      </c>
      <c r="J90" s="222">
        <f>VLOOKUP(A90,'Front-loading'!A:AG,$J$6,FALSE)</f>
        <v>7835.5324037940236</v>
      </c>
      <c r="K90" s="222">
        <f>VLOOKUP(A90,'Front-loading'!A:AG,$K$6,FALSE)</f>
        <v>770633.87714020535</v>
      </c>
      <c r="L90" s="222">
        <f>VLOOKUP(A90,'Front-loading'!A:AG,$L$6,FALSE)</f>
        <v>20366.379714241739</v>
      </c>
      <c r="M90" s="222">
        <f>VLOOKUP(A90,'Front-loading'!A:AG,$M$6,FALSE)</f>
        <v>2528692.1959331078</v>
      </c>
      <c r="N90" s="223">
        <f t="shared" si="63"/>
        <v>460.91367081141317</v>
      </c>
      <c r="O90" s="223">
        <f t="shared" si="63"/>
        <v>660.35465050574578</v>
      </c>
      <c r="P90" s="223">
        <f t="shared" si="63"/>
        <v>257.80227486381949</v>
      </c>
      <c r="Q90" s="223">
        <f t="shared" si="63"/>
        <v>222.49821345649869</v>
      </c>
      <c r="R90" s="409">
        <f t="shared" si="59"/>
        <v>293.76991789620587</v>
      </c>
      <c r="S90" s="409">
        <f t="shared" si="60"/>
        <v>660.35465050574578</v>
      </c>
      <c r="T90" s="409">
        <f t="shared" si="61"/>
        <v>293.76991789620587</v>
      </c>
      <c r="U90" s="409">
        <f t="shared" si="62"/>
        <v>222.49821345649869</v>
      </c>
      <c r="V90" s="411">
        <f t="shared" si="66"/>
        <v>293.76991789620587</v>
      </c>
      <c r="W90" s="411">
        <f t="shared" si="67"/>
        <v>660.35465050574578</v>
      </c>
      <c r="X90" s="411">
        <f t="shared" si="68"/>
        <v>293.76991789620587</v>
      </c>
      <c r="Y90" s="411">
        <f t="shared" si="69"/>
        <v>222.49821345649869</v>
      </c>
      <c r="Z90" s="411">
        <f t="shared" si="70"/>
        <v>293.76991789620587</v>
      </c>
      <c r="AA90" s="411">
        <f t="shared" si="71"/>
        <v>660.35465050574578</v>
      </c>
      <c r="AB90" s="411">
        <f t="shared" si="72"/>
        <v>293.76991789620587</v>
      </c>
      <c r="AC90" s="411">
        <f t="shared" si="73"/>
        <v>222.49821345649869</v>
      </c>
      <c r="AD90" s="411">
        <f t="shared" si="74"/>
        <v>655.09118728415615</v>
      </c>
      <c r="AE90" s="411">
        <f t="shared" si="75"/>
        <v>655.09118728415615</v>
      </c>
      <c r="AF90" s="411">
        <f t="shared" si="76"/>
        <v>293.76991789620587</v>
      </c>
      <c r="AG90" s="411">
        <f t="shared" si="77"/>
        <v>222.49821345649869</v>
      </c>
      <c r="AH90" s="411">
        <f t="shared" si="78"/>
        <v>655.09118728415615</v>
      </c>
      <c r="AI90" s="411">
        <f t="shared" si="79"/>
        <v>655.09118728415615</v>
      </c>
      <c r="AJ90" s="411">
        <f t="shared" si="80"/>
        <v>293.76991789620587</v>
      </c>
      <c r="AK90" s="411">
        <f t="shared" si="81"/>
        <v>222.49821345649869</v>
      </c>
      <c r="AL90" s="411">
        <f t="shared" si="57"/>
        <v>655.09118728415615</v>
      </c>
      <c r="AM90" s="411">
        <f t="shared" si="54"/>
        <v>655.09118728415615</v>
      </c>
      <c r="AN90" s="411">
        <f t="shared" si="55"/>
        <v>293.76991789620587</v>
      </c>
      <c r="AO90" s="411">
        <f t="shared" si="56"/>
        <v>222.49821345649869</v>
      </c>
      <c r="AP90" s="411">
        <f t="shared" si="82"/>
        <v>655.09118728415615</v>
      </c>
      <c r="AQ90" s="411">
        <f t="shared" si="83"/>
        <v>655.09118728415615</v>
      </c>
      <c r="AR90" s="411">
        <f t="shared" si="84"/>
        <v>293.76991789620587</v>
      </c>
      <c r="AS90" s="411">
        <f t="shared" si="85"/>
        <v>222.49821345649869</v>
      </c>
      <c r="AT90" s="227" t="str">
        <f t="shared" si="58"/>
        <v/>
      </c>
      <c r="AU90" s="227" t="str">
        <f t="shared" si="86"/>
        <v/>
      </c>
      <c r="AV90" s="227" t="str">
        <f t="shared" si="87"/>
        <v/>
      </c>
      <c r="AW90" s="227" t="str">
        <f t="shared" si="88"/>
        <v/>
      </c>
      <c r="AX90" s="227" t="str">
        <f t="shared" si="49"/>
        <v/>
      </c>
      <c r="AY90" s="311" t="str">
        <f t="shared" si="51"/>
        <v/>
      </c>
      <c r="AZ90" s="311">
        <f t="shared" si="50"/>
        <v>655.09118728415615</v>
      </c>
      <c r="BA90" s="311">
        <f t="shared" si="89"/>
        <v>655.09118728415615</v>
      </c>
      <c r="BB90" s="311">
        <f t="shared" si="97"/>
        <v>293.76991789620587</v>
      </c>
      <c r="BC90" s="311">
        <f t="shared" si="48"/>
        <v>222.49821345649869</v>
      </c>
      <c r="BD90" s="227" t="str">
        <f t="shared" si="90"/>
        <v/>
      </c>
      <c r="BE90" s="227" t="str">
        <f t="shared" si="91"/>
        <v/>
      </c>
      <c r="BF90" s="227" t="str">
        <f t="shared" si="92"/>
        <v/>
      </c>
      <c r="BG90" s="227" t="str">
        <f t="shared" si="93"/>
        <v/>
      </c>
      <c r="BH90" s="227" t="str">
        <f t="shared" si="94"/>
        <v/>
      </c>
      <c r="BI90" s="227" t="str">
        <f t="shared" si="95"/>
        <v/>
      </c>
      <c r="BJ90" s="226">
        <f t="shared" si="96"/>
        <v>3327527.9851913489</v>
      </c>
      <c r="BK90" s="335"/>
      <c r="BL90" s="335"/>
      <c r="BM90" s="335"/>
      <c r="BN90" s="335"/>
    </row>
    <row r="91" spans="1:66">
      <c r="A91" s="231">
        <v>324</v>
      </c>
      <c r="B91" s="231" t="str">
        <f>VLOOKUP(A91,'201314 RC list'!A:B,2,FALSE)</f>
        <v>Anticoagulant Service</v>
      </c>
      <c r="C91" s="231"/>
      <c r="D91" s="310" t="str">
        <f t="shared" si="65"/>
        <v>A</v>
      </c>
      <c r="E91" s="231">
        <f>IF(ISERROR(VLOOKUP(A91,Mandatory!A:A,1,FALSE)),0,1)</f>
        <v>0</v>
      </c>
      <c r="F91" s="222">
        <f>VLOOKUP(A91,'Front-loading'!A:AG,$F$6,FALSE)</f>
        <v>430</v>
      </c>
      <c r="G91" s="222">
        <f>VLOOKUP(A91,'Front-loading'!A:AG,$G$6,FALSE)</f>
        <v>88174</v>
      </c>
      <c r="H91" s="222">
        <f>VLOOKUP(A91,'Front-loading'!A:AG,$H$6,FALSE)</f>
        <v>305</v>
      </c>
      <c r="I91" s="222">
        <f>VLOOKUP(A91,'Front-loading'!A:AG,$I$6,FALSE)</f>
        <v>1400179</v>
      </c>
      <c r="J91" s="222">
        <f>VLOOKUP(A91,'Front-loading'!A:AG,$J$6,FALSE)</f>
        <v>25133.659645226733</v>
      </c>
      <c r="K91" s="222">
        <f>VLOOKUP(A91,'Front-loading'!A:AG,$K$6,FALSE)</f>
        <v>6645456.90988186</v>
      </c>
      <c r="L91" s="222">
        <f>VLOOKUP(A91,'Front-loading'!A:AG,$L$6,FALSE)</f>
        <v>12323.218333018316</v>
      </c>
      <c r="M91" s="222">
        <f>VLOOKUP(A91,'Front-loading'!A:AG,$M$6,FALSE)</f>
        <v>36304911.109465517</v>
      </c>
      <c r="N91" s="223">
        <f t="shared" si="63"/>
        <v>58.450371267969146</v>
      </c>
      <c r="O91" s="223">
        <f t="shared" si="63"/>
        <v>75.36753362535282</v>
      </c>
      <c r="P91" s="223">
        <f t="shared" si="63"/>
        <v>40.40399453448628</v>
      </c>
      <c r="Q91" s="223">
        <f t="shared" si="63"/>
        <v>25.928764186197277</v>
      </c>
      <c r="R91" s="409">
        <f t="shared" si="59"/>
        <v>58.450371267969146</v>
      </c>
      <c r="S91" s="409">
        <f t="shared" si="60"/>
        <v>75.36753362535282</v>
      </c>
      <c r="T91" s="409">
        <f t="shared" si="61"/>
        <v>40.40399453448628</v>
      </c>
      <c r="U91" s="409">
        <f t="shared" si="62"/>
        <v>25.928764186197277</v>
      </c>
      <c r="V91" s="411">
        <f t="shared" si="66"/>
        <v>58.450371267969146</v>
      </c>
      <c r="W91" s="411">
        <f t="shared" si="67"/>
        <v>75.36753362535282</v>
      </c>
      <c r="X91" s="411">
        <f t="shared" si="68"/>
        <v>40.40399453448628</v>
      </c>
      <c r="Y91" s="411">
        <f t="shared" si="69"/>
        <v>25.928764186197277</v>
      </c>
      <c r="Z91" s="411">
        <f t="shared" si="70"/>
        <v>58.450371267969146</v>
      </c>
      <c r="AA91" s="411">
        <f t="shared" si="71"/>
        <v>75.36753362535282</v>
      </c>
      <c r="AB91" s="411">
        <f t="shared" si="72"/>
        <v>40.40399453448628</v>
      </c>
      <c r="AC91" s="411">
        <f t="shared" si="73"/>
        <v>25.928764186197277</v>
      </c>
      <c r="AD91" s="411">
        <f t="shared" si="74"/>
        <v>75.285433722259569</v>
      </c>
      <c r="AE91" s="411">
        <f t="shared" si="75"/>
        <v>75.285433722259569</v>
      </c>
      <c r="AF91" s="411">
        <f t="shared" si="76"/>
        <v>40.40399453448628</v>
      </c>
      <c r="AG91" s="411">
        <f t="shared" si="77"/>
        <v>25.928764186197277</v>
      </c>
      <c r="AH91" s="411">
        <f t="shared" si="78"/>
        <v>75.285433722259569</v>
      </c>
      <c r="AI91" s="411">
        <f t="shared" si="79"/>
        <v>75.285433722259569</v>
      </c>
      <c r="AJ91" s="411">
        <f t="shared" si="80"/>
        <v>40.40399453448628</v>
      </c>
      <c r="AK91" s="411">
        <f t="shared" si="81"/>
        <v>25.928764186197277</v>
      </c>
      <c r="AL91" s="411">
        <f t="shared" si="57"/>
        <v>75.285433722259569</v>
      </c>
      <c r="AM91" s="411">
        <f t="shared" si="54"/>
        <v>75.285433722259569</v>
      </c>
      <c r="AN91" s="411">
        <f t="shared" si="55"/>
        <v>40.40399453448628</v>
      </c>
      <c r="AO91" s="411">
        <f t="shared" si="56"/>
        <v>25.928764186197277</v>
      </c>
      <c r="AP91" s="411">
        <f t="shared" si="82"/>
        <v>75.285433722259569</v>
      </c>
      <c r="AQ91" s="411">
        <f t="shared" si="83"/>
        <v>75.285433722259569</v>
      </c>
      <c r="AR91" s="411">
        <f t="shared" si="84"/>
        <v>40.40399453448628</v>
      </c>
      <c r="AS91" s="411">
        <f t="shared" si="85"/>
        <v>25.928764186197277</v>
      </c>
      <c r="AT91" s="227" t="str">
        <f t="shared" si="58"/>
        <v/>
      </c>
      <c r="AU91" s="227" t="str">
        <f t="shared" si="86"/>
        <v/>
      </c>
      <c r="AV91" s="227" t="str">
        <f t="shared" si="87"/>
        <v/>
      </c>
      <c r="AW91" s="227" t="str">
        <f t="shared" si="88"/>
        <v/>
      </c>
      <c r="AX91" s="227" t="str">
        <f t="shared" si="49"/>
        <v/>
      </c>
      <c r="AY91" s="311" t="str">
        <f t="shared" si="51"/>
        <v/>
      </c>
      <c r="AZ91" s="311">
        <f t="shared" si="50"/>
        <v>75.285433722259569</v>
      </c>
      <c r="BA91" s="311">
        <f t="shared" si="89"/>
        <v>75.285433722259569</v>
      </c>
      <c r="BB91" s="311">
        <f t="shared" si="97"/>
        <v>40.40399453448628</v>
      </c>
      <c r="BC91" s="311">
        <f t="shared" si="48"/>
        <v>25.928764186197277</v>
      </c>
      <c r="BD91" s="227" t="str">
        <f t="shared" si="90"/>
        <v/>
      </c>
      <c r="BE91" s="227" t="str">
        <f t="shared" si="91"/>
        <v/>
      </c>
      <c r="BF91" s="227" t="str">
        <f t="shared" si="92"/>
        <v/>
      </c>
      <c r="BG91" s="227" t="str">
        <f t="shared" si="93"/>
        <v/>
      </c>
      <c r="BH91" s="227" t="str">
        <f t="shared" si="94"/>
        <v/>
      </c>
      <c r="BI91" s="227" t="str">
        <f t="shared" si="95"/>
        <v/>
      </c>
      <c r="BJ91" s="226">
        <f t="shared" si="96"/>
        <v>42987824.89732562</v>
      </c>
      <c r="BK91" s="335"/>
      <c r="BL91" s="335"/>
      <c r="BM91" s="335"/>
      <c r="BN91" s="335"/>
    </row>
    <row r="92" spans="1:66">
      <c r="A92" s="231">
        <v>329</v>
      </c>
      <c r="B92" s="231" t="str">
        <f>VLOOKUP(A92,'201314 RC list'!A:B,2,FALSE)</f>
        <v>Transient Ischaemic Attack</v>
      </c>
      <c r="C92" s="231"/>
      <c r="D92" s="310" t="str">
        <f t="shared" si="65"/>
        <v>A</v>
      </c>
      <c r="E92" s="231">
        <f>IF(ISERROR(VLOOKUP(A92,Mandatory!A:A,1,FALSE)),0,1)</f>
        <v>1</v>
      </c>
      <c r="F92" s="222">
        <f>VLOOKUP(A92,'Front-loading'!A:AG,$F$6,FALSE)</f>
        <v>2855</v>
      </c>
      <c r="G92" s="222">
        <f>VLOOKUP(A92,'Front-loading'!A:AG,$G$6,FALSE)</f>
        <v>31858</v>
      </c>
      <c r="H92" s="222">
        <f>VLOOKUP(A92,'Front-loading'!A:AG,$H$6,FALSE)</f>
        <v>116</v>
      </c>
      <c r="I92" s="222">
        <f>VLOOKUP(A92,'Front-loading'!A:AG,$I$6,FALSE)</f>
        <v>10818</v>
      </c>
      <c r="J92" s="222">
        <f>VLOOKUP(A92,'Front-loading'!A:AG,$J$6,FALSE)</f>
        <v>646510.95354937785</v>
      </c>
      <c r="K92" s="222">
        <f>VLOOKUP(A92,'Front-loading'!A:AG,$K$6,FALSE)</f>
        <v>5917409.7243548706</v>
      </c>
      <c r="L92" s="222">
        <f>VLOOKUP(A92,'Front-loading'!A:AG,$L$6,FALSE)</f>
        <v>13615.02854437409</v>
      </c>
      <c r="M92" s="222">
        <f>VLOOKUP(A92,'Front-loading'!A:AG,$M$6,FALSE)</f>
        <v>1080085.6024568004</v>
      </c>
      <c r="N92" s="223">
        <f t="shared" ref="N92" si="98">IF(F92=0,0,J92/F92)</f>
        <v>226.44867024496597</v>
      </c>
      <c r="O92" s="223">
        <f t="shared" ref="O92" si="99">IF(G92=0,0,K92/G92)</f>
        <v>185.74328973428561</v>
      </c>
      <c r="P92" s="223">
        <f t="shared" ref="P92" si="100">IF(H92=0,0,L92/H92)</f>
        <v>117.37093572736285</v>
      </c>
      <c r="Q92" s="223">
        <f t="shared" ref="Q92" si="101">IF(I92=0,0,M92/I92)</f>
        <v>99.841523614050701</v>
      </c>
      <c r="R92" s="409">
        <f t="shared" si="59"/>
        <v>226.44867024496597</v>
      </c>
      <c r="S92" s="409">
        <f t="shared" si="60"/>
        <v>185.74328973428561</v>
      </c>
      <c r="T92" s="409">
        <f t="shared" si="61"/>
        <v>117.37093572736285</v>
      </c>
      <c r="U92" s="409">
        <f t="shared" si="62"/>
        <v>99.841523614050701</v>
      </c>
      <c r="V92" s="411">
        <f t="shared" ref="V92" si="102">IF(ISERROR(R92),S92,R92)</f>
        <v>226.44867024496597</v>
      </c>
      <c r="W92" s="411">
        <f t="shared" ref="W92" si="103">S92</f>
        <v>185.74328973428561</v>
      </c>
      <c r="X92" s="411">
        <f t="shared" ref="X92" si="104">IF(ISERROR(T92),U92,T92)</f>
        <v>117.37093572736285</v>
      </c>
      <c r="Y92" s="411">
        <f t="shared" ref="Y92" si="105">U92</f>
        <v>99.841523614050701</v>
      </c>
      <c r="Z92" s="411">
        <f t="shared" ref="Z92" si="106">IF(F92=0,V92,IF(V92&lt;X92,((V92*F92)+(H92*X92))/(F92+H92),V92))</f>
        <v>226.44867024496597</v>
      </c>
      <c r="AA92" s="411">
        <f t="shared" ref="AA92" si="107">IF(G92=0,W92,IF(W92&lt;Y92,((W92*G92)+(I92*Y92))/(G92+I92),W92))</f>
        <v>185.74328973428561</v>
      </c>
      <c r="AB92" s="411">
        <f t="shared" ref="AB92" si="108">IF(F92=0,X92,IF(V92&lt;X92,((V92*F92)+(H92*X92))/(F92+H92),X92))</f>
        <v>117.37093572736285</v>
      </c>
      <c r="AC92" s="411">
        <f t="shared" ref="AC92" si="109">IF(G92=0,Y92,IF(W92&lt;Y92,((W92*G92)+(I92*Y92))/(G92+I92),Y92))</f>
        <v>99.841523614050701</v>
      </c>
      <c r="AD92" s="411">
        <f t="shared" ref="AD92" si="110">IF(Z92&lt;AA92,SUMPRODUCT(Z92:AA92,F92:G92)/SUM(F92:G92),Z92)</f>
        <v>226.44867024496597</v>
      </c>
      <c r="AE92" s="411">
        <f t="shared" ref="AE92" si="111">IF(Z92&lt;AA92,SUMPRODUCT(Z92:AA92,F92:G92)/SUM(F92:G92),AA92)</f>
        <v>185.74328973428561</v>
      </c>
      <c r="AF92" s="411">
        <f t="shared" ref="AF92" si="112">IF(AB92&lt;AC92,SUMPRODUCT(AB92:AC92,H92:I92)/SUM(H92:I92),AB92)</f>
        <v>117.37093572736285</v>
      </c>
      <c r="AG92" s="411">
        <f t="shared" ref="AG92" si="113">IF(AB92&lt;AC92,SUMPRODUCT(AB92:AC92,H92:I92)/SUM(H92:I92),AC92)</f>
        <v>99.841523614050701</v>
      </c>
      <c r="AH92" s="411">
        <f t="shared" ref="AH92" si="114">IF(AD92&gt;2*AE92,(SUMPRODUCT(AD92:AE92,F92:G92)/(2*F92+G92))*2,AD92)</f>
        <v>226.44867024496597</v>
      </c>
      <c r="AI92" s="411">
        <f t="shared" ref="AI92" si="115">IF(AD92&gt;2*AE92,(SUMPRODUCT(AD92:AE92,F92:G92)/(2*F92+G92)),AE92)</f>
        <v>185.74328973428561</v>
      </c>
      <c r="AJ92" s="411">
        <f t="shared" ref="AJ92" si="116">IF(AF92&gt;2*AG92,(SUMPRODUCT(AF92:AG92,H92:I92)/(2*H92+I92))*2,AF92)</f>
        <v>117.37093572736285</v>
      </c>
      <c r="AK92" s="411">
        <f t="shared" ref="AK92" si="117">IF(AF92&gt;2*AG92,(SUMPRODUCT(AF92:AG92,H92:I92)/(2*H92+I92)),AG92)</f>
        <v>99.841523614050701</v>
      </c>
      <c r="AL92" s="411">
        <f t="shared" si="57"/>
        <v>226.44867024496597</v>
      </c>
      <c r="AM92" s="411">
        <f t="shared" si="54"/>
        <v>185.74328973428561</v>
      </c>
      <c r="AN92" s="411">
        <f t="shared" si="55"/>
        <v>117.37093572736285</v>
      </c>
      <c r="AO92" s="411">
        <f t="shared" si="56"/>
        <v>99.841523614050701</v>
      </c>
      <c r="AP92" s="411">
        <f t="shared" si="82"/>
        <v>226.44867024496597</v>
      </c>
      <c r="AQ92" s="411">
        <f t="shared" si="83"/>
        <v>185.74328973428561</v>
      </c>
      <c r="AR92" s="411">
        <f t="shared" si="84"/>
        <v>117.37093572736285</v>
      </c>
      <c r="AS92" s="411">
        <f t="shared" si="85"/>
        <v>99.841523614050701</v>
      </c>
      <c r="AT92" s="227" t="str">
        <f t="shared" si="58"/>
        <v/>
      </c>
      <c r="AU92" s="227" t="str">
        <f t="shared" si="86"/>
        <v/>
      </c>
      <c r="AV92" s="227" t="str">
        <f t="shared" ref="AV92" si="118">IF(AP92&lt;AQ92,"2FA","")</f>
        <v/>
      </c>
      <c r="AW92" s="227" t="str">
        <f t="shared" ref="AW92" si="119">IF(AR92&lt;AS92,"2FU","")</f>
        <v/>
      </c>
      <c r="AX92" s="227" t="str">
        <f t="shared" ref="AX92" si="120">IF(AP92&gt;2*AQ92,2*AQ92,"")</f>
        <v/>
      </c>
      <c r="AY92" s="311" t="str">
        <f t="shared" si="51"/>
        <v/>
      </c>
      <c r="AZ92" s="311">
        <f t="shared" ref="AZ92" si="121">IF(AX92="",AP92,AX92)</f>
        <v>226.44867024496597</v>
      </c>
      <c r="BA92" s="311">
        <f t="shared" ref="BA92" si="122">AQ92</f>
        <v>185.74328973428561</v>
      </c>
      <c r="BB92" s="311">
        <f t="shared" ref="BB92" si="123">IF(AT92&lt;&gt;"",AT92,IF(AY92&lt;&gt;"",AY92,AR92))</f>
        <v>117.37093572736285</v>
      </c>
      <c r="BC92" s="311">
        <f t="shared" ref="BC92" si="124">IF(AU92="",AS92,AU92)</f>
        <v>99.841523614050701</v>
      </c>
      <c r="BD92" s="227" t="str">
        <f t="shared" ref="BD92" si="125">IF(AZ92&lt;BB92,"1FA","")</f>
        <v/>
      </c>
      <c r="BE92" s="227" t="str">
        <f t="shared" ref="BE92" si="126">IF(BA92&lt;BC92,"1FU","")</f>
        <v/>
      </c>
      <c r="BF92" s="227" t="str">
        <f t="shared" ref="BF92" si="127">IF(AZ92&lt;BA92,"2FA","")</f>
        <v/>
      </c>
      <c r="BG92" s="227" t="str">
        <f t="shared" ref="BG92" si="128">IF(BB92&lt;BC92,"2FU","")</f>
        <v/>
      </c>
      <c r="BH92" s="227" t="str">
        <f t="shared" ref="BH92" si="129">IF(AZ92&gt;2*BA92,"3FA","")</f>
        <v/>
      </c>
      <c r="BI92" s="227" t="str">
        <f t="shared" ref="BI92" si="130">IF(BB92&gt;2*BC92,"3FU","")</f>
        <v/>
      </c>
      <c r="BJ92" s="226">
        <f t="shared" ref="BJ92" si="131">SUMPRODUCT(AZ92:BC92,F92:I92)</f>
        <v>7657621.3089054227</v>
      </c>
      <c r="BK92" s="335"/>
      <c r="BL92" s="335"/>
      <c r="BM92" s="335"/>
      <c r="BN92" s="335"/>
    </row>
    <row r="93" spans="1:66">
      <c r="A93" s="231">
        <v>341</v>
      </c>
      <c r="B93" s="231" t="str">
        <f>VLOOKUP(A93,'201314 RC list'!A:B,2,FALSE)</f>
        <v>Respiratory Physiology</v>
      </c>
      <c r="C93" s="231"/>
      <c r="D93" s="310" t="str">
        <f t="shared" si="65"/>
        <v>A</v>
      </c>
      <c r="E93" s="231">
        <f>IF(ISERROR(VLOOKUP(A93,Mandatory!A:A,1,FALSE)),0,1)</f>
        <v>1</v>
      </c>
      <c r="F93" s="222">
        <f>VLOOKUP(A93,'Front-loading'!A:AG,$F$6,FALSE)</f>
        <v>256</v>
      </c>
      <c r="G93" s="222">
        <f>VLOOKUP(A93,'Front-loading'!A:AG,$G$6,FALSE)</f>
        <v>28948</v>
      </c>
      <c r="H93" s="222">
        <f>VLOOKUP(A93,'Front-loading'!A:AG,$H$6,FALSE)</f>
        <v>196</v>
      </c>
      <c r="I93" s="222">
        <f>VLOOKUP(A93,'Front-loading'!A:AG,$I$6,FALSE)</f>
        <v>69514</v>
      </c>
      <c r="J93" s="222">
        <f>VLOOKUP(A93,'Front-loading'!A:AG,$J$6,FALSE)</f>
        <v>11695.826751526578</v>
      </c>
      <c r="K93" s="222">
        <f>VLOOKUP(A93,'Front-loading'!A:AG,$K$6,FALSE)</f>
        <v>4282107.4879450304</v>
      </c>
      <c r="L93" s="222">
        <f>VLOOKUP(A93,'Front-loading'!A:AG,$L$6,FALSE)</f>
        <v>16170.823360551474</v>
      </c>
      <c r="M93" s="222">
        <f>VLOOKUP(A93,'Front-loading'!A:AG,$M$6,FALSE)</f>
        <v>8188466.3715631766</v>
      </c>
      <c r="N93" s="223">
        <f t="shared" si="63"/>
        <v>45.686823248150695</v>
      </c>
      <c r="O93" s="223">
        <f t="shared" si="63"/>
        <v>147.92412214816326</v>
      </c>
      <c r="P93" s="223">
        <f t="shared" si="63"/>
        <v>82.504200819140181</v>
      </c>
      <c r="Q93" s="223">
        <f t="shared" si="63"/>
        <v>117.79593134567392</v>
      </c>
      <c r="R93" s="409">
        <f t="shared" si="59"/>
        <v>45.686823248150695</v>
      </c>
      <c r="S93" s="409">
        <f t="shared" si="60"/>
        <v>147.92412214816326</v>
      </c>
      <c r="T93" s="409">
        <f t="shared" si="61"/>
        <v>82.504200819140181</v>
      </c>
      <c r="U93" s="409">
        <f t="shared" si="62"/>
        <v>117.79593134567392</v>
      </c>
      <c r="V93" s="411">
        <f t="shared" si="66"/>
        <v>45.686823248150695</v>
      </c>
      <c r="W93" s="411">
        <f t="shared" si="67"/>
        <v>147.92412214816326</v>
      </c>
      <c r="X93" s="411">
        <f t="shared" si="68"/>
        <v>82.504200819140181</v>
      </c>
      <c r="Y93" s="411">
        <f t="shared" si="69"/>
        <v>117.79593134567392</v>
      </c>
      <c r="Z93" s="411">
        <f t="shared" si="70"/>
        <v>61.651880778933744</v>
      </c>
      <c r="AA93" s="411">
        <f t="shared" si="71"/>
        <v>147.92412214816326</v>
      </c>
      <c r="AB93" s="411">
        <f t="shared" si="72"/>
        <v>61.651880778933744</v>
      </c>
      <c r="AC93" s="411">
        <f t="shared" si="73"/>
        <v>117.79593134567392</v>
      </c>
      <c r="AD93" s="411">
        <f t="shared" si="74"/>
        <v>147.16786636845765</v>
      </c>
      <c r="AE93" s="411">
        <f t="shared" si="75"/>
        <v>147.16786636845765</v>
      </c>
      <c r="AF93" s="411">
        <f t="shared" si="76"/>
        <v>117.63807402375338</v>
      </c>
      <c r="AG93" s="411">
        <f t="shared" si="77"/>
        <v>117.63807402375338</v>
      </c>
      <c r="AH93" s="411">
        <f t="shared" si="78"/>
        <v>147.16786636845765</v>
      </c>
      <c r="AI93" s="411">
        <f t="shared" si="79"/>
        <v>147.16786636845765</v>
      </c>
      <c r="AJ93" s="411">
        <f t="shared" si="80"/>
        <v>117.63807402375338</v>
      </c>
      <c r="AK93" s="411">
        <f t="shared" si="81"/>
        <v>117.63807402375338</v>
      </c>
      <c r="AL93" s="411">
        <f t="shared" si="57"/>
        <v>147.16786636845765</v>
      </c>
      <c r="AM93" s="411">
        <f t="shared" si="54"/>
        <v>147.16786636845765</v>
      </c>
      <c r="AN93" s="411">
        <f t="shared" si="55"/>
        <v>117.63807402375338</v>
      </c>
      <c r="AO93" s="411">
        <f t="shared" si="56"/>
        <v>117.63807402375338</v>
      </c>
      <c r="AP93" s="411">
        <f t="shared" si="82"/>
        <v>147.16786636845765</v>
      </c>
      <c r="AQ93" s="411">
        <f t="shared" si="83"/>
        <v>147.16786636845765</v>
      </c>
      <c r="AR93" s="411">
        <f t="shared" si="84"/>
        <v>117.63807402375338</v>
      </c>
      <c r="AS93" s="411">
        <f t="shared" si="85"/>
        <v>117.63807402375338</v>
      </c>
      <c r="AT93" s="227" t="str">
        <f t="shared" si="58"/>
        <v/>
      </c>
      <c r="AU93" s="227" t="str">
        <f t="shared" si="86"/>
        <v/>
      </c>
      <c r="AV93" s="227" t="str">
        <f t="shared" si="87"/>
        <v/>
      </c>
      <c r="AW93" s="227" t="str">
        <f t="shared" si="88"/>
        <v/>
      </c>
      <c r="AX93" s="227" t="str">
        <f t="shared" si="49"/>
        <v/>
      </c>
      <c r="AY93" s="311" t="str">
        <f t="shared" si="51"/>
        <v/>
      </c>
      <c r="AZ93" s="311">
        <f t="shared" si="50"/>
        <v>147.16786636845765</v>
      </c>
      <c r="BA93" s="311">
        <f t="shared" si="89"/>
        <v>147.16786636845765</v>
      </c>
      <c r="BB93" s="311">
        <f t="shared" si="97"/>
        <v>117.63807402375338</v>
      </c>
      <c r="BC93" s="311">
        <f t="shared" si="48"/>
        <v>117.63807402375338</v>
      </c>
      <c r="BD93" s="227" t="str">
        <f t="shared" si="90"/>
        <v/>
      </c>
      <c r="BE93" s="227" t="str">
        <f t="shared" si="91"/>
        <v/>
      </c>
      <c r="BF93" s="227" t="str">
        <f t="shared" si="92"/>
        <v/>
      </c>
      <c r="BG93" s="227" t="str">
        <f t="shared" si="93"/>
        <v/>
      </c>
      <c r="BH93" s="227" t="str">
        <f t="shared" si="94"/>
        <v/>
      </c>
      <c r="BI93" s="227" t="str">
        <f t="shared" si="95"/>
        <v/>
      </c>
      <c r="BJ93" s="226">
        <f t="shared" si="96"/>
        <v>12498440.509620285</v>
      </c>
      <c r="BK93" s="335"/>
      <c r="BL93" s="335"/>
      <c r="BM93" s="335"/>
      <c r="BN93" s="335"/>
    </row>
    <row r="94" spans="1:66">
      <c r="A94" s="231">
        <v>352</v>
      </c>
      <c r="B94" s="231" t="str">
        <f>VLOOKUP(A94,'201314 RC list'!A:B,2,FALSE)</f>
        <v>Tropical Medicine</v>
      </c>
      <c r="C94" s="231"/>
      <c r="D94" s="310" t="str">
        <f t="shared" si="65"/>
        <v>A</v>
      </c>
      <c r="E94" s="231">
        <f>IF(ISERROR(VLOOKUP(A94,Mandatory!A:A,1,FALSE)),0,1)</f>
        <v>0</v>
      </c>
      <c r="F94" s="222">
        <f>VLOOKUP(A94,'Front-loading'!A:AG,$F$6,FALSE)</f>
        <v>2647</v>
      </c>
      <c r="G94" s="222">
        <f>VLOOKUP(A94,'Front-loading'!A:AG,$G$6,FALSE)</f>
        <v>1861</v>
      </c>
      <c r="H94" s="222">
        <f>VLOOKUP(A94,'Front-loading'!A:AG,$H$6,FALSE)</f>
        <v>73</v>
      </c>
      <c r="I94" s="222">
        <f>VLOOKUP(A94,'Front-loading'!A:AG,$I$6,FALSE)</f>
        <v>1641</v>
      </c>
      <c r="J94" s="222">
        <f>VLOOKUP(A94,'Front-loading'!A:AG,$J$6,FALSE)</f>
        <v>366808.52906020469</v>
      </c>
      <c r="K94" s="222">
        <f>VLOOKUP(A94,'Front-loading'!A:AG,$K$6,FALSE)</f>
        <v>382409.11566000048</v>
      </c>
      <c r="L94" s="222">
        <f>VLOOKUP(A94,'Front-loading'!A:AG,$L$6,FALSE)</f>
        <v>9263.2368168681223</v>
      </c>
      <c r="M94" s="222">
        <f>VLOOKUP(A94,'Front-loading'!A:AG,$M$6,FALSE)</f>
        <v>221945.57759593619</v>
      </c>
      <c r="N94" s="223">
        <f t="shared" si="63"/>
        <v>138.57519042697569</v>
      </c>
      <c r="O94" s="223">
        <f t="shared" si="63"/>
        <v>205.48582249328345</v>
      </c>
      <c r="P94" s="223">
        <f t="shared" si="63"/>
        <v>126.89365502559072</v>
      </c>
      <c r="Q94" s="223">
        <f t="shared" si="63"/>
        <v>135.25019963189285</v>
      </c>
      <c r="R94" s="409">
        <f t="shared" si="59"/>
        <v>138.57519042697569</v>
      </c>
      <c r="S94" s="409">
        <f t="shared" si="60"/>
        <v>205.48582249328345</v>
      </c>
      <c r="T94" s="409">
        <f t="shared" si="61"/>
        <v>126.89365502559072</v>
      </c>
      <c r="U94" s="409">
        <f t="shared" si="62"/>
        <v>135.25019963189285</v>
      </c>
      <c r="V94" s="411">
        <f t="shared" si="66"/>
        <v>138.57519042697569</v>
      </c>
      <c r="W94" s="411">
        <f t="shared" si="67"/>
        <v>205.48582249328345</v>
      </c>
      <c r="X94" s="411">
        <f t="shared" si="68"/>
        <v>126.89365502559072</v>
      </c>
      <c r="Y94" s="411">
        <f t="shared" si="69"/>
        <v>135.25019963189285</v>
      </c>
      <c r="Z94" s="411">
        <f t="shared" si="70"/>
        <v>138.57519042697569</v>
      </c>
      <c r="AA94" s="411">
        <f t="shared" si="71"/>
        <v>205.48582249328345</v>
      </c>
      <c r="AB94" s="411">
        <f t="shared" si="72"/>
        <v>126.89365502559072</v>
      </c>
      <c r="AC94" s="411">
        <f t="shared" si="73"/>
        <v>135.25019963189285</v>
      </c>
      <c r="AD94" s="411">
        <f t="shared" si="74"/>
        <v>166.19734798584852</v>
      </c>
      <c r="AE94" s="411">
        <f t="shared" si="75"/>
        <v>166.19734798584852</v>
      </c>
      <c r="AF94" s="411">
        <f t="shared" si="76"/>
        <v>134.89429078926739</v>
      </c>
      <c r="AG94" s="411">
        <f t="shared" si="77"/>
        <v>134.89429078926739</v>
      </c>
      <c r="AH94" s="411">
        <f t="shared" si="78"/>
        <v>166.19734798584852</v>
      </c>
      <c r="AI94" s="411">
        <f t="shared" si="79"/>
        <v>166.19734798584852</v>
      </c>
      <c r="AJ94" s="411">
        <f t="shared" si="80"/>
        <v>134.89429078926739</v>
      </c>
      <c r="AK94" s="411">
        <f t="shared" si="81"/>
        <v>134.89429078926739</v>
      </c>
      <c r="AL94" s="411">
        <f t="shared" si="57"/>
        <v>166.19734798584852</v>
      </c>
      <c r="AM94" s="411">
        <f t="shared" si="54"/>
        <v>166.19734798584852</v>
      </c>
      <c r="AN94" s="411">
        <f t="shared" si="55"/>
        <v>134.89429078926739</v>
      </c>
      <c r="AO94" s="411">
        <f t="shared" si="56"/>
        <v>134.89429078926739</v>
      </c>
      <c r="AP94" s="411">
        <f t="shared" si="82"/>
        <v>166.19734798584852</v>
      </c>
      <c r="AQ94" s="411">
        <f t="shared" si="83"/>
        <v>166.19734798584852</v>
      </c>
      <c r="AR94" s="411">
        <f t="shared" si="84"/>
        <v>134.89429078926739</v>
      </c>
      <c r="AS94" s="411">
        <f t="shared" si="85"/>
        <v>134.89429078926739</v>
      </c>
      <c r="AT94" s="227" t="str">
        <f t="shared" si="58"/>
        <v/>
      </c>
      <c r="AU94" s="227" t="str">
        <f t="shared" si="86"/>
        <v/>
      </c>
      <c r="AV94" s="227" t="str">
        <f t="shared" si="87"/>
        <v/>
      </c>
      <c r="AW94" s="227" t="str">
        <f t="shared" si="88"/>
        <v/>
      </c>
      <c r="AX94" s="227" t="str">
        <f t="shared" si="49"/>
        <v/>
      </c>
      <c r="AY94" s="311" t="str">
        <f t="shared" si="51"/>
        <v/>
      </c>
      <c r="AZ94" s="311">
        <f t="shared" si="50"/>
        <v>166.19734798584852</v>
      </c>
      <c r="BA94" s="311">
        <f t="shared" si="89"/>
        <v>166.19734798584852</v>
      </c>
      <c r="BB94" s="311">
        <f t="shared" si="97"/>
        <v>134.89429078926739</v>
      </c>
      <c r="BC94" s="311">
        <f t="shared" si="48"/>
        <v>134.89429078926739</v>
      </c>
      <c r="BD94" s="227" t="str">
        <f t="shared" si="90"/>
        <v/>
      </c>
      <c r="BE94" s="227" t="str">
        <f t="shared" si="91"/>
        <v/>
      </c>
      <c r="BF94" s="227" t="str">
        <f t="shared" si="92"/>
        <v/>
      </c>
      <c r="BG94" s="227" t="str">
        <f t="shared" si="93"/>
        <v/>
      </c>
      <c r="BH94" s="227" t="str">
        <f t="shared" si="94"/>
        <v/>
      </c>
      <c r="BI94" s="227" t="str">
        <f t="shared" si="95"/>
        <v/>
      </c>
      <c r="BJ94" s="226">
        <f t="shared" si="96"/>
        <v>980426.45913300943</v>
      </c>
      <c r="BK94" s="335"/>
      <c r="BL94" s="335"/>
      <c r="BM94" s="335"/>
      <c r="BN94" s="335"/>
    </row>
    <row r="95" spans="1:66">
      <c r="A95" s="231">
        <v>360</v>
      </c>
      <c r="B95" s="231" t="str">
        <f>VLOOKUP(A95,'201314 RC list'!A:B,2,FALSE)</f>
        <v>Genitourinary Medicine</v>
      </c>
      <c r="C95" s="231"/>
      <c r="D95" s="310" t="str">
        <f t="shared" si="65"/>
        <v>A</v>
      </c>
      <c r="E95" s="231">
        <f>IF(ISERROR(VLOOKUP(A95,Mandatory!A:A,1,FALSE)),0,1)</f>
        <v>0</v>
      </c>
      <c r="F95" s="222">
        <f>VLOOKUP(A95,'Front-loading'!A:AG,$F$6,FALSE)</f>
        <v>19749</v>
      </c>
      <c r="G95" s="222">
        <f>VLOOKUP(A95,'Front-loading'!A:AG,$G$6,FALSE)</f>
        <v>1181689</v>
      </c>
      <c r="H95" s="222">
        <f>VLOOKUP(A95,'Front-loading'!A:AG,$H$6,FALSE)</f>
        <v>15811</v>
      </c>
      <c r="I95" s="222">
        <f>VLOOKUP(A95,'Front-loading'!A:AG,$I$6,FALSE)</f>
        <v>539651</v>
      </c>
      <c r="J95" s="222">
        <f>VLOOKUP(A95,'Front-loading'!A:AG,$J$6,FALSE)</f>
        <v>2209004.5224199966</v>
      </c>
      <c r="K95" s="222">
        <f>VLOOKUP(A95,'Front-loading'!A:AG,$K$6,FALSE)</f>
        <v>144926319.01842976</v>
      </c>
      <c r="L95" s="222">
        <f>VLOOKUP(A95,'Front-loading'!A:AG,$L$6,FALSE)</f>
        <v>1251346.0899388229</v>
      </c>
      <c r="M95" s="222">
        <f>VLOOKUP(A95,'Front-loading'!A:AG,$M$6,FALSE)</f>
        <v>40886801.963551238</v>
      </c>
      <c r="N95" s="223">
        <f t="shared" si="63"/>
        <v>111.85399374246779</v>
      </c>
      <c r="O95" s="223">
        <f t="shared" si="63"/>
        <v>122.64336810990858</v>
      </c>
      <c r="P95" s="223">
        <f t="shared" si="63"/>
        <v>79.144019349745292</v>
      </c>
      <c r="Q95" s="223">
        <f t="shared" si="63"/>
        <v>75.765266743786697</v>
      </c>
      <c r="R95" s="409">
        <f t="shared" si="59"/>
        <v>111.85399374246779</v>
      </c>
      <c r="S95" s="409">
        <f t="shared" si="60"/>
        <v>122.64336810990858</v>
      </c>
      <c r="T95" s="409">
        <f t="shared" si="61"/>
        <v>79.144019349745292</v>
      </c>
      <c r="U95" s="409">
        <f t="shared" si="62"/>
        <v>75.765266743786697</v>
      </c>
      <c r="V95" s="411">
        <f t="shared" si="66"/>
        <v>111.85399374246779</v>
      </c>
      <c r="W95" s="411">
        <f t="shared" si="67"/>
        <v>122.64336810990858</v>
      </c>
      <c r="X95" s="411">
        <f t="shared" si="68"/>
        <v>79.144019349745292</v>
      </c>
      <c r="Y95" s="411">
        <f t="shared" si="69"/>
        <v>75.765266743786697</v>
      </c>
      <c r="Z95" s="411">
        <f t="shared" si="70"/>
        <v>111.85399374246779</v>
      </c>
      <c r="AA95" s="411">
        <f t="shared" si="71"/>
        <v>122.64336810990858</v>
      </c>
      <c r="AB95" s="411">
        <f t="shared" si="72"/>
        <v>79.144019349745292</v>
      </c>
      <c r="AC95" s="411">
        <f t="shared" si="73"/>
        <v>75.765266743786697</v>
      </c>
      <c r="AD95" s="411">
        <f t="shared" si="74"/>
        <v>122.46601450998699</v>
      </c>
      <c r="AE95" s="411">
        <f t="shared" si="75"/>
        <v>122.46601450998699</v>
      </c>
      <c r="AF95" s="411">
        <f t="shared" si="76"/>
        <v>79.144019349745292</v>
      </c>
      <c r="AG95" s="411">
        <f t="shared" si="77"/>
        <v>75.765266743786697</v>
      </c>
      <c r="AH95" s="411">
        <f t="shared" si="78"/>
        <v>122.46601450998699</v>
      </c>
      <c r="AI95" s="411">
        <f t="shared" si="79"/>
        <v>122.46601450998699</v>
      </c>
      <c r="AJ95" s="411">
        <f t="shared" si="80"/>
        <v>79.144019349745292</v>
      </c>
      <c r="AK95" s="411">
        <f t="shared" si="81"/>
        <v>75.765266743786697</v>
      </c>
      <c r="AL95" s="411">
        <f t="shared" si="57"/>
        <v>122.46601450998699</v>
      </c>
      <c r="AM95" s="411">
        <f t="shared" si="54"/>
        <v>122.46601450998699</v>
      </c>
      <c r="AN95" s="411">
        <f t="shared" si="55"/>
        <v>79.144019349745292</v>
      </c>
      <c r="AO95" s="411">
        <f t="shared" si="56"/>
        <v>75.765266743786697</v>
      </c>
      <c r="AP95" s="411">
        <f t="shared" si="82"/>
        <v>122.46601450998699</v>
      </c>
      <c r="AQ95" s="411">
        <f t="shared" si="83"/>
        <v>122.46601450998699</v>
      </c>
      <c r="AR95" s="411">
        <f t="shared" si="84"/>
        <v>79.144019349745292</v>
      </c>
      <c r="AS95" s="411">
        <f t="shared" si="85"/>
        <v>75.765266743786697</v>
      </c>
      <c r="AT95" s="227" t="str">
        <f t="shared" si="58"/>
        <v/>
      </c>
      <c r="AU95" s="227" t="str">
        <f t="shared" si="86"/>
        <v/>
      </c>
      <c r="AV95" s="227" t="str">
        <f t="shared" si="87"/>
        <v/>
      </c>
      <c r="AW95" s="227" t="str">
        <f t="shared" si="88"/>
        <v/>
      </c>
      <c r="AX95" s="227" t="str">
        <f t="shared" si="49"/>
        <v/>
      </c>
      <c r="AY95" s="311" t="str">
        <f t="shared" si="51"/>
        <v/>
      </c>
      <c r="AZ95" s="311">
        <f t="shared" si="50"/>
        <v>122.46601450998699</v>
      </c>
      <c r="BA95" s="311">
        <f t="shared" si="89"/>
        <v>122.46601450998699</v>
      </c>
      <c r="BB95" s="311">
        <f t="shared" si="97"/>
        <v>79.144019349745292</v>
      </c>
      <c r="BC95" s="311">
        <f t="shared" si="48"/>
        <v>75.765266743786697</v>
      </c>
      <c r="BD95" s="227" t="str">
        <f t="shared" si="90"/>
        <v/>
      </c>
      <c r="BE95" s="227" t="str">
        <f t="shared" si="91"/>
        <v/>
      </c>
      <c r="BF95" s="227" t="str">
        <f t="shared" si="92"/>
        <v/>
      </c>
      <c r="BG95" s="227" t="str">
        <f t="shared" si="93"/>
        <v/>
      </c>
      <c r="BH95" s="227" t="str">
        <f t="shared" si="94"/>
        <v/>
      </c>
      <c r="BI95" s="227" t="str">
        <f t="shared" si="95"/>
        <v/>
      </c>
      <c r="BJ95" s="226">
        <f t="shared" si="96"/>
        <v>189273471.59433985</v>
      </c>
      <c r="BK95" s="335"/>
      <c r="BL95" s="335"/>
      <c r="BM95" s="335"/>
      <c r="BN95" s="335"/>
    </row>
    <row r="96" spans="1:66">
      <c r="A96" s="231">
        <v>371</v>
      </c>
      <c r="B96" s="231" t="str">
        <f>VLOOKUP(A96,'201314 RC list'!A:B,2,FALSE)</f>
        <v>Nuclear Medicine</v>
      </c>
      <c r="C96" s="231"/>
      <c r="D96" s="310" t="str">
        <f t="shared" si="65"/>
        <v>A</v>
      </c>
      <c r="E96" s="231">
        <f>IF(ISERROR(VLOOKUP(A96,Mandatory!A:A,1,FALSE)),0,1)</f>
        <v>0</v>
      </c>
      <c r="F96" s="222">
        <f>VLOOKUP(A96,'Front-loading'!A:AG,$F$6,FALSE)</f>
        <v>92</v>
      </c>
      <c r="G96" s="222">
        <f>VLOOKUP(A96,'Front-loading'!A:AG,$G$6,FALSE)</f>
        <v>5051</v>
      </c>
      <c r="H96" s="222">
        <f>VLOOKUP(A96,'Front-loading'!A:AG,$H$6,FALSE)</f>
        <v>518</v>
      </c>
      <c r="I96" s="222">
        <f>VLOOKUP(A96,'Front-loading'!A:AG,$I$6,FALSE)</f>
        <v>4676</v>
      </c>
      <c r="J96" s="222">
        <f>VLOOKUP(A96,'Front-loading'!A:AG,$J$6,FALSE)</f>
        <v>6894.3540794083046</v>
      </c>
      <c r="K96" s="222">
        <f>VLOOKUP(A96,'Front-loading'!A:AG,$K$6,FALSE)</f>
        <v>1182714.9700749048</v>
      </c>
      <c r="L96" s="222">
        <f>VLOOKUP(A96,'Front-loading'!A:AG,$L$6,FALSE)</f>
        <v>22206.353825580663</v>
      </c>
      <c r="M96" s="222">
        <f>VLOOKUP(A96,'Front-loading'!A:AG,$M$6,FALSE)</f>
        <v>668626.37745940767</v>
      </c>
      <c r="N96" s="223">
        <f t="shared" si="63"/>
        <v>74.938631297916359</v>
      </c>
      <c r="O96" s="223">
        <f t="shared" si="63"/>
        <v>234.15461692237278</v>
      </c>
      <c r="P96" s="223">
        <f t="shared" si="63"/>
        <v>42.869408929692398</v>
      </c>
      <c r="Q96" s="223">
        <f t="shared" si="63"/>
        <v>142.99109868678522</v>
      </c>
      <c r="R96" s="409">
        <f t="shared" si="59"/>
        <v>74.938631297916359</v>
      </c>
      <c r="S96" s="409">
        <f t="shared" si="60"/>
        <v>234.15461692237278</v>
      </c>
      <c r="T96" s="409">
        <f t="shared" si="61"/>
        <v>42.869408929692398</v>
      </c>
      <c r="U96" s="409">
        <f t="shared" si="62"/>
        <v>142.99109868678522</v>
      </c>
      <c r="V96" s="411">
        <f t="shared" si="66"/>
        <v>74.938631297916359</v>
      </c>
      <c r="W96" s="411">
        <f t="shared" si="67"/>
        <v>234.15461692237278</v>
      </c>
      <c r="X96" s="411">
        <f t="shared" si="68"/>
        <v>42.869408929692398</v>
      </c>
      <c r="Y96" s="411">
        <f t="shared" si="69"/>
        <v>142.99109868678522</v>
      </c>
      <c r="Z96" s="411">
        <f t="shared" si="70"/>
        <v>74.938631297916359</v>
      </c>
      <c r="AA96" s="411">
        <f t="shared" si="71"/>
        <v>234.15461692237278</v>
      </c>
      <c r="AB96" s="411">
        <f t="shared" si="72"/>
        <v>42.869408929692398</v>
      </c>
      <c r="AC96" s="411">
        <f t="shared" si="73"/>
        <v>142.99109868678522</v>
      </c>
      <c r="AD96" s="411">
        <f t="shared" si="74"/>
        <v>231.30649896058978</v>
      </c>
      <c r="AE96" s="411">
        <f t="shared" si="75"/>
        <v>231.30649896058978</v>
      </c>
      <c r="AF96" s="411">
        <f t="shared" si="76"/>
        <v>133.00591668944713</v>
      </c>
      <c r="AG96" s="411">
        <f t="shared" si="77"/>
        <v>133.00591668944713</v>
      </c>
      <c r="AH96" s="411">
        <f t="shared" si="78"/>
        <v>231.30649896058978</v>
      </c>
      <c r="AI96" s="411">
        <f t="shared" si="79"/>
        <v>231.30649896058978</v>
      </c>
      <c r="AJ96" s="411">
        <f t="shared" si="80"/>
        <v>133.00591668944713</v>
      </c>
      <c r="AK96" s="411">
        <f t="shared" si="81"/>
        <v>133.00591668944713</v>
      </c>
      <c r="AL96" s="411">
        <f t="shared" si="57"/>
        <v>231.30649896058978</v>
      </c>
      <c r="AM96" s="411">
        <f t="shared" si="54"/>
        <v>231.30649896058978</v>
      </c>
      <c r="AN96" s="411">
        <f t="shared" si="55"/>
        <v>133.00591668944713</v>
      </c>
      <c r="AO96" s="411">
        <f t="shared" si="56"/>
        <v>133.00591668944713</v>
      </c>
      <c r="AP96" s="411">
        <f t="shared" si="82"/>
        <v>231.30649896058978</v>
      </c>
      <c r="AQ96" s="411">
        <f t="shared" si="83"/>
        <v>231.30649896058978</v>
      </c>
      <c r="AR96" s="411">
        <f t="shared" si="84"/>
        <v>133.00591668944713</v>
      </c>
      <c r="AS96" s="411">
        <f t="shared" si="85"/>
        <v>133.00591668944713</v>
      </c>
      <c r="AT96" s="227" t="str">
        <f t="shared" si="58"/>
        <v/>
      </c>
      <c r="AU96" s="227" t="str">
        <f t="shared" si="86"/>
        <v/>
      </c>
      <c r="AV96" s="227" t="str">
        <f t="shared" si="87"/>
        <v/>
      </c>
      <c r="AW96" s="227" t="str">
        <f t="shared" si="88"/>
        <v/>
      </c>
      <c r="AX96" s="227" t="str">
        <f t="shared" si="49"/>
        <v/>
      </c>
      <c r="AY96" s="311" t="str">
        <f t="shared" si="51"/>
        <v/>
      </c>
      <c r="AZ96" s="311">
        <f t="shared" si="50"/>
        <v>231.30649896058978</v>
      </c>
      <c r="BA96" s="311">
        <f t="shared" si="89"/>
        <v>231.30649896058978</v>
      </c>
      <c r="BB96" s="311">
        <f t="shared" si="97"/>
        <v>133.00591668944713</v>
      </c>
      <c r="BC96" s="311">
        <f t="shared" si="48"/>
        <v>133.00591668944713</v>
      </c>
      <c r="BD96" s="227" t="str">
        <f t="shared" si="90"/>
        <v/>
      </c>
      <c r="BE96" s="227" t="str">
        <f t="shared" si="91"/>
        <v/>
      </c>
      <c r="BF96" s="227" t="str">
        <f t="shared" si="92"/>
        <v/>
      </c>
      <c r="BG96" s="227" t="str">
        <f t="shared" si="93"/>
        <v/>
      </c>
      <c r="BH96" s="227" t="str">
        <f t="shared" si="94"/>
        <v/>
      </c>
      <c r="BI96" s="227" t="str">
        <f t="shared" si="95"/>
        <v/>
      </c>
      <c r="BJ96" s="226">
        <f t="shared" si="96"/>
        <v>1880442.0554393015</v>
      </c>
      <c r="BK96" s="335"/>
      <c r="BL96" s="335"/>
      <c r="BM96" s="335"/>
      <c r="BN96" s="335"/>
    </row>
    <row r="97" spans="1:66">
      <c r="A97" s="231">
        <v>422</v>
      </c>
      <c r="B97" s="231" t="str">
        <f>VLOOKUP(A97,'201314 RC list'!A:B,2,FALSE)</f>
        <v>Neonatology</v>
      </c>
      <c r="C97" s="231"/>
      <c r="D97" s="310" t="str">
        <f t="shared" si="65"/>
        <v>A</v>
      </c>
      <c r="E97" s="231">
        <f>IF(ISERROR(VLOOKUP(A97,Mandatory!A:A,1,FALSE)),0,1)</f>
        <v>0</v>
      </c>
      <c r="F97" s="222">
        <f>VLOOKUP(A97,'Front-loading'!A:AG,$F$6,FALSE)</f>
        <v>109</v>
      </c>
      <c r="G97" s="222">
        <f>VLOOKUP(A97,'Front-loading'!A:AG,$G$6,FALSE)</f>
        <v>13125</v>
      </c>
      <c r="H97" s="222">
        <f>VLOOKUP(A97,'Front-loading'!A:AG,$H$6,FALSE)</f>
        <v>557</v>
      </c>
      <c r="I97" s="222">
        <f>VLOOKUP(A97,'Front-loading'!A:AG,$I$6,FALSE)</f>
        <v>19835</v>
      </c>
      <c r="J97" s="222">
        <f>VLOOKUP(A97,'Front-loading'!A:AG,$J$6,FALSE)</f>
        <v>11367.906431302701</v>
      </c>
      <c r="K97" s="222">
        <f>VLOOKUP(A97,'Front-loading'!A:AG,$K$6,FALSE)</f>
        <v>2286335.9045275985</v>
      </c>
      <c r="L97" s="222">
        <f>VLOOKUP(A97,'Front-loading'!A:AG,$L$6,FALSE)</f>
        <v>54368.305790541395</v>
      </c>
      <c r="M97" s="222">
        <f>VLOOKUP(A97,'Front-loading'!A:AG,$M$6,FALSE)</f>
        <v>2875540.3637810056</v>
      </c>
      <c r="N97" s="223">
        <f t="shared" si="63"/>
        <v>104.29271955323578</v>
      </c>
      <c r="O97" s="223">
        <f t="shared" si="63"/>
        <v>174.19702129734085</v>
      </c>
      <c r="P97" s="223">
        <f t="shared" si="63"/>
        <v>97.609166589840925</v>
      </c>
      <c r="Q97" s="223">
        <f t="shared" si="63"/>
        <v>144.97304581704086</v>
      </c>
      <c r="R97" s="409">
        <f t="shared" si="59"/>
        <v>104.29271955323578</v>
      </c>
      <c r="S97" s="409">
        <f t="shared" si="60"/>
        <v>174.19702129734085</v>
      </c>
      <c r="T97" s="409">
        <f t="shared" si="61"/>
        <v>97.609166589840925</v>
      </c>
      <c r="U97" s="409">
        <f t="shared" si="62"/>
        <v>144.97304581704086</v>
      </c>
      <c r="V97" s="411">
        <f t="shared" si="66"/>
        <v>104.29271955323578</v>
      </c>
      <c r="W97" s="411">
        <f t="shared" si="67"/>
        <v>174.19702129734085</v>
      </c>
      <c r="X97" s="411">
        <f t="shared" si="68"/>
        <v>97.609166589840925</v>
      </c>
      <c r="Y97" s="411">
        <f t="shared" si="69"/>
        <v>144.97304581704086</v>
      </c>
      <c r="Z97" s="411">
        <f t="shared" si="70"/>
        <v>104.29271955323578</v>
      </c>
      <c r="AA97" s="411">
        <f t="shared" si="71"/>
        <v>174.19702129734085</v>
      </c>
      <c r="AB97" s="411">
        <f t="shared" si="72"/>
        <v>97.609166589840925</v>
      </c>
      <c r="AC97" s="411">
        <f t="shared" si="73"/>
        <v>144.97304581704086</v>
      </c>
      <c r="AD97" s="411">
        <f t="shared" si="74"/>
        <v>173.62126424050939</v>
      </c>
      <c r="AE97" s="411">
        <f t="shared" si="75"/>
        <v>173.62126424050939</v>
      </c>
      <c r="AF97" s="411">
        <f t="shared" si="76"/>
        <v>143.67931882951876</v>
      </c>
      <c r="AG97" s="411">
        <f t="shared" si="77"/>
        <v>143.67931882951876</v>
      </c>
      <c r="AH97" s="411">
        <f t="shared" si="78"/>
        <v>173.62126424050939</v>
      </c>
      <c r="AI97" s="411">
        <f t="shared" si="79"/>
        <v>173.62126424050939</v>
      </c>
      <c r="AJ97" s="411">
        <f t="shared" si="80"/>
        <v>143.67931882951876</v>
      </c>
      <c r="AK97" s="411">
        <f t="shared" si="81"/>
        <v>143.67931882951876</v>
      </c>
      <c r="AL97" s="411">
        <f t="shared" si="57"/>
        <v>173.62126424050939</v>
      </c>
      <c r="AM97" s="411">
        <f t="shared" si="54"/>
        <v>173.62126424050939</v>
      </c>
      <c r="AN97" s="411">
        <f t="shared" si="55"/>
        <v>143.67931882951876</v>
      </c>
      <c r="AO97" s="411">
        <f t="shared" si="56"/>
        <v>143.67931882951876</v>
      </c>
      <c r="AP97" s="411">
        <f t="shared" si="82"/>
        <v>173.62126424050939</v>
      </c>
      <c r="AQ97" s="411">
        <f t="shared" si="83"/>
        <v>173.62126424050939</v>
      </c>
      <c r="AR97" s="411">
        <f t="shared" si="84"/>
        <v>143.67931882951876</v>
      </c>
      <c r="AS97" s="411">
        <f t="shared" si="85"/>
        <v>143.67931882951876</v>
      </c>
      <c r="AT97" s="227" t="str">
        <f t="shared" si="58"/>
        <v/>
      </c>
      <c r="AU97" s="227" t="str">
        <f t="shared" si="86"/>
        <v/>
      </c>
      <c r="AV97" s="227" t="str">
        <f t="shared" si="87"/>
        <v/>
      </c>
      <c r="AW97" s="227" t="str">
        <f t="shared" si="88"/>
        <v/>
      </c>
      <c r="AX97" s="227" t="str">
        <f t="shared" si="49"/>
        <v/>
      </c>
      <c r="AY97" s="311" t="str">
        <f t="shared" si="51"/>
        <v/>
      </c>
      <c r="AZ97" s="311">
        <f t="shared" si="50"/>
        <v>173.62126424050939</v>
      </c>
      <c r="BA97" s="311">
        <f t="shared" si="89"/>
        <v>173.62126424050939</v>
      </c>
      <c r="BB97" s="311">
        <f t="shared" si="97"/>
        <v>143.67931882951876</v>
      </c>
      <c r="BC97" s="311">
        <f t="shared" si="48"/>
        <v>143.67931882951876</v>
      </c>
      <c r="BD97" s="227" t="str">
        <f t="shared" si="90"/>
        <v/>
      </c>
      <c r="BE97" s="227" t="str">
        <f t="shared" si="91"/>
        <v/>
      </c>
      <c r="BF97" s="227" t="str">
        <f t="shared" si="92"/>
        <v/>
      </c>
      <c r="BG97" s="227" t="str">
        <f t="shared" si="93"/>
        <v/>
      </c>
      <c r="BH97" s="227" t="str">
        <f t="shared" si="94"/>
        <v/>
      </c>
      <c r="BI97" s="227" t="str">
        <f t="shared" si="95"/>
        <v/>
      </c>
      <c r="BJ97" s="226">
        <f t="shared" si="96"/>
        <v>5227612.4805304483</v>
      </c>
      <c r="BK97" s="335"/>
      <c r="BL97" s="335"/>
      <c r="BM97" s="335"/>
      <c r="BN97" s="335"/>
    </row>
    <row r="98" spans="1:66">
      <c r="A98" s="231">
        <v>430</v>
      </c>
      <c r="B98" s="231" t="str">
        <f>VLOOKUP(A98,'201314 RC list'!A:B,2,FALSE)</f>
        <v>Geriatric Medicine</v>
      </c>
      <c r="C98" s="231"/>
      <c r="D98" s="310" t="str">
        <f t="shared" si="65"/>
        <v>A</v>
      </c>
      <c r="E98" s="231">
        <f>IF(ISERROR(VLOOKUP(A98,Mandatory!A:A,1,FALSE)),0,1)</f>
        <v>1</v>
      </c>
      <c r="F98" s="222">
        <f>VLOOKUP(A98,'Front-loading'!A:AG,$F$6,FALSE)</f>
        <v>4259</v>
      </c>
      <c r="G98" s="222">
        <f>VLOOKUP(A98,'Front-loading'!A:AG,$G$6,FALSE)</f>
        <v>167266</v>
      </c>
      <c r="H98" s="222">
        <f>VLOOKUP(A98,'Front-loading'!A:AG,$H$6,FALSE)</f>
        <v>4383</v>
      </c>
      <c r="I98" s="222">
        <f>VLOOKUP(A98,'Front-loading'!A:AG,$I$6,FALSE)</f>
        <v>236482</v>
      </c>
      <c r="J98" s="222">
        <f>VLOOKUP(A98,'Front-loading'!A:AG,$J$6,FALSE)</f>
        <v>940391.07573714608</v>
      </c>
      <c r="K98" s="222">
        <f>VLOOKUP(A98,'Front-loading'!A:AG,$K$6,FALSE)</f>
        <v>42562704.996496469</v>
      </c>
      <c r="L98" s="222">
        <f>VLOOKUP(A98,'Front-loading'!A:AG,$L$6,FALSE)</f>
        <v>572098.25921294279</v>
      </c>
      <c r="M98" s="222">
        <f>VLOOKUP(A98,'Front-loading'!A:AG,$M$6,FALSE)</f>
        <v>35060294.019954354</v>
      </c>
      <c r="N98" s="223">
        <f t="shared" si="63"/>
        <v>220.80091001106976</v>
      </c>
      <c r="O98" s="223">
        <f t="shared" si="63"/>
        <v>254.46118754855422</v>
      </c>
      <c r="P98" s="223">
        <f t="shared" si="63"/>
        <v>130.52663910858837</v>
      </c>
      <c r="Q98" s="223">
        <f t="shared" si="63"/>
        <v>148.2577702317908</v>
      </c>
      <c r="R98" s="409">
        <f t="shared" si="59"/>
        <v>220.80091001106976</v>
      </c>
      <c r="S98" s="409">
        <f t="shared" si="60"/>
        <v>254.46118754855422</v>
      </c>
      <c r="T98" s="409">
        <f t="shared" si="61"/>
        <v>130.52663910858837</v>
      </c>
      <c r="U98" s="409">
        <f t="shared" si="62"/>
        <v>148.2577702317908</v>
      </c>
      <c r="V98" s="411">
        <f t="shared" si="66"/>
        <v>220.80091001106976</v>
      </c>
      <c r="W98" s="411">
        <f t="shared" si="67"/>
        <v>254.46118754855422</v>
      </c>
      <c r="X98" s="411">
        <f t="shared" si="68"/>
        <v>130.52663910858837</v>
      </c>
      <c r="Y98" s="411">
        <f t="shared" si="69"/>
        <v>148.2577702317908</v>
      </c>
      <c r="Z98" s="411">
        <f t="shared" si="70"/>
        <v>220.80091001106976</v>
      </c>
      <c r="AA98" s="411">
        <f t="shared" si="71"/>
        <v>254.46118754855422</v>
      </c>
      <c r="AB98" s="411">
        <f t="shared" si="72"/>
        <v>130.52663910858837</v>
      </c>
      <c r="AC98" s="411">
        <f t="shared" si="73"/>
        <v>148.2577702317908</v>
      </c>
      <c r="AD98" s="411">
        <f t="shared" si="74"/>
        <v>253.62539613603624</v>
      </c>
      <c r="AE98" s="411">
        <f t="shared" si="75"/>
        <v>253.62539613603624</v>
      </c>
      <c r="AF98" s="411">
        <f t="shared" si="76"/>
        <v>147.93511834084362</v>
      </c>
      <c r="AG98" s="411">
        <f t="shared" si="77"/>
        <v>147.93511834084362</v>
      </c>
      <c r="AH98" s="411">
        <f t="shared" si="78"/>
        <v>253.62539613603624</v>
      </c>
      <c r="AI98" s="411">
        <f t="shared" si="79"/>
        <v>253.62539613603624</v>
      </c>
      <c r="AJ98" s="411">
        <f t="shared" si="80"/>
        <v>147.93511834084362</v>
      </c>
      <c r="AK98" s="411">
        <f t="shared" si="81"/>
        <v>147.93511834084362</v>
      </c>
      <c r="AL98" s="411">
        <f t="shared" si="57"/>
        <v>253.62539613603624</v>
      </c>
      <c r="AM98" s="411">
        <f t="shared" si="54"/>
        <v>253.62539613603624</v>
      </c>
      <c r="AN98" s="411">
        <f t="shared" si="55"/>
        <v>147.93511834084362</v>
      </c>
      <c r="AO98" s="411">
        <f t="shared" si="56"/>
        <v>147.93511834084362</v>
      </c>
      <c r="AP98" s="411">
        <f t="shared" si="82"/>
        <v>253.62539613603624</v>
      </c>
      <c r="AQ98" s="411">
        <f t="shared" si="83"/>
        <v>253.62539613603624</v>
      </c>
      <c r="AR98" s="411">
        <f t="shared" si="84"/>
        <v>147.93511834084362</v>
      </c>
      <c r="AS98" s="411">
        <f t="shared" si="85"/>
        <v>147.93511834084362</v>
      </c>
      <c r="AT98" s="227" t="str">
        <f t="shared" si="58"/>
        <v/>
      </c>
      <c r="AU98" s="227" t="str">
        <f t="shared" si="86"/>
        <v/>
      </c>
      <c r="AV98" s="227" t="str">
        <f t="shared" si="87"/>
        <v/>
      </c>
      <c r="AW98" s="227" t="str">
        <f t="shared" si="88"/>
        <v/>
      </c>
      <c r="AX98" s="227" t="str">
        <f t="shared" si="49"/>
        <v/>
      </c>
      <c r="AY98" s="311" t="str">
        <f t="shared" si="51"/>
        <v/>
      </c>
      <c r="AZ98" s="311">
        <f t="shared" si="50"/>
        <v>253.62539613603624</v>
      </c>
      <c r="BA98" s="311">
        <f t="shared" si="89"/>
        <v>253.62539613603624</v>
      </c>
      <c r="BB98" s="311">
        <f t="shared" si="97"/>
        <v>147.93511834084362</v>
      </c>
      <c r="BC98" s="311">
        <f t="shared" si="48"/>
        <v>147.93511834084362</v>
      </c>
      <c r="BD98" s="227" t="str">
        <f t="shared" si="90"/>
        <v/>
      </c>
      <c r="BE98" s="227" t="str">
        <f t="shared" si="91"/>
        <v/>
      </c>
      <c r="BF98" s="227" t="str">
        <f t="shared" si="92"/>
        <v/>
      </c>
      <c r="BG98" s="227" t="str">
        <f t="shared" si="93"/>
        <v/>
      </c>
      <c r="BH98" s="227" t="str">
        <f t="shared" si="94"/>
        <v/>
      </c>
      <c r="BI98" s="227" t="str">
        <f t="shared" si="95"/>
        <v/>
      </c>
      <c r="BJ98" s="226">
        <f t="shared" si="96"/>
        <v>79135488.351400912</v>
      </c>
      <c r="BK98" s="335"/>
      <c r="BL98" s="335"/>
      <c r="BM98" s="335"/>
      <c r="BN98" s="335"/>
    </row>
    <row r="99" spans="1:66">
      <c r="A99" s="231">
        <v>450</v>
      </c>
      <c r="B99" s="231" t="str">
        <f>VLOOKUP(A99,'201314 RC list'!A:B,2,FALSE)</f>
        <v>Dental Medicine Specialties</v>
      </c>
      <c r="C99" s="231"/>
      <c r="D99" s="310" t="str">
        <f t="shared" si="65"/>
        <v>A</v>
      </c>
      <c r="E99" s="231">
        <f>IF(ISERROR(VLOOKUP(A99,Mandatory!A:A,1,FALSE)),0,1)</f>
        <v>0</v>
      </c>
      <c r="F99" s="222">
        <f>VLOOKUP(A99,'Front-loading'!A:AG,$F$6,FALSE)</f>
        <v>124</v>
      </c>
      <c r="G99" s="222">
        <f>VLOOKUP(A99,'Front-loading'!A:AG,$G$6,FALSE)</f>
        <v>26837</v>
      </c>
      <c r="H99" s="222">
        <f>VLOOKUP(A99,'Front-loading'!A:AG,$H$6,FALSE)</f>
        <v>646</v>
      </c>
      <c r="I99" s="222">
        <f>VLOOKUP(A99,'Front-loading'!A:AG,$I$6,FALSE)</f>
        <v>35353</v>
      </c>
      <c r="J99" s="222">
        <f>VLOOKUP(A99,'Front-loading'!A:AG,$J$6,FALSE)</f>
        <v>38481.080517132963</v>
      </c>
      <c r="K99" s="222">
        <f>VLOOKUP(A99,'Front-loading'!A:AG,$K$6,FALSE)</f>
        <v>3295868.973878331</v>
      </c>
      <c r="L99" s="222">
        <f>VLOOKUP(A99,'Front-loading'!A:AG,$L$6,FALSE)</f>
        <v>105436.05473659029</v>
      </c>
      <c r="M99" s="222">
        <f>VLOOKUP(A99,'Front-loading'!A:AG,$M$6,FALSE)</f>
        <v>3125856.985005422</v>
      </c>
      <c r="N99" s="223">
        <f t="shared" si="63"/>
        <v>310.33129449300776</v>
      </c>
      <c r="O99" s="223">
        <f t="shared" si="63"/>
        <v>122.8106335983281</v>
      </c>
      <c r="P99" s="223">
        <f t="shared" si="63"/>
        <v>163.2137070225856</v>
      </c>
      <c r="Q99" s="223">
        <f t="shared" si="63"/>
        <v>88.418436483620113</v>
      </c>
      <c r="R99" s="409">
        <f t="shared" si="59"/>
        <v>310.33129449300776</v>
      </c>
      <c r="S99" s="409">
        <f t="shared" si="60"/>
        <v>122.8106335983281</v>
      </c>
      <c r="T99" s="409">
        <f t="shared" si="61"/>
        <v>163.2137070225856</v>
      </c>
      <c r="U99" s="409">
        <f t="shared" si="62"/>
        <v>88.418436483620113</v>
      </c>
      <c r="V99" s="411">
        <f t="shared" si="66"/>
        <v>310.33129449300776</v>
      </c>
      <c r="W99" s="411">
        <f t="shared" si="67"/>
        <v>122.8106335983281</v>
      </c>
      <c r="X99" s="411">
        <f t="shared" si="68"/>
        <v>163.2137070225856</v>
      </c>
      <c r="Y99" s="411">
        <f t="shared" si="69"/>
        <v>88.418436483620113</v>
      </c>
      <c r="Z99" s="411">
        <f t="shared" si="70"/>
        <v>310.33129449300776</v>
      </c>
      <c r="AA99" s="411">
        <f t="shared" si="71"/>
        <v>122.8106335983281</v>
      </c>
      <c r="AB99" s="411">
        <f t="shared" si="72"/>
        <v>163.2137070225856</v>
      </c>
      <c r="AC99" s="411">
        <f t="shared" si="73"/>
        <v>88.418436483620113</v>
      </c>
      <c r="AD99" s="411">
        <f t="shared" si="74"/>
        <v>310.33129449300776</v>
      </c>
      <c r="AE99" s="411">
        <f t="shared" si="75"/>
        <v>122.8106335983281</v>
      </c>
      <c r="AF99" s="411">
        <f t="shared" si="76"/>
        <v>163.2137070225856</v>
      </c>
      <c r="AG99" s="411">
        <f t="shared" si="77"/>
        <v>88.418436483620113</v>
      </c>
      <c r="AH99" s="411">
        <f t="shared" si="78"/>
        <v>246.21377547686643</v>
      </c>
      <c r="AI99" s="411">
        <f t="shared" si="79"/>
        <v>123.10688773843322</v>
      </c>
      <c r="AJ99" s="411">
        <f t="shared" si="80"/>
        <v>163.2137070225856</v>
      </c>
      <c r="AK99" s="411">
        <f t="shared" si="81"/>
        <v>88.418436483620113</v>
      </c>
      <c r="AL99" s="411">
        <f t="shared" si="57"/>
        <v>246.21377547686643</v>
      </c>
      <c r="AM99" s="411">
        <f t="shared" si="54"/>
        <v>123.10688773843322</v>
      </c>
      <c r="AN99" s="411">
        <f t="shared" si="55"/>
        <v>163.2137070225856</v>
      </c>
      <c r="AO99" s="411">
        <f t="shared" si="56"/>
        <v>88.418436483620113</v>
      </c>
      <c r="AP99" s="411">
        <f t="shared" si="82"/>
        <v>246.21377547686643</v>
      </c>
      <c r="AQ99" s="411">
        <f t="shared" si="83"/>
        <v>123.10688773843322</v>
      </c>
      <c r="AR99" s="411">
        <f t="shared" si="84"/>
        <v>163.2137070225856</v>
      </c>
      <c r="AS99" s="411">
        <f t="shared" si="85"/>
        <v>88.418436483620113</v>
      </c>
      <c r="AT99" s="227" t="str">
        <f t="shared" si="58"/>
        <v/>
      </c>
      <c r="AU99" s="227" t="str">
        <f t="shared" si="86"/>
        <v/>
      </c>
      <c r="AV99" s="227" t="str">
        <f t="shared" si="87"/>
        <v/>
      </c>
      <c r="AW99" s="227" t="str">
        <f t="shared" si="88"/>
        <v/>
      </c>
      <c r="AX99" s="227" t="str">
        <f t="shared" si="49"/>
        <v/>
      </c>
      <c r="AY99" s="311" t="str">
        <f t="shared" si="51"/>
        <v/>
      </c>
      <c r="AZ99" s="311">
        <f t="shared" si="50"/>
        <v>246.21377547686643</v>
      </c>
      <c r="BA99" s="311">
        <f t="shared" si="89"/>
        <v>123.10688773843322</v>
      </c>
      <c r="BB99" s="311">
        <f t="shared" si="97"/>
        <v>163.2137070225856</v>
      </c>
      <c r="BC99" s="311">
        <f t="shared" si="48"/>
        <v>88.418436483620113</v>
      </c>
      <c r="BD99" s="227" t="str">
        <f t="shared" si="90"/>
        <v/>
      </c>
      <c r="BE99" s="227" t="str">
        <f t="shared" si="91"/>
        <v/>
      </c>
      <c r="BF99" s="227" t="str">
        <f t="shared" si="92"/>
        <v/>
      </c>
      <c r="BG99" s="227" t="str">
        <f t="shared" si="93"/>
        <v/>
      </c>
      <c r="BH99" s="227" t="str">
        <f t="shared" si="94"/>
        <v/>
      </c>
      <c r="BI99" s="227" t="str">
        <f t="shared" si="95"/>
        <v/>
      </c>
      <c r="BJ99" s="226">
        <f t="shared" si="96"/>
        <v>6565643.0941374758</v>
      </c>
      <c r="BK99" s="335"/>
      <c r="BL99" s="335"/>
      <c r="BM99" s="335"/>
      <c r="BN99" s="335"/>
    </row>
    <row r="100" spans="1:66">
      <c r="A100" s="231">
        <v>460</v>
      </c>
      <c r="B100" s="231" t="str">
        <f>VLOOKUP(A100,'201314 RC list'!A:B,2,FALSE)</f>
        <v>Medical Ophthalmology</v>
      </c>
      <c r="C100" s="231"/>
      <c r="D100" s="310" t="str">
        <f t="shared" si="65"/>
        <v>A</v>
      </c>
      <c r="E100" s="231">
        <f>IF(ISERROR(VLOOKUP(A100,Mandatory!A:A,1,FALSE)),0,1)</f>
        <v>0</v>
      </c>
      <c r="F100" s="222">
        <f>VLOOKUP(A100,'Front-loading'!A:AG,$F$6,FALSE)</f>
        <v>29</v>
      </c>
      <c r="G100" s="222">
        <f>VLOOKUP(A100,'Front-loading'!A:AG,$G$6,FALSE)</f>
        <v>5219</v>
      </c>
      <c r="H100" s="222">
        <f>VLOOKUP(A100,'Front-loading'!A:AG,$H$6,FALSE)</f>
        <v>417</v>
      </c>
      <c r="I100" s="222">
        <f>VLOOKUP(A100,'Front-loading'!A:AG,$I$6,FALSE)</f>
        <v>19881</v>
      </c>
      <c r="J100" s="222">
        <f>VLOOKUP(A100,'Front-loading'!A:AG,$J$6,FALSE)</f>
        <v>11094.689370419126</v>
      </c>
      <c r="K100" s="222">
        <f>VLOOKUP(A100,'Front-loading'!A:AG,$K$6,FALSE)</f>
        <v>531579.34588137059</v>
      </c>
      <c r="L100" s="222">
        <f>VLOOKUP(A100,'Front-loading'!A:AG,$L$6,FALSE)</f>
        <v>62533.218340722924</v>
      </c>
      <c r="M100" s="222">
        <f>VLOOKUP(A100,'Front-loading'!A:AG,$M$6,FALSE)</f>
        <v>1258537.8898416532</v>
      </c>
      <c r="N100" s="223">
        <f t="shared" si="63"/>
        <v>382.575495531694</v>
      </c>
      <c r="O100" s="223">
        <f t="shared" si="63"/>
        <v>101.85463611446073</v>
      </c>
      <c r="P100" s="223">
        <f t="shared" si="63"/>
        <v>149.9597562127648</v>
      </c>
      <c r="Q100" s="223">
        <f t="shared" si="63"/>
        <v>63.303550618261312</v>
      </c>
      <c r="R100" s="409">
        <f t="shared" si="59"/>
        <v>165.08499486803149</v>
      </c>
      <c r="S100" s="409">
        <f t="shared" si="60"/>
        <v>101.85463611446073</v>
      </c>
      <c r="T100" s="409">
        <f t="shared" si="61"/>
        <v>165.08499486803149</v>
      </c>
      <c r="U100" s="409">
        <f t="shared" si="62"/>
        <v>63.303550618261312</v>
      </c>
      <c r="V100" s="411">
        <f t="shared" si="66"/>
        <v>165.08499486803149</v>
      </c>
      <c r="W100" s="411">
        <f t="shared" si="67"/>
        <v>101.85463611446073</v>
      </c>
      <c r="X100" s="411">
        <f t="shared" si="68"/>
        <v>165.08499486803149</v>
      </c>
      <c r="Y100" s="411">
        <f t="shared" si="69"/>
        <v>63.303550618261312</v>
      </c>
      <c r="Z100" s="411">
        <f t="shared" si="70"/>
        <v>165.08499486803149</v>
      </c>
      <c r="AA100" s="411">
        <f t="shared" si="71"/>
        <v>101.85463611446073</v>
      </c>
      <c r="AB100" s="411">
        <f t="shared" si="72"/>
        <v>165.08499486803149</v>
      </c>
      <c r="AC100" s="411">
        <f t="shared" si="73"/>
        <v>63.303550618261312</v>
      </c>
      <c r="AD100" s="411">
        <f t="shared" si="74"/>
        <v>165.08499486803149</v>
      </c>
      <c r="AE100" s="411">
        <f t="shared" si="75"/>
        <v>101.85463611446073</v>
      </c>
      <c r="AF100" s="411">
        <f t="shared" si="76"/>
        <v>165.08499486803149</v>
      </c>
      <c r="AG100" s="411">
        <f t="shared" si="77"/>
        <v>63.303550618261312</v>
      </c>
      <c r="AH100" s="411">
        <f t="shared" si="78"/>
        <v>165.08499486803149</v>
      </c>
      <c r="AI100" s="411">
        <f t="shared" si="79"/>
        <v>101.85463611446073</v>
      </c>
      <c r="AJ100" s="411">
        <f t="shared" si="80"/>
        <v>128.15624742472821</v>
      </c>
      <c r="AK100" s="411">
        <f t="shared" si="81"/>
        <v>64.078123712364103</v>
      </c>
      <c r="AL100" s="411">
        <f t="shared" si="57"/>
        <v>165.08499486803149</v>
      </c>
      <c r="AM100" s="411">
        <f t="shared" si="54"/>
        <v>101.85463611446073</v>
      </c>
      <c r="AN100" s="411">
        <f t="shared" si="55"/>
        <v>128.15624742472821</v>
      </c>
      <c r="AO100" s="411">
        <f t="shared" si="56"/>
        <v>64.078123712364103</v>
      </c>
      <c r="AP100" s="411">
        <f t="shared" si="82"/>
        <v>165.08499486803149</v>
      </c>
      <c r="AQ100" s="411">
        <f t="shared" si="83"/>
        <v>101.85463611446073</v>
      </c>
      <c r="AR100" s="411">
        <f t="shared" si="84"/>
        <v>128.15624742472821</v>
      </c>
      <c r="AS100" s="411">
        <f t="shared" si="85"/>
        <v>64.078123712364103</v>
      </c>
      <c r="AT100" s="227" t="str">
        <f t="shared" si="58"/>
        <v/>
      </c>
      <c r="AU100" s="227" t="str">
        <f t="shared" si="86"/>
        <v/>
      </c>
      <c r="AV100" s="227" t="str">
        <f t="shared" si="87"/>
        <v/>
      </c>
      <c r="AW100" s="227" t="str">
        <f t="shared" si="88"/>
        <v/>
      </c>
      <c r="AX100" s="227" t="str">
        <f t="shared" si="49"/>
        <v/>
      </c>
      <c r="AY100" s="311" t="str">
        <f t="shared" si="51"/>
        <v/>
      </c>
      <c r="AZ100" s="311">
        <f t="shared" si="50"/>
        <v>165.08499486803149</v>
      </c>
      <c r="BA100" s="311">
        <f t="shared" si="89"/>
        <v>101.85463611446073</v>
      </c>
      <c r="BB100" s="311">
        <f t="shared" si="97"/>
        <v>128.15624742472821</v>
      </c>
      <c r="BC100" s="311">
        <f t="shared" si="48"/>
        <v>64.078123712364103</v>
      </c>
      <c r="BD100" s="227" t="str">
        <f t="shared" si="90"/>
        <v/>
      </c>
      <c r="BE100" s="227" t="str">
        <f t="shared" si="91"/>
        <v/>
      </c>
      <c r="BF100" s="227" t="str">
        <f t="shared" si="92"/>
        <v/>
      </c>
      <c r="BG100" s="227" t="str">
        <f t="shared" si="93"/>
        <v/>
      </c>
      <c r="BH100" s="227" t="str">
        <f t="shared" si="94"/>
        <v/>
      </c>
      <c r="BI100" s="227" t="str">
        <f t="shared" si="95"/>
        <v/>
      </c>
      <c r="BJ100" s="226">
        <f t="shared" si="96"/>
        <v>1863745.143434166</v>
      </c>
      <c r="BK100" s="335"/>
      <c r="BL100" s="335"/>
      <c r="BM100" s="335"/>
      <c r="BN100" s="335"/>
    </row>
    <row r="101" spans="1:66">
      <c r="A101" s="231">
        <v>501</v>
      </c>
      <c r="B101" s="231" t="str">
        <f>VLOOKUP(A101,'201314 RC list'!A:B,2,FALSE)</f>
        <v>Obstetrics</v>
      </c>
      <c r="C101" s="231"/>
      <c r="D101" s="310" t="str">
        <f t="shared" si="65"/>
        <v>A</v>
      </c>
      <c r="E101" s="231">
        <f>IF(ISERROR(VLOOKUP(A101,Mandatory!A:A,1,FALSE)),0,1)</f>
        <v>0</v>
      </c>
      <c r="F101" s="222">
        <f>VLOOKUP(A101,'Front-loading'!A:AG,$F$6,FALSE)</f>
        <v>47060</v>
      </c>
      <c r="G101" s="222">
        <f>VLOOKUP(A101,'Front-loading'!A:AG,$G$6,FALSE)</f>
        <v>712489</v>
      </c>
      <c r="H101" s="222">
        <f>VLOOKUP(A101,'Front-loading'!A:AG,$H$6,FALSE)</f>
        <v>86184</v>
      </c>
      <c r="I101" s="222">
        <f>VLOOKUP(A101,'Front-loading'!A:AG,$I$6,FALSE)</f>
        <v>1814132</v>
      </c>
      <c r="J101" s="222">
        <f>VLOOKUP(A101,'Front-loading'!A:AG,$J$6,FALSE)</f>
        <v>7894431.0682806522</v>
      </c>
      <c r="K101" s="222">
        <f>VLOOKUP(A101,'Front-loading'!A:AG,$K$6,FALSE)</f>
        <v>112341922.00198761</v>
      </c>
      <c r="L101" s="222">
        <f>VLOOKUP(A101,'Front-loading'!A:AG,$L$6,FALSE)</f>
        <v>9921971.7055574507</v>
      </c>
      <c r="M101" s="222">
        <f>VLOOKUP(A101,'Front-loading'!A:AG,$M$6,FALSE)</f>
        <v>160834606.18184483</v>
      </c>
      <c r="N101" s="223">
        <f t="shared" si="63"/>
        <v>167.75246638930412</v>
      </c>
      <c r="O101" s="223">
        <f t="shared" si="63"/>
        <v>157.67530727069135</v>
      </c>
      <c r="P101" s="223">
        <f t="shared" si="63"/>
        <v>115.12544910374838</v>
      </c>
      <c r="Q101" s="223">
        <f t="shared" si="63"/>
        <v>88.65650690349149</v>
      </c>
      <c r="R101" s="409">
        <f t="shared" si="59"/>
        <v>167.75246638930412</v>
      </c>
      <c r="S101" s="409">
        <f t="shared" si="60"/>
        <v>157.67530727069135</v>
      </c>
      <c r="T101" s="409">
        <f t="shared" si="61"/>
        <v>115.12544910374838</v>
      </c>
      <c r="U101" s="409">
        <f t="shared" si="62"/>
        <v>88.65650690349149</v>
      </c>
      <c r="V101" s="411">
        <f t="shared" si="66"/>
        <v>167.75246638930412</v>
      </c>
      <c r="W101" s="411">
        <f t="shared" si="67"/>
        <v>157.67530727069135</v>
      </c>
      <c r="X101" s="411">
        <f t="shared" si="68"/>
        <v>115.12544910374838</v>
      </c>
      <c r="Y101" s="411">
        <f t="shared" si="69"/>
        <v>88.65650690349149</v>
      </c>
      <c r="Z101" s="411">
        <f t="shared" si="70"/>
        <v>167.75246638930412</v>
      </c>
      <c r="AA101" s="411">
        <f t="shared" si="71"/>
        <v>157.67530727069135</v>
      </c>
      <c r="AB101" s="411">
        <f t="shared" si="72"/>
        <v>115.12544910374838</v>
      </c>
      <c r="AC101" s="411">
        <f t="shared" si="73"/>
        <v>88.65650690349149</v>
      </c>
      <c r="AD101" s="411">
        <f t="shared" si="74"/>
        <v>167.75246638930412</v>
      </c>
      <c r="AE101" s="411">
        <f t="shared" si="75"/>
        <v>157.67530727069135</v>
      </c>
      <c r="AF101" s="411">
        <f t="shared" si="76"/>
        <v>115.12544910374838</v>
      </c>
      <c r="AG101" s="411">
        <f t="shared" si="77"/>
        <v>88.65650690349149</v>
      </c>
      <c r="AH101" s="411">
        <f t="shared" si="78"/>
        <v>167.75246638930412</v>
      </c>
      <c r="AI101" s="411">
        <f t="shared" si="79"/>
        <v>157.67530727069135</v>
      </c>
      <c r="AJ101" s="411">
        <f t="shared" si="80"/>
        <v>115.12544910374838</v>
      </c>
      <c r="AK101" s="411">
        <f t="shared" si="81"/>
        <v>88.65650690349149</v>
      </c>
      <c r="AL101" s="411">
        <f t="shared" si="57"/>
        <v>167.75246638930412</v>
      </c>
      <c r="AM101" s="411">
        <f t="shared" si="54"/>
        <v>157.67530727069135</v>
      </c>
      <c r="AN101" s="411">
        <f t="shared" si="55"/>
        <v>115.12544910374838</v>
      </c>
      <c r="AO101" s="411">
        <f t="shared" si="56"/>
        <v>88.65650690349149</v>
      </c>
      <c r="AP101" s="411">
        <f t="shared" si="82"/>
        <v>167.75246638930412</v>
      </c>
      <c r="AQ101" s="411">
        <f t="shared" si="83"/>
        <v>157.67530727069135</v>
      </c>
      <c r="AR101" s="411">
        <f t="shared" si="84"/>
        <v>115.12544910374838</v>
      </c>
      <c r="AS101" s="411">
        <f t="shared" si="85"/>
        <v>88.65650690349149</v>
      </c>
      <c r="AT101" s="227" t="str">
        <f t="shared" si="58"/>
        <v/>
      </c>
      <c r="AU101" s="227" t="str">
        <f t="shared" si="86"/>
        <v/>
      </c>
      <c r="AV101" s="227" t="str">
        <f t="shared" si="87"/>
        <v/>
      </c>
      <c r="AW101" s="227" t="str">
        <f t="shared" si="88"/>
        <v/>
      </c>
      <c r="AX101" s="227" t="str">
        <f t="shared" si="49"/>
        <v/>
      </c>
      <c r="AY101" s="311" t="str">
        <f t="shared" si="51"/>
        <v/>
      </c>
      <c r="AZ101" s="311">
        <f t="shared" si="50"/>
        <v>167.75246638930412</v>
      </c>
      <c r="BA101" s="311">
        <f t="shared" si="89"/>
        <v>157.67530727069135</v>
      </c>
      <c r="BB101" s="311">
        <f t="shared" si="97"/>
        <v>115.12544910374838</v>
      </c>
      <c r="BC101" s="311">
        <f t="shared" si="48"/>
        <v>88.65650690349149</v>
      </c>
      <c r="BD101" s="227" t="str">
        <f t="shared" si="90"/>
        <v/>
      </c>
      <c r="BE101" s="227" t="str">
        <f t="shared" si="91"/>
        <v/>
      </c>
      <c r="BF101" s="227" t="str">
        <f t="shared" si="92"/>
        <v/>
      </c>
      <c r="BG101" s="227" t="str">
        <f t="shared" si="93"/>
        <v/>
      </c>
      <c r="BH101" s="227" t="str">
        <f t="shared" si="94"/>
        <v/>
      </c>
      <c r="BI101" s="227" t="str">
        <f t="shared" si="95"/>
        <v/>
      </c>
      <c r="BJ101" s="226">
        <f t="shared" si="96"/>
        <v>290992930.95767057</v>
      </c>
      <c r="BK101" s="335"/>
      <c r="BL101" s="335"/>
      <c r="BM101" s="335"/>
      <c r="BN101" s="335"/>
    </row>
    <row r="102" spans="1:66">
      <c r="A102" s="231">
        <v>502</v>
      </c>
      <c r="B102" s="231" t="str">
        <f>VLOOKUP(A102,'201314 RC list'!A:B,2,FALSE)</f>
        <v>Gynaecology</v>
      </c>
      <c r="C102" s="231"/>
      <c r="D102" s="310" t="str">
        <f t="shared" si="65"/>
        <v>A</v>
      </c>
      <c r="E102" s="231">
        <f>IF(ISERROR(VLOOKUP(A102,Mandatory!A:A,1,FALSE)),0,1)</f>
        <v>1</v>
      </c>
      <c r="F102" s="222">
        <f>VLOOKUP(A102,'Front-loading'!A:AG,$F$6,FALSE)</f>
        <v>37410</v>
      </c>
      <c r="G102" s="222">
        <f>VLOOKUP(A102,'Front-loading'!A:AG,$G$6,FALSE)</f>
        <v>855866</v>
      </c>
      <c r="H102" s="222">
        <f>VLOOKUP(A102,'Front-loading'!A:AG,$H$6,FALSE)</f>
        <v>34062</v>
      </c>
      <c r="I102" s="222">
        <f>VLOOKUP(A102,'Front-loading'!A:AG,$I$6,FALSE)</f>
        <v>1033736</v>
      </c>
      <c r="J102" s="222">
        <f>VLOOKUP(A102,'Front-loading'!A:AG,$J$6,FALSE)</f>
        <v>6395284.5295255799</v>
      </c>
      <c r="K102" s="222">
        <f>VLOOKUP(A102,'Front-loading'!A:AG,$K$6,FALSE)</f>
        <v>128319176.54800305</v>
      </c>
      <c r="L102" s="222">
        <f>VLOOKUP(A102,'Front-loading'!A:AG,$L$6,FALSE)</f>
        <v>4536600.7791491784</v>
      </c>
      <c r="M102" s="222">
        <f>VLOOKUP(A102,'Front-loading'!A:AG,$M$6,FALSE)</f>
        <v>101837870.5329441</v>
      </c>
      <c r="N102" s="223">
        <f t="shared" si="63"/>
        <v>170.95120367617162</v>
      </c>
      <c r="O102" s="223">
        <f t="shared" si="63"/>
        <v>149.92905028123917</v>
      </c>
      <c r="P102" s="223">
        <f t="shared" si="63"/>
        <v>133.18656506221532</v>
      </c>
      <c r="Q102" s="223">
        <f t="shared" si="63"/>
        <v>98.514389102192524</v>
      </c>
      <c r="R102" s="409">
        <f t="shared" si="59"/>
        <v>170.95120367617162</v>
      </c>
      <c r="S102" s="409">
        <f t="shared" si="60"/>
        <v>149.92905028123917</v>
      </c>
      <c r="T102" s="409">
        <f t="shared" si="61"/>
        <v>133.18656506221532</v>
      </c>
      <c r="U102" s="409">
        <f t="shared" si="62"/>
        <v>98.514389102192524</v>
      </c>
      <c r="V102" s="411">
        <f t="shared" si="66"/>
        <v>170.95120367617162</v>
      </c>
      <c r="W102" s="411">
        <f t="shared" si="67"/>
        <v>149.92905028123917</v>
      </c>
      <c r="X102" s="411">
        <f t="shared" si="68"/>
        <v>133.18656506221532</v>
      </c>
      <c r="Y102" s="411">
        <f t="shared" si="69"/>
        <v>98.514389102192524</v>
      </c>
      <c r="Z102" s="411">
        <f t="shared" si="70"/>
        <v>170.95120367617162</v>
      </c>
      <c r="AA102" s="411">
        <f t="shared" si="71"/>
        <v>149.92905028123917</v>
      </c>
      <c r="AB102" s="411">
        <f t="shared" si="72"/>
        <v>133.18656506221532</v>
      </c>
      <c r="AC102" s="411">
        <f t="shared" si="73"/>
        <v>98.514389102192524</v>
      </c>
      <c r="AD102" s="411">
        <f t="shared" si="74"/>
        <v>170.95120367617162</v>
      </c>
      <c r="AE102" s="411">
        <f t="shared" si="75"/>
        <v>149.92905028123917</v>
      </c>
      <c r="AF102" s="411">
        <f t="shared" si="76"/>
        <v>133.18656506221532</v>
      </c>
      <c r="AG102" s="411">
        <f t="shared" si="77"/>
        <v>98.514389102192524</v>
      </c>
      <c r="AH102" s="411">
        <f t="shared" si="78"/>
        <v>170.95120367617162</v>
      </c>
      <c r="AI102" s="411">
        <f t="shared" si="79"/>
        <v>149.92905028123917</v>
      </c>
      <c r="AJ102" s="411">
        <f t="shared" si="80"/>
        <v>133.18656506221532</v>
      </c>
      <c r="AK102" s="411">
        <f t="shared" si="81"/>
        <v>98.514389102192524</v>
      </c>
      <c r="AL102" s="411">
        <f t="shared" si="57"/>
        <v>170.95120367617162</v>
      </c>
      <c r="AM102" s="411">
        <f t="shared" si="54"/>
        <v>149.92905028123917</v>
      </c>
      <c r="AN102" s="411">
        <f t="shared" si="55"/>
        <v>133.18656506221532</v>
      </c>
      <c r="AO102" s="411">
        <f t="shared" si="56"/>
        <v>98.514389102192524</v>
      </c>
      <c r="AP102" s="411">
        <f t="shared" si="82"/>
        <v>170.95120367617162</v>
      </c>
      <c r="AQ102" s="411">
        <f t="shared" si="83"/>
        <v>149.92905028123917</v>
      </c>
      <c r="AR102" s="411">
        <f t="shared" si="84"/>
        <v>133.18656506221532</v>
      </c>
      <c r="AS102" s="411">
        <f t="shared" si="85"/>
        <v>98.514389102192524</v>
      </c>
      <c r="AT102" s="227" t="str">
        <f t="shared" si="58"/>
        <v/>
      </c>
      <c r="AU102" s="227" t="str">
        <f t="shared" si="86"/>
        <v/>
      </c>
      <c r="AV102" s="227" t="str">
        <f t="shared" si="87"/>
        <v/>
      </c>
      <c r="AW102" s="227" t="str">
        <f t="shared" si="88"/>
        <v/>
      </c>
      <c r="AX102" s="227" t="str">
        <f t="shared" si="49"/>
        <v/>
      </c>
      <c r="AY102" s="311" t="str">
        <f t="shared" si="51"/>
        <v/>
      </c>
      <c r="AZ102" s="311">
        <f t="shared" si="50"/>
        <v>170.95120367617162</v>
      </c>
      <c r="BA102" s="311">
        <f t="shared" si="89"/>
        <v>149.92905028123917</v>
      </c>
      <c r="BB102" s="311">
        <f t="shared" si="97"/>
        <v>133.18656506221532</v>
      </c>
      <c r="BC102" s="311">
        <f t="shared" si="48"/>
        <v>98.514389102192524</v>
      </c>
      <c r="BD102" s="227" t="str">
        <f t="shared" si="90"/>
        <v/>
      </c>
      <c r="BE102" s="227" t="str">
        <f t="shared" si="91"/>
        <v/>
      </c>
      <c r="BF102" s="227" t="str">
        <f t="shared" si="92"/>
        <v/>
      </c>
      <c r="BG102" s="227" t="str">
        <f t="shared" si="93"/>
        <v/>
      </c>
      <c r="BH102" s="227" t="str">
        <f t="shared" si="94"/>
        <v/>
      </c>
      <c r="BI102" s="227" t="str">
        <f t="shared" si="95"/>
        <v/>
      </c>
      <c r="BJ102" s="226">
        <f t="shared" si="96"/>
        <v>241088932.38962191</v>
      </c>
      <c r="BK102" s="335"/>
      <c r="BL102" s="335"/>
      <c r="BM102" s="335"/>
      <c r="BN102" s="335"/>
    </row>
    <row r="103" spans="1:66">
      <c r="A103" s="231">
        <v>503</v>
      </c>
      <c r="B103" s="231" t="str">
        <f>VLOOKUP(A103,'201314 RC list'!A:B,2,FALSE)</f>
        <v>Gynaecological Oncology</v>
      </c>
      <c r="C103" s="231"/>
      <c r="D103" s="310" t="str">
        <f t="shared" si="65"/>
        <v>A</v>
      </c>
      <c r="E103" s="231">
        <f>IF(ISERROR(VLOOKUP(A103,Mandatory!A:A,1,FALSE)),0,1)</f>
        <v>1</v>
      </c>
      <c r="F103" s="222">
        <f>VLOOKUP(A103,'Front-loading'!A:AG,$F$6,FALSE)</f>
        <v>1878</v>
      </c>
      <c r="G103" s="222">
        <f>VLOOKUP(A103,'Front-loading'!A:AG,$G$6,FALSE)</f>
        <v>32362</v>
      </c>
      <c r="H103" s="222">
        <f>VLOOKUP(A103,'Front-loading'!A:AG,$H$6,FALSE)</f>
        <v>6496</v>
      </c>
      <c r="I103" s="222">
        <f>VLOOKUP(A103,'Front-loading'!A:AG,$I$6,FALSE)</f>
        <v>65241</v>
      </c>
      <c r="J103" s="222">
        <f>VLOOKUP(A103,'Front-loading'!A:AG,$J$6,FALSE)</f>
        <v>497129.92634405562</v>
      </c>
      <c r="K103" s="222">
        <f>VLOOKUP(A103,'Front-loading'!A:AG,$K$6,FALSE)</f>
        <v>5294125.7370239943</v>
      </c>
      <c r="L103" s="222">
        <f>VLOOKUP(A103,'Front-loading'!A:AG,$L$6,FALSE)</f>
        <v>1133817.9916818573</v>
      </c>
      <c r="M103" s="222">
        <f>VLOOKUP(A103,'Front-loading'!A:AG,$M$6,FALSE)</f>
        <v>6537346.2493038522</v>
      </c>
      <c r="N103" s="223">
        <f t="shared" si="63"/>
        <v>264.71242084348012</v>
      </c>
      <c r="O103" s="223">
        <f t="shared" si="63"/>
        <v>163.59080826351877</v>
      </c>
      <c r="P103" s="223">
        <f t="shared" si="63"/>
        <v>174.5409469953598</v>
      </c>
      <c r="Q103" s="223">
        <f t="shared" si="63"/>
        <v>100.20303565708454</v>
      </c>
      <c r="R103" s="409">
        <f t="shared" si="59"/>
        <v>264.71242084348012</v>
      </c>
      <c r="S103" s="409">
        <f t="shared" si="60"/>
        <v>163.59080826351877</v>
      </c>
      <c r="T103" s="409">
        <f t="shared" si="61"/>
        <v>174.5409469953598</v>
      </c>
      <c r="U103" s="409">
        <f t="shared" si="62"/>
        <v>100.20303565708454</v>
      </c>
      <c r="V103" s="411">
        <f t="shared" si="66"/>
        <v>264.71242084348012</v>
      </c>
      <c r="W103" s="411">
        <f t="shared" si="67"/>
        <v>163.59080826351877</v>
      </c>
      <c r="X103" s="411">
        <f t="shared" si="68"/>
        <v>174.5409469953598</v>
      </c>
      <c r="Y103" s="411">
        <f t="shared" si="69"/>
        <v>100.20303565708454</v>
      </c>
      <c r="Z103" s="411">
        <f t="shared" si="70"/>
        <v>264.71242084348012</v>
      </c>
      <c r="AA103" s="411">
        <f t="shared" si="71"/>
        <v>163.59080826351877</v>
      </c>
      <c r="AB103" s="411">
        <f t="shared" si="72"/>
        <v>174.5409469953598</v>
      </c>
      <c r="AC103" s="411">
        <f t="shared" si="73"/>
        <v>100.20303565708454</v>
      </c>
      <c r="AD103" s="411">
        <f t="shared" si="74"/>
        <v>264.71242084348012</v>
      </c>
      <c r="AE103" s="411">
        <f t="shared" si="75"/>
        <v>163.59080826351877</v>
      </c>
      <c r="AF103" s="411">
        <f t="shared" si="76"/>
        <v>174.5409469953598</v>
      </c>
      <c r="AG103" s="411">
        <f t="shared" si="77"/>
        <v>100.20303565708454</v>
      </c>
      <c r="AH103" s="411">
        <f t="shared" si="78"/>
        <v>264.71242084348012</v>
      </c>
      <c r="AI103" s="411">
        <f t="shared" si="79"/>
        <v>163.59080826351877</v>
      </c>
      <c r="AJ103" s="411">
        <f t="shared" si="80"/>
        <v>174.5409469953598</v>
      </c>
      <c r="AK103" s="411">
        <f t="shared" si="81"/>
        <v>100.20303565708454</v>
      </c>
      <c r="AL103" s="411">
        <f t="shared" si="57"/>
        <v>264.71242084348012</v>
      </c>
      <c r="AM103" s="411">
        <f t="shared" si="54"/>
        <v>163.59080826351877</v>
      </c>
      <c r="AN103" s="411">
        <f t="shared" si="55"/>
        <v>174.5409469953598</v>
      </c>
      <c r="AO103" s="411">
        <f t="shared" si="56"/>
        <v>100.20303565708454</v>
      </c>
      <c r="AP103" s="411">
        <f t="shared" si="82"/>
        <v>264.71242084348012</v>
      </c>
      <c r="AQ103" s="411">
        <f t="shared" si="83"/>
        <v>163.59080826351877</v>
      </c>
      <c r="AR103" s="411">
        <f t="shared" si="84"/>
        <v>174.5409469953598</v>
      </c>
      <c r="AS103" s="411">
        <f t="shared" si="85"/>
        <v>100.20303565708454</v>
      </c>
      <c r="AT103" s="227" t="str">
        <f t="shared" si="58"/>
        <v/>
      </c>
      <c r="AU103" s="227" t="str">
        <f t="shared" si="86"/>
        <v/>
      </c>
      <c r="AV103" s="227" t="str">
        <f t="shared" si="87"/>
        <v/>
      </c>
      <c r="AW103" s="227" t="str">
        <f t="shared" si="88"/>
        <v/>
      </c>
      <c r="AX103" s="227" t="str">
        <f t="shared" si="49"/>
        <v/>
      </c>
      <c r="AY103" s="311" t="str">
        <f t="shared" si="51"/>
        <v/>
      </c>
      <c r="AZ103" s="311">
        <f t="shared" si="50"/>
        <v>264.71242084348012</v>
      </c>
      <c r="BA103" s="311">
        <f t="shared" si="89"/>
        <v>163.59080826351877</v>
      </c>
      <c r="BB103" s="311">
        <f t="shared" si="97"/>
        <v>174.5409469953598</v>
      </c>
      <c r="BC103" s="311">
        <f t="shared" si="48"/>
        <v>100.20303565708454</v>
      </c>
      <c r="BD103" s="227" t="str">
        <f t="shared" si="90"/>
        <v/>
      </c>
      <c r="BE103" s="227" t="str">
        <f t="shared" si="91"/>
        <v/>
      </c>
      <c r="BF103" s="227" t="str">
        <f t="shared" si="92"/>
        <v/>
      </c>
      <c r="BG103" s="227" t="str">
        <f t="shared" si="93"/>
        <v/>
      </c>
      <c r="BH103" s="227" t="str">
        <f t="shared" si="94"/>
        <v/>
      </c>
      <c r="BI103" s="227" t="str">
        <f t="shared" si="95"/>
        <v/>
      </c>
      <c r="BJ103" s="226">
        <f t="shared" si="96"/>
        <v>13462419.90435376</v>
      </c>
      <c r="BK103" s="335"/>
      <c r="BL103" s="335"/>
      <c r="BM103" s="335"/>
      <c r="BN103" s="335"/>
    </row>
    <row r="104" spans="1:66">
      <c r="A104" s="231">
        <v>560</v>
      </c>
      <c r="B104" s="231" t="str">
        <f>VLOOKUP(A104,'201314 RC list'!A:B,2,FALSE)</f>
        <v>Midwife Episode</v>
      </c>
      <c r="C104" s="231"/>
      <c r="D104" s="310" t="str">
        <f t="shared" si="65"/>
        <v>A</v>
      </c>
      <c r="E104" s="231">
        <f>IF(ISERROR(VLOOKUP(A104,Mandatory!A:A,1,FALSE)),0,1)</f>
        <v>0</v>
      </c>
      <c r="F104" s="222">
        <f>VLOOKUP(A104,'Front-loading'!A:AG,$F$6,FALSE)</f>
        <v>8312</v>
      </c>
      <c r="G104" s="222">
        <f>VLOOKUP(A104,'Front-loading'!A:AG,$G$6,FALSE)</f>
        <v>483559</v>
      </c>
      <c r="H104" s="222">
        <f>VLOOKUP(A104,'Front-loading'!A:AG,$H$6,FALSE)</f>
        <v>30891</v>
      </c>
      <c r="I104" s="222">
        <f>VLOOKUP(A104,'Front-loading'!A:AG,$I$6,FALSE)</f>
        <v>1787678</v>
      </c>
      <c r="J104" s="222">
        <f>VLOOKUP(A104,'Front-loading'!A:AG,$J$6,FALSE)</f>
        <v>1015573.0875741326</v>
      </c>
      <c r="K104" s="222">
        <f>VLOOKUP(A104,'Front-loading'!A:AG,$K$6,FALSE)</f>
        <v>57250532.430708669</v>
      </c>
      <c r="L104" s="222">
        <f>VLOOKUP(A104,'Front-loading'!A:AG,$L$6,FALSE)</f>
        <v>1235218.0338091375</v>
      </c>
      <c r="M104" s="222">
        <f>VLOOKUP(A104,'Front-loading'!A:AG,$M$6,FALSE)</f>
        <v>93415813.835639194</v>
      </c>
      <c r="N104" s="223">
        <f t="shared" si="63"/>
        <v>122.18155529043943</v>
      </c>
      <c r="O104" s="223">
        <f t="shared" si="63"/>
        <v>118.39409964597633</v>
      </c>
      <c r="P104" s="223">
        <f t="shared" si="63"/>
        <v>39.986340157623175</v>
      </c>
      <c r="Q104" s="223">
        <f t="shared" si="63"/>
        <v>52.255391538990352</v>
      </c>
      <c r="R104" s="409">
        <f t="shared" si="59"/>
        <v>122.18155529043943</v>
      </c>
      <c r="S104" s="409">
        <f t="shared" si="60"/>
        <v>118.39409964597633</v>
      </c>
      <c r="T104" s="409">
        <f t="shared" si="61"/>
        <v>39.986340157623175</v>
      </c>
      <c r="U104" s="409">
        <f t="shared" si="62"/>
        <v>52.255391538990352</v>
      </c>
      <c r="V104" s="411">
        <f t="shared" si="66"/>
        <v>122.18155529043943</v>
      </c>
      <c r="W104" s="411">
        <f t="shared" si="67"/>
        <v>118.39409964597633</v>
      </c>
      <c r="X104" s="411">
        <f t="shared" si="68"/>
        <v>39.986340157623175</v>
      </c>
      <c r="Y104" s="411">
        <f t="shared" si="69"/>
        <v>52.255391538990352</v>
      </c>
      <c r="Z104" s="411">
        <f t="shared" si="70"/>
        <v>122.18155529043943</v>
      </c>
      <c r="AA104" s="411">
        <f t="shared" si="71"/>
        <v>118.39409964597633</v>
      </c>
      <c r="AB104" s="411">
        <f t="shared" si="72"/>
        <v>39.986340157623175</v>
      </c>
      <c r="AC104" s="411">
        <f t="shared" si="73"/>
        <v>52.255391538990352</v>
      </c>
      <c r="AD104" s="411">
        <f t="shared" si="74"/>
        <v>122.18155529043943</v>
      </c>
      <c r="AE104" s="411">
        <f t="shared" si="75"/>
        <v>118.39409964597633</v>
      </c>
      <c r="AF104" s="411">
        <f t="shared" si="76"/>
        <v>52.046984122927604</v>
      </c>
      <c r="AG104" s="411">
        <f t="shared" si="77"/>
        <v>52.046984122927604</v>
      </c>
      <c r="AH104" s="411">
        <f t="shared" si="78"/>
        <v>122.18155529043943</v>
      </c>
      <c r="AI104" s="411">
        <f t="shared" si="79"/>
        <v>118.39409964597633</v>
      </c>
      <c r="AJ104" s="411">
        <f t="shared" si="80"/>
        <v>52.046984122927604</v>
      </c>
      <c r="AK104" s="411">
        <f t="shared" si="81"/>
        <v>52.046984122927604</v>
      </c>
      <c r="AL104" s="411">
        <f t="shared" si="57"/>
        <v>122.18155529043943</v>
      </c>
      <c r="AM104" s="411">
        <f t="shared" si="54"/>
        <v>118.39409964597633</v>
      </c>
      <c r="AN104" s="411">
        <f t="shared" si="55"/>
        <v>52.046984122927604</v>
      </c>
      <c r="AO104" s="411">
        <f t="shared" si="56"/>
        <v>52.046984122927604</v>
      </c>
      <c r="AP104" s="411">
        <f t="shared" si="82"/>
        <v>122.18155529043943</v>
      </c>
      <c r="AQ104" s="411">
        <f t="shared" si="83"/>
        <v>118.39409964597633</v>
      </c>
      <c r="AR104" s="411">
        <f t="shared" si="84"/>
        <v>52.046984122927604</v>
      </c>
      <c r="AS104" s="411">
        <f t="shared" si="85"/>
        <v>52.046984122927604</v>
      </c>
      <c r="AT104" s="227" t="str">
        <f t="shared" si="58"/>
        <v/>
      </c>
      <c r="AU104" s="227" t="str">
        <f t="shared" si="86"/>
        <v/>
      </c>
      <c r="AV104" s="227" t="str">
        <f t="shared" si="87"/>
        <v/>
      </c>
      <c r="AW104" s="227" t="str">
        <f t="shared" si="88"/>
        <v/>
      </c>
      <c r="AX104" s="227" t="str">
        <f t="shared" si="49"/>
        <v/>
      </c>
      <c r="AY104" s="311" t="str">
        <f t="shared" si="51"/>
        <v/>
      </c>
      <c r="AZ104" s="311">
        <f t="shared" si="50"/>
        <v>122.18155529043943</v>
      </c>
      <c r="BA104" s="311">
        <f t="shared" si="89"/>
        <v>118.39409964597633</v>
      </c>
      <c r="BB104" s="311">
        <f t="shared" si="97"/>
        <v>52.046984122927604</v>
      </c>
      <c r="BC104" s="311">
        <f t="shared" si="48"/>
        <v>52.046984122927604</v>
      </c>
      <c r="BD104" s="227" t="str">
        <f t="shared" si="90"/>
        <v/>
      </c>
      <c r="BE104" s="227" t="str">
        <f t="shared" si="91"/>
        <v/>
      </c>
      <c r="BF104" s="227" t="str">
        <f t="shared" si="92"/>
        <v/>
      </c>
      <c r="BG104" s="227" t="str">
        <f t="shared" si="93"/>
        <v/>
      </c>
      <c r="BH104" s="227" t="str">
        <f t="shared" si="94"/>
        <v/>
      </c>
      <c r="BI104" s="227" t="str">
        <f t="shared" si="95"/>
        <v/>
      </c>
      <c r="BJ104" s="226">
        <f t="shared" si="96"/>
        <v>152917137.38773113</v>
      </c>
      <c r="BK104" s="335"/>
      <c r="BL104" s="335"/>
      <c r="BM104" s="335"/>
      <c r="BN104" s="335"/>
    </row>
    <row r="105" spans="1:66">
      <c r="A105" s="231">
        <v>650</v>
      </c>
      <c r="B105" s="231" t="str">
        <f>VLOOKUP(A105,'201314 RC list'!A:B,2,FALSE)</f>
        <v>Physiotherapy</v>
      </c>
      <c r="C105" s="231"/>
      <c r="D105" s="310" t="str">
        <f t="shared" si="65"/>
        <v>A</v>
      </c>
      <c r="E105" s="231">
        <f>IF(ISERROR(VLOOKUP(A105,Mandatory!A:A,1,FALSE)),0,1)</f>
        <v>0</v>
      </c>
      <c r="F105" s="222">
        <f>VLOOKUP(A105,'Front-loading'!A:AG,$F$6,FALSE)</f>
        <v>25</v>
      </c>
      <c r="G105" s="222">
        <f>VLOOKUP(A105,'Front-loading'!A:AG,$G$6,FALSE)</f>
        <v>187872</v>
      </c>
      <c r="H105" s="222">
        <f>VLOOKUP(A105,'Front-loading'!A:AG,$H$6,FALSE)</f>
        <v>42</v>
      </c>
      <c r="I105" s="222">
        <f>VLOOKUP(A105,'Front-loading'!A:AG,$I$6,FALSE)</f>
        <v>387530</v>
      </c>
      <c r="J105" s="222">
        <f>VLOOKUP(A105,'Front-loading'!A:AG,$J$6,FALSE)</f>
        <v>3921.7277145663047</v>
      </c>
      <c r="K105" s="222">
        <f>VLOOKUP(A105,'Front-loading'!A:AG,$K$6,FALSE)</f>
        <v>11665575.465245083</v>
      </c>
      <c r="L105" s="222">
        <f>VLOOKUP(A105,'Front-loading'!A:AG,$L$6,FALSE)</f>
        <v>3690.517267615211</v>
      </c>
      <c r="M105" s="222">
        <f>VLOOKUP(A105,'Front-loading'!A:AG,$M$6,FALSE)</f>
        <v>18897492.544726953</v>
      </c>
      <c r="N105" s="223">
        <f t="shared" si="63"/>
        <v>156.86910858265219</v>
      </c>
      <c r="O105" s="223">
        <f t="shared" si="63"/>
        <v>62.09320955355286</v>
      </c>
      <c r="P105" s="223">
        <f t="shared" si="63"/>
        <v>87.869458752743114</v>
      </c>
      <c r="Q105" s="223">
        <f t="shared" si="63"/>
        <v>48.763947422720697</v>
      </c>
      <c r="R105" s="409">
        <f t="shared" si="59"/>
        <v>113.61559674897784</v>
      </c>
      <c r="S105" s="409">
        <f t="shared" si="60"/>
        <v>62.09320955355286</v>
      </c>
      <c r="T105" s="409">
        <f t="shared" si="61"/>
        <v>113.61559674897784</v>
      </c>
      <c r="U105" s="409">
        <f t="shared" si="62"/>
        <v>48.763947422720697</v>
      </c>
      <c r="V105" s="411">
        <f t="shared" si="66"/>
        <v>113.61559674897784</v>
      </c>
      <c r="W105" s="411">
        <f t="shared" si="67"/>
        <v>62.09320955355286</v>
      </c>
      <c r="X105" s="411">
        <f t="shared" si="68"/>
        <v>113.61559674897784</v>
      </c>
      <c r="Y105" s="411">
        <f t="shared" si="69"/>
        <v>48.763947422720697</v>
      </c>
      <c r="Z105" s="411">
        <f t="shared" si="70"/>
        <v>113.61559674897784</v>
      </c>
      <c r="AA105" s="411">
        <f t="shared" si="71"/>
        <v>62.09320955355286</v>
      </c>
      <c r="AB105" s="411">
        <f t="shared" si="72"/>
        <v>113.61559674897784</v>
      </c>
      <c r="AC105" s="411">
        <f t="shared" si="73"/>
        <v>48.763947422720697</v>
      </c>
      <c r="AD105" s="411">
        <f t="shared" si="74"/>
        <v>113.61559674897784</v>
      </c>
      <c r="AE105" s="411">
        <f t="shared" si="75"/>
        <v>62.09320955355286</v>
      </c>
      <c r="AF105" s="411">
        <f t="shared" si="76"/>
        <v>113.61559674897784</v>
      </c>
      <c r="AG105" s="411">
        <f t="shared" si="77"/>
        <v>48.763947422720697</v>
      </c>
      <c r="AH105" s="411">
        <f t="shared" si="78"/>
        <v>113.61559674897784</v>
      </c>
      <c r="AI105" s="411">
        <f t="shared" si="79"/>
        <v>62.09320955355286</v>
      </c>
      <c r="AJ105" s="411">
        <f t="shared" si="80"/>
        <v>97.531381218379167</v>
      </c>
      <c r="AK105" s="411">
        <f t="shared" si="81"/>
        <v>48.765690609189583</v>
      </c>
      <c r="AL105" s="411">
        <f t="shared" si="57"/>
        <v>113.61559674897784</v>
      </c>
      <c r="AM105" s="411">
        <f t="shared" si="54"/>
        <v>62.09320955355286</v>
      </c>
      <c r="AN105" s="411">
        <f t="shared" si="55"/>
        <v>97.531381218379167</v>
      </c>
      <c r="AO105" s="411">
        <f t="shared" si="56"/>
        <v>48.765690609189583</v>
      </c>
      <c r="AP105" s="411">
        <f t="shared" si="82"/>
        <v>113.61559674897784</v>
      </c>
      <c r="AQ105" s="411">
        <f t="shared" si="83"/>
        <v>62.09320955355286</v>
      </c>
      <c r="AR105" s="411">
        <f t="shared" si="84"/>
        <v>97.531381218379167</v>
      </c>
      <c r="AS105" s="411">
        <f t="shared" si="85"/>
        <v>48.765690609189583</v>
      </c>
      <c r="AT105" s="227" t="str">
        <f t="shared" si="58"/>
        <v/>
      </c>
      <c r="AU105" s="227" t="str">
        <f t="shared" si="86"/>
        <v/>
      </c>
      <c r="AV105" s="227" t="str">
        <f t="shared" si="87"/>
        <v/>
      </c>
      <c r="AW105" s="227" t="str">
        <f t="shared" si="88"/>
        <v/>
      </c>
      <c r="AX105" s="227" t="str">
        <f t="shared" si="49"/>
        <v/>
      </c>
      <c r="AY105" s="311" t="str">
        <f t="shared" si="51"/>
        <v/>
      </c>
      <c r="AZ105" s="311">
        <f t="shared" si="50"/>
        <v>113.61559674897784</v>
      </c>
      <c r="BA105" s="311">
        <f t="shared" si="89"/>
        <v>62.09320955355286</v>
      </c>
      <c r="BB105" s="311">
        <f t="shared" si="97"/>
        <v>97.531381218379167</v>
      </c>
      <c r="BC105" s="311">
        <f t="shared" si="48"/>
        <v>48.765690609189583</v>
      </c>
      <c r="BD105" s="227" t="str">
        <f t="shared" si="90"/>
        <v/>
      </c>
      <c r="BE105" s="227" t="str">
        <f t="shared" si="91"/>
        <v/>
      </c>
      <c r="BF105" s="227" t="str">
        <f t="shared" si="92"/>
        <v/>
      </c>
      <c r="BG105" s="227" t="str">
        <f t="shared" si="93"/>
        <v/>
      </c>
      <c r="BH105" s="227" t="str">
        <f t="shared" si="94"/>
        <v/>
      </c>
      <c r="BI105" s="227" t="str">
        <f t="shared" si="95"/>
        <v/>
      </c>
      <c r="BJ105" s="226">
        <f t="shared" si="96"/>
        <v>30570680.254954219</v>
      </c>
      <c r="BK105" s="335"/>
      <c r="BL105" s="335"/>
      <c r="BM105" s="335"/>
      <c r="BN105" s="335"/>
    </row>
    <row r="106" spans="1:66">
      <c r="A106" s="231">
        <v>651</v>
      </c>
      <c r="B106" s="231" t="str">
        <f>VLOOKUP(A106,'201314 RC list'!A:B,2,FALSE)</f>
        <v>Occupational Therapy</v>
      </c>
      <c r="C106" s="231"/>
      <c r="D106" s="310" t="str">
        <f t="shared" si="65"/>
        <v>A</v>
      </c>
      <c r="E106" s="231">
        <f>IF(ISERROR(VLOOKUP(A106,Mandatory!A:A,1,FALSE)),0,1)</f>
        <v>0</v>
      </c>
      <c r="F106" s="222">
        <f>VLOOKUP(A106,'Front-loading'!A:AG,$F$6,FALSE)</f>
        <v>4</v>
      </c>
      <c r="G106" s="222">
        <f>VLOOKUP(A106,'Front-loading'!A:AG,$G$6,FALSE)</f>
        <v>17733</v>
      </c>
      <c r="H106" s="222">
        <f>VLOOKUP(A106,'Front-loading'!A:AG,$H$6,FALSE)</f>
        <v>22</v>
      </c>
      <c r="I106" s="222">
        <f>VLOOKUP(A106,'Front-loading'!A:AG,$I$6,FALSE)</f>
        <v>38774</v>
      </c>
      <c r="J106" s="222">
        <f>VLOOKUP(A106,'Front-loading'!A:AG,$J$6,FALSE)</f>
        <v>497.74912340541567</v>
      </c>
      <c r="K106" s="222">
        <f>VLOOKUP(A106,'Front-loading'!A:AG,$K$6,FALSE)</f>
        <v>1301234.3825391994</v>
      </c>
      <c r="L106" s="222">
        <f>VLOOKUP(A106,'Front-loading'!A:AG,$L$6,FALSE)</f>
        <v>1063.2462917872629</v>
      </c>
      <c r="M106" s="222">
        <f>VLOOKUP(A106,'Front-loading'!A:AG,$M$6,FALSE)</f>
        <v>2091587.7100139651</v>
      </c>
      <c r="N106" s="223">
        <f t="shared" si="63"/>
        <v>124.43728085135392</v>
      </c>
      <c r="O106" s="223">
        <f t="shared" si="63"/>
        <v>73.379258023977869</v>
      </c>
      <c r="P106" s="223">
        <f t="shared" si="63"/>
        <v>48.329376899421042</v>
      </c>
      <c r="Q106" s="223">
        <f t="shared" si="63"/>
        <v>53.943047145354235</v>
      </c>
      <c r="R106" s="409">
        <f t="shared" si="59"/>
        <v>60.038285199718409</v>
      </c>
      <c r="S106" s="409">
        <f t="shared" si="60"/>
        <v>73.379258023977869</v>
      </c>
      <c r="T106" s="409">
        <f t="shared" si="61"/>
        <v>60.038285199718409</v>
      </c>
      <c r="U106" s="409">
        <f t="shared" si="62"/>
        <v>53.943047145354235</v>
      </c>
      <c r="V106" s="411">
        <f t="shared" si="66"/>
        <v>60.038285199718409</v>
      </c>
      <c r="W106" s="411">
        <f t="shared" si="67"/>
        <v>73.379258023977869</v>
      </c>
      <c r="X106" s="411">
        <f t="shared" si="68"/>
        <v>60.038285199718409</v>
      </c>
      <c r="Y106" s="411">
        <f t="shared" si="69"/>
        <v>53.943047145354235</v>
      </c>
      <c r="Z106" s="411">
        <f t="shared" si="70"/>
        <v>60.038285199718409</v>
      </c>
      <c r="AA106" s="411">
        <f t="shared" si="71"/>
        <v>73.379258023977869</v>
      </c>
      <c r="AB106" s="411">
        <f t="shared" si="72"/>
        <v>60.038285199718409</v>
      </c>
      <c r="AC106" s="411">
        <f t="shared" si="73"/>
        <v>53.943047145354235</v>
      </c>
      <c r="AD106" s="411">
        <f t="shared" si="74"/>
        <v>73.376249404070492</v>
      </c>
      <c r="AE106" s="411">
        <f t="shared" si="75"/>
        <v>73.376249404070492</v>
      </c>
      <c r="AF106" s="411">
        <f t="shared" si="76"/>
        <v>60.038285199718409</v>
      </c>
      <c r="AG106" s="411">
        <f t="shared" si="77"/>
        <v>53.943047145354235</v>
      </c>
      <c r="AH106" s="411">
        <f t="shared" si="78"/>
        <v>73.376249404070492</v>
      </c>
      <c r="AI106" s="411">
        <f t="shared" si="79"/>
        <v>73.376249404070492</v>
      </c>
      <c r="AJ106" s="411">
        <f t="shared" si="80"/>
        <v>60.038285199718409</v>
      </c>
      <c r="AK106" s="411">
        <f t="shared" si="81"/>
        <v>53.943047145354235</v>
      </c>
      <c r="AL106" s="411">
        <f t="shared" si="57"/>
        <v>73.376249404070492</v>
      </c>
      <c r="AM106" s="411">
        <f t="shared" si="54"/>
        <v>73.376249404070492</v>
      </c>
      <c r="AN106" s="411">
        <f t="shared" si="55"/>
        <v>60.038285199718409</v>
      </c>
      <c r="AO106" s="411">
        <f t="shared" si="56"/>
        <v>53.943047145354235</v>
      </c>
      <c r="AP106" s="411">
        <f t="shared" si="82"/>
        <v>73.376249404070492</v>
      </c>
      <c r="AQ106" s="411">
        <f t="shared" si="83"/>
        <v>73.376249404070492</v>
      </c>
      <c r="AR106" s="411">
        <f t="shared" si="84"/>
        <v>60.038285199718409</v>
      </c>
      <c r="AS106" s="411">
        <f t="shared" si="85"/>
        <v>53.943047145354235</v>
      </c>
      <c r="AT106" s="227" t="str">
        <f t="shared" si="58"/>
        <v/>
      </c>
      <c r="AU106" s="227" t="str">
        <f t="shared" si="86"/>
        <v/>
      </c>
      <c r="AV106" s="227" t="str">
        <f t="shared" si="87"/>
        <v/>
      </c>
      <c r="AW106" s="227" t="str">
        <f t="shared" si="88"/>
        <v/>
      </c>
      <c r="AX106" s="227" t="str">
        <f t="shared" si="49"/>
        <v/>
      </c>
      <c r="AY106" s="311" t="str">
        <f t="shared" si="51"/>
        <v/>
      </c>
      <c r="AZ106" s="311">
        <f t="shared" si="50"/>
        <v>73.376249404070492</v>
      </c>
      <c r="BA106" s="311">
        <f t="shared" si="89"/>
        <v>73.376249404070492</v>
      </c>
      <c r="BB106" s="311">
        <f t="shared" si="97"/>
        <v>60.038285199718409</v>
      </c>
      <c r="BC106" s="311">
        <f t="shared" si="48"/>
        <v>53.943047145354235</v>
      </c>
      <c r="BD106" s="227" t="str">
        <f t="shared" si="90"/>
        <v/>
      </c>
      <c r="BE106" s="227" t="str">
        <f t="shared" si="91"/>
        <v/>
      </c>
      <c r="BF106" s="227" t="str">
        <f t="shared" si="92"/>
        <v/>
      </c>
      <c r="BG106" s="227" t="str">
        <f t="shared" si="93"/>
        <v/>
      </c>
      <c r="BH106" s="227" t="str">
        <f t="shared" si="94"/>
        <v/>
      </c>
      <c r="BI106" s="227" t="str">
        <f t="shared" si="95"/>
        <v/>
      </c>
      <c r="BJ106" s="226">
        <f t="shared" si="96"/>
        <v>3394383.0879683569</v>
      </c>
      <c r="BK106" s="335"/>
      <c r="BL106" s="335"/>
      <c r="BM106" s="335"/>
      <c r="BN106" s="335"/>
    </row>
    <row r="107" spans="1:66">
      <c r="A107" s="231">
        <v>652</v>
      </c>
      <c r="B107" s="231" t="str">
        <f>VLOOKUP(A107,'201314 RC list'!A:B,2,FALSE)</f>
        <v>Speech and Language Therapy</v>
      </c>
      <c r="C107" s="231"/>
      <c r="D107" s="310" t="str">
        <f t="shared" si="65"/>
        <v>A</v>
      </c>
      <c r="E107" s="231">
        <f>IF(ISERROR(VLOOKUP(A107,Mandatory!A:A,1,FALSE)),0,1)</f>
        <v>0</v>
      </c>
      <c r="F107" s="222">
        <f>VLOOKUP(A107,'Front-loading'!A:AG,$F$6,FALSE)</f>
        <v>2</v>
      </c>
      <c r="G107" s="222">
        <f>VLOOKUP(A107,'Front-loading'!A:AG,$G$6,FALSE)</f>
        <v>8698</v>
      </c>
      <c r="H107" s="222">
        <f>VLOOKUP(A107,'Front-loading'!A:AG,$H$6,FALSE)</f>
        <v>8</v>
      </c>
      <c r="I107" s="222">
        <f>VLOOKUP(A107,'Front-loading'!A:AG,$I$6,FALSE)</f>
        <v>5231</v>
      </c>
      <c r="J107" s="222">
        <f>VLOOKUP(A107,'Front-loading'!A:AG,$J$6,FALSE)</f>
        <v>275.43753408234966</v>
      </c>
      <c r="K107" s="222">
        <f>VLOOKUP(A107,'Front-loading'!A:AG,$K$6,FALSE)</f>
        <v>595968.78699200193</v>
      </c>
      <c r="L107" s="222">
        <f>VLOOKUP(A107,'Front-loading'!A:AG,$L$6,FALSE)</f>
        <v>817.08005920518258</v>
      </c>
      <c r="M107" s="222">
        <f>VLOOKUP(A107,'Front-loading'!A:AG,$M$6,FALSE)</f>
        <v>891776.28952815675</v>
      </c>
      <c r="N107" s="223">
        <f t="shared" si="63"/>
        <v>137.71876704117483</v>
      </c>
      <c r="O107" s="223">
        <f t="shared" si="63"/>
        <v>68.517910668199804</v>
      </c>
      <c r="P107" s="223">
        <f t="shared" si="63"/>
        <v>102.13500740064782</v>
      </c>
      <c r="Q107" s="223">
        <f t="shared" si="63"/>
        <v>170.47912244851017</v>
      </c>
      <c r="R107" s="409">
        <f t="shared" si="59"/>
        <v>109.25175932875322</v>
      </c>
      <c r="S107" s="409">
        <f t="shared" si="60"/>
        <v>68.517910668199804</v>
      </c>
      <c r="T107" s="409">
        <f t="shared" si="61"/>
        <v>109.25175932875322</v>
      </c>
      <c r="U107" s="409">
        <f t="shared" si="62"/>
        <v>170.47912244851017</v>
      </c>
      <c r="V107" s="411">
        <f t="shared" si="66"/>
        <v>109.25175932875322</v>
      </c>
      <c r="W107" s="411">
        <f t="shared" si="67"/>
        <v>68.517910668199804</v>
      </c>
      <c r="X107" s="411">
        <f t="shared" si="68"/>
        <v>109.25175932875322</v>
      </c>
      <c r="Y107" s="411">
        <f t="shared" si="69"/>
        <v>170.47912244851017</v>
      </c>
      <c r="Z107" s="411">
        <f t="shared" si="70"/>
        <v>109.25175932875322</v>
      </c>
      <c r="AA107" s="411">
        <f t="shared" si="71"/>
        <v>106.80918059589048</v>
      </c>
      <c r="AB107" s="411">
        <f t="shared" si="72"/>
        <v>109.25175932875322</v>
      </c>
      <c r="AC107" s="411">
        <f t="shared" si="73"/>
        <v>106.80918059589048</v>
      </c>
      <c r="AD107" s="411">
        <f t="shared" si="74"/>
        <v>109.25175932875322</v>
      </c>
      <c r="AE107" s="411">
        <f t="shared" si="75"/>
        <v>106.80918059589048</v>
      </c>
      <c r="AF107" s="411">
        <f t="shared" si="76"/>
        <v>109.25175932875322</v>
      </c>
      <c r="AG107" s="411">
        <f t="shared" si="77"/>
        <v>106.80918059589048</v>
      </c>
      <c r="AH107" s="411">
        <f t="shared" si="78"/>
        <v>109.25175932875322</v>
      </c>
      <c r="AI107" s="411">
        <f t="shared" si="79"/>
        <v>106.80918059589048</v>
      </c>
      <c r="AJ107" s="411">
        <f t="shared" si="80"/>
        <v>109.25175932875322</v>
      </c>
      <c r="AK107" s="411">
        <f t="shared" si="81"/>
        <v>106.80918059589048</v>
      </c>
      <c r="AL107" s="411">
        <f t="shared" si="57"/>
        <v>109.25175932875322</v>
      </c>
      <c r="AM107" s="411">
        <f t="shared" si="54"/>
        <v>106.80918059589048</v>
      </c>
      <c r="AN107" s="411">
        <f t="shared" si="55"/>
        <v>109.25175932875322</v>
      </c>
      <c r="AO107" s="411">
        <f t="shared" si="56"/>
        <v>106.80918059589048</v>
      </c>
      <c r="AP107" s="411">
        <f t="shared" si="82"/>
        <v>109.25175932875322</v>
      </c>
      <c r="AQ107" s="411">
        <f t="shared" si="83"/>
        <v>106.80918059589048</v>
      </c>
      <c r="AR107" s="411">
        <f t="shared" si="84"/>
        <v>109.25175932875322</v>
      </c>
      <c r="AS107" s="411">
        <f t="shared" si="85"/>
        <v>106.80918059589048</v>
      </c>
      <c r="AT107" s="227" t="str">
        <f>IF(AP107&lt;AR107,IFERROR(((AP107*F107)+(AR107*H107))/(F107+H107),AP107),"")</f>
        <v/>
      </c>
      <c r="AU107" s="227" t="str">
        <f t="shared" si="86"/>
        <v/>
      </c>
      <c r="AV107" s="227" t="str">
        <f t="shared" si="87"/>
        <v/>
      </c>
      <c r="AW107" s="227" t="str">
        <f t="shared" si="88"/>
        <v/>
      </c>
      <c r="AX107" s="227" t="str">
        <f t="shared" si="49"/>
        <v/>
      </c>
      <c r="AY107" s="311" t="str">
        <f t="shared" si="51"/>
        <v/>
      </c>
      <c r="AZ107" s="311">
        <f t="shared" si="50"/>
        <v>109.25175932875322</v>
      </c>
      <c r="BA107" s="311">
        <f t="shared" si="89"/>
        <v>106.80918059589048</v>
      </c>
      <c r="BB107" s="311">
        <f t="shared" si="97"/>
        <v>109.25175932875322</v>
      </c>
      <c r="BC107" s="311">
        <f t="shared" si="48"/>
        <v>106.80918059589048</v>
      </c>
      <c r="BD107" s="227" t="str">
        <f t="shared" si="90"/>
        <v/>
      </c>
      <c r="BE107" s="227" t="str">
        <f t="shared" si="91"/>
        <v/>
      </c>
      <c r="BF107" s="227" t="str">
        <f t="shared" si="92"/>
        <v/>
      </c>
      <c r="BG107" s="227" t="str">
        <f t="shared" si="93"/>
        <v/>
      </c>
      <c r="BH107" s="227" t="str">
        <f t="shared" si="94"/>
        <v/>
      </c>
      <c r="BI107" s="227" t="str">
        <f t="shared" si="95"/>
        <v/>
      </c>
      <c r="BJ107" s="226">
        <f t="shared" si="96"/>
        <v>1488837.5941134458</v>
      </c>
      <c r="BK107" s="335"/>
      <c r="BL107" s="335"/>
      <c r="BM107" s="335"/>
      <c r="BN107" s="335"/>
    </row>
    <row r="108" spans="1:66">
      <c r="A108" s="231">
        <v>653</v>
      </c>
      <c r="B108" s="231" t="str">
        <f>VLOOKUP(A108,'201314 RC list'!A:B,2,FALSE)</f>
        <v>Podiatry</v>
      </c>
      <c r="C108" s="231"/>
      <c r="D108" s="310" t="str">
        <f t="shared" si="65"/>
        <v>A</v>
      </c>
      <c r="E108" s="231">
        <f>IF(ISERROR(VLOOKUP(A108,Mandatory!A:A,1,FALSE)),0,1)</f>
        <v>0</v>
      </c>
      <c r="F108" s="222">
        <f>VLOOKUP(A108,'Front-loading'!A:AG,$F$6,FALSE)</f>
        <v>75</v>
      </c>
      <c r="G108" s="222">
        <f>VLOOKUP(A108,'Front-loading'!A:AG,$G$6,FALSE)</f>
        <v>89743</v>
      </c>
      <c r="H108" s="222">
        <f>VLOOKUP(A108,'Front-loading'!A:AG,$H$6,FALSE)</f>
        <v>3036</v>
      </c>
      <c r="I108" s="222">
        <f>VLOOKUP(A108,'Front-loading'!A:AG,$I$6,FALSE)</f>
        <v>188418</v>
      </c>
      <c r="J108" s="222">
        <f>VLOOKUP(A108,'Front-loading'!A:AG,$J$6,FALSE)</f>
        <v>12109.737686076191</v>
      </c>
      <c r="K108" s="222">
        <f>VLOOKUP(A108,'Front-loading'!A:AG,$K$6,FALSE)</f>
        <v>5059796.8967014803</v>
      </c>
      <c r="L108" s="222">
        <f>VLOOKUP(A108,'Front-loading'!A:AG,$L$6,FALSE)</f>
        <v>239024.60341074422</v>
      </c>
      <c r="M108" s="222">
        <f>VLOOKUP(A108,'Front-loading'!A:AG,$M$6,FALSE)</f>
        <v>7502654.2600777736</v>
      </c>
      <c r="N108" s="223">
        <f t="shared" si="63"/>
        <v>161.46316914768255</v>
      </c>
      <c r="O108" s="223">
        <f t="shared" si="63"/>
        <v>56.380964495297462</v>
      </c>
      <c r="P108" s="223">
        <f t="shared" si="63"/>
        <v>78.730106525278075</v>
      </c>
      <c r="Q108" s="223">
        <f t="shared" si="63"/>
        <v>39.819201244455272</v>
      </c>
      <c r="R108" s="409">
        <f t="shared" si="59"/>
        <v>161.46316914768255</v>
      </c>
      <c r="S108" s="409">
        <f t="shared" si="60"/>
        <v>56.380964495297462</v>
      </c>
      <c r="T108" s="409">
        <f t="shared" si="61"/>
        <v>78.730106525278075</v>
      </c>
      <c r="U108" s="409">
        <f t="shared" si="62"/>
        <v>39.819201244455272</v>
      </c>
      <c r="V108" s="411">
        <f t="shared" si="66"/>
        <v>161.46316914768255</v>
      </c>
      <c r="W108" s="411">
        <f t="shared" si="67"/>
        <v>56.380964495297462</v>
      </c>
      <c r="X108" s="411">
        <f t="shared" si="68"/>
        <v>78.730106525278075</v>
      </c>
      <c r="Y108" s="411">
        <f t="shared" si="69"/>
        <v>39.819201244455272</v>
      </c>
      <c r="Z108" s="411">
        <f t="shared" si="70"/>
        <v>161.46316914768255</v>
      </c>
      <c r="AA108" s="411">
        <f t="shared" si="71"/>
        <v>56.380964495297462</v>
      </c>
      <c r="AB108" s="411">
        <f t="shared" si="72"/>
        <v>78.730106525278075</v>
      </c>
      <c r="AC108" s="411">
        <f t="shared" si="73"/>
        <v>39.819201244455272</v>
      </c>
      <c r="AD108" s="411">
        <f t="shared" si="74"/>
        <v>161.46316914768255</v>
      </c>
      <c r="AE108" s="411">
        <f t="shared" si="75"/>
        <v>56.380964495297462</v>
      </c>
      <c r="AF108" s="411">
        <f t="shared" si="76"/>
        <v>78.730106525278075</v>
      </c>
      <c r="AG108" s="411">
        <f t="shared" si="77"/>
        <v>39.819201244455272</v>
      </c>
      <c r="AH108" s="411">
        <f t="shared" si="78"/>
        <v>112.84319433966063</v>
      </c>
      <c r="AI108" s="411">
        <f t="shared" si="79"/>
        <v>56.421597169830314</v>
      </c>
      <c r="AJ108" s="411">
        <f t="shared" si="80"/>
        <v>78.730106525278075</v>
      </c>
      <c r="AK108" s="411">
        <f t="shared" si="81"/>
        <v>39.819201244455272</v>
      </c>
      <c r="AL108" s="411">
        <f t="shared" si="57"/>
        <v>112.84319433966063</v>
      </c>
      <c r="AM108" s="411">
        <f t="shared" si="54"/>
        <v>56.421597169830314</v>
      </c>
      <c r="AN108" s="411">
        <f t="shared" si="55"/>
        <v>78.730106525278075</v>
      </c>
      <c r="AO108" s="411">
        <f t="shared" si="56"/>
        <v>39.819201244455272</v>
      </c>
      <c r="AP108" s="411">
        <f t="shared" si="82"/>
        <v>112.84319433966063</v>
      </c>
      <c r="AQ108" s="411">
        <f t="shared" si="83"/>
        <v>56.421597169830314</v>
      </c>
      <c r="AR108" s="411">
        <f t="shared" si="84"/>
        <v>78.730106525278075</v>
      </c>
      <c r="AS108" s="411">
        <f t="shared" si="85"/>
        <v>39.819201244455272</v>
      </c>
      <c r="AT108" s="227" t="str">
        <f t="shared" ref="AT108:AT145" si="132">IF(AP108&lt;AR108,IFERROR(((AP108*F108)+(AR108*H108))/(F108+H108),AP108),"")</f>
        <v/>
      </c>
      <c r="AU108" s="227" t="str">
        <f t="shared" si="86"/>
        <v/>
      </c>
      <c r="AV108" s="227" t="str">
        <f t="shared" si="87"/>
        <v/>
      </c>
      <c r="AW108" s="227" t="str">
        <f t="shared" si="88"/>
        <v/>
      </c>
      <c r="AX108" s="227" t="str">
        <f t="shared" si="49"/>
        <v/>
      </c>
      <c r="AY108" s="311" t="str">
        <f t="shared" si="51"/>
        <v/>
      </c>
      <c r="AZ108" s="311">
        <f t="shared" si="50"/>
        <v>112.84319433966063</v>
      </c>
      <c r="BA108" s="311">
        <f t="shared" si="89"/>
        <v>56.421597169830314</v>
      </c>
      <c r="BB108" s="311">
        <f t="shared" si="97"/>
        <v>78.730106525278075</v>
      </c>
      <c r="BC108" s="311">
        <f t="shared" si="48"/>
        <v>39.819201244455272</v>
      </c>
      <c r="BD108" s="227" t="str">
        <f t="shared" si="90"/>
        <v/>
      </c>
      <c r="BE108" s="227" t="str">
        <f t="shared" si="91"/>
        <v/>
      </c>
      <c r="BF108" s="227" t="str">
        <f t="shared" si="92"/>
        <v/>
      </c>
      <c r="BG108" s="227" t="str">
        <f t="shared" si="93"/>
        <v/>
      </c>
      <c r="BH108" s="227" t="str">
        <f t="shared" si="94"/>
        <v/>
      </c>
      <c r="BI108" s="227" t="str">
        <f t="shared" si="95"/>
        <v/>
      </c>
      <c r="BJ108" s="226">
        <f t="shared" si="96"/>
        <v>12813585.497876074</v>
      </c>
      <c r="BK108" s="335"/>
      <c r="BL108" s="335"/>
      <c r="BM108" s="335"/>
      <c r="BN108" s="335"/>
    </row>
    <row r="109" spans="1:66">
      <c r="A109" s="231">
        <v>654</v>
      </c>
      <c r="B109" s="231" t="str">
        <f>VLOOKUP(A109,'201314 RC list'!A:B,2,FALSE)</f>
        <v>Dietetics</v>
      </c>
      <c r="C109" s="231"/>
      <c r="D109" s="310" t="str">
        <f t="shared" si="65"/>
        <v>A</v>
      </c>
      <c r="E109" s="231">
        <f>IF(ISERROR(VLOOKUP(A109,Mandatory!A:A,1,FALSE)),0,1)</f>
        <v>0</v>
      </c>
      <c r="F109" s="222">
        <f>VLOOKUP(A109,'Front-loading'!A:AG,$F$6,FALSE)</f>
        <v>30</v>
      </c>
      <c r="G109" s="222">
        <f>VLOOKUP(A109,'Front-loading'!A:AG,$G$6,FALSE)</f>
        <v>21183</v>
      </c>
      <c r="H109" s="222">
        <f>VLOOKUP(A109,'Front-loading'!A:AG,$H$6,FALSE)</f>
        <v>20</v>
      </c>
      <c r="I109" s="222">
        <f>VLOOKUP(A109,'Front-loading'!A:AG,$I$6,FALSE)</f>
        <v>24207</v>
      </c>
      <c r="J109" s="222">
        <f>VLOOKUP(A109,'Front-loading'!A:AG,$J$6,FALSE)</f>
        <v>2938.0772563616451</v>
      </c>
      <c r="K109" s="222">
        <f>VLOOKUP(A109,'Front-loading'!A:AG,$K$6,FALSE)</f>
        <v>1843019.6918038232</v>
      </c>
      <c r="L109" s="222">
        <f>VLOOKUP(A109,'Front-loading'!A:AG,$L$6,FALSE)</f>
        <v>1566.8142998471444</v>
      </c>
      <c r="M109" s="222">
        <f>VLOOKUP(A109,'Front-loading'!A:AG,$M$6,FALSE)</f>
        <v>1534653.3106296051</v>
      </c>
      <c r="N109" s="223">
        <f t="shared" si="63"/>
        <v>97.935908545388173</v>
      </c>
      <c r="O109" s="223">
        <f t="shared" si="63"/>
        <v>87.004659009763643</v>
      </c>
      <c r="P109" s="223">
        <f t="shared" si="63"/>
        <v>78.340714992357221</v>
      </c>
      <c r="Q109" s="223">
        <f t="shared" si="63"/>
        <v>63.397088058396541</v>
      </c>
      <c r="R109" s="409">
        <f t="shared" si="59"/>
        <v>90.097831124175798</v>
      </c>
      <c r="S109" s="409">
        <f t="shared" si="60"/>
        <v>87.004659009763643</v>
      </c>
      <c r="T109" s="409">
        <f t="shared" si="61"/>
        <v>90.097831124175798</v>
      </c>
      <c r="U109" s="409">
        <f t="shared" si="62"/>
        <v>63.397088058396541</v>
      </c>
      <c r="V109" s="411">
        <f t="shared" si="66"/>
        <v>90.097831124175798</v>
      </c>
      <c r="W109" s="411">
        <f t="shared" si="67"/>
        <v>87.004659009763643</v>
      </c>
      <c r="X109" s="411">
        <f t="shared" si="68"/>
        <v>90.097831124175798</v>
      </c>
      <c r="Y109" s="411">
        <f t="shared" si="69"/>
        <v>63.397088058396541</v>
      </c>
      <c r="Z109" s="411">
        <f t="shared" si="70"/>
        <v>90.097831124175798</v>
      </c>
      <c r="AA109" s="411">
        <f t="shared" si="71"/>
        <v>87.004659009763643</v>
      </c>
      <c r="AB109" s="411">
        <f t="shared" si="72"/>
        <v>90.097831124175798</v>
      </c>
      <c r="AC109" s="411">
        <f t="shared" si="73"/>
        <v>63.397088058396541</v>
      </c>
      <c r="AD109" s="411">
        <f t="shared" si="74"/>
        <v>90.097831124175798</v>
      </c>
      <c r="AE109" s="411">
        <f t="shared" si="75"/>
        <v>87.004659009763643</v>
      </c>
      <c r="AF109" s="411">
        <f t="shared" si="76"/>
        <v>90.097831124175798</v>
      </c>
      <c r="AG109" s="411">
        <f t="shared" si="77"/>
        <v>63.397088058396541</v>
      </c>
      <c r="AH109" s="411">
        <f t="shared" si="78"/>
        <v>90.097831124175798</v>
      </c>
      <c r="AI109" s="411">
        <f t="shared" si="79"/>
        <v>87.004659009763643</v>
      </c>
      <c r="AJ109" s="411">
        <f t="shared" si="80"/>
        <v>90.097831124175798</v>
      </c>
      <c r="AK109" s="411">
        <f t="shared" si="81"/>
        <v>63.397088058396541</v>
      </c>
      <c r="AL109" s="411">
        <f t="shared" si="57"/>
        <v>90.097831124175798</v>
      </c>
      <c r="AM109" s="411">
        <f t="shared" si="54"/>
        <v>87.004659009763643</v>
      </c>
      <c r="AN109" s="411">
        <f t="shared" si="55"/>
        <v>90.097831124175798</v>
      </c>
      <c r="AO109" s="411">
        <f t="shared" si="56"/>
        <v>63.397088058396541</v>
      </c>
      <c r="AP109" s="411">
        <f t="shared" si="82"/>
        <v>90.097831124175798</v>
      </c>
      <c r="AQ109" s="411">
        <f t="shared" si="83"/>
        <v>87.004659009763643</v>
      </c>
      <c r="AR109" s="411">
        <f t="shared" si="84"/>
        <v>90.097831124175798</v>
      </c>
      <c r="AS109" s="411">
        <f t="shared" si="85"/>
        <v>63.397088058396541</v>
      </c>
      <c r="AT109" s="227" t="str">
        <f t="shared" si="132"/>
        <v/>
      </c>
      <c r="AU109" s="227" t="str">
        <f t="shared" si="86"/>
        <v/>
      </c>
      <c r="AV109" s="227" t="str">
        <f t="shared" si="87"/>
        <v/>
      </c>
      <c r="AW109" s="227" t="str">
        <f t="shared" si="88"/>
        <v/>
      </c>
      <c r="AX109" s="227" t="str">
        <f t="shared" si="49"/>
        <v/>
      </c>
      <c r="AY109" s="311" t="str">
        <f t="shared" si="51"/>
        <v/>
      </c>
      <c r="AZ109" s="311">
        <f t="shared" si="50"/>
        <v>90.097831124175798</v>
      </c>
      <c r="BA109" s="311">
        <f t="shared" si="89"/>
        <v>87.004659009763643</v>
      </c>
      <c r="BB109" s="311">
        <f t="shared" si="97"/>
        <v>90.097831124175798</v>
      </c>
      <c r="BC109" s="311">
        <f t="shared" ref="BC109:BC119" si="133">IF(AU109="",AS109,AU109)</f>
        <v>63.397088058396541</v>
      </c>
      <c r="BD109" s="227" t="str">
        <f t="shared" si="90"/>
        <v/>
      </c>
      <c r="BE109" s="227" t="str">
        <f t="shared" si="91"/>
        <v/>
      </c>
      <c r="BF109" s="227" t="str">
        <f t="shared" si="92"/>
        <v/>
      </c>
      <c r="BG109" s="227" t="str">
        <f t="shared" si="93"/>
        <v/>
      </c>
      <c r="BH109" s="227" t="str">
        <f t="shared" si="94"/>
        <v/>
      </c>
      <c r="BI109" s="227" t="str">
        <f t="shared" si="95"/>
        <v/>
      </c>
      <c r="BJ109" s="226">
        <f t="shared" si="96"/>
        <v>3382177.893989637</v>
      </c>
      <c r="BK109" s="335"/>
      <c r="BL109" s="335"/>
      <c r="BM109" s="335"/>
      <c r="BN109" s="335"/>
    </row>
    <row r="110" spans="1:66">
      <c r="A110" s="231">
        <v>655</v>
      </c>
      <c r="B110" s="231" t="str">
        <f>VLOOKUP(A110,'201314 RC list'!A:B,2,FALSE)</f>
        <v>Orthoptics</v>
      </c>
      <c r="C110" s="231"/>
      <c r="D110" s="310" t="str">
        <f t="shared" si="65"/>
        <v>A</v>
      </c>
      <c r="E110" s="231">
        <f>IF(ISERROR(VLOOKUP(A110,Mandatory!A:A,1,FALSE)),0,1)</f>
        <v>0</v>
      </c>
      <c r="F110" s="222">
        <f>VLOOKUP(A110,'Front-loading'!A:AG,$F$6,FALSE)</f>
        <v>9</v>
      </c>
      <c r="G110" s="222">
        <f>VLOOKUP(A110,'Front-loading'!A:AG,$G$6,FALSE)</f>
        <v>26168</v>
      </c>
      <c r="H110" s="222">
        <f>VLOOKUP(A110,'Front-loading'!A:AG,$H$6,FALSE)</f>
        <v>56</v>
      </c>
      <c r="I110" s="222">
        <f>VLOOKUP(A110,'Front-loading'!A:AG,$I$6,FALSE)</f>
        <v>94391</v>
      </c>
      <c r="J110" s="222">
        <f>VLOOKUP(A110,'Front-loading'!A:AG,$J$6,FALSE)</f>
        <v>1212.614338023867</v>
      </c>
      <c r="K110" s="222">
        <f>VLOOKUP(A110,'Front-loading'!A:AG,$K$6,FALSE)</f>
        <v>2070558.5834305629</v>
      </c>
      <c r="L110" s="222">
        <f>VLOOKUP(A110,'Front-loading'!A:AG,$L$6,FALSE)</f>
        <v>4126.8941007334251</v>
      </c>
      <c r="M110" s="222">
        <f>VLOOKUP(A110,'Front-loading'!A:AG,$M$6,FALSE)</f>
        <v>4410350.5993528413</v>
      </c>
      <c r="N110" s="223">
        <f t="shared" si="63"/>
        <v>134.73492644709634</v>
      </c>
      <c r="O110" s="223">
        <f t="shared" si="63"/>
        <v>79.125595514772357</v>
      </c>
      <c r="P110" s="223">
        <f t="shared" si="63"/>
        <v>73.694537513096876</v>
      </c>
      <c r="Q110" s="223">
        <f t="shared" si="63"/>
        <v>46.724270315526283</v>
      </c>
      <c r="R110" s="409">
        <f t="shared" si="59"/>
        <v>82.146283673189117</v>
      </c>
      <c r="S110" s="409">
        <f t="shared" si="60"/>
        <v>79.125595514772357</v>
      </c>
      <c r="T110" s="409">
        <f t="shared" si="61"/>
        <v>82.146283673189117</v>
      </c>
      <c r="U110" s="409">
        <f t="shared" si="62"/>
        <v>46.724270315526283</v>
      </c>
      <c r="V110" s="411">
        <f t="shared" si="66"/>
        <v>82.146283673189117</v>
      </c>
      <c r="W110" s="411">
        <f t="shared" si="67"/>
        <v>79.125595514772357</v>
      </c>
      <c r="X110" s="411">
        <f t="shared" si="68"/>
        <v>82.146283673189117</v>
      </c>
      <c r="Y110" s="411">
        <f t="shared" si="69"/>
        <v>46.724270315526283</v>
      </c>
      <c r="Z110" s="411">
        <f t="shared" si="70"/>
        <v>82.146283673189117</v>
      </c>
      <c r="AA110" s="411">
        <f t="shared" si="71"/>
        <v>79.125595514772357</v>
      </c>
      <c r="AB110" s="411">
        <f t="shared" si="72"/>
        <v>82.146283673189117</v>
      </c>
      <c r="AC110" s="411">
        <f t="shared" si="73"/>
        <v>46.724270315526283</v>
      </c>
      <c r="AD110" s="411">
        <f t="shared" si="74"/>
        <v>82.146283673189117</v>
      </c>
      <c r="AE110" s="411">
        <f t="shared" si="75"/>
        <v>79.125595514772357</v>
      </c>
      <c r="AF110" s="411">
        <f t="shared" si="76"/>
        <v>82.146283673189117</v>
      </c>
      <c r="AG110" s="411">
        <f t="shared" si="77"/>
        <v>46.724270315526283</v>
      </c>
      <c r="AH110" s="411">
        <f t="shared" si="78"/>
        <v>82.146283673189117</v>
      </c>
      <c r="AI110" s="411">
        <f t="shared" si="79"/>
        <v>79.125595514772357</v>
      </c>
      <c r="AJ110" s="411">
        <f t="shared" si="80"/>
        <v>82.146283673189117</v>
      </c>
      <c r="AK110" s="411">
        <f t="shared" si="81"/>
        <v>46.724270315526283</v>
      </c>
      <c r="AL110" s="411">
        <f t="shared" si="57"/>
        <v>82.146283673189117</v>
      </c>
      <c r="AM110" s="411">
        <f t="shared" si="54"/>
        <v>79.125595514772357</v>
      </c>
      <c r="AN110" s="411">
        <f t="shared" si="55"/>
        <v>82.146283673189117</v>
      </c>
      <c r="AO110" s="411">
        <f t="shared" si="56"/>
        <v>46.724270315526283</v>
      </c>
      <c r="AP110" s="411">
        <f t="shared" si="82"/>
        <v>82.146283673189117</v>
      </c>
      <c r="AQ110" s="411">
        <f t="shared" si="83"/>
        <v>79.125595514772357</v>
      </c>
      <c r="AR110" s="411">
        <f t="shared" si="84"/>
        <v>82.146283673189117</v>
      </c>
      <c r="AS110" s="411">
        <f t="shared" si="85"/>
        <v>46.724270315526283</v>
      </c>
      <c r="AT110" s="227" t="str">
        <f t="shared" si="132"/>
        <v/>
      </c>
      <c r="AU110" s="227" t="str">
        <f t="shared" si="86"/>
        <v/>
      </c>
      <c r="AV110" s="227" t="str">
        <f t="shared" si="87"/>
        <v/>
      </c>
      <c r="AW110" s="227" t="str">
        <f t="shared" si="88"/>
        <v/>
      </c>
      <c r="AX110" s="227" t="str">
        <f t="shared" si="49"/>
        <v/>
      </c>
      <c r="AY110" s="311" t="str">
        <f t="shared" si="51"/>
        <v/>
      </c>
      <c r="AZ110" s="311">
        <f t="shared" si="50"/>
        <v>82.146283673189117</v>
      </c>
      <c r="BA110" s="311">
        <f t="shared" si="89"/>
        <v>79.125595514772357</v>
      </c>
      <c r="BB110" s="311">
        <f t="shared" si="97"/>
        <v>82.146283673189117</v>
      </c>
      <c r="BC110" s="311">
        <f t="shared" si="133"/>
        <v>46.724270315526283</v>
      </c>
      <c r="BD110" s="227" t="str">
        <f t="shared" si="90"/>
        <v/>
      </c>
      <c r="BE110" s="227" t="str">
        <f t="shared" si="91"/>
        <v/>
      </c>
      <c r="BF110" s="227" t="str">
        <f t="shared" si="92"/>
        <v/>
      </c>
      <c r="BG110" s="227" t="str">
        <f t="shared" si="93"/>
        <v/>
      </c>
      <c r="BH110" s="227" t="str">
        <f t="shared" si="94"/>
        <v/>
      </c>
      <c r="BI110" s="227" t="str">
        <f t="shared" si="95"/>
        <v/>
      </c>
      <c r="BJ110" s="226">
        <f t="shared" si="96"/>
        <v>6486248.691222162</v>
      </c>
      <c r="BK110" s="335"/>
      <c r="BL110" s="335"/>
      <c r="BM110" s="335"/>
      <c r="BN110" s="335"/>
    </row>
    <row r="111" spans="1:66">
      <c r="A111" s="231">
        <v>800</v>
      </c>
      <c r="B111" s="231" t="str">
        <f>VLOOKUP(A111,'201314 RC list'!A:B,2,FALSE)</f>
        <v>Clinical Oncology (previously Radiotherapy)</v>
      </c>
      <c r="C111" s="231"/>
      <c r="D111" s="310" t="str">
        <f t="shared" si="65"/>
        <v>A</v>
      </c>
      <c r="E111" s="231">
        <f>IF(ISERROR(VLOOKUP(A111,Mandatory!A:A,1,FALSE)),0,1)</f>
        <v>1</v>
      </c>
      <c r="F111" s="222">
        <f>VLOOKUP(A111,'Front-loading'!A:AG,$F$6,FALSE)</f>
        <v>13120</v>
      </c>
      <c r="G111" s="222">
        <f>VLOOKUP(A111,'Front-loading'!A:AG,$G$6,FALSE)</f>
        <v>156343</v>
      </c>
      <c r="H111" s="222">
        <f>VLOOKUP(A111,'Front-loading'!A:AG,$H$6,FALSE)</f>
        <v>67882</v>
      </c>
      <c r="I111" s="222">
        <f>VLOOKUP(A111,'Front-loading'!A:AG,$I$6,FALSE)</f>
        <v>983690</v>
      </c>
      <c r="J111" s="222">
        <f>VLOOKUP(A111,'Front-loading'!A:AG,$J$6,FALSE)</f>
        <v>3182193.2447006735</v>
      </c>
      <c r="K111" s="222">
        <f>VLOOKUP(A111,'Front-loading'!A:AG,$K$6,FALSE)</f>
        <v>34943904.867525816</v>
      </c>
      <c r="L111" s="222">
        <f>VLOOKUP(A111,'Front-loading'!A:AG,$L$6,FALSE)</f>
        <v>8855991.9185937755</v>
      </c>
      <c r="M111" s="222">
        <f>VLOOKUP(A111,'Front-loading'!A:AG,$M$6,FALSE)</f>
        <v>102104173.64611812</v>
      </c>
      <c r="N111" s="223">
        <f t="shared" si="63"/>
        <v>242.54521682169766</v>
      </c>
      <c r="O111" s="223">
        <f t="shared" si="63"/>
        <v>223.50795921484055</v>
      </c>
      <c r="P111" s="223">
        <f t="shared" si="63"/>
        <v>130.46156445882229</v>
      </c>
      <c r="Q111" s="223">
        <f t="shared" si="63"/>
        <v>103.79710441919519</v>
      </c>
      <c r="R111" s="409">
        <f t="shared" si="59"/>
        <v>242.54521682169766</v>
      </c>
      <c r="S111" s="409">
        <f t="shared" si="60"/>
        <v>223.50795921484055</v>
      </c>
      <c r="T111" s="409">
        <f t="shared" si="61"/>
        <v>130.46156445882229</v>
      </c>
      <c r="U111" s="409">
        <f t="shared" si="62"/>
        <v>103.79710441919519</v>
      </c>
      <c r="V111" s="411">
        <f t="shared" si="66"/>
        <v>242.54521682169766</v>
      </c>
      <c r="W111" s="411">
        <f t="shared" si="67"/>
        <v>223.50795921484055</v>
      </c>
      <c r="X111" s="411">
        <f t="shared" si="68"/>
        <v>130.46156445882229</v>
      </c>
      <c r="Y111" s="411">
        <f t="shared" si="69"/>
        <v>103.79710441919519</v>
      </c>
      <c r="Z111" s="411">
        <f t="shared" si="70"/>
        <v>242.54521682169766</v>
      </c>
      <c r="AA111" s="411">
        <f t="shared" si="71"/>
        <v>223.50795921484055</v>
      </c>
      <c r="AB111" s="411">
        <f t="shared" si="72"/>
        <v>130.46156445882229</v>
      </c>
      <c r="AC111" s="411">
        <f t="shared" si="73"/>
        <v>103.79710441919519</v>
      </c>
      <c r="AD111" s="411">
        <f t="shared" si="74"/>
        <v>242.54521682169766</v>
      </c>
      <c r="AE111" s="411">
        <f t="shared" si="75"/>
        <v>223.50795921484055</v>
      </c>
      <c r="AF111" s="411">
        <f t="shared" si="76"/>
        <v>130.46156445882229</v>
      </c>
      <c r="AG111" s="411">
        <f t="shared" si="77"/>
        <v>103.79710441919519</v>
      </c>
      <c r="AH111" s="411">
        <f t="shared" si="78"/>
        <v>242.54521682169766</v>
      </c>
      <c r="AI111" s="411">
        <f t="shared" si="79"/>
        <v>223.50795921484055</v>
      </c>
      <c r="AJ111" s="411">
        <f t="shared" si="80"/>
        <v>130.46156445882229</v>
      </c>
      <c r="AK111" s="411">
        <f t="shared" si="81"/>
        <v>103.79710441919519</v>
      </c>
      <c r="AL111" s="411">
        <f t="shared" si="57"/>
        <v>242.54521682169766</v>
      </c>
      <c r="AM111" s="411">
        <f t="shared" si="54"/>
        <v>223.50795921484055</v>
      </c>
      <c r="AN111" s="411">
        <f t="shared" si="55"/>
        <v>130.46156445882229</v>
      </c>
      <c r="AO111" s="411">
        <f t="shared" si="56"/>
        <v>103.79710441919519</v>
      </c>
      <c r="AP111" s="411">
        <f t="shared" si="82"/>
        <v>242.54521682169766</v>
      </c>
      <c r="AQ111" s="411">
        <f t="shared" si="83"/>
        <v>223.50795921484055</v>
      </c>
      <c r="AR111" s="411">
        <f t="shared" si="84"/>
        <v>130.46156445882229</v>
      </c>
      <c r="AS111" s="411">
        <f t="shared" si="85"/>
        <v>103.79710441919519</v>
      </c>
      <c r="AT111" s="227" t="str">
        <f t="shared" si="132"/>
        <v/>
      </c>
      <c r="AU111" s="227" t="str">
        <f t="shared" si="86"/>
        <v/>
      </c>
      <c r="AV111" s="227" t="str">
        <f t="shared" si="87"/>
        <v/>
      </c>
      <c r="AW111" s="227" t="str">
        <f t="shared" si="88"/>
        <v/>
      </c>
      <c r="AX111" s="227" t="str">
        <f t="shared" si="49"/>
        <v/>
      </c>
      <c r="AY111" s="311" t="str">
        <f t="shared" si="51"/>
        <v/>
      </c>
      <c r="AZ111" s="311">
        <f t="shared" si="50"/>
        <v>242.54521682169766</v>
      </c>
      <c r="BA111" s="311">
        <f t="shared" si="89"/>
        <v>223.50795921484055</v>
      </c>
      <c r="BB111" s="311">
        <f t="shared" si="97"/>
        <v>130.46156445882229</v>
      </c>
      <c r="BC111" s="311">
        <f t="shared" si="133"/>
        <v>103.79710441919519</v>
      </c>
      <c r="BD111" s="227" t="str">
        <f t="shared" si="90"/>
        <v/>
      </c>
      <c r="BE111" s="227" t="str">
        <f t="shared" si="91"/>
        <v/>
      </c>
      <c r="BF111" s="227" t="str">
        <f t="shared" si="92"/>
        <v/>
      </c>
      <c r="BG111" s="227" t="str">
        <f t="shared" si="93"/>
        <v/>
      </c>
      <c r="BH111" s="227" t="str">
        <f t="shared" si="94"/>
        <v/>
      </c>
      <c r="BI111" s="227" t="str">
        <f t="shared" si="95"/>
        <v/>
      </c>
      <c r="BJ111" s="226">
        <f t="shared" si="96"/>
        <v>149086263.67693838</v>
      </c>
      <c r="BK111" s="335"/>
      <c r="BL111" s="335"/>
      <c r="BM111" s="335"/>
      <c r="BN111" s="335"/>
    </row>
    <row r="112" spans="1:66">
      <c r="A112" s="231">
        <v>812</v>
      </c>
      <c r="B112" s="231" t="str">
        <f>VLOOKUP(A112,'201314 RC list'!A:B,2,FALSE)</f>
        <v>Diagnostic Imaging</v>
      </c>
      <c r="C112" s="231"/>
      <c r="D112" s="310" t="str">
        <f t="shared" si="65"/>
        <v>A</v>
      </c>
      <c r="E112" s="231">
        <f>IF(ISERROR(VLOOKUP(A112,Mandatory!A:A,1,FALSE)),0,1)</f>
        <v>1</v>
      </c>
      <c r="F112" s="222">
        <f>VLOOKUP(A112,'Front-loading'!A:AG,$F$6,FALSE)</f>
        <v>178</v>
      </c>
      <c r="G112" s="222">
        <f>VLOOKUP(A112,'Front-loading'!A:AG,$G$6,FALSE)</f>
        <v>175243</v>
      </c>
      <c r="H112" s="222">
        <f>VLOOKUP(A112,'Front-loading'!A:AG,$H$6,FALSE)</f>
        <v>1</v>
      </c>
      <c r="I112" s="222">
        <f>VLOOKUP(A112,'Front-loading'!A:AG,$I$6,FALSE)</f>
        <v>43383</v>
      </c>
      <c r="J112" s="222">
        <f>VLOOKUP(A112,'Front-loading'!A:AG,$J$6,FALSE)</f>
        <v>6383.0637932292439</v>
      </c>
      <c r="K112" s="222">
        <f>VLOOKUP(A112,'Front-loading'!A:AG,$K$6,FALSE)</f>
        <v>6774806.9581200099</v>
      </c>
      <c r="L112" s="222">
        <f>VLOOKUP(A112,'Front-loading'!A:AG,$L$6,FALSE)</f>
        <v>42.008644038958394</v>
      </c>
      <c r="M112" s="222">
        <f>VLOOKUP(A112,'Front-loading'!A:AG,$M$6,FALSE)</f>
        <v>2253173.2810255471</v>
      </c>
      <c r="N112" s="223">
        <f t="shared" si="63"/>
        <v>35.859908950726087</v>
      </c>
      <c r="O112" s="223">
        <f t="shared" si="63"/>
        <v>38.659501139104044</v>
      </c>
      <c r="P112" s="223">
        <f t="shared" si="63"/>
        <v>42.008644038958394</v>
      </c>
      <c r="Q112" s="223">
        <f t="shared" si="63"/>
        <v>51.936778946258833</v>
      </c>
      <c r="R112" s="409">
        <f t="shared" si="59"/>
        <v>35.894259426079344</v>
      </c>
      <c r="S112" s="409">
        <f t="shared" si="60"/>
        <v>38.659501139104044</v>
      </c>
      <c r="T112" s="409">
        <f t="shared" si="61"/>
        <v>35.894259426079344</v>
      </c>
      <c r="U112" s="409">
        <f t="shared" si="62"/>
        <v>51.936778946258833</v>
      </c>
      <c r="V112" s="411">
        <f t="shared" si="66"/>
        <v>35.894259426079344</v>
      </c>
      <c r="W112" s="411">
        <f t="shared" si="67"/>
        <v>38.659501139104044</v>
      </c>
      <c r="X112" s="411">
        <f t="shared" si="68"/>
        <v>35.894259426079344</v>
      </c>
      <c r="Y112" s="411">
        <f t="shared" si="69"/>
        <v>51.936778946258833</v>
      </c>
      <c r="Z112" s="411">
        <f t="shared" si="70"/>
        <v>35.894259426079344</v>
      </c>
      <c r="AA112" s="411">
        <f t="shared" si="71"/>
        <v>41.294174705412701</v>
      </c>
      <c r="AB112" s="411">
        <f t="shared" si="72"/>
        <v>35.894259426079344</v>
      </c>
      <c r="AC112" s="411">
        <f t="shared" si="73"/>
        <v>41.294174705412701</v>
      </c>
      <c r="AD112" s="411">
        <f t="shared" si="74"/>
        <v>41.28869540179614</v>
      </c>
      <c r="AE112" s="411">
        <f t="shared" si="75"/>
        <v>41.28869540179614</v>
      </c>
      <c r="AF112" s="411">
        <f t="shared" si="76"/>
        <v>41.294050237514867</v>
      </c>
      <c r="AG112" s="411">
        <f t="shared" si="77"/>
        <v>41.294050237514867</v>
      </c>
      <c r="AH112" s="411">
        <f t="shared" si="78"/>
        <v>41.28869540179614</v>
      </c>
      <c r="AI112" s="411">
        <f t="shared" si="79"/>
        <v>41.28869540179614</v>
      </c>
      <c r="AJ112" s="411">
        <f t="shared" si="80"/>
        <v>41.294050237514867</v>
      </c>
      <c r="AK112" s="411">
        <f t="shared" si="81"/>
        <v>41.294050237514867</v>
      </c>
      <c r="AL112" s="411">
        <f t="shared" si="57"/>
        <v>41.28869540179614</v>
      </c>
      <c r="AM112" s="411">
        <f t="shared" si="54"/>
        <v>41.28869540179614</v>
      </c>
      <c r="AN112" s="411">
        <f t="shared" si="55"/>
        <v>41.294050237514867</v>
      </c>
      <c r="AO112" s="411">
        <f t="shared" si="56"/>
        <v>41.294050237514867</v>
      </c>
      <c r="AP112" s="411">
        <f t="shared" si="82"/>
        <v>41.28869540179614</v>
      </c>
      <c r="AQ112" s="411">
        <f t="shared" si="83"/>
        <v>41.28869540179614</v>
      </c>
      <c r="AR112" s="411">
        <f t="shared" si="84"/>
        <v>41.294050237514867</v>
      </c>
      <c r="AS112" s="411">
        <f t="shared" si="85"/>
        <v>41.294050237514867</v>
      </c>
      <c r="AT112" s="227">
        <f t="shared" si="132"/>
        <v>41.288725317079482</v>
      </c>
      <c r="AU112" s="227">
        <f t="shared" si="86"/>
        <v>41.289757987389734</v>
      </c>
      <c r="AV112" s="227" t="str">
        <f t="shared" si="87"/>
        <v/>
      </c>
      <c r="AW112" s="227" t="str">
        <f t="shared" si="88"/>
        <v/>
      </c>
      <c r="AX112" s="227" t="str">
        <f t="shared" si="49"/>
        <v/>
      </c>
      <c r="AY112" s="311" t="str">
        <f t="shared" si="51"/>
        <v/>
      </c>
      <c r="AZ112" s="311">
        <f t="shared" si="50"/>
        <v>41.28869540179614</v>
      </c>
      <c r="BA112" s="311">
        <f t="shared" si="89"/>
        <v>41.28869540179614</v>
      </c>
      <c r="BB112" s="311">
        <f t="shared" si="97"/>
        <v>41.288725317079482</v>
      </c>
      <c r="BC112" s="311">
        <f t="shared" si="133"/>
        <v>41.289757987389734</v>
      </c>
      <c r="BD112" s="227" t="str">
        <f t="shared" si="90"/>
        <v>1FA</v>
      </c>
      <c r="BE112" s="227" t="str">
        <f t="shared" si="91"/>
        <v>1FU</v>
      </c>
      <c r="BF112" s="227" t="str">
        <f t="shared" si="92"/>
        <v/>
      </c>
      <c r="BG112" s="227" t="str">
        <f t="shared" si="93"/>
        <v>2FU</v>
      </c>
      <c r="BH112" s="227" t="str">
        <f t="shared" si="94"/>
        <v/>
      </c>
      <c r="BI112" s="227" t="str">
        <f t="shared" si="95"/>
        <v/>
      </c>
      <c r="BJ112" s="226">
        <f t="shared" si="96"/>
        <v>9034219.0955707263</v>
      </c>
      <c r="BK112" s="335"/>
      <c r="BL112" s="335"/>
      <c r="BM112" s="335"/>
      <c r="BN112" s="335"/>
    </row>
    <row r="113" spans="1:66">
      <c r="A113" s="231">
        <v>822</v>
      </c>
      <c r="B113" s="231" t="str">
        <f>VLOOKUP(A113,'201314 RC list'!A:B,2,FALSE)</f>
        <v>Chemical Pathology</v>
      </c>
      <c r="C113" s="231"/>
      <c r="D113" s="310" t="str">
        <f t="shared" si="65"/>
        <v>A</v>
      </c>
      <c r="E113" s="231">
        <f>IF(ISERROR(VLOOKUP(A113,Mandatory!A:A,1,FALSE)),0,1)</f>
        <v>0</v>
      </c>
      <c r="F113" s="222">
        <f>VLOOKUP(A113,'Front-loading'!A:AG,$F$6,FALSE)</f>
        <v>156</v>
      </c>
      <c r="G113" s="222">
        <f>VLOOKUP(A113,'Front-loading'!A:AG,$G$6,FALSE)</f>
        <v>14206</v>
      </c>
      <c r="H113" s="222">
        <f>VLOOKUP(A113,'Front-loading'!A:AG,$H$6,FALSE)</f>
        <v>116</v>
      </c>
      <c r="I113" s="222">
        <f>VLOOKUP(A113,'Front-loading'!A:AG,$I$6,FALSE)</f>
        <v>39058</v>
      </c>
      <c r="J113" s="222">
        <f>VLOOKUP(A113,'Front-loading'!A:AG,$J$6,FALSE)</f>
        <v>17722.23125822956</v>
      </c>
      <c r="K113" s="222">
        <f>VLOOKUP(A113,'Front-loading'!A:AG,$K$6,FALSE)</f>
        <v>1561963.0752522117</v>
      </c>
      <c r="L113" s="222">
        <f>VLOOKUP(A113,'Front-loading'!A:AG,$L$6,FALSE)</f>
        <v>15258.277266379329</v>
      </c>
      <c r="M113" s="222">
        <f>VLOOKUP(A113,'Front-loading'!A:AG,$M$6,FALSE)</f>
        <v>2837041.2451867666</v>
      </c>
      <c r="N113" s="223">
        <f t="shared" si="63"/>
        <v>113.60404652711256</v>
      </c>
      <c r="O113" s="223">
        <f t="shared" si="63"/>
        <v>109.95094152134392</v>
      </c>
      <c r="P113" s="223">
        <f t="shared" si="63"/>
        <v>131.5368729860287</v>
      </c>
      <c r="Q113" s="223">
        <f t="shared" si="63"/>
        <v>72.636623615821762</v>
      </c>
      <c r="R113" s="409">
        <f t="shared" si="59"/>
        <v>113.60404652711256</v>
      </c>
      <c r="S113" s="409">
        <f t="shared" si="60"/>
        <v>109.95094152134392</v>
      </c>
      <c r="T113" s="409">
        <f t="shared" si="61"/>
        <v>131.5368729860287</v>
      </c>
      <c r="U113" s="409">
        <f t="shared" si="62"/>
        <v>72.636623615821762</v>
      </c>
      <c r="V113" s="411">
        <f t="shared" si="66"/>
        <v>113.60404652711256</v>
      </c>
      <c r="W113" s="411">
        <f t="shared" si="67"/>
        <v>109.95094152134392</v>
      </c>
      <c r="X113" s="411">
        <f t="shared" si="68"/>
        <v>131.5368729860287</v>
      </c>
      <c r="Y113" s="411">
        <f t="shared" si="69"/>
        <v>72.636623615821762</v>
      </c>
      <c r="Z113" s="411">
        <f t="shared" si="70"/>
        <v>121.25186957576796</v>
      </c>
      <c r="AA113" s="411">
        <f t="shared" si="71"/>
        <v>109.95094152134392</v>
      </c>
      <c r="AB113" s="411">
        <f t="shared" si="72"/>
        <v>121.25186957576796</v>
      </c>
      <c r="AC113" s="411">
        <f t="shared" si="73"/>
        <v>72.636623615821762</v>
      </c>
      <c r="AD113" s="411">
        <f t="shared" si="74"/>
        <v>121.25186957576796</v>
      </c>
      <c r="AE113" s="411">
        <f t="shared" si="75"/>
        <v>109.95094152134392</v>
      </c>
      <c r="AF113" s="411">
        <f t="shared" si="76"/>
        <v>121.25186957576796</v>
      </c>
      <c r="AG113" s="411">
        <f t="shared" si="77"/>
        <v>72.636623615821762</v>
      </c>
      <c r="AH113" s="411">
        <f t="shared" si="78"/>
        <v>121.25186957576796</v>
      </c>
      <c r="AI113" s="411">
        <f t="shared" si="79"/>
        <v>109.95094152134392</v>
      </c>
      <c r="AJ113" s="411">
        <f t="shared" si="80"/>
        <v>121.25186957576796</v>
      </c>
      <c r="AK113" s="411">
        <f t="shared" si="81"/>
        <v>72.636623615821762</v>
      </c>
      <c r="AL113" s="411">
        <f t="shared" si="57"/>
        <v>121.25186957576796</v>
      </c>
      <c r="AM113" s="411">
        <f t="shared" si="54"/>
        <v>109.95094152134392</v>
      </c>
      <c r="AN113" s="411">
        <f t="shared" si="55"/>
        <v>121.25186957576796</v>
      </c>
      <c r="AO113" s="411">
        <f t="shared" si="56"/>
        <v>72.636623615821762</v>
      </c>
      <c r="AP113" s="411">
        <f t="shared" si="82"/>
        <v>121.25186957576796</v>
      </c>
      <c r="AQ113" s="411">
        <f t="shared" si="83"/>
        <v>109.95094152134392</v>
      </c>
      <c r="AR113" s="411">
        <f t="shared" si="84"/>
        <v>121.25186957576796</v>
      </c>
      <c r="AS113" s="411">
        <f t="shared" si="85"/>
        <v>72.636623615821762</v>
      </c>
      <c r="AT113" s="227" t="str">
        <f t="shared" si="132"/>
        <v/>
      </c>
      <c r="AU113" s="227" t="str">
        <f t="shared" si="86"/>
        <v/>
      </c>
      <c r="AV113" s="227" t="str">
        <f t="shared" si="87"/>
        <v/>
      </c>
      <c r="AW113" s="227" t="str">
        <f t="shared" si="88"/>
        <v/>
      </c>
      <c r="AX113" s="227" t="str">
        <f t="shared" si="49"/>
        <v/>
      </c>
      <c r="AY113" s="311" t="str">
        <f t="shared" si="51"/>
        <v/>
      </c>
      <c r="AZ113" s="311">
        <f t="shared" si="50"/>
        <v>121.25186957576796</v>
      </c>
      <c r="BA113" s="311">
        <f t="shared" si="89"/>
        <v>109.95094152134392</v>
      </c>
      <c r="BB113" s="311">
        <f t="shared" si="97"/>
        <v>121.25186957576796</v>
      </c>
      <c r="BC113" s="311">
        <f t="shared" si="133"/>
        <v>72.636623615821762</v>
      </c>
      <c r="BD113" s="227" t="str">
        <f t="shared" si="90"/>
        <v/>
      </c>
      <c r="BE113" s="227" t="str">
        <f t="shared" si="91"/>
        <v/>
      </c>
      <c r="BF113" s="227" t="str">
        <f t="shared" si="92"/>
        <v/>
      </c>
      <c r="BG113" s="227" t="str">
        <f t="shared" si="93"/>
        <v/>
      </c>
      <c r="BH113" s="227" t="str">
        <f t="shared" si="94"/>
        <v/>
      </c>
      <c r="BI113" s="227" t="str">
        <f t="shared" si="95"/>
        <v/>
      </c>
      <c r="BJ113" s="226">
        <f t="shared" si="96"/>
        <v>4431984.8289635871</v>
      </c>
      <c r="BK113" s="335"/>
      <c r="BL113" s="335"/>
      <c r="BM113" s="335"/>
      <c r="BN113" s="335"/>
    </row>
    <row r="114" spans="1:66">
      <c r="A114" s="231">
        <v>840</v>
      </c>
      <c r="B114" s="231" t="str">
        <f>VLOOKUP(A114,'201314 RC list'!A:B,2,FALSE)</f>
        <v>Audiology</v>
      </c>
      <c r="C114" s="231"/>
      <c r="D114" s="310" t="str">
        <f t="shared" si="65"/>
        <v>A</v>
      </c>
      <c r="E114" s="231">
        <f>IF(ISERROR(VLOOKUP(A114,Mandatory!A:A,1,FALSE)),0,1)</f>
        <v>0</v>
      </c>
      <c r="F114" s="222">
        <f>VLOOKUP(A114,'Front-loading'!A:AG,$F$6,FALSE)</f>
        <v>1</v>
      </c>
      <c r="G114" s="222">
        <f>VLOOKUP(A114,'Front-loading'!A:AG,$G$6,FALSE)</f>
        <v>11434</v>
      </c>
      <c r="H114" s="222">
        <f>VLOOKUP(A114,'Front-loading'!A:AG,$H$6,FALSE)</f>
        <v>3</v>
      </c>
      <c r="I114" s="222">
        <f>VLOOKUP(A114,'Front-loading'!A:AG,$I$6,FALSE)</f>
        <v>14569</v>
      </c>
      <c r="J114" s="222">
        <f>VLOOKUP(A114,'Front-loading'!A:AG,$J$6,FALSE)</f>
        <v>153.87571736444113</v>
      </c>
      <c r="K114" s="222">
        <f>VLOOKUP(A114,'Front-loading'!A:AG,$K$6,FALSE)</f>
        <v>2024733.7423428625</v>
      </c>
      <c r="L114" s="222">
        <f>VLOOKUP(A114,'Front-loading'!A:AG,$L$6,FALSE)</f>
        <v>276.97629125599411</v>
      </c>
      <c r="M114" s="222">
        <f>VLOOKUP(A114,'Front-loading'!A:AG,$M$6,FALSE)</f>
        <v>1702639.7299137984</v>
      </c>
      <c r="N114" s="223">
        <f t="shared" si="63"/>
        <v>153.87571736444113</v>
      </c>
      <c r="O114" s="223">
        <f t="shared" si="63"/>
        <v>177.08008941252953</v>
      </c>
      <c r="P114" s="223">
        <f t="shared" si="63"/>
        <v>92.325430418664709</v>
      </c>
      <c r="Q114" s="223">
        <f t="shared" si="63"/>
        <v>116.86730248567495</v>
      </c>
      <c r="R114" s="409">
        <f t="shared" si="59"/>
        <v>107.71300215510881</v>
      </c>
      <c r="S114" s="409">
        <f t="shared" si="60"/>
        <v>177.08008941252953</v>
      </c>
      <c r="T114" s="409">
        <f t="shared" si="61"/>
        <v>107.71300215510881</v>
      </c>
      <c r="U114" s="409">
        <f t="shared" si="62"/>
        <v>116.86730248567495</v>
      </c>
      <c r="V114" s="411">
        <f t="shared" si="66"/>
        <v>107.71300215510881</v>
      </c>
      <c r="W114" s="411">
        <f t="shared" si="67"/>
        <v>177.08008941252953</v>
      </c>
      <c r="X114" s="411">
        <f t="shared" si="68"/>
        <v>107.71300215510881</v>
      </c>
      <c r="Y114" s="411">
        <f t="shared" si="69"/>
        <v>116.86730248567495</v>
      </c>
      <c r="Z114" s="411">
        <f t="shared" si="70"/>
        <v>107.71300215510881</v>
      </c>
      <c r="AA114" s="411">
        <f t="shared" si="71"/>
        <v>177.08008941252953</v>
      </c>
      <c r="AB114" s="411">
        <f t="shared" si="72"/>
        <v>107.71300215510881</v>
      </c>
      <c r="AC114" s="411">
        <f t="shared" si="73"/>
        <v>116.86730248567495</v>
      </c>
      <c r="AD114" s="411">
        <f t="shared" si="74"/>
        <v>177.07402320463646</v>
      </c>
      <c r="AE114" s="411">
        <f t="shared" si="75"/>
        <v>177.07402320463646</v>
      </c>
      <c r="AF114" s="411">
        <f t="shared" si="76"/>
        <v>116.86541785069063</v>
      </c>
      <c r="AG114" s="411">
        <f t="shared" si="77"/>
        <v>116.86541785069063</v>
      </c>
      <c r="AH114" s="411">
        <f t="shared" si="78"/>
        <v>177.07402320463646</v>
      </c>
      <c r="AI114" s="411">
        <f t="shared" si="79"/>
        <v>177.07402320463646</v>
      </c>
      <c r="AJ114" s="411">
        <f t="shared" si="80"/>
        <v>116.86541785069063</v>
      </c>
      <c r="AK114" s="411">
        <f t="shared" si="81"/>
        <v>116.86541785069063</v>
      </c>
      <c r="AL114" s="411">
        <f t="shared" si="57"/>
        <v>177.07402320463646</v>
      </c>
      <c r="AM114" s="411">
        <f t="shared" si="54"/>
        <v>177.07402320463646</v>
      </c>
      <c r="AN114" s="411">
        <f t="shared" si="55"/>
        <v>116.86541785069063</v>
      </c>
      <c r="AO114" s="411">
        <f t="shared" si="56"/>
        <v>116.86541785069063</v>
      </c>
      <c r="AP114" s="411">
        <f t="shared" si="82"/>
        <v>177.07402320463646</v>
      </c>
      <c r="AQ114" s="411">
        <f t="shared" si="83"/>
        <v>177.07402320463646</v>
      </c>
      <c r="AR114" s="411">
        <f t="shared" si="84"/>
        <v>116.86541785069063</v>
      </c>
      <c r="AS114" s="411">
        <f t="shared" si="85"/>
        <v>116.86541785069063</v>
      </c>
      <c r="AT114" s="227" t="str">
        <f t="shared" si="132"/>
        <v/>
      </c>
      <c r="AU114" s="227" t="str">
        <f t="shared" si="86"/>
        <v/>
      </c>
      <c r="AV114" s="227" t="str">
        <f t="shared" si="87"/>
        <v/>
      </c>
      <c r="AW114" s="227" t="str">
        <f t="shared" si="88"/>
        <v/>
      </c>
      <c r="AX114" s="227" t="str">
        <f t="shared" si="49"/>
        <v/>
      </c>
      <c r="AY114" s="311" t="str">
        <f t="shared" si="51"/>
        <v/>
      </c>
      <c r="AZ114" s="311">
        <f t="shared" si="50"/>
        <v>177.07402320463646</v>
      </c>
      <c r="BA114" s="311">
        <f t="shared" si="89"/>
        <v>177.07402320463646</v>
      </c>
      <c r="BB114" s="311">
        <f t="shared" si="97"/>
        <v>116.86541785069063</v>
      </c>
      <c r="BC114" s="311">
        <f t="shared" si="133"/>
        <v>116.86541785069063</v>
      </c>
      <c r="BD114" s="227" t="str">
        <f t="shared" si="90"/>
        <v/>
      </c>
      <c r="BE114" s="227" t="str">
        <f t="shared" si="91"/>
        <v/>
      </c>
      <c r="BF114" s="227" t="str">
        <f t="shared" si="92"/>
        <v/>
      </c>
      <c r="BG114" s="227" t="str">
        <f t="shared" si="93"/>
        <v/>
      </c>
      <c r="BH114" s="227" t="str">
        <f t="shared" si="94"/>
        <v/>
      </c>
      <c r="BI114" s="227" t="str">
        <f t="shared" si="95"/>
        <v/>
      </c>
      <c r="BJ114" s="226">
        <f t="shared" si="96"/>
        <v>3727804.3242652817</v>
      </c>
      <c r="BK114" s="335"/>
      <c r="BL114" s="335"/>
      <c r="BM114" s="335"/>
      <c r="BN114" s="335"/>
    </row>
    <row r="115" spans="1:66">
      <c r="A115" s="231">
        <v>142</v>
      </c>
      <c r="B115" s="231" t="str">
        <f>VLOOKUP(A115,'201314 RC list'!A:B,2,FALSE)</f>
        <v>Paediatric Dentistry</v>
      </c>
      <c r="C115" s="231"/>
      <c r="D115" s="310" t="str">
        <f t="shared" si="65"/>
        <v>C</v>
      </c>
      <c r="E115" s="231">
        <f>IF(ISERROR(VLOOKUP(A115,Mandatory!A:A,1,FALSE)),0,1)</f>
        <v>0</v>
      </c>
      <c r="F115" s="222">
        <f>VLOOKUP(A115,'Front-loading'!A:AG,$F$6,FALSE)</f>
        <v>100</v>
      </c>
      <c r="G115" s="222">
        <f>VLOOKUP(A115,'Front-loading'!A:AG,$G$6,FALSE)</f>
        <v>28426</v>
      </c>
      <c r="H115" s="222">
        <f>VLOOKUP(A115,'Front-loading'!A:AG,$H$6,FALSE)</f>
        <v>291</v>
      </c>
      <c r="I115" s="222">
        <f>VLOOKUP(A115,'Front-loading'!A:AG,$I$6,FALSE)</f>
        <v>55056</v>
      </c>
      <c r="J115" s="222">
        <f>VLOOKUP(A115,'Front-loading'!A:AG,$J$6,FALSE)</f>
        <v>7335.669057822759</v>
      </c>
      <c r="K115" s="222">
        <f>VLOOKUP(A115,'Front-loading'!A:AG,$K$6,FALSE)</f>
        <v>2984218.4950909172</v>
      </c>
      <c r="L115" s="222">
        <f>VLOOKUP(A115,'Front-loading'!A:AG,$L$6,FALSE)</f>
        <v>17930.60431102433</v>
      </c>
      <c r="M115" s="222">
        <f>VLOOKUP(A115,'Front-loading'!A:AG,$M$6,FALSE)</f>
        <v>4935919.6877363101</v>
      </c>
      <c r="N115" s="223">
        <f t="shared" si="63"/>
        <v>73.356690578227585</v>
      </c>
      <c r="O115" s="223">
        <f t="shared" si="63"/>
        <v>104.98200573738539</v>
      </c>
      <c r="P115" s="223">
        <f t="shared" si="63"/>
        <v>61.617196945100787</v>
      </c>
      <c r="Q115" s="223">
        <f t="shared" si="63"/>
        <v>89.652711561615632</v>
      </c>
      <c r="R115" s="409">
        <f t="shared" si="59"/>
        <v>73.356690578227585</v>
      </c>
      <c r="S115" s="409">
        <f t="shared" si="60"/>
        <v>104.98200573738539</v>
      </c>
      <c r="T115" s="409">
        <f t="shared" si="61"/>
        <v>61.617196945100787</v>
      </c>
      <c r="U115" s="409">
        <f t="shared" si="62"/>
        <v>89.652711561615632</v>
      </c>
      <c r="V115" s="411">
        <f t="shared" si="66"/>
        <v>73.356690578227585</v>
      </c>
      <c r="W115" s="411">
        <f t="shared" si="67"/>
        <v>104.98200573738539</v>
      </c>
      <c r="X115" s="411">
        <f t="shared" si="68"/>
        <v>61.617196945100787</v>
      </c>
      <c r="Y115" s="411">
        <f t="shared" si="69"/>
        <v>89.652711561615632</v>
      </c>
      <c r="Z115" s="411">
        <f t="shared" si="70"/>
        <v>73.356690578227585</v>
      </c>
      <c r="AA115" s="411">
        <f t="shared" si="71"/>
        <v>104.98200573738539</v>
      </c>
      <c r="AB115" s="411">
        <f t="shared" si="72"/>
        <v>61.617196945100787</v>
      </c>
      <c r="AC115" s="411">
        <f t="shared" si="73"/>
        <v>89.652711561615632</v>
      </c>
      <c r="AD115" s="411">
        <f t="shared" si="74"/>
        <v>104.87114085917199</v>
      </c>
      <c r="AE115" s="411">
        <f t="shared" si="75"/>
        <v>104.87114085917199</v>
      </c>
      <c r="AF115" s="411">
        <f t="shared" si="76"/>
        <v>89.50530818377392</v>
      </c>
      <c r="AG115" s="411">
        <f t="shared" si="77"/>
        <v>89.50530818377392</v>
      </c>
      <c r="AH115" s="411">
        <f t="shared" si="78"/>
        <v>104.87114085917199</v>
      </c>
      <c r="AI115" s="411">
        <f t="shared" si="79"/>
        <v>104.87114085917199</v>
      </c>
      <c r="AJ115" s="411">
        <f t="shared" si="80"/>
        <v>89.50530818377392</v>
      </c>
      <c r="AK115" s="411">
        <f t="shared" si="81"/>
        <v>89.50530818377392</v>
      </c>
      <c r="AL115" s="411">
        <f t="shared" si="57"/>
        <v>104.87114085917199</v>
      </c>
      <c r="AM115" s="411">
        <f t="shared" si="54"/>
        <v>104.87114085917199</v>
      </c>
      <c r="AN115" s="411">
        <f t="shared" si="55"/>
        <v>89.50530818377392</v>
      </c>
      <c r="AO115" s="411">
        <f t="shared" si="56"/>
        <v>89.50530818377392</v>
      </c>
      <c r="AP115" s="411">
        <f t="shared" si="82"/>
        <v>104.87114085917199</v>
      </c>
      <c r="AQ115" s="411">
        <f t="shared" si="83"/>
        <v>104.87114085917199</v>
      </c>
      <c r="AR115" s="411">
        <f t="shared" si="84"/>
        <v>89.50530818377392</v>
      </c>
      <c r="AS115" s="411">
        <f t="shared" si="85"/>
        <v>89.50530818377392</v>
      </c>
      <c r="AT115" s="227" t="str">
        <f t="shared" si="132"/>
        <v/>
      </c>
      <c r="AU115" s="227" t="str">
        <f t="shared" si="86"/>
        <v/>
      </c>
      <c r="AV115" s="227" t="str">
        <f t="shared" si="87"/>
        <v/>
      </c>
      <c r="AW115" s="227" t="str">
        <f t="shared" si="88"/>
        <v/>
      </c>
      <c r="AX115" s="227" t="str">
        <f t="shared" si="49"/>
        <v/>
      </c>
      <c r="AY115" s="311" t="str">
        <f t="shared" si="51"/>
        <v/>
      </c>
      <c r="AZ115" s="311">
        <f t="shared" si="50"/>
        <v>104.87114085917199</v>
      </c>
      <c r="BA115" s="311">
        <f t="shared" si="89"/>
        <v>104.87114085917199</v>
      </c>
      <c r="BB115" s="311">
        <f t="shared" si="97"/>
        <v>89.50530818377392</v>
      </c>
      <c r="BC115" s="311">
        <f t="shared" si="133"/>
        <v>89.50530818377392</v>
      </c>
      <c r="BD115" s="227" t="str">
        <f t="shared" si="90"/>
        <v/>
      </c>
      <c r="BE115" s="227" t="str">
        <f t="shared" si="91"/>
        <v/>
      </c>
      <c r="BF115" s="227" t="str">
        <f t="shared" si="92"/>
        <v/>
      </c>
      <c r="BG115" s="227" t="str">
        <f t="shared" si="93"/>
        <v/>
      </c>
      <c r="BH115" s="227" t="str">
        <f t="shared" si="94"/>
        <v/>
      </c>
      <c r="BI115" s="227" t="str">
        <f t="shared" si="95"/>
        <v/>
      </c>
      <c r="BJ115" s="226">
        <f t="shared" si="96"/>
        <v>7945404.4561960753</v>
      </c>
      <c r="BK115" s="335"/>
      <c r="BL115" s="335"/>
      <c r="BM115" s="335"/>
      <c r="BN115" s="335"/>
    </row>
    <row r="116" spans="1:66">
      <c r="A116" s="231">
        <v>171</v>
      </c>
      <c r="B116" s="231" t="str">
        <f>VLOOKUP(A116,'201314 RC list'!A:B,2,FALSE)</f>
        <v>Paediatric Surgery</v>
      </c>
      <c r="C116" s="231"/>
      <c r="D116" s="310" t="str">
        <f t="shared" si="65"/>
        <v>C</v>
      </c>
      <c r="E116" s="231">
        <f>IF(ISERROR(VLOOKUP(A116,Mandatory!A:A,1,FALSE)),0,1)</f>
        <v>1</v>
      </c>
      <c r="F116" s="222">
        <f>VLOOKUP(A116,'Front-loading'!A:AG,$F$6,FALSE)</f>
        <v>967</v>
      </c>
      <c r="G116" s="222">
        <f>VLOOKUP(A116,'Front-loading'!A:AG,$G$6,FALSE)</f>
        <v>53905</v>
      </c>
      <c r="H116" s="222">
        <f>VLOOKUP(A116,'Front-loading'!A:AG,$H$6,FALSE)</f>
        <v>1627</v>
      </c>
      <c r="I116" s="222">
        <f>VLOOKUP(A116,'Front-loading'!A:AG,$I$6,FALSE)</f>
        <v>69188</v>
      </c>
      <c r="J116" s="222">
        <f>VLOOKUP(A116,'Front-loading'!A:AG,$J$6,FALSE)</f>
        <v>183117.80678846705</v>
      </c>
      <c r="K116" s="222">
        <f>VLOOKUP(A116,'Front-loading'!A:AG,$K$6,FALSE)</f>
        <v>9038454.191182401</v>
      </c>
      <c r="L116" s="222">
        <f>VLOOKUP(A116,'Front-loading'!A:AG,$L$6,FALSE)</f>
        <v>246374.05946916467</v>
      </c>
      <c r="M116" s="222">
        <f>VLOOKUP(A116,'Front-loading'!A:AG,$M$6,FALSE)</f>
        <v>7942581.4870129237</v>
      </c>
      <c r="N116" s="223">
        <f t="shared" si="63"/>
        <v>189.36691498290284</v>
      </c>
      <c r="O116" s="223">
        <f t="shared" si="63"/>
        <v>167.67376293817645</v>
      </c>
      <c r="P116" s="223">
        <f t="shared" si="63"/>
        <v>151.42843237195123</v>
      </c>
      <c r="Q116" s="223">
        <f t="shared" si="63"/>
        <v>114.79709612957339</v>
      </c>
      <c r="R116" s="409">
        <f t="shared" si="59"/>
        <v>189.36691498290284</v>
      </c>
      <c r="S116" s="409">
        <f t="shared" si="60"/>
        <v>167.67376293817645</v>
      </c>
      <c r="T116" s="409">
        <f t="shared" si="61"/>
        <v>151.42843237195123</v>
      </c>
      <c r="U116" s="409">
        <f t="shared" si="62"/>
        <v>114.79709612957339</v>
      </c>
      <c r="V116" s="411">
        <f t="shared" si="66"/>
        <v>189.36691498290284</v>
      </c>
      <c r="W116" s="411">
        <f t="shared" si="67"/>
        <v>167.67376293817645</v>
      </c>
      <c r="X116" s="411">
        <f t="shared" si="68"/>
        <v>151.42843237195123</v>
      </c>
      <c r="Y116" s="411">
        <f t="shared" si="69"/>
        <v>114.79709612957339</v>
      </c>
      <c r="Z116" s="411">
        <f t="shared" si="70"/>
        <v>189.36691498290284</v>
      </c>
      <c r="AA116" s="411">
        <f t="shared" si="71"/>
        <v>167.67376293817645</v>
      </c>
      <c r="AB116" s="411">
        <f t="shared" si="72"/>
        <v>151.42843237195123</v>
      </c>
      <c r="AC116" s="411">
        <f t="shared" si="73"/>
        <v>114.79709612957339</v>
      </c>
      <c r="AD116" s="411">
        <f t="shared" si="74"/>
        <v>189.36691498290284</v>
      </c>
      <c r="AE116" s="411">
        <f t="shared" si="75"/>
        <v>167.67376293817645</v>
      </c>
      <c r="AF116" s="411">
        <f t="shared" si="76"/>
        <v>151.42843237195123</v>
      </c>
      <c r="AG116" s="411">
        <f t="shared" si="77"/>
        <v>114.79709612957339</v>
      </c>
      <c r="AH116" s="411">
        <f t="shared" si="78"/>
        <v>189.36691498290284</v>
      </c>
      <c r="AI116" s="411">
        <f t="shared" si="79"/>
        <v>167.67376293817645</v>
      </c>
      <c r="AJ116" s="411">
        <f t="shared" si="80"/>
        <v>151.42843237195123</v>
      </c>
      <c r="AK116" s="411">
        <f t="shared" si="81"/>
        <v>114.79709612957339</v>
      </c>
      <c r="AL116" s="411">
        <f t="shared" si="57"/>
        <v>189.36691498290284</v>
      </c>
      <c r="AM116" s="411">
        <f t="shared" si="54"/>
        <v>167.67376293817645</v>
      </c>
      <c r="AN116" s="411">
        <f t="shared" si="55"/>
        <v>151.42843237195123</v>
      </c>
      <c r="AO116" s="411">
        <f t="shared" si="56"/>
        <v>114.79709612957339</v>
      </c>
      <c r="AP116" s="411">
        <f t="shared" si="82"/>
        <v>189.36691498290284</v>
      </c>
      <c r="AQ116" s="411">
        <f t="shared" si="83"/>
        <v>167.67376293817645</v>
      </c>
      <c r="AR116" s="411">
        <f t="shared" si="84"/>
        <v>151.42843237195123</v>
      </c>
      <c r="AS116" s="411">
        <f t="shared" si="85"/>
        <v>114.79709612957339</v>
      </c>
      <c r="AT116" s="227" t="str">
        <f t="shared" si="132"/>
        <v/>
      </c>
      <c r="AU116" s="227" t="str">
        <f t="shared" si="86"/>
        <v/>
      </c>
      <c r="AV116" s="227" t="str">
        <f t="shared" si="87"/>
        <v/>
      </c>
      <c r="AW116" s="227" t="str">
        <f t="shared" si="88"/>
        <v/>
      </c>
      <c r="AX116" s="227" t="str">
        <f t="shared" si="49"/>
        <v/>
      </c>
      <c r="AY116" s="311" t="str">
        <f t="shared" si="51"/>
        <v/>
      </c>
      <c r="AZ116" s="311">
        <f t="shared" si="50"/>
        <v>189.36691498290284</v>
      </c>
      <c r="BA116" s="311">
        <f t="shared" si="89"/>
        <v>167.67376293817645</v>
      </c>
      <c r="BB116" s="311">
        <f t="shared" si="97"/>
        <v>151.42843237195123</v>
      </c>
      <c r="BC116" s="311">
        <f t="shared" si="133"/>
        <v>114.79709612957339</v>
      </c>
      <c r="BD116" s="227" t="str">
        <f t="shared" si="90"/>
        <v/>
      </c>
      <c r="BE116" s="227" t="str">
        <f t="shared" si="91"/>
        <v/>
      </c>
      <c r="BF116" s="227" t="str">
        <f t="shared" si="92"/>
        <v/>
      </c>
      <c r="BG116" s="227" t="str">
        <f t="shared" si="93"/>
        <v/>
      </c>
      <c r="BH116" s="227" t="str">
        <f t="shared" si="94"/>
        <v/>
      </c>
      <c r="BI116" s="227" t="str">
        <f t="shared" si="95"/>
        <v/>
      </c>
      <c r="BJ116" s="226">
        <f t="shared" si="96"/>
        <v>17410527.544452958</v>
      </c>
      <c r="BK116" s="335"/>
      <c r="BL116" s="335"/>
      <c r="BM116" s="335"/>
      <c r="BN116" s="335"/>
    </row>
    <row r="117" spans="1:66">
      <c r="A117" s="231">
        <v>242</v>
      </c>
      <c r="B117" s="231" t="str">
        <f>VLOOKUP(A117,'201314 RC list'!A:B,2,FALSE)</f>
        <v>Paediatric Intensive Care</v>
      </c>
      <c r="C117" s="231"/>
      <c r="D117" s="310" t="str">
        <f t="shared" si="65"/>
        <v>C</v>
      </c>
      <c r="E117" s="231">
        <f>IF(ISERROR(VLOOKUP(A117,Mandatory!A:A,1,FALSE)),0,1)</f>
        <v>0</v>
      </c>
      <c r="F117" s="222">
        <f>VLOOKUP(A117,'Front-loading'!A:AG,$F$6,FALSE)</f>
        <v>0</v>
      </c>
      <c r="G117" s="222">
        <f>VLOOKUP(A117,'Front-loading'!A:AG,$G$6,FALSE)</f>
        <v>13</v>
      </c>
      <c r="H117" s="222">
        <f>VLOOKUP(A117,'Front-loading'!A:AG,$H$6,FALSE)</f>
        <v>0</v>
      </c>
      <c r="I117" s="222">
        <f>VLOOKUP(A117,'Front-loading'!A:AG,$I$6,FALSE)</f>
        <v>21</v>
      </c>
      <c r="J117" s="222">
        <f>VLOOKUP(A117,'Front-loading'!A:AG,$J$6,FALSE)</f>
        <v>0</v>
      </c>
      <c r="K117" s="222">
        <f>VLOOKUP(A117,'Front-loading'!A:AG,$K$6,FALSE)</f>
        <v>2493.7614262495167</v>
      </c>
      <c r="L117" s="222">
        <f>VLOOKUP(A117,'Front-loading'!A:AG,$L$6,FALSE)</f>
        <v>0</v>
      </c>
      <c r="M117" s="222">
        <f>VLOOKUP(A117,'Front-loading'!A:AG,$M$6,FALSE)</f>
        <v>1243.2911284085612</v>
      </c>
      <c r="N117" s="223">
        <f t="shared" si="63"/>
        <v>0</v>
      </c>
      <c r="O117" s="223">
        <f t="shared" si="63"/>
        <v>191.8278020191936</v>
      </c>
      <c r="P117" s="223">
        <f t="shared" si="63"/>
        <v>0</v>
      </c>
      <c r="Q117" s="223">
        <f t="shared" si="63"/>
        <v>59.204339448026722</v>
      </c>
      <c r="R117" s="409" t="str">
        <f t="shared" si="59"/>
        <v/>
      </c>
      <c r="S117" s="409">
        <f t="shared" si="60"/>
        <v>109.91331043111994</v>
      </c>
      <c r="T117" s="409" t="str">
        <f t="shared" si="61"/>
        <v/>
      </c>
      <c r="U117" s="409">
        <f t="shared" si="62"/>
        <v>109.91331043111994</v>
      </c>
      <c r="V117" s="411" t="str">
        <f t="shared" si="66"/>
        <v/>
      </c>
      <c r="W117" s="411">
        <f t="shared" si="67"/>
        <v>109.91331043111994</v>
      </c>
      <c r="X117" s="411" t="str">
        <f t="shared" si="68"/>
        <v/>
      </c>
      <c r="Y117" s="411">
        <f t="shared" si="69"/>
        <v>109.91331043111994</v>
      </c>
      <c r="Z117" s="411" t="str">
        <f t="shared" si="70"/>
        <v/>
      </c>
      <c r="AA117" s="411">
        <f t="shared" si="71"/>
        <v>109.91331043111994</v>
      </c>
      <c r="AB117" s="411" t="str">
        <f t="shared" si="72"/>
        <v/>
      </c>
      <c r="AC117" s="411">
        <f t="shared" si="73"/>
        <v>109.91331043111994</v>
      </c>
      <c r="AD117" s="411" t="str">
        <f t="shared" si="74"/>
        <v/>
      </c>
      <c r="AE117" s="411">
        <f t="shared" si="75"/>
        <v>109.91331043111994</v>
      </c>
      <c r="AF117" s="411" t="str">
        <f t="shared" si="76"/>
        <v/>
      </c>
      <c r="AG117" s="411">
        <f t="shared" si="77"/>
        <v>109.91331043111994</v>
      </c>
      <c r="AH117" s="411">
        <f t="shared" si="78"/>
        <v>219.82662086223988</v>
      </c>
      <c r="AI117" s="411">
        <f t="shared" si="79"/>
        <v>109.91331043111994</v>
      </c>
      <c r="AJ117" s="411">
        <f t="shared" si="80"/>
        <v>219.82662086223985</v>
      </c>
      <c r="AK117" s="411">
        <f t="shared" si="81"/>
        <v>109.91331043111992</v>
      </c>
      <c r="AL117" s="411">
        <f t="shared" si="57"/>
        <v>219.82662086223988</v>
      </c>
      <c r="AM117" s="411">
        <f t="shared" si="54"/>
        <v>109.91331043111994</v>
      </c>
      <c r="AN117" s="411">
        <f t="shared" si="55"/>
        <v>219.82662086223985</v>
      </c>
      <c r="AO117" s="411">
        <f t="shared" si="56"/>
        <v>109.91331043111992</v>
      </c>
      <c r="AP117" s="411">
        <f t="shared" si="82"/>
        <v>219.82662086223988</v>
      </c>
      <c r="AQ117" s="411">
        <f t="shared" si="83"/>
        <v>109.91331043111994</v>
      </c>
      <c r="AR117" s="411">
        <f t="shared" si="84"/>
        <v>219.82662086223985</v>
      </c>
      <c r="AS117" s="411">
        <f t="shared" si="85"/>
        <v>109.91331043111992</v>
      </c>
      <c r="AT117" s="227" t="str">
        <f t="shared" si="132"/>
        <v/>
      </c>
      <c r="AU117" s="227" t="str">
        <f t="shared" si="86"/>
        <v/>
      </c>
      <c r="AV117" s="227" t="str">
        <f t="shared" si="87"/>
        <v/>
      </c>
      <c r="AW117" s="227" t="str">
        <f t="shared" si="88"/>
        <v/>
      </c>
      <c r="AX117" s="227" t="str">
        <f t="shared" si="49"/>
        <v/>
      </c>
      <c r="AY117" s="311" t="str">
        <f t="shared" si="51"/>
        <v/>
      </c>
      <c r="AZ117" s="311">
        <f t="shared" si="50"/>
        <v>219.82662086223988</v>
      </c>
      <c r="BA117" s="311">
        <f t="shared" si="89"/>
        <v>109.91331043111994</v>
      </c>
      <c r="BB117" s="311">
        <f t="shared" si="97"/>
        <v>219.82662086223985</v>
      </c>
      <c r="BC117" s="311">
        <f t="shared" si="133"/>
        <v>109.91331043111992</v>
      </c>
      <c r="BD117" s="311" t="str">
        <f t="shared" si="90"/>
        <v/>
      </c>
      <c r="BE117" s="311" t="str">
        <f t="shared" si="91"/>
        <v/>
      </c>
      <c r="BF117" s="311" t="str">
        <f t="shared" si="92"/>
        <v/>
      </c>
      <c r="BG117" s="311" t="str">
        <f t="shared" si="93"/>
        <v/>
      </c>
      <c r="BH117" s="311" t="str">
        <f t="shared" si="94"/>
        <v/>
      </c>
      <c r="BI117" s="311" t="str">
        <f t="shared" si="95"/>
        <v/>
      </c>
      <c r="BJ117" s="226">
        <f t="shared" si="96"/>
        <v>3737.0525546580775</v>
      </c>
      <c r="BK117" s="335"/>
      <c r="BL117" s="335"/>
      <c r="BM117" s="335"/>
      <c r="BN117" s="335"/>
    </row>
    <row r="118" spans="1:66">
      <c r="A118" s="231">
        <v>261</v>
      </c>
      <c r="B118" s="231" t="str">
        <f>VLOOKUP(A118,'201314 RC list'!A:B,2,FALSE)</f>
        <v>Paediatric Metabolic Disease</v>
      </c>
      <c r="C118" s="231"/>
      <c r="D118" s="310" t="str">
        <f t="shared" si="65"/>
        <v>C</v>
      </c>
      <c r="E118" s="231">
        <f>IF(ISERROR(VLOOKUP(A118,Mandatory!A:A,1,FALSE)),0,1)</f>
        <v>0</v>
      </c>
      <c r="F118" s="222">
        <f>VLOOKUP(A118,'Front-loading'!A:AG,$F$6,FALSE)</f>
        <v>85</v>
      </c>
      <c r="G118" s="222">
        <f>VLOOKUP(A118,'Front-loading'!A:AG,$G$6,FALSE)</f>
        <v>1220</v>
      </c>
      <c r="H118" s="222">
        <f>VLOOKUP(A118,'Front-loading'!A:AG,$H$6,FALSE)</f>
        <v>726</v>
      </c>
      <c r="I118" s="222">
        <f>VLOOKUP(A118,'Front-loading'!A:AG,$I$6,FALSE)</f>
        <v>8106</v>
      </c>
      <c r="J118" s="222">
        <f>VLOOKUP(A118,'Front-loading'!A:AG,$J$6,FALSE)</f>
        <v>64421.309282769143</v>
      </c>
      <c r="K118" s="222">
        <f>VLOOKUP(A118,'Front-loading'!A:AG,$K$6,FALSE)</f>
        <v>950315.32442204701</v>
      </c>
      <c r="L118" s="222">
        <f>VLOOKUP(A118,'Front-loading'!A:AG,$L$6,FALSE)</f>
        <v>398548.44420539943</v>
      </c>
      <c r="M118" s="222">
        <f>VLOOKUP(A118,'Front-loading'!A:AG,$M$6,FALSE)</f>
        <v>3343703.5374517078</v>
      </c>
      <c r="N118" s="223">
        <f t="shared" si="63"/>
        <v>757.8977562678723</v>
      </c>
      <c r="O118" s="223">
        <f t="shared" si="63"/>
        <v>778.94698723118609</v>
      </c>
      <c r="P118" s="223">
        <f t="shared" si="63"/>
        <v>548.96479918099089</v>
      </c>
      <c r="Q118" s="223">
        <f t="shared" si="63"/>
        <v>412.49735226396592</v>
      </c>
      <c r="R118" s="409">
        <f t="shared" si="59"/>
        <v>757.8977562678723</v>
      </c>
      <c r="S118" s="409">
        <f t="shared" si="60"/>
        <v>778.94698723118609</v>
      </c>
      <c r="T118" s="409">
        <f t="shared" si="61"/>
        <v>548.96479918099089</v>
      </c>
      <c r="U118" s="409">
        <f t="shared" si="62"/>
        <v>412.49735226396592</v>
      </c>
      <c r="V118" s="411">
        <f t="shared" si="66"/>
        <v>757.8977562678723</v>
      </c>
      <c r="W118" s="411">
        <f t="shared" si="67"/>
        <v>778.94698723118609</v>
      </c>
      <c r="X118" s="411">
        <f t="shared" si="68"/>
        <v>548.96479918099089</v>
      </c>
      <c r="Y118" s="411">
        <f t="shared" si="69"/>
        <v>412.49735226396592</v>
      </c>
      <c r="Z118" s="411">
        <f t="shared" si="70"/>
        <v>757.8977562678723</v>
      </c>
      <c r="AA118" s="411">
        <f t="shared" si="71"/>
        <v>778.94698723118609</v>
      </c>
      <c r="AB118" s="411">
        <f t="shared" si="72"/>
        <v>548.96479918099089</v>
      </c>
      <c r="AC118" s="411">
        <f t="shared" si="73"/>
        <v>412.49735226396592</v>
      </c>
      <c r="AD118" s="411">
        <f t="shared" si="74"/>
        <v>777.57596452476332</v>
      </c>
      <c r="AE118" s="411">
        <f t="shared" si="75"/>
        <v>777.57596452476332</v>
      </c>
      <c r="AF118" s="411">
        <f t="shared" si="76"/>
        <v>548.96479918099089</v>
      </c>
      <c r="AG118" s="411">
        <f t="shared" si="77"/>
        <v>412.49735226396592</v>
      </c>
      <c r="AH118" s="411">
        <f t="shared" si="78"/>
        <v>777.57596452476332</v>
      </c>
      <c r="AI118" s="411">
        <f t="shared" si="79"/>
        <v>777.57596452476332</v>
      </c>
      <c r="AJ118" s="411">
        <f t="shared" si="80"/>
        <v>548.96479918099089</v>
      </c>
      <c r="AK118" s="411">
        <f t="shared" si="81"/>
        <v>412.49735226396592</v>
      </c>
      <c r="AL118" s="411">
        <f t="shared" si="57"/>
        <v>777.57596452476332</v>
      </c>
      <c r="AM118" s="411">
        <f t="shared" si="54"/>
        <v>777.57596452476332</v>
      </c>
      <c r="AN118" s="411">
        <f t="shared" si="55"/>
        <v>548.96479918099089</v>
      </c>
      <c r="AO118" s="411">
        <f t="shared" si="56"/>
        <v>412.49735226396592</v>
      </c>
      <c r="AP118" s="411">
        <f t="shared" si="82"/>
        <v>777.57596452476332</v>
      </c>
      <c r="AQ118" s="411">
        <f t="shared" si="83"/>
        <v>777.57596452476332</v>
      </c>
      <c r="AR118" s="411">
        <f t="shared" si="84"/>
        <v>548.96479918099089</v>
      </c>
      <c r="AS118" s="411">
        <f t="shared" si="85"/>
        <v>412.49735226396592</v>
      </c>
      <c r="AT118" s="227" t="str">
        <f t="shared" si="132"/>
        <v/>
      </c>
      <c r="AU118" s="227" t="str">
        <f t="shared" si="86"/>
        <v/>
      </c>
      <c r="AV118" s="227" t="str">
        <f t="shared" si="87"/>
        <v/>
      </c>
      <c r="AW118" s="227" t="str">
        <f t="shared" si="88"/>
        <v/>
      </c>
      <c r="AX118" s="227" t="str">
        <f t="shared" si="49"/>
        <v/>
      </c>
      <c r="AY118" s="311" t="str">
        <f t="shared" si="51"/>
        <v/>
      </c>
      <c r="AZ118" s="311">
        <f t="shared" si="50"/>
        <v>777.57596452476332</v>
      </c>
      <c r="BA118" s="311">
        <f t="shared" si="89"/>
        <v>777.57596452476332</v>
      </c>
      <c r="BB118" s="311">
        <f t="shared" si="97"/>
        <v>548.96479918099089</v>
      </c>
      <c r="BC118" s="311">
        <f t="shared" si="133"/>
        <v>412.49735226396592</v>
      </c>
      <c r="BD118" s="311" t="str">
        <f t="shared" si="90"/>
        <v/>
      </c>
      <c r="BE118" s="311" t="str">
        <f t="shared" si="91"/>
        <v/>
      </c>
      <c r="BF118" s="311" t="str">
        <f t="shared" si="92"/>
        <v/>
      </c>
      <c r="BG118" s="311" t="str">
        <f t="shared" si="93"/>
        <v/>
      </c>
      <c r="BH118" s="311" t="str">
        <f t="shared" si="94"/>
        <v/>
      </c>
      <c r="BI118" s="311" t="str">
        <f t="shared" si="95"/>
        <v/>
      </c>
      <c r="BJ118" s="226">
        <f t="shared" si="96"/>
        <v>4756988.6153619234</v>
      </c>
      <c r="BK118" s="335"/>
      <c r="BL118" s="335"/>
      <c r="BM118" s="335"/>
      <c r="BN118" s="335"/>
    </row>
    <row r="119" spans="1:66">
      <c r="A119" s="231">
        <v>420</v>
      </c>
      <c r="B119" s="231" t="str">
        <f>VLOOKUP(A119,'201314 RC list'!A:B,2,FALSE)</f>
        <v>Paediatrics</v>
      </c>
      <c r="C119" s="231"/>
      <c r="D119" s="310" t="str">
        <f t="shared" si="65"/>
        <v>C</v>
      </c>
      <c r="E119" s="231">
        <f>IF(ISERROR(VLOOKUP(A119,Mandatory!A:A,1,FALSE)),0,1)</f>
        <v>1</v>
      </c>
      <c r="F119" s="222">
        <f>VLOOKUP(A119,'Front-loading'!A:AG,$F$6,FALSE)</f>
        <v>9164</v>
      </c>
      <c r="G119" s="222">
        <f>VLOOKUP(A119,'Front-loading'!A:AG,$G$6,FALSE)</f>
        <v>577402</v>
      </c>
      <c r="H119" s="222">
        <f>VLOOKUP(A119,'Front-loading'!A:AG,$H$6,FALSE)</f>
        <v>23065</v>
      </c>
      <c r="I119" s="222">
        <f>VLOOKUP(A119,'Front-loading'!A:AG,$I$6,FALSE)</f>
        <v>793601</v>
      </c>
      <c r="J119" s="222">
        <f>VLOOKUP(A119,'Front-loading'!A:AG,$J$6,FALSE)</f>
        <v>2637641.3929124633</v>
      </c>
      <c r="K119" s="222">
        <f>VLOOKUP(A119,'Front-loading'!A:AG,$K$6,FALSE)</f>
        <v>138031509.66983017</v>
      </c>
      <c r="L119" s="222">
        <f>VLOOKUP(A119,'Front-loading'!A:AG,$L$6,FALSE)</f>
        <v>3855055.9097400336</v>
      </c>
      <c r="M119" s="222">
        <f>VLOOKUP(A119,'Front-loading'!A:AG,$M$6,FALSE)</f>
        <v>115880014.41836339</v>
      </c>
      <c r="N119" s="223">
        <f t="shared" si="63"/>
        <v>287.82642873335482</v>
      </c>
      <c r="O119" s="223">
        <f t="shared" si="63"/>
        <v>239.05616826722141</v>
      </c>
      <c r="P119" s="223">
        <f t="shared" si="63"/>
        <v>167.13877779059325</v>
      </c>
      <c r="Q119" s="223">
        <f t="shared" si="63"/>
        <v>146.01797933516136</v>
      </c>
      <c r="R119" s="409">
        <f t="shared" si="59"/>
        <v>287.82642873335482</v>
      </c>
      <c r="S119" s="409">
        <f t="shared" si="60"/>
        <v>239.05616826722141</v>
      </c>
      <c r="T119" s="409">
        <f t="shared" si="61"/>
        <v>167.13877779059325</v>
      </c>
      <c r="U119" s="409">
        <f t="shared" si="62"/>
        <v>146.01797933516136</v>
      </c>
      <c r="V119" s="411">
        <f t="shared" si="66"/>
        <v>287.82642873335482</v>
      </c>
      <c r="W119" s="411">
        <f t="shared" si="67"/>
        <v>239.05616826722141</v>
      </c>
      <c r="X119" s="411">
        <f t="shared" si="68"/>
        <v>167.13877779059325</v>
      </c>
      <c r="Y119" s="411">
        <f t="shared" si="69"/>
        <v>146.01797933516136</v>
      </c>
      <c r="Z119" s="411">
        <f t="shared" si="70"/>
        <v>287.82642873335482</v>
      </c>
      <c r="AA119" s="411">
        <f t="shared" si="71"/>
        <v>239.05616826722141</v>
      </c>
      <c r="AB119" s="411">
        <f t="shared" si="72"/>
        <v>167.13877779059325</v>
      </c>
      <c r="AC119" s="411">
        <f t="shared" si="73"/>
        <v>146.01797933516136</v>
      </c>
      <c r="AD119" s="411">
        <f t="shared" si="74"/>
        <v>287.82642873335482</v>
      </c>
      <c r="AE119" s="411">
        <f t="shared" si="75"/>
        <v>239.05616826722141</v>
      </c>
      <c r="AF119" s="411">
        <f t="shared" si="76"/>
        <v>167.13877779059325</v>
      </c>
      <c r="AG119" s="411">
        <f t="shared" si="77"/>
        <v>146.01797933516136</v>
      </c>
      <c r="AH119" s="411">
        <f t="shared" si="78"/>
        <v>287.82642873335482</v>
      </c>
      <c r="AI119" s="411">
        <f t="shared" si="79"/>
        <v>239.05616826722141</v>
      </c>
      <c r="AJ119" s="411">
        <f t="shared" si="80"/>
        <v>167.13877779059325</v>
      </c>
      <c r="AK119" s="411">
        <f t="shared" si="81"/>
        <v>146.01797933516136</v>
      </c>
      <c r="AL119" s="411">
        <f t="shared" si="57"/>
        <v>287.82642873335482</v>
      </c>
      <c r="AM119" s="411">
        <f t="shared" si="54"/>
        <v>239.05616826722141</v>
      </c>
      <c r="AN119" s="411">
        <f t="shared" si="55"/>
        <v>167.13877779059325</v>
      </c>
      <c r="AO119" s="411">
        <f t="shared" si="56"/>
        <v>146.01797933516136</v>
      </c>
      <c r="AP119" s="411">
        <f t="shared" si="82"/>
        <v>287.82642873335482</v>
      </c>
      <c r="AQ119" s="411">
        <f t="shared" si="83"/>
        <v>239.05616826722141</v>
      </c>
      <c r="AR119" s="411">
        <f t="shared" si="84"/>
        <v>167.13877779059325</v>
      </c>
      <c r="AS119" s="411">
        <f t="shared" si="85"/>
        <v>146.01797933516136</v>
      </c>
      <c r="AT119" s="227" t="str">
        <f t="shared" si="132"/>
        <v/>
      </c>
      <c r="AU119" s="227" t="str">
        <f t="shared" si="86"/>
        <v/>
      </c>
      <c r="AV119" s="227" t="str">
        <f t="shared" si="87"/>
        <v/>
      </c>
      <c r="AW119" s="227" t="str">
        <f>IF(AR119&lt;AS119,"2FU","")</f>
        <v/>
      </c>
      <c r="AX119" s="227" t="str">
        <f t="shared" si="49"/>
        <v/>
      </c>
      <c r="AY119" s="311" t="str">
        <f t="shared" si="51"/>
        <v/>
      </c>
      <c r="AZ119" s="311">
        <f t="shared" si="50"/>
        <v>287.82642873335482</v>
      </c>
      <c r="BA119" s="311">
        <f t="shared" si="89"/>
        <v>239.05616826722141</v>
      </c>
      <c r="BB119" s="311">
        <f t="shared" si="97"/>
        <v>167.13877779059325</v>
      </c>
      <c r="BC119" s="311">
        <f t="shared" si="133"/>
        <v>146.01797933516136</v>
      </c>
      <c r="BD119" s="311" t="str">
        <f t="shared" si="90"/>
        <v/>
      </c>
      <c r="BE119" s="311" t="str">
        <f t="shared" si="91"/>
        <v/>
      </c>
      <c r="BF119" s="311" t="str">
        <f t="shared" si="92"/>
        <v/>
      </c>
      <c r="BG119" s="311" t="str">
        <f t="shared" si="93"/>
        <v/>
      </c>
      <c r="BH119" s="311" t="str">
        <f t="shared" si="94"/>
        <v/>
      </c>
      <c r="BI119" s="311" t="str">
        <f t="shared" si="95"/>
        <v/>
      </c>
      <c r="BJ119" s="226">
        <f t="shared" si="96"/>
        <v>260404221.39084607</v>
      </c>
      <c r="BK119" s="335"/>
      <c r="BL119" s="335"/>
      <c r="BM119" s="335"/>
      <c r="BN119" s="335"/>
    </row>
    <row r="120" spans="1:66">
      <c r="A120" s="231">
        <v>108</v>
      </c>
      <c r="B120" s="231" t="str">
        <f>VLOOKUP(A120,'201314 RC list'!A:B,2,FALSE)</f>
        <v>Spinal Surgery Service</v>
      </c>
      <c r="C120" s="231"/>
      <c r="D120" s="310" t="str">
        <f t="shared" ref="D120:D145" si="134">IF(ISERROR(FIND("Paed",B120,1)),"A","C")</f>
        <v>A</v>
      </c>
      <c r="E120" s="231">
        <f>IF(ISERROR(VLOOKUP(A120,Mandatory!A:A,1,FALSE)),0,1)</f>
        <v>1</v>
      </c>
      <c r="F120" s="222">
        <f>VLOOKUP(A120,'Front-loading'!A:AG,$F$6,FALSE)</f>
        <v>258</v>
      </c>
      <c r="G120" s="222">
        <f>VLOOKUP(A120,'Front-loading'!A:AG,$G$6,FALSE)</f>
        <v>14517</v>
      </c>
      <c r="H120" s="222">
        <f>VLOOKUP(A120,'Front-loading'!A:AG,$H$6,FALSE)</f>
        <v>872</v>
      </c>
      <c r="I120" s="222">
        <f>VLOOKUP(A120,'Front-loading'!A:AG,$I$6,FALSE)</f>
        <v>33756</v>
      </c>
      <c r="J120" s="222">
        <f>VLOOKUP(A120,'Front-loading'!A:AG,$J$6,FALSE)</f>
        <v>17532.920559640934</v>
      </c>
      <c r="K120" s="222">
        <f>VLOOKUP(A120,'Front-loading'!A:AG,$K$6,FALSE)</f>
        <v>2712212.0134033537</v>
      </c>
      <c r="L120" s="222">
        <f>VLOOKUP(A120,'Front-loading'!A:AG,$L$6,FALSE)</f>
        <v>49157.546802005105</v>
      </c>
      <c r="M120" s="222">
        <f>VLOOKUP(A120,'Front-loading'!A:AG,$M$6,FALSE)</f>
        <v>3906363.1362495082</v>
      </c>
      <c r="N120" s="223">
        <f t="shared" ref="N120:N145" si="135">IF(F120=0,0,J120/F120)</f>
        <v>67.957056432716797</v>
      </c>
      <c r="O120" s="223">
        <f t="shared" ref="O120:O145" si="136">IF(G120=0,0,K120/G120)</f>
        <v>186.83006223071942</v>
      </c>
      <c r="P120" s="223">
        <f t="shared" ref="P120:P145" si="137">IF(H120=0,0,L120/H120)</f>
        <v>56.373333488537966</v>
      </c>
      <c r="Q120" s="223">
        <f t="shared" ref="Q120:Q145" si="138">IF(I120=0,0,M120/I120)</f>
        <v>115.72351985571478</v>
      </c>
      <c r="R120" s="409">
        <f t="shared" si="59"/>
        <v>67.957056432716797</v>
      </c>
      <c r="S120" s="409">
        <f t="shared" si="60"/>
        <v>186.83006223071942</v>
      </c>
      <c r="T120" s="409">
        <f t="shared" si="61"/>
        <v>56.373333488537966</v>
      </c>
      <c r="U120" s="409">
        <f t="shared" si="62"/>
        <v>115.72351985571478</v>
      </c>
      <c r="V120" s="411">
        <f t="shared" ref="V120:V145" si="139">IF(ISERROR(R120),S120,R120)</f>
        <v>67.957056432716797</v>
      </c>
      <c r="W120" s="411">
        <f t="shared" ref="W120:W145" si="140">S120</f>
        <v>186.83006223071942</v>
      </c>
      <c r="X120" s="411">
        <f t="shared" ref="X120:X145" si="141">IF(ISERROR(T120),U120,T120)</f>
        <v>56.373333488537966</v>
      </c>
      <c r="Y120" s="411">
        <f t="shared" ref="Y120:Y145" si="142">U120</f>
        <v>115.72351985571478</v>
      </c>
      <c r="Z120" s="411">
        <f t="shared" ref="Z120:Z145" si="143">IF(F120=0,V120,IF(V120&lt;X120,((V120*F120)+(H120*X120))/(F120+H120),V120))</f>
        <v>67.957056432716797</v>
      </c>
      <c r="AA120" s="411">
        <f t="shared" ref="AA120:AA145" si="144">IF(G120=0,W120,IF(W120&lt;Y120,((W120*G120)+(I120*Y120))/(G120+I120),W120))</f>
        <v>186.83006223071942</v>
      </c>
      <c r="AB120" s="411">
        <f t="shared" ref="AB120:AB145" si="145">IF(F120=0,X120,IF(V120&lt;X120,((V120*F120)+(H120*X120))/(F120+H120),X120))</f>
        <v>56.373333488537966</v>
      </c>
      <c r="AC120" s="411">
        <f t="shared" ref="AC120:AC145" si="146">IF(G120=0,Y120,IF(W120&lt;Y120,((W120*G120)+(I120*Y120))/(G120+I120),Y120))</f>
        <v>115.72351985571478</v>
      </c>
      <c r="AD120" s="411">
        <f t="shared" ref="AD120:AD145" si="147">IF(Z120&lt;AA120,SUMPRODUCT(Z120:AA120,F120:G120)/SUM(F120:G120),Z120)</f>
        <v>184.75431025130251</v>
      </c>
      <c r="AE120" s="411">
        <f t="shared" ref="AE120:AE145" si="148">IF(Z120&lt;AA120,SUMPRODUCT(Z120:AA120,F120:G120)/SUM(F120:G120),AA120)</f>
        <v>184.75431025130251</v>
      </c>
      <c r="AF120" s="411">
        <f t="shared" ref="AF120:AF145" si="149">IF(AB120&lt;AC120,SUMPRODUCT(AB120:AC120,H120:I120)/SUM(H120:I120),AB120)</f>
        <v>114.2289673978143</v>
      </c>
      <c r="AG120" s="411">
        <f t="shared" ref="AG120:AG145" si="150">IF(AB120&lt;AC120,SUMPRODUCT(AB120:AC120,H120:I120)/SUM(H120:I120),AC120)</f>
        <v>114.2289673978143</v>
      </c>
      <c r="AH120" s="411">
        <f t="shared" ref="AH120:AH145" si="151">IF(AD120&gt;2*AE120,(SUMPRODUCT(AD120:AE120,F120:G120)/(2*F120+G120))*2,AD120)</f>
        <v>184.75431025130251</v>
      </c>
      <c r="AI120" s="411">
        <f t="shared" ref="AI120:AI145" si="152">IF(AD120&gt;2*AE120,(SUMPRODUCT(AD120:AE120,F120:G120)/(2*F120+G120)),AE120)</f>
        <v>184.75431025130251</v>
      </c>
      <c r="AJ120" s="411">
        <f t="shared" ref="AJ120:AJ145" si="153">IF(AF120&gt;2*AG120,(SUMPRODUCT(AF120:AG120,H120:I120)/(2*H120+I120))*2,AF120)</f>
        <v>114.2289673978143</v>
      </c>
      <c r="AK120" s="411">
        <f t="shared" ref="AK120:AK145" si="154">IF(AF120&gt;2*AG120,(SUMPRODUCT(AF120:AG120,H120:I120)/(2*H120+I120)),AG120)</f>
        <v>114.2289673978143</v>
      </c>
      <c r="AL120" s="411">
        <f t="shared" si="57"/>
        <v>184.75431025130251</v>
      </c>
      <c r="AM120" s="411">
        <f t="shared" si="54"/>
        <v>184.75431025130251</v>
      </c>
      <c r="AN120" s="411">
        <f t="shared" si="55"/>
        <v>114.2289673978143</v>
      </c>
      <c r="AO120" s="411">
        <f t="shared" si="56"/>
        <v>114.2289673978143</v>
      </c>
      <c r="AP120" s="411">
        <f t="shared" ref="AP120:AP145" si="155">AL120</f>
        <v>184.75431025130251</v>
      </c>
      <c r="AQ120" s="411">
        <f t="shared" ref="AQ120:AQ145" si="156">AM120</f>
        <v>184.75431025130251</v>
      </c>
      <c r="AR120" s="411">
        <f t="shared" ref="AR120:AR145" si="157">AN120</f>
        <v>114.2289673978143</v>
      </c>
      <c r="AS120" s="411">
        <f t="shared" ref="AS120:AS145" si="158">AO120</f>
        <v>114.2289673978143</v>
      </c>
      <c r="AT120" s="227" t="str">
        <f t="shared" si="132"/>
        <v/>
      </c>
      <c r="AU120" s="227" t="str">
        <f t="shared" ref="AU120:AU145" si="159">IF(AQ120&lt;AS120,((AQ120*G120)+(AS120*I120))/(G120+I120),"")</f>
        <v/>
      </c>
      <c r="AV120" s="227" t="str">
        <f t="shared" ref="AV120:AV145" si="160">IF(AP120&lt;AQ120,"2FA","")</f>
        <v/>
      </c>
      <c r="AW120" s="227" t="str">
        <f t="shared" ref="AW120:AW145" si="161">IF(AR120&lt;AS120,"2FU","")</f>
        <v/>
      </c>
      <c r="AX120" s="227" t="str">
        <f t="shared" ref="AX120:AX145" si="162">IF(AP120&gt;2*AQ120,2*AQ120,"")</f>
        <v/>
      </c>
      <c r="AY120" s="311" t="str">
        <f t="shared" ref="AY120:AY145" si="163">IF(AR120&gt;2*AS120,2*AS120,"")</f>
        <v/>
      </c>
      <c r="AZ120" s="311">
        <f t="shared" ref="AZ120:AZ145" si="164">IF(AX120="",AP120,AX120)</f>
        <v>184.75431025130251</v>
      </c>
      <c r="BA120" s="311">
        <f t="shared" ref="BA120:BA145" si="165">AQ120</f>
        <v>184.75431025130251</v>
      </c>
      <c r="BB120" s="311">
        <f t="shared" ref="BB120:BB145" si="166">IF(AT120&lt;&gt;"",AT120,IF(AY120&lt;&gt;"",AY120,AR120))</f>
        <v>114.2289673978143</v>
      </c>
      <c r="BC120" s="311">
        <f t="shared" ref="BC120:BC145" si="167">IF(AU120="",AS120,AU120)</f>
        <v>114.2289673978143</v>
      </c>
      <c r="BD120" s="227" t="str">
        <f t="shared" ref="BD120:BD145" si="168">IF(AZ120&lt;BB120,"1FA","")</f>
        <v/>
      </c>
      <c r="BE120" s="227" t="str">
        <f t="shared" ref="BE120:BE145" si="169">IF(BA120&lt;BC120,"1FU","")</f>
        <v/>
      </c>
      <c r="BF120" s="227" t="str">
        <f t="shared" ref="BF120:BF145" si="170">IF(AZ120&lt;BA120,"2FA","")</f>
        <v/>
      </c>
      <c r="BG120" s="227" t="str">
        <f t="shared" ref="BG120:BG145" si="171">IF(BB120&lt;BC120,"2FU","")</f>
        <v/>
      </c>
      <c r="BH120" s="227" t="str">
        <f t="shared" ref="BH120:BH145" si="172">IF(AZ120&gt;2*BA120,"3FA","")</f>
        <v/>
      </c>
      <c r="BI120" s="227" t="str">
        <f t="shared" ref="BI120:BI145" si="173">IF(BB120&gt;2*BC120,"3FU","")</f>
        <v/>
      </c>
      <c r="BJ120" s="226">
        <f t="shared" ref="BJ120:BJ145" si="174">SUMPRODUCT(AZ120:BC120,F120:I120)</f>
        <v>6685265.6170145087</v>
      </c>
      <c r="BK120" s="335"/>
      <c r="BL120" s="335"/>
      <c r="BM120" s="335"/>
      <c r="BN120" s="335"/>
    </row>
    <row r="121" spans="1:66">
      <c r="A121" s="231">
        <v>223</v>
      </c>
      <c r="B121" s="231" t="str">
        <f>VLOOKUP(A121,'201314 RC list'!A:B,2,FALSE)</f>
        <v>Paediatric Epilepsy</v>
      </c>
      <c r="C121" s="231"/>
      <c r="D121" s="310" t="str">
        <f t="shared" si="134"/>
        <v>C</v>
      </c>
      <c r="E121" s="231">
        <f>IF(ISERROR(VLOOKUP(A121,Mandatory!A:A,1,FALSE)),0,1)</f>
        <v>1</v>
      </c>
      <c r="F121" s="222">
        <f>VLOOKUP(A121,'Front-loading'!A:AG,$F$6,FALSE)</f>
        <v>36</v>
      </c>
      <c r="G121" s="222">
        <f>VLOOKUP(A121,'Front-loading'!A:AG,$G$6,FALSE)</f>
        <v>638</v>
      </c>
      <c r="H121" s="222">
        <f>VLOOKUP(A121,'Front-loading'!A:AG,$H$6,FALSE)</f>
        <v>236</v>
      </c>
      <c r="I121" s="222">
        <f>VLOOKUP(A121,'Front-loading'!A:AG,$I$6,FALSE)</f>
        <v>2476</v>
      </c>
      <c r="J121" s="222">
        <f>VLOOKUP(A121,'Front-loading'!A:AG,$J$6,FALSE)</f>
        <v>8925.258460184159</v>
      </c>
      <c r="K121" s="222">
        <f>VLOOKUP(A121,'Front-loading'!A:AG,$K$6,FALSE)</f>
        <v>205334.8168621053</v>
      </c>
      <c r="L121" s="222">
        <f>VLOOKUP(A121,'Front-loading'!A:AG,$L$6,FALSE)</f>
        <v>28472.036840357581</v>
      </c>
      <c r="M121" s="222">
        <f>VLOOKUP(A121,'Front-loading'!A:AG,$M$6,FALSE)</f>
        <v>366161.29905270872</v>
      </c>
      <c r="N121" s="223">
        <f t="shared" si="135"/>
        <v>247.92384611622663</v>
      </c>
      <c r="O121" s="223">
        <f t="shared" si="136"/>
        <v>321.84140573997695</v>
      </c>
      <c r="P121" s="223">
        <f t="shared" si="137"/>
        <v>120.64422389982026</v>
      </c>
      <c r="Q121" s="223">
        <f t="shared" si="138"/>
        <v>147.88420801805682</v>
      </c>
      <c r="R121" s="409">
        <f t="shared" si="59"/>
        <v>137.49005625199169</v>
      </c>
      <c r="S121" s="409">
        <f t="shared" si="60"/>
        <v>321.84140573997695</v>
      </c>
      <c r="T121" s="409">
        <f t="shared" si="61"/>
        <v>137.49005625199169</v>
      </c>
      <c r="U121" s="409">
        <f t="shared" si="62"/>
        <v>147.88420801805682</v>
      </c>
      <c r="V121" s="411">
        <f t="shared" si="139"/>
        <v>137.49005625199169</v>
      </c>
      <c r="W121" s="411">
        <f t="shared" si="140"/>
        <v>321.84140573997695</v>
      </c>
      <c r="X121" s="411">
        <f t="shared" si="141"/>
        <v>137.49005625199169</v>
      </c>
      <c r="Y121" s="411">
        <f t="shared" si="142"/>
        <v>147.88420801805682</v>
      </c>
      <c r="Z121" s="411">
        <f t="shared" si="143"/>
        <v>137.49005625199169</v>
      </c>
      <c r="AA121" s="411">
        <f t="shared" si="144"/>
        <v>321.84140573997695</v>
      </c>
      <c r="AB121" s="411">
        <f t="shared" si="145"/>
        <v>137.49005625199169</v>
      </c>
      <c r="AC121" s="411">
        <f t="shared" si="146"/>
        <v>147.88420801805682</v>
      </c>
      <c r="AD121" s="411">
        <f t="shared" si="147"/>
        <v>311.99474612340799</v>
      </c>
      <c r="AE121" s="411">
        <f t="shared" si="148"/>
        <v>311.99474612340799</v>
      </c>
      <c r="AF121" s="411">
        <f t="shared" si="149"/>
        <v>146.9797021859066</v>
      </c>
      <c r="AG121" s="411">
        <f t="shared" si="150"/>
        <v>146.9797021859066</v>
      </c>
      <c r="AH121" s="411">
        <f t="shared" si="151"/>
        <v>311.99474612340799</v>
      </c>
      <c r="AI121" s="411">
        <f t="shared" si="152"/>
        <v>311.99474612340799</v>
      </c>
      <c r="AJ121" s="411">
        <f t="shared" si="153"/>
        <v>146.9797021859066</v>
      </c>
      <c r="AK121" s="411">
        <f t="shared" si="154"/>
        <v>146.9797021859066</v>
      </c>
      <c r="AL121" s="411">
        <f t="shared" si="57"/>
        <v>311.99474612340799</v>
      </c>
      <c r="AM121" s="411">
        <f t="shared" si="54"/>
        <v>311.99474612340799</v>
      </c>
      <c r="AN121" s="411">
        <f t="shared" si="55"/>
        <v>146.9797021859066</v>
      </c>
      <c r="AO121" s="411">
        <f t="shared" si="56"/>
        <v>146.9797021859066</v>
      </c>
      <c r="AP121" s="411">
        <f t="shared" si="155"/>
        <v>311.99474612340799</v>
      </c>
      <c r="AQ121" s="411">
        <f t="shared" si="156"/>
        <v>311.99474612340799</v>
      </c>
      <c r="AR121" s="411">
        <f t="shared" si="157"/>
        <v>146.9797021859066</v>
      </c>
      <c r="AS121" s="411">
        <f t="shared" si="158"/>
        <v>146.9797021859066</v>
      </c>
      <c r="AT121" s="227" t="str">
        <f t="shared" si="132"/>
        <v/>
      </c>
      <c r="AU121" s="227" t="str">
        <f t="shared" si="159"/>
        <v/>
      </c>
      <c r="AV121" s="227" t="str">
        <f t="shared" si="160"/>
        <v/>
      </c>
      <c r="AW121" s="227" t="str">
        <f t="shared" si="161"/>
        <v/>
      </c>
      <c r="AX121" s="227" t="str">
        <f t="shared" si="162"/>
        <v/>
      </c>
      <c r="AY121" s="311" t="str">
        <f t="shared" si="163"/>
        <v/>
      </c>
      <c r="AZ121" s="311">
        <f t="shared" si="164"/>
        <v>311.99474612340799</v>
      </c>
      <c r="BA121" s="311">
        <f t="shared" si="165"/>
        <v>311.99474612340799</v>
      </c>
      <c r="BB121" s="311">
        <f t="shared" si="166"/>
        <v>146.9797021859066</v>
      </c>
      <c r="BC121" s="311">
        <f t="shared" si="167"/>
        <v>146.9797021859066</v>
      </c>
      <c r="BD121" s="227" t="str">
        <f t="shared" si="168"/>
        <v/>
      </c>
      <c r="BE121" s="227" t="str">
        <f t="shared" si="169"/>
        <v/>
      </c>
      <c r="BF121" s="227" t="str">
        <f t="shared" si="170"/>
        <v/>
      </c>
      <c r="BG121" s="227" t="str">
        <f t="shared" si="171"/>
        <v/>
      </c>
      <c r="BH121" s="227" t="str">
        <f t="shared" si="172"/>
        <v/>
      </c>
      <c r="BI121" s="227" t="str">
        <f t="shared" si="173"/>
        <v/>
      </c>
      <c r="BJ121" s="226">
        <f t="shared" si="174"/>
        <v>608893.41121535574</v>
      </c>
      <c r="BK121" s="335"/>
      <c r="BL121" s="335"/>
      <c r="BM121" s="335"/>
      <c r="BN121" s="335"/>
    </row>
    <row r="122" spans="1:66">
      <c r="A122" s="231">
        <v>280</v>
      </c>
      <c r="B122" s="231" t="str">
        <f>VLOOKUP(A122,'201314 RC list'!A:B,2,FALSE)</f>
        <v>Paediatric Interventional Radiology</v>
      </c>
      <c r="C122" s="231"/>
      <c r="D122" s="310" t="str">
        <f t="shared" si="134"/>
        <v>C</v>
      </c>
      <c r="E122" s="231">
        <f>IF(ISERROR(VLOOKUP(A122,Mandatory!A:A,1,FALSE)),0,1)</f>
        <v>0</v>
      </c>
      <c r="F122" s="222">
        <f>VLOOKUP(A122,'Front-loading'!A:AG,$F$6,FALSE)</f>
        <v>0</v>
      </c>
      <c r="G122" s="222">
        <f>VLOOKUP(A122,'Front-loading'!A:AG,$G$6,FALSE)</f>
        <v>2</v>
      </c>
      <c r="H122" s="222">
        <f>VLOOKUP(A122,'Front-loading'!A:AG,$H$6,FALSE)</f>
        <v>0</v>
      </c>
      <c r="I122" s="222">
        <f>VLOOKUP(A122,'Front-loading'!A:AG,$I$6,FALSE)</f>
        <v>0</v>
      </c>
      <c r="J122" s="222">
        <f>VLOOKUP(A122,'Front-loading'!A:AG,$J$6,FALSE)</f>
        <v>0</v>
      </c>
      <c r="K122" s="222">
        <f>VLOOKUP(A122,'Front-loading'!A:AG,$K$6,FALSE)</f>
        <v>2223.0940490609</v>
      </c>
      <c r="L122" s="222">
        <f>VLOOKUP(A122,'Front-loading'!A:AG,$L$6,FALSE)</f>
        <v>0</v>
      </c>
      <c r="M122" s="222">
        <f>VLOOKUP(A122,'Front-loading'!A:AG,$M$6,FALSE)</f>
        <v>0</v>
      </c>
      <c r="N122" s="223">
        <f t="shared" si="135"/>
        <v>0</v>
      </c>
      <c r="O122" s="223">
        <f t="shared" si="136"/>
        <v>1111.54702453045</v>
      </c>
      <c r="P122" s="223">
        <f t="shared" si="137"/>
        <v>0</v>
      </c>
      <c r="Q122" s="223">
        <f t="shared" si="138"/>
        <v>0</v>
      </c>
      <c r="R122" s="409" t="str">
        <f t="shared" si="59"/>
        <v/>
      </c>
      <c r="S122" s="409">
        <f t="shared" si="60"/>
        <v>1111.54702453045</v>
      </c>
      <c r="T122" s="409" t="str">
        <f t="shared" si="61"/>
        <v/>
      </c>
      <c r="U122" s="409">
        <f t="shared" si="62"/>
        <v>1111.54702453045</v>
      </c>
      <c r="V122" s="411" t="str">
        <f t="shared" si="139"/>
        <v/>
      </c>
      <c r="W122" s="411">
        <f t="shared" si="140"/>
        <v>1111.54702453045</v>
      </c>
      <c r="X122" s="411" t="str">
        <f t="shared" si="141"/>
        <v/>
      </c>
      <c r="Y122" s="411">
        <f t="shared" si="142"/>
        <v>1111.54702453045</v>
      </c>
      <c r="Z122" s="411" t="str">
        <f t="shared" si="143"/>
        <v/>
      </c>
      <c r="AA122" s="411">
        <f t="shared" si="144"/>
        <v>1111.54702453045</v>
      </c>
      <c r="AB122" s="411" t="str">
        <f t="shared" si="145"/>
        <v/>
      </c>
      <c r="AC122" s="411">
        <f t="shared" si="146"/>
        <v>1111.54702453045</v>
      </c>
      <c r="AD122" s="411" t="str">
        <f t="shared" si="147"/>
        <v/>
      </c>
      <c r="AE122" s="411">
        <f t="shared" si="148"/>
        <v>1111.54702453045</v>
      </c>
      <c r="AF122" s="411" t="str">
        <f t="shared" si="149"/>
        <v/>
      </c>
      <c r="AG122" s="411">
        <f t="shared" si="150"/>
        <v>1111.54702453045</v>
      </c>
      <c r="AH122" s="411">
        <f t="shared" si="151"/>
        <v>2223.0940490609</v>
      </c>
      <c r="AI122" s="411">
        <f t="shared" si="152"/>
        <v>1111.54702453045</v>
      </c>
      <c r="AJ122" s="411" t="e">
        <f t="shared" si="153"/>
        <v>#DIV/0!</v>
      </c>
      <c r="AK122" s="411" t="e">
        <f t="shared" si="154"/>
        <v>#DIV/0!</v>
      </c>
      <c r="AL122" s="411">
        <f t="shared" si="57"/>
        <v>2223.0940490609</v>
      </c>
      <c r="AM122" s="411">
        <f t="shared" si="54"/>
        <v>1111.54702453045</v>
      </c>
      <c r="AN122" s="411" t="e">
        <f t="shared" si="55"/>
        <v>#DIV/0!</v>
      </c>
      <c r="AO122" s="411" t="e">
        <f t="shared" si="56"/>
        <v>#DIV/0!</v>
      </c>
      <c r="AP122" s="411">
        <f t="shared" si="155"/>
        <v>2223.0940490609</v>
      </c>
      <c r="AQ122" s="411">
        <f t="shared" si="156"/>
        <v>1111.54702453045</v>
      </c>
      <c r="AR122" s="411" t="e">
        <f t="shared" si="157"/>
        <v>#DIV/0!</v>
      </c>
      <c r="AS122" s="411" t="e">
        <f t="shared" si="158"/>
        <v>#DIV/0!</v>
      </c>
      <c r="AT122" s="227" t="e">
        <f t="shared" si="132"/>
        <v>#DIV/0!</v>
      </c>
      <c r="AU122" s="227" t="e">
        <f t="shared" si="159"/>
        <v>#DIV/0!</v>
      </c>
      <c r="AV122" s="227" t="str">
        <f t="shared" si="160"/>
        <v/>
      </c>
      <c r="AW122" s="227" t="e">
        <f t="shared" si="161"/>
        <v>#DIV/0!</v>
      </c>
      <c r="AX122" s="227" t="str">
        <f t="shared" si="162"/>
        <v/>
      </c>
      <c r="AY122" s="311" t="e">
        <f t="shared" si="163"/>
        <v>#DIV/0!</v>
      </c>
      <c r="AZ122" s="311">
        <f t="shared" si="164"/>
        <v>2223.0940490609</v>
      </c>
      <c r="BA122" s="311">
        <f t="shared" si="165"/>
        <v>1111.54702453045</v>
      </c>
      <c r="BB122" s="311" t="e">
        <f t="shared" si="166"/>
        <v>#DIV/0!</v>
      </c>
      <c r="BC122" s="311" t="e">
        <f t="shared" si="167"/>
        <v>#DIV/0!</v>
      </c>
      <c r="BD122" s="311" t="e">
        <f t="shared" si="168"/>
        <v>#DIV/0!</v>
      </c>
      <c r="BE122" s="311" t="e">
        <f t="shared" si="169"/>
        <v>#DIV/0!</v>
      </c>
      <c r="BF122" s="311" t="str">
        <f t="shared" si="170"/>
        <v/>
      </c>
      <c r="BG122" s="311" t="e">
        <f t="shared" si="171"/>
        <v>#DIV/0!</v>
      </c>
      <c r="BH122" s="311" t="str">
        <f t="shared" si="172"/>
        <v/>
      </c>
      <c r="BI122" s="311" t="e">
        <f t="shared" si="173"/>
        <v>#DIV/0!</v>
      </c>
      <c r="BJ122" s="226" t="e">
        <f t="shared" si="174"/>
        <v>#DIV/0!</v>
      </c>
      <c r="BK122" s="335"/>
      <c r="BL122" s="335"/>
      <c r="BM122" s="335"/>
      <c r="BN122" s="335"/>
    </row>
    <row r="123" spans="1:66">
      <c r="A123" s="231">
        <v>308</v>
      </c>
      <c r="B123" s="231" t="str">
        <f>VLOOKUP(A123,'201314 RC list'!A:B,2,FALSE)</f>
        <v>Blood And Marrow Transplantation</v>
      </c>
      <c r="C123" s="231"/>
      <c r="D123" s="310" t="str">
        <f t="shared" si="134"/>
        <v>A</v>
      </c>
      <c r="E123" s="231">
        <f>IF(ISERROR(VLOOKUP(A123,Mandatory!A:A,1,FALSE)),0,1)</f>
        <v>0</v>
      </c>
      <c r="F123" s="222">
        <f>VLOOKUP(A123,'Front-loading'!A:AG,$F$6,FALSE)</f>
        <v>2</v>
      </c>
      <c r="G123" s="222">
        <f>VLOOKUP(A123,'Front-loading'!A:AG,$G$6,FALSE)</f>
        <v>865</v>
      </c>
      <c r="H123" s="222">
        <f>VLOOKUP(A123,'Front-loading'!A:AG,$H$6,FALSE)</f>
        <v>102</v>
      </c>
      <c r="I123" s="222">
        <f>VLOOKUP(A123,'Front-loading'!A:AG,$I$6,FALSE)</f>
        <v>14368</v>
      </c>
      <c r="J123" s="222">
        <f>VLOOKUP(A123,'Front-loading'!A:AG,$J$6,FALSE)</f>
        <v>1273.8943232307884</v>
      </c>
      <c r="K123" s="222">
        <f>VLOOKUP(A123,'Front-loading'!A:AG,$K$6,FALSE)</f>
        <v>490305.82450571732</v>
      </c>
      <c r="L123" s="222">
        <f>VLOOKUP(A123,'Front-loading'!A:AG,$L$6,FALSE)</f>
        <v>31589.493867761659</v>
      </c>
      <c r="M123" s="222">
        <f>VLOOKUP(A123,'Front-loading'!A:AG,$M$6,FALSE)</f>
        <v>3415416.1221471615</v>
      </c>
      <c r="N123" s="223">
        <f t="shared" si="135"/>
        <v>636.94716161539418</v>
      </c>
      <c r="O123" s="223">
        <f t="shared" si="136"/>
        <v>566.82754278117613</v>
      </c>
      <c r="P123" s="223">
        <f t="shared" si="137"/>
        <v>309.70092027217311</v>
      </c>
      <c r="Q123" s="223">
        <f t="shared" si="138"/>
        <v>237.70991941447394</v>
      </c>
      <c r="R123" s="409">
        <f t="shared" si="59"/>
        <v>315.99411722108118</v>
      </c>
      <c r="S123" s="409">
        <f t="shared" si="60"/>
        <v>566.82754278117613</v>
      </c>
      <c r="T123" s="409">
        <f t="shared" si="61"/>
        <v>315.99411722108118</v>
      </c>
      <c r="U123" s="409">
        <f t="shared" si="62"/>
        <v>237.70991941447394</v>
      </c>
      <c r="V123" s="411">
        <f t="shared" si="139"/>
        <v>315.99411722108118</v>
      </c>
      <c r="W123" s="411">
        <f t="shared" si="140"/>
        <v>566.82754278117613</v>
      </c>
      <c r="X123" s="411">
        <f t="shared" si="141"/>
        <v>315.99411722108118</v>
      </c>
      <c r="Y123" s="411">
        <f t="shared" si="142"/>
        <v>237.70991941447394</v>
      </c>
      <c r="Z123" s="411">
        <f t="shared" si="143"/>
        <v>315.99411722108118</v>
      </c>
      <c r="AA123" s="411">
        <f t="shared" si="144"/>
        <v>566.82754278117613</v>
      </c>
      <c r="AB123" s="411">
        <f t="shared" si="145"/>
        <v>315.99411722108118</v>
      </c>
      <c r="AC123" s="411">
        <f t="shared" si="146"/>
        <v>237.70991941447394</v>
      </c>
      <c r="AD123" s="411">
        <f t="shared" si="147"/>
        <v>566.24891896212171</v>
      </c>
      <c r="AE123" s="411">
        <f t="shared" si="148"/>
        <v>566.24891896212171</v>
      </c>
      <c r="AF123" s="411">
        <f t="shared" si="149"/>
        <v>315.99411722108118</v>
      </c>
      <c r="AG123" s="411">
        <f t="shared" si="150"/>
        <v>237.70991941447394</v>
      </c>
      <c r="AH123" s="411">
        <f t="shared" si="151"/>
        <v>566.24891896212171</v>
      </c>
      <c r="AI123" s="411">
        <f t="shared" si="152"/>
        <v>566.24891896212171</v>
      </c>
      <c r="AJ123" s="411">
        <f t="shared" si="153"/>
        <v>315.99411722108118</v>
      </c>
      <c r="AK123" s="411">
        <f t="shared" si="154"/>
        <v>237.70991941447394</v>
      </c>
      <c r="AL123" s="411">
        <f t="shared" si="57"/>
        <v>566.24891896212171</v>
      </c>
      <c r="AM123" s="411">
        <f t="shared" si="54"/>
        <v>566.24891896212171</v>
      </c>
      <c r="AN123" s="411">
        <f t="shared" si="55"/>
        <v>315.99411722108118</v>
      </c>
      <c r="AO123" s="411">
        <f t="shared" si="56"/>
        <v>237.70991941447394</v>
      </c>
      <c r="AP123" s="411">
        <f t="shared" si="155"/>
        <v>566.24891896212171</v>
      </c>
      <c r="AQ123" s="411">
        <f t="shared" si="156"/>
        <v>566.24891896212171</v>
      </c>
      <c r="AR123" s="411">
        <f t="shared" si="157"/>
        <v>315.99411722108118</v>
      </c>
      <c r="AS123" s="411">
        <f t="shared" si="158"/>
        <v>237.70991941447394</v>
      </c>
      <c r="AT123" s="227" t="str">
        <f t="shared" si="132"/>
        <v/>
      </c>
      <c r="AU123" s="227" t="str">
        <f t="shared" si="159"/>
        <v/>
      </c>
      <c r="AV123" s="227" t="str">
        <f t="shared" si="160"/>
        <v/>
      </c>
      <c r="AW123" s="227" t="str">
        <f t="shared" si="161"/>
        <v/>
      </c>
      <c r="AX123" s="227" t="str">
        <f t="shared" si="162"/>
        <v/>
      </c>
      <c r="AY123" s="311" t="str">
        <f t="shared" si="163"/>
        <v/>
      </c>
      <c r="AZ123" s="311">
        <f t="shared" si="164"/>
        <v>566.24891896212171</v>
      </c>
      <c r="BA123" s="311">
        <f t="shared" si="165"/>
        <v>566.24891896212171</v>
      </c>
      <c r="BB123" s="311">
        <f t="shared" si="166"/>
        <v>315.99411722108118</v>
      </c>
      <c r="BC123" s="311">
        <f t="shared" si="167"/>
        <v>237.70991941447394</v>
      </c>
      <c r="BD123" s="227" t="str">
        <f t="shared" si="168"/>
        <v/>
      </c>
      <c r="BE123" s="227" t="str">
        <f t="shared" si="169"/>
        <v/>
      </c>
      <c r="BF123" s="227" t="str">
        <f t="shared" si="170"/>
        <v/>
      </c>
      <c r="BG123" s="227" t="str">
        <f t="shared" si="171"/>
        <v/>
      </c>
      <c r="BH123" s="227" t="str">
        <f t="shared" si="172"/>
        <v/>
      </c>
      <c r="BI123" s="227" t="str">
        <f t="shared" si="173"/>
        <v/>
      </c>
      <c r="BJ123" s="226">
        <f t="shared" si="174"/>
        <v>3938585.3348438712</v>
      </c>
      <c r="BK123" s="335"/>
      <c r="BL123" s="335"/>
      <c r="BM123" s="335"/>
      <c r="BN123" s="335"/>
    </row>
    <row r="124" spans="1:66">
      <c r="A124" s="231">
        <v>318</v>
      </c>
      <c r="B124" s="231" t="str">
        <f>VLOOKUP(A124,'201314 RC list'!A:B,2,FALSE)</f>
        <v>Intermediate Care</v>
      </c>
      <c r="C124" s="231"/>
      <c r="D124" s="310" t="str">
        <f t="shared" si="134"/>
        <v>A</v>
      </c>
      <c r="E124" s="231">
        <f>IF(ISERROR(VLOOKUP(A124,Mandatory!A:A,1,FALSE)),0,1)</f>
        <v>0</v>
      </c>
      <c r="F124" s="222">
        <f>VLOOKUP(A124,'Front-loading'!A:AG,$F$6,FALSE)</f>
        <v>0</v>
      </c>
      <c r="G124" s="222">
        <f>VLOOKUP(A124,'Front-loading'!A:AG,$G$6,FALSE)</f>
        <v>492</v>
      </c>
      <c r="H124" s="222">
        <f>VLOOKUP(A124,'Front-loading'!A:AG,$H$6,FALSE)</f>
        <v>0</v>
      </c>
      <c r="I124" s="222">
        <f>VLOOKUP(A124,'Front-loading'!A:AG,$I$6,FALSE)</f>
        <v>86</v>
      </c>
      <c r="J124" s="222">
        <f>VLOOKUP(A124,'Front-loading'!A:AG,$J$6,FALSE)</f>
        <v>0</v>
      </c>
      <c r="K124" s="222">
        <f>VLOOKUP(A124,'Front-loading'!A:AG,$K$6,FALSE)</f>
        <v>53113.146303168476</v>
      </c>
      <c r="L124" s="222">
        <f>VLOOKUP(A124,'Front-loading'!A:AG,$L$6,FALSE)</f>
        <v>0</v>
      </c>
      <c r="M124" s="222">
        <f>VLOOKUP(A124,'Front-loading'!A:AG,$M$6,FALSE)</f>
        <v>5672.8234619840259</v>
      </c>
      <c r="N124" s="223">
        <f t="shared" si="135"/>
        <v>0</v>
      </c>
      <c r="O124" s="223">
        <f t="shared" si="136"/>
        <v>107.9535493966839</v>
      </c>
      <c r="P124" s="223">
        <f t="shared" si="137"/>
        <v>0</v>
      </c>
      <c r="Q124" s="223">
        <f t="shared" si="138"/>
        <v>65.963063511442158</v>
      </c>
      <c r="R124" s="409" t="str">
        <f t="shared" si="59"/>
        <v/>
      </c>
      <c r="S124" s="409">
        <f t="shared" si="60"/>
        <v>107.9535493966839</v>
      </c>
      <c r="T124" s="409" t="str">
        <f t="shared" si="61"/>
        <v/>
      </c>
      <c r="U124" s="409">
        <f t="shared" si="62"/>
        <v>65.963063511442158</v>
      </c>
      <c r="V124" s="411" t="str">
        <f t="shared" si="139"/>
        <v/>
      </c>
      <c r="W124" s="411">
        <f t="shared" si="140"/>
        <v>107.9535493966839</v>
      </c>
      <c r="X124" s="411" t="str">
        <f t="shared" si="141"/>
        <v/>
      </c>
      <c r="Y124" s="411">
        <f t="shared" si="142"/>
        <v>65.963063511442158</v>
      </c>
      <c r="Z124" s="411" t="str">
        <f t="shared" si="143"/>
        <v/>
      </c>
      <c r="AA124" s="411">
        <f t="shared" si="144"/>
        <v>107.9535493966839</v>
      </c>
      <c r="AB124" s="411" t="str">
        <f t="shared" si="145"/>
        <v/>
      </c>
      <c r="AC124" s="411">
        <f t="shared" si="146"/>
        <v>65.963063511442158</v>
      </c>
      <c r="AD124" s="411" t="str">
        <f t="shared" si="147"/>
        <v/>
      </c>
      <c r="AE124" s="411">
        <f t="shared" si="148"/>
        <v>107.9535493966839</v>
      </c>
      <c r="AF124" s="411" t="str">
        <f t="shared" si="149"/>
        <v/>
      </c>
      <c r="AG124" s="411">
        <f t="shared" si="150"/>
        <v>65.963063511442158</v>
      </c>
      <c r="AH124" s="411">
        <f t="shared" si="151"/>
        <v>215.90709879336779</v>
      </c>
      <c r="AI124" s="411">
        <f t="shared" si="152"/>
        <v>107.9535493966839</v>
      </c>
      <c r="AJ124" s="411">
        <f t="shared" si="153"/>
        <v>131.92612702288432</v>
      </c>
      <c r="AK124" s="411">
        <f t="shared" si="154"/>
        <v>65.963063511442158</v>
      </c>
      <c r="AL124" s="411">
        <f t="shared" si="57"/>
        <v>215.90709879336779</v>
      </c>
      <c r="AM124" s="411">
        <f t="shared" si="54"/>
        <v>107.9535493966839</v>
      </c>
      <c r="AN124" s="411">
        <f t="shared" si="55"/>
        <v>131.92612702288432</v>
      </c>
      <c r="AO124" s="411">
        <f t="shared" si="56"/>
        <v>65.963063511442158</v>
      </c>
      <c r="AP124" s="411">
        <f t="shared" si="155"/>
        <v>215.90709879336779</v>
      </c>
      <c r="AQ124" s="411">
        <f t="shared" si="156"/>
        <v>107.9535493966839</v>
      </c>
      <c r="AR124" s="411">
        <f t="shared" si="157"/>
        <v>131.92612702288432</v>
      </c>
      <c r="AS124" s="411">
        <f t="shared" si="158"/>
        <v>65.963063511442158</v>
      </c>
      <c r="AT124" s="227" t="str">
        <f t="shared" si="132"/>
        <v/>
      </c>
      <c r="AU124" s="227" t="str">
        <f t="shared" si="159"/>
        <v/>
      </c>
      <c r="AV124" s="227" t="str">
        <f t="shared" si="160"/>
        <v/>
      </c>
      <c r="AW124" s="227" t="str">
        <f t="shared" si="161"/>
        <v/>
      </c>
      <c r="AX124" s="227" t="str">
        <f t="shared" si="162"/>
        <v/>
      </c>
      <c r="AY124" s="311" t="str">
        <f t="shared" si="163"/>
        <v/>
      </c>
      <c r="AZ124" s="311">
        <f t="shared" si="164"/>
        <v>215.90709879336779</v>
      </c>
      <c r="BA124" s="311">
        <f t="shared" si="165"/>
        <v>107.9535493966839</v>
      </c>
      <c r="BB124" s="311">
        <f t="shared" si="166"/>
        <v>131.92612702288432</v>
      </c>
      <c r="BC124" s="311">
        <f t="shared" si="167"/>
        <v>65.963063511442158</v>
      </c>
      <c r="BD124" s="227" t="str">
        <f t="shared" si="168"/>
        <v/>
      </c>
      <c r="BE124" s="227" t="str">
        <f t="shared" si="169"/>
        <v/>
      </c>
      <c r="BF124" s="227" t="str">
        <f t="shared" si="170"/>
        <v/>
      </c>
      <c r="BG124" s="227" t="str">
        <f t="shared" si="171"/>
        <v/>
      </c>
      <c r="BH124" s="227" t="str">
        <f t="shared" si="172"/>
        <v/>
      </c>
      <c r="BI124" s="227" t="str">
        <f t="shared" si="173"/>
        <v/>
      </c>
      <c r="BJ124" s="226">
        <f t="shared" si="174"/>
        <v>58785.969765152506</v>
      </c>
      <c r="BK124" s="335"/>
      <c r="BL124" s="335"/>
      <c r="BM124" s="335"/>
      <c r="BN124" s="335"/>
    </row>
    <row r="125" spans="1:66">
      <c r="A125" s="231">
        <v>325</v>
      </c>
      <c r="B125" s="231" t="str">
        <f>VLOOKUP(A125,'201314 RC list'!A:B,2,FALSE)</f>
        <v>Sport And Exercise Medicine</v>
      </c>
      <c r="C125" s="231"/>
      <c r="D125" s="310" t="str">
        <f t="shared" si="134"/>
        <v>A</v>
      </c>
      <c r="E125" s="231">
        <f>IF(ISERROR(VLOOKUP(A125,Mandatory!A:A,1,FALSE)),0,1)</f>
        <v>0</v>
      </c>
      <c r="F125" s="222">
        <f>VLOOKUP(A125,'Front-loading'!A:AG,$F$6,FALSE)</f>
        <v>43</v>
      </c>
      <c r="G125" s="222">
        <f>VLOOKUP(A125,'Front-loading'!A:AG,$G$6,FALSE)</f>
        <v>1317</v>
      </c>
      <c r="H125" s="222">
        <f>VLOOKUP(A125,'Front-loading'!A:AG,$H$6,FALSE)</f>
        <v>0</v>
      </c>
      <c r="I125" s="222">
        <f>VLOOKUP(A125,'Front-loading'!A:AG,$I$6,FALSE)</f>
        <v>2264</v>
      </c>
      <c r="J125" s="222">
        <f>VLOOKUP(A125,'Front-loading'!A:AG,$J$6,FALSE)</f>
        <v>4520.37490930884</v>
      </c>
      <c r="K125" s="222">
        <f>VLOOKUP(A125,'Front-loading'!A:AG,$K$6,FALSE)</f>
        <v>150504.53487149801</v>
      </c>
      <c r="L125" s="222">
        <f>VLOOKUP(A125,'Front-loading'!A:AG,$L$6,FALSE)</f>
        <v>0</v>
      </c>
      <c r="M125" s="222">
        <f>VLOOKUP(A125,'Front-loading'!A:AG,$M$6,FALSE)</f>
        <v>139132.73966686311</v>
      </c>
      <c r="N125" s="223">
        <f t="shared" si="135"/>
        <v>105.12499789090326</v>
      </c>
      <c r="O125" s="223">
        <f t="shared" si="136"/>
        <v>114.2783104567183</v>
      </c>
      <c r="P125" s="223">
        <f t="shared" si="137"/>
        <v>0</v>
      </c>
      <c r="Q125" s="223">
        <f t="shared" si="138"/>
        <v>61.454390312218692</v>
      </c>
      <c r="R125" s="409">
        <f t="shared" si="59"/>
        <v>105.12499789090326</v>
      </c>
      <c r="S125" s="409">
        <f t="shared" si="60"/>
        <v>114.2783104567183</v>
      </c>
      <c r="T125" s="409">
        <f t="shared" si="61"/>
        <v>105.12499789090326</v>
      </c>
      <c r="U125" s="409">
        <f t="shared" si="62"/>
        <v>61.454390312218692</v>
      </c>
      <c r="V125" s="411">
        <f t="shared" si="139"/>
        <v>105.12499789090326</v>
      </c>
      <c r="W125" s="411">
        <f t="shared" si="140"/>
        <v>114.2783104567183</v>
      </c>
      <c r="X125" s="411">
        <f t="shared" si="141"/>
        <v>105.12499789090326</v>
      </c>
      <c r="Y125" s="411">
        <f t="shared" si="142"/>
        <v>61.454390312218692</v>
      </c>
      <c r="Z125" s="411">
        <f t="shared" si="143"/>
        <v>105.12499789090326</v>
      </c>
      <c r="AA125" s="411">
        <f t="shared" si="144"/>
        <v>114.2783104567183</v>
      </c>
      <c r="AB125" s="411">
        <f t="shared" si="145"/>
        <v>105.12499789090326</v>
      </c>
      <c r="AC125" s="411">
        <f t="shared" si="146"/>
        <v>61.454390312218692</v>
      </c>
      <c r="AD125" s="411">
        <f t="shared" si="147"/>
        <v>113.98890425059327</v>
      </c>
      <c r="AE125" s="411">
        <f t="shared" si="148"/>
        <v>113.98890425059327</v>
      </c>
      <c r="AF125" s="411">
        <f t="shared" si="149"/>
        <v>105.12499789090326</v>
      </c>
      <c r="AG125" s="411">
        <f t="shared" si="150"/>
        <v>61.454390312218692</v>
      </c>
      <c r="AH125" s="411">
        <f t="shared" si="151"/>
        <v>113.98890425059327</v>
      </c>
      <c r="AI125" s="411">
        <f t="shared" si="152"/>
        <v>113.98890425059327</v>
      </c>
      <c r="AJ125" s="411">
        <f t="shared" si="153"/>
        <v>105.12499789090326</v>
      </c>
      <c r="AK125" s="411">
        <f t="shared" si="154"/>
        <v>61.454390312218692</v>
      </c>
      <c r="AL125" s="411">
        <f t="shared" si="57"/>
        <v>113.98890425059327</v>
      </c>
      <c r="AM125" s="411">
        <f t="shared" si="54"/>
        <v>113.98890425059327</v>
      </c>
      <c r="AN125" s="411">
        <f t="shared" si="55"/>
        <v>105.12499789090326</v>
      </c>
      <c r="AO125" s="411">
        <f t="shared" si="56"/>
        <v>61.454390312218692</v>
      </c>
      <c r="AP125" s="411">
        <f t="shared" si="155"/>
        <v>113.98890425059327</v>
      </c>
      <c r="AQ125" s="411">
        <f t="shared" si="156"/>
        <v>113.98890425059327</v>
      </c>
      <c r="AR125" s="411">
        <f t="shared" si="157"/>
        <v>105.12499789090326</v>
      </c>
      <c r="AS125" s="411">
        <f t="shared" si="158"/>
        <v>61.454390312218692</v>
      </c>
      <c r="AT125" s="227" t="str">
        <f t="shared" si="132"/>
        <v/>
      </c>
      <c r="AU125" s="227" t="str">
        <f t="shared" si="159"/>
        <v/>
      </c>
      <c r="AV125" s="227" t="str">
        <f t="shared" si="160"/>
        <v/>
      </c>
      <c r="AW125" s="227" t="str">
        <f t="shared" si="161"/>
        <v/>
      </c>
      <c r="AX125" s="227" t="str">
        <f t="shared" si="162"/>
        <v/>
      </c>
      <c r="AY125" s="311" t="str">
        <f t="shared" si="163"/>
        <v/>
      </c>
      <c r="AZ125" s="311">
        <f t="shared" si="164"/>
        <v>113.98890425059327</v>
      </c>
      <c r="BA125" s="311">
        <f t="shared" si="165"/>
        <v>113.98890425059327</v>
      </c>
      <c r="BB125" s="311">
        <f t="shared" si="166"/>
        <v>105.12499789090326</v>
      </c>
      <c r="BC125" s="311">
        <f t="shared" si="167"/>
        <v>61.454390312218692</v>
      </c>
      <c r="BD125" s="311" t="str">
        <f t="shared" si="168"/>
        <v/>
      </c>
      <c r="BE125" s="311" t="str">
        <f t="shared" si="169"/>
        <v/>
      </c>
      <c r="BF125" s="311" t="str">
        <f t="shared" si="170"/>
        <v/>
      </c>
      <c r="BG125" s="311" t="str">
        <f t="shared" si="171"/>
        <v/>
      </c>
      <c r="BH125" s="311" t="str">
        <f t="shared" si="172"/>
        <v/>
      </c>
      <c r="BI125" s="311" t="str">
        <f t="shared" si="173"/>
        <v/>
      </c>
      <c r="BJ125" s="226">
        <f t="shared" si="174"/>
        <v>294157.64944766997</v>
      </c>
      <c r="BK125" s="335"/>
      <c r="BL125" s="335"/>
      <c r="BM125" s="335"/>
      <c r="BN125" s="335"/>
    </row>
    <row r="126" spans="1:66">
      <c r="A126" s="231">
        <v>327</v>
      </c>
      <c r="B126" s="231" t="str">
        <f>VLOOKUP(A126,'201314 RC list'!A:B,2,FALSE)</f>
        <v>Cardiac Rehabilitation</v>
      </c>
      <c r="C126" s="231"/>
      <c r="D126" s="310" t="str">
        <f t="shared" si="134"/>
        <v>A</v>
      </c>
      <c r="E126" s="231">
        <f>IF(ISERROR(VLOOKUP(A126,Mandatory!A:A,1,FALSE)),0,1)</f>
        <v>0</v>
      </c>
      <c r="F126" s="222">
        <f>VLOOKUP(A126,'Front-loading'!A:AG,$F$6,FALSE)</f>
        <v>427</v>
      </c>
      <c r="G126" s="222">
        <f>VLOOKUP(A126,'Front-loading'!A:AG,$G$6,FALSE)</f>
        <v>2310</v>
      </c>
      <c r="H126" s="222">
        <f>VLOOKUP(A126,'Front-loading'!A:AG,$H$6,FALSE)</f>
        <v>1478</v>
      </c>
      <c r="I126" s="222">
        <f>VLOOKUP(A126,'Front-loading'!A:AG,$I$6,FALSE)</f>
        <v>21701</v>
      </c>
      <c r="J126" s="222">
        <f>VLOOKUP(A126,'Front-loading'!A:AG,$J$6,FALSE)</f>
        <v>107809.3838526133</v>
      </c>
      <c r="K126" s="222">
        <f>VLOOKUP(A126,'Front-loading'!A:AG,$K$6,FALSE)</f>
        <v>345954.30011120951</v>
      </c>
      <c r="L126" s="222">
        <f>VLOOKUP(A126,'Front-loading'!A:AG,$L$6,FALSE)</f>
        <v>119420.97400226699</v>
      </c>
      <c r="M126" s="222">
        <f>VLOOKUP(A126,'Front-loading'!A:AG,$M$6,FALSE)</f>
        <v>728772.53977699869</v>
      </c>
      <c r="N126" s="223">
        <f t="shared" si="135"/>
        <v>252.48099262907098</v>
      </c>
      <c r="O126" s="223">
        <f t="shared" si="136"/>
        <v>149.76376628190889</v>
      </c>
      <c r="P126" s="223">
        <f t="shared" si="137"/>
        <v>80.79903518421311</v>
      </c>
      <c r="Q126" s="223">
        <f t="shared" si="138"/>
        <v>33.582440430256611</v>
      </c>
      <c r="R126" s="409">
        <f t="shared" si="59"/>
        <v>252.48099262907098</v>
      </c>
      <c r="S126" s="409">
        <f t="shared" si="60"/>
        <v>149.76376628190889</v>
      </c>
      <c r="T126" s="409">
        <f t="shared" si="61"/>
        <v>80.79903518421311</v>
      </c>
      <c r="U126" s="409">
        <f t="shared" si="62"/>
        <v>33.582440430256611</v>
      </c>
      <c r="V126" s="411">
        <f t="shared" si="139"/>
        <v>252.48099262907098</v>
      </c>
      <c r="W126" s="411">
        <f t="shared" si="140"/>
        <v>149.76376628190889</v>
      </c>
      <c r="X126" s="411">
        <f t="shared" si="141"/>
        <v>80.79903518421311</v>
      </c>
      <c r="Y126" s="411">
        <f t="shared" si="142"/>
        <v>33.582440430256611</v>
      </c>
      <c r="Z126" s="411">
        <f t="shared" si="143"/>
        <v>252.48099262907098</v>
      </c>
      <c r="AA126" s="411">
        <f t="shared" si="144"/>
        <v>149.76376628190889</v>
      </c>
      <c r="AB126" s="411">
        <f t="shared" si="145"/>
        <v>80.79903518421311</v>
      </c>
      <c r="AC126" s="411">
        <f t="shared" si="146"/>
        <v>33.582440430256611</v>
      </c>
      <c r="AD126" s="411">
        <f t="shared" si="147"/>
        <v>252.48099262907098</v>
      </c>
      <c r="AE126" s="411">
        <f t="shared" si="148"/>
        <v>149.76376628190889</v>
      </c>
      <c r="AF126" s="411">
        <f t="shared" si="149"/>
        <v>80.79903518421311</v>
      </c>
      <c r="AG126" s="411">
        <f t="shared" si="150"/>
        <v>33.582440430256611</v>
      </c>
      <c r="AH126" s="411">
        <f t="shared" si="151"/>
        <v>252.48099262907098</v>
      </c>
      <c r="AI126" s="411">
        <f t="shared" si="152"/>
        <v>149.76376628190889</v>
      </c>
      <c r="AJ126" s="411">
        <f t="shared" si="153"/>
        <v>68.799408993735298</v>
      </c>
      <c r="AK126" s="411">
        <f t="shared" si="154"/>
        <v>34.399704496867649</v>
      </c>
      <c r="AL126" s="411">
        <f t="shared" si="57"/>
        <v>252.48099262907098</v>
      </c>
      <c r="AM126" s="411">
        <f t="shared" si="54"/>
        <v>149.76376628190889</v>
      </c>
      <c r="AN126" s="411">
        <f t="shared" si="55"/>
        <v>68.799408993735298</v>
      </c>
      <c r="AO126" s="411">
        <f t="shared" si="56"/>
        <v>34.399704496867649</v>
      </c>
      <c r="AP126" s="411">
        <f t="shared" si="155"/>
        <v>252.48099262907098</v>
      </c>
      <c r="AQ126" s="411">
        <f t="shared" si="156"/>
        <v>149.76376628190889</v>
      </c>
      <c r="AR126" s="411">
        <f t="shared" si="157"/>
        <v>68.799408993735298</v>
      </c>
      <c r="AS126" s="411">
        <f t="shared" si="158"/>
        <v>34.399704496867649</v>
      </c>
      <c r="AT126" s="227" t="str">
        <f t="shared" si="132"/>
        <v/>
      </c>
      <c r="AU126" s="227" t="str">
        <f t="shared" si="159"/>
        <v/>
      </c>
      <c r="AV126" s="227" t="str">
        <f t="shared" si="160"/>
        <v/>
      </c>
      <c r="AW126" s="227" t="str">
        <f t="shared" si="161"/>
        <v/>
      </c>
      <c r="AX126" s="227" t="str">
        <f t="shared" si="162"/>
        <v/>
      </c>
      <c r="AY126" s="311" t="str">
        <f t="shared" si="163"/>
        <v/>
      </c>
      <c r="AZ126" s="311">
        <f t="shared" si="164"/>
        <v>252.48099262907098</v>
      </c>
      <c r="BA126" s="311">
        <f t="shared" si="165"/>
        <v>149.76376628190889</v>
      </c>
      <c r="BB126" s="311">
        <f t="shared" si="166"/>
        <v>68.799408993735298</v>
      </c>
      <c r="BC126" s="311">
        <f t="shared" si="167"/>
        <v>34.399704496867649</v>
      </c>
      <c r="BD126" s="227" t="str">
        <f t="shared" si="168"/>
        <v/>
      </c>
      <c r="BE126" s="227" t="str">
        <f t="shared" si="169"/>
        <v/>
      </c>
      <c r="BF126" s="227" t="str">
        <f t="shared" si="170"/>
        <v/>
      </c>
      <c r="BG126" s="227" t="str">
        <f t="shared" si="171"/>
        <v/>
      </c>
      <c r="BH126" s="227" t="str">
        <f t="shared" si="172"/>
        <v/>
      </c>
      <c r="BI126" s="227" t="str">
        <f t="shared" si="173"/>
        <v/>
      </c>
      <c r="BJ126" s="226">
        <f t="shared" si="174"/>
        <v>1301957.1977430885</v>
      </c>
      <c r="BK126" s="335"/>
      <c r="BL126" s="335"/>
      <c r="BM126" s="335"/>
      <c r="BN126" s="335"/>
    </row>
    <row r="127" spans="1:66">
      <c r="A127" s="231">
        <v>328</v>
      </c>
      <c r="B127" s="231" t="str">
        <f>VLOOKUP(A127,'201314 RC list'!A:B,2,FALSE)</f>
        <v>Stroke Medicine</v>
      </c>
      <c r="C127" s="231"/>
      <c r="D127" s="310" t="str">
        <f t="shared" si="134"/>
        <v>A</v>
      </c>
      <c r="E127" s="231">
        <f>IF(ISERROR(VLOOKUP(A127,Mandatory!A:A,1,FALSE)),0,1)</f>
        <v>0</v>
      </c>
      <c r="F127" s="222">
        <f>VLOOKUP(A127,'Front-loading'!A:AG,$F$6,FALSE)</f>
        <v>564</v>
      </c>
      <c r="G127" s="222">
        <f>VLOOKUP(A127,'Front-loading'!A:AG,$G$6,FALSE)</f>
        <v>15958</v>
      </c>
      <c r="H127" s="222">
        <f>VLOOKUP(A127,'Front-loading'!A:AG,$H$6,FALSE)</f>
        <v>505</v>
      </c>
      <c r="I127" s="222">
        <f>VLOOKUP(A127,'Front-loading'!A:AG,$I$6,FALSE)</f>
        <v>13903</v>
      </c>
      <c r="J127" s="222">
        <f>VLOOKUP(A127,'Front-loading'!A:AG,$J$6,FALSE)</f>
        <v>99845.518640889713</v>
      </c>
      <c r="K127" s="222">
        <f>VLOOKUP(A127,'Front-loading'!A:AG,$K$6,FALSE)</f>
        <v>3874784.4912579213</v>
      </c>
      <c r="L127" s="222">
        <f>VLOOKUP(A127,'Front-loading'!A:AG,$L$6,FALSE)</f>
        <v>67483.551019354287</v>
      </c>
      <c r="M127" s="222">
        <f>VLOOKUP(A127,'Front-loading'!A:AG,$M$6,FALSE)</f>
        <v>2147751.529073698</v>
      </c>
      <c r="N127" s="223">
        <f t="shared" si="135"/>
        <v>177.03106142001721</v>
      </c>
      <c r="O127" s="223">
        <f t="shared" si="136"/>
        <v>242.81141065659364</v>
      </c>
      <c r="P127" s="223">
        <f t="shared" si="137"/>
        <v>133.63079409773127</v>
      </c>
      <c r="Q127" s="223">
        <f t="shared" si="138"/>
        <v>154.48115723755291</v>
      </c>
      <c r="R127" s="409">
        <f t="shared" si="59"/>
        <v>177.03106142001721</v>
      </c>
      <c r="S127" s="409">
        <f t="shared" si="60"/>
        <v>242.81141065659364</v>
      </c>
      <c r="T127" s="409">
        <f t="shared" si="61"/>
        <v>133.63079409773127</v>
      </c>
      <c r="U127" s="409">
        <f t="shared" si="62"/>
        <v>154.48115723755291</v>
      </c>
      <c r="V127" s="411">
        <f t="shared" si="139"/>
        <v>177.03106142001721</v>
      </c>
      <c r="W127" s="411">
        <f t="shared" si="140"/>
        <v>242.81141065659364</v>
      </c>
      <c r="X127" s="411">
        <f t="shared" si="141"/>
        <v>133.63079409773127</v>
      </c>
      <c r="Y127" s="411">
        <f t="shared" si="142"/>
        <v>154.48115723755291</v>
      </c>
      <c r="Z127" s="411">
        <f t="shared" si="143"/>
        <v>177.03106142001721</v>
      </c>
      <c r="AA127" s="411">
        <f t="shared" si="144"/>
        <v>242.81141065659364</v>
      </c>
      <c r="AB127" s="411">
        <f t="shared" si="145"/>
        <v>133.63079409773127</v>
      </c>
      <c r="AC127" s="411">
        <f t="shared" si="146"/>
        <v>154.48115723755291</v>
      </c>
      <c r="AD127" s="411">
        <f t="shared" si="147"/>
        <v>240.5659127163062</v>
      </c>
      <c r="AE127" s="411">
        <f t="shared" si="148"/>
        <v>240.5659127163062</v>
      </c>
      <c r="AF127" s="411">
        <f t="shared" si="149"/>
        <v>153.75035258835732</v>
      </c>
      <c r="AG127" s="411">
        <f t="shared" si="150"/>
        <v>153.75035258835732</v>
      </c>
      <c r="AH127" s="411">
        <f t="shared" si="151"/>
        <v>240.5659127163062</v>
      </c>
      <c r="AI127" s="411">
        <f t="shared" si="152"/>
        <v>240.5659127163062</v>
      </c>
      <c r="AJ127" s="411">
        <f t="shared" si="153"/>
        <v>153.75035258835732</v>
      </c>
      <c r="AK127" s="411">
        <f t="shared" si="154"/>
        <v>153.75035258835732</v>
      </c>
      <c r="AL127" s="411">
        <f t="shared" si="57"/>
        <v>240.5659127163062</v>
      </c>
      <c r="AM127" s="411">
        <f t="shared" si="54"/>
        <v>240.5659127163062</v>
      </c>
      <c r="AN127" s="411">
        <f t="shared" si="55"/>
        <v>153.75035258835732</v>
      </c>
      <c r="AO127" s="411">
        <f t="shared" si="56"/>
        <v>153.75035258835732</v>
      </c>
      <c r="AP127" s="411">
        <f t="shared" si="155"/>
        <v>240.5659127163062</v>
      </c>
      <c r="AQ127" s="411">
        <f t="shared" si="156"/>
        <v>240.5659127163062</v>
      </c>
      <c r="AR127" s="411">
        <f t="shared" si="157"/>
        <v>153.75035258835732</v>
      </c>
      <c r="AS127" s="411">
        <f t="shared" si="158"/>
        <v>153.75035258835732</v>
      </c>
      <c r="AT127" s="227" t="str">
        <f t="shared" si="132"/>
        <v/>
      </c>
      <c r="AU127" s="227" t="str">
        <f t="shared" si="159"/>
        <v/>
      </c>
      <c r="AV127" s="227" t="str">
        <f t="shared" si="160"/>
        <v/>
      </c>
      <c r="AW127" s="227" t="str">
        <f t="shared" si="161"/>
        <v/>
      </c>
      <c r="AX127" s="227" t="str">
        <f t="shared" si="162"/>
        <v/>
      </c>
      <c r="AY127" s="311" t="str">
        <f t="shared" si="163"/>
        <v/>
      </c>
      <c r="AZ127" s="311">
        <f t="shared" si="164"/>
        <v>240.5659127163062</v>
      </c>
      <c r="BA127" s="311">
        <f t="shared" si="165"/>
        <v>240.5659127163062</v>
      </c>
      <c r="BB127" s="311">
        <f t="shared" si="166"/>
        <v>153.75035258835732</v>
      </c>
      <c r="BC127" s="311">
        <f t="shared" si="167"/>
        <v>153.75035258835732</v>
      </c>
      <c r="BD127" s="227" t="str">
        <f t="shared" si="168"/>
        <v/>
      </c>
      <c r="BE127" s="227" t="str">
        <f t="shared" si="169"/>
        <v/>
      </c>
      <c r="BF127" s="227" t="str">
        <f t="shared" si="170"/>
        <v/>
      </c>
      <c r="BG127" s="227" t="str">
        <f t="shared" si="171"/>
        <v/>
      </c>
      <c r="BH127" s="227" t="str">
        <f t="shared" si="172"/>
        <v/>
      </c>
      <c r="BI127" s="227" t="str">
        <f t="shared" si="173"/>
        <v/>
      </c>
      <c r="BJ127" s="226">
        <f t="shared" si="174"/>
        <v>6189865.0899918638</v>
      </c>
      <c r="BK127" s="335"/>
      <c r="BL127" s="335"/>
      <c r="BM127" s="335"/>
      <c r="BN127" s="335"/>
    </row>
    <row r="128" spans="1:66">
      <c r="A128" s="231">
        <v>331</v>
      </c>
      <c r="B128" s="231" t="str">
        <f>VLOOKUP(A128,'201314 RC list'!A:B,2,FALSE)</f>
        <v>Congenital Heart Disease Service</v>
      </c>
      <c r="C128" s="231"/>
      <c r="D128" s="310" t="str">
        <f t="shared" si="134"/>
        <v>A</v>
      </c>
      <c r="E128" s="231">
        <f>IF(ISERROR(VLOOKUP(A128,Mandatory!A:A,1,FALSE)),0,1)</f>
        <v>0</v>
      </c>
      <c r="F128" s="222">
        <f>VLOOKUP(A128,'Front-loading'!A:AG,$F$6,FALSE)</f>
        <v>3</v>
      </c>
      <c r="G128" s="222">
        <f>VLOOKUP(A128,'Front-loading'!A:AG,$G$6,FALSE)</f>
        <v>1301</v>
      </c>
      <c r="H128" s="222">
        <f>VLOOKUP(A128,'Front-loading'!A:AG,$H$6,FALSE)</f>
        <v>0</v>
      </c>
      <c r="I128" s="222">
        <f>VLOOKUP(A128,'Front-loading'!A:AG,$I$6,FALSE)</f>
        <v>5392</v>
      </c>
      <c r="J128" s="222">
        <f>VLOOKUP(A128,'Front-loading'!A:AG,$J$6,FALSE)</f>
        <v>589.92240550594101</v>
      </c>
      <c r="K128" s="222">
        <f>VLOOKUP(A128,'Front-loading'!A:AG,$K$6,FALSE)</f>
        <v>175047.12069391293</v>
      </c>
      <c r="L128" s="222">
        <f>VLOOKUP(A128,'Front-loading'!A:AG,$L$6,FALSE)</f>
        <v>0</v>
      </c>
      <c r="M128" s="222">
        <f>VLOOKUP(A128,'Front-loading'!A:AG,$M$6,FALSE)</f>
        <v>354254.01215839956</v>
      </c>
      <c r="N128" s="223">
        <f t="shared" si="135"/>
        <v>196.64080183531368</v>
      </c>
      <c r="O128" s="223">
        <f t="shared" si="136"/>
        <v>134.54813273936429</v>
      </c>
      <c r="P128" s="223">
        <f t="shared" si="137"/>
        <v>0</v>
      </c>
      <c r="Q128" s="223">
        <f t="shared" si="138"/>
        <v>65.699928070919796</v>
      </c>
      <c r="R128" s="409">
        <f t="shared" si="59"/>
        <v>196.64080183531368</v>
      </c>
      <c r="S128" s="409">
        <f t="shared" si="60"/>
        <v>134.54813273936429</v>
      </c>
      <c r="T128" s="409">
        <f t="shared" si="61"/>
        <v>196.64080183531368</v>
      </c>
      <c r="U128" s="409">
        <f t="shared" si="62"/>
        <v>65.699928070919796</v>
      </c>
      <c r="V128" s="411">
        <f t="shared" si="139"/>
        <v>196.64080183531368</v>
      </c>
      <c r="W128" s="411">
        <f t="shared" si="140"/>
        <v>134.54813273936429</v>
      </c>
      <c r="X128" s="411">
        <f t="shared" si="141"/>
        <v>196.64080183531368</v>
      </c>
      <c r="Y128" s="411">
        <f t="shared" si="142"/>
        <v>65.699928070919796</v>
      </c>
      <c r="Z128" s="411">
        <f t="shared" si="143"/>
        <v>196.64080183531368</v>
      </c>
      <c r="AA128" s="411">
        <f t="shared" si="144"/>
        <v>134.54813273936429</v>
      </c>
      <c r="AB128" s="411">
        <f t="shared" si="145"/>
        <v>196.64080183531368</v>
      </c>
      <c r="AC128" s="411">
        <f t="shared" si="146"/>
        <v>65.699928070919796</v>
      </c>
      <c r="AD128" s="411">
        <f t="shared" si="147"/>
        <v>196.64080183531368</v>
      </c>
      <c r="AE128" s="411">
        <f t="shared" si="148"/>
        <v>134.54813273936429</v>
      </c>
      <c r="AF128" s="411">
        <f t="shared" si="149"/>
        <v>196.64080183531368</v>
      </c>
      <c r="AG128" s="411">
        <f t="shared" si="150"/>
        <v>65.699928070919796</v>
      </c>
      <c r="AH128" s="411">
        <f t="shared" si="151"/>
        <v>196.64080183531368</v>
      </c>
      <c r="AI128" s="411">
        <f t="shared" si="152"/>
        <v>134.54813273936429</v>
      </c>
      <c r="AJ128" s="411">
        <f t="shared" si="153"/>
        <v>131.39985614183959</v>
      </c>
      <c r="AK128" s="411">
        <f t="shared" si="154"/>
        <v>65.699928070919796</v>
      </c>
      <c r="AL128" s="411">
        <f t="shared" si="57"/>
        <v>196.64080183531368</v>
      </c>
      <c r="AM128" s="411">
        <f t="shared" si="54"/>
        <v>134.54813273936429</v>
      </c>
      <c r="AN128" s="411">
        <f t="shared" si="55"/>
        <v>131.39985614183959</v>
      </c>
      <c r="AO128" s="411">
        <f t="shared" si="56"/>
        <v>65.699928070919796</v>
      </c>
      <c r="AP128" s="411">
        <f t="shared" si="155"/>
        <v>196.64080183531368</v>
      </c>
      <c r="AQ128" s="411">
        <f t="shared" si="156"/>
        <v>134.54813273936429</v>
      </c>
      <c r="AR128" s="411">
        <f t="shared" si="157"/>
        <v>131.39985614183959</v>
      </c>
      <c r="AS128" s="411">
        <f t="shared" si="158"/>
        <v>65.699928070919796</v>
      </c>
      <c r="AT128" s="227" t="str">
        <f t="shared" si="132"/>
        <v/>
      </c>
      <c r="AU128" s="227" t="str">
        <f t="shared" si="159"/>
        <v/>
      </c>
      <c r="AV128" s="227" t="str">
        <f t="shared" si="160"/>
        <v/>
      </c>
      <c r="AW128" s="227" t="str">
        <f t="shared" si="161"/>
        <v/>
      </c>
      <c r="AX128" s="227" t="str">
        <f t="shared" si="162"/>
        <v/>
      </c>
      <c r="AY128" s="311" t="str">
        <f t="shared" si="163"/>
        <v/>
      </c>
      <c r="AZ128" s="311">
        <f t="shared" si="164"/>
        <v>196.64080183531368</v>
      </c>
      <c r="BA128" s="311">
        <f t="shared" si="165"/>
        <v>134.54813273936429</v>
      </c>
      <c r="BB128" s="311">
        <f t="shared" si="166"/>
        <v>131.39985614183959</v>
      </c>
      <c r="BC128" s="311">
        <f t="shared" si="167"/>
        <v>65.699928070919796</v>
      </c>
      <c r="BD128" s="311" t="str">
        <f t="shared" si="168"/>
        <v/>
      </c>
      <c r="BE128" s="311" t="str">
        <f t="shared" si="169"/>
        <v/>
      </c>
      <c r="BF128" s="311" t="str">
        <f t="shared" si="170"/>
        <v/>
      </c>
      <c r="BG128" s="311" t="str">
        <f t="shared" si="171"/>
        <v/>
      </c>
      <c r="BH128" s="311" t="str">
        <f t="shared" si="172"/>
        <v/>
      </c>
      <c r="BI128" s="311" t="str">
        <f t="shared" si="173"/>
        <v/>
      </c>
      <c r="BJ128" s="226">
        <f t="shared" si="174"/>
        <v>529891.05525781843</v>
      </c>
      <c r="BK128" s="335"/>
      <c r="BL128" s="335"/>
      <c r="BM128" s="335"/>
      <c r="BN128" s="335"/>
    </row>
    <row r="129" spans="1:66">
      <c r="A129" s="231">
        <v>342</v>
      </c>
      <c r="B129" s="231" t="str">
        <f>VLOOKUP(A129,'201314 RC list'!A:B,2,FALSE)</f>
        <v>Programmed Pulmonary Rehabilitation</v>
      </c>
      <c r="C129" s="231"/>
      <c r="D129" s="310" t="str">
        <f t="shared" si="134"/>
        <v>A</v>
      </c>
      <c r="E129" s="231">
        <f>IF(ISERROR(VLOOKUP(A129,Mandatory!A:A,1,FALSE)),0,1)</f>
        <v>0</v>
      </c>
      <c r="F129" s="222">
        <f>VLOOKUP(A129,'Front-loading'!A:AG,$F$6,FALSE)</f>
        <v>0</v>
      </c>
      <c r="G129" s="222">
        <f>VLOOKUP(A129,'Front-loading'!A:AG,$G$6,FALSE)</f>
        <v>118</v>
      </c>
      <c r="H129" s="222">
        <f>VLOOKUP(A129,'Front-loading'!A:AG,$H$6,FALSE)</f>
        <v>446</v>
      </c>
      <c r="I129" s="222">
        <f>VLOOKUP(A129,'Front-loading'!A:AG,$I$6,FALSE)</f>
        <v>325</v>
      </c>
      <c r="J129" s="222">
        <f>VLOOKUP(A129,'Front-loading'!A:AG,$J$6,FALSE)</f>
        <v>0</v>
      </c>
      <c r="K129" s="222">
        <f>VLOOKUP(A129,'Front-loading'!A:AG,$K$6,FALSE)</f>
        <v>18693.08457498451</v>
      </c>
      <c r="L129" s="222">
        <f>VLOOKUP(A129,'Front-loading'!A:AG,$L$6,FALSE)</f>
        <v>10980.45072559413</v>
      </c>
      <c r="M129" s="222">
        <f>VLOOKUP(A129,'Front-loading'!A:AG,$M$6,FALSE)</f>
        <v>33059.504435241448</v>
      </c>
      <c r="N129" s="223">
        <f t="shared" si="135"/>
        <v>0</v>
      </c>
      <c r="O129" s="223">
        <f t="shared" si="136"/>
        <v>158.415970974445</v>
      </c>
      <c r="P129" s="223">
        <f t="shared" si="137"/>
        <v>24.619844676220023</v>
      </c>
      <c r="Q129" s="223">
        <f t="shared" si="138"/>
        <v>101.72155210843522</v>
      </c>
      <c r="R129" s="409">
        <f t="shared" si="59"/>
        <v>24.619844676220023</v>
      </c>
      <c r="S129" s="409">
        <f t="shared" si="60"/>
        <v>158.415970974445</v>
      </c>
      <c r="T129" s="409">
        <f t="shared" si="61"/>
        <v>24.619844676220023</v>
      </c>
      <c r="U129" s="409">
        <f t="shared" si="62"/>
        <v>101.72155210843522</v>
      </c>
      <c r="V129" s="411">
        <f t="shared" si="139"/>
        <v>24.619844676220023</v>
      </c>
      <c r="W129" s="411">
        <f t="shared" si="140"/>
        <v>158.415970974445</v>
      </c>
      <c r="X129" s="411">
        <f t="shared" si="141"/>
        <v>24.619844676220023</v>
      </c>
      <c r="Y129" s="411">
        <f t="shared" si="142"/>
        <v>101.72155210843522</v>
      </c>
      <c r="Z129" s="411">
        <f t="shared" si="143"/>
        <v>24.619844676220023</v>
      </c>
      <c r="AA129" s="411">
        <f t="shared" si="144"/>
        <v>158.415970974445</v>
      </c>
      <c r="AB129" s="411">
        <f t="shared" si="145"/>
        <v>24.619844676220023</v>
      </c>
      <c r="AC129" s="411">
        <f t="shared" si="146"/>
        <v>101.72155210843522</v>
      </c>
      <c r="AD129" s="411">
        <f t="shared" si="147"/>
        <v>158.415970974445</v>
      </c>
      <c r="AE129" s="411">
        <f t="shared" si="148"/>
        <v>158.415970974445</v>
      </c>
      <c r="AF129" s="411">
        <f t="shared" si="149"/>
        <v>57.120564410941085</v>
      </c>
      <c r="AG129" s="411">
        <f t="shared" si="150"/>
        <v>57.120564410941085</v>
      </c>
      <c r="AH129" s="411">
        <f t="shared" si="151"/>
        <v>158.415970974445</v>
      </c>
      <c r="AI129" s="411">
        <f t="shared" si="152"/>
        <v>158.415970974445</v>
      </c>
      <c r="AJ129" s="411">
        <f t="shared" si="153"/>
        <v>57.120564410941085</v>
      </c>
      <c r="AK129" s="411">
        <f t="shared" si="154"/>
        <v>57.120564410941085</v>
      </c>
      <c r="AL129" s="411">
        <f t="shared" si="57"/>
        <v>158.415970974445</v>
      </c>
      <c r="AM129" s="411">
        <f t="shared" si="54"/>
        <v>158.415970974445</v>
      </c>
      <c r="AN129" s="411">
        <f t="shared" si="55"/>
        <v>57.120564410941085</v>
      </c>
      <c r="AO129" s="411">
        <f t="shared" si="56"/>
        <v>57.120564410941085</v>
      </c>
      <c r="AP129" s="411">
        <f t="shared" si="155"/>
        <v>158.415970974445</v>
      </c>
      <c r="AQ129" s="411">
        <f t="shared" si="156"/>
        <v>158.415970974445</v>
      </c>
      <c r="AR129" s="411">
        <f t="shared" si="157"/>
        <v>57.120564410941085</v>
      </c>
      <c r="AS129" s="411">
        <f t="shared" si="158"/>
        <v>57.120564410941085</v>
      </c>
      <c r="AT129" s="227" t="str">
        <f t="shared" si="132"/>
        <v/>
      </c>
      <c r="AU129" s="227" t="str">
        <f t="shared" si="159"/>
        <v/>
      </c>
      <c r="AV129" s="227" t="str">
        <f t="shared" si="160"/>
        <v/>
      </c>
      <c r="AW129" s="227" t="str">
        <f t="shared" si="161"/>
        <v/>
      </c>
      <c r="AX129" s="227" t="str">
        <f t="shared" si="162"/>
        <v/>
      </c>
      <c r="AY129" s="311" t="str">
        <f t="shared" si="163"/>
        <v/>
      </c>
      <c r="AZ129" s="311">
        <f t="shared" si="164"/>
        <v>158.415970974445</v>
      </c>
      <c r="BA129" s="311">
        <f t="shared" si="165"/>
        <v>158.415970974445</v>
      </c>
      <c r="BB129" s="311">
        <f t="shared" si="166"/>
        <v>57.120564410941085</v>
      </c>
      <c r="BC129" s="311">
        <f t="shared" si="167"/>
        <v>57.120564410941085</v>
      </c>
      <c r="BD129" s="227" t="str">
        <f t="shared" si="168"/>
        <v/>
      </c>
      <c r="BE129" s="227" t="str">
        <f t="shared" si="169"/>
        <v/>
      </c>
      <c r="BF129" s="227" t="str">
        <f t="shared" si="170"/>
        <v/>
      </c>
      <c r="BG129" s="227" t="str">
        <f t="shared" si="171"/>
        <v/>
      </c>
      <c r="BH129" s="227" t="str">
        <f t="shared" si="172"/>
        <v/>
      </c>
      <c r="BI129" s="227" t="str">
        <f t="shared" si="173"/>
        <v/>
      </c>
      <c r="BJ129" s="226">
        <f t="shared" si="174"/>
        <v>62733.039735820086</v>
      </c>
      <c r="BK129" s="335"/>
      <c r="BL129" s="335"/>
      <c r="BM129" s="335"/>
      <c r="BN129" s="335"/>
    </row>
    <row r="130" spans="1:66">
      <c r="A130" s="231">
        <v>346</v>
      </c>
      <c r="B130" s="231" t="str">
        <f>VLOOKUP(A130,'201314 RC list'!A:B,2,FALSE)</f>
        <v>Local Specialist Rehabilitation Service</v>
      </c>
      <c r="C130" s="231"/>
      <c r="D130" s="310" t="str">
        <f t="shared" si="134"/>
        <v>A</v>
      </c>
      <c r="E130" s="231">
        <f>IF(ISERROR(VLOOKUP(A130,Mandatory!A:A,1,FALSE)),0,1)</f>
        <v>0</v>
      </c>
      <c r="F130" s="222">
        <f>VLOOKUP(A130,'Front-loading'!A:AG,$F$6,FALSE)</f>
        <v>0</v>
      </c>
      <c r="G130" s="222">
        <f>VLOOKUP(A130,'Front-loading'!A:AG,$G$6,FALSE)</f>
        <v>0</v>
      </c>
      <c r="H130" s="222">
        <f>VLOOKUP(A130,'Front-loading'!A:AG,$H$6,FALSE)</f>
        <v>0</v>
      </c>
      <c r="I130" s="222">
        <f>VLOOKUP(A130,'Front-loading'!A:AG,$I$6,FALSE)</f>
        <v>0</v>
      </c>
      <c r="J130" s="222">
        <f>VLOOKUP(A130,'Front-loading'!A:AG,$J$6,FALSE)</f>
        <v>0</v>
      </c>
      <c r="K130" s="222">
        <f>VLOOKUP(A130,'Front-loading'!A:AG,$K$6,FALSE)</f>
        <v>0</v>
      </c>
      <c r="L130" s="222">
        <f>VLOOKUP(A130,'Front-loading'!A:AG,$L$6,FALSE)</f>
        <v>0</v>
      </c>
      <c r="M130" s="222">
        <f>VLOOKUP(A130,'Front-loading'!A:AG,$M$6,FALSE)</f>
        <v>0</v>
      </c>
      <c r="N130" s="223">
        <f t="shared" si="135"/>
        <v>0</v>
      </c>
      <c r="O130" s="223">
        <f t="shared" si="136"/>
        <v>0</v>
      </c>
      <c r="P130" s="223">
        <f t="shared" si="137"/>
        <v>0</v>
      </c>
      <c r="Q130" s="223">
        <f t="shared" si="138"/>
        <v>0</v>
      </c>
      <c r="R130" s="409" t="str">
        <f t="shared" si="59"/>
        <v/>
      </c>
      <c r="S130" s="409" t="str">
        <f t="shared" si="60"/>
        <v/>
      </c>
      <c r="T130" s="409" t="str">
        <f t="shared" si="61"/>
        <v/>
      </c>
      <c r="U130" s="409" t="str">
        <f t="shared" si="62"/>
        <v/>
      </c>
      <c r="V130" s="411" t="str">
        <f t="shared" si="139"/>
        <v/>
      </c>
      <c r="W130" s="411" t="str">
        <f t="shared" si="140"/>
        <v/>
      </c>
      <c r="X130" s="411" t="str">
        <f t="shared" si="141"/>
        <v/>
      </c>
      <c r="Y130" s="411" t="str">
        <f t="shared" si="142"/>
        <v/>
      </c>
      <c r="Z130" s="411" t="str">
        <f t="shared" si="143"/>
        <v/>
      </c>
      <c r="AA130" s="411" t="str">
        <f t="shared" si="144"/>
        <v/>
      </c>
      <c r="AB130" s="411" t="str">
        <f t="shared" si="145"/>
        <v/>
      </c>
      <c r="AC130" s="411" t="str">
        <f t="shared" si="146"/>
        <v/>
      </c>
      <c r="AD130" s="411" t="str">
        <f t="shared" si="147"/>
        <v/>
      </c>
      <c r="AE130" s="411" t="str">
        <f t="shared" si="148"/>
        <v/>
      </c>
      <c r="AF130" s="411" t="str">
        <f t="shared" si="149"/>
        <v/>
      </c>
      <c r="AG130" s="411" t="str">
        <f t="shared" si="150"/>
        <v/>
      </c>
      <c r="AH130" s="411" t="e">
        <f t="shared" si="151"/>
        <v>#VALUE!</v>
      </c>
      <c r="AI130" s="411" t="e">
        <f t="shared" si="152"/>
        <v>#VALUE!</v>
      </c>
      <c r="AJ130" s="411" t="e">
        <f t="shared" si="153"/>
        <v>#VALUE!</v>
      </c>
      <c r="AK130" s="411" t="e">
        <f t="shared" si="154"/>
        <v>#VALUE!</v>
      </c>
      <c r="AL130" s="411" t="e">
        <f t="shared" si="57"/>
        <v>#VALUE!</v>
      </c>
      <c r="AM130" s="411" t="e">
        <f t="shared" ref="AM130:AM145" si="175">AI130</f>
        <v>#VALUE!</v>
      </c>
      <c r="AN130" s="411" t="e">
        <f t="shared" ref="AN130:AN145" si="176">AJ130</f>
        <v>#VALUE!</v>
      </c>
      <c r="AO130" s="411" t="e">
        <f t="shared" ref="AO130:AO145" si="177">AK130</f>
        <v>#VALUE!</v>
      </c>
      <c r="AP130" s="411" t="e">
        <f t="shared" si="155"/>
        <v>#VALUE!</v>
      </c>
      <c r="AQ130" s="411" t="e">
        <f t="shared" si="156"/>
        <v>#VALUE!</v>
      </c>
      <c r="AR130" s="411" t="e">
        <f t="shared" si="157"/>
        <v>#VALUE!</v>
      </c>
      <c r="AS130" s="411" t="e">
        <f t="shared" si="158"/>
        <v>#VALUE!</v>
      </c>
      <c r="AT130" s="227" t="e">
        <f t="shared" si="132"/>
        <v>#VALUE!</v>
      </c>
      <c r="AU130" s="227" t="e">
        <f t="shared" si="159"/>
        <v>#VALUE!</v>
      </c>
      <c r="AV130" s="227" t="e">
        <f t="shared" si="160"/>
        <v>#VALUE!</v>
      </c>
      <c r="AW130" s="227" t="e">
        <f t="shared" si="161"/>
        <v>#VALUE!</v>
      </c>
      <c r="AX130" s="227" t="e">
        <f t="shared" si="162"/>
        <v>#VALUE!</v>
      </c>
      <c r="AY130" s="311" t="e">
        <f t="shared" si="163"/>
        <v>#VALUE!</v>
      </c>
      <c r="AZ130" s="311" t="e">
        <f t="shared" si="164"/>
        <v>#VALUE!</v>
      </c>
      <c r="BA130" s="311" t="e">
        <f t="shared" si="165"/>
        <v>#VALUE!</v>
      </c>
      <c r="BB130" s="311" t="e">
        <f t="shared" si="166"/>
        <v>#VALUE!</v>
      </c>
      <c r="BC130" s="311" t="e">
        <f t="shared" si="167"/>
        <v>#VALUE!</v>
      </c>
      <c r="BD130" s="227" t="e">
        <f t="shared" si="168"/>
        <v>#VALUE!</v>
      </c>
      <c r="BE130" s="227" t="e">
        <f t="shared" si="169"/>
        <v>#VALUE!</v>
      </c>
      <c r="BF130" s="227" t="e">
        <f t="shared" si="170"/>
        <v>#VALUE!</v>
      </c>
      <c r="BG130" s="227" t="e">
        <f t="shared" si="171"/>
        <v>#VALUE!</v>
      </c>
      <c r="BH130" s="227" t="e">
        <f t="shared" si="172"/>
        <v>#VALUE!</v>
      </c>
      <c r="BI130" s="227" t="e">
        <f t="shared" si="173"/>
        <v>#VALUE!</v>
      </c>
      <c r="BJ130" s="226" t="e">
        <f t="shared" si="174"/>
        <v>#VALUE!</v>
      </c>
      <c r="BK130" s="335"/>
      <c r="BL130" s="335"/>
      <c r="BM130" s="335"/>
      <c r="BN130" s="335"/>
    </row>
    <row r="131" spans="1:66">
      <c r="A131" s="231">
        <v>656</v>
      </c>
      <c r="B131" s="231" t="str">
        <f>VLOOKUP(A131,'201314 RC list'!A:B,2,FALSE)</f>
        <v>Clinical Psychology</v>
      </c>
      <c r="C131" s="231"/>
      <c r="D131" s="310" t="str">
        <f t="shared" si="134"/>
        <v>A</v>
      </c>
      <c r="E131" s="231">
        <f>IF(ISERROR(VLOOKUP(A131,Mandatory!A:A,1,FALSE)),0,1)</f>
        <v>0</v>
      </c>
      <c r="F131" s="222">
        <f>VLOOKUP(A131,'Front-loading'!A:AG,$F$6,FALSE)</f>
        <v>102</v>
      </c>
      <c r="G131" s="222">
        <f>VLOOKUP(A131,'Front-loading'!A:AG,$G$6,FALSE)</f>
        <v>12159</v>
      </c>
      <c r="H131" s="222">
        <f>VLOOKUP(A131,'Front-loading'!A:AG,$H$6,FALSE)</f>
        <v>251</v>
      </c>
      <c r="I131" s="222">
        <f>VLOOKUP(A131,'Front-loading'!A:AG,$I$6,FALSE)</f>
        <v>24853</v>
      </c>
      <c r="J131" s="222">
        <f>VLOOKUP(A131,'Front-loading'!A:AG,$J$6,FALSE)</f>
        <v>18795.39266216254</v>
      </c>
      <c r="K131" s="222">
        <f>VLOOKUP(A131,'Front-loading'!A:AG,$K$6,FALSE)</f>
        <v>2730495.9464467489</v>
      </c>
      <c r="L131" s="222">
        <f>VLOOKUP(A131,'Front-loading'!A:AG,$L$6,FALSE)</f>
        <v>28489.478215181764</v>
      </c>
      <c r="M131" s="222">
        <f>VLOOKUP(A131,'Front-loading'!A:AG,$M$6,FALSE)</f>
        <v>4466251.1395834656</v>
      </c>
      <c r="N131" s="223">
        <f t="shared" si="135"/>
        <v>184.26855551139744</v>
      </c>
      <c r="O131" s="223">
        <f t="shared" si="136"/>
        <v>224.56583160183806</v>
      </c>
      <c r="P131" s="223">
        <f t="shared" si="137"/>
        <v>113.5038972716405</v>
      </c>
      <c r="Q131" s="223">
        <f t="shared" si="138"/>
        <v>179.70672110342679</v>
      </c>
      <c r="R131" s="409">
        <f t="shared" si="59"/>
        <v>184.26855551139744</v>
      </c>
      <c r="S131" s="409">
        <f t="shared" si="60"/>
        <v>224.56583160183806</v>
      </c>
      <c r="T131" s="409">
        <f t="shared" si="61"/>
        <v>113.5038972716405</v>
      </c>
      <c r="U131" s="409">
        <f t="shared" si="62"/>
        <v>179.70672110342679</v>
      </c>
      <c r="V131" s="411">
        <f t="shared" si="139"/>
        <v>184.26855551139744</v>
      </c>
      <c r="W131" s="411">
        <f t="shared" si="140"/>
        <v>224.56583160183806</v>
      </c>
      <c r="X131" s="411">
        <f t="shared" si="141"/>
        <v>113.5038972716405</v>
      </c>
      <c r="Y131" s="411">
        <f t="shared" si="142"/>
        <v>179.70672110342679</v>
      </c>
      <c r="Z131" s="411">
        <f t="shared" si="143"/>
        <v>184.26855551139744</v>
      </c>
      <c r="AA131" s="411">
        <f t="shared" si="144"/>
        <v>224.56583160183806</v>
      </c>
      <c r="AB131" s="411">
        <f t="shared" si="145"/>
        <v>113.5038972716405</v>
      </c>
      <c r="AC131" s="411">
        <f t="shared" si="146"/>
        <v>179.70672110342679</v>
      </c>
      <c r="AD131" s="411">
        <f t="shared" si="147"/>
        <v>224.23059612665455</v>
      </c>
      <c r="AE131" s="411">
        <f t="shared" si="148"/>
        <v>224.23059612665455</v>
      </c>
      <c r="AF131" s="411">
        <f t="shared" si="149"/>
        <v>179.04479835080656</v>
      </c>
      <c r="AG131" s="411">
        <f t="shared" si="150"/>
        <v>179.04479835080656</v>
      </c>
      <c r="AH131" s="411">
        <f t="shared" si="151"/>
        <v>224.23059612665455</v>
      </c>
      <c r="AI131" s="411">
        <f t="shared" si="152"/>
        <v>224.23059612665455</v>
      </c>
      <c r="AJ131" s="411">
        <f t="shared" si="153"/>
        <v>179.04479835080656</v>
      </c>
      <c r="AK131" s="411">
        <f t="shared" si="154"/>
        <v>179.04479835080656</v>
      </c>
      <c r="AL131" s="411">
        <f t="shared" ref="AL131:AL145" si="178">AH131</f>
        <v>224.23059612665455</v>
      </c>
      <c r="AM131" s="411">
        <f t="shared" si="175"/>
        <v>224.23059612665455</v>
      </c>
      <c r="AN131" s="411">
        <f t="shared" si="176"/>
        <v>179.04479835080656</v>
      </c>
      <c r="AO131" s="411">
        <f t="shared" si="177"/>
        <v>179.04479835080656</v>
      </c>
      <c r="AP131" s="411">
        <f t="shared" si="155"/>
        <v>224.23059612665455</v>
      </c>
      <c r="AQ131" s="411">
        <f t="shared" si="156"/>
        <v>224.23059612665455</v>
      </c>
      <c r="AR131" s="411">
        <f t="shared" si="157"/>
        <v>179.04479835080656</v>
      </c>
      <c r="AS131" s="411">
        <f t="shared" si="158"/>
        <v>179.04479835080656</v>
      </c>
      <c r="AT131" s="227" t="str">
        <f t="shared" si="132"/>
        <v/>
      </c>
      <c r="AU131" s="227" t="str">
        <f t="shared" si="159"/>
        <v/>
      </c>
      <c r="AV131" s="227" t="str">
        <f t="shared" si="160"/>
        <v/>
      </c>
      <c r="AW131" s="227" t="str">
        <f t="shared" si="161"/>
        <v/>
      </c>
      <c r="AX131" s="227" t="str">
        <f t="shared" si="162"/>
        <v/>
      </c>
      <c r="AY131" s="311" t="str">
        <f t="shared" si="163"/>
        <v/>
      </c>
      <c r="AZ131" s="311">
        <f t="shared" si="164"/>
        <v>224.23059612665455</v>
      </c>
      <c r="BA131" s="311">
        <f t="shared" si="165"/>
        <v>224.23059612665455</v>
      </c>
      <c r="BB131" s="311">
        <f t="shared" si="166"/>
        <v>179.04479835080656</v>
      </c>
      <c r="BC131" s="311">
        <f t="shared" si="167"/>
        <v>179.04479835080656</v>
      </c>
      <c r="BD131" s="311" t="str">
        <f t="shared" si="168"/>
        <v/>
      </c>
      <c r="BE131" s="311" t="str">
        <f t="shared" si="169"/>
        <v/>
      </c>
      <c r="BF131" s="311" t="str">
        <f t="shared" si="170"/>
        <v/>
      </c>
      <c r="BG131" s="311" t="str">
        <f t="shared" si="171"/>
        <v/>
      </c>
      <c r="BH131" s="311" t="str">
        <f t="shared" si="172"/>
        <v/>
      </c>
      <c r="BI131" s="311" t="str">
        <f t="shared" si="173"/>
        <v/>
      </c>
      <c r="BJ131" s="226">
        <f t="shared" si="174"/>
        <v>7244031.9569075592</v>
      </c>
      <c r="BK131" s="335"/>
      <c r="BL131" s="335"/>
      <c r="BM131" s="335"/>
      <c r="BN131" s="335"/>
    </row>
    <row r="132" spans="1:66">
      <c r="A132" s="231">
        <v>657</v>
      </c>
      <c r="B132" s="231" t="str">
        <f>VLOOKUP(A132,'201314 RC list'!A:B,2,FALSE)</f>
        <v>Prosthetics</v>
      </c>
      <c r="C132" s="231"/>
      <c r="D132" s="310" t="str">
        <f t="shared" si="134"/>
        <v>A</v>
      </c>
      <c r="E132" s="231">
        <f>IF(ISERROR(VLOOKUP(A132,Mandatory!A:A,1,FALSE)),0,1)</f>
        <v>0</v>
      </c>
      <c r="F132" s="222">
        <f>VLOOKUP(A132,'Front-loading'!A:AG,$F$6,FALSE)</f>
        <v>0</v>
      </c>
      <c r="G132" s="222">
        <f>VLOOKUP(A132,'Front-loading'!A:AG,$G$6,FALSE)</f>
        <v>402</v>
      </c>
      <c r="H132" s="222">
        <f>VLOOKUP(A132,'Front-loading'!A:AG,$H$6,FALSE)</f>
        <v>0</v>
      </c>
      <c r="I132" s="222">
        <f>VLOOKUP(A132,'Front-loading'!A:AG,$I$6,FALSE)</f>
        <v>2702</v>
      </c>
      <c r="J132" s="222">
        <f>VLOOKUP(A132,'Front-loading'!A:AG,$J$6,FALSE)</f>
        <v>0</v>
      </c>
      <c r="K132" s="222">
        <f>VLOOKUP(A132,'Front-loading'!A:AG,$K$6,FALSE)</f>
        <v>43977.48412013991</v>
      </c>
      <c r="L132" s="222">
        <f>VLOOKUP(A132,'Front-loading'!A:AG,$L$6,FALSE)</f>
        <v>27.697629125599406</v>
      </c>
      <c r="M132" s="222">
        <f>VLOOKUP(A132,'Front-loading'!A:AG,$M$6,FALSE)</f>
        <v>166447.83834966991</v>
      </c>
      <c r="N132" s="223">
        <f t="shared" si="135"/>
        <v>0</v>
      </c>
      <c r="O132" s="223">
        <f t="shared" si="136"/>
        <v>109.3967266670147</v>
      </c>
      <c r="P132" s="223">
        <f t="shared" si="137"/>
        <v>0</v>
      </c>
      <c r="Q132" s="223">
        <f t="shared" si="138"/>
        <v>61.601716635703148</v>
      </c>
      <c r="R132" s="409" t="str">
        <f t="shared" si="59"/>
        <v/>
      </c>
      <c r="S132" s="409">
        <f t="shared" si="60"/>
        <v>109.3967266670147</v>
      </c>
      <c r="T132" s="409" t="str">
        <f t="shared" si="61"/>
        <v/>
      </c>
      <c r="U132" s="409">
        <f t="shared" si="62"/>
        <v>61.601716635703148</v>
      </c>
      <c r="V132" s="411" t="str">
        <f t="shared" si="139"/>
        <v/>
      </c>
      <c r="W132" s="411">
        <f t="shared" si="140"/>
        <v>109.3967266670147</v>
      </c>
      <c r="X132" s="411" t="str">
        <f t="shared" si="141"/>
        <v/>
      </c>
      <c r="Y132" s="411">
        <f t="shared" si="142"/>
        <v>61.601716635703148</v>
      </c>
      <c r="Z132" s="411" t="str">
        <f t="shared" si="143"/>
        <v/>
      </c>
      <c r="AA132" s="411">
        <f t="shared" si="144"/>
        <v>109.3967266670147</v>
      </c>
      <c r="AB132" s="411" t="str">
        <f t="shared" si="145"/>
        <v/>
      </c>
      <c r="AC132" s="411">
        <f t="shared" si="146"/>
        <v>61.601716635703148</v>
      </c>
      <c r="AD132" s="411" t="str">
        <f t="shared" si="147"/>
        <v/>
      </c>
      <c r="AE132" s="411">
        <f t="shared" si="148"/>
        <v>109.3967266670147</v>
      </c>
      <c r="AF132" s="411" t="str">
        <f t="shared" si="149"/>
        <v/>
      </c>
      <c r="AG132" s="411">
        <f t="shared" si="150"/>
        <v>61.601716635703148</v>
      </c>
      <c r="AH132" s="411">
        <f t="shared" si="151"/>
        <v>218.79345333402941</v>
      </c>
      <c r="AI132" s="411">
        <f t="shared" si="152"/>
        <v>109.3967266670147</v>
      </c>
      <c r="AJ132" s="411">
        <f t="shared" si="153"/>
        <v>123.2034332714063</v>
      </c>
      <c r="AK132" s="411">
        <f t="shared" si="154"/>
        <v>61.601716635703148</v>
      </c>
      <c r="AL132" s="411">
        <f t="shared" si="178"/>
        <v>218.79345333402941</v>
      </c>
      <c r="AM132" s="411">
        <f t="shared" si="175"/>
        <v>109.3967266670147</v>
      </c>
      <c r="AN132" s="411">
        <f t="shared" si="176"/>
        <v>123.2034332714063</v>
      </c>
      <c r="AO132" s="411">
        <f t="shared" si="177"/>
        <v>61.601716635703148</v>
      </c>
      <c r="AP132" s="411">
        <f t="shared" si="155"/>
        <v>218.79345333402941</v>
      </c>
      <c r="AQ132" s="411">
        <f t="shared" si="156"/>
        <v>109.3967266670147</v>
      </c>
      <c r="AR132" s="411">
        <f t="shared" si="157"/>
        <v>123.2034332714063</v>
      </c>
      <c r="AS132" s="411">
        <f t="shared" si="158"/>
        <v>61.601716635703148</v>
      </c>
      <c r="AT132" s="227" t="str">
        <f t="shared" si="132"/>
        <v/>
      </c>
      <c r="AU132" s="227" t="str">
        <f t="shared" si="159"/>
        <v/>
      </c>
      <c r="AV132" s="227" t="str">
        <f t="shared" si="160"/>
        <v/>
      </c>
      <c r="AW132" s="227" t="str">
        <f t="shared" si="161"/>
        <v/>
      </c>
      <c r="AX132" s="227" t="str">
        <f t="shared" si="162"/>
        <v/>
      </c>
      <c r="AY132" s="311" t="str">
        <f t="shared" si="163"/>
        <v/>
      </c>
      <c r="AZ132" s="311">
        <f t="shared" si="164"/>
        <v>218.79345333402941</v>
      </c>
      <c r="BA132" s="311">
        <f t="shared" si="165"/>
        <v>109.3967266670147</v>
      </c>
      <c r="BB132" s="311">
        <f t="shared" si="166"/>
        <v>123.2034332714063</v>
      </c>
      <c r="BC132" s="311">
        <f t="shared" si="167"/>
        <v>61.601716635703148</v>
      </c>
      <c r="BD132" s="227" t="str">
        <f t="shared" si="168"/>
        <v/>
      </c>
      <c r="BE132" s="227" t="str">
        <f t="shared" si="169"/>
        <v/>
      </c>
      <c r="BF132" s="227" t="str">
        <f t="shared" si="170"/>
        <v/>
      </c>
      <c r="BG132" s="227" t="str">
        <f t="shared" si="171"/>
        <v/>
      </c>
      <c r="BH132" s="227" t="str">
        <f t="shared" si="172"/>
        <v/>
      </c>
      <c r="BI132" s="227" t="str">
        <f t="shared" si="173"/>
        <v/>
      </c>
      <c r="BJ132" s="226">
        <f t="shared" si="174"/>
        <v>210425.32246980982</v>
      </c>
      <c r="BK132" s="335"/>
      <c r="BL132" s="335"/>
      <c r="BM132" s="335"/>
      <c r="BN132" s="335"/>
    </row>
    <row r="133" spans="1:66">
      <c r="A133" s="231">
        <v>658</v>
      </c>
      <c r="B133" s="231" t="str">
        <f>VLOOKUP(A133,'201314 RC list'!A:B,2,FALSE)</f>
        <v>Orthotics</v>
      </c>
      <c r="C133" s="231"/>
      <c r="D133" s="310" t="str">
        <f t="shared" si="134"/>
        <v>A</v>
      </c>
      <c r="E133" s="231">
        <f>IF(ISERROR(VLOOKUP(A133,Mandatory!A:A,1,FALSE)),0,1)</f>
        <v>0</v>
      </c>
      <c r="F133" s="222">
        <f>VLOOKUP(A133,'Front-loading'!A:AG,$F$6,FALSE)</f>
        <v>0</v>
      </c>
      <c r="G133" s="222">
        <f>VLOOKUP(A133,'Front-loading'!A:AG,$G$6,FALSE)</f>
        <v>20156</v>
      </c>
      <c r="H133" s="222">
        <f>VLOOKUP(A133,'Front-loading'!A:AG,$H$6,FALSE)</f>
        <v>0</v>
      </c>
      <c r="I133" s="222">
        <f>VLOOKUP(A133,'Front-loading'!A:AG,$I$6,FALSE)</f>
        <v>24573</v>
      </c>
      <c r="J133" s="222">
        <f>VLOOKUP(A133,'Front-loading'!A:AG,$J$6,FALSE)</f>
        <v>0</v>
      </c>
      <c r="K133" s="222">
        <f>VLOOKUP(A133,'Front-loading'!A:AG,$K$6,FALSE)</f>
        <v>2508585.4326733937</v>
      </c>
      <c r="L133" s="222">
        <f>VLOOKUP(A133,'Front-loading'!A:AG,$L$6,FALSE)</f>
        <v>0</v>
      </c>
      <c r="M133" s="222">
        <f>VLOOKUP(A133,'Front-loading'!A:AG,$M$6,FALSE)</f>
        <v>3124961.0864397278</v>
      </c>
      <c r="N133" s="223">
        <f t="shared" si="135"/>
        <v>0</v>
      </c>
      <c r="O133" s="223">
        <f t="shared" si="136"/>
        <v>124.45849536978537</v>
      </c>
      <c r="P133" s="223">
        <f t="shared" si="137"/>
        <v>0</v>
      </c>
      <c r="Q133" s="223">
        <f t="shared" si="138"/>
        <v>127.17051586862523</v>
      </c>
      <c r="R133" s="409" t="str">
        <f t="shared" si="59"/>
        <v/>
      </c>
      <c r="S133" s="409">
        <f t="shared" si="60"/>
        <v>124.45849536978537</v>
      </c>
      <c r="T133" s="409" t="str">
        <f t="shared" si="61"/>
        <v/>
      </c>
      <c r="U133" s="409">
        <f t="shared" si="62"/>
        <v>127.17051586862523</v>
      </c>
      <c r="V133" s="411" t="str">
        <f t="shared" si="139"/>
        <v/>
      </c>
      <c r="W133" s="411">
        <f t="shared" si="140"/>
        <v>124.45849536978537</v>
      </c>
      <c r="X133" s="411" t="str">
        <f t="shared" si="141"/>
        <v/>
      </c>
      <c r="Y133" s="411">
        <f t="shared" si="142"/>
        <v>127.17051586862523</v>
      </c>
      <c r="Z133" s="411" t="str">
        <f t="shared" si="143"/>
        <v/>
      </c>
      <c r="AA133" s="411">
        <f t="shared" si="144"/>
        <v>125.94841197239199</v>
      </c>
      <c r="AB133" s="411" t="str">
        <f t="shared" si="145"/>
        <v/>
      </c>
      <c r="AC133" s="411">
        <f t="shared" si="146"/>
        <v>125.94841197239199</v>
      </c>
      <c r="AD133" s="411" t="str">
        <f t="shared" si="147"/>
        <v/>
      </c>
      <c r="AE133" s="411">
        <f t="shared" si="148"/>
        <v>125.94841197239199</v>
      </c>
      <c r="AF133" s="411" t="str">
        <f t="shared" si="149"/>
        <v/>
      </c>
      <c r="AG133" s="411">
        <f t="shared" si="150"/>
        <v>125.94841197239199</v>
      </c>
      <c r="AH133" s="411">
        <f t="shared" si="151"/>
        <v>251.89682394478399</v>
      </c>
      <c r="AI133" s="411">
        <f t="shared" si="152"/>
        <v>125.94841197239199</v>
      </c>
      <c r="AJ133" s="411">
        <f t="shared" si="153"/>
        <v>251.89682394478399</v>
      </c>
      <c r="AK133" s="411">
        <f t="shared" si="154"/>
        <v>125.94841197239199</v>
      </c>
      <c r="AL133" s="411">
        <f t="shared" si="178"/>
        <v>251.89682394478399</v>
      </c>
      <c r="AM133" s="411">
        <f t="shared" si="175"/>
        <v>125.94841197239199</v>
      </c>
      <c r="AN133" s="411">
        <f t="shared" si="176"/>
        <v>251.89682394478399</v>
      </c>
      <c r="AO133" s="411">
        <f t="shared" si="177"/>
        <v>125.94841197239199</v>
      </c>
      <c r="AP133" s="411">
        <f t="shared" si="155"/>
        <v>251.89682394478399</v>
      </c>
      <c r="AQ133" s="411">
        <f t="shared" si="156"/>
        <v>125.94841197239199</v>
      </c>
      <c r="AR133" s="411">
        <f t="shared" si="157"/>
        <v>251.89682394478399</v>
      </c>
      <c r="AS133" s="411">
        <f t="shared" si="158"/>
        <v>125.94841197239199</v>
      </c>
      <c r="AT133" s="227" t="str">
        <f t="shared" si="132"/>
        <v/>
      </c>
      <c r="AU133" s="227" t="str">
        <f t="shared" si="159"/>
        <v/>
      </c>
      <c r="AV133" s="227" t="str">
        <f t="shared" si="160"/>
        <v/>
      </c>
      <c r="AW133" s="227" t="str">
        <f t="shared" si="161"/>
        <v/>
      </c>
      <c r="AX133" s="227" t="str">
        <f t="shared" si="162"/>
        <v/>
      </c>
      <c r="AY133" s="311" t="str">
        <f t="shared" si="163"/>
        <v/>
      </c>
      <c r="AZ133" s="311">
        <f t="shared" si="164"/>
        <v>251.89682394478399</v>
      </c>
      <c r="BA133" s="311">
        <f t="shared" si="165"/>
        <v>125.94841197239199</v>
      </c>
      <c r="BB133" s="311">
        <f t="shared" si="166"/>
        <v>251.89682394478399</v>
      </c>
      <c r="BC133" s="311">
        <f t="shared" si="167"/>
        <v>125.94841197239199</v>
      </c>
      <c r="BD133" s="227" t="str">
        <f t="shared" si="168"/>
        <v/>
      </c>
      <c r="BE133" s="227" t="str">
        <f t="shared" si="169"/>
        <v/>
      </c>
      <c r="BF133" s="227" t="str">
        <f t="shared" si="170"/>
        <v/>
      </c>
      <c r="BG133" s="227" t="str">
        <f t="shared" si="171"/>
        <v/>
      </c>
      <c r="BH133" s="227" t="str">
        <f t="shared" si="172"/>
        <v/>
      </c>
      <c r="BI133" s="227" t="str">
        <f t="shared" si="173"/>
        <v/>
      </c>
      <c r="BJ133" s="226">
        <f t="shared" si="174"/>
        <v>5633546.5191131216</v>
      </c>
      <c r="BK133" s="335"/>
      <c r="BL133" s="335"/>
      <c r="BM133" s="335"/>
      <c r="BN133" s="335"/>
    </row>
    <row r="134" spans="1:66">
      <c r="A134" s="231">
        <v>662</v>
      </c>
      <c r="B134" s="231" t="str">
        <f>VLOOKUP(A134,'201314 RC list'!A:B,2,FALSE)</f>
        <v>Optometry</v>
      </c>
      <c r="C134" s="231"/>
      <c r="D134" s="310" t="str">
        <f t="shared" si="134"/>
        <v>A</v>
      </c>
      <c r="E134" s="231">
        <f>IF(ISERROR(VLOOKUP(A134,Mandatory!A:A,1,FALSE)),0,1)</f>
        <v>0</v>
      </c>
      <c r="F134" s="222">
        <f>VLOOKUP(A134,'Front-loading'!A:AG,$F$6,FALSE)</f>
        <v>9</v>
      </c>
      <c r="G134" s="222">
        <f>VLOOKUP(A134,'Front-loading'!A:AG,$G$6,FALSE)</f>
        <v>4145</v>
      </c>
      <c r="H134" s="222">
        <f>VLOOKUP(A134,'Front-loading'!A:AG,$H$6,FALSE)</f>
        <v>11</v>
      </c>
      <c r="I134" s="222">
        <f>VLOOKUP(A134,'Front-loading'!A:AG,$I$6,FALSE)</f>
        <v>5825</v>
      </c>
      <c r="J134" s="222">
        <f>VLOOKUP(A134,'Front-loading'!A:AG,$J$6,FALSE)</f>
        <v>682.78745711098566</v>
      </c>
      <c r="K134" s="222">
        <f>VLOOKUP(A134,'Front-loading'!A:AG,$K$6,FALSE)</f>
        <v>289581.66940214875</v>
      </c>
      <c r="L134" s="222">
        <f>VLOOKUP(A134,'Front-loading'!A:AG,$L$6,FALSE)</f>
        <v>619.95238055129278</v>
      </c>
      <c r="M134" s="222">
        <f>VLOOKUP(A134,'Front-loading'!A:AG,$M$6,FALSE)</f>
        <v>604210.44565627864</v>
      </c>
      <c r="N134" s="223">
        <f t="shared" si="135"/>
        <v>75.865273012331741</v>
      </c>
      <c r="O134" s="223">
        <f t="shared" si="136"/>
        <v>69.862887672412242</v>
      </c>
      <c r="P134" s="223">
        <f t="shared" si="137"/>
        <v>56.359307322844799</v>
      </c>
      <c r="Q134" s="223">
        <f t="shared" si="138"/>
        <v>103.72711513412509</v>
      </c>
      <c r="R134" s="409">
        <f t="shared" si="59"/>
        <v>65.136991883113922</v>
      </c>
      <c r="S134" s="409">
        <f t="shared" si="60"/>
        <v>69.862887672412242</v>
      </c>
      <c r="T134" s="409">
        <f t="shared" si="61"/>
        <v>65.136991883113922</v>
      </c>
      <c r="U134" s="409">
        <f t="shared" si="62"/>
        <v>103.72711513412509</v>
      </c>
      <c r="V134" s="411">
        <f t="shared" si="139"/>
        <v>65.136991883113922</v>
      </c>
      <c r="W134" s="411">
        <f t="shared" si="140"/>
        <v>69.862887672412242</v>
      </c>
      <c r="X134" s="411">
        <f t="shared" si="141"/>
        <v>65.136991883113922</v>
      </c>
      <c r="Y134" s="411">
        <f t="shared" si="142"/>
        <v>103.72711513412509</v>
      </c>
      <c r="Z134" s="411">
        <f t="shared" si="143"/>
        <v>65.136991883113922</v>
      </c>
      <c r="AA134" s="411">
        <f t="shared" si="144"/>
        <v>89.648155973764034</v>
      </c>
      <c r="AB134" s="411">
        <f t="shared" si="145"/>
        <v>65.136991883113922</v>
      </c>
      <c r="AC134" s="411">
        <f t="shared" si="146"/>
        <v>89.648155973764034</v>
      </c>
      <c r="AD134" s="411">
        <f t="shared" si="147"/>
        <v>89.595050418440053</v>
      </c>
      <c r="AE134" s="411">
        <f t="shared" si="148"/>
        <v>89.595050418440053</v>
      </c>
      <c r="AF134" s="411">
        <f t="shared" si="149"/>
        <v>89.601956041447863</v>
      </c>
      <c r="AG134" s="411">
        <f t="shared" si="150"/>
        <v>89.601956041447863</v>
      </c>
      <c r="AH134" s="411">
        <f t="shared" si="151"/>
        <v>89.595050418440053</v>
      </c>
      <c r="AI134" s="411">
        <f t="shared" si="152"/>
        <v>89.595050418440053</v>
      </c>
      <c r="AJ134" s="411">
        <f t="shared" si="153"/>
        <v>89.601956041447863</v>
      </c>
      <c r="AK134" s="411">
        <f t="shared" si="154"/>
        <v>89.601956041447863</v>
      </c>
      <c r="AL134" s="411">
        <f t="shared" si="178"/>
        <v>89.595050418440053</v>
      </c>
      <c r="AM134" s="411">
        <f t="shared" si="175"/>
        <v>89.595050418440053</v>
      </c>
      <c r="AN134" s="411">
        <f t="shared" si="176"/>
        <v>89.601956041447863</v>
      </c>
      <c r="AO134" s="411">
        <f t="shared" si="177"/>
        <v>89.601956041447863</v>
      </c>
      <c r="AP134" s="411">
        <f t="shared" si="155"/>
        <v>89.595050418440053</v>
      </c>
      <c r="AQ134" s="411">
        <f t="shared" si="156"/>
        <v>89.595050418440053</v>
      </c>
      <c r="AR134" s="411">
        <f t="shared" si="157"/>
        <v>89.601956041447863</v>
      </c>
      <c r="AS134" s="411">
        <f t="shared" si="158"/>
        <v>89.601956041447863</v>
      </c>
      <c r="AT134" s="227">
        <f t="shared" si="132"/>
        <v>89.598848511094346</v>
      </c>
      <c r="AU134" s="227">
        <f t="shared" si="159"/>
        <v>89.599085047729986</v>
      </c>
      <c r="AV134" s="227" t="str">
        <f t="shared" si="160"/>
        <v/>
      </c>
      <c r="AW134" s="227" t="str">
        <f t="shared" si="161"/>
        <v/>
      </c>
      <c r="AX134" s="227" t="str">
        <f t="shared" si="162"/>
        <v/>
      </c>
      <c r="AY134" s="311" t="str">
        <f t="shared" si="163"/>
        <v/>
      </c>
      <c r="AZ134" s="311">
        <f t="shared" si="164"/>
        <v>89.595050418440053</v>
      </c>
      <c r="BA134" s="311">
        <f t="shared" si="165"/>
        <v>89.595050418440053</v>
      </c>
      <c r="BB134" s="311">
        <f t="shared" si="166"/>
        <v>89.598848511094346</v>
      </c>
      <c r="BC134" s="311">
        <f t="shared" si="167"/>
        <v>89.599085047729986</v>
      </c>
      <c r="BD134" s="311" t="str">
        <f t="shared" si="168"/>
        <v>1FA</v>
      </c>
      <c r="BE134" s="311" t="str">
        <f t="shared" si="169"/>
        <v>1FU</v>
      </c>
      <c r="BF134" s="311" t="str">
        <f t="shared" si="170"/>
        <v/>
      </c>
      <c r="BG134" s="311" t="str">
        <f t="shared" si="171"/>
        <v>2FU</v>
      </c>
      <c r="BH134" s="311" t="str">
        <f t="shared" si="172"/>
        <v/>
      </c>
      <c r="BI134" s="311" t="str">
        <f t="shared" si="173"/>
        <v/>
      </c>
      <c r="BJ134" s="226">
        <f t="shared" si="174"/>
        <v>895078.09717484913</v>
      </c>
      <c r="BK134" s="335"/>
      <c r="BL134" s="335"/>
      <c r="BM134" s="335"/>
      <c r="BN134" s="335"/>
    </row>
    <row r="135" spans="1:66">
      <c r="A135" s="231">
        <v>663</v>
      </c>
      <c r="B135" s="231" t="str">
        <f>VLOOKUP(A135,'201314 RC list'!A:B,2,FALSE)</f>
        <v>Podiatric Surgery</v>
      </c>
      <c r="C135" s="231"/>
      <c r="D135" s="310" t="str">
        <f t="shared" si="134"/>
        <v>A</v>
      </c>
      <c r="E135" s="231">
        <f>IF(ISERROR(VLOOKUP(A135,Mandatory!A:A,1,FALSE)),0,1)</f>
        <v>0</v>
      </c>
      <c r="F135" s="222">
        <f>VLOOKUP(A135,'Front-loading'!A:AG,$F$6,FALSE)</f>
        <v>0</v>
      </c>
      <c r="G135" s="222">
        <f>VLOOKUP(A135,'Front-loading'!A:AG,$G$6,FALSE)</f>
        <v>1317</v>
      </c>
      <c r="H135" s="222">
        <f>VLOOKUP(A135,'Front-loading'!A:AG,$H$6,FALSE)</f>
        <v>0</v>
      </c>
      <c r="I135" s="222">
        <f>VLOOKUP(A135,'Front-loading'!A:AG,$I$6,FALSE)</f>
        <v>8606</v>
      </c>
      <c r="J135" s="222">
        <f>VLOOKUP(A135,'Front-loading'!A:AG,$J$6,FALSE)</f>
        <v>0</v>
      </c>
      <c r="K135" s="222">
        <f>VLOOKUP(A135,'Front-loading'!A:AG,$K$6,FALSE)</f>
        <v>185184.62117326169</v>
      </c>
      <c r="L135" s="222">
        <f>VLOOKUP(A135,'Front-loading'!A:AG,$L$6,FALSE)</f>
        <v>0</v>
      </c>
      <c r="M135" s="222">
        <f>VLOOKUP(A135,'Front-loading'!A:AG,$M$6,FALSE)</f>
        <v>439508.0378372643</v>
      </c>
      <c r="N135" s="223">
        <f t="shared" si="135"/>
        <v>0</v>
      </c>
      <c r="O135" s="223">
        <f t="shared" si="136"/>
        <v>140.61095001766265</v>
      </c>
      <c r="P135" s="223">
        <f t="shared" si="137"/>
        <v>0</v>
      </c>
      <c r="Q135" s="223">
        <f t="shared" si="138"/>
        <v>51.069955593453905</v>
      </c>
      <c r="R135" s="409" t="str">
        <f t="shared" si="59"/>
        <v/>
      </c>
      <c r="S135" s="409">
        <f t="shared" si="60"/>
        <v>140.61095001766265</v>
      </c>
      <c r="T135" s="409" t="str">
        <f t="shared" si="61"/>
        <v/>
      </c>
      <c r="U135" s="409">
        <f t="shared" si="62"/>
        <v>51.069955593453905</v>
      </c>
      <c r="V135" s="411" t="str">
        <f t="shared" si="139"/>
        <v/>
      </c>
      <c r="W135" s="411">
        <f t="shared" si="140"/>
        <v>140.61095001766265</v>
      </c>
      <c r="X135" s="411" t="str">
        <f t="shared" si="141"/>
        <v/>
      </c>
      <c r="Y135" s="411">
        <f t="shared" si="142"/>
        <v>51.069955593453905</v>
      </c>
      <c r="Z135" s="411" t="str">
        <f t="shared" si="143"/>
        <v/>
      </c>
      <c r="AA135" s="411">
        <f t="shared" si="144"/>
        <v>140.61095001766265</v>
      </c>
      <c r="AB135" s="411" t="str">
        <f t="shared" si="145"/>
        <v/>
      </c>
      <c r="AC135" s="411">
        <f t="shared" si="146"/>
        <v>51.069955593453905</v>
      </c>
      <c r="AD135" s="411" t="str">
        <f t="shared" si="147"/>
        <v/>
      </c>
      <c r="AE135" s="411">
        <f t="shared" si="148"/>
        <v>140.61095001766265</v>
      </c>
      <c r="AF135" s="411" t="str">
        <f t="shared" si="149"/>
        <v/>
      </c>
      <c r="AG135" s="411">
        <f t="shared" si="150"/>
        <v>51.069955593453905</v>
      </c>
      <c r="AH135" s="411">
        <f t="shared" si="151"/>
        <v>281.22190003532529</v>
      </c>
      <c r="AI135" s="411">
        <f t="shared" si="152"/>
        <v>140.61095001766265</v>
      </c>
      <c r="AJ135" s="411">
        <f t="shared" si="153"/>
        <v>102.13991118690781</v>
      </c>
      <c r="AK135" s="411">
        <f t="shared" si="154"/>
        <v>51.069955593453905</v>
      </c>
      <c r="AL135" s="411">
        <f t="shared" si="178"/>
        <v>281.22190003532529</v>
      </c>
      <c r="AM135" s="411">
        <f t="shared" si="175"/>
        <v>140.61095001766265</v>
      </c>
      <c r="AN135" s="411">
        <f t="shared" si="176"/>
        <v>102.13991118690781</v>
      </c>
      <c r="AO135" s="411">
        <f t="shared" si="177"/>
        <v>51.069955593453905</v>
      </c>
      <c r="AP135" s="411">
        <f t="shared" si="155"/>
        <v>281.22190003532529</v>
      </c>
      <c r="AQ135" s="411">
        <f t="shared" si="156"/>
        <v>140.61095001766265</v>
      </c>
      <c r="AR135" s="411">
        <f t="shared" si="157"/>
        <v>102.13991118690781</v>
      </c>
      <c r="AS135" s="411">
        <f t="shared" si="158"/>
        <v>51.069955593453905</v>
      </c>
      <c r="AT135" s="227" t="str">
        <f t="shared" si="132"/>
        <v/>
      </c>
      <c r="AU135" s="227" t="str">
        <f t="shared" si="159"/>
        <v/>
      </c>
      <c r="AV135" s="227" t="str">
        <f t="shared" si="160"/>
        <v/>
      </c>
      <c r="AW135" s="227" t="str">
        <f t="shared" si="161"/>
        <v/>
      </c>
      <c r="AX135" s="227" t="str">
        <f t="shared" si="162"/>
        <v/>
      </c>
      <c r="AY135" s="311" t="str">
        <f t="shared" si="163"/>
        <v/>
      </c>
      <c r="AZ135" s="311">
        <f t="shared" si="164"/>
        <v>281.22190003532529</v>
      </c>
      <c r="BA135" s="311">
        <f t="shared" si="165"/>
        <v>140.61095001766265</v>
      </c>
      <c r="BB135" s="311">
        <f t="shared" si="166"/>
        <v>102.13991118690781</v>
      </c>
      <c r="BC135" s="311">
        <f t="shared" si="167"/>
        <v>51.069955593453905</v>
      </c>
      <c r="BD135" s="227" t="str">
        <f t="shared" si="168"/>
        <v/>
      </c>
      <c r="BE135" s="227" t="str">
        <f t="shared" si="169"/>
        <v/>
      </c>
      <c r="BF135" s="227" t="str">
        <f t="shared" si="170"/>
        <v/>
      </c>
      <c r="BG135" s="227" t="str">
        <f t="shared" si="171"/>
        <v/>
      </c>
      <c r="BH135" s="227" t="str">
        <f t="shared" si="172"/>
        <v/>
      </c>
      <c r="BI135" s="227" t="str">
        <f t="shared" si="173"/>
        <v/>
      </c>
      <c r="BJ135" s="226">
        <f t="shared" si="174"/>
        <v>624692.65901052603</v>
      </c>
      <c r="BK135" s="335"/>
      <c r="BL135" s="335"/>
      <c r="BM135" s="335"/>
      <c r="BN135" s="335"/>
    </row>
    <row r="136" spans="1:66">
      <c r="A136" s="231">
        <v>710</v>
      </c>
      <c r="B136" s="231" t="str">
        <f>VLOOKUP(A136,'201314 RC list'!A:B,2,FALSE)</f>
        <v>Adult Mental Illness</v>
      </c>
      <c r="C136" s="231"/>
      <c r="D136" s="310" t="str">
        <f t="shared" si="134"/>
        <v>A</v>
      </c>
      <c r="E136" s="231">
        <f>IF(ISERROR(VLOOKUP(A136,Mandatory!A:A,1,FALSE)),0,1)</f>
        <v>0</v>
      </c>
      <c r="F136" s="222">
        <f>VLOOKUP(A136,'Front-loading'!A:AG,$F$6,FALSE)</f>
        <v>0</v>
      </c>
      <c r="G136" s="222">
        <f>VLOOKUP(A136,'Front-loading'!A:AG,$G$6,FALSE)</f>
        <v>1136</v>
      </c>
      <c r="H136" s="222">
        <f>VLOOKUP(A136,'Front-loading'!A:AG,$H$6,FALSE)</f>
        <v>0</v>
      </c>
      <c r="I136" s="222">
        <f>VLOOKUP(A136,'Front-loading'!A:AG,$I$6,FALSE)</f>
        <v>4172</v>
      </c>
      <c r="J136" s="222">
        <f>VLOOKUP(A136,'Front-loading'!A:AG,$J$6,FALSE)</f>
        <v>0</v>
      </c>
      <c r="K136" s="222">
        <f>VLOOKUP(A136,'Front-loading'!A:AG,$K$6,FALSE)</f>
        <v>381116.12210171961</v>
      </c>
      <c r="L136" s="222">
        <f>VLOOKUP(A136,'Front-loading'!A:AG,$L$6,FALSE)</f>
        <v>0</v>
      </c>
      <c r="M136" s="222">
        <f>VLOOKUP(A136,'Front-loading'!A:AG,$M$6,FALSE)</f>
        <v>661900.18230612588</v>
      </c>
      <c r="N136" s="223">
        <f t="shared" si="135"/>
        <v>0</v>
      </c>
      <c r="O136" s="223">
        <f t="shared" si="136"/>
        <v>335.48954410362643</v>
      </c>
      <c r="P136" s="223">
        <f t="shared" si="137"/>
        <v>0</v>
      </c>
      <c r="Q136" s="223">
        <f t="shared" si="138"/>
        <v>158.65296795448847</v>
      </c>
      <c r="R136" s="409" t="str">
        <f t="shared" si="59"/>
        <v/>
      </c>
      <c r="S136" s="409">
        <f t="shared" si="60"/>
        <v>335.48954410362643</v>
      </c>
      <c r="T136" s="409" t="str">
        <f t="shared" si="61"/>
        <v/>
      </c>
      <c r="U136" s="409">
        <f t="shared" si="62"/>
        <v>158.65296795448847</v>
      </c>
      <c r="V136" s="411" t="str">
        <f t="shared" si="139"/>
        <v/>
      </c>
      <c r="W136" s="411">
        <f t="shared" si="140"/>
        <v>335.48954410362643</v>
      </c>
      <c r="X136" s="411" t="str">
        <f t="shared" si="141"/>
        <v/>
      </c>
      <c r="Y136" s="411">
        <f t="shared" si="142"/>
        <v>158.65296795448847</v>
      </c>
      <c r="Z136" s="411" t="str">
        <f t="shared" si="143"/>
        <v/>
      </c>
      <c r="AA136" s="411">
        <f t="shared" si="144"/>
        <v>335.48954410362643</v>
      </c>
      <c r="AB136" s="411" t="str">
        <f t="shared" si="145"/>
        <v/>
      </c>
      <c r="AC136" s="411">
        <f t="shared" si="146"/>
        <v>158.65296795448847</v>
      </c>
      <c r="AD136" s="411" t="str">
        <f t="shared" si="147"/>
        <v/>
      </c>
      <c r="AE136" s="411">
        <f t="shared" si="148"/>
        <v>335.48954410362643</v>
      </c>
      <c r="AF136" s="411" t="str">
        <f t="shared" si="149"/>
        <v/>
      </c>
      <c r="AG136" s="411">
        <f t="shared" si="150"/>
        <v>158.65296795448847</v>
      </c>
      <c r="AH136" s="411">
        <f t="shared" si="151"/>
        <v>670.97908820725286</v>
      </c>
      <c r="AI136" s="411">
        <f t="shared" si="152"/>
        <v>335.48954410362643</v>
      </c>
      <c r="AJ136" s="411">
        <f t="shared" si="153"/>
        <v>317.30593590897695</v>
      </c>
      <c r="AK136" s="411">
        <f t="shared" si="154"/>
        <v>158.65296795448847</v>
      </c>
      <c r="AL136" s="411">
        <f t="shared" si="178"/>
        <v>670.97908820725286</v>
      </c>
      <c r="AM136" s="411">
        <f t="shared" si="175"/>
        <v>335.48954410362643</v>
      </c>
      <c r="AN136" s="411">
        <f t="shared" si="176"/>
        <v>317.30593590897695</v>
      </c>
      <c r="AO136" s="411">
        <f t="shared" si="177"/>
        <v>158.65296795448847</v>
      </c>
      <c r="AP136" s="411">
        <f t="shared" si="155"/>
        <v>670.97908820725286</v>
      </c>
      <c r="AQ136" s="411">
        <f t="shared" si="156"/>
        <v>335.48954410362643</v>
      </c>
      <c r="AR136" s="411">
        <f t="shared" si="157"/>
        <v>317.30593590897695</v>
      </c>
      <c r="AS136" s="411">
        <f t="shared" si="158"/>
        <v>158.65296795448847</v>
      </c>
      <c r="AT136" s="227" t="str">
        <f t="shared" si="132"/>
        <v/>
      </c>
      <c r="AU136" s="227" t="str">
        <f t="shared" si="159"/>
        <v/>
      </c>
      <c r="AV136" s="227" t="str">
        <f t="shared" si="160"/>
        <v/>
      </c>
      <c r="AW136" s="227" t="str">
        <f t="shared" si="161"/>
        <v/>
      </c>
      <c r="AX136" s="227" t="str">
        <f t="shared" si="162"/>
        <v/>
      </c>
      <c r="AY136" s="311" t="str">
        <f t="shared" si="163"/>
        <v/>
      </c>
      <c r="AZ136" s="311">
        <f t="shared" si="164"/>
        <v>670.97908820725286</v>
      </c>
      <c r="BA136" s="311">
        <f t="shared" si="165"/>
        <v>335.48954410362643</v>
      </c>
      <c r="BB136" s="311">
        <f t="shared" si="166"/>
        <v>317.30593590897695</v>
      </c>
      <c r="BC136" s="311">
        <f t="shared" si="167"/>
        <v>158.65296795448847</v>
      </c>
      <c r="BD136" s="227" t="str">
        <f t="shared" si="168"/>
        <v/>
      </c>
      <c r="BE136" s="227" t="str">
        <f t="shared" si="169"/>
        <v/>
      </c>
      <c r="BF136" s="227" t="str">
        <f t="shared" si="170"/>
        <v/>
      </c>
      <c r="BG136" s="227" t="str">
        <f t="shared" si="171"/>
        <v/>
      </c>
      <c r="BH136" s="227" t="str">
        <f t="shared" si="172"/>
        <v/>
      </c>
      <c r="BI136" s="227" t="str">
        <f t="shared" si="173"/>
        <v/>
      </c>
      <c r="BJ136" s="226">
        <f t="shared" si="174"/>
        <v>1043016.3044078455</v>
      </c>
      <c r="BK136" s="335"/>
      <c r="BL136" s="335"/>
      <c r="BM136" s="335"/>
      <c r="BN136" s="335"/>
    </row>
    <row r="137" spans="1:66">
      <c r="A137" s="231">
        <v>711</v>
      </c>
      <c r="B137" s="231" t="str">
        <f>VLOOKUP(A137,'201314 RC list'!A:B,2,FALSE)</f>
        <v>Child and Adolescent Psychiatry</v>
      </c>
      <c r="C137" s="231"/>
      <c r="D137" s="310" t="str">
        <f t="shared" si="134"/>
        <v>A</v>
      </c>
      <c r="E137" s="231">
        <f>IF(ISERROR(VLOOKUP(A137,Mandatory!A:A,1,FALSE)),0,1)</f>
        <v>0</v>
      </c>
      <c r="F137" s="222">
        <f>VLOOKUP(A137,'Front-loading'!A:AG,$F$6,FALSE)</f>
        <v>65</v>
      </c>
      <c r="G137" s="222">
        <f>VLOOKUP(A137,'Front-loading'!A:AG,$G$6,FALSE)</f>
        <v>2041</v>
      </c>
      <c r="H137" s="222">
        <f>VLOOKUP(A137,'Front-loading'!A:AG,$H$6,FALSE)</f>
        <v>8</v>
      </c>
      <c r="I137" s="222">
        <f>VLOOKUP(A137,'Front-loading'!A:AG,$I$6,FALSE)</f>
        <v>9150</v>
      </c>
      <c r="J137" s="222">
        <f>VLOOKUP(A137,'Front-loading'!A:AG,$J$6,FALSE)</f>
        <v>73486.822178059621</v>
      </c>
      <c r="K137" s="222">
        <f>VLOOKUP(A137,'Front-loading'!A:AG,$K$6,FALSE)</f>
        <v>874446.35265445034</v>
      </c>
      <c r="L137" s="222">
        <f>VLOOKUP(A137,'Front-loading'!A:AG,$L$6,FALSE)</f>
        <v>1458.56964781278</v>
      </c>
      <c r="M137" s="222">
        <f>VLOOKUP(A137,'Front-loading'!A:AG,$M$6,FALSE)</f>
        <v>2321427.6403653654</v>
      </c>
      <c r="N137" s="223">
        <f t="shared" si="135"/>
        <v>1130.5664950470712</v>
      </c>
      <c r="O137" s="223">
        <f t="shared" si="136"/>
        <v>428.44015318689384</v>
      </c>
      <c r="P137" s="223">
        <f t="shared" si="137"/>
        <v>182.3212059765975</v>
      </c>
      <c r="Q137" s="223">
        <f t="shared" si="138"/>
        <v>253.70793883774485</v>
      </c>
      <c r="R137" s="409">
        <f t="shared" si="59"/>
        <v>1026.6492030941424</v>
      </c>
      <c r="S137" s="409">
        <f t="shared" si="60"/>
        <v>428.44015318689384</v>
      </c>
      <c r="T137" s="409">
        <f t="shared" si="61"/>
        <v>1026.6492030941424</v>
      </c>
      <c r="U137" s="409">
        <f t="shared" si="62"/>
        <v>253.70793883774485</v>
      </c>
      <c r="V137" s="411">
        <f t="shared" si="139"/>
        <v>1026.6492030941424</v>
      </c>
      <c r="W137" s="411">
        <f t="shared" si="140"/>
        <v>428.44015318689384</v>
      </c>
      <c r="X137" s="411">
        <f t="shared" si="141"/>
        <v>1026.6492030941424</v>
      </c>
      <c r="Y137" s="411">
        <f t="shared" si="142"/>
        <v>253.70793883774485</v>
      </c>
      <c r="Z137" s="411">
        <f t="shared" si="143"/>
        <v>1026.6492030941424</v>
      </c>
      <c r="AA137" s="411">
        <f t="shared" si="144"/>
        <v>428.44015318689384</v>
      </c>
      <c r="AB137" s="411">
        <f t="shared" si="145"/>
        <v>1026.6492030941424</v>
      </c>
      <c r="AC137" s="411">
        <f t="shared" si="146"/>
        <v>253.70793883774485</v>
      </c>
      <c r="AD137" s="411">
        <f t="shared" si="147"/>
        <v>1026.6492030941424</v>
      </c>
      <c r="AE137" s="411">
        <f t="shared" si="148"/>
        <v>428.44015318689384</v>
      </c>
      <c r="AF137" s="411">
        <f t="shared" si="149"/>
        <v>1026.6492030941424</v>
      </c>
      <c r="AG137" s="411">
        <f t="shared" si="150"/>
        <v>253.70793883774485</v>
      </c>
      <c r="AH137" s="411">
        <f t="shared" si="151"/>
        <v>867.04610857261127</v>
      </c>
      <c r="AI137" s="411">
        <f t="shared" si="152"/>
        <v>433.52305428630564</v>
      </c>
      <c r="AJ137" s="411">
        <f t="shared" si="153"/>
        <v>508.32224176088118</v>
      </c>
      <c r="AK137" s="411">
        <f t="shared" si="154"/>
        <v>254.16112088044059</v>
      </c>
      <c r="AL137" s="411">
        <f t="shared" si="178"/>
        <v>867.04610857261127</v>
      </c>
      <c r="AM137" s="411">
        <f t="shared" si="175"/>
        <v>433.52305428630564</v>
      </c>
      <c r="AN137" s="411">
        <f t="shared" si="176"/>
        <v>508.32224176088118</v>
      </c>
      <c r="AO137" s="411">
        <f t="shared" si="177"/>
        <v>254.16112088044059</v>
      </c>
      <c r="AP137" s="411">
        <f t="shared" si="155"/>
        <v>867.04610857261127</v>
      </c>
      <c r="AQ137" s="411">
        <f t="shared" si="156"/>
        <v>433.52305428630564</v>
      </c>
      <c r="AR137" s="411">
        <f t="shared" si="157"/>
        <v>508.32224176088118</v>
      </c>
      <c r="AS137" s="411">
        <f t="shared" si="158"/>
        <v>254.16112088044059</v>
      </c>
      <c r="AT137" s="227" t="str">
        <f t="shared" si="132"/>
        <v/>
      </c>
      <c r="AU137" s="227" t="str">
        <f t="shared" si="159"/>
        <v/>
      </c>
      <c r="AV137" s="227" t="str">
        <f t="shared" si="160"/>
        <v/>
      </c>
      <c r="AW137" s="227" t="str">
        <f t="shared" si="161"/>
        <v/>
      </c>
      <c r="AX137" s="227" t="str">
        <f t="shared" si="162"/>
        <v/>
      </c>
      <c r="AY137" s="311" t="str">
        <f t="shared" si="163"/>
        <v/>
      </c>
      <c r="AZ137" s="311">
        <f t="shared" si="164"/>
        <v>867.04610857261127</v>
      </c>
      <c r="BA137" s="311">
        <f t="shared" si="165"/>
        <v>433.52305428630564</v>
      </c>
      <c r="BB137" s="311">
        <f t="shared" si="166"/>
        <v>508.32224176088118</v>
      </c>
      <c r="BC137" s="311">
        <f t="shared" si="167"/>
        <v>254.16112088044059</v>
      </c>
      <c r="BD137" s="311" t="str">
        <f t="shared" si="168"/>
        <v/>
      </c>
      <c r="BE137" s="311" t="str">
        <f t="shared" si="169"/>
        <v/>
      </c>
      <c r="BF137" s="311" t="str">
        <f t="shared" si="170"/>
        <v/>
      </c>
      <c r="BG137" s="311" t="str">
        <f t="shared" si="171"/>
        <v/>
      </c>
      <c r="BH137" s="311" t="str">
        <f t="shared" si="172"/>
        <v/>
      </c>
      <c r="BI137" s="311" t="str">
        <f t="shared" si="173"/>
        <v/>
      </c>
      <c r="BJ137" s="226">
        <f t="shared" si="174"/>
        <v>3270819.384845688</v>
      </c>
      <c r="BK137" s="335"/>
      <c r="BL137" s="335"/>
      <c r="BM137" s="335"/>
      <c r="BN137" s="335"/>
    </row>
    <row r="138" spans="1:66">
      <c r="A138" s="231">
        <v>712</v>
      </c>
      <c r="B138" s="231" t="str">
        <f>VLOOKUP(A138,'201314 RC list'!A:B,2,FALSE)</f>
        <v>Forensic Psychiatry</v>
      </c>
      <c r="C138" s="231"/>
      <c r="D138" s="310" t="str">
        <f t="shared" si="134"/>
        <v>A</v>
      </c>
      <c r="E138" s="231">
        <f>IF(ISERROR(VLOOKUP(A138,Mandatory!A:A,1,FALSE)),0,1)</f>
        <v>0</v>
      </c>
      <c r="F138" s="222">
        <f>VLOOKUP(A138,'Front-loading'!A:AG,$F$6,FALSE)</f>
        <v>0</v>
      </c>
      <c r="G138" s="222">
        <f>VLOOKUP(A138,'Front-loading'!A:AG,$G$6,FALSE)</f>
        <v>42</v>
      </c>
      <c r="H138" s="222">
        <f>VLOOKUP(A138,'Front-loading'!A:AG,$H$6,FALSE)</f>
        <v>0</v>
      </c>
      <c r="I138" s="222">
        <f>VLOOKUP(A138,'Front-loading'!A:AG,$I$6,FALSE)</f>
        <v>794</v>
      </c>
      <c r="J138" s="222">
        <f>VLOOKUP(A138,'Front-loading'!A:AG,$J$6,FALSE)</f>
        <v>0</v>
      </c>
      <c r="K138" s="222">
        <f>VLOOKUP(A138,'Front-loading'!A:AG,$K$6,FALSE)</f>
        <v>35904.944276275717</v>
      </c>
      <c r="L138" s="222">
        <f>VLOOKUP(A138,'Front-loading'!A:AG,$L$6,FALSE)</f>
        <v>0</v>
      </c>
      <c r="M138" s="222">
        <f>VLOOKUP(A138,'Front-loading'!A:AG,$M$6,FALSE)</f>
        <v>293208.56537924608</v>
      </c>
      <c r="N138" s="223">
        <f t="shared" si="135"/>
        <v>0</v>
      </c>
      <c r="O138" s="223">
        <f t="shared" si="136"/>
        <v>854.87962562561233</v>
      </c>
      <c r="P138" s="223">
        <f t="shared" si="137"/>
        <v>0</v>
      </c>
      <c r="Q138" s="223">
        <f t="shared" si="138"/>
        <v>369.28030904187165</v>
      </c>
      <c r="R138" s="409" t="str">
        <f t="shared" si="59"/>
        <v/>
      </c>
      <c r="S138" s="409">
        <f t="shared" si="60"/>
        <v>393.67644695636574</v>
      </c>
      <c r="T138" s="409" t="str">
        <f t="shared" si="61"/>
        <v/>
      </c>
      <c r="U138" s="409">
        <f t="shared" si="62"/>
        <v>393.67644695636574</v>
      </c>
      <c r="V138" s="411" t="str">
        <f t="shared" si="139"/>
        <v/>
      </c>
      <c r="W138" s="411">
        <f t="shared" si="140"/>
        <v>393.67644695636574</v>
      </c>
      <c r="X138" s="411" t="str">
        <f t="shared" si="141"/>
        <v/>
      </c>
      <c r="Y138" s="411">
        <f t="shared" si="142"/>
        <v>393.67644695636574</v>
      </c>
      <c r="Z138" s="411" t="str">
        <f t="shared" si="143"/>
        <v/>
      </c>
      <c r="AA138" s="411">
        <f t="shared" si="144"/>
        <v>393.67644695636574</v>
      </c>
      <c r="AB138" s="411" t="str">
        <f t="shared" si="145"/>
        <v/>
      </c>
      <c r="AC138" s="411">
        <f t="shared" si="146"/>
        <v>393.67644695636574</v>
      </c>
      <c r="AD138" s="411" t="str">
        <f t="shared" si="147"/>
        <v/>
      </c>
      <c r="AE138" s="411">
        <f t="shared" si="148"/>
        <v>393.67644695636574</v>
      </c>
      <c r="AF138" s="411" t="str">
        <f t="shared" si="149"/>
        <v/>
      </c>
      <c r="AG138" s="411">
        <f t="shared" si="150"/>
        <v>393.67644695636574</v>
      </c>
      <c r="AH138" s="411">
        <f t="shared" si="151"/>
        <v>787.35289391273147</v>
      </c>
      <c r="AI138" s="411">
        <f t="shared" si="152"/>
        <v>393.67644695636574</v>
      </c>
      <c r="AJ138" s="411">
        <f t="shared" si="153"/>
        <v>787.35289391273147</v>
      </c>
      <c r="AK138" s="411">
        <f t="shared" si="154"/>
        <v>393.67644695636574</v>
      </c>
      <c r="AL138" s="411">
        <f t="shared" si="178"/>
        <v>787.35289391273147</v>
      </c>
      <c r="AM138" s="411">
        <f t="shared" si="175"/>
        <v>393.67644695636574</v>
      </c>
      <c r="AN138" s="411">
        <f t="shared" si="176"/>
        <v>787.35289391273147</v>
      </c>
      <c r="AO138" s="411">
        <f t="shared" si="177"/>
        <v>393.67644695636574</v>
      </c>
      <c r="AP138" s="411">
        <f t="shared" si="155"/>
        <v>787.35289391273147</v>
      </c>
      <c r="AQ138" s="411">
        <f t="shared" si="156"/>
        <v>393.67644695636574</v>
      </c>
      <c r="AR138" s="411">
        <f t="shared" si="157"/>
        <v>787.35289391273147</v>
      </c>
      <c r="AS138" s="411">
        <f t="shared" si="158"/>
        <v>393.67644695636574</v>
      </c>
      <c r="AT138" s="227" t="str">
        <f t="shared" si="132"/>
        <v/>
      </c>
      <c r="AU138" s="227" t="str">
        <f t="shared" si="159"/>
        <v/>
      </c>
      <c r="AV138" s="227" t="str">
        <f t="shared" si="160"/>
        <v/>
      </c>
      <c r="AW138" s="227" t="str">
        <f t="shared" si="161"/>
        <v/>
      </c>
      <c r="AX138" s="227" t="str">
        <f t="shared" si="162"/>
        <v/>
      </c>
      <c r="AY138" s="311" t="str">
        <f t="shared" si="163"/>
        <v/>
      </c>
      <c r="AZ138" s="311">
        <f t="shared" si="164"/>
        <v>787.35289391273147</v>
      </c>
      <c r="BA138" s="311">
        <f t="shared" si="165"/>
        <v>393.67644695636574</v>
      </c>
      <c r="BB138" s="311">
        <f t="shared" si="166"/>
        <v>787.35289391273147</v>
      </c>
      <c r="BC138" s="311">
        <f t="shared" si="167"/>
        <v>393.67644695636574</v>
      </c>
      <c r="BD138" s="227" t="str">
        <f t="shared" si="168"/>
        <v/>
      </c>
      <c r="BE138" s="227" t="str">
        <f t="shared" si="169"/>
        <v/>
      </c>
      <c r="BF138" s="227" t="str">
        <f t="shared" si="170"/>
        <v/>
      </c>
      <c r="BG138" s="227" t="str">
        <f t="shared" si="171"/>
        <v/>
      </c>
      <c r="BH138" s="227" t="str">
        <f t="shared" si="172"/>
        <v/>
      </c>
      <c r="BI138" s="227" t="str">
        <f t="shared" si="173"/>
        <v/>
      </c>
      <c r="BJ138" s="226">
        <f t="shared" si="174"/>
        <v>329113.50965552178</v>
      </c>
      <c r="BK138" s="335"/>
      <c r="BL138" s="335"/>
      <c r="BM138" s="335"/>
      <c r="BN138" s="335"/>
    </row>
    <row r="139" spans="1:66">
      <c r="A139" s="231">
        <v>713</v>
      </c>
      <c r="B139" s="231" t="str">
        <f>VLOOKUP(A139,'201314 RC list'!A:B,2,FALSE)</f>
        <v>Psychotherapy</v>
      </c>
      <c r="C139" s="231"/>
      <c r="D139" s="310" t="str">
        <f t="shared" si="134"/>
        <v>A</v>
      </c>
      <c r="E139" s="231">
        <f>IF(ISERROR(VLOOKUP(A139,Mandatory!A:A,1,FALSE)),0,1)</f>
        <v>0</v>
      </c>
      <c r="F139" s="222">
        <f>VLOOKUP(A139,'Front-loading'!A:AG,$F$6,FALSE)</f>
        <v>0</v>
      </c>
      <c r="G139" s="222">
        <f>VLOOKUP(A139,'Front-loading'!A:AG,$G$6,FALSE)</f>
        <v>187</v>
      </c>
      <c r="H139" s="222">
        <f>VLOOKUP(A139,'Front-loading'!A:AG,$H$6,FALSE)</f>
        <v>0</v>
      </c>
      <c r="I139" s="222">
        <f>VLOOKUP(A139,'Front-loading'!A:AG,$I$6,FALSE)</f>
        <v>2886</v>
      </c>
      <c r="J139" s="222">
        <f>VLOOKUP(A139,'Front-loading'!A:AG,$J$6,FALSE)</f>
        <v>0</v>
      </c>
      <c r="K139" s="222">
        <f>VLOOKUP(A139,'Front-loading'!A:AG,$K$6,FALSE)</f>
        <v>42659.325603659701</v>
      </c>
      <c r="L139" s="222">
        <f>VLOOKUP(A139,'Front-loading'!A:AG,$L$6,FALSE)</f>
        <v>0</v>
      </c>
      <c r="M139" s="222">
        <f>VLOOKUP(A139,'Front-loading'!A:AG,$M$6,FALSE)</f>
        <v>342463.83359700412</v>
      </c>
      <c r="N139" s="223">
        <f t="shared" si="135"/>
        <v>0</v>
      </c>
      <c r="O139" s="223">
        <f t="shared" si="136"/>
        <v>228.12473584844761</v>
      </c>
      <c r="P139" s="223">
        <f t="shared" si="137"/>
        <v>0</v>
      </c>
      <c r="Q139" s="223">
        <f t="shared" si="138"/>
        <v>118.66383700519893</v>
      </c>
      <c r="R139" s="409" t="str">
        <f t="shared" ref="R139:R145" si="179">IFERROR(IF(F139&lt;50,(J139+L139)/(F139+H139),IF(H139&lt;50,(J139+L139)/(F139+H139),N139)),"")</f>
        <v/>
      </c>
      <c r="S139" s="409">
        <f t="shared" ref="S139:S145" si="180">IFERROR(IF(G139&lt;50,(K139+M139)/(G139+I139),IF(I139&lt;50,(K139+M139)/(G139+I139),O139)),"")</f>
        <v>228.12473584844761</v>
      </c>
      <c r="T139" s="409" t="str">
        <f t="shared" ref="T139:T145" si="181">IFERROR(IF(F139&lt;50,(J139+L139)/(F139+H139),IF(H139&lt;50,(J139+L139)/(F139+H139),P139)),"")</f>
        <v/>
      </c>
      <c r="U139" s="409">
        <f t="shared" ref="U139:U145" si="182">IFERROR(IF(G139&lt;50,(K139+M139)/(G139+I139),IF(I139&lt;50,(K139+M139)/(G139+I139),Q139)),"")</f>
        <v>118.66383700519893</v>
      </c>
      <c r="V139" s="411" t="str">
        <f t="shared" si="139"/>
        <v/>
      </c>
      <c r="W139" s="411">
        <f t="shared" si="140"/>
        <v>228.12473584844761</v>
      </c>
      <c r="X139" s="411" t="str">
        <f t="shared" si="141"/>
        <v/>
      </c>
      <c r="Y139" s="411">
        <f t="shared" si="142"/>
        <v>118.66383700519893</v>
      </c>
      <c r="Z139" s="411" t="str">
        <f t="shared" si="143"/>
        <v/>
      </c>
      <c r="AA139" s="411">
        <f t="shared" si="144"/>
        <v>228.12473584844761</v>
      </c>
      <c r="AB139" s="411" t="str">
        <f t="shared" si="145"/>
        <v/>
      </c>
      <c r="AC139" s="411">
        <f t="shared" si="146"/>
        <v>118.66383700519893</v>
      </c>
      <c r="AD139" s="411" t="str">
        <f t="shared" si="147"/>
        <v/>
      </c>
      <c r="AE139" s="411">
        <f t="shared" si="148"/>
        <v>228.12473584844761</v>
      </c>
      <c r="AF139" s="411" t="str">
        <f t="shared" si="149"/>
        <v/>
      </c>
      <c r="AG139" s="411">
        <f t="shared" si="150"/>
        <v>118.66383700519893</v>
      </c>
      <c r="AH139" s="411">
        <f t="shared" si="151"/>
        <v>456.24947169689523</v>
      </c>
      <c r="AI139" s="411">
        <f t="shared" si="152"/>
        <v>228.12473584844761</v>
      </c>
      <c r="AJ139" s="411">
        <f t="shared" si="153"/>
        <v>237.32767401039786</v>
      </c>
      <c r="AK139" s="411">
        <f t="shared" si="154"/>
        <v>118.66383700519893</v>
      </c>
      <c r="AL139" s="411">
        <f t="shared" si="178"/>
        <v>456.24947169689523</v>
      </c>
      <c r="AM139" s="411">
        <f t="shared" si="175"/>
        <v>228.12473584844761</v>
      </c>
      <c r="AN139" s="411">
        <f t="shared" si="176"/>
        <v>237.32767401039786</v>
      </c>
      <c r="AO139" s="411">
        <f t="shared" si="177"/>
        <v>118.66383700519893</v>
      </c>
      <c r="AP139" s="411">
        <f t="shared" si="155"/>
        <v>456.24947169689523</v>
      </c>
      <c r="AQ139" s="411">
        <f t="shared" si="156"/>
        <v>228.12473584844761</v>
      </c>
      <c r="AR139" s="411">
        <f t="shared" si="157"/>
        <v>237.32767401039786</v>
      </c>
      <c r="AS139" s="411">
        <f t="shared" si="158"/>
        <v>118.66383700519893</v>
      </c>
      <c r="AT139" s="227" t="str">
        <f t="shared" si="132"/>
        <v/>
      </c>
      <c r="AU139" s="227" t="str">
        <f t="shared" si="159"/>
        <v/>
      </c>
      <c r="AV139" s="227" t="str">
        <f t="shared" si="160"/>
        <v/>
      </c>
      <c r="AW139" s="227" t="str">
        <f t="shared" si="161"/>
        <v/>
      </c>
      <c r="AX139" s="227" t="str">
        <f t="shared" si="162"/>
        <v/>
      </c>
      <c r="AY139" s="311" t="str">
        <f t="shared" si="163"/>
        <v/>
      </c>
      <c r="AZ139" s="311">
        <f t="shared" si="164"/>
        <v>456.24947169689523</v>
      </c>
      <c r="BA139" s="311">
        <f t="shared" si="165"/>
        <v>228.12473584844761</v>
      </c>
      <c r="BB139" s="311">
        <f t="shared" si="166"/>
        <v>237.32767401039786</v>
      </c>
      <c r="BC139" s="311">
        <f t="shared" si="167"/>
        <v>118.66383700519893</v>
      </c>
      <c r="BD139" s="227" t="str">
        <f t="shared" si="168"/>
        <v/>
      </c>
      <c r="BE139" s="227" t="str">
        <f t="shared" si="169"/>
        <v/>
      </c>
      <c r="BF139" s="227" t="str">
        <f t="shared" si="170"/>
        <v/>
      </c>
      <c r="BG139" s="227" t="str">
        <f t="shared" si="171"/>
        <v/>
      </c>
      <c r="BH139" s="227" t="str">
        <f t="shared" si="172"/>
        <v/>
      </c>
      <c r="BI139" s="227" t="str">
        <f t="shared" si="173"/>
        <v/>
      </c>
      <c r="BJ139" s="226">
        <f t="shared" si="174"/>
        <v>385123.15920066379</v>
      </c>
      <c r="BK139" s="335"/>
      <c r="BL139" s="335"/>
      <c r="BM139" s="335"/>
      <c r="BN139" s="335"/>
    </row>
    <row r="140" spans="1:66">
      <c r="A140" s="231">
        <v>715</v>
      </c>
      <c r="B140" s="231" t="str">
        <f>VLOOKUP(A140,'201314 RC list'!A:B,2,FALSE)</f>
        <v>Old Age Psychiatry</v>
      </c>
      <c r="C140" s="231"/>
      <c r="D140" s="310" t="str">
        <f t="shared" si="134"/>
        <v>A</v>
      </c>
      <c r="E140" s="231">
        <f>IF(ISERROR(VLOOKUP(A140,Mandatory!A:A,1,FALSE)),0,1)</f>
        <v>0</v>
      </c>
      <c r="F140" s="222">
        <f>VLOOKUP(A140,'Front-loading'!A:AG,$F$6,FALSE)</f>
        <v>0</v>
      </c>
      <c r="G140" s="222">
        <f>VLOOKUP(A140,'Front-loading'!A:AG,$G$6,FALSE)</f>
        <v>943</v>
      </c>
      <c r="H140" s="222">
        <f>VLOOKUP(A140,'Front-loading'!A:AG,$H$6,FALSE)</f>
        <v>0</v>
      </c>
      <c r="I140" s="222">
        <f>VLOOKUP(A140,'Front-loading'!A:AG,$I$6,FALSE)</f>
        <v>3018</v>
      </c>
      <c r="J140" s="222">
        <f>VLOOKUP(A140,'Front-loading'!A:AG,$J$6,FALSE)</f>
        <v>0</v>
      </c>
      <c r="K140" s="222">
        <f>VLOOKUP(A140,'Front-loading'!A:AG,$K$6,FALSE)</f>
        <v>130404.27932602839</v>
      </c>
      <c r="L140" s="222">
        <f>VLOOKUP(A140,'Front-loading'!A:AG,$L$6,FALSE)</f>
        <v>0</v>
      </c>
      <c r="M140" s="222">
        <f>VLOOKUP(A140,'Front-loading'!A:AG,$M$6,FALSE)</f>
        <v>283724.33944879082</v>
      </c>
      <c r="N140" s="223">
        <f t="shared" si="135"/>
        <v>0</v>
      </c>
      <c r="O140" s="223">
        <f t="shared" si="136"/>
        <v>138.28661646450519</v>
      </c>
      <c r="P140" s="223">
        <f t="shared" si="137"/>
        <v>0</v>
      </c>
      <c r="Q140" s="223">
        <f t="shared" si="138"/>
        <v>94.010715523124858</v>
      </c>
      <c r="R140" s="409" t="str">
        <f t="shared" si="179"/>
        <v/>
      </c>
      <c r="S140" s="409">
        <f t="shared" si="180"/>
        <v>138.28661646450519</v>
      </c>
      <c r="T140" s="409" t="str">
        <f t="shared" si="181"/>
        <v/>
      </c>
      <c r="U140" s="409">
        <f t="shared" si="182"/>
        <v>94.010715523124858</v>
      </c>
      <c r="V140" s="411" t="str">
        <f t="shared" si="139"/>
        <v/>
      </c>
      <c r="W140" s="411">
        <f t="shared" si="140"/>
        <v>138.28661646450519</v>
      </c>
      <c r="X140" s="411" t="str">
        <f t="shared" si="141"/>
        <v/>
      </c>
      <c r="Y140" s="411">
        <f t="shared" si="142"/>
        <v>94.010715523124858</v>
      </c>
      <c r="Z140" s="411" t="str">
        <f t="shared" si="143"/>
        <v/>
      </c>
      <c r="AA140" s="411">
        <f t="shared" si="144"/>
        <v>138.28661646450519</v>
      </c>
      <c r="AB140" s="411" t="str">
        <f t="shared" si="145"/>
        <v/>
      </c>
      <c r="AC140" s="411">
        <f t="shared" si="146"/>
        <v>94.010715523124858</v>
      </c>
      <c r="AD140" s="411" t="str">
        <f t="shared" si="147"/>
        <v/>
      </c>
      <c r="AE140" s="411">
        <f t="shared" si="148"/>
        <v>138.28661646450519</v>
      </c>
      <c r="AF140" s="411" t="str">
        <f t="shared" si="149"/>
        <v/>
      </c>
      <c r="AG140" s="411">
        <f t="shared" si="150"/>
        <v>94.010715523124858</v>
      </c>
      <c r="AH140" s="411">
        <f t="shared" si="151"/>
        <v>276.57323292901037</v>
      </c>
      <c r="AI140" s="411">
        <f t="shared" si="152"/>
        <v>138.28661646450519</v>
      </c>
      <c r="AJ140" s="411">
        <f t="shared" si="153"/>
        <v>188.02143104624972</v>
      </c>
      <c r="AK140" s="411">
        <f t="shared" si="154"/>
        <v>94.010715523124858</v>
      </c>
      <c r="AL140" s="411">
        <f t="shared" si="178"/>
        <v>276.57323292901037</v>
      </c>
      <c r="AM140" s="411">
        <f t="shared" si="175"/>
        <v>138.28661646450519</v>
      </c>
      <c r="AN140" s="411">
        <f t="shared" si="176"/>
        <v>188.02143104624972</v>
      </c>
      <c r="AO140" s="411">
        <f t="shared" si="177"/>
        <v>94.010715523124858</v>
      </c>
      <c r="AP140" s="411">
        <f t="shared" si="155"/>
        <v>276.57323292901037</v>
      </c>
      <c r="AQ140" s="411">
        <f t="shared" si="156"/>
        <v>138.28661646450519</v>
      </c>
      <c r="AR140" s="411">
        <f t="shared" si="157"/>
        <v>188.02143104624972</v>
      </c>
      <c r="AS140" s="411">
        <f t="shared" si="158"/>
        <v>94.010715523124858</v>
      </c>
      <c r="AT140" s="227" t="str">
        <f t="shared" si="132"/>
        <v/>
      </c>
      <c r="AU140" s="227" t="str">
        <f t="shared" si="159"/>
        <v/>
      </c>
      <c r="AV140" s="227" t="str">
        <f t="shared" si="160"/>
        <v/>
      </c>
      <c r="AW140" s="227" t="str">
        <f t="shared" si="161"/>
        <v/>
      </c>
      <c r="AX140" s="227" t="str">
        <f t="shared" si="162"/>
        <v/>
      </c>
      <c r="AY140" s="311" t="str">
        <f t="shared" si="163"/>
        <v/>
      </c>
      <c r="AZ140" s="311">
        <f t="shared" si="164"/>
        <v>276.57323292901037</v>
      </c>
      <c r="BA140" s="311">
        <f t="shared" si="165"/>
        <v>138.28661646450519</v>
      </c>
      <c r="BB140" s="311">
        <f t="shared" si="166"/>
        <v>188.02143104624972</v>
      </c>
      <c r="BC140" s="311">
        <f t="shared" si="167"/>
        <v>94.010715523124858</v>
      </c>
      <c r="BD140" s="311" t="str">
        <f t="shared" si="168"/>
        <v/>
      </c>
      <c r="BE140" s="311" t="str">
        <f t="shared" si="169"/>
        <v/>
      </c>
      <c r="BF140" s="311" t="str">
        <f t="shared" si="170"/>
        <v/>
      </c>
      <c r="BG140" s="311" t="str">
        <f t="shared" si="171"/>
        <v/>
      </c>
      <c r="BH140" s="311" t="str">
        <f t="shared" si="172"/>
        <v/>
      </c>
      <c r="BI140" s="311" t="str">
        <f t="shared" si="173"/>
        <v/>
      </c>
      <c r="BJ140" s="226">
        <f t="shared" si="174"/>
        <v>414128.61877481919</v>
      </c>
      <c r="BK140" s="335"/>
      <c r="BL140" s="335"/>
      <c r="BM140" s="335"/>
      <c r="BN140" s="335"/>
    </row>
    <row r="141" spans="1:66">
      <c r="A141" s="231">
        <v>721</v>
      </c>
      <c r="B141" s="231" t="str">
        <f>VLOOKUP(A141,'201314 RC list'!A:B,2,FALSE)</f>
        <v>Addiction Services</v>
      </c>
      <c r="C141" s="231"/>
      <c r="D141" s="310" t="str">
        <f t="shared" si="134"/>
        <v>A</v>
      </c>
      <c r="E141" s="231">
        <f>IF(ISERROR(VLOOKUP(A141,Mandatory!A:A,1,FALSE)),0,1)</f>
        <v>0</v>
      </c>
      <c r="F141" s="222">
        <f>VLOOKUP(A141,'Front-loading'!A:AG,$F$6,FALSE)</f>
        <v>0</v>
      </c>
      <c r="G141" s="222">
        <f>VLOOKUP(A141,'Front-loading'!A:AG,$G$6,FALSE)</f>
        <v>78</v>
      </c>
      <c r="H141" s="222">
        <f>VLOOKUP(A141,'Front-loading'!A:AG,$H$6,FALSE)</f>
        <v>0</v>
      </c>
      <c r="I141" s="222">
        <f>VLOOKUP(A141,'Front-loading'!A:AG,$I$6,FALSE)</f>
        <v>190</v>
      </c>
      <c r="J141" s="222">
        <f>VLOOKUP(A141,'Front-loading'!A:AG,$J$6,FALSE)</f>
        <v>0</v>
      </c>
      <c r="K141" s="222">
        <f>VLOOKUP(A141,'Front-loading'!A:AG,$K$6,FALSE)</f>
        <v>7715.9793805840236</v>
      </c>
      <c r="L141" s="222">
        <f>VLOOKUP(A141,'Front-loading'!A:AG,$L$6,FALSE)</f>
        <v>0</v>
      </c>
      <c r="M141" s="222">
        <f>VLOOKUP(A141,'Front-loading'!A:AG,$M$6,FALSE)</f>
        <v>11150.544950585308</v>
      </c>
      <c r="N141" s="223">
        <f t="shared" si="135"/>
        <v>0</v>
      </c>
      <c r="O141" s="223">
        <f t="shared" si="136"/>
        <v>98.922812571590043</v>
      </c>
      <c r="P141" s="223">
        <f t="shared" si="137"/>
        <v>0</v>
      </c>
      <c r="Q141" s="223">
        <f t="shared" si="138"/>
        <v>58.687078687291098</v>
      </c>
      <c r="R141" s="409" t="str">
        <f t="shared" si="179"/>
        <v/>
      </c>
      <c r="S141" s="409">
        <f t="shared" si="180"/>
        <v>98.922812571590043</v>
      </c>
      <c r="T141" s="409" t="str">
        <f t="shared" si="181"/>
        <v/>
      </c>
      <c r="U141" s="409">
        <f t="shared" si="182"/>
        <v>58.687078687291098</v>
      </c>
      <c r="V141" s="411" t="str">
        <f t="shared" si="139"/>
        <v/>
      </c>
      <c r="W141" s="411">
        <f t="shared" si="140"/>
        <v>98.922812571590043</v>
      </c>
      <c r="X141" s="411" t="str">
        <f t="shared" si="141"/>
        <v/>
      </c>
      <c r="Y141" s="411">
        <f t="shared" si="142"/>
        <v>58.687078687291098</v>
      </c>
      <c r="Z141" s="411" t="str">
        <f t="shared" si="143"/>
        <v/>
      </c>
      <c r="AA141" s="411">
        <f t="shared" si="144"/>
        <v>98.922812571590043</v>
      </c>
      <c r="AB141" s="411" t="str">
        <f t="shared" si="145"/>
        <v/>
      </c>
      <c r="AC141" s="411">
        <f t="shared" si="146"/>
        <v>58.687078687291098</v>
      </c>
      <c r="AD141" s="411" t="str">
        <f t="shared" si="147"/>
        <v/>
      </c>
      <c r="AE141" s="411">
        <f t="shared" si="148"/>
        <v>98.922812571590043</v>
      </c>
      <c r="AF141" s="411" t="str">
        <f t="shared" si="149"/>
        <v/>
      </c>
      <c r="AG141" s="411">
        <f t="shared" si="150"/>
        <v>58.687078687291098</v>
      </c>
      <c r="AH141" s="411">
        <f t="shared" si="151"/>
        <v>197.84562514318009</v>
      </c>
      <c r="AI141" s="411">
        <f t="shared" si="152"/>
        <v>98.922812571590043</v>
      </c>
      <c r="AJ141" s="411">
        <f t="shared" si="153"/>
        <v>117.3741573745822</v>
      </c>
      <c r="AK141" s="411">
        <f t="shared" si="154"/>
        <v>58.687078687291098</v>
      </c>
      <c r="AL141" s="411">
        <f t="shared" si="178"/>
        <v>197.84562514318009</v>
      </c>
      <c r="AM141" s="411">
        <f t="shared" si="175"/>
        <v>98.922812571590043</v>
      </c>
      <c r="AN141" s="411">
        <f t="shared" si="176"/>
        <v>117.3741573745822</v>
      </c>
      <c r="AO141" s="411">
        <f t="shared" si="177"/>
        <v>58.687078687291098</v>
      </c>
      <c r="AP141" s="411">
        <f t="shared" si="155"/>
        <v>197.84562514318009</v>
      </c>
      <c r="AQ141" s="411">
        <f t="shared" si="156"/>
        <v>98.922812571590043</v>
      </c>
      <c r="AR141" s="411">
        <f t="shared" si="157"/>
        <v>117.3741573745822</v>
      </c>
      <c r="AS141" s="411">
        <f t="shared" si="158"/>
        <v>58.687078687291098</v>
      </c>
      <c r="AT141" s="227" t="str">
        <f t="shared" si="132"/>
        <v/>
      </c>
      <c r="AU141" s="227" t="str">
        <f t="shared" si="159"/>
        <v/>
      </c>
      <c r="AV141" s="227" t="str">
        <f t="shared" si="160"/>
        <v/>
      </c>
      <c r="AW141" s="227" t="str">
        <f t="shared" si="161"/>
        <v/>
      </c>
      <c r="AX141" s="227" t="str">
        <f t="shared" si="162"/>
        <v/>
      </c>
      <c r="AY141" s="311" t="str">
        <f t="shared" si="163"/>
        <v/>
      </c>
      <c r="AZ141" s="311">
        <f t="shared" si="164"/>
        <v>197.84562514318009</v>
      </c>
      <c r="BA141" s="311">
        <f t="shared" si="165"/>
        <v>98.922812571590043</v>
      </c>
      <c r="BB141" s="311">
        <f t="shared" si="166"/>
        <v>117.3741573745822</v>
      </c>
      <c r="BC141" s="311">
        <f t="shared" si="167"/>
        <v>58.687078687291098</v>
      </c>
      <c r="BD141" s="227" t="str">
        <f t="shared" si="168"/>
        <v/>
      </c>
      <c r="BE141" s="227" t="str">
        <f t="shared" si="169"/>
        <v/>
      </c>
      <c r="BF141" s="227" t="str">
        <f t="shared" si="170"/>
        <v/>
      </c>
      <c r="BG141" s="227" t="str">
        <f t="shared" si="171"/>
        <v/>
      </c>
      <c r="BH141" s="227" t="str">
        <f t="shared" si="172"/>
        <v/>
      </c>
      <c r="BI141" s="227" t="str">
        <f t="shared" si="173"/>
        <v/>
      </c>
      <c r="BJ141" s="226">
        <f t="shared" si="174"/>
        <v>18866.524331169334</v>
      </c>
      <c r="BK141" s="335"/>
      <c r="BL141" s="335"/>
      <c r="BM141" s="335"/>
      <c r="BN141" s="335"/>
    </row>
    <row r="142" spans="1:66">
      <c r="A142" s="231">
        <v>722</v>
      </c>
      <c r="B142" s="231" t="str">
        <f>VLOOKUP(A142,'201314 RC list'!A:B,2,FALSE)</f>
        <v>Liaison Psychiatry</v>
      </c>
      <c r="C142" s="231"/>
      <c r="D142" s="310" t="str">
        <f t="shared" si="134"/>
        <v>A</v>
      </c>
      <c r="E142" s="231">
        <f>IF(ISERROR(VLOOKUP(A142,Mandatory!A:A,1,FALSE)),0,1)</f>
        <v>0</v>
      </c>
      <c r="F142" s="222">
        <f>VLOOKUP(A142,'Front-loading'!A:AG,$F$6,FALSE)</f>
        <v>0</v>
      </c>
      <c r="G142" s="222">
        <f>VLOOKUP(A142,'Front-loading'!A:AG,$G$6,FALSE)</f>
        <v>2087</v>
      </c>
      <c r="H142" s="222">
        <f>VLOOKUP(A142,'Front-loading'!A:AG,$H$6,FALSE)</f>
        <v>0</v>
      </c>
      <c r="I142" s="222">
        <f>VLOOKUP(A142,'Front-loading'!A:AG,$I$6,FALSE)</f>
        <v>3581</v>
      </c>
      <c r="J142" s="222">
        <f>VLOOKUP(A142,'Front-loading'!A:AG,$J$6,FALSE)</f>
        <v>0</v>
      </c>
      <c r="K142" s="222">
        <f>VLOOKUP(A142,'Front-loading'!A:AG,$K$6,FALSE)</f>
        <v>298090.20213910035</v>
      </c>
      <c r="L142" s="222">
        <f>VLOOKUP(A142,'Front-loading'!A:AG,$L$6,FALSE)</f>
        <v>0</v>
      </c>
      <c r="M142" s="222">
        <f>VLOOKUP(A142,'Front-loading'!A:AG,$M$6,FALSE)</f>
        <v>361761.17222858686</v>
      </c>
      <c r="N142" s="223">
        <f t="shared" si="135"/>
        <v>0</v>
      </c>
      <c r="O142" s="223">
        <f t="shared" si="136"/>
        <v>142.83191286013434</v>
      </c>
      <c r="P142" s="223">
        <f t="shared" si="137"/>
        <v>0</v>
      </c>
      <c r="Q142" s="223">
        <f t="shared" si="138"/>
        <v>101.02238822356517</v>
      </c>
      <c r="R142" s="409" t="str">
        <f t="shared" si="179"/>
        <v/>
      </c>
      <c r="S142" s="409">
        <f t="shared" si="180"/>
        <v>142.83191286013434</v>
      </c>
      <c r="T142" s="409" t="str">
        <f t="shared" si="181"/>
        <v/>
      </c>
      <c r="U142" s="409">
        <f t="shared" si="182"/>
        <v>101.02238822356517</v>
      </c>
      <c r="V142" s="411" t="str">
        <f t="shared" si="139"/>
        <v/>
      </c>
      <c r="W142" s="411">
        <f t="shared" si="140"/>
        <v>142.83191286013434</v>
      </c>
      <c r="X142" s="411" t="str">
        <f t="shared" si="141"/>
        <v/>
      </c>
      <c r="Y142" s="411">
        <f t="shared" si="142"/>
        <v>101.02238822356517</v>
      </c>
      <c r="Z142" s="411" t="str">
        <f t="shared" si="143"/>
        <v/>
      </c>
      <c r="AA142" s="411">
        <f t="shared" si="144"/>
        <v>142.83191286013434</v>
      </c>
      <c r="AB142" s="411" t="str">
        <f t="shared" si="145"/>
        <v/>
      </c>
      <c r="AC142" s="411">
        <f t="shared" si="146"/>
        <v>101.02238822356517</v>
      </c>
      <c r="AD142" s="411" t="str">
        <f t="shared" si="147"/>
        <v/>
      </c>
      <c r="AE142" s="411">
        <f t="shared" si="148"/>
        <v>142.83191286013434</v>
      </c>
      <c r="AF142" s="411" t="str">
        <f t="shared" si="149"/>
        <v/>
      </c>
      <c r="AG142" s="411">
        <f t="shared" si="150"/>
        <v>101.02238822356517</v>
      </c>
      <c r="AH142" s="411">
        <f t="shared" si="151"/>
        <v>285.66382572026868</v>
      </c>
      <c r="AI142" s="411">
        <f t="shared" si="152"/>
        <v>142.83191286013434</v>
      </c>
      <c r="AJ142" s="411">
        <f t="shared" si="153"/>
        <v>202.04477644713035</v>
      </c>
      <c r="AK142" s="411">
        <f t="shared" si="154"/>
        <v>101.02238822356517</v>
      </c>
      <c r="AL142" s="411">
        <f t="shared" si="178"/>
        <v>285.66382572026868</v>
      </c>
      <c r="AM142" s="411">
        <f t="shared" si="175"/>
        <v>142.83191286013434</v>
      </c>
      <c r="AN142" s="411">
        <f t="shared" si="176"/>
        <v>202.04477644713035</v>
      </c>
      <c r="AO142" s="411">
        <f t="shared" si="177"/>
        <v>101.02238822356517</v>
      </c>
      <c r="AP142" s="411">
        <f t="shared" si="155"/>
        <v>285.66382572026868</v>
      </c>
      <c r="AQ142" s="411">
        <f t="shared" si="156"/>
        <v>142.83191286013434</v>
      </c>
      <c r="AR142" s="411">
        <f t="shared" si="157"/>
        <v>202.04477644713035</v>
      </c>
      <c r="AS142" s="411">
        <f t="shared" si="158"/>
        <v>101.02238822356517</v>
      </c>
      <c r="AT142" s="227" t="str">
        <f t="shared" si="132"/>
        <v/>
      </c>
      <c r="AU142" s="227" t="str">
        <f t="shared" si="159"/>
        <v/>
      </c>
      <c r="AV142" s="227" t="str">
        <f t="shared" si="160"/>
        <v/>
      </c>
      <c r="AW142" s="227" t="str">
        <f t="shared" si="161"/>
        <v/>
      </c>
      <c r="AX142" s="227" t="str">
        <f t="shared" si="162"/>
        <v/>
      </c>
      <c r="AY142" s="311" t="str">
        <f t="shared" si="163"/>
        <v/>
      </c>
      <c r="AZ142" s="311">
        <f t="shared" si="164"/>
        <v>285.66382572026868</v>
      </c>
      <c r="BA142" s="311">
        <f t="shared" si="165"/>
        <v>142.83191286013434</v>
      </c>
      <c r="BB142" s="311">
        <f t="shared" si="166"/>
        <v>202.04477644713035</v>
      </c>
      <c r="BC142" s="311">
        <f t="shared" si="167"/>
        <v>101.02238822356517</v>
      </c>
      <c r="BD142" s="227" t="str">
        <f t="shared" si="168"/>
        <v/>
      </c>
      <c r="BE142" s="227" t="str">
        <f t="shared" si="169"/>
        <v/>
      </c>
      <c r="BF142" s="227" t="str">
        <f t="shared" si="170"/>
        <v/>
      </c>
      <c r="BG142" s="227" t="str">
        <f t="shared" si="171"/>
        <v/>
      </c>
      <c r="BH142" s="227" t="str">
        <f t="shared" si="172"/>
        <v/>
      </c>
      <c r="BI142" s="227" t="str">
        <f t="shared" si="173"/>
        <v/>
      </c>
      <c r="BJ142" s="226">
        <f t="shared" si="174"/>
        <v>659851.37436768715</v>
      </c>
      <c r="BK142" s="335"/>
      <c r="BL142" s="335"/>
      <c r="BM142" s="335"/>
      <c r="BN142" s="335"/>
    </row>
    <row r="143" spans="1:66">
      <c r="A143" s="231">
        <v>811</v>
      </c>
      <c r="B143" s="231" t="str">
        <f>VLOOKUP(A143,'201314 RC list'!A:B,2,FALSE)</f>
        <v>Interventional Radiology</v>
      </c>
      <c r="C143" s="231"/>
      <c r="D143" s="310" t="str">
        <f t="shared" si="134"/>
        <v>A</v>
      </c>
      <c r="E143" s="231">
        <f>IF(ISERROR(VLOOKUP(A143,Mandatory!A:A,1,FALSE)),0,1)</f>
        <v>0</v>
      </c>
      <c r="F143" s="222">
        <f>VLOOKUP(A143,'Front-loading'!A:AG,$F$6,FALSE)</f>
        <v>86</v>
      </c>
      <c r="G143" s="222">
        <f>VLOOKUP(A143,'Front-loading'!A:AG,$G$6,FALSE)</f>
        <v>6284</v>
      </c>
      <c r="H143" s="222">
        <f>VLOOKUP(A143,'Front-loading'!A:AG,$H$6,FALSE)</f>
        <v>112</v>
      </c>
      <c r="I143" s="222">
        <f>VLOOKUP(A143,'Front-loading'!A:AG,$I$6,FALSE)</f>
        <v>3000</v>
      </c>
      <c r="J143" s="222">
        <f>VLOOKUP(A143,'Front-loading'!A:AG,$J$6,FALSE)</f>
        <v>20145.761247444872</v>
      </c>
      <c r="K143" s="222">
        <f>VLOOKUP(A143,'Front-loading'!A:AG,$K$6,FALSE)</f>
        <v>947379.31247000431</v>
      </c>
      <c r="L143" s="222">
        <f>VLOOKUP(A143,'Front-loading'!A:AG,$L$6,FALSE)</f>
        <v>45870.461782077131</v>
      </c>
      <c r="M143" s="222">
        <f>VLOOKUP(A143,'Front-loading'!A:AG,$M$6,FALSE)</f>
        <v>560448.66393506469</v>
      </c>
      <c r="N143" s="223">
        <f t="shared" si="135"/>
        <v>234.2530377609869</v>
      </c>
      <c r="O143" s="223">
        <f t="shared" si="136"/>
        <v>150.76055258911589</v>
      </c>
      <c r="P143" s="223">
        <f t="shared" si="137"/>
        <v>409.55769448283155</v>
      </c>
      <c r="Q143" s="223">
        <f t="shared" si="138"/>
        <v>186.81622131168822</v>
      </c>
      <c r="R143" s="409">
        <f t="shared" si="179"/>
        <v>234.2530377609869</v>
      </c>
      <c r="S143" s="409">
        <f t="shared" si="180"/>
        <v>150.76055258911589</v>
      </c>
      <c r="T143" s="409">
        <f t="shared" si="181"/>
        <v>409.55769448283155</v>
      </c>
      <c r="U143" s="409">
        <f t="shared" si="182"/>
        <v>186.81622131168822</v>
      </c>
      <c r="V143" s="411">
        <f t="shared" si="139"/>
        <v>234.2530377609869</v>
      </c>
      <c r="W143" s="411">
        <f t="shared" si="140"/>
        <v>150.76055258911589</v>
      </c>
      <c r="X143" s="411">
        <f t="shared" si="141"/>
        <v>409.55769448283155</v>
      </c>
      <c r="Y143" s="411">
        <f t="shared" si="142"/>
        <v>186.81622131168822</v>
      </c>
      <c r="Z143" s="411">
        <f t="shared" si="143"/>
        <v>333.41526782586874</v>
      </c>
      <c r="AA143" s="411">
        <f t="shared" si="144"/>
        <v>162.41145803587557</v>
      </c>
      <c r="AB143" s="411">
        <f t="shared" si="145"/>
        <v>333.41526782586874</v>
      </c>
      <c r="AC143" s="411">
        <f t="shared" si="146"/>
        <v>162.41145803587557</v>
      </c>
      <c r="AD143" s="411">
        <f t="shared" si="147"/>
        <v>333.41526782586874</v>
      </c>
      <c r="AE143" s="411">
        <f t="shared" si="148"/>
        <v>162.41145803587557</v>
      </c>
      <c r="AF143" s="411">
        <f t="shared" si="149"/>
        <v>333.41526782586874</v>
      </c>
      <c r="AG143" s="411">
        <f t="shared" si="150"/>
        <v>162.41145803587557</v>
      </c>
      <c r="AH143" s="411">
        <f t="shared" si="151"/>
        <v>325.05183250634036</v>
      </c>
      <c r="AI143" s="411">
        <f t="shared" si="152"/>
        <v>162.52591625317018</v>
      </c>
      <c r="AJ143" s="411">
        <f t="shared" si="153"/>
        <v>325.41990329039953</v>
      </c>
      <c r="AK143" s="411">
        <f t="shared" si="154"/>
        <v>162.70995164519977</v>
      </c>
      <c r="AL143" s="411">
        <f t="shared" si="178"/>
        <v>325.05183250634036</v>
      </c>
      <c r="AM143" s="411">
        <f t="shared" si="175"/>
        <v>162.52591625317018</v>
      </c>
      <c r="AN143" s="411">
        <f t="shared" si="176"/>
        <v>325.41990329039953</v>
      </c>
      <c r="AO143" s="411">
        <f t="shared" si="177"/>
        <v>162.70995164519977</v>
      </c>
      <c r="AP143" s="411">
        <f t="shared" si="155"/>
        <v>325.05183250634036</v>
      </c>
      <c r="AQ143" s="411">
        <f t="shared" si="156"/>
        <v>162.52591625317018</v>
      </c>
      <c r="AR143" s="411">
        <f t="shared" si="157"/>
        <v>325.41990329039953</v>
      </c>
      <c r="AS143" s="411">
        <f t="shared" si="158"/>
        <v>162.70995164519977</v>
      </c>
      <c r="AT143" s="227">
        <f t="shared" si="132"/>
        <v>325.26003416196983</v>
      </c>
      <c r="AU143" s="227">
        <f t="shared" si="159"/>
        <v>162.58538482017673</v>
      </c>
      <c r="AV143" s="227" t="str">
        <f t="shared" si="160"/>
        <v/>
      </c>
      <c r="AW143" s="227" t="str">
        <f t="shared" si="161"/>
        <v/>
      </c>
      <c r="AX143" s="227" t="str">
        <f t="shared" si="162"/>
        <v/>
      </c>
      <c r="AY143" s="311" t="str">
        <f t="shared" si="163"/>
        <v/>
      </c>
      <c r="AZ143" s="311">
        <f t="shared" si="164"/>
        <v>325.05183250634036</v>
      </c>
      <c r="BA143" s="311">
        <f t="shared" si="165"/>
        <v>162.52591625317018</v>
      </c>
      <c r="BB143" s="311">
        <f t="shared" si="166"/>
        <v>325.26003416196983</v>
      </c>
      <c r="BC143" s="311">
        <f t="shared" si="167"/>
        <v>162.58538482017673</v>
      </c>
      <c r="BD143" s="311" t="str">
        <f t="shared" si="168"/>
        <v>1FA</v>
      </c>
      <c r="BE143" s="311" t="str">
        <f t="shared" si="169"/>
        <v>1FU</v>
      </c>
      <c r="BF143" s="311" t="str">
        <f t="shared" si="170"/>
        <v/>
      </c>
      <c r="BG143" s="311" t="str">
        <f t="shared" si="171"/>
        <v/>
      </c>
      <c r="BH143" s="311" t="str">
        <f t="shared" si="172"/>
        <v/>
      </c>
      <c r="BI143" s="311" t="str">
        <f t="shared" si="173"/>
        <v>3FU</v>
      </c>
      <c r="BJ143" s="226">
        <f t="shared" si="174"/>
        <v>1573452.5936171375</v>
      </c>
      <c r="BK143" s="335"/>
      <c r="BL143" s="335"/>
      <c r="BM143" s="335"/>
      <c r="BN143" s="335"/>
    </row>
    <row r="144" spans="1:66">
      <c r="A144" s="231">
        <v>834</v>
      </c>
      <c r="B144" s="231" t="str">
        <f>VLOOKUP(A144,'201314 RC list'!A:B,2,FALSE)</f>
        <v>Medical Virology</v>
      </c>
      <c r="C144" s="231"/>
      <c r="D144" s="310" t="str">
        <f t="shared" si="134"/>
        <v>A</v>
      </c>
      <c r="E144" s="231">
        <f>IF(ISERROR(VLOOKUP(A144,Mandatory!A:A,1,FALSE)),0,1)</f>
        <v>0</v>
      </c>
      <c r="F144" s="222">
        <f>VLOOKUP(A144,'Front-loading'!A:AG,$F$6,FALSE)</f>
        <v>0</v>
      </c>
      <c r="G144" s="222">
        <f>VLOOKUP(A144,'Front-loading'!A:AG,$G$6,FALSE)</f>
        <v>18</v>
      </c>
      <c r="H144" s="222">
        <f>VLOOKUP(A144,'Front-loading'!A:AG,$H$6,FALSE)</f>
        <v>0</v>
      </c>
      <c r="I144" s="222">
        <f>VLOOKUP(A144,'Front-loading'!A:AG,$I$6,FALSE)</f>
        <v>205</v>
      </c>
      <c r="J144" s="222">
        <f>VLOOKUP(A144,'Front-loading'!A:AG,$J$6,FALSE)</f>
        <v>0</v>
      </c>
      <c r="K144" s="222">
        <f>VLOOKUP(A144,'Front-loading'!A:AG,$K$6,FALSE)</f>
        <v>10870.972578967259</v>
      </c>
      <c r="L144" s="222">
        <f>VLOOKUP(A144,'Front-loading'!A:AG,$L$6,FALSE)</f>
        <v>0</v>
      </c>
      <c r="M144" s="222">
        <f>VLOOKUP(A144,'Front-loading'!A:AG,$M$6,FALSE)</f>
        <v>111275.17217141531</v>
      </c>
      <c r="N144" s="223">
        <f t="shared" si="135"/>
        <v>0</v>
      </c>
      <c r="O144" s="223">
        <f t="shared" si="136"/>
        <v>603.94292105373665</v>
      </c>
      <c r="P144" s="223">
        <f t="shared" si="137"/>
        <v>0</v>
      </c>
      <c r="Q144" s="223">
        <f t="shared" si="138"/>
        <v>542.805717909343</v>
      </c>
      <c r="R144" s="409" t="str">
        <f t="shared" si="179"/>
        <v/>
      </c>
      <c r="S144" s="409">
        <f t="shared" si="180"/>
        <v>547.74055941875599</v>
      </c>
      <c r="T144" s="409" t="str">
        <f t="shared" si="181"/>
        <v/>
      </c>
      <c r="U144" s="409">
        <f t="shared" si="182"/>
        <v>547.74055941875599</v>
      </c>
      <c r="V144" s="411" t="str">
        <f t="shared" si="139"/>
        <v/>
      </c>
      <c r="W144" s="411">
        <f t="shared" si="140"/>
        <v>547.74055941875599</v>
      </c>
      <c r="X144" s="411" t="str">
        <f t="shared" si="141"/>
        <v/>
      </c>
      <c r="Y144" s="411">
        <f t="shared" si="142"/>
        <v>547.74055941875599</v>
      </c>
      <c r="Z144" s="411" t="str">
        <f t="shared" si="143"/>
        <v/>
      </c>
      <c r="AA144" s="411">
        <f t="shared" si="144"/>
        <v>547.74055941875599</v>
      </c>
      <c r="AB144" s="411" t="str">
        <f t="shared" si="145"/>
        <v/>
      </c>
      <c r="AC144" s="411">
        <f t="shared" si="146"/>
        <v>547.74055941875599</v>
      </c>
      <c r="AD144" s="411" t="str">
        <f t="shared" si="147"/>
        <v/>
      </c>
      <c r="AE144" s="411">
        <f t="shared" si="148"/>
        <v>547.74055941875599</v>
      </c>
      <c r="AF144" s="411" t="str">
        <f t="shared" si="149"/>
        <v/>
      </c>
      <c r="AG144" s="411">
        <f t="shared" si="150"/>
        <v>547.74055941875599</v>
      </c>
      <c r="AH144" s="411">
        <f t="shared" si="151"/>
        <v>1095.481118837512</v>
      </c>
      <c r="AI144" s="411">
        <f t="shared" si="152"/>
        <v>547.74055941875599</v>
      </c>
      <c r="AJ144" s="411">
        <f t="shared" si="153"/>
        <v>1095.481118837512</v>
      </c>
      <c r="AK144" s="411">
        <f t="shared" si="154"/>
        <v>547.74055941875599</v>
      </c>
      <c r="AL144" s="411">
        <f t="shared" si="178"/>
        <v>1095.481118837512</v>
      </c>
      <c r="AM144" s="411">
        <f t="shared" si="175"/>
        <v>547.74055941875599</v>
      </c>
      <c r="AN144" s="411">
        <f t="shared" si="176"/>
        <v>1095.481118837512</v>
      </c>
      <c r="AO144" s="411">
        <f t="shared" si="177"/>
        <v>547.74055941875599</v>
      </c>
      <c r="AP144" s="411">
        <f t="shared" si="155"/>
        <v>1095.481118837512</v>
      </c>
      <c r="AQ144" s="411">
        <f t="shared" si="156"/>
        <v>547.74055941875599</v>
      </c>
      <c r="AR144" s="411">
        <f t="shared" si="157"/>
        <v>1095.481118837512</v>
      </c>
      <c r="AS144" s="411">
        <f t="shared" si="158"/>
        <v>547.74055941875599</v>
      </c>
      <c r="AT144" s="227" t="str">
        <f t="shared" si="132"/>
        <v/>
      </c>
      <c r="AU144" s="227" t="str">
        <f t="shared" si="159"/>
        <v/>
      </c>
      <c r="AV144" s="227" t="str">
        <f t="shared" si="160"/>
        <v/>
      </c>
      <c r="AW144" s="227" t="str">
        <f t="shared" si="161"/>
        <v/>
      </c>
      <c r="AX144" s="227" t="str">
        <f t="shared" si="162"/>
        <v/>
      </c>
      <c r="AY144" s="311" t="str">
        <f t="shared" si="163"/>
        <v/>
      </c>
      <c r="AZ144" s="311">
        <f t="shared" si="164"/>
        <v>1095.481118837512</v>
      </c>
      <c r="BA144" s="311">
        <f t="shared" si="165"/>
        <v>547.74055941875599</v>
      </c>
      <c r="BB144" s="311">
        <f t="shared" si="166"/>
        <v>1095.481118837512</v>
      </c>
      <c r="BC144" s="311">
        <f t="shared" si="167"/>
        <v>547.74055941875599</v>
      </c>
      <c r="BD144" s="227" t="str">
        <f t="shared" si="168"/>
        <v/>
      </c>
      <c r="BE144" s="227" t="str">
        <f t="shared" si="169"/>
        <v/>
      </c>
      <c r="BF144" s="227" t="str">
        <f t="shared" si="170"/>
        <v/>
      </c>
      <c r="BG144" s="227" t="str">
        <f t="shared" si="171"/>
        <v/>
      </c>
      <c r="BH144" s="227" t="str">
        <f t="shared" si="172"/>
        <v/>
      </c>
      <c r="BI144" s="227" t="str">
        <f t="shared" si="173"/>
        <v/>
      </c>
      <c r="BJ144" s="226">
        <f t="shared" si="174"/>
        <v>122146.14475038259</v>
      </c>
      <c r="BK144" s="335"/>
      <c r="BL144" s="335"/>
      <c r="BM144" s="335"/>
      <c r="BN144" s="335"/>
    </row>
    <row r="145" spans="1:66">
      <c r="A145" s="231">
        <v>920</v>
      </c>
      <c r="B145" s="231" t="str">
        <f>VLOOKUP(A145,'201314 RC list'!A:B,2,FALSE)</f>
        <v>Diabetic Education Service</v>
      </c>
      <c r="C145" s="231"/>
      <c r="D145" s="310" t="str">
        <f t="shared" si="134"/>
        <v>A</v>
      </c>
      <c r="E145" s="231">
        <f>IF(ISERROR(VLOOKUP(A145,Mandatory!A:A,1,FALSE)),0,1)</f>
        <v>0</v>
      </c>
      <c r="F145" s="222">
        <f>VLOOKUP(A145,'Front-loading'!A:AG,$F$6,FALSE)</f>
        <v>0</v>
      </c>
      <c r="G145" s="222">
        <f>VLOOKUP(A145,'Front-loading'!A:AG,$G$6,FALSE)</f>
        <v>12</v>
      </c>
      <c r="H145" s="222">
        <f>VLOOKUP(A145,'Front-loading'!A:AG,$H$6,FALSE)</f>
        <v>0</v>
      </c>
      <c r="I145" s="222">
        <f>VLOOKUP(A145,'Front-loading'!A:AG,$I$6,FALSE)</f>
        <v>19</v>
      </c>
      <c r="J145" s="222">
        <f>VLOOKUP(A145,'Front-loading'!A:AG,$J$6,FALSE)</f>
        <v>0</v>
      </c>
      <c r="K145" s="222">
        <f>VLOOKUP(A145,'Front-loading'!A:AG,$K$6,FALSE)</f>
        <v>198.04742337158342</v>
      </c>
      <c r="L145" s="222">
        <f>VLOOKUP(A145,'Front-loading'!A:AG,$L$6,FALSE)</f>
        <v>0</v>
      </c>
      <c r="M145" s="222">
        <f>VLOOKUP(A145,'Front-loading'!A:AG,$M$6,FALSE)</f>
        <v>150.21397948073761</v>
      </c>
      <c r="N145" s="223">
        <f t="shared" si="135"/>
        <v>0</v>
      </c>
      <c r="O145" s="223">
        <f t="shared" si="136"/>
        <v>16.503951947631951</v>
      </c>
      <c r="P145" s="223">
        <f t="shared" si="137"/>
        <v>0</v>
      </c>
      <c r="Q145" s="223">
        <f t="shared" si="138"/>
        <v>7.9059989200388214</v>
      </c>
      <c r="R145" s="409" t="str">
        <f t="shared" si="179"/>
        <v/>
      </c>
      <c r="S145" s="409">
        <f t="shared" si="180"/>
        <v>11.234238801687773</v>
      </c>
      <c r="T145" s="409" t="str">
        <f t="shared" si="181"/>
        <v/>
      </c>
      <c r="U145" s="409">
        <f t="shared" si="182"/>
        <v>11.234238801687773</v>
      </c>
      <c r="V145" s="411" t="str">
        <f t="shared" si="139"/>
        <v/>
      </c>
      <c r="W145" s="411">
        <f t="shared" si="140"/>
        <v>11.234238801687773</v>
      </c>
      <c r="X145" s="411" t="str">
        <f t="shared" si="141"/>
        <v/>
      </c>
      <c r="Y145" s="411">
        <f t="shared" si="142"/>
        <v>11.234238801687773</v>
      </c>
      <c r="Z145" s="411" t="str">
        <f t="shared" si="143"/>
        <v/>
      </c>
      <c r="AA145" s="411">
        <f t="shared" si="144"/>
        <v>11.234238801687773</v>
      </c>
      <c r="AB145" s="411" t="str">
        <f t="shared" si="145"/>
        <v/>
      </c>
      <c r="AC145" s="411">
        <f t="shared" si="146"/>
        <v>11.234238801687773</v>
      </c>
      <c r="AD145" s="411" t="str">
        <f t="shared" si="147"/>
        <v/>
      </c>
      <c r="AE145" s="411">
        <f t="shared" si="148"/>
        <v>11.234238801687773</v>
      </c>
      <c r="AF145" s="411" t="str">
        <f t="shared" si="149"/>
        <v/>
      </c>
      <c r="AG145" s="411">
        <f t="shared" si="150"/>
        <v>11.234238801687773</v>
      </c>
      <c r="AH145" s="411">
        <f t="shared" si="151"/>
        <v>22.468477603375547</v>
      </c>
      <c r="AI145" s="411">
        <f t="shared" si="152"/>
        <v>11.234238801687773</v>
      </c>
      <c r="AJ145" s="411">
        <f t="shared" si="153"/>
        <v>22.468477603375547</v>
      </c>
      <c r="AK145" s="411">
        <f t="shared" si="154"/>
        <v>11.234238801687773</v>
      </c>
      <c r="AL145" s="411">
        <f t="shared" si="178"/>
        <v>22.468477603375547</v>
      </c>
      <c r="AM145" s="411">
        <f t="shared" si="175"/>
        <v>11.234238801687773</v>
      </c>
      <c r="AN145" s="411">
        <f t="shared" si="176"/>
        <v>22.468477603375547</v>
      </c>
      <c r="AO145" s="411">
        <f t="shared" si="177"/>
        <v>11.234238801687773</v>
      </c>
      <c r="AP145" s="411">
        <f t="shared" si="155"/>
        <v>22.468477603375547</v>
      </c>
      <c r="AQ145" s="411">
        <f t="shared" si="156"/>
        <v>11.234238801687773</v>
      </c>
      <c r="AR145" s="411">
        <f t="shared" si="157"/>
        <v>22.468477603375547</v>
      </c>
      <c r="AS145" s="411">
        <f t="shared" si="158"/>
        <v>11.234238801687773</v>
      </c>
      <c r="AT145" s="227" t="str">
        <f t="shared" si="132"/>
        <v/>
      </c>
      <c r="AU145" s="227" t="str">
        <f t="shared" si="159"/>
        <v/>
      </c>
      <c r="AV145" s="227" t="str">
        <f t="shared" si="160"/>
        <v/>
      </c>
      <c r="AW145" s="227" t="str">
        <f t="shared" si="161"/>
        <v/>
      </c>
      <c r="AX145" s="227" t="str">
        <f t="shared" si="162"/>
        <v/>
      </c>
      <c r="AY145" s="311" t="str">
        <f t="shared" si="163"/>
        <v/>
      </c>
      <c r="AZ145" s="311">
        <f t="shared" si="164"/>
        <v>22.468477603375547</v>
      </c>
      <c r="BA145" s="311">
        <f t="shared" si="165"/>
        <v>11.234238801687773</v>
      </c>
      <c r="BB145" s="311">
        <f t="shared" si="166"/>
        <v>22.468477603375547</v>
      </c>
      <c r="BC145" s="311">
        <f t="shared" si="167"/>
        <v>11.234238801687773</v>
      </c>
      <c r="BD145" s="311" t="str">
        <f t="shared" si="168"/>
        <v/>
      </c>
      <c r="BE145" s="311" t="str">
        <f t="shared" si="169"/>
        <v/>
      </c>
      <c r="BF145" s="311" t="str">
        <f t="shared" si="170"/>
        <v/>
      </c>
      <c r="BG145" s="311" t="str">
        <f t="shared" si="171"/>
        <v/>
      </c>
      <c r="BH145" s="311" t="str">
        <f t="shared" si="172"/>
        <v/>
      </c>
      <c r="BI145" s="311" t="str">
        <f t="shared" si="173"/>
        <v/>
      </c>
      <c r="BJ145" s="226">
        <f t="shared" si="174"/>
        <v>348.261402852321</v>
      </c>
      <c r="BK145" s="335"/>
      <c r="BL145" s="335"/>
      <c r="BM145" s="335"/>
      <c r="BN145" s="335"/>
    </row>
    <row r="146" spans="1:66">
      <c r="A146" s="336"/>
    </row>
    <row r="147" spans="1:66">
      <c r="A147" s="336"/>
    </row>
    <row r="148" spans="1:66">
      <c r="A148" s="336"/>
    </row>
    <row r="149" spans="1:66">
      <c r="A149" s="336"/>
    </row>
    <row r="150" spans="1:66">
      <c r="A150" s="336"/>
    </row>
    <row r="151" spans="1:66">
      <c r="A151" s="336"/>
    </row>
    <row r="152" spans="1:66">
      <c r="A152" s="336"/>
    </row>
  </sheetData>
  <autoFilter ref="A9:BK145"/>
  <mergeCells count="15">
    <mergeCell ref="AT8:AY8"/>
    <mergeCell ref="BD8:BI8"/>
    <mergeCell ref="AD8:AG8"/>
    <mergeCell ref="AH8:AK8"/>
    <mergeCell ref="AL8:AO8"/>
    <mergeCell ref="AZ8:BC8"/>
    <mergeCell ref="AP8:AS8"/>
    <mergeCell ref="F7:Q7"/>
    <mergeCell ref="R7:AC7"/>
    <mergeCell ref="F8:I8"/>
    <mergeCell ref="J8:M8"/>
    <mergeCell ref="N8:Q8"/>
    <mergeCell ref="R8:U8"/>
    <mergeCell ref="V8:Y8"/>
    <mergeCell ref="Z8:AC8"/>
  </mergeCells>
  <conditionalFormatting sqref="V10:Y118">
    <cfRule type="cellIs" dxfId="11" priority="8" operator="equal">
      <formula>1</formula>
    </cfRule>
  </conditionalFormatting>
  <conditionalFormatting sqref="AZ10:BI118">
    <cfRule type="expression" dxfId="10" priority="7">
      <formula>AZ10&lt;&gt;AP10</formula>
    </cfRule>
  </conditionalFormatting>
  <conditionalFormatting sqref="AZ119:BI119">
    <cfRule type="expression" dxfId="9" priority="1">
      <formula>AZ119&lt;&gt;AP119</formula>
    </cfRule>
  </conditionalFormatting>
  <conditionalFormatting sqref="V120:Y144">
    <cfRule type="cellIs" dxfId="8" priority="6" operator="equal">
      <formula>1</formula>
    </cfRule>
  </conditionalFormatting>
  <conditionalFormatting sqref="AZ120:BI144">
    <cfRule type="expression" dxfId="7" priority="5">
      <formula>AZ120&lt;&gt;AP120</formula>
    </cfRule>
  </conditionalFormatting>
  <conditionalFormatting sqref="V145:Y145">
    <cfRule type="cellIs" dxfId="6" priority="4" operator="equal">
      <formula>1</formula>
    </cfRule>
  </conditionalFormatting>
  <conditionalFormatting sqref="AZ145:BI145">
    <cfRule type="expression" dxfId="5" priority="3">
      <formula>AZ145&lt;&gt;AP145</formula>
    </cfRule>
  </conditionalFormatting>
  <conditionalFormatting sqref="V119:Y119">
    <cfRule type="cellIs" dxfId="4" priority="2" operator="equal">
      <formula>1</formula>
    </cfRule>
  </conditionalFormatting>
  <hyperlinks>
    <hyperlink ref="A3"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249977111117893"/>
  </sheetPr>
  <dimension ref="A2:S65"/>
  <sheetViews>
    <sheetView workbookViewId="0">
      <pane xSplit="1" ySplit="5" topLeftCell="B6" activePane="bottomRight" state="frozen"/>
      <selection pane="topRight" activeCell="B1" sqref="B1"/>
      <selection pane="bottomLeft" activeCell="A6" sqref="A6"/>
      <selection pane="bottomRight"/>
    </sheetView>
  </sheetViews>
  <sheetFormatPr defaultColWidth="9.140625" defaultRowHeight="15"/>
  <cols>
    <col min="1" max="1" width="14" style="252" customWidth="1"/>
    <col min="2" max="2" width="60" style="252" customWidth="1"/>
    <col min="3" max="3" width="31.5703125" style="252" customWidth="1"/>
    <col min="4" max="4" width="9.7109375" style="252" customWidth="1"/>
    <col min="5" max="5" width="8.5703125" style="252" customWidth="1"/>
    <col min="6" max="6" width="7.7109375" style="252" customWidth="1"/>
    <col min="7" max="7" width="7.28515625" style="252" customWidth="1"/>
    <col min="8" max="8" width="9.7109375" style="252" customWidth="1"/>
    <col min="9" max="9" width="10" style="252" customWidth="1"/>
    <col min="10" max="10" width="10.42578125" style="252" customWidth="1"/>
    <col min="11" max="11" width="7.5703125" style="252" customWidth="1"/>
    <col min="12" max="12" width="10.5703125" style="252" customWidth="1"/>
    <col min="13" max="13" width="9.28515625" style="252" customWidth="1"/>
    <col min="14" max="15" width="9.140625" style="252" customWidth="1"/>
    <col min="16" max="16" width="11" style="252" customWidth="1"/>
    <col min="17" max="17" width="10.140625" style="252" customWidth="1"/>
    <col min="18" max="18" width="10.28515625" style="252" customWidth="1"/>
    <col min="19" max="19" width="10.5703125" style="252" customWidth="1"/>
    <col min="20" max="16384" width="9.140625" style="252"/>
  </cols>
  <sheetData>
    <row r="2" spans="1:19">
      <c r="A2" s="252">
        <v>1</v>
      </c>
      <c r="B2" s="252">
        <v>2</v>
      </c>
      <c r="C2" s="252">
        <v>3</v>
      </c>
      <c r="D2" s="252">
        <v>4</v>
      </c>
      <c r="E2" s="252">
        <v>5</v>
      </c>
      <c r="F2" s="252">
        <v>6</v>
      </c>
      <c r="G2" s="252">
        <v>7</v>
      </c>
      <c r="H2" s="252">
        <v>8</v>
      </c>
      <c r="I2" s="252">
        <v>9</v>
      </c>
      <c r="J2" s="252">
        <v>10</v>
      </c>
      <c r="K2" s="252">
        <v>11</v>
      </c>
      <c r="L2" s="252">
        <v>12</v>
      </c>
      <c r="M2" s="252">
        <v>13</v>
      </c>
      <c r="N2" s="252">
        <v>14</v>
      </c>
      <c r="O2" s="252">
        <v>15</v>
      </c>
      <c r="P2" s="252">
        <v>16</v>
      </c>
      <c r="Q2" s="252">
        <v>17</v>
      </c>
      <c r="R2" s="252">
        <v>18</v>
      </c>
      <c r="S2" s="252">
        <v>19</v>
      </c>
    </row>
    <row r="3" spans="1:19" ht="18" customHeight="1" thickBot="1">
      <c r="A3" s="481" t="s">
        <v>545</v>
      </c>
      <c r="L3" s="253"/>
    </row>
    <row r="4" spans="1:19" ht="15.75" thickBot="1">
      <c r="D4" s="597" t="s">
        <v>536</v>
      </c>
      <c r="E4" s="598"/>
      <c r="F4" s="598"/>
      <c r="G4" s="599"/>
      <c r="H4" s="597" t="s">
        <v>210</v>
      </c>
      <c r="I4" s="598"/>
      <c r="J4" s="598"/>
      <c r="K4" s="599"/>
      <c r="L4" s="594" t="s">
        <v>249</v>
      </c>
      <c r="M4" s="595"/>
      <c r="N4" s="595"/>
      <c r="O4" s="596"/>
      <c r="P4" s="594" t="s">
        <v>562</v>
      </c>
      <c r="Q4" s="595"/>
      <c r="R4" s="595"/>
      <c r="S4" s="596"/>
    </row>
    <row r="5" spans="1:19" ht="26.25" thickBot="1">
      <c r="A5" s="297" t="s">
        <v>248</v>
      </c>
      <c r="B5" s="297" t="s">
        <v>542</v>
      </c>
      <c r="C5" s="297" t="s">
        <v>543</v>
      </c>
      <c r="D5" s="298" t="s">
        <v>224</v>
      </c>
      <c r="E5" s="298" t="s">
        <v>223</v>
      </c>
      <c r="F5" s="298" t="s">
        <v>226</v>
      </c>
      <c r="G5" s="298" t="s">
        <v>225</v>
      </c>
      <c r="H5" s="298" t="s">
        <v>224</v>
      </c>
      <c r="I5" s="298" t="s">
        <v>223</v>
      </c>
      <c r="J5" s="298" t="s">
        <v>226</v>
      </c>
      <c r="K5" s="298" t="s">
        <v>225</v>
      </c>
      <c r="L5" s="298" t="s">
        <v>224</v>
      </c>
      <c r="M5" s="298" t="s">
        <v>223</v>
      </c>
      <c r="N5" s="298" t="s">
        <v>226</v>
      </c>
      <c r="O5" s="298" t="s">
        <v>225</v>
      </c>
      <c r="P5" s="298" t="s">
        <v>224</v>
      </c>
      <c r="Q5" s="298" t="s">
        <v>223</v>
      </c>
      <c r="R5" s="298" t="s">
        <v>226</v>
      </c>
      <c r="S5" s="298" t="s">
        <v>225</v>
      </c>
    </row>
    <row r="6" spans="1:19">
      <c r="A6" s="295">
        <f>Mandatory!A3</f>
        <v>100</v>
      </c>
      <c r="B6" s="296"/>
      <c r="C6" s="296"/>
      <c r="D6" s="296">
        <f>IFERROR(VLOOKUP($A6,PRICES!$A:$CN,69,FALSE),"")</f>
        <v>137.65403054037597</v>
      </c>
      <c r="E6" s="296">
        <f>IFERROR(VLOOKUP($A6,PRICES!$A:$CN,70,FALSE),"")</f>
        <v>171.32716248991088</v>
      </c>
      <c r="F6" s="296">
        <f>IFERROR(VLOOKUP($A6,PRICES!$A:$CN,71,FALSE),"")</f>
        <v>84.299600346291157</v>
      </c>
      <c r="G6" s="296">
        <f>IFERROR(VLOOKUP($A6,PRICES!$A:$CN,72,FALSE),"")</f>
        <v>130.35318110510772</v>
      </c>
      <c r="H6" s="296">
        <f>IFERROR(VLOOKUP($A6,'Further adjustment'!$A:$Q,7,FALSE),"")</f>
        <v>657468</v>
      </c>
      <c r="I6" s="296">
        <f>IFERROR(VLOOKUP($A6,'Further adjustment'!$A:$Q,6,FALSE),"")</f>
        <v>9575</v>
      </c>
      <c r="J6" s="296">
        <f>IFERROR(VLOOKUP($A6,'Further adjustment'!$A:$Q,9,FALSE),"")</f>
        <v>908710</v>
      </c>
      <c r="K6" s="296">
        <f>IFERROR(VLOOKUP($A6,'Further adjustment'!$A:$Q,8,FALSE),"")</f>
        <v>12498</v>
      </c>
      <c r="L6" s="296"/>
      <c r="M6" s="296"/>
      <c r="N6" s="296"/>
      <c r="O6" s="296"/>
      <c r="P6" s="296"/>
      <c r="Q6" s="296"/>
      <c r="R6" s="296"/>
      <c r="S6" s="296"/>
    </row>
    <row r="7" spans="1:19">
      <c r="A7" s="140">
        <f>Mandatory!A4</f>
        <v>101</v>
      </c>
      <c r="B7" s="254"/>
      <c r="C7" s="254"/>
      <c r="D7" s="254">
        <f>IFERROR(VLOOKUP($A7,PRICES!$A:$CN,69,FALSE),"")</f>
        <v>113.5602240150768</v>
      </c>
      <c r="E7" s="254">
        <f>IFERROR(VLOOKUP($A7,PRICES!$A:$CN,70,FALSE),"")</f>
        <v>179.2280126861549</v>
      </c>
      <c r="F7" s="254">
        <f>IFERROR(VLOOKUP($A7,PRICES!$A:$CN,71,FALSE),"")</f>
        <v>69.712743857061653</v>
      </c>
      <c r="G7" s="254">
        <f>IFERROR(VLOOKUP($A7,PRICES!$A:$CN,72,FALSE),"")</f>
        <v>112.72405176857377</v>
      </c>
      <c r="H7" s="254">
        <f>IFERROR(VLOOKUP($A7,'Further adjustment'!$A:$Q,7,FALSE),"")</f>
        <v>551537</v>
      </c>
      <c r="I7" s="254">
        <f>IFERROR(VLOOKUP($A7,'Further adjustment'!$A:$Q,6,FALSE),"")</f>
        <v>6807</v>
      </c>
      <c r="J7" s="254">
        <f>IFERROR(VLOOKUP($A7,'Further adjustment'!$A:$Q,9,FALSE),"")</f>
        <v>1092671</v>
      </c>
      <c r="K7" s="254">
        <f>IFERROR(VLOOKUP($A7,'Further adjustment'!$A:$Q,8,FALSE),"")</f>
        <v>20413</v>
      </c>
      <c r="L7" s="254"/>
      <c r="M7" s="254"/>
      <c r="N7" s="254"/>
      <c r="O7" s="254"/>
      <c r="P7" s="254"/>
      <c r="Q7" s="254"/>
      <c r="R7" s="254"/>
      <c r="S7" s="254"/>
    </row>
    <row r="8" spans="1:19">
      <c r="A8" s="140">
        <f>Mandatory!A5</f>
        <v>103</v>
      </c>
      <c r="B8" s="254"/>
      <c r="C8" s="254"/>
      <c r="D8" s="254">
        <f>IFERROR(VLOOKUP($A8,PRICES!$A:$CN,69,FALSE),"")</f>
        <v>152.5277344334134</v>
      </c>
      <c r="E8" s="254">
        <f>IFERROR(VLOOKUP($A8,PRICES!$A:$CN,70,FALSE),"")</f>
        <v>163.88147003290931</v>
      </c>
      <c r="F8" s="254">
        <f>IFERROR(VLOOKUP($A8,PRICES!$A:$CN,71,FALSE),"")</f>
        <v>89.265338148243842</v>
      </c>
      <c r="G8" s="254">
        <f>IFERROR(VLOOKUP($A8,PRICES!$A:$CN,72,FALSE),"")</f>
        <v>108.4500475401785</v>
      </c>
      <c r="H8" s="254">
        <f>IFERROR(VLOOKUP($A8,'Further adjustment'!$A:$Q,7,FALSE),"")</f>
        <v>351185</v>
      </c>
      <c r="I8" s="254">
        <f>IFERROR(VLOOKUP($A8,'Further adjustment'!$A:$Q,6,FALSE),"")</f>
        <v>59739</v>
      </c>
      <c r="J8" s="254">
        <f>IFERROR(VLOOKUP($A8,'Further adjustment'!$A:$Q,9,FALSE),"")</f>
        <v>449529</v>
      </c>
      <c r="K8" s="254">
        <f>IFERROR(VLOOKUP($A8,'Further adjustment'!$A:$Q,8,FALSE),"")</f>
        <v>37980</v>
      </c>
      <c r="L8" s="254"/>
      <c r="M8" s="254"/>
      <c r="N8" s="254"/>
      <c r="O8" s="254"/>
      <c r="P8" s="254"/>
      <c r="Q8" s="254"/>
      <c r="R8" s="254"/>
      <c r="S8" s="254"/>
    </row>
    <row r="9" spans="1:19">
      <c r="A9" s="140">
        <f>Mandatory!A6</f>
        <v>104</v>
      </c>
      <c r="B9" s="254"/>
      <c r="C9" s="254"/>
      <c r="D9" s="254">
        <f>IFERROR(VLOOKUP($A9,PRICES!$A:$CN,69,FALSE),"")</f>
        <v>119.28310636873965</v>
      </c>
      <c r="E9" s="254">
        <f>IFERROR(VLOOKUP($A9,PRICES!$A:$CN,70,FALSE),"")</f>
        <v>219.46503432853004</v>
      </c>
      <c r="F9" s="254">
        <f>IFERROR(VLOOKUP($A9,PRICES!$A:$CN,71,FALSE),"")</f>
        <v>80.343757145115475</v>
      </c>
      <c r="G9" s="254">
        <f>IFERROR(VLOOKUP($A9,PRICES!$A:$CN,72,FALSE),"")</f>
        <v>160.68751429023095</v>
      </c>
      <c r="H9" s="254">
        <f>IFERROR(VLOOKUP($A9,'Further adjustment'!$A:$Q,7,FALSE),"")</f>
        <v>195049</v>
      </c>
      <c r="I9" s="254">
        <f>IFERROR(VLOOKUP($A9,'Further adjustment'!$A:$Q,6,FALSE),"")</f>
        <v>3058</v>
      </c>
      <c r="J9" s="254">
        <f>IFERROR(VLOOKUP($A9,'Further adjustment'!$A:$Q,9,FALSE),"")</f>
        <v>261043</v>
      </c>
      <c r="K9" s="254">
        <f>IFERROR(VLOOKUP($A9,'Further adjustment'!$A:$Q,8,FALSE),"")</f>
        <v>9234</v>
      </c>
      <c r="L9" s="254"/>
      <c r="M9" s="254"/>
      <c r="N9" s="254"/>
      <c r="O9" s="254"/>
      <c r="P9" s="254"/>
      <c r="Q9" s="254"/>
      <c r="R9" s="254"/>
      <c r="S9" s="254"/>
    </row>
    <row r="10" spans="1:19">
      <c r="A10" s="140">
        <f>Mandatory!A7</f>
        <v>105</v>
      </c>
      <c r="B10" s="254"/>
      <c r="C10" s="254"/>
      <c r="D10" s="254">
        <f>IFERROR(VLOOKUP($A10,PRICES!$A:$CN,69,FALSE),"")</f>
        <v>158.34815904926745</v>
      </c>
      <c r="E10" s="254">
        <f>IFERROR(VLOOKUP($A10,PRICES!$A:$CN,70,FALSE),"")</f>
        <v>233.89364027657237</v>
      </c>
      <c r="F10" s="254">
        <f>IFERROR(VLOOKUP($A10,PRICES!$A:$CN,71,FALSE),"")</f>
        <v>106.60115119204995</v>
      </c>
      <c r="G10" s="254">
        <f>IFERROR(VLOOKUP($A10,PRICES!$A:$CN,72,FALSE),"")</f>
        <v>164.51488655310146</v>
      </c>
      <c r="H10" s="254">
        <f>IFERROR(VLOOKUP($A10,'Further adjustment'!$A:$Q,7,FALSE),"")</f>
        <v>12389</v>
      </c>
      <c r="I10" s="254">
        <f>IFERROR(VLOOKUP($A10,'Further adjustment'!$A:$Q,6,FALSE),"")</f>
        <v>1595</v>
      </c>
      <c r="J10" s="254">
        <f>IFERROR(VLOOKUP($A10,'Further adjustment'!$A:$Q,9,FALSE),"")</f>
        <v>28799</v>
      </c>
      <c r="K10" s="254">
        <f>IFERROR(VLOOKUP($A10,'Further adjustment'!$A:$Q,8,FALSE),"")</f>
        <v>4088</v>
      </c>
      <c r="L10" s="254"/>
      <c r="M10" s="254"/>
      <c r="N10" s="254"/>
      <c r="O10" s="254"/>
      <c r="P10" s="254"/>
      <c r="Q10" s="254"/>
      <c r="R10" s="254"/>
      <c r="S10" s="254"/>
    </row>
    <row r="11" spans="1:19">
      <c r="A11" s="140">
        <f>Mandatory!A8</f>
        <v>106</v>
      </c>
      <c r="B11" s="254"/>
      <c r="C11" s="254"/>
      <c r="D11" s="254">
        <f>IFERROR(VLOOKUP($A11,PRICES!$A:$CN,69,FALSE),"")</f>
        <v>136.70959556771825</v>
      </c>
      <c r="E11" s="254">
        <f>IFERROR(VLOOKUP($A11,PRICES!$A:$CN,70,FALSE),"")</f>
        <v>225.2225048237016</v>
      </c>
      <c r="F11" s="254">
        <f>IFERROR(VLOOKUP($A11,PRICES!$A:$CN,71,FALSE),"")</f>
        <v>89.244587616768058</v>
      </c>
      <c r="G11" s="254">
        <f>IFERROR(VLOOKUP($A11,PRICES!$A:$CN,72,FALSE),"")</f>
        <v>126.15270071124384</v>
      </c>
      <c r="H11" s="254">
        <f>IFERROR(VLOOKUP($A11,'Further adjustment'!$A:$Q,7,FALSE),"")</f>
        <v>56998</v>
      </c>
      <c r="I11" s="254">
        <f>IFERROR(VLOOKUP($A11,'Further adjustment'!$A:$Q,6,FALSE),"")</f>
        <v>869</v>
      </c>
      <c r="J11" s="254">
        <f>IFERROR(VLOOKUP($A11,'Further adjustment'!$A:$Q,9,FALSE),"")</f>
        <v>71619</v>
      </c>
      <c r="K11" s="254">
        <f>IFERROR(VLOOKUP($A11,'Further adjustment'!$A:$Q,8,FALSE),"")</f>
        <v>2028</v>
      </c>
      <c r="L11" s="254"/>
      <c r="M11" s="254"/>
      <c r="N11" s="254"/>
      <c r="O11" s="254"/>
      <c r="P11" s="254"/>
      <c r="Q11" s="254"/>
      <c r="R11" s="254"/>
      <c r="S11" s="254"/>
    </row>
    <row r="12" spans="1:19">
      <c r="A12" s="140">
        <f>Mandatory!A9</f>
        <v>107</v>
      </c>
      <c r="B12" s="140"/>
      <c r="C12" s="140"/>
      <c r="D12" s="254">
        <f>IFERROR(VLOOKUP($A12,PRICES!$A:$CN,69,FALSE),"")</f>
        <v>155.7736083522941</v>
      </c>
      <c r="E12" s="254">
        <f>IFERROR(VLOOKUP($A12,PRICES!$A:$CN,70,FALSE),"")</f>
        <v>243.42973284357078</v>
      </c>
      <c r="F12" s="254">
        <f>IFERROR(VLOOKUP($A12,PRICES!$A:$CN,71,FALSE),"")</f>
        <v>105.68520757061287</v>
      </c>
      <c r="G12" s="254">
        <f>IFERROR(VLOOKUP($A12,PRICES!$A:$CN,72,FALSE),"")</f>
        <v>170.81431822783577</v>
      </c>
      <c r="H12" s="254">
        <f>IFERROR(VLOOKUP($A12,'Further adjustment'!$A:$Q,7,FALSE),"")</f>
        <v>161188</v>
      </c>
      <c r="I12" s="254">
        <f>IFERROR(VLOOKUP($A12,'Further adjustment'!$A:$Q,6,FALSE),"")</f>
        <v>3277</v>
      </c>
      <c r="J12" s="254">
        <f>IFERROR(VLOOKUP($A12,'Further adjustment'!$A:$Q,9,FALSE),"")</f>
        <v>204153</v>
      </c>
      <c r="K12" s="254">
        <f>IFERROR(VLOOKUP($A12,'Further adjustment'!$A:$Q,8,FALSE),"")</f>
        <v>5003</v>
      </c>
      <c r="L12" s="140"/>
      <c r="M12" s="140"/>
      <c r="N12" s="140"/>
      <c r="O12" s="140"/>
      <c r="P12" s="140"/>
      <c r="Q12" s="140"/>
      <c r="R12" s="140"/>
      <c r="S12" s="140"/>
    </row>
    <row r="13" spans="1:19">
      <c r="A13" s="140">
        <f>Mandatory!A10</f>
        <v>108</v>
      </c>
      <c r="B13" s="140"/>
      <c r="C13" s="140"/>
      <c r="D13" s="254">
        <f>IFERROR(VLOOKUP($A13,PRICES!$A:$CN,69,FALSE),"")</f>
        <v>166.72823004593124</v>
      </c>
      <c r="E13" s="254">
        <f>IFERROR(VLOOKUP($A13,PRICES!$A:$CN,70,FALSE),"")</f>
        <v>166.72823004593124</v>
      </c>
      <c r="F13" s="254">
        <f>IFERROR(VLOOKUP($A13,PRICES!$A:$CN,71,FALSE),"")</f>
        <v>103.0838930269433</v>
      </c>
      <c r="G13" s="254">
        <f>IFERROR(VLOOKUP($A13,PRICES!$A:$CN,72,FALSE),"")</f>
        <v>103.0838930269433</v>
      </c>
      <c r="H13" s="254">
        <f>IFERROR(VLOOKUP($A13,'Further adjustment'!$A:$Q,7,FALSE),"")</f>
        <v>14517</v>
      </c>
      <c r="I13" s="254">
        <f>IFERROR(VLOOKUP($A13,'Further adjustment'!$A:$Q,6,FALSE),"")</f>
        <v>258</v>
      </c>
      <c r="J13" s="254">
        <f>IFERROR(VLOOKUP($A13,'Further adjustment'!$A:$Q,9,FALSE),"")</f>
        <v>33756</v>
      </c>
      <c r="K13" s="254">
        <f>IFERROR(VLOOKUP($A13,'Further adjustment'!$A:$Q,8,FALSE),"")</f>
        <v>872</v>
      </c>
      <c r="L13" s="140"/>
      <c r="M13" s="140"/>
      <c r="N13" s="140"/>
      <c r="O13" s="140"/>
      <c r="P13" s="140"/>
      <c r="Q13" s="140"/>
      <c r="R13" s="140"/>
      <c r="S13" s="140"/>
    </row>
    <row r="14" spans="1:19">
      <c r="A14" s="140">
        <f>Mandatory!A11</f>
        <v>110</v>
      </c>
      <c r="B14" s="140"/>
      <c r="C14" s="140"/>
      <c r="D14" s="254">
        <f>IFERROR(VLOOKUP($A14,PRICES!$A:$CN,69,FALSE),"")</f>
        <v>126.06545864241775</v>
      </c>
      <c r="E14" s="254">
        <f>IFERROR(VLOOKUP($A14,PRICES!$A:$CN,70,FALSE),"")</f>
        <v>135.3918246038883</v>
      </c>
      <c r="F14" s="254">
        <f>IFERROR(VLOOKUP($A14,PRICES!$A:$CN,71,FALSE),"")</f>
        <v>79.285631123580103</v>
      </c>
      <c r="G14" s="254">
        <f>IFERROR(VLOOKUP($A14,PRICES!$A:$CN,72,FALSE),"")</f>
        <v>83.625035998850521</v>
      </c>
      <c r="H14" s="254">
        <f>IFERROR(VLOOKUP($A14,'Further adjustment'!$A:$Q,7,FALSE),"")</f>
        <v>2077780</v>
      </c>
      <c r="I14" s="254">
        <f>IFERROR(VLOOKUP($A14,'Further adjustment'!$A:$Q,6,FALSE),"")</f>
        <v>43770</v>
      </c>
      <c r="J14" s="254">
        <f>IFERROR(VLOOKUP($A14,'Further adjustment'!$A:$Q,9,FALSE),"")</f>
        <v>3655213</v>
      </c>
      <c r="K14" s="254">
        <f>IFERROR(VLOOKUP($A14,'Further adjustment'!$A:$Q,8,FALSE),"")</f>
        <v>78786</v>
      </c>
      <c r="L14" s="140"/>
      <c r="M14" s="140"/>
      <c r="N14" s="140"/>
      <c r="O14" s="140"/>
      <c r="P14" s="140"/>
      <c r="Q14" s="140"/>
      <c r="R14" s="140"/>
      <c r="S14" s="140"/>
    </row>
    <row r="15" spans="1:19">
      <c r="A15" s="140">
        <f>Mandatory!A12</f>
        <v>120</v>
      </c>
      <c r="B15" s="140"/>
      <c r="C15" s="140"/>
      <c r="D15" s="254">
        <f>IFERROR(VLOOKUP($A15,PRICES!$A:$CN,69,FALSE),"")</f>
        <v>101.10354322096782</v>
      </c>
      <c r="E15" s="254">
        <f>IFERROR(VLOOKUP($A15,PRICES!$A:$CN,70,FALSE),"")</f>
        <v>138.11457382366746</v>
      </c>
      <c r="F15" s="254">
        <f>IFERROR(VLOOKUP($A15,PRICES!$A:$CN,71,FALSE),"")</f>
        <v>64.795903797893828</v>
      </c>
      <c r="G15" s="254">
        <f>IFERROR(VLOOKUP($A15,PRICES!$A:$CN,72,FALSE),"")</f>
        <v>93.968703065219415</v>
      </c>
      <c r="H15" s="254">
        <f>IFERROR(VLOOKUP($A15,'Further adjustment'!$A:$Q,7,FALSE),"")</f>
        <v>621493</v>
      </c>
      <c r="I15" s="254">
        <f>IFERROR(VLOOKUP($A15,'Further adjustment'!$A:$Q,6,FALSE),"")</f>
        <v>8832</v>
      </c>
      <c r="J15" s="254">
        <f>IFERROR(VLOOKUP($A15,'Further adjustment'!$A:$Q,9,FALSE),"")</f>
        <v>899844</v>
      </c>
      <c r="K15" s="254">
        <f>IFERROR(VLOOKUP($A15,'Further adjustment'!$A:$Q,8,FALSE),"")</f>
        <v>19259</v>
      </c>
      <c r="L15" s="140"/>
      <c r="M15" s="140"/>
      <c r="N15" s="140"/>
      <c r="O15" s="140"/>
      <c r="P15" s="140"/>
      <c r="Q15" s="140"/>
      <c r="R15" s="140"/>
      <c r="S15" s="140"/>
    </row>
    <row r="16" spans="1:19">
      <c r="A16" s="140">
        <f>Mandatory!A13</f>
        <v>130</v>
      </c>
      <c r="B16" s="140"/>
      <c r="C16" s="140"/>
      <c r="D16" s="254">
        <f>IFERROR(VLOOKUP($A16,PRICES!$A:$CN,69,FALSE),"")</f>
        <v>105.16656659360872</v>
      </c>
      <c r="E16" s="254">
        <f>IFERROR(VLOOKUP($A16,PRICES!$A:$CN,70,FALSE),"")</f>
        <v>137.25301855901805</v>
      </c>
      <c r="F16" s="254">
        <f>IFERROR(VLOOKUP($A16,PRICES!$A:$CN,71,FALSE),"")</f>
        <v>62.455878074526559</v>
      </c>
      <c r="G16" s="254">
        <f>IFERROR(VLOOKUP($A16,PRICES!$A:$CN,72,FALSE),"")</f>
        <v>81.966653523413328</v>
      </c>
      <c r="H16" s="254">
        <f>IFERROR(VLOOKUP($A16,'Further adjustment'!$A:$Q,7,FALSE),"")</f>
        <v>1321856</v>
      </c>
      <c r="I16" s="254">
        <f>IFERROR(VLOOKUP($A16,'Further adjustment'!$A:$Q,6,FALSE),"")</f>
        <v>51082</v>
      </c>
      <c r="J16" s="254">
        <f>IFERROR(VLOOKUP($A16,'Further adjustment'!$A:$Q,9,FALSE),"")</f>
        <v>3456443</v>
      </c>
      <c r="K16" s="254">
        <f>IFERROR(VLOOKUP($A16,'Further adjustment'!$A:$Q,8,FALSE),"")</f>
        <v>158104</v>
      </c>
      <c r="L16" s="140"/>
      <c r="M16" s="140"/>
      <c r="N16" s="140"/>
      <c r="O16" s="140"/>
      <c r="P16" s="140"/>
      <c r="Q16" s="140"/>
      <c r="R16" s="140"/>
      <c r="S16" s="140"/>
    </row>
    <row r="17" spans="1:19">
      <c r="A17" s="140">
        <f>Mandatory!A14</f>
        <v>140</v>
      </c>
      <c r="B17" s="140"/>
      <c r="C17" s="140"/>
      <c r="D17" s="254">
        <f>IFERROR(VLOOKUP($A17,PRICES!$A:$CN,69,FALSE),"")</f>
        <v>116.80530271950623</v>
      </c>
      <c r="E17" s="254">
        <f>IFERROR(VLOOKUP($A17,PRICES!$A:$CN,70,FALSE),"")</f>
        <v>188.47446271962946</v>
      </c>
      <c r="F17" s="254">
        <f>IFERROR(VLOOKUP($A17,PRICES!$A:$CN,71,FALSE),"")</f>
        <v>75.727360600333682</v>
      </c>
      <c r="G17" s="254">
        <f>IFERROR(VLOOKUP($A17,PRICES!$A:$CN,72,FALSE),"")</f>
        <v>128.16525647214468</v>
      </c>
      <c r="H17" s="254">
        <f>IFERROR(VLOOKUP($A17,'Further adjustment'!$A:$Q,7,FALSE),"")</f>
        <v>373923</v>
      </c>
      <c r="I17" s="254">
        <f>IFERROR(VLOOKUP($A17,'Further adjustment'!$A:$Q,6,FALSE),"")</f>
        <v>4792</v>
      </c>
      <c r="J17" s="254">
        <f>IFERROR(VLOOKUP($A17,'Further adjustment'!$A:$Q,9,FALSE),"")</f>
        <v>396505</v>
      </c>
      <c r="K17" s="254">
        <f>IFERROR(VLOOKUP($A17,'Further adjustment'!$A:$Q,8,FALSE),"")</f>
        <v>8705</v>
      </c>
      <c r="L17" s="140"/>
      <c r="M17" s="140"/>
      <c r="N17" s="140"/>
      <c r="O17" s="140"/>
      <c r="P17" s="140"/>
      <c r="Q17" s="140"/>
      <c r="R17" s="140"/>
      <c r="S17" s="140"/>
    </row>
    <row r="18" spans="1:19">
      <c r="A18" s="140">
        <f>Mandatory!A15</f>
        <v>143</v>
      </c>
      <c r="B18" s="140"/>
      <c r="C18" s="140"/>
      <c r="D18" s="254">
        <f>IFERROR(VLOOKUP($A18,PRICES!$A:$CN,69,FALSE),"")</f>
        <v>148.5458143614452</v>
      </c>
      <c r="E18" s="254">
        <f>IFERROR(VLOOKUP($A18,PRICES!$A:$CN,70,FALSE),"")</f>
        <v>167.36616126756869</v>
      </c>
      <c r="F18" s="254">
        <f>IFERROR(VLOOKUP($A18,PRICES!$A:$CN,71,FALSE),"")</f>
        <v>77.324162376421711</v>
      </c>
      <c r="G18" s="254">
        <f>IFERROR(VLOOKUP($A18,PRICES!$A:$CN,72,FALSE),"")</f>
        <v>94.00692742234223</v>
      </c>
      <c r="H18" s="254">
        <f>IFERROR(VLOOKUP($A18,'Further adjustment'!$A:$Q,7,FALSE),"")</f>
        <v>59900</v>
      </c>
      <c r="I18" s="254">
        <f>IFERROR(VLOOKUP($A18,'Further adjustment'!$A:$Q,6,FALSE),"")</f>
        <v>1601</v>
      </c>
      <c r="J18" s="254">
        <f>IFERROR(VLOOKUP($A18,'Further adjustment'!$A:$Q,9,FALSE),"")</f>
        <v>264666</v>
      </c>
      <c r="K18" s="254">
        <f>IFERROR(VLOOKUP($A18,'Further adjustment'!$A:$Q,8,FALSE),"")</f>
        <v>7363</v>
      </c>
      <c r="L18" s="140"/>
      <c r="M18" s="140"/>
      <c r="N18" s="140"/>
      <c r="O18" s="140"/>
      <c r="P18" s="140"/>
      <c r="Q18" s="140"/>
      <c r="R18" s="140"/>
      <c r="S18" s="140"/>
    </row>
    <row r="19" spans="1:19">
      <c r="A19" s="140">
        <f>Mandatory!A16</f>
        <v>144</v>
      </c>
      <c r="B19" s="140"/>
      <c r="C19" s="140"/>
      <c r="D19" s="254">
        <f>IFERROR(VLOOKUP($A19,PRICES!$A:$CN,69,FALSE),"")</f>
        <v>109.19418552640656</v>
      </c>
      <c r="E19" s="254">
        <f>IFERROR(VLOOKUP($A19,PRICES!$A:$CN,70,FALSE),"")</f>
        <v>140.04323485393812</v>
      </c>
      <c r="F19" s="254">
        <f>IFERROR(VLOOKUP($A19,PRICES!$A:$CN,71,FALSE),"")</f>
        <v>78.434922526973438</v>
      </c>
      <c r="G19" s="254">
        <f>IFERROR(VLOOKUP($A19,PRICES!$A:$CN,72,FALSE),"")</f>
        <v>78.434922526973438</v>
      </c>
      <c r="H19" s="254">
        <f>IFERROR(VLOOKUP($A19,'Further adjustment'!$A:$Q,7,FALSE),"")</f>
        <v>159842</v>
      </c>
      <c r="I19" s="254">
        <f>IFERROR(VLOOKUP($A19,'Further adjustment'!$A:$Q,6,FALSE),"")</f>
        <v>1406</v>
      </c>
      <c r="J19" s="254">
        <f>IFERROR(VLOOKUP($A19,'Further adjustment'!$A:$Q,9,FALSE),"")</f>
        <v>188376</v>
      </c>
      <c r="K19" s="254">
        <f>IFERROR(VLOOKUP($A19,'Further adjustment'!$A:$Q,8,FALSE),"")</f>
        <v>5827</v>
      </c>
      <c r="L19" s="140"/>
      <c r="M19" s="140"/>
      <c r="N19" s="140"/>
      <c r="O19" s="140"/>
      <c r="P19" s="140"/>
      <c r="Q19" s="140"/>
      <c r="R19" s="140"/>
      <c r="S19" s="140"/>
    </row>
    <row r="20" spans="1:19">
      <c r="A20" s="140">
        <f>Mandatory!A17</f>
        <v>150</v>
      </c>
      <c r="B20" s="140"/>
      <c r="C20" s="140"/>
      <c r="D20" s="254">
        <f>IFERROR(VLOOKUP($A20,PRICES!$A:$CN,69,FALSE),"")</f>
        <v>183.89557235404652</v>
      </c>
      <c r="E20" s="254">
        <f>IFERROR(VLOOKUP($A20,PRICES!$A:$CN,70,FALSE),"")</f>
        <v>226.78134031413373</v>
      </c>
      <c r="F20" s="254">
        <f>IFERROR(VLOOKUP($A20,PRICES!$A:$CN,71,FALSE),"")</f>
        <v>125.14764923771139</v>
      </c>
      <c r="G20" s="254">
        <f>IFERROR(VLOOKUP($A20,PRICES!$A:$CN,72,FALSE),"")</f>
        <v>164.48648787116974</v>
      </c>
      <c r="H20" s="254">
        <f>IFERROR(VLOOKUP($A20,'Further adjustment'!$A:$Q,7,FALSE),"")</f>
        <v>95890</v>
      </c>
      <c r="I20" s="254">
        <f>IFERROR(VLOOKUP($A20,'Further adjustment'!$A:$Q,6,FALSE),"")</f>
        <v>4955</v>
      </c>
      <c r="J20" s="254">
        <f>IFERROR(VLOOKUP($A20,'Further adjustment'!$A:$Q,9,FALSE),"")</f>
        <v>150093</v>
      </c>
      <c r="K20" s="254">
        <f>IFERROR(VLOOKUP($A20,'Further adjustment'!$A:$Q,8,FALSE),"")</f>
        <v>4685</v>
      </c>
      <c r="L20" s="140"/>
      <c r="M20" s="140"/>
      <c r="N20" s="140"/>
      <c r="O20" s="140"/>
      <c r="P20" s="140"/>
      <c r="Q20" s="140"/>
      <c r="R20" s="140"/>
      <c r="S20" s="140"/>
    </row>
    <row r="21" spans="1:19">
      <c r="A21" s="140">
        <f>Mandatory!A18</f>
        <v>160</v>
      </c>
      <c r="B21" s="140"/>
      <c r="C21" s="140"/>
      <c r="D21" s="254">
        <f>IFERROR(VLOOKUP($A21,PRICES!$A:$CN,69,FALSE),"")</f>
        <v>104.43133111258076</v>
      </c>
      <c r="E21" s="254">
        <f>IFERROR(VLOOKUP($A21,PRICES!$A:$CN,70,FALSE),"")</f>
        <v>153.25003947348156</v>
      </c>
      <c r="F21" s="254">
        <f>IFERROR(VLOOKUP($A21,PRICES!$A:$CN,71,FALSE),"")</f>
        <v>64.429389942718657</v>
      </c>
      <c r="G21" s="254">
        <f>IFERROR(VLOOKUP($A21,PRICES!$A:$CN,72,FALSE),"")</f>
        <v>111.90880974679708</v>
      </c>
      <c r="H21" s="254">
        <f>IFERROR(VLOOKUP($A21,'Further adjustment'!$A:$Q,7,FALSE),"")</f>
        <v>229186</v>
      </c>
      <c r="I21" s="254">
        <f>IFERROR(VLOOKUP($A21,'Further adjustment'!$A:$Q,6,FALSE),"")</f>
        <v>12223</v>
      </c>
      <c r="J21" s="254">
        <f>IFERROR(VLOOKUP($A21,'Further adjustment'!$A:$Q,9,FALSE),"")</f>
        <v>467890</v>
      </c>
      <c r="K21" s="254">
        <f>IFERROR(VLOOKUP($A21,'Further adjustment'!$A:$Q,8,FALSE),"")</f>
        <v>15370</v>
      </c>
      <c r="L21" s="140"/>
      <c r="M21" s="140"/>
      <c r="N21" s="140"/>
      <c r="O21" s="140"/>
      <c r="P21" s="140"/>
      <c r="Q21" s="140"/>
      <c r="R21" s="140"/>
      <c r="S21" s="140"/>
    </row>
    <row r="22" spans="1:19">
      <c r="A22" s="140">
        <f>Mandatory!A19</f>
        <v>170</v>
      </c>
      <c r="B22" s="140"/>
      <c r="C22" s="140"/>
      <c r="D22" s="254">
        <f>IFERROR(VLOOKUP($A22,PRICES!$A:$CN,69,FALSE),"")</f>
        <v>260.24230968900321</v>
      </c>
      <c r="E22" s="254">
        <f>IFERROR(VLOOKUP($A22,PRICES!$A:$CN,70,FALSE),"")</f>
        <v>520.48461937800641</v>
      </c>
      <c r="F22" s="254">
        <f>IFERROR(VLOOKUP($A22,PRICES!$A:$CN,71,FALSE),"")</f>
        <v>204.53744132828871</v>
      </c>
      <c r="G22" s="254">
        <f>IFERROR(VLOOKUP($A22,PRICES!$A:$CN,72,FALSE),"")</f>
        <v>409.07488265657742</v>
      </c>
      <c r="H22" s="254">
        <f>IFERROR(VLOOKUP($A22,'Further adjustment'!$A:$Q,7,FALSE),"")</f>
        <v>23738</v>
      </c>
      <c r="I22" s="254">
        <f>IFERROR(VLOOKUP($A22,'Further adjustment'!$A:$Q,6,FALSE),"")</f>
        <v>243</v>
      </c>
      <c r="J22" s="254">
        <f>IFERROR(VLOOKUP($A22,'Further adjustment'!$A:$Q,9,FALSE),"")</f>
        <v>37877</v>
      </c>
      <c r="K22" s="254">
        <f>IFERROR(VLOOKUP($A22,'Further adjustment'!$A:$Q,8,FALSE),"")</f>
        <v>487</v>
      </c>
      <c r="L22" s="140"/>
      <c r="M22" s="140"/>
      <c r="N22" s="140"/>
      <c r="O22" s="140"/>
      <c r="P22" s="140"/>
      <c r="Q22" s="140"/>
      <c r="R22" s="140"/>
      <c r="S22" s="140"/>
    </row>
    <row r="23" spans="1:19">
      <c r="A23" s="140">
        <f>Mandatory!A20</f>
        <v>171</v>
      </c>
      <c r="B23" s="140"/>
      <c r="C23" s="140"/>
      <c r="D23" s="254">
        <f>IFERROR(VLOOKUP($A23,PRICES!$A:$CN,69,FALSE),"")</f>
        <v>151.31419495327381</v>
      </c>
      <c r="E23" s="254">
        <f>IFERROR(VLOOKUP($A23,PRICES!$A:$CN,70,FALSE),"")</f>
        <v>170.89079286655041</v>
      </c>
      <c r="F23" s="254">
        <f>IFERROR(VLOOKUP($A23,PRICES!$A:$CN,71,FALSE),"")</f>
        <v>103.59659066174052</v>
      </c>
      <c r="G23" s="254">
        <f>IFERROR(VLOOKUP($A23,PRICES!$A:$CN,72,FALSE),"")</f>
        <v>136.65388630805941</v>
      </c>
      <c r="H23" s="254">
        <f>IFERROR(VLOOKUP($A23,'Further adjustment'!$A:$Q,7,FALSE),"")</f>
        <v>53905</v>
      </c>
      <c r="I23" s="254">
        <f>IFERROR(VLOOKUP($A23,'Further adjustment'!$A:$Q,6,FALSE),"")</f>
        <v>967</v>
      </c>
      <c r="J23" s="254">
        <f>IFERROR(VLOOKUP($A23,'Further adjustment'!$A:$Q,9,FALSE),"")</f>
        <v>69188</v>
      </c>
      <c r="K23" s="254">
        <f>IFERROR(VLOOKUP($A23,'Further adjustment'!$A:$Q,8,FALSE),"")</f>
        <v>1627</v>
      </c>
      <c r="L23" s="140"/>
      <c r="M23" s="140"/>
      <c r="N23" s="140"/>
      <c r="O23" s="140"/>
      <c r="P23" s="140"/>
      <c r="Q23" s="140"/>
      <c r="R23" s="140"/>
      <c r="S23" s="140"/>
    </row>
    <row r="24" spans="1:19">
      <c r="A24" s="140">
        <f>Mandatory!A21</f>
        <v>172</v>
      </c>
      <c r="B24" s="140"/>
      <c r="C24" s="140"/>
      <c r="D24" s="254">
        <f>IFERROR(VLOOKUP($A24,PRICES!$A:$CN,69,FALSE),"")</f>
        <v>286.21823194022642</v>
      </c>
      <c r="E24" s="254">
        <f>IFERROR(VLOOKUP($A24,PRICES!$A:$CN,70,FALSE),"")</f>
        <v>286.21823194022642</v>
      </c>
      <c r="F24" s="254">
        <f>IFERROR(VLOOKUP($A24,PRICES!$A:$CN,71,FALSE),"")</f>
        <v>202.19550910194545</v>
      </c>
      <c r="G24" s="254">
        <f>IFERROR(VLOOKUP($A24,PRICES!$A:$CN,72,FALSE),"")</f>
        <v>202.19550910194545</v>
      </c>
      <c r="H24" s="254">
        <f>IFERROR(VLOOKUP($A24,'Further adjustment'!$A:$Q,7,FALSE),"")</f>
        <v>15076</v>
      </c>
      <c r="I24" s="254">
        <f>IFERROR(VLOOKUP($A24,'Further adjustment'!$A:$Q,6,FALSE),"")</f>
        <v>1245</v>
      </c>
      <c r="J24" s="254">
        <f>IFERROR(VLOOKUP($A24,'Further adjustment'!$A:$Q,9,FALSE),"")</f>
        <v>24908</v>
      </c>
      <c r="K24" s="254">
        <f>IFERROR(VLOOKUP($A24,'Further adjustment'!$A:$Q,8,FALSE),"")</f>
        <v>2704</v>
      </c>
      <c r="L24" s="140"/>
      <c r="M24" s="140"/>
      <c r="N24" s="140"/>
      <c r="O24" s="140"/>
      <c r="P24" s="140"/>
      <c r="Q24" s="140"/>
      <c r="R24" s="140"/>
      <c r="S24" s="140"/>
    </row>
    <row r="25" spans="1:19">
      <c r="A25" s="140">
        <f>Mandatory!A22</f>
        <v>173</v>
      </c>
      <c r="B25" s="140"/>
      <c r="C25" s="140"/>
      <c r="D25" s="254">
        <f>IFERROR(VLOOKUP($A25,PRICES!$A:$CN,69,FALSE),"")</f>
        <v>230.60337263095258</v>
      </c>
      <c r="E25" s="254">
        <f>IFERROR(VLOOKUP($A25,PRICES!$A:$CN,70,FALSE),"")</f>
        <v>231.68318822590211</v>
      </c>
      <c r="F25" s="254">
        <f>IFERROR(VLOOKUP($A25,PRICES!$A:$CN,71,FALSE),"")</f>
        <v>150.20372887210135</v>
      </c>
      <c r="G25" s="254">
        <f>IFERROR(VLOOKUP($A25,PRICES!$A:$CN,72,FALSE),"")</f>
        <v>150.92523099953422</v>
      </c>
      <c r="H25" s="254">
        <f>IFERROR(VLOOKUP($A25,'Further adjustment'!$A:$Q,7,FALSE),"")</f>
        <v>8947</v>
      </c>
      <c r="I25" s="254">
        <f>IFERROR(VLOOKUP($A25,'Further adjustment'!$A:$Q,6,FALSE),"")</f>
        <v>219</v>
      </c>
      <c r="J25" s="254">
        <f>IFERROR(VLOOKUP($A25,'Further adjustment'!$A:$Q,9,FALSE),"")</f>
        <v>20935</v>
      </c>
      <c r="K25" s="254">
        <f>IFERROR(VLOOKUP($A25,'Further adjustment'!$A:$Q,8,FALSE),"")</f>
        <v>225</v>
      </c>
      <c r="L25" s="140"/>
      <c r="M25" s="140"/>
      <c r="N25" s="140"/>
      <c r="O25" s="140"/>
      <c r="P25" s="140"/>
      <c r="Q25" s="140"/>
      <c r="R25" s="140"/>
      <c r="S25" s="140"/>
    </row>
    <row r="26" spans="1:19">
      <c r="A26" s="140">
        <f>Mandatory!A23</f>
        <v>190</v>
      </c>
      <c r="B26" s="140"/>
      <c r="C26" s="140"/>
      <c r="D26" s="254">
        <f>IFERROR(VLOOKUP($A26,PRICES!$A:$CN,69,FALSE),"")</f>
        <v>117.26660424869779</v>
      </c>
      <c r="E26" s="254">
        <f>IFERROR(VLOOKUP($A26,PRICES!$A:$CN,70,FALSE),"")</f>
        <v>219.22160951645816</v>
      </c>
      <c r="F26" s="254">
        <f>IFERROR(VLOOKUP($A26,PRICES!$A:$CN,71,FALSE),"")</f>
        <v>67.698791299930079</v>
      </c>
      <c r="G26" s="254">
        <f>IFERROR(VLOOKUP($A26,PRICES!$A:$CN,72,FALSE),"")</f>
        <v>92.547968039257654</v>
      </c>
      <c r="H26" s="254">
        <f>IFERROR(VLOOKUP($A26,'Further adjustment'!$A:$Q,7,FALSE),"")</f>
        <v>87983</v>
      </c>
      <c r="I26" s="254">
        <f>IFERROR(VLOOKUP($A26,'Further adjustment'!$A:$Q,6,FALSE),"")</f>
        <v>330</v>
      </c>
      <c r="J26" s="254">
        <f>IFERROR(VLOOKUP($A26,'Further adjustment'!$A:$Q,9,FALSE),"")</f>
        <v>142753</v>
      </c>
      <c r="K26" s="254">
        <f>IFERROR(VLOOKUP($A26,'Further adjustment'!$A:$Q,8,FALSE),"")</f>
        <v>2008</v>
      </c>
      <c r="L26" s="140"/>
      <c r="M26" s="140"/>
      <c r="N26" s="140"/>
      <c r="O26" s="140"/>
      <c r="P26" s="140"/>
      <c r="Q26" s="140"/>
      <c r="R26" s="140"/>
      <c r="S26" s="140"/>
    </row>
    <row r="27" spans="1:19">
      <c r="A27" s="140">
        <f>Mandatory!A24</f>
        <v>191</v>
      </c>
      <c r="B27" s="140"/>
      <c r="C27" s="140"/>
      <c r="D27" s="254">
        <f>IFERROR(VLOOKUP($A27,PRICES!$A:$CN,69,FALSE),"")</f>
        <v>157.49247230382991</v>
      </c>
      <c r="E27" s="254">
        <f>IFERROR(VLOOKUP($A27,PRICES!$A:$CN,70,FALSE),"")</f>
        <v>166.06856575736936</v>
      </c>
      <c r="F27" s="254">
        <f>IFERROR(VLOOKUP($A27,PRICES!$A:$CN,71,FALSE),"")</f>
        <v>91.879095860175312</v>
      </c>
      <c r="G27" s="254">
        <f>IFERROR(VLOOKUP($A27,PRICES!$A:$CN,72,FALSE),"")</f>
        <v>118.93710587472907</v>
      </c>
      <c r="H27" s="254">
        <f>IFERROR(VLOOKUP($A27,'Further adjustment'!$A:$Q,7,FALSE),"")</f>
        <v>191748</v>
      </c>
      <c r="I27" s="254">
        <f>IFERROR(VLOOKUP($A27,'Further adjustment'!$A:$Q,6,FALSE),"")</f>
        <v>5677</v>
      </c>
      <c r="J27" s="254">
        <f>IFERROR(VLOOKUP($A27,'Further adjustment'!$A:$Q,9,FALSE),"")</f>
        <v>345050</v>
      </c>
      <c r="K27" s="254">
        <f>IFERROR(VLOOKUP($A27,'Further adjustment'!$A:$Q,8,FALSE),"")</f>
        <v>5322</v>
      </c>
      <c r="L27" s="140"/>
      <c r="M27" s="140"/>
      <c r="N27" s="140"/>
      <c r="O27" s="140"/>
      <c r="P27" s="140"/>
      <c r="Q27" s="140"/>
      <c r="R27" s="140"/>
      <c r="S27" s="140"/>
    </row>
    <row r="28" spans="1:19">
      <c r="A28" s="140">
        <f>Mandatory!A25</f>
        <v>211</v>
      </c>
      <c r="B28" s="140"/>
      <c r="C28" s="140"/>
      <c r="D28" s="254">
        <f>IFERROR(VLOOKUP($A28,PRICES!$A:$CN,69,FALSE),"")</f>
        <v>142.90146319221569</v>
      </c>
      <c r="E28" s="254">
        <f>IFERROR(VLOOKUP($A28,PRICES!$A:$CN,70,FALSE),"")</f>
        <v>179.2280126861549</v>
      </c>
      <c r="F28" s="254">
        <f>IFERROR(VLOOKUP($A28,PRICES!$A:$CN,71,FALSE),"")</f>
        <v>91.595419642209322</v>
      </c>
      <c r="G28" s="254">
        <f>IFERROR(VLOOKUP($A28,PRICES!$A:$CN,72,FALSE),"")</f>
        <v>112.72405176857377</v>
      </c>
      <c r="H28" s="254">
        <f>IFERROR(VLOOKUP($A28,'Further adjustment'!$A:$Q,7,FALSE),"")</f>
        <v>17256</v>
      </c>
      <c r="I28" s="254">
        <f>IFERROR(VLOOKUP($A28,'Further adjustment'!$A:$Q,6,FALSE),"")</f>
        <v>291</v>
      </c>
      <c r="J28" s="254">
        <f>IFERROR(VLOOKUP($A28,'Further adjustment'!$A:$Q,9,FALSE),"")</f>
        <v>28440</v>
      </c>
      <c r="K28" s="254">
        <f>IFERROR(VLOOKUP($A28,'Further adjustment'!$A:$Q,8,FALSE),"")</f>
        <v>630</v>
      </c>
      <c r="L28" s="140"/>
      <c r="M28" s="140"/>
      <c r="N28" s="140"/>
      <c r="O28" s="140"/>
      <c r="P28" s="140"/>
      <c r="Q28" s="140"/>
      <c r="R28" s="140"/>
      <c r="S28" s="140"/>
    </row>
    <row r="29" spans="1:19">
      <c r="A29" s="140">
        <f>Mandatory!A26</f>
        <v>214</v>
      </c>
      <c r="B29" s="140"/>
      <c r="C29" s="140"/>
      <c r="D29" s="254">
        <f>IFERROR(VLOOKUP($A29,PRICES!$A:$CN,69,FALSE),"")</f>
        <v>143.79408182388079</v>
      </c>
      <c r="E29" s="254">
        <f>IFERROR(VLOOKUP($A29,PRICES!$A:$CN,70,FALSE),"")</f>
        <v>210.71434061736619</v>
      </c>
      <c r="F29" s="254">
        <f>IFERROR(VLOOKUP($A29,PRICES!$A:$CN,71,FALSE),"")</f>
        <v>101.20699483437907</v>
      </c>
      <c r="G29" s="254">
        <f>IFERROR(VLOOKUP($A29,PRICES!$A:$CN,72,FALSE),"")</f>
        <v>172.87798651756981</v>
      </c>
      <c r="H29" s="254">
        <f>IFERROR(VLOOKUP($A29,'Further adjustment'!$A:$Q,7,FALSE),"")</f>
        <v>82660</v>
      </c>
      <c r="I29" s="254">
        <f>IFERROR(VLOOKUP($A29,'Further adjustment'!$A:$Q,6,FALSE),"")</f>
        <v>1887</v>
      </c>
      <c r="J29" s="254">
        <f>IFERROR(VLOOKUP($A29,'Further adjustment'!$A:$Q,9,FALSE),"")</f>
        <v>125104</v>
      </c>
      <c r="K29" s="254">
        <f>IFERROR(VLOOKUP($A29,'Further adjustment'!$A:$Q,8,FALSE),"")</f>
        <v>2815</v>
      </c>
      <c r="L29" s="140"/>
      <c r="M29" s="140"/>
      <c r="N29" s="140"/>
      <c r="O29" s="140"/>
      <c r="P29" s="140"/>
      <c r="Q29" s="140"/>
      <c r="R29" s="140"/>
      <c r="S29" s="140"/>
    </row>
    <row r="30" spans="1:19">
      <c r="A30" s="140">
        <f>Mandatory!A27</f>
        <v>215</v>
      </c>
      <c r="B30" s="140"/>
      <c r="C30" s="140"/>
      <c r="D30" s="254">
        <f>IFERROR(VLOOKUP($A30,PRICES!$A:$CN,69,FALSE),"")</f>
        <v>117.66385384940904</v>
      </c>
      <c r="E30" s="254">
        <f>IFERROR(VLOOKUP($A30,PRICES!$A:$CN,70,FALSE),"")</f>
        <v>138.11457382366746</v>
      </c>
      <c r="F30" s="254">
        <f>IFERROR(VLOOKUP($A30,PRICES!$A:$CN,71,FALSE),"")</f>
        <v>74.853845213095596</v>
      </c>
      <c r="G30" s="254">
        <f>IFERROR(VLOOKUP($A30,PRICES!$A:$CN,72,FALSE),"")</f>
        <v>93.968703065219415</v>
      </c>
      <c r="H30" s="254">
        <f>IFERROR(VLOOKUP($A30,'Further adjustment'!$A:$Q,7,FALSE),"")</f>
        <v>40507</v>
      </c>
      <c r="I30" s="254">
        <f>IFERROR(VLOOKUP($A30,'Further adjustment'!$A:$Q,6,FALSE),"")</f>
        <v>1946</v>
      </c>
      <c r="J30" s="254">
        <f>IFERROR(VLOOKUP($A30,'Further adjustment'!$A:$Q,9,FALSE),"")</f>
        <v>57841</v>
      </c>
      <c r="K30" s="254">
        <f>IFERROR(VLOOKUP($A30,'Further adjustment'!$A:$Q,8,FALSE),"")</f>
        <v>3093</v>
      </c>
      <c r="L30" s="140"/>
      <c r="M30" s="140"/>
      <c r="N30" s="140"/>
      <c r="O30" s="140"/>
      <c r="P30" s="140"/>
      <c r="Q30" s="140"/>
      <c r="R30" s="140"/>
      <c r="S30" s="140"/>
    </row>
    <row r="31" spans="1:19">
      <c r="A31" s="140">
        <f>Mandatory!A28</f>
        <v>216</v>
      </c>
      <c r="B31" s="140"/>
      <c r="C31" s="140"/>
      <c r="D31" s="254">
        <f>IFERROR(VLOOKUP($A31,PRICES!$A:$CN,69,FALSE),"")</f>
        <v>118.6899056600854</v>
      </c>
      <c r="E31" s="254">
        <f>IFERROR(VLOOKUP($A31,PRICES!$A:$CN,70,FALSE),"")</f>
        <v>137.25301855901805</v>
      </c>
      <c r="F31" s="254">
        <f>IFERROR(VLOOKUP($A31,PRICES!$A:$CN,71,FALSE),"")</f>
        <v>81.858684888923094</v>
      </c>
      <c r="G31" s="254">
        <f>IFERROR(VLOOKUP($A31,PRICES!$A:$CN,72,FALSE),"")</f>
        <v>86.857506809991136</v>
      </c>
      <c r="H31" s="254">
        <f>IFERROR(VLOOKUP($A31,'Further adjustment'!$A:$Q,7,FALSE),"")</f>
        <v>54731</v>
      </c>
      <c r="I31" s="254">
        <f>IFERROR(VLOOKUP($A31,'Further adjustment'!$A:$Q,6,FALSE),"")</f>
        <v>2317</v>
      </c>
      <c r="J31" s="254">
        <f>IFERROR(VLOOKUP($A31,'Further adjustment'!$A:$Q,9,FALSE),"")</f>
        <v>138647</v>
      </c>
      <c r="K31" s="254">
        <f>IFERROR(VLOOKUP($A31,'Further adjustment'!$A:$Q,8,FALSE),"")</f>
        <v>4763</v>
      </c>
      <c r="L31" s="140"/>
      <c r="M31" s="140"/>
      <c r="N31" s="140"/>
      <c r="O31" s="140"/>
      <c r="P31" s="140"/>
      <c r="Q31" s="140"/>
      <c r="R31" s="140"/>
      <c r="S31" s="140"/>
    </row>
    <row r="32" spans="1:19">
      <c r="A32" s="140">
        <f>Mandatory!A29</f>
        <v>217</v>
      </c>
      <c r="B32" s="140"/>
      <c r="C32" s="140"/>
      <c r="D32" s="254">
        <f>IFERROR(VLOOKUP($A32,PRICES!$A:$CN,69,FALSE),"")</f>
        <v>109.19418552640656</v>
      </c>
      <c r="E32" s="254">
        <f>IFERROR(VLOOKUP($A32,PRICES!$A:$CN,70,FALSE),"")</f>
        <v>217.77313557705392</v>
      </c>
      <c r="F32" s="254">
        <f>IFERROR(VLOOKUP($A32,PRICES!$A:$CN,71,FALSE),"")</f>
        <v>106.22789387065517</v>
      </c>
      <c r="G32" s="254">
        <f>IFERROR(VLOOKUP($A32,PRICES!$A:$CN,72,FALSE),"")</f>
        <v>212.45578774131033</v>
      </c>
      <c r="H32" s="254">
        <f>IFERROR(VLOOKUP($A32,'Further adjustment'!$A:$Q,7,FALSE),"")</f>
        <v>3128</v>
      </c>
      <c r="I32" s="254">
        <f>IFERROR(VLOOKUP($A32,'Further adjustment'!$A:$Q,6,FALSE),"")</f>
        <v>78</v>
      </c>
      <c r="J32" s="254">
        <f>IFERROR(VLOOKUP($A32,'Further adjustment'!$A:$Q,9,FALSE),"")</f>
        <v>3531</v>
      </c>
      <c r="K32" s="254">
        <f>IFERROR(VLOOKUP($A32,'Further adjustment'!$A:$Q,8,FALSE),"")</f>
        <v>252</v>
      </c>
      <c r="L32" s="140"/>
      <c r="M32" s="140"/>
      <c r="N32" s="140"/>
      <c r="O32" s="140"/>
      <c r="P32" s="140"/>
      <c r="Q32" s="140"/>
      <c r="R32" s="140"/>
      <c r="S32" s="140"/>
    </row>
    <row r="33" spans="1:19">
      <c r="A33" s="140">
        <f>Mandatory!A30</f>
        <v>218</v>
      </c>
      <c r="B33" s="140"/>
      <c r="C33" s="140"/>
      <c r="D33" s="254">
        <f>IFERROR(VLOOKUP($A33,PRICES!$A:$CN,69,FALSE),"")</f>
        <v>274.83310934748772</v>
      </c>
      <c r="E33" s="254">
        <f>IFERROR(VLOOKUP($A33,PRICES!$A:$CN,70,FALSE),"")</f>
        <v>274.83310934748772</v>
      </c>
      <c r="F33" s="254">
        <f>IFERROR(VLOOKUP($A33,PRICES!$A:$CN,71,FALSE),"")</f>
        <v>145.81602674933578</v>
      </c>
      <c r="G33" s="254">
        <f>IFERROR(VLOOKUP($A33,PRICES!$A:$CN,72,FALSE),"")</f>
        <v>164.48648787116974</v>
      </c>
      <c r="H33" s="254">
        <f>IFERROR(VLOOKUP($A33,'Further adjustment'!$A:$Q,7,FALSE),"")</f>
        <v>3482</v>
      </c>
      <c r="I33" s="254">
        <f>IFERROR(VLOOKUP($A33,'Further adjustment'!$A:$Q,6,FALSE),"")</f>
        <v>54</v>
      </c>
      <c r="J33" s="254">
        <f>IFERROR(VLOOKUP($A33,'Further adjustment'!$A:$Q,9,FALSE),"")</f>
        <v>12512</v>
      </c>
      <c r="K33" s="254">
        <f>IFERROR(VLOOKUP($A33,'Further adjustment'!$A:$Q,8,FALSE),"")</f>
        <v>237</v>
      </c>
      <c r="L33" s="140"/>
      <c r="M33" s="140"/>
      <c r="N33" s="140"/>
      <c r="O33" s="140"/>
      <c r="P33" s="140"/>
      <c r="Q33" s="140"/>
      <c r="R33" s="140"/>
      <c r="S33" s="140"/>
    </row>
    <row r="34" spans="1:19">
      <c r="A34" s="140">
        <f>Mandatory!A31</f>
        <v>219</v>
      </c>
      <c r="B34" s="140"/>
      <c r="C34" s="140"/>
      <c r="D34" s="254">
        <f>IFERROR(VLOOKUP($A34,PRICES!$A:$CN,69,FALSE),"")</f>
        <v>170.60070516180392</v>
      </c>
      <c r="E34" s="254">
        <f>IFERROR(VLOOKUP($A34,PRICES!$A:$CN,70,FALSE),"")</f>
        <v>252.69175363542283</v>
      </c>
      <c r="F34" s="254">
        <f>IFERROR(VLOOKUP($A34,PRICES!$A:$CN,71,FALSE),"")</f>
        <v>111.53654864217725</v>
      </c>
      <c r="G34" s="254">
        <f>IFERROR(VLOOKUP($A34,PRICES!$A:$CN,72,FALSE),"")</f>
        <v>113.72581536349293</v>
      </c>
      <c r="H34" s="254">
        <f>IFERROR(VLOOKUP($A34,'Further adjustment'!$A:$Q,7,FALSE),"")</f>
        <v>14657</v>
      </c>
      <c r="I34" s="254">
        <f>IFERROR(VLOOKUP($A34,'Further adjustment'!$A:$Q,6,FALSE),"")</f>
        <v>392</v>
      </c>
      <c r="J34" s="254">
        <f>IFERROR(VLOOKUP($A34,'Further adjustment'!$A:$Q,9,FALSE),"")</f>
        <v>38224</v>
      </c>
      <c r="K34" s="254">
        <f>IFERROR(VLOOKUP($A34,'Further adjustment'!$A:$Q,8,FALSE),"")</f>
        <v>1128</v>
      </c>
      <c r="L34" s="140"/>
      <c r="M34" s="140"/>
      <c r="N34" s="140"/>
      <c r="O34" s="140"/>
      <c r="P34" s="140"/>
      <c r="Q34" s="140"/>
      <c r="R34" s="140"/>
      <c r="S34" s="140"/>
    </row>
    <row r="35" spans="1:19">
      <c r="A35" s="140">
        <f>Mandatory!A32</f>
        <v>223</v>
      </c>
      <c r="B35" s="140"/>
      <c r="C35" s="140"/>
      <c r="D35" s="254">
        <f>IFERROR(VLOOKUP($A35,PRICES!$A:$CN,69,FALSE),"")</f>
        <v>281.55409058673774</v>
      </c>
      <c r="E35" s="254">
        <f>IFERROR(VLOOKUP($A35,PRICES!$A:$CN,70,FALSE),"")</f>
        <v>281.55409058673774</v>
      </c>
      <c r="F35" s="254">
        <f>IFERROR(VLOOKUP($A35,PRICES!$A:$CN,71,FALSE),"")</f>
        <v>132.63920914646988</v>
      </c>
      <c r="G35" s="254">
        <f>IFERROR(VLOOKUP($A35,PRICES!$A:$CN,72,FALSE),"")</f>
        <v>132.63920914646988</v>
      </c>
      <c r="H35" s="254">
        <f>IFERROR(VLOOKUP($A35,'Further adjustment'!$A:$Q,7,FALSE),"")</f>
        <v>638</v>
      </c>
      <c r="I35" s="254">
        <f>IFERROR(VLOOKUP($A35,'Further adjustment'!$A:$Q,6,FALSE),"")</f>
        <v>36</v>
      </c>
      <c r="J35" s="254">
        <f>IFERROR(VLOOKUP($A35,'Further adjustment'!$A:$Q,9,FALSE),"")</f>
        <v>2476</v>
      </c>
      <c r="K35" s="254">
        <f>IFERROR(VLOOKUP($A35,'Further adjustment'!$A:$Q,8,FALSE),"")</f>
        <v>236</v>
      </c>
      <c r="L35" s="140"/>
      <c r="M35" s="140"/>
      <c r="N35" s="140"/>
      <c r="O35" s="140"/>
      <c r="P35" s="140"/>
      <c r="Q35" s="140"/>
      <c r="R35" s="140"/>
      <c r="S35" s="140"/>
    </row>
    <row r="36" spans="1:19">
      <c r="A36" s="140">
        <f>Mandatory!A33</f>
        <v>251</v>
      </c>
      <c r="B36" s="140"/>
      <c r="C36" s="140"/>
      <c r="D36" s="254">
        <f>IFERROR(VLOOKUP($A36,PRICES!$A:$CN,69,FALSE),"")</f>
        <v>245.37567994096503</v>
      </c>
      <c r="E36" s="254">
        <f>IFERROR(VLOOKUP($A36,PRICES!$A:$CN,70,FALSE),"")</f>
        <v>245.37567994096503</v>
      </c>
      <c r="F36" s="254">
        <f>IFERROR(VLOOKUP($A36,PRICES!$A:$CN,71,FALSE),"")</f>
        <v>160.794675806968</v>
      </c>
      <c r="G36" s="254">
        <f>IFERROR(VLOOKUP($A36,PRICES!$A:$CN,72,FALSE),"")</f>
        <v>160.794675806968</v>
      </c>
      <c r="H36" s="254">
        <f>IFERROR(VLOOKUP($A36,'Further adjustment'!$A:$Q,7,FALSE),"")</f>
        <v>18341</v>
      </c>
      <c r="I36" s="254">
        <f>IFERROR(VLOOKUP($A36,'Further adjustment'!$A:$Q,6,FALSE),"")</f>
        <v>1516</v>
      </c>
      <c r="J36" s="254">
        <f>IFERROR(VLOOKUP($A36,'Further adjustment'!$A:$Q,9,FALSE),"")</f>
        <v>46186</v>
      </c>
      <c r="K36" s="254">
        <f>IFERROR(VLOOKUP($A36,'Further adjustment'!$A:$Q,8,FALSE),"")</f>
        <v>5595</v>
      </c>
      <c r="L36" s="140"/>
      <c r="M36" s="140"/>
      <c r="N36" s="140"/>
      <c r="O36" s="140"/>
      <c r="P36" s="140"/>
      <c r="Q36" s="140"/>
      <c r="R36" s="140"/>
      <c r="S36" s="140"/>
    </row>
    <row r="37" spans="1:19">
      <c r="A37" s="140">
        <f>Mandatory!A34</f>
        <v>252</v>
      </c>
      <c r="B37" s="140"/>
      <c r="C37" s="140"/>
      <c r="D37" s="254">
        <f>IFERROR(VLOOKUP($A37,PRICES!$A:$CN,69,FALSE),"")</f>
        <v>329.43664554845651</v>
      </c>
      <c r="E37" s="254">
        <f>IFERROR(VLOOKUP($A37,PRICES!$A:$CN,70,FALSE),"")</f>
        <v>329.43664554845651</v>
      </c>
      <c r="F37" s="254">
        <f>IFERROR(VLOOKUP($A37,PRICES!$A:$CN,71,FALSE),"")</f>
        <v>156.04512139651365</v>
      </c>
      <c r="G37" s="254">
        <f>IFERROR(VLOOKUP($A37,PRICES!$A:$CN,72,FALSE),"")</f>
        <v>163.3476358971553</v>
      </c>
      <c r="H37" s="254">
        <f>IFERROR(VLOOKUP($A37,'Further adjustment'!$A:$Q,7,FALSE),"")</f>
        <v>9785</v>
      </c>
      <c r="I37" s="254">
        <f>IFERROR(VLOOKUP($A37,'Further adjustment'!$A:$Q,6,FALSE),"")</f>
        <v>1261</v>
      </c>
      <c r="J37" s="254">
        <f>IFERROR(VLOOKUP($A37,'Further adjustment'!$A:$Q,9,FALSE),"")</f>
        <v>37255</v>
      </c>
      <c r="K37" s="254">
        <f>IFERROR(VLOOKUP($A37,'Further adjustment'!$A:$Q,8,FALSE),"")</f>
        <v>5278</v>
      </c>
      <c r="L37" s="140"/>
      <c r="M37" s="140"/>
      <c r="N37" s="140"/>
      <c r="O37" s="140"/>
      <c r="P37" s="140"/>
      <c r="Q37" s="140"/>
      <c r="R37" s="140"/>
      <c r="S37" s="140"/>
    </row>
    <row r="38" spans="1:19">
      <c r="A38" s="140">
        <f>Mandatory!A35</f>
        <v>253</v>
      </c>
      <c r="B38" s="140"/>
      <c r="C38" s="140"/>
      <c r="D38" s="254">
        <f>IFERROR(VLOOKUP($A38,PRICES!$A:$CN,69,FALSE),"")</f>
        <v>378.27537944370931</v>
      </c>
      <c r="E38" s="254">
        <f>IFERROR(VLOOKUP($A38,PRICES!$A:$CN,70,FALSE),"")</f>
        <v>419.00484544679773</v>
      </c>
      <c r="F38" s="254">
        <f>IFERROR(VLOOKUP($A38,PRICES!$A:$CN,71,FALSE),"")</f>
        <v>187.80867457056428</v>
      </c>
      <c r="G38" s="254">
        <f>IFERROR(VLOOKUP($A38,PRICES!$A:$CN,72,FALSE),"")</f>
        <v>199.99782233315855</v>
      </c>
      <c r="H38" s="254">
        <f>IFERROR(VLOOKUP($A38,'Further adjustment'!$A:$Q,7,FALSE),"")</f>
        <v>5342</v>
      </c>
      <c r="I38" s="254">
        <f>IFERROR(VLOOKUP($A38,'Further adjustment'!$A:$Q,6,FALSE),"")</f>
        <v>409</v>
      </c>
      <c r="J38" s="254">
        <f>IFERROR(VLOOKUP($A38,'Further adjustment'!$A:$Q,9,FALSE),"")</f>
        <v>33596</v>
      </c>
      <c r="K38" s="254">
        <f>IFERROR(VLOOKUP($A38,'Further adjustment'!$A:$Q,8,FALSE),"")</f>
        <v>3026</v>
      </c>
      <c r="L38" s="140"/>
      <c r="M38" s="140"/>
      <c r="N38" s="140"/>
      <c r="O38" s="140"/>
      <c r="P38" s="140"/>
      <c r="Q38" s="140"/>
      <c r="R38" s="140"/>
      <c r="S38" s="140"/>
    </row>
    <row r="39" spans="1:19">
      <c r="A39" s="140">
        <f>Mandatory!A36</f>
        <v>257</v>
      </c>
      <c r="B39" s="140"/>
      <c r="C39" s="140"/>
      <c r="D39" s="254">
        <f>IFERROR(VLOOKUP($A39,PRICES!$A:$CN,69,FALSE),"")</f>
        <v>151.60892179097345</v>
      </c>
      <c r="E39" s="254">
        <f>IFERROR(VLOOKUP($A39,PRICES!$A:$CN,70,FALSE),"")</f>
        <v>151.60892179097345</v>
      </c>
      <c r="F39" s="254">
        <f>IFERROR(VLOOKUP($A39,PRICES!$A:$CN,71,FALSE),"")</f>
        <v>97.694015840586857</v>
      </c>
      <c r="G39" s="254">
        <f>IFERROR(VLOOKUP($A39,PRICES!$A:$CN,72,FALSE),"")</f>
        <v>110.60295332312306</v>
      </c>
      <c r="H39" s="254">
        <f>IFERROR(VLOOKUP($A39,'Further adjustment'!$A:$Q,7,FALSE),"")</f>
        <v>24472</v>
      </c>
      <c r="I39" s="254">
        <f>IFERROR(VLOOKUP($A39,'Further adjustment'!$A:$Q,6,FALSE),"")</f>
        <v>574</v>
      </c>
      <c r="J39" s="254">
        <f>IFERROR(VLOOKUP($A39,'Further adjustment'!$A:$Q,9,FALSE),"")</f>
        <v>42237</v>
      </c>
      <c r="K39" s="254">
        <f>IFERROR(VLOOKUP($A39,'Further adjustment'!$A:$Q,8,FALSE),"")</f>
        <v>758</v>
      </c>
      <c r="L39" s="140"/>
      <c r="M39" s="140"/>
      <c r="N39" s="140"/>
      <c r="O39" s="140"/>
      <c r="P39" s="140"/>
      <c r="Q39" s="140"/>
      <c r="R39" s="140"/>
      <c r="S39" s="140"/>
    </row>
    <row r="40" spans="1:19">
      <c r="A40" s="140">
        <f>Mandatory!A37</f>
        <v>258</v>
      </c>
      <c r="B40" s="140"/>
      <c r="C40" s="140"/>
      <c r="D40" s="254">
        <f>IFERROR(VLOOKUP($A40,PRICES!$A:$CN,69,FALSE),"")</f>
        <v>291.16088115179463</v>
      </c>
      <c r="E40" s="254">
        <f>IFERROR(VLOOKUP($A40,PRICES!$A:$CN,70,FALSE),"")</f>
        <v>292.06636084544647</v>
      </c>
      <c r="F40" s="254">
        <f>IFERROR(VLOOKUP($A40,PRICES!$A:$CN,71,FALSE),"")</f>
        <v>154.75265378371361</v>
      </c>
      <c r="G40" s="254">
        <f>IFERROR(VLOOKUP($A40,PRICES!$A:$CN,72,FALSE),"")</f>
        <v>154.75265378371361</v>
      </c>
      <c r="H40" s="254">
        <f>IFERROR(VLOOKUP($A40,'Further adjustment'!$A:$Q,7,FALSE),"")</f>
        <v>11935</v>
      </c>
      <c r="I40" s="254">
        <f>IFERROR(VLOOKUP($A40,'Further adjustment'!$A:$Q,6,FALSE),"")</f>
        <v>697</v>
      </c>
      <c r="J40" s="254">
        <f>IFERROR(VLOOKUP($A40,'Further adjustment'!$A:$Q,9,FALSE),"")</f>
        <v>37066</v>
      </c>
      <c r="K40" s="254">
        <f>IFERROR(VLOOKUP($A40,'Further adjustment'!$A:$Q,8,FALSE),"")</f>
        <v>2357</v>
      </c>
      <c r="L40" s="140"/>
      <c r="M40" s="140"/>
      <c r="N40" s="140"/>
      <c r="O40" s="140"/>
      <c r="P40" s="140"/>
      <c r="Q40" s="140"/>
      <c r="R40" s="140"/>
      <c r="S40" s="140"/>
    </row>
    <row r="41" spans="1:19">
      <c r="A41" s="140">
        <f>Mandatory!A38</f>
        <v>263</v>
      </c>
      <c r="B41" s="140"/>
      <c r="C41" s="140"/>
      <c r="D41" s="254">
        <f>IFERROR(VLOOKUP($A41,PRICES!$A:$CN,69,FALSE),"")</f>
        <v>194.87042806595824</v>
      </c>
      <c r="E41" s="254">
        <f>IFERROR(VLOOKUP($A41,PRICES!$A:$CN,70,FALSE),"")</f>
        <v>245.82353356132933</v>
      </c>
      <c r="F41" s="254">
        <f>IFERROR(VLOOKUP($A41,PRICES!$A:$CN,71,FALSE),"")</f>
        <v>93.957238182218504</v>
      </c>
      <c r="G41" s="254">
        <f>IFERROR(VLOOKUP($A41,PRICES!$A:$CN,72,FALSE),"")</f>
        <v>110.89756987745422</v>
      </c>
      <c r="H41" s="254">
        <f>IFERROR(VLOOKUP($A41,'Further adjustment'!$A:$Q,7,FALSE),"")</f>
        <v>2216</v>
      </c>
      <c r="I41" s="254">
        <f>IFERROR(VLOOKUP($A41,'Further adjustment'!$A:$Q,6,FALSE),"")</f>
        <v>334</v>
      </c>
      <c r="J41" s="254">
        <f>IFERROR(VLOOKUP($A41,'Further adjustment'!$A:$Q,9,FALSE),"")</f>
        <v>42150</v>
      </c>
      <c r="K41" s="254">
        <f>IFERROR(VLOOKUP($A41,'Further adjustment'!$A:$Q,8,FALSE),"")</f>
        <v>9782</v>
      </c>
      <c r="L41" s="140"/>
      <c r="M41" s="140"/>
      <c r="N41" s="140"/>
      <c r="O41" s="140"/>
      <c r="P41" s="140"/>
      <c r="Q41" s="140"/>
      <c r="R41" s="140"/>
      <c r="S41" s="140"/>
    </row>
    <row r="42" spans="1:19">
      <c r="A42" s="140">
        <f>Mandatory!A39</f>
        <v>300</v>
      </c>
      <c r="B42" s="140"/>
      <c r="C42" s="140"/>
      <c r="D42" s="254">
        <f>IFERROR(VLOOKUP($A42,PRICES!$A:$CN,69,FALSE),"")</f>
        <v>184.41301801331772</v>
      </c>
      <c r="E42" s="254">
        <f>IFERROR(VLOOKUP($A42,PRICES!$A:$CN,70,FALSE),"")</f>
        <v>238.06502720645597</v>
      </c>
      <c r="F42" s="254">
        <f>IFERROR(VLOOKUP($A42,PRICES!$A:$CN,71,FALSE),"")</f>
        <v>107.62543344664786</v>
      </c>
      <c r="G42" s="254">
        <f>IFERROR(VLOOKUP($A42,PRICES!$A:$CN,72,FALSE),"")</f>
        <v>147.58534726129741</v>
      </c>
      <c r="H42" s="254">
        <f>IFERROR(VLOOKUP($A42,'Further adjustment'!$A:$Q,7,FALSE),"")</f>
        <v>317480</v>
      </c>
      <c r="I42" s="254">
        <f>IFERROR(VLOOKUP($A42,'Further adjustment'!$A:$Q,6,FALSE),"")</f>
        <v>8611</v>
      </c>
      <c r="J42" s="254">
        <f>IFERROR(VLOOKUP($A42,'Further adjustment'!$A:$Q,9,FALSE),"")</f>
        <v>526950</v>
      </c>
      <c r="K42" s="254">
        <f>IFERROR(VLOOKUP($A42,'Further adjustment'!$A:$Q,8,FALSE),"")</f>
        <v>10391</v>
      </c>
      <c r="L42" s="140"/>
      <c r="M42" s="140"/>
      <c r="N42" s="140"/>
      <c r="O42" s="140"/>
      <c r="P42" s="140"/>
      <c r="Q42" s="140"/>
      <c r="R42" s="140"/>
      <c r="S42" s="140"/>
    </row>
    <row r="43" spans="1:19">
      <c r="A43" s="140">
        <f>Mandatory!A40</f>
        <v>301</v>
      </c>
      <c r="B43" s="140"/>
      <c r="C43" s="140"/>
      <c r="D43" s="254">
        <f>IFERROR(VLOOKUP($A43,PRICES!$A:$CN,69,FALSE),"")</f>
        <v>152.47060112770473</v>
      </c>
      <c r="E43" s="254">
        <f>IFERROR(VLOOKUP($A43,PRICES!$A:$CN,70,FALSE),"")</f>
        <v>198.73349423710494</v>
      </c>
      <c r="F43" s="254">
        <f>IFERROR(VLOOKUP($A43,PRICES!$A:$CN,71,FALSE),"")</f>
        <v>88.634242359429493</v>
      </c>
      <c r="G43" s="254">
        <f>IFERROR(VLOOKUP($A43,PRICES!$A:$CN,72,FALSE),"")</f>
        <v>128.8315557661731</v>
      </c>
      <c r="H43" s="254">
        <f>IFERROR(VLOOKUP($A43,'Further adjustment'!$A:$Q,7,FALSE),"")</f>
        <v>407741</v>
      </c>
      <c r="I43" s="254">
        <f>IFERROR(VLOOKUP($A43,'Further adjustment'!$A:$Q,6,FALSE),"")</f>
        <v>4167</v>
      </c>
      <c r="J43" s="254">
        <f>IFERROR(VLOOKUP($A43,'Further adjustment'!$A:$Q,9,FALSE),"")</f>
        <v>730613</v>
      </c>
      <c r="K43" s="254">
        <f>IFERROR(VLOOKUP($A43,'Further adjustment'!$A:$Q,8,FALSE),"")</f>
        <v>13158</v>
      </c>
      <c r="L43" s="140"/>
      <c r="M43" s="140"/>
      <c r="N43" s="140"/>
      <c r="O43" s="140"/>
      <c r="P43" s="140"/>
      <c r="Q43" s="140"/>
      <c r="R43" s="140"/>
      <c r="S43" s="140"/>
    </row>
    <row r="44" spans="1:19">
      <c r="A44" s="140">
        <f>Mandatory!A41</f>
        <v>302</v>
      </c>
      <c r="B44" s="140"/>
      <c r="C44" s="140"/>
      <c r="D44" s="254">
        <f>IFERROR(VLOOKUP($A44,PRICES!$A:$CN,69,FALSE),"")</f>
        <v>187.32139991599436</v>
      </c>
      <c r="E44" s="254">
        <f>IFERROR(VLOOKUP($A44,PRICES!$A:$CN,70,FALSE),"")</f>
        <v>216.09875833062887</v>
      </c>
      <c r="F44" s="254">
        <f>IFERROR(VLOOKUP($A44,PRICES!$A:$CN,71,FALSE),"")</f>
        <v>97.948202546327153</v>
      </c>
      <c r="G44" s="254">
        <f>IFERROR(VLOOKUP($A44,PRICES!$A:$CN,72,FALSE),"")</f>
        <v>126.71733541393121</v>
      </c>
      <c r="H44" s="254">
        <f>IFERROR(VLOOKUP($A44,'Further adjustment'!$A:$Q,7,FALSE),"")</f>
        <v>109353</v>
      </c>
      <c r="I44" s="254">
        <f>IFERROR(VLOOKUP($A44,'Further adjustment'!$A:$Q,6,FALSE),"")</f>
        <v>2862</v>
      </c>
      <c r="J44" s="254">
        <f>IFERROR(VLOOKUP($A44,'Further adjustment'!$A:$Q,9,FALSE),"")</f>
        <v>353384</v>
      </c>
      <c r="K44" s="254">
        <f>IFERROR(VLOOKUP($A44,'Further adjustment'!$A:$Q,8,FALSE),"")</f>
        <v>8880</v>
      </c>
      <c r="L44" s="140"/>
      <c r="M44" s="140"/>
      <c r="N44" s="140"/>
      <c r="O44" s="140"/>
      <c r="P44" s="140"/>
      <c r="Q44" s="140"/>
      <c r="R44" s="140"/>
      <c r="S44" s="140"/>
    </row>
    <row r="45" spans="1:19">
      <c r="A45" s="140">
        <f>Mandatory!A42</f>
        <v>303</v>
      </c>
      <c r="B45" s="140"/>
      <c r="C45" s="140"/>
      <c r="D45" s="254">
        <f>IFERROR(VLOOKUP($A45,PRICES!$A:$CN,69,FALSE),"")</f>
        <v>255.70399934938632</v>
      </c>
      <c r="E45" s="254">
        <f>IFERROR(VLOOKUP($A45,PRICES!$A:$CN,70,FALSE),"")</f>
        <v>419.00484544679773</v>
      </c>
      <c r="F45" s="254">
        <f>IFERROR(VLOOKUP($A45,PRICES!$A:$CN,71,FALSE),"")</f>
        <v>115.47132521261173</v>
      </c>
      <c r="G45" s="254">
        <f>IFERROR(VLOOKUP($A45,PRICES!$A:$CN,72,FALSE),"")</f>
        <v>199.99782233315855</v>
      </c>
      <c r="H45" s="254">
        <f>IFERROR(VLOOKUP($A45,'Further adjustment'!$A:$Q,7,FALSE),"")</f>
        <v>169691</v>
      </c>
      <c r="I45" s="254">
        <f>IFERROR(VLOOKUP($A45,'Further adjustment'!$A:$Q,6,FALSE),"")</f>
        <v>4882</v>
      </c>
      <c r="J45" s="254">
        <f>IFERROR(VLOOKUP($A45,'Further adjustment'!$A:$Q,9,FALSE),"")</f>
        <v>1074499</v>
      </c>
      <c r="K45" s="254">
        <f>IFERROR(VLOOKUP($A45,'Further adjustment'!$A:$Q,8,FALSE),"")</f>
        <v>43124</v>
      </c>
      <c r="L45" s="140"/>
      <c r="M45" s="140"/>
      <c r="N45" s="140"/>
      <c r="O45" s="140"/>
      <c r="P45" s="140"/>
      <c r="Q45" s="140"/>
      <c r="R45" s="140"/>
      <c r="S45" s="140"/>
    </row>
    <row r="46" spans="1:19">
      <c r="A46" s="140">
        <f>Mandatory!A43</f>
        <v>306</v>
      </c>
      <c r="B46" s="140"/>
      <c r="C46" s="140"/>
      <c r="D46" s="254">
        <f>IFERROR(VLOOKUP($A46,PRICES!$A:$CN,69,FALSE),"")</f>
        <v>232.82266997256258</v>
      </c>
      <c r="E46" s="254">
        <f>IFERROR(VLOOKUP($A46,PRICES!$A:$CN,70,FALSE),"")</f>
        <v>361.59786018281727</v>
      </c>
      <c r="F46" s="254">
        <f>IFERROR(VLOOKUP($A46,PRICES!$A:$CN,71,FALSE),"")</f>
        <v>128.73385927314317</v>
      </c>
      <c r="G46" s="254">
        <f>IFERROR(VLOOKUP($A46,PRICES!$A:$CN,72,FALSE),"")</f>
        <v>172.62365206578784</v>
      </c>
      <c r="H46" s="254">
        <f>IFERROR(VLOOKUP($A46,'Further adjustment'!$A:$Q,7,FALSE),"")</f>
        <v>31501</v>
      </c>
      <c r="I46" s="254">
        <f>IFERROR(VLOOKUP($A46,'Further adjustment'!$A:$Q,6,FALSE),"")</f>
        <v>2609</v>
      </c>
      <c r="J46" s="254">
        <f>IFERROR(VLOOKUP($A46,'Further adjustment'!$A:$Q,9,FALSE),"")</f>
        <v>130053</v>
      </c>
      <c r="K46" s="254">
        <f>IFERROR(VLOOKUP($A46,'Further adjustment'!$A:$Q,8,FALSE),"")</f>
        <v>14735</v>
      </c>
      <c r="L46" s="140"/>
      <c r="M46" s="140"/>
      <c r="N46" s="140"/>
      <c r="O46" s="140"/>
      <c r="P46" s="140"/>
      <c r="Q46" s="140"/>
      <c r="R46" s="140"/>
      <c r="S46" s="140"/>
    </row>
    <row r="47" spans="1:19">
      <c r="A47" s="140">
        <f>Mandatory!A44</f>
        <v>307</v>
      </c>
      <c r="B47" s="140"/>
      <c r="C47" s="140"/>
      <c r="D47" s="254">
        <f>IFERROR(VLOOKUP($A47,PRICES!$A:$CN,69,FALSE),"")</f>
        <v>194.87042806595824</v>
      </c>
      <c r="E47" s="254">
        <f>IFERROR(VLOOKUP($A47,PRICES!$A:$CN,70,FALSE),"")</f>
        <v>245.82353356132933</v>
      </c>
      <c r="F47" s="254">
        <f>IFERROR(VLOOKUP($A47,PRICES!$A:$CN,71,FALSE),"")</f>
        <v>93.957238182218504</v>
      </c>
      <c r="G47" s="254">
        <f>IFERROR(VLOOKUP($A47,PRICES!$A:$CN,72,FALSE),"")</f>
        <v>110.89756987745422</v>
      </c>
      <c r="H47" s="254">
        <f>IFERROR(VLOOKUP($A47,'Further adjustment'!$A:$Q,7,FALSE),"")</f>
        <v>107398</v>
      </c>
      <c r="I47" s="254">
        <f>IFERROR(VLOOKUP($A47,'Further adjustment'!$A:$Q,6,FALSE),"")</f>
        <v>11057</v>
      </c>
      <c r="J47" s="254">
        <f>IFERROR(VLOOKUP($A47,'Further adjustment'!$A:$Q,9,FALSE),"")</f>
        <v>552027</v>
      </c>
      <c r="K47" s="254">
        <f>IFERROR(VLOOKUP($A47,'Further adjustment'!$A:$Q,8,FALSE),"")</f>
        <v>63227</v>
      </c>
      <c r="L47" s="140"/>
      <c r="M47" s="140"/>
      <c r="N47" s="140"/>
      <c r="O47" s="140"/>
      <c r="P47" s="140"/>
      <c r="Q47" s="140"/>
      <c r="R47" s="140"/>
      <c r="S47" s="140"/>
    </row>
    <row r="48" spans="1:19">
      <c r="A48" s="140">
        <f>Mandatory!A45</f>
        <v>320</v>
      </c>
      <c r="B48" s="140"/>
      <c r="C48" s="140"/>
      <c r="D48" s="254">
        <f>IFERROR(VLOOKUP($A48,PRICES!$A:$CN,69,FALSE),"")</f>
        <v>145.52626008117355</v>
      </c>
      <c r="E48" s="254">
        <f>IFERROR(VLOOKUP($A48,PRICES!$A:$CN,70,FALSE),"")</f>
        <v>216.38284339831881</v>
      </c>
      <c r="F48" s="254">
        <f>IFERROR(VLOOKUP($A48,PRICES!$A:$CN,71,FALSE),"")</f>
        <v>91.644354542475895</v>
      </c>
      <c r="G48" s="254">
        <f>IFERROR(VLOOKUP($A48,PRICES!$A:$CN,72,FALSE),"")</f>
        <v>125.1551306784786</v>
      </c>
      <c r="H48" s="254">
        <f>IFERROR(VLOOKUP($A48,'Further adjustment'!$A:$Q,7,FALSE),"")</f>
        <v>733196</v>
      </c>
      <c r="I48" s="254">
        <f>IFERROR(VLOOKUP($A48,'Further adjustment'!$A:$Q,6,FALSE),"")</f>
        <v>15319</v>
      </c>
      <c r="J48" s="254">
        <f>IFERROR(VLOOKUP($A48,'Further adjustment'!$A:$Q,9,FALSE),"")</f>
        <v>1064036</v>
      </c>
      <c r="K48" s="254">
        <f>IFERROR(VLOOKUP($A48,'Further adjustment'!$A:$Q,8,FALSE),"")</f>
        <v>33868</v>
      </c>
      <c r="L48" s="140"/>
      <c r="M48" s="140"/>
      <c r="N48" s="140"/>
      <c r="O48" s="140"/>
      <c r="P48" s="140"/>
      <c r="Q48" s="140"/>
      <c r="R48" s="140"/>
      <c r="S48" s="140"/>
    </row>
    <row r="49" spans="1:19">
      <c r="A49" s="140">
        <f>Mandatory!A46</f>
        <v>321</v>
      </c>
      <c r="B49" s="140"/>
      <c r="C49" s="140"/>
      <c r="D49" s="254">
        <f>IFERROR(VLOOKUP($A49,PRICES!$A:$CN,69,FALSE),"")</f>
        <v>217.12575290445835</v>
      </c>
      <c r="E49" s="254">
        <f>IFERROR(VLOOKUP($A49,PRICES!$A:$CN,70,FALSE),"")</f>
        <v>217.12575290445835</v>
      </c>
      <c r="F49" s="254">
        <f>IFERROR(VLOOKUP($A49,PRICES!$A:$CN,71,FALSE),"")</f>
        <v>118.66676524791544</v>
      </c>
      <c r="G49" s="254">
        <f>IFERROR(VLOOKUP($A49,PRICES!$A:$CN,72,FALSE),"")</f>
        <v>154.99543363066013</v>
      </c>
      <c r="H49" s="254">
        <f>IFERROR(VLOOKUP($A49,'Further adjustment'!$A:$Q,7,FALSE),"")</f>
        <v>29219</v>
      </c>
      <c r="I49" s="254">
        <f>IFERROR(VLOOKUP($A49,'Further adjustment'!$A:$Q,6,FALSE),"")</f>
        <v>1564</v>
      </c>
      <c r="J49" s="254">
        <f>IFERROR(VLOOKUP($A49,'Further adjustment'!$A:$Q,9,FALSE),"")</f>
        <v>77767</v>
      </c>
      <c r="K49" s="254">
        <f>IFERROR(VLOOKUP($A49,'Further adjustment'!$A:$Q,8,FALSE),"")</f>
        <v>3558</v>
      </c>
      <c r="L49" s="140"/>
      <c r="M49" s="140"/>
      <c r="N49" s="140"/>
      <c r="O49" s="140"/>
      <c r="P49" s="140"/>
      <c r="Q49" s="140"/>
      <c r="R49" s="140"/>
      <c r="S49" s="140"/>
    </row>
    <row r="50" spans="1:19">
      <c r="A50" s="140">
        <f>Mandatory!A47</f>
        <v>329</v>
      </c>
      <c r="B50" s="140"/>
      <c r="C50" s="140"/>
      <c r="D50" s="254">
        <f>IFERROR(VLOOKUP($A50,PRICES!$A:$CN,69,FALSE),"")</f>
        <v>167.62071693040625</v>
      </c>
      <c r="E50" s="254">
        <f>IFERROR(VLOOKUP($A50,PRICES!$A:$CN,70,FALSE),"")</f>
        <v>204.35456111872625</v>
      </c>
      <c r="F50" s="254">
        <f>IFERROR(VLOOKUP($A50,PRICES!$A:$CN,71,FALSE),"")</f>
        <v>90.100201151558053</v>
      </c>
      <c r="G50" s="254">
        <f>IFERROR(VLOOKUP($A50,PRICES!$A:$CN,72,FALSE),"")</f>
        <v>105.91930627242296</v>
      </c>
      <c r="H50" s="254">
        <f>IFERROR(VLOOKUP($A50,'Further adjustment'!$A:$Q,7,FALSE),"")</f>
        <v>31858</v>
      </c>
      <c r="I50" s="254">
        <f>IFERROR(VLOOKUP($A50,'Further adjustment'!$A:$Q,6,FALSE),"")</f>
        <v>2855</v>
      </c>
      <c r="J50" s="254">
        <f>IFERROR(VLOOKUP($A50,'Further adjustment'!$A:$Q,9,FALSE),"")</f>
        <v>10818</v>
      </c>
      <c r="K50" s="254">
        <f>IFERROR(VLOOKUP($A50,'Further adjustment'!$A:$Q,8,FALSE),"")</f>
        <v>116</v>
      </c>
      <c r="L50" s="140"/>
      <c r="M50" s="140"/>
      <c r="N50" s="140"/>
      <c r="O50" s="140"/>
      <c r="P50" s="140"/>
      <c r="Q50" s="140"/>
      <c r="R50" s="140"/>
      <c r="S50" s="140"/>
    </row>
    <row r="51" spans="1:19">
      <c r="A51" s="140">
        <f>Mandatory!A48</f>
        <v>330</v>
      </c>
      <c r="B51" s="140"/>
      <c r="C51" s="140"/>
      <c r="D51" s="254">
        <f>IFERROR(VLOOKUP($A51,PRICES!$A:$CN,69,FALSE),"")</f>
        <v>105.24520820450327</v>
      </c>
      <c r="E51" s="254">
        <f>IFERROR(VLOOKUP($A51,PRICES!$A:$CN,70,FALSE),"")</f>
        <v>125.69109284131483</v>
      </c>
      <c r="F51" s="254">
        <f>IFERROR(VLOOKUP($A51,PRICES!$A:$CN,71,FALSE),"")</f>
        <v>71.370032020810484</v>
      </c>
      <c r="G51" s="254">
        <f>IFERROR(VLOOKUP($A51,PRICES!$A:$CN,72,FALSE),"")</f>
        <v>83.42389918767762</v>
      </c>
      <c r="H51" s="254">
        <f>IFERROR(VLOOKUP($A51,'Further adjustment'!$A:$Q,7,FALSE),"")</f>
        <v>712861</v>
      </c>
      <c r="I51" s="254">
        <f>IFERROR(VLOOKUP($A51,'Further adjustment'!$A:$Q,6,FALSE),"")</f>
        <v>8011</v>
      </c>
      <c r="J51" s="254">
        <f>IFERROR(VLOOKUP($A51,'Further adjustment'!$A:$Q,9,FALSE),"")</f>
        <v>1324331</v>
      </c>
      <c r="K51" s="254">
        <f>IFERROR(VLOOKUP($A51,'Further adjustment'!$A:$Q,8,FALSE),"")</f>
        <v>17182</v>
      </c>
      <c r="L51" s="140"/>
      <c r="M51" s="140"/>
      <c r="N51" s="140"/>
      <c r="O51" s="140"/>
      <c r="P51" s="140"/>
      <c r="Q51" s="140"/>
      <c r="R51" s="140"/>
      <c r="S51" s="140"/>
    </row>
    <row r="52" spans="1:19">
      <c r="A52" s="140">
        <f>Mandatory!A49</f>
        <v>340</v>
      </c>
      <c r="B52" s="140"/>
      <c r="C52" s="140"/>
      <c r="D52" s="254">
        <f>IFERROR(VLOOKUP($A52,PRICES!$A:$CN,69,FALSE),"")</f>
        <v>176.89021521737206</v>
      </c>
      <c r="E52" s="254">
        <f>IFERROR(VLOOKUP($A52,PRICES!$A:$CN,70,FALSE),"")</f>
        <v>234.81538206121036</v>
      </c>
      <c r="F52" s="254">
        <f>IFERROR(VLOOKUP($A52,PRICES!$A:$CN,71,FALSE),"")</f>
        <v>100.57085771103016</v>
      </c>
      <c r="G52" s="254">
        <f>IFERROR(VLOOKUP($A52,PRICES!$A:$CN,72,FALSE),"")</f>
        <v>144.14582207724501</v>
      </c>
      <c r="H52" s="254">
        <f>IFERROR(VLOOKUP($A52,'Further adjustment'!$A:$Q,7,FALSE),"")</f>
        <v>334650</v>
      </c>
      <c r="I52" s="254">
        <f>IFERROR(VLOOKUP($A52,'Further adjustment'!$A:$Q,6,FALSE),"")</f>
        <v>13097</v>
      </c>
      <c r="J52" s="254">
        <f>IFERROR(VLOOKUP($A52,'Further adjustment'!$A:$Q,9,FALSE),"")</f>
        <v>727250</v>
      </c>
      <c r="K52" s="254">
        <f>IFERROR(VLOOKUP($A52,'Further adjustment'!$A:$Q,8,FALSE),"")</f>
        <v>34868</v>
      </c>
      <c r="L52" s="140"/>
      <c r="M52" s="140"/>
      <c r="N52" s="140"/>
      <c r="O52" s="140"/>
      <c r="P52" s="140"/>
      <c r="Q52" s="140"/>
      <c r="R52" s="140"/>
      <c r="S52" s="140"/>
    </row>
    <row r="53" spans="1:19">
      <c r="A53" s="140">
        <f>Mandatory!A50</f>
        <v>341</v>
      </c>
      <c r="B53" s="140"/>
      <c r="C53" s="140"/>
      <c r="D53" s="254">
        <f>IFERROR(VLOOKUP($A53,PRICES!$A:$CN,69,FALSE),"")</f>
        <v>132.80901455491801</v>
      </c>
      <c r="E53" s="254">
        <f>IFERROR(VLOOKUP($A53,PRICES!$A:$CN,70,FALSE),"")</f>
        <v>132.80901455491801</v>
      </c>
      <c r="F53" s="254">
        <f>IFERROR(VLOOKUP($A53,PRICES!$A:$CN,71,FALSE),"")</f>
        <v>106.16038046048436</v>
      </c>
      <c r="G53" s="254">
        <f>IFERROR(VLOOKUP($A53,PRICES!$A:$CN,72,FALSE),"")</f>
        <v>106.16038046048436</v>
      </c>
      <c r="H53" s="254">
        <f>IFERROR(VLOOKUP($A53,'Further adjustment'!$A:$Q,7,FALSE),"")</f>
        <v>28948</v>
      </c>
      <c r="I53" s="254">
        <f>IFERROR(VLOOKUP($A53,'Further adjustment'!$A:$Q,6,FALSE),"")</f>
        <v>256</v>
      </c>
      <c r="J53" s="254">
        <f>IFERROR(VLOOKUP($A53,'Further adjustment'!$A:$Q,9,FALSE),"")</f>
        <v>69514</v>
      </c>
      <c r="K53" s="254">
        <f>IFERROR(VLOOKUP($A53,'Further adjustment'!$A:$Q,8,FALSE),"")</f>
        <v>196</v>
      </c>
      <c r="L53" s="140"/>
      <c r="M53" s="140"/>
      <c r="N53" s="140"/>
      <c r="O53" s="140"/>
      <c r="P53" s="140"/>
      <c r="Q53" s="140"/>
      <c r="R53" s="140"/>
      <c r="S53" s="140"/>
    </row>
    <row r="54" spans="1:19">
      <c r="A54" s="140">
        <f>Mandatory!A51</f>
        <v>350</v>
      </c>
      <c r="B54" s="140"/>
      <c r="C54" s="140"/>
      <c r="D54" s="254">
        <f>IFERROR(VLOOKUP($A54,PRICES!$A:$CN,69,FALSE),"")</f>
        <v>272.46014082417759</v>
      </c>
      <c r="E54" s="254">
        <f>IFERROR(VLOOKUP($A54,PRICES!$A:$CN,70,FALSE),"")</f>
        <v>272.46014082417759</v>
      </c>
      <c r="F54" s="254">
        <f>IFERROR(VLOOKUP($A54,PRICES!$A:$CN,71,FALSE),"")</f>
        <v>167.15701880554462</v>
      </c>
      <c r="G54" s="254">
        <f>IFERROR(VLOOKUP($A54,PRICES!$A:$CN,72,FALSE),"")</f>
        <v>167.15701880554462</v>
      </c>
      <c r="H54" s="254">
        <f>IFERROR(VLOOKUP($A54,'Further adjustment'!$A:$Q,7,FALSE),"")</f>
        <v>20491</v>
      </c>
      <c r="I54" s="254">
        <f>IFERROR(VLOOKUP($A54,'Further adjustment'!$A:$Q,6,FALSE),"")</f>
        <v>1607</v>
      </c>
      <c r="J54" s="254">
        <f>IFERROR(VLOOKUP($A54,'Further adjustment'!$A:$Q,9,FALSE),"")</f>
        <v>70510</v>
      </c>
      <c r="K54" s="254">
        <f>IFERROR(VLOOKUP($A54,'Further adjustment'!$A:$Q,8,FALSE),"")</f>
        <v>4937</v>
      </c>
      <c r="L54" s="140"/>
      <c r="M54" s="140"/>
      <c r="N54" s="140"/>
      <c r="O54" s="140"/>
      <c r="P54" s="140"/>
      <c r="Q54" s="140"/>
      <c r="R54" s="140"/>
      <c r="S54" s="140"/>
    </row>
    <row r="55" spans="1:19">
      <c r="A55" s="140">
        <f>Mandatory!A52</f>
        <v>361</v>
      </c>
      <c r="B55" s="140"/>
      <c r="C55" s="140"/>
      <c r="D55" s="254">
        <f>IFERROR(VLOOKUP($A55,PRICES!$A:$CN,69,FALSE),"")</f>
        <v>229.73237683895294</v>
      </c>
      <c r="E55" s="254">
        <f>IFERROR(VLOOKUP($A55,PRICES!$A:$CN,70,FALSE),"")</f>
        <v>302.68364860939977</v>
      </c>
      <c r="F55" s="254">
        <f>IFERROR(VLOOKUP($A55,PRICES!$A:$CN,71,FALSE),"")</f>
        <v>107.23294081476385</v>
      </c>
      <c r="G55" s="254">
        <f>IFERROR(VLOOKUP($A55,PRICES!$A:$CN,72,FALSE),"")</f>
        <v>144.71891797902319</v>
      </c>
      <c r="H55" s="254">
        <f>IFERROR(VLOOKUP($A55,'Further adjustment'!$A:$Q,7,FALSE),"")</f>
        <v>85441</v>
      </c>
      <c r="I55" s="254">
        <f>IFERROR(VLOOKUP($A55,'Further adjustment'!$A:$Q,6,FALSE),"")</f>
        <v>2826</v>
      </c>
      <c r="J55" s="254">
        <f>IFERROR(VLOOKUP($A55,'Further adjustment'!$A:$Q,9,FALSE),"")</f>
        <v>655290</v>
      </c>
      <c r="K55" s="254">
        <f>IFERROR(VLOOKUP($A55,'Further adjustment'!$A:$Q,8,FALSE),"")</f>
        <v>24412</v>
      </c>
      <c r="L55" s="140"/>
      <c r="M55" s="140"/>
      <c r="N55" s="140"/>
      <c r="O55" s="140"/>
      <c r="P55" s="140"/>
      <c r="Q55" s="140"/>
      <c r="R55" s="140"/>
      <c r="S55" s="140"/>
    </row>
    <row r="56" spans="1:19">
      <c r="A56" s="140">
        <f>Mandatory!A53</f>
        <v>370</v>
      </c>
      <c r="B56" s="140"/>
      <c r="C56" s="140"/>
      <c r="D56" s="254">
        <f>IFERROR(VLOOKUP($A56,PRICES!$A:$CN,69,FALSE),"")</f>
        <v>222.59950340390469</v>
      </c>
      <c r="E56" s="254">
        <f>IFERROR(VLOOKUP($A56,PRICES!$A:$CN,70,FALSE),"")</f>
        <v>260.3998683723259</v>
      </c>
      <c r="F56" s="254">
        <f>IFERROR(VLOOKUP($A56,PRICES!$A:$CN,71,FALSE),"")</f>
        <v>104.6882785818609</v>
      </c>
      <c r="G56" s="254">
        <f>IFERROR(VLOOKUP($A56,PRICES!$A:$CN,72,FALSE),"")</f>
        <v>137.34094755742314</v>
      </c>
      <c r="H56" s="254">
        <f>IFERROR(VLOOKUP($A56,'Further adjustment'!$A:$Q,7,FALSE),"")</f>
        <v>88223</v>
      </c>
      <c r="I56" s="254">
        <f>IFERROR(VLOOKUP($A56,'Further adjustment'!$A:$Q,6,FALSE),"")</f>
        <v>6719</v>
      </c>
      <c r="J56" s="254">
        <f>IFERROR(VLOOKUP($A56,'Further adjustment'!$A:$Q,9,FALSE),"")</f>
        <v>692420</v>
      </c>
      <c r="K56" s="254">
        <f>IFERROR(VLOOKUP($A56,'Further adjustment'!$A:$Q,8,FALSE),"")</f>
        <v>43661</v>
      </c>
      <c r="L56" s="140"/>
      <c r="M56" s="140"/>
      <c r="N56" s="140"/>
      <c r="O56" s="140"/>
      <c r="P56" s="140"/>
      <c r="Q56" s="140"/>
      <c r="R56" s="140"/>
      <c r="S56" s="140"/>
    </row>
    <row r="57" spans="1:19">
      <c r="A57" s="140">
        <f>Mandatory!A54</f>
        <v>400</v>
      </c>
      <c r="B57" s="140"/>
      <c r="C57" s="140"/>
      <c r="D57" s="254">
        <f>IFERROR(VLOOKUP($A57,PRICES!$A:$CN,69,FALSE),"")</f>
        <v>188.77907077191475</v>
      </c>
      <c r="E57" s="254">
        <f>IFERROR(VLOOKUP($A57,PRICES!$A:$CN,70,FALSE),"")</f>
        <v>267.2023457423885</v>
      </c>
      <c r="F57" s="254">
        <f>IFERROR(VLOOKUP($A57,PRICES!$A:$CN,71,FALSE),"")</f>
        <v>115.02339876601268</v>
      </c>
      <c r="G57" s="254">
        <f>IFERROR(VLOOKUP($A57,PRICES!$A:$CN,72,FALSE),"")</f>
        <v>179.53111263009441</v>
      </c>
      <c r="H57" s="254">
        <f>IFERROR(VLOOKUP($A57,'Further adjustment'!$A:$Q,7,FALSE),"")</f>
        <v>421554</v>
      </c>
      <c r="I57" s="254">
        <f>IFERROR(VLOOKUP($A57,'Further adjustment'!$A:$Q,6,FALSE),"")</f>
        <v>3311</v>
      </c>
      <c r="J57" s="254">
        <f>IFERROR(VLOOKUP($A57,'Further adjustment'!$A:$Q,9,FALSE),"")</f>
        <v>631138</v>
      </c>
      <c r="K57" s="254">
        <f>IFERROR(VLOOKUP($A57,'Further adjustment'!$A:$Q,8,FALSE),"")</f>
        <v>7997</v>
      </c>
      <c r="L57" s="140"/>
      <c r="M57" s="140"/>
      <c r="N57" s="140"/>
      <c r="O57" s="140"/>
      <c r="P57" s="140"/>
      <c r="Q57" s="140"/>
      <c r="R57" s="140"/>
      <c r="S57" s="140"/>
    </row>
    <row r="58" spans="1:19">
      <c r="A58" s="140">
        <f>Mandatory!A55</f>
        <v>410</v>
      </c>
      <c r="B58" s="140"/>
      <c r="C58" s="140"/>
      <c r="D58" s="254">
        <f>IFERROR(VLOOKUP($A58,PRICES!$A:$CN,69,FALSE),"")</f>
        <v>192.08504325630952</v>
      </c>
      <c r="E58" s="254">
        <f>IFERROR(VLOOKUP($A58,PRICES!$A:$CN,70,FALSE),"")</f>
        <v>199.54884532679918</v>
      </c>
      <c r="F58" s="254">
        <f>IFERROR(VLOOKUP($A58,PRICES!$A:$CN,71,FALSE),"")</f>
        <v>94.828495887058764</v>
      </c>
      <c r="G58" s="254">
        <f>IFERROR(VLOOKUP($A58,PRICES!$A:$CN,72,FALSE),"")</f>
        <v>102.93491456631732</v>
      </c>
      <c r="H58" s="254">
        <f>IFERROR(VLOOKUP($A58,'Further adjustment'!$A:$Q,7,FALSE),"")</f>
        <v>368674</v>
      </c>
      <c r="I58" s="254">
        <f>IFERROR(VLOOKUP($A58,'Further adjustment'!$A:$Q,6,FALSE),"")</f>
        <v>3223</v>
      </c>
      <c r="J58" s="254">
        <f>IFERROR(VLOOKUP($A58,'Further adjustment'!$A:$Q,9,FALSE),"")</f>
        <v>1294230</v>
      </c>
      <c r="K58" s="254">
        <f>IFERROR(VLOOKUP($A58,'Further adjustment'!$A:$Q,8,FALSE),"")</f>
        <v>7540</v>
      </c>
      <c r="L58" s="140"/>
      <c r="M58" s="140"/>
      <c r="N58" s="140"/>
      <c r="O58" s="140"/>
      <c r="P58" s="140"/>
      <c r="Q58" s="140"/>
      <c r="R58" s="140"/>
      <c r="S58" s="140"/>
    </row>
    <row r="59" spans="1:19">
      <c r="A59" s="140">
        <f>Mandatory!A56</f>
        <v>420</v>
      </c>
      <c r="B59" s="140"/>
      <c r="C59" s="140"/>
      <c r="D59" s="254">
        <f>IFERROR(VLOOKUP($A59,PRICES!$A:$CN,69,FALSE),"")</f>
        <v>215.7319727076578</v>
      </c>
      <c r="E59" s="254">
        <f>IFERROR(VLOOKUP($A59,PRICES!$A:$CN,70,FALSE),"")</f>
        <v>259.74382388091158</v>
      </c>
      <c r="F59" s="254">
        <f>IFERROR(VLOOKUP($A59,PRICES!$A:$CN,71,FALSE),"")</f>
        <v>131.77131952331911</v>
      </c>
      <c r="G59" s="254">
        <f>IFERROR(VLOOKUP($A59,PRICES!$A:$CN,72,FALSE),"")</f>
        <v>150.83140715451509</v>
      </c>
      <c r="H59" s="254">
        <f>IFERROR(VLOOKUP($A59,'Further adjustment'!$A:$Q,7,FALSE),"")</f>
        <v>577402</v>
      </c>
      <c r="I59" s="254">
        <f>IFERROR(VLOOKUP($A59,'Further adjustment'!$A:$Q,6,FALSE),"")</f>
        <v>9164</v>
      </c>
      <c r="J59" s="254">
        <f>IFERROR(VLOOKUP($A59,'Further adjustment'!$A:$Q,9,FALSE),"")</f>
        <v>793601</v>
      </c>
      <c r="K59" s="254">
        <f>IFERROR(VLOOKUP($A59,'Further adjustment'!$A:$Q,8,FALSE),"")</f>
        <v>23065</v>
      </c>
      <c r="L59" s="140"/>
      <c r="M59" s="140"/>
      <c r="N59" s="140"/>
      <c r="O59" s="140"/>
      <c r="P59" s="140"/>
      <c r="Q59" s="140"/>
      <c r="R59" s="140"/>
      <c r="S59" s="140"/>
    </row>
    <row r="60" spans="1:19">
      <c r="A60" s="140">
        <f>Mandatory!A57</f>
        <v>421</v>
      </c>
      <c r="B60" s="140"/>
      <c r="C60" s="140"/>
      <c r="D60" s="254">
        <f>IFERROR(VLOOKUP($A60,PRICES!$A:$CN,69,FALSE),"")</f>
        <v>319.87968604816973</v>
      </c>
      <c r="E60" s="254">
        <f>IFERROR(VLOOKUP($A60,PRICES!$A:$CN,70,FALSE),"")</f>
        <v>397.59494455032853</v>
      </c>
      <c r="F60" s="254">
        <f>IFERROR(VLOOKUP($A60,PRICES!$A:$CN,71,FALSE),"")</f>
        <v>204.64979740721756</v>
      </c>
      <c r="G60" s="254">
        <f>IFERROR(VLOOKUP($A60,PRICES!$A:$CN,72,FALSE),"")</f>
        <v>211.52877855231463</v>
      </c>
      <c r="H60" s="254">
        <f>IFERROR(VLOOKUP($A60,'Further adjustment'!$A:$Q,7,FALSE),"")</f>
        <v>17172</v>
      </c>
      <c r="I60" s="254">
        <f>IFERROR(VLOOKUP($A60,'Further adjustment'!$A:$Q,6,FALSE),"")</f>
        <v>1234</v>
      </c>
      <c r="J60" s="254">
        <f>IFERROR(VLOOKUP($A60,'Further adjustment'!$A:$Q,9,FALSE),"")</f>
        <v>35815</v>
      </c>
      <c r="K60" s="254">
        <f>IFERROR(VLOOKUP($A60,'Further adjustment'!$A:$Q,8,FALSE),"")</f>
        <v>3526</v>
      </c>
      <c r="L60" s="140"/>
      <c r="M60" s="140"/>
      <c r="N60" s="140"/>
      <c r="O60" s="140"/>
      <c r="P60" s="140"/>
      <c r="Q60" s="140"/>
      <c r="R60" s="140"/>
      <c r="S60" s="140"/>
    </row>
    <row r="61" spans="1:19">
      <c r="A61" s="140">
        <f>Mandatory!A58</f>
        <v>430</v>
      </c>
      <c r="B61" s="140"/>
      <c r="C61" s="140"/>
      <c r="D61" s="254">
        <f>IFERROR(VLOOKUP($A61,PRICES!$A:$CN,69,FALSE),"")</f>
        <v>228.8797123863657</v>
      </c>
      <c r="E61" s="254">
        <f>IFERROR(VLOOKUP($A61,PRICES!$A:$CN,70,FALSE),"")</f>
        <v>228.8797123863657</v>
      </c>
      <c r="F61" s="254">
        <f>IFERROR(VLOOKUP($A61,PRICES!$A:$CN,71,FALSE),"")</f>
        <v>133.50140740454171</v>
      </c>
      <c r="G61" s="254">
        <f>IFERROR(VLOOKUP($A61,PRICES!$A:$CN,72,FALSE),"")</f>
        <v>133.50140740454171</v>
      </c>
      <c r="H61" s="254">
        <f>IFERROR(VLOOKUP($A61,'Further adjustment'!$A:$Q,7,FALSE),"")</f>
        <v>167266</v>
      </c>
      <c r="I61" s="254">
        <f>IFERROR(VLOOKUP($A61,'Further adjustment'!$A:$Q,6,FALSE),"")</f>
        <v>4259</v>
      </c>
      <c r="J61" s="254">
        <f>IFERROR(VLOOKUP($A61,'Further adjustment'!$A:$Q,9,FALSE),"")</f>
        <v>236482</v>
      </c>
      <c r="K61" s="254">
        <f>IFERROR(VLOOKUP($A61,'Further adjustment'!$A:$Q,8,FALSE),"")</f>
        <v>4383</v>
      </c>
      <c r="L61" s="140"/>
      <c r="M61" s="140"/>
      <c r="N61" s="140"/>
      <c r="O61" s="140"/>
      <c r="P61" s="140"/>
      <c r="Q61" s="140"/>
      <c r="R61" s="140"/>
      <c r="S61" s="140"/>
    </row>
    <row r="62" spans="1:19">
      <c r="A62" s="140">
        <f>Mandatory!A59</f>
        <v>502</v>
      </c>
      <c r="B62" s="140"/>
      <c r="C62" s="140"/>
      <c r="D62" s="254">
        <f>IFERROR(VLOOKUP($A62,PRICES!$A:$CN,69,FALSE),"")</f>
        <v>135.30079569920184</v>
      </c>
      <c r="E62" s="254">
        <f>IFERROR(VLOOKUP($A62,PRICES!$A:$CN,70,FALSE),"")</f>
        <v>154.27186285603122</v>
      </c>
      <c r="F62" s="254">
        <f>IFERROR(VLOOKUP($A62,PRICES!$A:$CN,71,FALSE),"")</f>
        <v>88.902552296199758</v>
      </c>
      <c r="G62" s="254">
        <f>IFERROR(VLOOKUP($A62,PRICES!$A:$CN,72,FALSE),"")</f>
        <v>120.19183871010053</v>
      </c>
      <c r="H62" s="254">
        <f>IFERROR(VLOOKUP($A62,'Further adjustment'!$A:$Q,7,FALSE),"")</f>
        <v>855866</v>
      </c>
      <c r="I62" s="254">
        <f>IFERROR(VLOOKUP($A62,'Further adjustment'!$A:$Q,6,FALSE),"")</f>
        <v>37410</v>
      </c>
      <c r="J62" s="254">
        <f>IFERROR(VLOOKUP($A62,'Further adjustment'!$A:$Q,9,FALSE),"")</f>
        <v>1033736</v>
      </c>
      <c r="K62" s="254">
        <f>IFERROR(VLOOKUP($A62,'Further adjustment'!$A:$Q,8,FALSE),"")</f>
        <v>34062</v>
      </c>
      <c r="L62" s="140"/>
      <c r="M62" s="140"/>
      <c r="N62" s="140"/>
      <c r="O62" s="140"/>
      <c r="P62" s="140"/>
      <c r="Q62" s="140"/>
      <c r="R62" s="140"/>
      <c r="S62" s="140"/>
    </row>
    <row r="63" spans="1:19">
      <c r="A63" s="140">
        <f>Mandatory!A60</f>
        <v>503</v>
      </c>
      <c r="B63" s="140"/>
      <c r="C63" s="140"/>
      <c r="D63" s="254">
        <f>IFERROR(VLOOKUP($A63,PRICES!$A:$CN,69,FALSE),"")</f>
        <v>147.62960537407812</v>
      </c>
      <c r="E63" s="254">
        <f>IFERROR(VLOOKUP($A63,PRICES!$A:$CN,70,FALSE),"")</f>
        <v>238.88499996765822</v>
      </c>
      <c r="F63" s="254">
        <f>IFERROR(VLOOKUP($A63,PRICES!$A:$CN,71,FALSE),"")</f>
        <v>90.426441243025124</v>
      </c>
      <c r="G63" s="254">
        <f>IFERROR(VLOOKUP($A63,PRICES!$A:$CN,72,FALSE),"")</f>
        <v>157.51136264964018</v>
      </c>
      <c r="H63" s="254">
        <f>IFERROR(VLOOKUP($A63,'Further adjustment'!$A:$Q,7,FALSE),"")</f>
        <v>32362</v>
      </c>
      <c r="I63" s="254">
        <f>IFERROR(VLOOKUP($A63,'Further adjustment'!$A:$Q,6,FALSE),"")</f>
        <v>1878</v>
      </c>
      <c r="J63" s="254">
        <f>IFERROR(VLOOKUP($A63,'Further adjustment'!$A:$Q,9,FALSE),"")</f>
        <v>65241</v>
      </c>
      <c r="K63" s="254">
        <f>IFERROR(VLOOKUP($A63,'Further adjustment'!$A:$Q,8,FALSE),"")</f>
        <v>6496</v>
      </c>
      <c r="L63" s="140"/>
      <c r="M63" s="140"/>
      <c r="N63" s="140"/>
      <c r="O63" s="140"/>
      <c r="P63" s="140"/>
      <c r="Q63" s="140"/>
      <c r="R63" s="140"/>
      <c r="S63" s="140"/>
    </row>
    <row r="64" spans="1:19">
      <c r="A64" s="140">
        <f>Mandatory!A61</f>
        <v>800</v>
      </c>
      <c r="B64" s="140"/>
      <c r="C64" s="140"/>
      <c r="D64" s="254">
        <f>IFERROR(VLOOKUP($A64,PRICES!$A:$CN,69,FALSE),"")</f>
        <v>201.70076893134805</v>
      </c>
      <c r="E64" s="254">
        <f>IFERROR(VLOOKUP($A64,PRICES!$A:$CN,70,FALSE),"")</f>
        <v>218.88060230791385</v>
      </c>
      <c r="F64" s="254">
        <f>IFERROR(VLOOKUP($A64,PRICES!$A:$CN,71,FALSE),"")</f>
        <v>93.669844455404885</v>
      </c>
      <c r="G64" s="254">
        <f>IFERROR(VLOOKUP($A64,PRICES!$A:$CN,72,FALSE),"")</f>
        <v>117.73271054762449</v>
      </c>
      <c r="H64" s="254">
        <f>IFERROR(VLOOKUP($A64,'Further adjustment'!$A:$Q,7,FALSE),"")</f>
        <v>156343</v>
      </c>
      <c r="I64" s="254">
        <f>IFERROR(VLOOKUP($A64,'Further adjustment'!$A:$Q,6,FALSE),"")</f>
        <v>13120</v>
      </c>
      <c r="J64" s="254">
        <f>IFERROR(VLOOKUP($A64,'Further adjustment'!$A:$Q,9,FALSE),"")</f>
        <v>983690</v>
      </c>
      <c r="K64" s="254">
        <f>IFERROR(VLOOKUP($A64,'Further adjustment'!$A:$Q,8,FALSE),"")</f>
        <v>67882</v>
      </c>
      <c r="L64" s="140"/>
      <c r="M64" s="140"/>
      <c r="N64" s="140"/>
      <c r="O64" s="140"/>
      <c r="P64" s="140"/>
      <c r="Q64" s="140"/>
      <c r="R64" s="140"/>
      <c r="S64" s="140"/>
    </row>
    <row r="65" spans="1:19">
      <c r="A65" s="140">
        <f>Mandatory!A62</f>
        <v>812</v>
      </c>
      <c r="B65" s="140"/>
      <c r="C65" s="140"/>
      <c r="D65" s="254">
        <f>IFERROR(VLOOKUP($A65,PRICES!$A:$CN,69,FALSE),"")</f>
        <v>0</v>
      </c>
      <c r="E65" s="254">
        <f>IFERROR(VLOOKUP($A65,PRICES!$A:$CN,70,FALSE),"")</f>
        <v>0</v>
      </c>
      <c r="F65" s="254">
        <f>IFERROR(VLOOKUP($A65,PRICES!$A:$CN,71,FALSE),"")</f>
        <v>0</v>
      </c>
      <c r="G65" s="254">
        <f>IFERROR(VLOOKUP($A65,PRICES!$A:$CN,72,FALSE),"")</f>
        <v>0</v>
      </c>
      <c r="H65" s="254">
        <f>IFERROR(VLOOKUP($A65,'Further adjustment'!$A:$Q,7,FALSE),"")</f>
        <v>175243</v>
      </c>
      <c r="I65" s="254">
        <f>IFERROR(VLOOKUP($A65,'Further adjustment'!$A:$Q,6,FALSE),"")</f>
        <v>178</v>
      </c>
      <c r="J65" s="254">
        <f>IFERROR(VLOOKUP($A65,'Further adjustment'!$A:$Q,9,FALSE),"")</f>
        <v>43383</v>
      </c>
      <c r="K65" s="254">
        <f>IFERROR(VLOOKUP($A65,'Further adjustment'!$A:$Q,8,FALSE),"")</f>
        <v>1</v>
      </c>
      <c r="L65" s="140"/>
      <c r="M65" s="140"/>
      <c r="N65" s="140"/>
      <c r="O65" s="140"/>
      <c r="P65" s="140"/>
      <c r="Q65" s="140"/>
      <c r="R65" s="140"/>
      <c r="S65" s="140"/>
    </row>
  </sheetData>
  <mergeCells count="4">
    <mergeCell ref="L4:O4"/>
    <mergeCell ref="D4:G4"/>
    <mergeCell ref="H4:K4"/>
    <mergeCell ref="P4:S4"/>
  </mergeCells>
  <hyperlinks>
    <hyperlink ref="A3"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sheetPr>
  <dimension ref="A1:CT73"/>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ColWidth="9.140625" defaultRowHeight="12.75"/>
  <cols>
    <col min="1" max="1" width="9.140625" style="128"/>
    <col min="2" max="2" width="42.28515625" style="128" customWidth="1"/>
    <col min="3" max="6" width="9.140625" style="128" customWidth="1"/>
    <col min="7" max="7" width="0.85546875" style="128" customWidth="1"/>
    <col min="8" max="11" width="9.140625" style="128" customWidth="1"/>
    <col min="12" max="15" width="9.140625" style="128"/>
    <col min="16" max="16" width="0.85546875" style="128" customWidth="1"/>
    <col min="17" max="20" width="9.140625" style="128" customWidth="1"/>
    <col min="21" max="21" width="9.7109375" style="128" bestFit="1" customWidth="1"/>
    <col min="22" max="24" width="9.140625" style="128"/>
    <col min="25" max="25" width="0.85546875" style="128" customWidth="1"/>
    <col min="26" max="33" width="9.140625" style="128"/>
    <col min="34" max="34" width="0.85546875" style="128" customWidth="1"/>
    <col min="35" max="35" width="12" style="128" bestFit="1" customWidth="1"/>
    <col min="36" max="36" width="12" style="128" customWidth="1"/>
    <col min="37" max="37" width="12" style="128" bestFit="1" customWidth="1"/>
    <col min="38" max="44" width="9.140625" style="128"/>
    <col min="45" max="49" width="9.42578125" style="128" customWidth="1"/>
    <col min="50" max="50" width="0.85546875" style="128" customWidth="1"/>
    <col min="51" max="54" width="13.42578125" style="128" customWidth="1"/>
    <col min="55" max="55" width="16" style="128" bestFit="1" customWidth="1"/>
    <col min="56" max="57" width="9.140625" style="128"/>
    <col min="58" max="58" width="10.28515625" style="128" bestFit="1" customWidth="1"/>
    <col min="59" max="59" width="11.140625" style="128" customWidth="1"/>
    <col min="60" max="60" width="10.28515625" style="128" customWidth="1"/>
    <col min="61" max="61" width="12.42578125" style="128" customWidth="1"/>
    <col min="62" max="66" width="10.28515625" style="128" customWidth="1"/>
    <col min="67" max="67" width="0.85546875" style="128" customWidth="1"/>
    <col min="68" max="72" width="10.28515625" style="128" customWidth="1"/>
    <col min="73" max="73" width="0.85546875" style="128" customWidth="1"/>
    <col min="74" max="74" width="18.42578125" style="128" customWidth="1"/>
    <col min="75" max="75" width="18.28515625" style="128" customWidth="1"/>
    <col min="76" max="78" width="10.28515625" style="128" customWidth="1"/>
    <col min="79" max="79" width="15.85546875" style="128" customWidth="1"/>
    <col min="80" max="80" width="10.42578125" style="128" customWidth="1"/>
    <col min="81" max="87" width="10.28515625" style="128" customWidth="1"/>
    <col min="88" max="88" width="0.85546875" style="128" customWidth="1"/>
    <col min="89" max="89" width="10.42578125" style="128" customWidth="1"/>
    <col min="90" max="92" width="10.28515625" style="128" customWidth="1"/>
    <col min="93" max="93" width="10.42578125" style="128" customWidth="1"/>
    <col min="94" max="94" width="0.85546875" style="128" customWidth="1"/>
    <col min="95" max="98" width="10.28515625" style="128" customWidth="1"/>
    <col min="99" max="16384" width="9.140625" style="128"/>
  </cols>
  <sheetData>
    <row r="1" spans="1:98" ht="13.5" thickBot="1">
      <c r="A1" s="128">
        <v>1</v>
      </c>
      <c r="B1" s="337" t="s">
        <v>528</v>
      </c>
      <c r="C1" s="149"/>
      <c r="D1" s="149"/>
      <c r="E1" s="149">
        <v>5</v>
      </c>
      <c r="F1" s="149">
        <v>6</v>
      </c>
      <c r="G1" s="149">
        <v>7</v>
      </c>
      <c r="H1" s="149">
        <v>8</v>
      </c>
      <c r="I1" s="149">
        <v>9</v>
      </c>
      <c r="J1" s="149">
        <v>10</v>
      </c>
      <c r="K1" s="149">
        <v>11</v>
      </c>
      <c r="L1" s="149">
        <v>12</v>
      </c>
      <c r="M1" s="149">
        <v>13</v>
      </c>
      <c r="N1" s="149">
        <v>14</v>
      </c>
      <c r="O1" s="149">
        <v>15</v>
      </c>
      <c r="P1" s="149">
        <v>16</v>
      </c>
      <c r="Q1" s="149">
        <v>17</v>
      </c>
      <c r="R1" s="149">
        <v>18</v>
      </c>
      <c r="S1" s="149">
        <v>19</v>
      </c>
      <c r="T1" s="149">
        <v>20</v>
      </c>
      <c r="U1" s="149">
        <v>21</v>
      </c>
      <c r="V1" s="149">
        <v>22</v>
      </c>
      <c r="W1" s="149">
        <v>23</v>
      </c>
      <c r="X1" s="149">
        <v>24</v>
      </c>
      <c r="Y1" s="149">
        <v>25</v>
      </c>
      <c r="Z1" s="149">
        <v>26</v>
      </c>
      <c r="AA1" s="149">
        <v>27</v>
      </c>
      <c r="AB1" s="149">
        <v>28</v>
      </c>
      <c r="AC1" s="149">
        <v>29</v>
      </c>
      <c r="AD1" s="149">
        <v>30</v>
      </c>
      <c r="AE1" s="149">
        <v>31</v>
      </c>
      <c r="AF1" s="149">
        <v>32</v>
      </c>
      <c r="AG1" s="149">
        <v>33</v>
      </c>
      <c r="AH1" s="149">
        <v>34</v>
      </c>
      <c r="AI1" s="149">
        <v>35</v>
      </c>
      <c r="AJ1" s="149">
        <v>36</v>
      </c>
      <c r="AK1" s="149">
        <v>37</v>
      </c>
      <c r="AL1" s="149">
        <v>38</v>
      </c>
      <c r="AM1" s="149">
        <v>39</v>
      </c>
      <c r="AN1" s="149">
        <v>40</v>
      </c>
      <c r="AO1" s="149">
        <v>41</v>
      </c>
      <c r="AP1" s="149">
        <v>42</v>
      </c>
      <c r="AQ1" s="149">
        <v>43</v>
      </c>
      <c r="AR1" s="149">
        <v>44</v>
      </c>
      <c r="AS1" s="149">
        <v>45</v>
      </c>
      <c r="AT1" s="149">
        <v>46</v>
      </c>
      <c r="AU1" s="149">
        <v>47</v>
      </c>
      <c r="AV1" s="149">
        <v>48</v>
      </c>
      <c r="AW1" s="149">
        <v>49</v>
      </c>
      <c r="AX1" s="149">
        <v>50</v>
      </c>
      <c r="AY1" s="149">
        <v>51</v>
      </c>
      <c r="AZ1" s="149">
        <v>52</v>
      </c>
      <c r="BA1" s="149">
        <v>53</v>
      </c>
      <c r="BB1" s="149">
        <v>54</v>
      </c>
      <c r="BC1" s="149">
        <v>55</v>
      </c>
      <c r="BD1" s="149">
        <v>56</v>
      </c>
      <c r="BE1" s="149">
        <v>57</v>
      </c>
      <c r="BF1" s="149">
        <v>58</v>
      </c>
      <c r="BG1" s="149">
        <v>59</v>
      </c>
      <c r="BH1" s="149">
        <v>60</v>
      </c>
      <c r="BI1" s="149">
        <v>61</v>
      </c>
      <c r="BJ1" s="149">
        <v>62</v>
      </c>
      <c r="BK1" s="149">
        <v>63</v>
      </c>
      <c r="BL1" s="149">
        <v>64</v>
      </c>
      <c r="BM1" s="149">
        <v>65</v>
      </c>
      <c r="BN1" s="149">
        <v>66</v>
      </c>
      <c r="BO1" s="149">
        <v>67</v>
      </c>
      <c r="BP1" s="149">
        <v>68</v>
      </c>
      <c r="BQ1" s="149">
        <v>69</v>
      </c>
      <c r="BR1" s="149">
        <v>70</v>
      </c>
      <c r="BS1" s="149">
        <v>71</v>
      </c>
      <c r="BT1" s="149">
        <v>72</v>
      </c>
      <c r="BU1" s="149">
        <v>73</v>
      </c>
      <c r="BV1" s="149">
        <v>74</v>
      </c>
      <c r="BW1" s="149">
        <v>75</v>
      </c>
      <c r="BX1" s="149">
        <v>76</v>
      </c>
      <c r="BY1" s="149">
        <v>77</v>
      </c>
      <c r="BZ1" s="149">
        <v>78</v>
      </c>
      <c r="CA1" s="149">
        <v>79</v>
      </c>
      <c r="CB1" s="149">
        <v>80</v>
      </c>
      <c r="CC1" s="149">
        <v>81</v>
      </c>
      <c r="CD1" s="149">
        <v>82</v>
      </c>
      <c r="CE1" s="149">
        <v>83</v>
      </c>
      <c r="CF1" s="149">
        <v>84</v>
      </c>
      <c r="CG1" s="149">
        <v>85</v>
      </c>
      <c r="CH1" s="149">
        <v>86</v>
      </c>
      <c r="CI1" s="149">
        <v>87</v>
      </c>
      <c r="CJ1" s="149">
        <v>88</v>
      </c>
      <c r="CK1" s="149">
        <v>89</v>
      </c>
      <c r="CL1" s="149">
        <v>90</v>
      </c>
      <c r="CM1" s="149">
        <v>91</v>
      </c>
      <c r="CN1" s="149">
        <v>92</v>
      </c>
      <c r="CO1" s="149">
        <v>93</v>
      </c>
      <c r="CP1" s="149">
        <v>94</v>
      </c>
      <c r="CQ1" s="149">
        <v>95</v>
      </c>
      <c r="CR1" s="149">
        <v>96</v>
      </c>
      <c r="CS1" s="149">
        <v>97</v>
      </c>
      <c r="CT1" s="149">
        <v>98</v>
      </c>
    </row>
    <row r="2" spans="1:98" ht="13.5" thickBot="1">
      <c r="A2" s="338" t="s">
        <v>545</v>
      </c>
      <c r="B2" s="299"/>
      <c r="C2" s="637" t="s">
        <v>439</v>
      </c>
      <c r="D2" s="637"/>
      <c r="E2" s="637"/>
      <c r="F2" s="637"/>
      <c r="G2" s="339"/>
      <c r="H2" s="638" t="s">
        <v>1121</v>
      </c>
      <c r="I2" s="639"/>
      <c r="J2" s="639"/>
      <c r="K2" s="639"/>
      <c r="L2" s="639"/>
      <c r="M2" s="639"/>
      <c r="N2" s="639"/>
      <c r="O2" s="640"/>
      <c r="P2" s="339"/>
      <c r="Q2" s="644" t="s">
        <v>1122</v>
      </c>
      <c r="R2" s="645"/>
      <c r="S2" s="645"/>
      <c r="T2" s="645"/>
      <c r="U2" s="645"/>
      <c r="V2" s="645"/>
      <c r="W2" s="645"/>
      <c r="X2" s="646"/>
      <c r="Y2" s="339"/>
      <c r="Z2" s="608" t="s">
        <v>438</v>
      </c>
      <c r="AA2" s="609"/>
      <c r="AB2" s="609"/>
      <c r="AC2" s="609"/>
      <c r="AD2" s="609"/>
      <c r="AE2" s="609"/>
      <c r="AF2" s="609"/>
      <c r="AG2" s="610"/>
      <c r="AH2" s="339"/>
      <c r="AI2" s="641" t="s">
        <v>437</v>
      </c>
      <c r="AJ2" s="642"/>
      <c r="AK2" s="642"/>
      <c r="AL2" s="642"/>
      <c r="AM2" s="642"/>
      <c r="AN2" s="642"/>
      <c r="AO2" s="642"/>
      <c r="AP2" s="642"/>
      <c r="AQ2" s="642"/>
      <c r="AR2" s="642"/>
      <c r="AS2" s="642"/>
      <c r="AT2" s="642"/>
      <c r="AU2" s="642"/>
      <c r="AV2" s="642"/>
      <c r="AW2" s="643"/>
      <c r="AX2" s="339"/>
      <c r="AY2" s="613" t="s">
        <v>436</v>
      </c>
      <c r="AZ2" s="614"/>
      <c r="BA2" s="614"/>
      <c r="BB2" s="614"/>
      <c r="BC2" s="614"/>
      <c r="BD2" s="614"/>
      <c r="BE2" s="614"/>
      <c r="BF2" s="614"/>
      <c r="BG2" s="614"/>
      <c r="BH2" s="614"/>
      <c r="BI2" s="614"/>
      <c r="BJ2" s="614"/>
      <c r="BK2" s="614"/>
      <c r="BL2" s="614"/>
      <c r="BM2" s="614"/>
      <c r="BN2" s="615"/>
      <c r="BO2" s="339"/>
      <c r="BP2" s="601" t="s">
        <v>531</v>
      </c>
      <c r="BQ2" s="601"/>
      <c r="BR2" s="601"/>
      <c r="BS2" s="601"/>
      <c r="BT2" s="602"/>
      <c r="BU2" s="339"/>
      <c r="BV2" s="600" t="s">
        <v>537</v>
      </c>
      <c r="BW2" s="601"/>
      <c r="BX2" s="601"/>
      <c r="BY2" s="601"/>
      <c r="BZ2" s="602"/>
      <c r="CA2" s="601" t="s">
        <v>532</v>
      </c>
      <c r="CB2" s="601"/>
      <c r="CC2" s="601"/>
      <c r="CD2" s="601"/>
      <c r="CE2" s="601"/>
      <c r="CF2" s="601"/>
      <c r="CG2" s="601"/>
      <c r="CH2" s="601"/>
      <c r="CI2" s="602"/>
      <c r="CJ2" s="339"/>
      <c r="CK2" s="600" t="s">
        <v>603</v>
      </c>
      <c r="CL2" s="601"/>
      <c r="CM2" s="601"/>
      <c r="CN2" s="601"/>
      <c r="CO2" s="602"/>
      <c r="CP2" s="339"/>
      <c r="CQ2" s="600" t="s">
        <v>601</v>
      </c>
      <c r="CR2" s="601"/>
      <c r="CS2" s="601"/>
      <c r="CT2" s="602"/>
    </row>
    <row r="3" spans="1:98" ht="13.5" thickBot="1">
      <c r="A3" s="149"/>
      <c r="B3" s="299"/>
      <c r="C3" s="632" t="s">
        <v>590</v>
      </c>
      <c r="D3" s="632"/>
      <c r="E3" s="632"/>
      <c r="F3" s="633"/>
      <c r="G3" s="340"/>
      <c r="H3" s="634" t="s">
        <v>591</v>
      </c>
      <c r="I3" s="635"/>
      <c r="J3" s="635"/>
      <c r="K3" s="636"/>
      <c r="L3" s="634" t="s">
        <v>252</v>
      </c>
      <c r="M3" s="635"/>
      <c r="N3" s="635"/>
      <c r="O3" s="636"/>
      <c r="P3" s="340"/>
      <c r="Q3" s="647" t="s">
        <v>592</v>
      </c>
      <c r="R3" s="648"/>
      <c r="S3" s="648"/>
      <c r="T3" s="649"/>
      <c r="U3" s="650" t="s">
        <v>252</v>
      </c>
      <c r="V3" s="651"/>
      <c r="W3" s="651"/>
      <c r="X3" s="652"/>
      <c r="Y3" s="340"/>
      <c r="Z3" s="603" t="s">
        <v>593</v>
      </c>
      <c r="AA3" s="604"/>
      <c r="AB3" s="604"/>
      <c r="AC3" s="605"/>
      <c r="AD3" s="628" t="s">
        <v>252</v>
      </c>
      <c r="AE3" s="629"/>
      <c r="AF3" s="629"/>
      <c r="AG3" s="630"/>
      <c r="AH3" s="340"/>
      <c r="AI3" s="616" t="s">
        <v>594</v>
      </c>
      <c r="AJ3" s="616"/>
      <c r="AK3" s="616"/>
      <c r="AL3" s="616"/>
      <c r="AM3" s="616"/>
      <c r="AN3" s="616"/>
      <c r="AO3" s="616"/>
      <c r="AP3" s="616"/>
      <c r="AQ3" s="616"/>
      <c r="AR3" s="617"/>
      <c r="AS3" s="618" t="s">
        <v>595</v>
      </c>
      <c r="AT3" s="616"/>
      <c r="AU3" s="616"/>
      <c r="AV3" s="616"/>
      <c r="AW3" s="617"/>
      <c r="AX3" s="340"/>
      <c r="AY3" s="622"/>
      <c r="AZ3" s="623"/>
      <c r="BA3" s="623"/>
      <c r="BB3" s="623"/>
      <c r="BC3" s="623"/>
      <c r="BD3" s="623"/>
      <c r="BE3" s="623"/>
      <c r="BF3" s="623"/>
      <c r="BG3" s="623"/>
      <c r="BH3" s="623"/>
      <c r="BI3" s="623"/>
      <c r="BJ3" s="623"/>
      <c r="BK3" s="623"/>
      <c r="BL3" s="623"/>
      <c r="BM3" s="623"/>
      <c r="BN3" s="624"/>
      <c r="BO3" s="340"/>
      <c r="BP3" s="608"/>
      <c r="BQ3" s="609"/>
      <c r="BR3" s="609"/>
      <c r="BS3" s="609"/>
      <c r="BT3" s="609"/>
      <c r="BU3" s="340"/>
      <c r="BV3" s="611"/>
      <c r="BW3" s="611"/>
      <c r="BX3" s="611"/>
      <c r="BY3" s="611"/>
      <c r="BZ3" s="612"/>
      <c r="CA3" s="341"/>
      <c r="CB3" s="341"/>
      <c r="CC3" s="341"/>
      <c r="CD3" s="341"/>
      <c r="CE3" s="341"/>
      <c r="CF3" s="341"/>
      <c r="CG3" s="341"/>
      <c r="CH3" s="341"/>
      <c r="CI3" s="342"/>
      <c r="CJ3" s="340"/>
      <c r="CK3" s="600"/>
      <c r="CL3" s="601"/>
      <c r="CM3" s="601"/>
      <c r="CN3" s="601"/>
      <c r="CO3" s="602"/>
      <c r="CP3" s="340"/>
      <c r="CQ3" s="600"/>
      <c r="CR3" s="601"/>
      <c r="CS3" s="601"/>
      <c r="CT3" s="602"/>
    </row>
    <row r="4" spans="1:98" ht="13.5" thickBot="1">
      <c r="A4" s="149"/>
      <c r="B4" s="300"/>
      <c r="C4" s="343"/>
      <c r="D4" s="343"/>
      <c r="E4" s="343"/>
      <c r="F4" s="344"/>
      <c r="G4" s="340"/>
      <c r="H4" s="345"/>
      <c r="I4" s="346"/>
      <c r="J4" s="346"/>
      <c r="K4" s="347"/>
      <c r="L4" s="346"/>
      <c r="M4" s="346"/>
      <c r="N4" s="346"/>
      <c r="O4" s="347"/>
      <c r="P4" s="340"/>
      <c r="Q4" s="348"/>
      <c r="R4" s="349"/>
      <c r="S4" s="349"/>
      <c r="T4" s="349"/>
      <c r="U4" s="350"/>
      <c r="V4" s="351"/>
      <c r="W4" s="351"/>
      <c r="X4" s="352"/>
      <c r="Y4" s="340"/>
      <c r="Z4" s="353"/>
      <c r="AA4" s="353"/>
      <c r="AB4" s="353"/>
      <c r="AC4" s="354"/>
      <c r="AD4" s="603"/>
      <c r="AE4" s="604"/>
      <c r="AF4" s="604"/>
      <c r="AG4" s="605"/>
      <c r="AH4" s="340"/>
      <c r="AI4" s="616" t="s">
        <v>397</v>
      </c>
      <c r="AJ4" s="616"/>
      <c r="AK4" s="616"/>
      <c r="AL4" s="616"/>
      <c r="AM4" s="616"/>
      <c r="AN4" s="617"/>
      <c r="AO4" s="616" t="s">
        <v>252</v>
      </c>
      <c r="AP4" s="616"/>
      <c r="AQ4" s="616"/>
      <c r="AR4" s="617"/>
      <c r="AS4" s="618" t="s">
        <v>596</v>
      </c>
      <c r="AT4" s="616"/>
      <c r="AU4" s="616"/>
      <c r="AV4" s="616"/>
      <c r="AW4" s="617"/>
      <c r="AX4" s="340"/>
      <c r="AY4" s="625"/>
      <c r="AZ4" s="626"/>
      <c r="BA4" s="626"/>
      <c r="BB4" s="626"/>
      <c r="BC4" s="625" t="s">
        <v>584</v>
      </c>
      <c r="BD4" s="626"/>
      <c r="BE4" s="626"/>
      <c r="BF4" s="627"/>
      <c r="BG4" s="625" t="s">
        <v>579</v>
      </c>
      <c r="BH4" s="626"/>
      <c r="BI4" s="626"/>
      <c r="BJ4" s="627"/>
      <c r="BK4" s="619" t="s">
        <v>252</v>
      </c>
      <c r="BL4" s="620"/>
      <c r="BM4" s="620"/>
      <c r="BN4" s="621"/>
      <c r="BO4" s="340"/>
      <c r="BP4" s="606" t="s">
        <v>597</v>
      </c>
      <c r="BQ4" s="607"/>
      <c r="BR4" s="607"/>
      <c r="BS4" s="607"/>
      <c r="BT4" s="607"/>
      <c r="BU4" s="340"/>
      <c r="BV4" s="608" t="s">
        <v>598</v>
      </c>
      <c r="BW4" s="609"/>
      <c r="BX4" s="609"/>
      <c r="BY4" s="609"/>
      <c r="BZ4" s="610"/>
      <c r="CA4" s="631" t="s">
        <v>599</v>
      </c>
      <c r="CB4" s="611"/>
      <c r="CC4" s="611"/>
      <c r="CD4" s="611"/>
      <c r="CE4" s="612"/>
      <c r="CF4" s="608" t="s">
        <v>252</v>
      </c>
      <c r="CG4" s="609"/>
      <c r="CH4" s="609"/>
      <c r="CI4" s="609"/>
      <c r="CJ4" s="340"/>
      <c r="CK4" s="600" t="s">
        <v>602</v>
      </c>
      <c r="CL4" s="601"/>
      <c r="CM4" s="601"/>
      <c r="CN4" s="601"/>
      <c r="CO4" s="602"/>
      <c r="CP4" s="340"/>
      <c r="CQ4" s="600" t="s">
        <v>563</v>
      </c>
      <c r="CR4" s="601"/>
      <c r="CS4" s="601"/>
      <c r="CT4" s="602"/>
    </row>
    <row r="5" spans="1:98" ht="39" thickBot="1">
      <c r="A5" s="365" t="s">
        <v>208</v>
      </c>
      <c r="B5" s="366" t="s">
        <v>51</v>
      </c>
      <c r="C5" s="355" t="s">
        <v>224</v>
      </c>
      <c r="D5" s="355" t="s">
        <v>223</v>
      </c>
      <c r="E5" s="355" t="s">
        <v>226</v>
      </c>
      <c r="F5" s="355" t="s">
        <v>225</v>
      </c>
      <c r="G5" s="408"/>
      <c r="H5" s="356" t="s">
        <v>224</v>
      </c>
      <c r="I5" s="356" t="s">
        <v>223</v>
      </c>
      <c r="J5" s="356" t="s">
        <v>226</v>
      </c>
      <c r="K5" s="356" t="s">
        <v>225</v>
      </c>
      <c r="L5" s="357" t="s">
        <v>224</v>
      </c>
      <c r="M5" s="356" t="s">
        <v>223</v>
      </c>
      <c r="N5" s="356" t="s">
        <v>226</v>
      </c>
      <c r="O5" s="356" t="s">
        <v>225</v>
      </c>
      <c r="P5" s="408"/>
      <c r="Q5" s="358" t="s">
        <v>224</v>
      </c>
      <c r="R5" s="358" t="s">
        <v>223</v>
      </c>
      <c r="S5" s="358" t="s">
        <v>226</v>
      </c>
      <c r="T5" s="358" t="s">
        <v>225</v>
      </c>
      <c r="U5" s="358" t="s">
        <v>224</v>
      </c>
      <c r="V5" s="358" t="s">
        <v>223</v>
      </c>
      <c r="W5" s="358" t="s">
        <v>226</v>
      </c>
      <c r="X5" s="358" t="s">
        <v>225</v>
      </c>
      <c r="Y5" s="408"/>
      <c r="Z5" s="359" t="s">
        <v>224</v>
      </c>
      <c r="AA5" s="359" t="s">
        <v>223</v>
      </c>
      <c r="AB5" s="359" t="s">
        <v>226</v>
      </c>
      <c r="AC5" s="359" t="s">
        <v>225</v>
      </c>
      <c r="AD5" s="360" t="s">
        <v>224</v>
      </c>
      <c r="AE5" s="359" t="s">
        <v>223</v>
      </c>
      <c r="AF5" s="359" t="s">
        <v>226</v>
      </c>
      <c r="AG5" s="359" t="s">
        <v>225</v>
      </c>
      <c r="AH5" s="408"/>
      <c r="AI5" s="361" t="s">
        <v>396</v>
      </c>
      <c r="AJ5" s="361" t="s">
        <v>619</v>
      </c>
      <c r="AK5" s="361" t="s">
        <v>224</v>
      </c>
      <c r="AL5" s="361" t="s">
        <v>223</v>
      </c>
      <c r="AM5" s="361" t="s">
        <v>226</v>
      </c>
      <c r="AN5" s="361" t="s">
        <v>225</v>
      </c>
      <c r="AO5" s="362" t="s">
        <v>224</v>
      </c>
      <c r="AP5" s="361" t="s">
        <v>223</v>
      </c>
      <c r="AQ5" s="361" t="s">
        <v>226</v>
      </c>
      <c r="AR5" s="361" t="s">
        <v>225</v>
      </c>
      <c r="AS5" s="361" t="s">
        <v>396</v>
      </c>
      <c r="AT5" s="361" t="s">
        <v>224</v>
      </c>
      <c r="AU5" s="361" t="s">
        <v>223</v>
      </c>
      <c r="AV5" s="361" t="s">
        <v>226</v>
      </c>
      <c r="AW5" s="361" t="s">
        <v>225</v>
      </c>
      <c r="AX5" s="408"/>
      <c r="AY5" s="363" t="s">
        <v>445</v>
      </c>
      <c r="AZ5" s="363" t="s">
        <v>446</v>
      </c>
      <c r="BA5" s="363" t="s">
        <v>447</v>
      </c>
      <c r="BB5" s="363" t="s">
        <v>448</v>
      </c>
      <c r="BC5" s="363" t="s">
        <v>224</v>
      </c>
      <c r="BD5" s="363" t="s">
        <v>223</v>
      </c>
      <c r="BE5" s="363" t="s">
        <v>226</v>
      </c>
      <c r="BF5" s="363" t="s">
        <v>225</v>
      </c>
      <c r="BG5" s="363" t="s">
        <v>580</v>
      </c>
      <c r="BH5" s="363" t="s">
        <v>581</v>
      </c>
      <c r="BI5" s="363" t="s">
        <v>582</v>
      </c>
      <c r="BJ5" s="363" t="s">
        <v>583</v>
      </c>
      <c r="BK5" s="363" t="s">
        <v>224</v>
      </c>
      <c r="BL5" s="363" t="s">
        <v>223</v>
      </c>
      <c r="BM5" s="363" t="s">
        <v>226</v>
      </c>
      <c r="BN5" s="363" t="s">
        <v>225</v>
      </c>
      <c r="BO5" s="408"/>
      <c r="BP5" s="359" t="s">
        <v>1100</v>
      </c>
      <c r="BQ5" s="359" t="s">
        <v>224</v>
      </c>
      <c r="BR5" s="359" t="s">
        <v>223</v>
      </c>
      <c r="BS5" s="359" t="s">
        <v>226</v>
      </c>
      <c r="BT5" s="364" t="s">
        <v>225</v>
      </c>
      <c r="BU5" s="408"/>
      <c r="BV5" s="359" t="s">
        <v>558</v>
      </c>
      <c r="BW5" s="359" t="s">
        <v>224</v>
      </c>
      <c r="BX5" s="359" t="s">
        <v>223</v>
      </c>
      <c r="BY5" s="359" t="s">
        <v>226</v>
      </c>
      <c r="BZ5" s="359" t="s">
        <v>225</v>
      </c>
      <c r="CA5" s="359" t="s">
        <v>434</v>
      </c>
      <c r="CB5" s="359" t="s">
        <v>224</v>
      </c>
      <c r="CC5" s="359" t="s">
        <v>223</v>
      </c>
      <c r="CD5" s="359" t="s">
        <v>226</v>
      </c>
      <c r="CE5" s="359" t="s">
        <v>225</v>
      </c>
      <c r="CF5" s="360" t="s">
        <v>224</v>
      </c>
      <c r="CG5" s="359" t="s">
        <v>223</v>
      </c>
      <c r="CH5" s="359" t="s">
        <v>226</v>
      </c>
      <c r="CI5" s="364" t="s">
        <v>225</v>
      </c>
      <c r="CJ5" s="408"/>
      <c r="CK5" s="359" t="s">
        <v>620</v>
      </c>
      <c r="CL5" s="359" t="s">
        <v>224</v>
      </c>
      <c r="CM5" s="359" t="s">
        <v>223</v>
      </c>
      <c r="CN5" s="359" t="s">
        <v>226</v>
      </c>
      <c r="CO5" s="359" t="s">
        <v>225</v>
      </c>
      <c r="CP5" s="408"/>
      <c r="CQ5" s="359" t="s">
        <v>224</v>
      </c>
      <c r="CR5" s="359" t="s">
        <v>223</v>
      </c>
      <c r="CS5" s="359" t="s">
        <v>226</v>
      </c>
      <c r="CT5" s="359" t="s">
        <v>225</v>
      </c>
    </row>
    <row r="6" spans="1:98">
      <c r="A6" s="388">
        <v>100</v>
      </c>
      <c r="B6" s="388" t="str">
        <f>INDEX('201314 RC list'!B:B,MATCH(A6,'201314 RC list'!A:A,0))</f>
        <v>General Surgery</v>
      </c>
      <c r="C6" s="389">
        <f>IF(ISERROR(VLOOKUP($A6,'Allocate OPROC cost'!A:M,11,FALSE)),"-",VLOOKUP($A6,'Allocate OPROC cost'!A:M,11,FALSE))</f>
        <v>138.52289161557115</v>
      </c>
      <c r="D6" s="389">
        <f>IF(ISERROR(VLOOKUP($A6,'Allocate OPROC cost'!A:M,10,FALSE)),"-",VLOOKUP($A6,'Allocate OPROC cost'!A:M,10,FALSE))</f>
        <v>170.66689914930353</v>
      </c>
      <c r="E6" s="389">
        <f>IF(ISERROR(VLOOKUP($A6,'Allocate OPROC cost'!A:M,13,FALSE)),"-",VLOOKUP($A6,'Allocate OPROC cost'!A:M,13,FALSE))</f>
        <v>103.68516602584542</v>
      </c>
      <c r="F6" s="389">
        <f>IF(ISERROR(VLOOKUP($A6,'Allocate OPROC cost'!A:M,12,FALSE)),"-",VLOOKUP($A6,'Allocate OPROC cost'!A:M,12,FALSE))</f>
        <v>161.35817183807751</v>
      </c>
      <c r="G6" s="390"/>
      <c r="H6" s="391">
        <f>IF(ISERROR(VLOOKUP($A6,'Allocate OPROC cost'!A:AO,39,FALSE)),"-",VLOOKUP($A6,'Allocate OPROC cost'!A:AO,39,FALSE))</f>
        <v>138.19109500806405</v>
      </c>
      <c r="I6" s="391">
        <f>IF(ISERROR(VLOOKUP($A6,'Allocate OPROC cost'!A:AO,38,FALSE)),"-",VLOOKUP($A6,'Allocate OPROC cost'!A:AO,38,FALSE))</f>
        <v>168.9013184377423</v>
      </c>
      <c r="J6" s="391">
        <f>IF(ISERROR(VLOOKUP($A6,'Allocate OPROC cost'!A:AO,41,FALSE)),"-",VLOOKUP($A6,'Allocate OPROC cost'!A:AO,41,FALSE))</f>
        <v>103.79309098904295</v>
      </c>
      <c r="K6" s="391">
        <f>IF(ISERROR(VLOOKUP($A6,'Allocate OPROC cost'!A:AO,40,FALSE)),"-",VLOOKUP($A6,'Allocate OPROC cost'!A:AO,40,FALSE))</f>
        <v>160.49612965631212</v>
      </c>
      <c r="L6" s="392">
        <f t="shared" ref="L6:L39" si="0">IF(ISERROR(H6/C6-1),"-",H6/C6-1)</f>
        <v>-2.3952474831950843E-3</v>
      </c>
      <c r="M6" s="392">
        <f t="shared" ref="M6:M39" si="1">IF(ISERROR(I6/D6-1),"-",I6/D6-1)</f>
        <v>-1.0345185389561973E-2</v>
      </c>
      <c r="N6" s="392">
        <f t="shared" ref="N6:N39" si="2">IF(ISERROR(J6/E6-1),"-",J6/E6-1)</f>
        <v>1.0408910679724492E-3</v>
      </c>
      <c r="O6" s="392">
        <f t="shared" ref="O6:O39" si="3">IF(ISERROR(K6/F6-1),"-",K6/F6-1)</f>
        <v>-5.3424141581774887E-3</v>
      </c>
      <c r="P6" s="390"/>
      <c r="Q6" s="393">
        <f>IF(ISERROR(VLOOKUP($A6,'Front-loading'!$A:$AG,27,FALSE)),"-",VLOOKUP($A6,'Front-loading'!$A:$AG,27,FALSE))</f>
        <v>152.53670874328057</v>
      </c>
      <c r="R6" s="393">
        <f>IF(ISERROR(VLOOKUP($A6,'Front-loading'!$A:$AG,26,FALSE)),"-",VLOOKUP($A6,'Front-loading'!$A:$AG,26,FALSE))</f>
        <v>189.85046338233332</v>
      </c>
      <c r="S6" s="393">
        <f>IF(ISERROR(VLOOKUP($A6,'Front-loading'!$A:$AG,29,FALSE)),"-",VLOOKUP($A6,'Front-loading'!$A:$AG,29,FALSE))</f>
        <v>93.413781890138665</v>
      </c>
      <c r="T6" s="393">
        <f>IF(ISERROR(VLOOKUP($A6,'Front-loading'!$A:$AG,28,FALSE)),"-",VLOOKUP($A6,'Front-loading'!$A:$AG,28,FALSE))</f>
        <v>144.44651669068091</v>
      </c>
      <c r="U6" s="394">
        <f t="shared" ref="U6:U39" si="4">IF(ISERROR(Q6/H6-1),"-",Q6/H6-1)</f>
        <v>0.10380997222997168</v>
      </c>
      <c r="V6" s="394">
        <f t="shared" ref="V6:V39" si="5">IF(ISERROR(R6/I6-1),"-",R6/I6-1)</f>
        <v>0.12403186155301071</v>
      </c>
      <c r="W6" s="394">
        <f t="shared" ref="W6:W39" si="6">IF(ISERROR(S6/J6-1),"-",S6/J6-1)</f>
        <v>-9.9999999999999867E-2</v>
      </c>
      <c r="X6" s="394">
        <f t="shared" ref="X6:X39" si="7">IF(ISERROR(T6/K6-1),"-",T6/K6-1)</f>
        <v>-9.9999999999999978E-2</v>
      </c>
      <c r="Y6" s="390"/>
      <c r="Z6" s="395">
        <f>IF(ISERROR(VLOOKUP($A6,'Further adjustment'!$A:$BC,53,FALSE)),"-",VLOOKUP($A6,'Further adjustment'!$A:$BC,53,FALSE))</f>
        <v>152.53670874328057</v>
      </c>
      <c r="AA6" s="395">
        <f>IF(ISERROR(VLOOKUP($A6,'Further adjustment'!$A:$BC,52,FALSE)),"-",VLOOKUP($A6,'Further adjustment'!$A:$BC,52,FALSE))</f>
        <v>189.85046338233332</v>
      </c>
      <c r="AB6" s="395">
        <f>IF(ISERROR(VLOOKUP($A6,'Further adjustment'!$A:$BC,55,FALSE)),"-",VLOOKUP($A6,'Further adjustment'!$A:$BC,55,FALSE))</f>
        <v>93.413781890138665</v>
      </c>
      <c r="AC6" s="395">
        <f>IF(ISERROR(VLOOKUP($A6,'Further adjustment'!$A:$BC,54,FALSE)),"-",VLOOKUP($A6,'Further adjustment'!$A:$BC,54,FALSE))</f>
        <v>144.44651669068091</v>
      </c>
      <c r="AD6" s="396">
        <f t="shared" ref="AD6:AD39" si="8">IF(ISERROR(Z6/Q6-1),"-",Z6/Q6-1)</f>
        <v>0</v>
      </c>
      <c r="AE6" s="396">
        <f t="shared" ref="AE6:AE39" si="9">IF(ISERROR(AA6/R6-1),"-",AA6/R6-1)</f>
        <v>0</v>
      </c>
      <c r="AF6" s="396">
        <f t="shared" ref="AF6:AF39" si="10">IF(ISERROR(AB6/S6-1),"-",AB6/S6-1)</f>
        <v>0</v>
      </c>
      <c r="AG6" s="396">
        <f t="shared" ref="AG6:AG39" si="11">IF(ISERROR(AC6/T6-1),"-",AC6/T6-1)</f>
        <v>0</v>
      </c>
      <c r="AH6" s="390"/>
      <c r="AI6" s="397">
        <f>'Price Adjustments'!$G$6</f>
        <v>-3.1174571652793026E-2</v>
      </c>
      <c r="AJ6" s="397">
        <v>0</v>
      </c>
      <c r="AK6" s="398">
        <f>IF(ISERROR(Z6*(1+$AI6)*(1+$AJ6)),"-",Z6*(1+$AI6)*(1+$AJ6))</f>
        <v>147.78144218688195</v>
      </c>
      <c r="AL6" s="398">
        <f>IF(ISERROR(AA6*(1+$AI6)*(1+$AJ6)),"-",AA6*(1+$AI6)*(1+$AJ6))</f>
        <v>183.93195650830481</v>
      </c>
      <c r="AM6" s="398">
        <f>IF(ISERROR(AB6*(1+$AI6)*(1+$AJ6)),"-",AB6*(1+$AI6)*(1+$AJ6))</f>
        <v>90.501647253246162</v>
      </c>
      <c r="AN6" s="398">
        <f>IF(ISERROR(AC6*(1+$AI6)*(1+$AJ6)),"-",AC6*(1+$AI6)*(1+$AJ6))</f>
        <v>139.94345840611092</v>
      </c>
      <c r="AO6" s="399">
        <f t="shared" ref="AO6:AO39" si="12">IF(ISERROR(AK6/Z6-1),"-",AK6/Z6-1)</f>
        <v>-3.1174571652793026E-2</v>
      </c>
      <c r="AP6" s="399">
        <f t="shared" ref="AP6:AP39" si="13">IF(ISERROR(AL6/AA6-1),"-",AL6/AA6-1)</f>
        <v>-3.1174571652793026E-2</v>
      </c>
      <c r="AQ6" s="399">
        <f t="shared" ref="AQ6:AQ39" si="14">IF(ISERROR(AM6/AB6-1),"-",AM6/AB6-1)</f>
        <v>-3.1174571652793026E-2</v>
      </c>
      <c r="AR6" s="399">
        <f t="shared" ref="AR6:AR39" si="15">IF(ISERROR(AN6/AC6-1),"-",AN6/AC6-1)</f>
        <v>-3.1174571652793026E-2</v>
      </c>
      <c r="AS6" s="400">
        <f>'Price Adjustments'!$F$6</f>
        <v>0</v>
      </c>
      <c r="AT6" s="398">
        <f>IF(ISERROR(VLOOKUP($A6,'15-16 tariff'!$A:$F,3,FALSE)*(1+$AS$6)),"-",VLOOKUP($A6,'15-16 tariff'!$A:$F,3,FALSE)*(1+$AS$6))</f>
        <v>142.13721259790117</v>
      </c>
      <c r="AU6" s="398">
        <f>IF(ISERROR(VLOOKUP($A6,'15-16 tariff'!$A:$F,4,FALSE)*(1+$AS$6)),"-",VLOOKUP($A6,'15-16 tariff'!$A:$F,4,FALSE)*(1+$AS$6))</f>
        <v>221.25579263013145</v>
      </c>
      <c r="AV6" s="398">
        <f>IF(ISERROR(VLOOKUP($A6,'15-16 tariff'!$A:$F,5,FALSE)*(1+$AS$6)),"-",VLOOKUP($A6,'15-16 tariff'!$A:$F,5,FALSE)*(1+$AS$6))</f>
        <v>87.262244578609668</v>
      </c>
      <c r="AW6" s="398">
        <f>IF(ISERROR(VLOOKUP($A6,'15-16 tariff'!$A:$F,6,FALSE)*(1+$AS$6)),"-",VLOOKUP($A6,'15-16 tariff'!$A:$F,6,FALSE)*(1+$AS$6))</f>
        <v>126.84477526724348</v>
      </c>
      <c r="AX6" s="390"/>
      <c r="AY6" s="401" t="s">
        <v>307</v>
      </c>
      <c r="AZ6" s="401" t="s">
        <v>307</v>
      </c>
      <c r="BA6" s="401" t="s">
        <v>307</v>
      </c>
      <c r="BB6" s="402" t="s">
        <v>307</v>
      </c>
      <c r="BC6" s="402">
        <f t="shared" ref="BC6:BC39" si="16">IF(AY6="Modelled",AK6,IF(AY6="Roll-over",AT6,"Error"))</f>
        <v>147.78144218688195</v>
      </c>
      <c r="BD6" s="402">
        <f t="shared" ref="BD6:BD39" si="17">IF(AZ6="Modelled",AL6,IF(AZ6="Roll-over",AU6,"Error"))</f>
        <v>183.93195650830481</v>
      </c>
      <c r="BE6" s="402">
        <f t="shared" ref="BE6:BE39" si="18">IF(BA6="Modelled",AM6,IF(BA6="Roll-over",AV6,"Error"))</f>
        <v>90.501647253246162</v>
      </c>
      <c r="BF6" s="402">
        <f t="shared" ref="BF6:BF39" si="19">IF(BB6="Modelled",AN6,IF(BB6="Roll-over",AW6,"Error"))</f>
        <v>139.94345840611092</v>
      </c>
      <c r="BG6" s="402">
        <f>IFERROR(VLOOKUP($A6,'Further adjustment'!$A:$Q,7,FALSE),0)</f>
        <v>657468</v>
      </c>
      <c r="BH6" s="402">
        <f>IFERROR(VLOOKUP($A6,'Further adjustment'!$A:$Q,6,FALSE),0)</f>
        <v>9575</v>
      </c>
      <c r="BI6" s="402">
        <f>IFERROR(VLOOKUP($A6,'Further adjustment'!$A:$Q,9,FALSE),0)</f>
        <v>908710</v>
      </c>
      <c r="BJ6" s="402">
        <f>IFERROR(VLOOKUP($A6,'Further adjustment'!$A:$Q,8,FALSE),0)</f>
        <v>12498</v>
      </c>
      <c r="BK6" s="403">
        <f t="shared" ref="BK6:BK39" si="20">IF(ISERROR(BC6/Z6-1),"-",BC6/Z6-1)</f>
        <v>-3.1174571652793026E-2</v>
      </c>
      <c r="BL6" s="403">
        <f t="shared" ref="BL6:BL39" si="21">IF(ISERROR(BD6/AA6-1),"-",BD6/AA6-1)</f>
        <v>-3.1174571652793026E-2</v>
      </c>
      <c r="BM6" s="403">
        <f t="shared" ref="BM6:BM39" si="22">IF(ISERROR(BE6/AB6-1),"-",BE6/AB6-1)</f>
        <v>-3.1174571652793026E-2</v>
      </c>
      <c r="BN6" s="403">
        <f t="shared" ref="BN6:BN39" si="23">IF(ISERROR(BF6/AC6-1),"-",BF6/AC6-1)</f>
        <v>-3.1174571652793026E-2</v>
      </c>
      <c r="BO6" s="390"/>
      <c r="BP6" s="404">
        <f>'Price Adjustments'!$D$90</f>
        <v>-6.8529657693413348E-2</v>
      </c>
      <c r="BQ6" s="405">
        <f t="shared" ref="BQ6:BQ39" si="24">BC6*(1+$BP6)</f>
        <v>137.65403054037597</v>
      </c>
      <c r="BR6" s="405">
        <f t="shared" ref="BR6:BR39" si="25">BD6*(1+$BP6)</f>
        <v>171.32716248991088</v>
      </c>
      <c r="BS6" s="405">
        <f t="shared" ref="BS6:BS39" si="26">BE6*(1+$BP6)</f>
        <v>84.299600346291157</v>
      </c>
      <c r="BT6" s="405">
        <f t="shared" ref="BT6:BT39" si="27">BF6*(1+$BP6)</f>
        <v>130.35318110510772</v>
      </c>
      <c r="BU6" s="390"/>
      <c r="BV6" s="406" t="str">
        <f>IF(COUNTIF('Manual adjustments'!$A:$A,A6)=1,"Y",IF(COUNTIF(#REF!,A6)=1,"BPT",""))</f>
        <v>Y</v>
      </c>
      <c r="BW6" s="405">
        <f>IF($BV6="",BQ6,IF(AND($BV6="BPT",IFERROR(ISNUMBER(VLOOKUP($A6,#REF!,3,FALSE)),FALSE)),VLOOKUP($A6,#REF!,3,FALSE),IF(AND($BV6="Y",IFERROR(ISNUMBER(VLOOKUP($A6,'Manual adjustments'!$A:$O,12,FALSE)),FALSE)),VLOOKUP($A6,'Manual adjustments'!$A:$O,12,FALSE),BQ6)))</f>
        <v>137.65403054037597</v>
      </c>
      <c r="BX6" s="405">
        <f>IF($BV6="",BR6,IF(AND($BV6="BPT",IFERROR(ISNUMBER(VLOOKUP($A6,#REF!,4,FALSE)),FALSE)),VLOOKUP($A6,#REF!,4,FALSE),IF(AND($BV6="Y",IFERROR(ISNUMBER(VLOOKUP($A6,'Manual adjustments'!$A:$O,13,FALSE)),FALSE)),VLOOKUP($A6,'Manual adjustments'!$A:$O,13,FALSE),BR6)))</f>
        <v>171.32716248991088</v>
      </c>
      <c r="BY6" s="405">
        <f>IF($BV6="",BS6,IF(AND($BV6="BPT",IFERROR(ISNUMBER(VLOOKUP($A6,#REF!,5,FALSE)),FALSE)),VLOOKUP($A6,#REF!,5,FALSE),IF(AND($BV6="Y",IFERROR(ISNUMBER(VLOOKUP($A6,'Manual adjustments'!$A:$O,14,FALSE)),FALSE)),VLOOKUP($A6,'Manual adjustments'!$A:$O,14,FALSE),BS6)))</f>
        <v>84.299600346291157</v>
      </c>
      <c r="BZ6" s="405">
        <f>IF($BV6="",BT6,IF(AND($BV6="BPT",IFERROR(ISNUMBER(VLOOKUP($A6,#REF!,6,FALSE)),FALSE)),VLOOKUP($A6,#REF!,6,FALSE),IF(AND($BV6="Y",IFERROR(ISNUMBER(VLOOKUP($A6,'Manual adjustments'!$A:$O,15,FALSE)),FALSE)),VLOOKUP($A6,'Manual adjustments'!$A:$O,15,FALSE),BT6)))</f>
        <v>130.35318110510772</v>
      </c>
      <c r="CA6" s="407">
        <f>'Post manual recon'!$N$70</f>
        <v>0</v>
      </c>
      <c r="CB6" s="405">
        <f>IF(VLOOKUP($A6,'Post manual recon'!$A:$U,18,FALSE)=0,BW6,BW6*(1+$CA6))</f>
        <v>137.65403054037597</v>
      </c>
      <c r="CC6" s="405">
        <f>IF(VLOOKUP($A6,'Post manual recon'!$A:$U,19,FALSE)=0,BX6,BX6*(1+$CA6))</f>
        <v>171.32716248991088</v>
      </c>
      <c r="CD6" s="405">
        <f>IF(VLOOKUP($A6,'Post manual recon'!$A:$U,20,FALSE)=0,BY6,BY6*(1+$CA6))</f>
        <v>84.299600346291157</v>
      </c>
      <c r="CE6" s="405">
        <f>IF(VLOOKUP($A6,'Post manual recon'!$A:$U,21,FALSE)=0,BZ6,BZ6*(1+$CA6))</f>
        <v>130.35318110510772</v>
      </c>
      <c r="CF6" s="404">
        <f>IF(ISERROR(CB6/BW6-1),0,CB6/BW6-1)</f>
        <v>0</v>
      </c>
      <c r="CG6" s="404">
        <f t="shared" ref="CG6:CI6" si="28">IF(ISERROR(CC6/BX6-1),0,CC6/BX6-1)</f>
        <v>0</v>
      </c>
      <c r="CH6" s="404">
        <f t="shared" si="28"/>
        <v>0</v>
      </c>
      <c r="CI6" s="404">
        <f t="shared" si="28"/>
        <v>0</v>
      </c>
      <c r="CJ6" s="390"/>
      <c r="CK6" s="404">
        <f>'Price Adjustments'!$F$6</f>
        <v>0</v>
      </c>
      <c r="CL6" s="405">
        <f>CB6*(1+$CK6)</f>
        <v>137.65403054037597</v>
      </c>
      <c r="CM6" s="405">
        <f t="shared" ref="CM6:CO6" si="29">CC6*(1+$CK6)</f>
        <v>171.32716248991088</v>
      </c>
      <c r="CN6" s="405">
        <f t="shared" si="29"/>
        <v>84.299600346291157</v>
      </c>
      <c r="CO6" s="405">
        <f t="shared" si="29"/>
        <v>130.35318110510772</v>
      </c>
      <c r="CP6" s="390"/>
      <c r="CQ6" s="405">
        <f>ROUND(CL6,0)</f>
        <v>138</v>
      </c>
      <c r="CR6" s="405">
        <f t="shared" ref="CR6:CT6" si="30">ROUND(CM6,0)</f>
        <v>171</v>
      </c>
      <c r="CS6" s="405">
        <f t="shared" si="30"/>
        <v>84</v>
      </c>
      <c r="CT6" s="405">
        <f t="shared" si="30"/>
        <v>130</v>
      </c>
    </row>
    <row r="7" spans="1:98">
      <c r="A7" s="367">
        <v>101</v>
      </c>
      <c r="B7" s="367" t="str">
        <f>INDEX('201314 RC list'!B:B,MATCH(A7,'201314 RC list'!A:A,0))</f>
        <v>Urology</v>
      </c>
      <c r="C7" s="368">
        <f>IF(ISERROR(VLOOKUP($A7,'Allocate OPROC cost'!A:M,11,FALSE)),"-",VLOOKUP($A7,'Allocate OPROC cost'!A:M,11,FALSE))</f>
        <v>108.58203894901582</v>
      </c>
      <c r="D7" s="368">
        <f>IF(ISERROR(VLOOKUP($A7,'Allocate OPROC cost'!A:M,10,FALSE)),"-",VLOOKUP($A7,'Allocate OPROC cost'!A:M,10,FALSE))</f>
        <v>162.50186375635531</v>
      </c>
      <c r="E7" s="368">
        <f>IF(ISERROR(VLOOKUP($A7,'Allocate OPROC cost'!A:M,13,FALSE)),"-",VLOOKUP($A7,'Allocate OPROC cost'!A:M,13,FALSE))</f>
        <v>84.757965379055349</v>
      </c>
      <c r="F7" s="368">
        <f>IF(ISERROR(VLOOKUP($A7,'Allocate OPROC cost'!A:M,12,FALSE)),"-",VLOOKUP($A7,'Allocate OPROC cost'!A:M,12,FALSE))</f>
        <v>139.8866194593096</v>
      </c>
      <c r="G7" s="369"/>
      <c r="H7" s="370">
        <f>IF(ISERROR(VLOOKUP($A7,'Allocate OPROC cost'!A:AO,39,FALSE)),"-",VLOOKUP($A7,'Allocate OPROC cost'!A:AO,39,FALSE))</f>
        <v>108.8332279974736</v>
      </c>
      <c r="I7" s="370">
        <f>IF(ISERROR(VLOOKUP($A7,'Allocate OPROC cost'!A:AO,38,FALSE)),"-",VLOOKUP($A7,'Allocate OPROC cost'!A:AO,38,FALSE))</f>
        <v>158.55931021748032</v>
      </c>
      <c r="J7" s="370">
        <f>IF(ISERROR(VLOOKUP($A7,'Allocate OPROC cost'!A:AO,41,FALSE)),"-",VLOOKUP($A7,'Allocate OPROC cost'!A:AO,41,FALSE))</f>
        <v>85.833160970260607</v>
      </c>
      <c r="K7" s="370">
        <f>IF(ISERROR(VLOOKUP($A7,'Allocate OPROC cost'!A:AO,40,FALSE)),"-",VLOOKUP($A7,'Allocate OPROC cost'!A:AO,40,FALSE))</f>
        <v>139.27816633047186</v>
      </c>
      <c r="L7" s="371">
        <f t="shared" si="0"/>
        <v>2.3133572632183519E-3</v>
      </c>
      <c r="M7" s="371">
        <f t="shared" si="1"/>
        <v>-2.426158966881875E-2</v>
      </c>
      <c r="N7" s="371">
        <f t="shared" si="2"/>
        <v>1.268548137507497E-2</v>
      </c>
      <c r="O7" s="371">
        <f t="shared" si="3"/>
        <v>-4.3496163620905248E-3</v>
      </c>
      <c r="P7" s="369"/>
      <c r="Q7" s="372">
        <f>IF(ISERROR(VLOOKUP($A7,'Front-loading'!$A:$AG,27,FALSE)),"-",VLOOKUP($A7,'Front-loading'!$A:$AG,27,FALSE))</f>
        <v>125.83796309784503</v>
      </c>
      <c r="R7" s="372">
        <f>IF(ISERROR(VLOOKUP($A7,'Front-loading'!$A:$AG,26,FALSE)),"-",VLOOKUP($A7,'Front-loading'!$A:$AG,26,FALSE))</f>
        <v>200.32639130024691</v>
      </c>
      <c r="S7" s="372">
        <f>IF(ISERROR(VLOOKUP($A7,'Front-loading'!$A:$AG,29,FALSE)),"-",VLOOKUP($A7,'Front-loading'!$A:$AG,29,FALSE))</f>
        <v>77.249844873234551</v>
      </c>
      <c r="T7" s="372">
        <f>IF(ISERROR(VLOOKUP($A7,'Front-loading'!$A:$AG,28,FALSE)),"-",VLOOKUP($A7,'Front-loading'!$A:$AG,28,FALSE))</f>
        <v>125.35034969742468</v>
      </c>
      <c r="U7" s="373">
        <f t="shared" si="4"/>
        <v>0.15624580298919533</v>
      </c>
      <c r="V7" s="373">
        <f t="shared" si="5"/>
        <v>0.26341613763000593</v>
      </c>
      <c r="W7" s="373">
        <f t="shared" si="6"/>
        <v>-9.9999999999999978E-2</v>
      </c>
      <c r="X7" s="373">
        <f t="shared" si="7"/>
        <v>-9.9999999999999978E-2</v>
      </c>
      <c r="Y7" s="369"/>
      <c r="Z7" s="374">
        <f>IF(ISERROR(VLOOKUP($A7,'Further adjustment'!$A:$BC,53,FALSE)),"-",VLOOKUP($A7,'Further adjustment'!$A:$BC,53,FALSE))</f>
        <v>125.83796309784503</v>
      </c>
      <c r="AA7" s="374">
        <f>IF(ISERROR(VLOOKUP($A7,'Further adjustment'!$A:$BC,52,FALSE)),"-",VLOOKUP($A7,'Further adjustment'!$A:$BC,52,FALSE))</f>
        <v>198.60552620525058</v>
      </c>
      <c r="AB7" s="374">
        <f>IF(ISERROR(VLOOKUP($A7,'Further adjustment'!$A:$BC,55,FALSE)),"-",VLOOKUP($A7,'Further adjustment'!$A:$BC,55,FALSE))</f>
        <v>77.249844873234551</v>
      </c>
      <c r="AC7" s="374">
        <f>IF(ISERROR(VLOOKUP($A7,'Further adjustment'!$A:$BC,54,FALSE)),"-",VLOOKUP($A7,'Further adjustment'!$A:$BC,54,FALSE))</f>
        <v>124.91138679693073</v>
      </c>
      <c r="AD7" s="375">
        <f t="shared" si="8"/>
        <v>0</v>
      </c>
      <c r="AE7" s="375">
        <f t="shared" si="9"/>
        <v>-8.5903064684927921E-3</v>
      </c>
      <c r="AF7" s="375">
        <f t="shared" si="10"/>
        <v>0</v>
      </c>
      <c r="AG7" s="375">
        <f t="shared" si="11"/>
        <v>-3.5018881204044172E-3</v>
      </c>
      <c r="AH7" s="369"/>
      <c r="AI7" s="376">
        <f>'Price Adjustments'!$G$6</f>
        <v>-3.1174571652793026E-2</v>
      </c>
      <c r="AJ7" s="376">
        <v>0</v>
      </c>
      <c r="AK7" s="377">
        <f t="shared" ref="AK7:AK65" si="31">IF(ISERROR(Z7*(1+$AI7)*(1+$AJ7)),"-",Z7*(1+$AI7)*(1+$AJ7))</f>
        <v>121.91501850060973</v>
      </c>
      <c r="AL7" s="377">
        <f t="shared" ref="AL7:AL65" si="32">IF(ISERROR(AA7*(1+$AI7)*(1+$AJ7)),"-",AA7*(1+$AI7)*(1+$AJ7))</f>
        <v>192.41408399792434</v>
      </c>
      <c r="AM7" s="377">
        <f t="shared" ref="AM7:AM65" si="33">IF(ISERROR(AB7*(1+$AI7)*(1+$AJ7)),"-",AB7*(1+$AI7)*(1+$AJ7))</f>
        <v>74.841614049066749</v>
      </c>
      <c r="AN7" s="377">
        <f t="shared" ref="AN7:AN65" si="34">IF(ISERROR(AC7*(1+$AI7)*(1+$AJ7)),"-",AC7*(1+$AI7)*(1+$AJ7))</f>
        <v>121.01732781898006</v>
      </c>
      <c r="AO7" s="378">
        <f t="shared" si="12"/>
        <v>-3.1174571652793026E-2</v>
      </c>
      <c r="AP7" s="378">
        <f t="shared" si="13"/>
        <v>-3.1174571652793026E-2</v>
      </c>
      <c r="AQ7" s="378">
        <f t="shared" si="14"/>
        <v>-3.1174571652793137E-2</v>
      </c>
      <c r="AR7" s="378">
        <f t="shared" si="15"/>
        <v>-3.1174571652793026E-2</v>
      </c>
      <c r="AS7" s="379">
        <f>'Price Adjustments'!$F$6</f>
        <v>0</v>
      </c>
      <c r="AT7" s="377">
        <f>IF(ISERROR(VLOOKUP($A7,'15-16 tariff'!$A:$F,3,FALSE)*(1+$AS$6)),"-",VLOOKUP($A7,'15-16 tariff'!$A:$F,3,FALSE)*(1+$AS$6))</f>
        <v>131.00911897744473</v>
      </c>
      <c r="AU7" s="377">
        <f>IF(ISERROR(VLOOKUP($A7,'15-16 tariff'!$A:$F,4,FALSE)*(1+$AS$6)),"-",VLOOKUP($A7,'15-16 tariff'!$A:$F,4,FALSE)*(1+$AS$6))</f>
        <v>200.76404429671214</v>
      </c>
      <c r="AV7" s="377">
        <f>IF(ISERROR(VLOOKUP($A7,'15-16 tariff'!$A:$F,5,FALSE)*(1+$AS$6)),"-",VLOOKUP($A7,'15-16 tariff'!$A:$F,5,FALSE)*(1+$AS$6))</f>
        <v>74.736332523606606</v>
      </c>
      <c r="AW7" s="377">
        <f>IF(ISERROR(VLOOKUP($A7,'15-16 tariff'!$A:$F,6,FALSE)*(1+$AS$6)),"-",VLOOKUP($A7,'15-16 tariff'!$A:$F,6,FALSE)*(1+$AS$6))</f>
        <v>103.93260220729132</v>
      </c>
      <c r="AX7" s="369"/>
      <c r="AY7" s="380" t="s">
        <v>307</v>
      </c>
      <c r="AZ7" s="380" t="s">
        <v>307</v>
      </c>
      <c r="BA7" s="380" t="s">
        <v>307</v>
      </c>
      <c r="BB7" s="381" t="s">
        <v>307</v>
      </c>
      <c r="BC7" s="381">
        <f t="shared" si="16"/>
        <v>121.91501850060973</v>
      </c>
      <c r="BD7" s="381">
        <f t="shared" si="17"/>
        <v>192.41408399792434</v>
      </c>
      <c r="BE7" s="381">
        <f t="shared" si="18"/>
        <v>74.841614049066749</v>
      </c>
      <c r="BF7" s="381">
        <f t="shared" si="19"/>
        <v>121.01732781898006</v>
      </c>
      <c r="BG7" s="381">
        <f>IFERROR(VLOOKUP($A7,'Further adjustment'!$A:$Q,7,FALSE),0)</f>
        <v>551537</v>
      </c>
      <c r="BH7" s="381">
        <f>IFERROR(VLOOKUP($A7,'Further adjustment'!$A:$Q,6,FALSE),0)</f>
        <v>6807</v>
      </c>
      <c r="BI7" s="381">
        <f>IFERROR(VLOOKUP($A7,'Further adjustment'!$A:$Q,9,FALSE),0)</f>
        <v>1092671</v>
      </c>
      <c r="BJ7" s="381">
        <f>IFERROR(VLOOKUP($A7,'Further adjustment'!$A:$Q,8,FALSE),0)</f>
        <v>20413</v>
      </c>
      <c r="BK7" s="382">
        <f t="shared" si="20"/>
        <v>-3.1174571652793026E-2</v>
      </c>
      <c r="BL7" s="382">
        <f t="shared" si="21"/>
        <v>-3.1174571652793026E-2</v>
      </c>
      <c r="BM7" s="382">
        <f t="shared" si="22"/>
        <v>-3.1174571652793137E-2</v>
      </c>
      <c r="BN7" s="382">
        <f t="shared" si="23"/>
        <v>-3.1174571652793026E-2</v>
      </c>
      <c r="BO7" s="369"/>
      <c r="BP7" s="383">
        <f>'Price Adjustments'!$D$90</f>
        <v>-6.8529657693413348E-2</v>
      </c>
      <c r="BQ7" s="384">
        <f t="shared" si="24"/>
        <v>113.5602240150768</v>
      </c>
      <c r="BR7" s="384">
        <f t="shared" si="25"/>
        <v>179.2280126861549</v>
      </c>
      <c r="BS7" s="384">
        <f t="shared" si="26"/>
        <v>69.712743857061653</v>
      </c>
      <c r="BT7" s="384">
        <f t="shared" si="27"/>
        <v>112.72405176857377</v>
      </c>
      <c r="BU7" s="369"/>
      <c r="BV7" s="385" t="str">
        <f>IF(COUNTIF('Manual adjustments'!$A:$A,A7)=1,"Y",IF(COUNTIF(#REF!,A7)=1,"BPT",""))</f>
        <v>Y</v>
      </c>
      <c r="BW7" s="384">
        <f>IF($BV7="",BQ7,IF(AND($BV7="BPT",IFERROR(ISNUMBER(VLOOKUP($A7,#REF!,3,FALSE)),FALSE)),VLOOKUP($A7,#REF!,3,FALSE),IF(AND($BV7="Y",IFERROR(ISNUMBER(VLOOKUP($A7,'Manual adjustments'!$A:$O,12,FALSE)),FALSE)),VLOOKUP($A7,'Manual adjustments'!$A:$O,12,FALSE),BQ7)))</f>
        <v>113.5602240150768</v>
      </c>
      <c r="BX7" s="384">
        <f>IF($BV7="",BR7,IF(AND($BV7="BPT",IFERROR(ISNUMBER(VLOOKUP($A7,#REF!,4,FALSE)),FALSE)),VLOOKUP($A7,#REF!,4,FALSE),IF(AND($BV7="Y",IFERROR(ISNUMBER(VLOOKUP($A7,'Manual adjustments'!$A:$O,13,FALSE)),FALSE)),VLOOKUP($A7,'Manual adjustments'!$A:$O,13,FALSE),BR7)))</f>
        <v>179.2280126861549</v>
      </c>
      <c r="BY7" s="384">
        <f>IF($BV7="",BS7,IF(AND($BV7="BPT",IFERROR(ISNUMBER(VLOOKUP($A7,#REF!,5,FALSE)),FALSE)),VLOOKUP($A7,#REF!,5,FALSE),IF(AND($BV7="Y",IFERROR(ISNUMBER(VLOOKUP($A7,'Manual adjustments'!$A:$O,14,FALSE)),FALSE)),VLOOKUP($A7,'Manual adjustments'!$A:$O,14,FALSE),BS7)))</f>
        <v>69.712743857061653</v>
      </c>
      <c r="BZ7" s="384">
        <f>IF($BV7="",BT7,IF(AND($BV7="BPT",IFERROR(ISNUMBER(VLOOKUP($A7,#REF!,6,FALSE)),FALSE)),VLOOKUP($A7,#REF!,6,FALSE),IF(AND($BV7="Y",IFERROR(ISNUMBER(VLOOKUP($A7,'Manual adjustments'!$A:$O,15,FALSE)),FALSE)),VLOOKUP($A7,'Manual adjustments'!$A:$O,15,FALSE),BT7)))</f>
        <v>112.72405176857377</v>
      </c>
      <c r="CA7" s="386">
        <f>'Post manual recon'!$N$70</f>
        <v>0</v>
      </c>
      <c r="CB7" s="384">
        <f>IF(VLOOKUP($A7,'Post manual recon'!$A:$U,18,FALSE)=0,BW7,BW7*(1+$CA7))</f>
        <v>113.5602240150768</v>
      </c>
      <c r="CC7" s="384">
        <f>IF(VLOOKUP($A7,'Post manual recon'!$A:$U,19,FALSE)=0,BX7,BX7*(1+$CA7))</f>
        <v>179.2280126861549</v>
      </c>
      <c r="CD7" s="384">
        <f>IF(VLOOKUP($A7,'Post manual recon'!$A:$U,20,FALSE)=0,BY7,BY7*(1+$CA7))</f>
        <v>69.712743857061653</v>
      </c>
      <c r="CE7" s="384">
        <f>IF(VLOOKUP($A7,'Post manual recon'!$A:$U,21,FALSE)=0,BZ7,BZ7*(1+$CA7))</f>
        <v>112.72405176857377</v>
      </c>
      <c r="CF7" s="383">
        <f t="shared" ref="CF7:CF65" si="35">IF(ISERROR(CB7/BW7-1),0,CB7/BW7-1)</f>
        <v>0</v>
      </c>
      <c r="CG7" s="383">
        <f t="shared" ref="CG7:CG65" si="36">IF(ISERROR(CC7/BX7-1),0,CC7/BX7-1)</f>
        <v>0</v>
      </c>
      <c r="CH7" s="383">
        <f t="shared" ref="CH7:CH65" si="37">IF(ISERROR(CD7/BY7-1),0,CD7/BY7-1)</f>
        <v>0</v>
      </c>
      <c r="CI7" s="383">
        <f t="shared" ref="CI7:CI65" si="38">IF(ISERROR(CE7/BZ7-1),0,CE7/BZ7-1)</f>
        <v>0</v>
      </c>
      <c r="CJ7" s="369"/>
      <c r="CK7" s="383">
        <f>'Price Adjustments'!$F$6</f>
        <v>0</v>
      </c>
      <c r="CL7" s="384">
        <f t="shared" ref="CL7:CL65" si="39">CB7*(1+$CK7)</f>
        <v>113.5602240150768</v>
      </c>
      <c r="CM7" s="384">
        <f t="shared" ref="CM7:CM65" si="40">CC7*(1+$CK7)</f>
        <v>179.2280126861549</v>
      </c>
      <c r="CN7" s="384">
        <f t="shared" ref="CN7:CN65" si="41">CD7*(1+$CK7)</f>
        <v>69.712743857061653</v>
      </c>
      <c r="CO7" s="384">
        <f t="shared" ref="CO7:CO65" si="42">CE7*(1+$CK7)</f>
        <v>112.72405176857377</v>
      </c>
      <c r="CP7" s="369"/>
      <c r="CQ7" s="384">
        <f t="shared" ref="CQ7:CQ65" si="43">ROUND(CL7,0)</f>
        <v>114</v>
      </c>
      <c r="CR7" s="384">
        <f t="shared" ref="CR7:CR65" si="44">ROUND(CM7,0)</f>
        <v>179</v>
      </c>
      <c r="CS7" s="384">
        <f t="shared" ref="CS7:CS65" si="45">ROUND(CN7,0)</f>
        <v>70</v>
      </c>
      <c r="CT7" s="384">
        <f t="shared" ref="CT7:CT65" si="46">ROUND(CO7,0)</f>
        <v>113</v>
      </c>
    </row>
    <row r="8" spans="1:98">
      <c r="A8" s="367">
        <v>103</v>
      </c>
      <c r="B8" s="367" t="str">
        <f>INDEX('201314 RC list'!B:B,MATCH(A8,'201314 RC list'!A:A,0))</f>
        <v>Breast Surgery</v>
      </c>
      <c r="C8" s="368">
        <f>IF(ISERROR(VLOOKUP($A8,'Allocate OPROC cost'!A:M,11,FALSE)),"-",VLOOKUP($A8,'Allocate OPROC cost'!A:M,11,FALSE))</f>
        <v>155.59249043051403</v>
      </c>
      <c r="D8" s="368">
        <f>IF(ISERROR(VLOOKUP($A8,'Allocate OPROC cost'!A:M,10,FALSE)),"-",VLOOKUP($A8,'Allocate OPROC cost'!A:M,10,FALSE))</f>
        <v>174.59614950980207</v>
      </c>
      <c r="E8" s="368">
        <f>IF(ISERROR(VLOOKUP($A8,'Allocate OPROC cost'!A:M,13,FALSE)),"-",VLOOKUP($A8,'Allocate OPROC cost'!A:M,13,FALSE))</f>
        <v>109.81920582368792</v>
      </c>
      <c r="F8" s="368">
        <f>IF(ISERROR(VLOOKUP($A8,'Allocate OPROC cost'!A:M,12,FALSE)),"-",VLOOKUP($A8,'Allocate OPROC cost'!A:M,12,FALSE))</f>
        <v>133.80773590730698</v>
      </c>
      <c r="G8" s="369"/>
      <c r="H8" s="370">
        <f>IF(ISERROR(VLOOKUP($A8,'Allocate OPROC cost'!A:AO,39,FALSE)),"-",VLOOKUP($A8,'Allocate OPROC cost'!A:AO,39,FALSE))</f>
        <v>154.95001434917307</v>
      </c>
      <c r="I8" s="370">
        <f>IF(ISERROR(VLOOKUP($A8,'Allocate OPROC cost'!A:AO,38,FALSE)),"-",VLOOKUP($A8,'Allocate OPROC cost'!A:AO,38,FALSE))</f>
        <v>173.11051124185667</v>
      </c>
      <c r="J8" s="370">
        <f>IF(ISERROR(VLOOKUP($A8,'Allocate OPROC cost'!A:AO,41,FALSE)),"-",VLOOKUP($A8,'Allocate OPROC cost'!A:AO,41,FALSE))</f>
        <v>109.90710900797276</v>
      </c>
      <c r="K8" s="370">
        <f>IF(ISERROR(VLOOKUP($A8,'Allocate OPROC cost'!A:AO,40,FALSE)),"-",VLOOKUP($A8,'Allocate OPROC cost'!A:AO,40,FALSE))</f>
        <v>133.52810221951447</v>
      </c>
      <c r="L8" s="371">
        <f t="shared" si="0"/>
        <v>-4.1292229436219463E-3</v>
      </c>
      <c r="M8" s="371">
        <f t="shared" si="1"/>
        <v>-8.5089978909415054E-3</v>
      </c>
      <c r="N8" s="371">
        <f t="shared" si="2"/>
        <v>8.0043543955299334E-4</v>
      </c>
      <c r="O8" s="371">
        <f t="shared" si="3"/>
        <v>-2.0898170490398771E-3</v>
      </c>
      <c r="P8" s="369"/>
      <c r="Q8" s="372">
        <f>IF(ISERROR(VLOOKUP($A8,'Front-loading'!$A:$AG,27,FALSE)),"-",VLOOKUP($A8,'Front-loading'!$A:$AG,27,FALSE))</f>
        <v>169.01850611426696</v>
      </c>
      <c r="R8" s="372">
        <f>IF(ISERROR(VLOOKUP($A8,'Front-loading'!$A:$AG,26,FALSE)),"-",VLOOKUP($A8,'Front-loading'!$A:$AG,26,FALSE))</f>
        <v>181.59976838090682</v>
      </c>
      <c r="S8" s="372">
        <f>IF(ISERROR(VLOOKUP($A8,'Front-loading'!$A:$AG,29,FALSE)),"-",VLOOKUP($A8,'Front-loading'!$A:$AG,29,FALSE))</f>
        <v>98.916398107175482</v>
      </c>
      <c r="T8" s="372">
        <f>IF(ISERROR(VLOOKUP($A8,'Front-loading'!$A:$AG,28,FALSE)),"-",VLOOKUP($A8,'Front-loading'!$A:$AG,28,FALSE))</f>
        <v>120.17529199756302</v>
      </c>
      <c r="U8" s="373">
        <f t="shared" si="4"/>
        <v>9.0793742899507812E-2</v>
      </c>
      <c r="V8" s="373">
        <f t="shared" si="5"/>
        <v>4.9039524394850931E-2</v>
      </c>
      <c r="W8" s="373">
        <f t="shared" si="6"/>
        <v>-0.10000000000000009</v>
      </c>
      <c r="X8" s="373">
        <f t="shared" si="7"/>
        <v>-9.9999999999999978E-2</v>
      </c>
      <c r="Y8" s="369"/>
      <c r="Z8" s="374">
        <f>IF(ISERROR(VLOOKUP($A8,'Further adjustment'!$A:$BC,53,FALSE)),"-",VLOOKUP($A8,'Further adjustment'!$A:$BC,53,FALSE))</f>
        <v>169.01850611426696</v>
      </c>
      <c r="AA8" s="374">
        <f>IF(ISERROR(VLOOKUP($A8,'Further adjustment'!$A:$BC,52,FALSE)),"-",VLOOKUP($A8,'Further adjustment'!$A:$BC,52,FALSE))</f>
        <v>181.59976838090682</v>
      </c>
      <c r="AB8" s="374">
        <f>IF(ISERROR(VLOOKUP($A8,'Further adjustment'!$A:$BC,55,FALSE)),"-",VLOOKUP($A8,'Further adjustment'!$A:$BC,55,FALSE))</f>
        <v>98.916398107175482</v>
      </c>
      <c r="AC8" s="374">
        <f>IF(ISERROR(VLOOKUP($A8,'Further adjustment'!$A:$BC,54,FALSE)),"-",VLOOKUP($A8,'Further adjustment'!$A:$BC,54,FALSE))</f>
        <v>120.17529199756302</v>
      </c>
      <c r="AD8" s="375">
        <f t="shared" si="8"/>
        <v>0</v>
      </c>
      <c r="AE8" s="375">
        <f t="shared" si="9"/>
        <v>0</v>
      </c>
      <c r="AF8" s="375">
        <f t="shared" si="10"/>
        <v>0</v>
      </c>
      <c r="AG8" s="375">
        <f t="shared" si="11"/>
        <v>0</v>
      </c>
      <c r="AH8" s="369"/>
      <c r="AI8" s="376">
        <f>'Price Adjustments'!$G$6</f>
        <v>-3.1174571652793026E-2</v>
      </c>
      <c r="AJ8" s="376">
        <v>0</v>
      </c>
      <c r="AK8" s="377">
        <f t="shared" si="31"/>
        <v>163.7494265847597</v>
      </c>
      <c r="AL8" s="377">
        <f t="shared" si="32"/>
        <v>175.93847338938562</v>
      </c>
      <c r="AM8" s="377">
        <f t="shared" si="33"/>
        <v>95.832721766747142</v>
      </c>
      <c r="AN8" s="377">
        <f t="shared" si="34"/>
        <v>116.42887874628967</v>
      </c>
      <c r="AO8" s="378">
        <f t="shared" si="12"/>
        <v>-3.1174571652793026E-2</v>
      </c>
      <c r="AP8" s="378">
        <f t="shared" si="13"/>
        <v>-3.1174571652793026E-2</v>
      </c>
      <c r="AQ8" s="378">
        <f t="shared" si="14"/>
        <v>-3.1174571652793026E-2</v>
      </c>
      <c r="AR8" s="378">
        <f t="shared" si="15"/>
        <v>-3.1174571652793026E-2</v>
      </c>
      <c r="AS8" s="379">
        <f>'Price Adjustments'!$F$6</f>
        <v>0</v>
      </c>
      <c r="AT8" s="377">
        <f>IF(ISERROR(VLOOKUP($A8,'15-16 tariff'!$A:$F,3,FALSE)*(1+$AS$6)),"-",VLOOKUP($A8,'15-16 tariff'!$A:$F,3,FALSE)*(1+$AS$6))</f>
        <v>165.54197211409431</v>
      </c>
      <c r="AU8" s="377">
        <f>IF(ISERROR(VLOOKUP($A8,'15-16 tariff'!$A:$F,4,FALSE)*(1+$AS$6)),"-",VLOOKUP($A8,'15-16 tariff'!$A:$F,4,FALSE)*(1+$AS$6))</f>
        <v>165.54197211409431</v>
      </c>
      <c r="AV8" s="377">
        <f>IF(ISERROR(VLOOKUP($A8,'15-16 tariff'!$A:$F,5,FALSE)*(1+$AS$6)),"-",VLOOKUP($A8,'15-16 tariff'!$A:$F,5,FALSE)*(1+$AS$6))</f>
        <v>94.853729439538526</v>
      </c>
      <c r="AW8" s="377">
        <f>IF(ISERROR(VLOOKUP($A8,'15-16 tariff'!$A:$F,6,FALSE)*(1+$AS$6)),"-",VLOOKUP($A8,'15-16 tariff'!$A:$F,6,FALSE)*(1+$AS$6))</f>
        <v>94.853729439538526</v>
      </c>
      <c r="AX8" s="369"/>
      <c r="AY8" s="380" t="s">
        <v>307</v>
      </c>
      <c r="AZ8" s="380" t="s">
        <v>307</v>
      </c>
      <c r="BA8" s="380" t="s">
        <v>307</v>
      </c>
      <c r="BB8" s="381" t="s">
        <v>307</v>
      </c>
      <c r="BC8" s="381">
        <f t="shared" si="16"/>
        <v>163.7494265847597</v>
      </c>
      <c r="BD8" s="381">
        <f t="shared" si="17"/>
        <v>175.93847338938562</v>
      </c>
      <c r="BE8" s="381">
        <f t="shared" si="18"/>
        <v>95.832721766747142</v>
      </c>
      <c r="BF8" s="381">
        <f t="shared" si="19"/>
        <v>116.42887874628967</v>
      </c>
      <c r="BG8" s="381">
        <f>IFERROR(VLOOKUP($A8,'Further adjustment'!$A:$Q,7,FALSE),0)</f>
        <v>351185</v>
      </c>
      <c r="BH8" s="381">
        <f>IFERROR(VLOOKUP($A8,'Further adjustment'!$A:$Q,6,FALSE),0)</f>
        <v>59739</v>
      </c>
      <c r="BI8" s="381">
        <f>IFERROR(VLOOKUP($A8,'Further adjustment'!$A:$Q,9,FALSE),0)</f>
        <v>449529</v>
      </c>
      <c r="BJ8" s="381">
        <f>IFERROR(VLOOKUP($A8,'Further adjustment'!$A:$Q,8,FALSE),0)</f>
        <v>37980</v>
      </c>
      <c r="BK8" s="382">
        <f t="shared" si="20"/>
        <v>-3.1174571652793026E-2</v>
      </c>
      <c r="BL8" s="382">
        <f t="shared" si="21"/>
        <v>-3.1174571652793026E-2</v>
      </c>
      <c r="BM8" s="382">
        <f t="shared" si="22"/>
        <v>-3.1174571652793026E-2</v>
      </c>
      <c r="BN8" s="382">
        <f t="shared" si="23"/>
        <v>-3.1174571652793026E-2</v>
      </c>
      <c r="BO8" s="369"/>
      <c r="BP8" s="383">
        <f>'Price Adjustments'!$D$90</f>
        <v>-6.8529657693413348E-2</v>
      </c>
      <c r="BQ8" s="384">
        <f t="shared" si="24"/>
        <v>152.5277344334134</v>
      </c>
      <c r="BR8" s="384">
        <f t="shared" si="25"/>
        <v>163.88147003290931</v>
      </c>
      <c r="BS8" s="384">
        <f t="shared" si="26"/>
        <v>89.265338148243842</v>
      </c>
      <c r="BT8" s="384">
        <f t="shared" si="27"/>
        <v>108.4500475401785</v>
      </c>
      <c r="BU8" s="369"/>
      <c r="BV8" s="385" t="str">
        <f>IF(COUNTIF('Manual adjustments'!$A:$A,A8)=1,"Y",IF(COUNTIF(#REF!,A8)=1,"BPT",""))</f>
        <v>Y</v>
      </c>
      <c r="BW8" s="384">
        <f>IF($BV8="",BQ8,IF(AND($BV8="BPT",IFERROR(ISNUMBER(VLOOKUP($A8,#REF!,3,FALSE)),FALSE)),VLOOKUP($A8,#REF!,3,FALSE),IF(AND($BV8="Y",IFERROR(ISNUMBER(VLOOKUP($A8,'Manual adjustments'!$A:$O,12,FALSE)),FALSE)),VLOOKUP($A8,'Manual adjustments'!$A:$O,12,FALSE),BQ8)))</f>
        <v>152.5277344334134</v>
      </c>
      <c r="BX8" s="384">
        <f>IF($BV8="",BR8,IF(AND($BV8="BPT",IFERROR(ISNUMBER(VLOOKUP($A8,#REF!,4,FALSE)),FALSE)),VLOOKUP($A8,#REF!,4,FALSE),IF(AND($BV8="Y",IFERROR(ISNUMBER(VLOOKUP($A8,'Manual adjustments'!$A:$O,13,FALSE)),FALSE)),VLOOKUP($A8,'Manual adjustments'!$A:$O,13,FALSE),BR8)))</f>
        <v>163.88147003290931</v>
      </c>
      <c r="BY8" s="384">
        <f>IF($BV8="",BS8,IF(AND($BV8="BPT",IFERROR(ISNUMBER(VLOOKUP($A8,#REF!,5,FALSE)),FALSE)),VLOOKUP($A8,#REF!,5,FALSE),IF(AND($BV8="Y",IFERROR(ISNUMBER(VLOOKUP($A8,'Manual adjustments'!$A:$O,14,FALSE)),FALSE)),VLOOKUP($A8,'Manual adjustments'!$A:$O,14,FALSE),BS8)))</f>
        <v>89.265338148243842</v>
      </c>
      <c r="BZ8" s="384">
        <f>IF($BV8="",BT8,IF(AND($BV8="BPT",IFERROR(ISNUMBER(VLOOKUP($A8,#REF!,6,FALSE)),FALSE)),VLOOKUP($A8,#REF!,6,FALSE),IF(AND($BV8="Y",IFERROR(ISNUMBER(VLOOKUP($A8,'Manual adjustments'!$A:$O,15,FALSE)),FALSE)),VLOOKUP($A8,'Manual adjustments'!$A:$O,15,FALSE),BT8)))</f>
        <v>108.4500475401785</v>
      </c>
      <c r="CA8" s="386">
        <f>'Post manual recon'!$N$70</f>
        <v>0</v>
      </c>
      <c r="CB8" s="384">
        <f>IF(VLOOKUP($A8,'Post manual recon'!$A:$U,18,FALSE)=0,BW8,BW8*(1+$CA8))</f>
        <v>152.5277344334134</v>
      </c>
      <c r="CC8" s="384">
        <f>IF(VLOOKUP($A8,'Post manual recon'!$A:$U,19,FALSE)=0,BX8,BX8*(1+$CA8))</f>
        <v>163.88147003290931</v>
      </c>
      <c r="CD8" s="384">
        <f>IF(VLOOKUP($A8,'Post manual recon'!$A:$U,20,FALSE)=0,BY8,BY8*(1+$CA8))</f>
        <v>89.265338148243842</v>
      </c>
      <c r="CE8" s="384">
        <f>IF(VLOOKUP($A8,'Post manual recon'!$A:$U,21,FALSE)=0,BZ8,BZ8*(1+$CA8))</f>
        <v>108.4500475401785</v>
      </c>
      <c r="CF8" s="383">
        <f t="shared" si="35"/>
        <v>0</v>
      </c>
      <c r="CG8" s="383">
        <f t="shared" si="36"/>
        <v>0</v>
      </c>
      <c r="CH8" s="383">
        <f t="shared" si="37"/>
        <v>0</v>
      </c>
      <c r="CI8" s="383">
        <f t="shared" si="38"/>
        <v>0</v>
      </c>
      <c r="CJ8" s="369"/>
      <c r="CK8" s="383">
        <f>'Price Adjustments'!$F$6</f>
        <v>0</v>
      </c>
      <c r="CL8" s="384">
        <f t="shared" si="39"/>
        <v>152.5277344334134</v>
      </c>
      <c r="CM8" s="384">
        <f t="shared" si="40"/>
        <v>163.88147003290931</v>
      </c>
      <c r="CN8" s="384">
        <f t="shared" si="41"/>
        <v>89.265338148243842</v>
      </c>
      <c r="CO8" s="384">
        <f t="shared" si="42"/>
        <v>108.4500475401785</v>
      </c>
      <c r="CP8" s="369"/>
      <c r="CQ8" s="384">
        <f t="shared" si="43"/>
        <v>153</v>
      </c>
      <c r="CR8" s="384">
        <f t="shared" si="44"/>
        <v>164</v>
      </c>
      <c r="CS8" s="384">
        <f t="shared" si="45"/>
        <v>89</v>
      </c>
      <c r="CT8" s="384">
        <f t="shared" si="46"/>
        <v>108</v>
      </c>
    </row>
    <row r="9" spans="1:98">
      <c r="A9" s="367">
        <v>104</v>
      </c>
      <c r="B9" s="367" t="str">
        <f>INDEX('201314 RC list'!B:B,MATCH(A9,'201314 RC list'!A:A,0))</f>
        <v>Colorectal Surgery</v>
      </c>
      <c r="C9" s="368">
        <f>IF(ISERROR(VLOOKUP($A9,'Allocate OPROC cost'!A:M,11,FALSE)),"-",VLOOKUP($A9,'Allocate OPROC cost'!A:M,11,FALSE))</f>
        <v>119.2797405835465</v>
      </c>
      <c r="D9" s="368">
        <f>IF(ISERROR(VLOOKUP($A9,'Allocate OPROC cost'!A:M,10,FALSE)),"-",VLOOKUP($A9,'Allocate OPROC cost'!A:M,10,FALSE))</f>
        <v>169.64544217382505</v>
      </c>
      <c r="E9" s="368">
        <f>IF(ISERROR(VLOOKUP($A9,'Allocate OPROC cost'!A:M,13,FALSE)),"-",VLOOKUP($A9,'Allocate OPROC cost'!A:M,13,FALSE))</f>
        <v>96.953167251142716</v>
      </c>
      <c r="F9" s="368">
        <f>IF(ISERROR(VLOOKUP($A9,'Allocate OPROC cost'!A:M,12,FALSE)),"-",VLOOKUP($A9,'Allocate OPROC cost'!A:M,12,FALSE))</f>
        <v>249.64596693841403</v>
      </c>
      <c r="G9" s="369"/>
      <c r="H9" s="370">
        <f>IF(ISERROR(VLOOKUP($A9,'Allocate OPROC cost'!A:AO,39,FALSE)),"-",VLOOKUP($A9,'Allocate OPROC cost'!A:AO,39,FALSE))</f>
        <v>119.17847489394786</v>
      </c>
      <c r="I9" s="370">
        <f>IF(ISERROR(VLOOKUP($A9,'Allocate OPROC cost'!A:AO,38,FALSE)),"-",VLOOKUP($A9,'Allocate OPROC cost'!A:AO,38,FALSE))</f>
        <v>168.26173408687791</v>
      </c>
      <c r="J9" s="370">
        <f>IF(ISERROR(VLOOKUP($A9,'Allocate OPROC cost'!A:AO,41,FALSE)),"-",VLOOKUP($A9,'Allocate OPROC cost'!A:AO,41,FALSE))</f>
        <v>97.143124900842651</v>
      </c>
      <c r="K9" s="370">
        <f>IF(ISERROR(VLOOKUP($A9,'Allocate OPROC cost'!A:AO,40,FALSE)),"-",VLOOKUP($A9,'Allocate OPROC cost'!A:AO,40,FALSE))</f>
        <v>248.14739925016656</v>
      </c>
      <c r="L9" s="371">
        <f t="shared" si="0"/>
        <v>-8.4897644061943112E-4</v>
      </c>
      <c r="M9" s="371">
        <f t="shared" si="1"/>
        <v>-8.1564707499146571E-3</v>
      </c>
      <c r="N9" s="371">
        <f t="shared" si="2"/>
        <v>1.9592722454118139E-3</v>
      </c>
      <c r="O9" s="371">
        <f t="shared" si="3"/>
        <v>-6.0027714712377334E-3</v>
      </c>
      <c r="P9" s="369"/>
      <c r="Q9" s="372">
        <f>IF(ISERROR(VLOOKUP($A9,'Front-loading'!$A:$AG,27,FALSE)),"-",VLOOKUP($A9,'Front-loading'!$A:$AG,27,FALSE))</f>
        <v>132.17958371967404</v>
      </c>
      <c r="R9" s="372">
        <f>IF(ISERROR(VLOOKUP($A9,'Front-loading'!$A:$AG,26,FALSE)),"-",VLOOKUP($A9,'Front-loading'!$A:$AG,26,FALSE))</f>
        <v>243.19283561323627</v>
      </c>
      <c r="S9" s="372">
        <f>IF(ISERROR(VLOOKUP($A9,'Front-loading'!$A:$AG,29,FALSE)),"-",VLOOKUP($A9,'Front-loading'!$A:$AG,29,FALSE))</f>
        <v>87.428812410758383</v>
      </c>
      <c r="T9" s="372">
        <f>IF(ISERROR(VLOOKUP($A9,'Front-loading'!$A:$AG,28,FALSE)),"-",VLOOKUP($A9,'Front-loading'!$A:$AG,28,FALSE))</f>
        <v>223.3326593251499</v>
      </c>
      <c r="U9" s="373">
        <f t="shared" si="4"/>
        <v>0.1090894042510222</v>
      </c>
      <c r="V9" s="373">
        <f t="shared" si="5"/>
        <v>0.44532467190472125</v>
      </c>
      <c r="W9" s="373">
        <f t="shared" si="6"/>
        <v>-9.9999999999999978E-2</v>
      </c>
      <c r="X9" s="373">
        <f t="shared" si="7"/>
        <v>-9.9999999999999978E-2</v>
      </c>
      <c r="Y9" s="369"/>
      <c r="Z9" s="374">
        <f>IF(ISERROR(VLOOKUP($A9,'Further adjustment'!$A:$BC,53,FALSE)),"-",VLOOKUP($A9,'Further adjustment'!$A:$BC,53,FALSE))</f>
        <v>132.17958371967404</v>
      </c>
      <c r="AA9" s="374">
        <f>IF(ISERROR(VLOOKUP($A9,'Further adjustment'!$A:$BC,52,FALSE)),"-",VLOOKUP($A9,'Further adjustment'!$A:$BC,52,FALSE))</f>
        <v>243.19283561323627</v>
      </c>
      <c r="AB9" s="374">
        <f>IF(ISERROR(VLOOKUP($A9,'Further adjustment'!$A:$BC,55,FALSE)),"-",VLOOKUP($A9,'Further adjustment'!$A:$BC,55,FALSE))</f>
        <v>89.030246589043131</v>
      </c>
      <c r="AC9" s="374">
        <f>IF(ISERROR(VLOOKUP($A9,'Further adjustment'!$A:$BC,54,FALSE)),"-",VLOOKUP($A9,'Further adjustment'!$A:$BC,54,FALSE))</f>
        <v>178.06049317808626</v>
      </c>
      <c r="AD9" s="375">
        <f t="shared" si="8"/>
        <v>0</v>
      </c>
      <c r="AE9" s="375">
        <f t="shared" si="9"/>
        <v>0</v>
      </c>
      <c r="AF9" s="375">
        <f t="shared" si="10"/>
        <v>1.8317007107003569E-2</v>
      </c>
      <c r="AG9" s="375">
        <f t="shared" si="11"/>
        <v>-0.20271180347676743</v>
      </c>
      <c r="AH9" s="369"/>
      <c r="AI9" s="376">
        <f>'Price Adjustments'!$G$6</f>
        <v>-3.1174571652793026E-2</v>
      </c>
      <c r="AJ9" s="376">
        <v>0</v>
      </c>
      <c r="AK9" s="377">
        <f t="shared" si="31"/>
        <v>128.05894181596872</v>
      </c>
      <c r="AL9" s="377">
        <f t="shared" si="32"/>
        <v>235.61140313396552</v>
      </c>
      <c r="AM9" s="377">
        <f t="shared" si="33"/>
        <v>86.254766787487171</v>
      </c>
      <c r="AN9" s="377">
        <f t="shared" si="34"/>
        <v>172.50953357497434</v>
      </c>
      <c r="AO9" s="378">
        <f t="shared" si="12"/>
        <v>-3.1174571652792915E-2</v>
      </c>
      <c r="AP9" s="378">
        <f t="shared" si="13"/>
        <v>-3.1174571652793026E-2</v>
      </c>
      <c r="AQ9" s="378">
        <f t="shared" si="14"/>
        <v>-3.1174571652793026E-2</v>
      </c>
      <c r="AR9" s="378">
        <f t="shared" si="15"/>
        <v>-3.1174571652793026E-2</v>
      </c>
      <c r="AS9" s="379">
        <f>'Price Adjustments'!$F$6</f>
        <v>0</v>
      </c>
      <c r="AT9" s="377">
        <f>IF(ISERROR(VLOOKUP($A9,'15-16 tariff'!$A:$F,3,FALSE)*(1+$AS$6)),"-",VLOOKUP($A9,'15-16 tariff'!$A:$F,3,FALSE)*(1+$AS$6))</f>
        <v>119.13122995459804</v>
      </c>
      <c r="AU9" s="377">
        <f>IF(ISERROR(VLOOKUP($A9,'15-16 tariff'!$A:$F,4,FALSE)*(1+$AS$6)),"-",VLOOKUP($A9,'15-16 tariff'!$A:$F,4,FALSE)*(1+$AS$6))</f>
        <v>127.40909014730801</v>
      </c>
      <c r="AV9" s="377">
        <f>IF(ISERROR(VLOOKUP($A9,'15-16 tariff'!$A:$F,5,FALSE)*(1+$AS$6)),"-",VLOOKUP($A9,'15-16 tariff'!$A:$F,5,FALSE)*(1+$AS$6))</f>
        <v>74.31427968125513</v>
      </c>
      <c r="AW9" s="377">
        <f>IF(ISERROR(VLOOKUP($A9,'15-16 tariff'!$A:$F,6,FALSE)*(1+$AS$6)),"-",VLOOKUP($A9,'15-16 tariff'!$A:$F,6,FALSE)*(1+$AS$6))</f>
        <v>100.27517215378803</v>
      </c>
      <c r="AX9" s="369"/>
      <c r="AY9" s="380" t="s">
        <v>307</v>
      </c>
      <c r="AZ9" s="380" t="s">
        <v>307</v>
      </c>
      <c r="BA9" s="380" t="s">
        <v>307</v>
      </c>
      <c r="BB9" s="381" t="s">
        <v>307</v>
      </c>
      <c r="BC9" s="381">
        <f t="shared" si="16"/>
        <v>128.05894181596872</v>
      </c>
      <c r="BD9" s="381">
        <f t="shared" si="17"/>
        <v>235.61140313396552</v>
      </c>
      <c r="BE9" s="381">
        <f t="shared" si="18"/>
        <v>86.254766787487171</v>
      </c>
      <c r="BF9" s="381">
        <f t="shared" si="19"/>
        <v>172.50953357497434</v>
      </c>
      <c r="BG9" s="381">
        <f>IFERROR(VLOOKUP($A9,'Further adjustment'!$A:$Q,7,FALSE),0)</f>
        <v>195049</v>
      </c>
      <c r="BH9" s="381">
        <f>IFERROR(VLOOKUP($A9,'Further adjustment'!$A:$Q,6,FALSE),0)</f>
        <v>3058</v>
      </c>
      <c r="BI9" s="381">
        <f>IFERROR(VLOOKUP($A9,'Further adjustment'!$A:$Q,9,FALSE),0)</f>
        <v>261043</v>
      </c>
      <c r="BJ9" s="381">
        <f>IFERROR(VLOOKUP($A9,'Further adjustment'!$A:$Q,8,FALSE),0)</f>
        <v>9234</v>
      </c>
      <c r="BK9" s="382">
        <f t="shared" si="20"/>
        <v>-3.1174571652792915E-2</v>
      </c>
      <c r="BL9" s="382">
        <f t="shared" si="21"/>
        <v>-3.1174571652793026E-2</v>
      </c>
      <c r="BM9" s="382">
        <f t="shared" si="22"/>
        <v>-3.1174571652793026E-2</v>
      </c>
      <c r="BN9" s="382">
        <f t="shared" si="23"/>
        <v>-3.1174571652793026E-2</v>
      </c>
      <c r="BO9" s="369"/>
      <c r="BP9" s="383">
        <f>'Price Adjustments'!$D$90</f>
        <v>-6.8529657693413348E-2</v>
      </c>
      <c r="BQ9" s="384">
        <f t="shared" si="24"/>
        <v>119.28310636873965</v>
      </c>
      <c r="BR9" s="384">
        <f t="shared" si="25"/>
        <v>219.46503432853004</v>
      </c>
      <c r="BS9" s="384">
        <f t="shared" si="26"/>
        <v>80.343757145115475</v>
      </c>
      <c r="BT9" s="384">
        <f t="shared" si="27"/>
        <v>160.68751429023095</v>
      </c>
      <c r="BU9" s="369"/>
      <c r="BV9" s="385" t="str">
        <f>IF(COUNTIF('Manual adjustments'!$A:$A,A9)=1,"Y",IF(COUNTIF(#REF!,A9)=1,"BPT",""))</f>
        <v>Y</v>
      </c>
      <c r="BW9" s="384">
        <f>IF($BV9="",BQ9,IF(AND($BV9="BPT",IFERROR(ISNUMBER(VLOOKUP($A9,#REF!,3,FALSE)),FALSE)),VLOOKUP($A9,#REF!,3,FALSE),IF(AND($BV9="Y",IFERROR(ISNUMBER(VLOOKUP($A9,'Manual adjustments'!$A:$O,12,FALSE)),FALSE)),VLOOKUP($A9,'Manual adjustments'!$A:$O,12,FALSE),BQ9)))</f>
        <v>119.28310636873965</v>
      </c>
      <c r="BX9" s="384">
        <f>IF($BV9="",BR9,IF(AND($BV9="BPT",IFERROR(ISNUMBER(VLOOKUP($A9,#REF!,4,FALSE)),FALSE)),VLOOKUP($A9,#REF!,4,FALSE),IF(AND($BV9="Y",IFERROR(ISNUMBER(VLOOKUP($A9,'Manual adjustments'!$A:$O,13,FALSE)),FALSE)),VLOOKUP($A9,'Manual adjustments'!$A:$O,13,FALSE),BR9)))</f>
        <v>219.46503432853004</v>
      </c>
      <c r="BY9" s="384">
        <f>IF($BV9="",BS9,IF(AND($BV9="BPT",IFERROR(ISNUMBER(VLOOKUP($A9,#REF!,5,FALSE)),FALSE)),VLOOKUP($A9,#REF!,5,FALSE),IF(AND($BV9="Y",IFERROR(ISNUMBER(VLOOKUP($A9,'Manual adjustments'!$A:$O,14,FALSE)),FALSE)),VLOOKUP($A9,'Manual adjustments'!$A:$O,14,FALSE),BS9)))</f>
        <v>80.343757145115475</v>
      </c>
      <c r="BZ9" s="384">
        <f>IF($BV9="",BT9,IF(AND($BV9="BPT",IFERROR(ISNUMBER(VLOOKUP($A9,#REF!,6,FALSE)),FALSE)),VLOOKUP($A9,#REF!,6,FALSE),IF(AND($BV9="Y",IFERROR(ISNUMBER(VLOOKUP($A9,'Manual adjustments'!$A:$O,15,FALSE)),FALSE)),VLOOKUP($A9,'Manual adjustments'!$A:$O,15,FALSE),BT9)))</f>
        <v>160.68751429023095</v>
      </c>
      <c r="CA9" s="386">
        <f>'Post manual recon'!$N$70</f>
        <v>0</v>
      </c>
      <c r="CB9" s="384">
        <f>IF(VLOOKUP($A9,'Post manual recon'!$A:$U,18,FALSE)=0,BW9,BW9*(1+$CA9))</f>
        <v>119.28310636873965</v>
      </c>
      <c r="CC9" s="384">
        <f>IF(VLOOKUP($A9,'Post manual recon'!$A:$U,19,FALSE)=0,BX9,BX9*(1+$CA9))</f>
        <v>219.46503432853004</v>
      </c>
      <c r="CD9" s="384">
        <f>IF(VLOOKUP($A9,'Post manual recon'!$A:$U,20,FALSE)=0,BY9,BY9*(1+$CA9))</f>
        <v>80.343757145115475</v>
      </c>
      <c r="CE9" s="384">
        <f>IF(VLOOKUP($A9,'Post manual recon'!$A:$U,21,FALSE)=0,BZ9,BZ9*(1+$CA9))</f>
        <v>160.68751429023095</v>
      </c>
      <c r="CF9" s="383">
        <f t="shared" si="35"/>
        <v>0</v>
      </c>
      <c r="CG9" s="383">
        <f t="shared" si="36"/>
        <v>0</v>
      </c>
      <c r="CH9" s="383">
        <f t="shared" si="37"/>
        <v>0</v>
      </c>
      <c r="CI9" s="383">
        <f t="shared" si="38"/>
        <v>0</v>
      </c>
      <c r="CJ9" s="369"/>
      <c r="CK9" s="383">
        <f>'Price Adjustments'!$F$6</f>
        <v>0</v>
      </c>
      <c r="CL9" s="384">
        <f t="shared" si="39"/>
        <v>119.28310636873965</v>
      </c>
      <c r="CM9" s="384">
        <f t="shared" si="40"/>
        <v>219.46503432853004</v>
      </c>
      <c r="CN9" s="384">
        <f t="shared" si="41"/>
        <v>80.343757145115475</v>
      </c>
      <c r="CO9" s="384">
        <f t="shared" si="42"/>
        <v>160.68751429023095</v>
      </c>
      <c r="CP9" s="369"/>
      <c r="CQ9" s="384">
        <f t="shared" si="43"/>
        <v>119</v>
      </c>
      <c r="CR9" s="384">
        <f t="shared" si="44"/>
        <v>219</v>
      </c>
      <c r="CS9" s="384">
        <f t="shared" si="45"/>
        <v>80</v>
      </c>
      <c r="CT9" s="384">
        <f t="shared" si="46"/>
        <v>161</v>
      </c>
    </row>
    <row r="10" spans="1:98">
      <c r="A10" s="367">
        <v>105</v>
      </c>
      <c r="B10" s="367" t="str">
        <f>INDEX('201314 RC list'!B:B,MATCH(A10,'201314 RC list'!A:A,0))</f>
        <v>Hepatobiliary &amp; Pancreatic Surgery</v>
      </c>
      <c r="C10" s="368">
        <f>IF(ISERROR(VLOOKUP($A10,'Allocate OPROC cost'!A:M,11,FALSE)),"-",VLOOKUP($A10,'Allocate OPROC cost'!A:M,11,FALSE))</f>
        <v>144.96553226233527</v>
      </c>
      <c r="D10" s="368">
        <f>IF(ISERROR(VLOOKUP($A10,'Allocate OPROC cost'!A:M,10,FALSE)),"-",VLOOKUP($A10,'Allocate OPROC cost'!A:M,10,FALSE))</f>
        <v>207.31855952447989</v>
      </c>
      <c r="E10" s="368">
        <f>IF(ISERROR(VLOOKUP($A10,'Allocate OPROC cost'!A:M,13,FALSE)),"-",VLOOKUP($A10,'Allocate OPROC cost'!A:M,13,FALSE))</f>
        <v>131.27989357623673</v>
      </c>
      <c r="F10" s="368">
        <f>IF(ISERROR(VLOOKUP($A10,'Allocate OPROC cost'!A:M,12,FALSE)),"-",VLOOKUP($A10,'Allocate OPROC cost'!A:M,12,FALSE))</f>
        <v>203.77257633743884</v>
      </c>
      <c r="G10" s="369"/>
      <c r="H10" s="370">
        <f>IF(ISERROR(VLOOKUP($A10,'Allocate OPROC cost'!A:AO,39,FALSE)),"-",VLOOKUP($A10,'Allocate OPROC cost'!A:AO,39,FALSE))</f>
        <v>144.9579499538263</v>
      </c>
      <c r="I10" s="370">
        <f>IF(ISERROR(VLOOKUP($A10,'Allocate OPROC cost'!A:AO,38,FALSE)),"-",VLOOKUP($A10,'Allocate OPROC cost'!A:AO,38,FALSE))</f>
        <v>207.26575827956898</v>
      </c>
      <c r="J10" s="370">
        <f>IF(ISERROR(VLOOKUP($A10,'Allocate OPROC cost'!A:AO,41,FALSE)),"-",VLOOKUP($A10,'Allocate OPROC cost'!A:AO,41,FALSE))</f>
        <v>131.25166596000307</v>
      </c>
      <c r="K10" s="370">
        <f>IF(ISERROR(VLOOKUP($A10,'Allocate OPROC cost'!A:AO,40,FALSE)),"-",VLOOKUP($A10,'Allocate OPROC cost'!A:AO,40,FALSE))</f>
        <v>202.55740856319957</v>
      </c>
      <c r="L10" s="371">
        <f t="shared" si="0"/>
        <v>-5.2304215979126489E-5</v>
      </c>
      <c r="M10" s="371">
        <f t="shared" si="1"/>
        <v>-2.5468653183791101E-4</v>
      </c>
      <c r="N10" s="371">
        <f t="shared" si="2"/>
        <v>-2.1501857949990377E-4</v>
      </c>
      <c r="O10" s="371">
        <f t="shared" si="3"/>
        <v>-5.9633528518920897E-3</v>
      </c>
      <c r="P10" s="369"/>
      <c r="Q10" s="372">
        <f>IF(ISERROR(VLOOKUP($A10,'Front-loading'!$A:$AG,27,FALSE)),"-",VLOOKUP($A10,'Front-loading'!$A:$AG,27,FALSE))</f>
        <v>175.46821493067779</v>
      </c>
      <c r="R10" s="372">
        <f>IF(ISERROR(VLOOKUP($A10,'Front-loading'!$A:$AG,26,FALSE)),"-",VLOOKUP($A10,'Front-loading'!$A:$AG,26,FALSE))</f>
        <v>259.18141258717776</v>
      </c>
      <c r="S10" s="372">
        <f>IF(ISERROR(VLOOKUP($A10,'Front-loading'!$A:$AG,29,FALSE)),"-",VLOOKUP($A10,'Front-loading'!$A:$AG,29,FALSE))</f>
        <v>118.12649936400277</v>
      </c>
      <c r="T10" s="372">
        <f>IF(ISERROR(VLOOKUP($A10,'Front-loading'!$A:$AG,28,FALSE)),"-",VLOOKUP($A10,'Front-loading'!$A:$AG,28,FALSE))</f>
        <v>182.30166770687964</v>
      </c>
      <c r="U10" s="373">
        <f t="shared" si="4"/>
        <v>0.21047665882809441</v>
      </c>
      <c r="V10" s="373">
        <f t="shared" si="5"/>
        <v>0.25047868368870985</v>
      </c>
      <c r="W10" s="373">
        <f t="shared" si="6"/>
        <v>-9.9999999999999978E-2</v>
      </c>
      <c r="X10" s="373">
        <f t="shared" si="7"/>
        <v>-9.9999999999999867E-2</v>
      </c>
      <c r="Y10" s="369"/>
      <c r="Z10" s="374">
        <f>IF(ISERROR(VLOOKUP($A10,'Further adjustment'!$A:$BC,53,FALSE)),"-",VLOOKUP($A10,'Further adjustment'!$A:$BC,53,FALSE))</f>
        <v>175.46821493067779</v>
      </c>
      <c r="AA10" s="374">
        <f>IF(ISERROR(VLOOKUP($A10,'Further adjustment'!$A:$BC,52,FALSE)),"-",VLOOKUP($A10,'Further adjustment'!$A:$BC,52,FALSE))</f>
        <v>259.18141258717776</v>
      </c>
      <c r="AB10" s="374">
        <f>IF(ISERROR(VLOOKUP($A10,'Further adjustment'!$A:$BC,55,FALSE)),"-",VLOOKUP($A10,'Further adjustment'!$A:$BC,55,FALSE))</f>
        <v>118.12649936400277</v>
      </c>
      <c r="AC10" s="374">
        <f>IF(ISERROR(VLOOKUP($A10,'Further adjustment'!$A:$BC,54,FALSE)),"-",VLOOKUP($A10,'Further adjustment'!$A:$BC,54,FALSE))</f>
        <v>182.30166770687964</v>
      </c>
      <c r="AD10" s="375">
        <f t="shared" si="8"/>
        <v>0</v>
      </c>
      <c r="AE10" s="375">
        <f t="shared" si="9"/>
        <v>0</v>
      </c>
      <c r="AF10" s="375">
        <f t="shared" si="10"/>
        <v>0</v>
      </c>
      <c r="AG10" s="375">
        <f t="shared" si="11"/>
        <v>0</v>
      </c>
      <c r="AH10" s="369"/>
      <c r="AI10" s="376">
        <f>'Price Adjustments'!$G$6</f>
        <v>-3.1174571652793026E-2</v>
      </c>
      <c r="AJ10" s="376">
        <v>0</v>
      </c>
      <c r="AK10" s="377">
        <f t="shared" si="31"/>
        <v>169.9980684915337</v>
      </c>
      <c r="AL10" s="377">
        <f t="shared" si="32"/>
        <v>251.10154306940669</v>
      </c>
      <c r="AM10" s="377">
        <f t="shared" si="33"/>
        <v>114.44395634548606</v>
      </c>
      <c r="AN10" s="377">
        <f t="shared" si="34"/>
        <v>176.61849130452785</v>
      </c>
      <c r="AO10" s="378">
        <f t="shared" si="12"/>
        <v>-3.1174571652792915E-2</v>
      </c>
      <c r="AP10" s="378">
        <f t="shared" si="13"/>
        <v>-3.1174571652793026E-2</v>
      </c>
      <c r="AQ10" s="378">
        <f t="shared" si="14"/>
        <v>-3.1174571652793026E-2</v>
      </c>
      <c r="AR10" s="378">
        <f t="shared" si="15"/>
        <v>-3.1174571652793026E-2</v>
      </c>
      <c r="AS10" s="379">
        <f>'Price Adjustments'!$F$6</f>
        <v>0</v>
      </c>
      <c r="AT10" s="377">
        <f>IF(ISERROR(VLOOKUP($A10,'15-16 tariff'!$A:$F,3,FALSE)*(1+$AS$6)),"-",VLOOKUP($A10,'15-16 tariff'!$A:$F,3,FALSE)*(1+$AS$6))</f>
        <v>184.94509598026326</v>
      </c>
      <c r="AU10" s="377">
        <f>IF(ISERROR(VLOOKUP($A10,'15-16 tariff'!$A:$F,4,FALSE)*(1+$AS$6)),"-",VLOOKUP($A10,'15-16 tariff'!$A:$F,4,FALSE)*(1+$AS$6))</f>
        <v>205.40735742345004</v>
      </c>
      <c r="AV10" s="377">
        <f>IF(ISERROR(VLOOKUP($A10,'15-16 tariff'!$A:$F,5,FALSE)*(1+$AS$6)),"-",VLOOKUP($A10,'15-16 tariff'!$A:$F,5,FALSE)*(1+$AS$6))</f>
        <v>118.60646743116072</v>
      </c>
      <c r="AW10" s="377">
        <f>IF(ISERROR(VLOOKUP($A10,'15-16 tariff'!$A:$F,6,FALSE)*(1+$AS$6)),"-",VLOOKUP($A10,'15-16 tariff'!$A:$F,6,FALSE)*(1+$AS$6))</f>
        <v>139.09334812496974</v>
      </c>
      <c r="AX10" s="369"/>
      <c r="AY10" s="380" t="s">
        <v>307</v>
      </c>
      <c r="AZ10" s="380" t="s">
        <v>307</v>
      </c>
      <c r="BA10" s="380" t="s">
        <v>307</v>
      </c>
      <c r="BB10" s="381" t="s">
        <v>307</v>
      </c>
      <c r="BC10" s="381">
        <f t="shared" si="16"/>
        <v>169.9980684915337</v>
      </c>
      <c r="BD10" s="381">
        <f t="shared" si="17"/>
        <v>251.10154306940669</v>
      </c>
      <c r="BE10" s="381">
        <f t="shared" si="18"/>
        <v>114.44395634548606</v>
      </c>
      <c r="BF10" s="381">
        <f t="shared" si="19"/>
        <v>176.61849130452785</v>
      </c>
      <c r="BG10" s="381">
        <f>IFERROR(VLOOKUP($A10,'Further adjustment'!$A:$Q,7,FALSE),0)</f>
        <v>12389</v>
      </c>
      <c r="BH10" s="381">
        <f>IFERROR(VLOOKUP($A10,'Further adjustment'!$A:$Q,6,FALSE),0)</f>
        <v>1595</v>
      </c>
      <c r="BI10" s="381">
        <f>IFERROR(VLOOKUP($A10,'Further adjustment'!$A:$Q,9,FALSE),0)</f>
        <v>28799</v>
      </c>
      <c r="BJ10" s="381">
        <f>IFERROR(VLOOKUP($A10,'Further adjustment'!$A:$Q,8,FALSE),0)</f>
        <v>4088</v>
      </c>
      <c r="BK10" s="382">
        <f t="shared" si="20"/>
        <v>-3.1174571652792915E-2</v>
      </c>
      <c r="BL10" s="382">
        <f t="shared" si="21"/>
        <v>-3.1174571652793026E-2</v>
      </c>
      <c r="BM10" s="382">
        <f t="shared" si="22"/>
        <v>-3.1174571652793026E-2</v>
      </c>
      <c r="BN10" s="382">
        <f t="shared" si="23"/>
        <v>-3.1174571652793026E-2</v>
      </c>
      <c r="BO10" s="369"/>
      <c r="BP10" s="383">
        <f>'Price Adjustments'!$D$90</f>
        <v>-6.8529657693413348E-2</v>
      </c>
      <c r="BQ10" s="384">
        <f t="shared" si="24"/>
        <v>158.34815904926745</v>
      </c>
      <c r="BR10" s="384">
        <f t="shared" si="25"/>
        <v>233.89364027657237</v>
      </c>
      <c r="BS10" s="384">
        <f t="shared" si="26"/>
        <v>106.60115119204995</v>
      </c>
      <c r="BT10" s="384">
        <f t="shared" si="27"/>
        <v>164.51488655310146</v>
      </c>
      <c r="BU10" s="369"/>
      <c r="BV10" s="385" t="str">
        <f>IF(COUNTIF('Manual adjustments'!$A:$A,A10)=1,"Y",IF(COUNTIF(#REF!,A10)=1,"BPT",""))</f>
        <v>Y</v>
      </c>
      <c r="BW10" s="384">
        <f>IF($BV10="",BQ10,IF(AND($BV10="BPT",IFERROR(ISNUMBER(VLOOKUP($A10,#REF!,3,FALSE)),FALSE)),VLOOKUP($A10,#REF!,3,FALSE),IF(AND($BV10="Y",IFERROR(ISNUMBER(VLOOKUP($A10,'Manual adjustments'!$A:$O,12,FALSE)),FALSE)),VLOOKUP($A10,'Manual adjustments'!$A:$O,12,FALSE),BQ10)))</f>
        <v>158.34815904926745</v>
      </c>
      <c r="BX10" s="384">
        <f>IF($BV10="",BR10,IF(AND($BV10="BPT",IFERROR(ISNUMBER(VLOOKUP($A10,#REF!,4,FALSE)),FALSE)),VLOOKUP($A10,#REF!,4,FALSE),IF(AND($BV10="Y",IFERROR(ISNUMBER(VLOOKUP($A10,'Manual adjustments'!$A:$O,13,FALSE)),FALSE)),VLOOKUP($A10,'Manual adjustments'!$A:$O,13,FALSE),BR10)))</f>
        <v>233.89364027657237</v>
      </c>
      <c r="BY10" s="384">
        <f>IF($BV10="",BS10,IF(AND($BV10="BPT",IFERROR(ISNUMBER(VLOOKUP($A10,#REF!,5,FALSE)),FALSE)),VLOOKUP($A10,#REF!,5,FALSE),IF(AND($BV10="Y",IFERROR(ISNUMBER(VLOOKUP($A10,'Manual adjustments'!$A:$O,14,FALSE)),FALSE)),VLOOKUP($A10,'Manual adjustments'!$A:$O,14,FALSE),BS10)))</f>
        <v>106.60115119204995</v>
      </c>
      <c r="BZ10" s="384">
        <f>IF($BV10="",BT10,IF(AND($BV10="BPT",IFERROR(ISNUMBER(VLOOKUP($A10,#REF!,6,FALSE)),FALSE)),VLOOKUP($A10,#REF!,6,FALSE),IF(AND($BV10="Y",IFERROR(ISNUMBER(VLOOKUP($A10,'Manual adjustments'!$A:$O,15,FALSE)),FALSE)),VLOOKUP($A10,'Manual adjustments'!$A:$O,15,FALSE),BT10)))</f>
        <v>164.51488655310146</v>
      </c>
      <c r="CA10" s="386">
        <f>'Post manual recon'!$N$70</f>
        <v>0</v>
      </c>
      <c r="CB10" s="384">
        <f>IF(VLOOKUP($A10,'Post manual recon'!$A:$U,18,FALSE)=0,BW10,BW10*(1+$CA10))</f>
        <v>158.34815904926745</v>
      </c>
      <c r="CC10" s="384">
        <f>IF(VLOOKUP($A10,'Post manual recon'!$A:$U,19,FALSE)=0,BX10,BX10*(1+$CA10))</f>
        <v>233.89364027657237</v>
      </c>
      <c r="CD10" s="384">
        <f>IF(VLOOKUP($A10,'Post manual recon'!$A:$U,20,FALSE)=0,BY10,BY10*(1+$CA10))</f>
        <v>106.60115119204995</v>
      </c>
      <c r="CE10" s="384">
        <f>IF(VLOOKUP($A10,'Post manual recon'!$A:$U,21,FALSE)=0,BZ10,BZ10*(1+$CA10))</f>
        <v>164.51488655310146</v>
      </c>
      <c r="CF10" s="383">
        <f t="shared" si="35"/>
        <v>0</v>
      </c>
      <c r="CG10" s="383">
        <f t="shared" si="36"/>
        <v>0</v>
      </c>
      <c r="CH10" s="383">
        <f t="shared" si="37"/>
        <v>0</v>
      </c>
      <c r="CI10" s="383">
        <f t="shared" si="38"/>
        <v>0</v>
      </c>
      <c r="CJ10" s="369"/>
      <c r="CK10" s="383">
        <f>'Price Adjustments'!$F$6</f>
        <v>0</v>
      </c>
      <c r="CL10" s="384">
        <f t="shared" si="39"/>
        <v>158.34815904926745</v>
      </c>
      <c r="CM10" s="384">
        <f t="shared" si="40"/>
        <v>233.89364027657237</v>
      </c>
      <c r="CN10" s="384">
        <f t="shared" si="41"/>
        <v>106.60115119204995</v>
      </c>
      <c r="CO10" s="384">
        <f t="shared" si="42"/>
        <v>164.51488655310146</v>
      </c>
      <c r="CP10" s="369"/>
      <c r="CQ10" s="384">
        <f t="shared" si="43"/>
        <v>158</v>
      </c>
      <c r="CR10" s="384">
        <f t="shared" si="44"/>
        <v>234</v>
      </c>
      <c r="CS10" s="384">
        <f t="shared" si="45"/>
        <v>107</v>
      </c>
      <c r="CT10" s="384">
        <f t="shared" si="46"/>
        <v>165</v>
      </c>
    </row>
    <row r="11" spans="1:98">
      <c r="A11" s="367">
        <v>106</v>
      </c>
      <c r="B11" s="367" t="str">
        <f>INDEX('201314 RC list'!B:B,MATCH(A11,'201314 RC list'!A:A,0))</f>
        <v>Upper Gastrointestinal Surgery</v>
      </c>
      <c r="C11" s="368">
        <f>IF(ISERROR(VLOOKUP($A11,'Allocate OPROC cost'!A:M,11,FALSE)),"-",VLOOKUP($A11,'Allocate OPROC cost'!A:M,11,FALSE))</f>
        <v>137.81178751982966</v>
      </c>
      <c r="D11" s="368">
        <f>IF(ISERROR(VLOOKUP($A11,'Allocate OPROC cost'!A:M,10,FALSE)),"-",VLOOKUP($A11,'Allocate OPROC cost'!A:M,10,FALSE))</f>
        <v>213.46388267086982</v>
      </c>
      <c r="E11" s="368">
        <f>IF(ISERROR(VLOOKUP($A11,'Allocate OPROC cost'!A:M,13,FALSE)),"-",VLOOKUP($A11,'Allocate OPROC cost'!A:M,13,FALSE))</f>
        <v>109.8489865658851</v>
      </c>
      <c r="F11" s="368">
        <f>IF(ISERROR(VLOOKUP($A11,'Allocate OPROC cost'!A:M,12,FALSE)),"-",VLOOKUP($A11,'Allocate OPROC cost'!A:M,12,FALSE))</f>
        <v>155.4740080550109</v>
      </c>
      <c r="G11" s="369"/>
      <c r="H11" s="370">
        <f>IF(ISERROR(VLOOKUP($A11,'Allocate OPROC cost'!A:AO,39,FALSE)),"-",VLOOKUP($A11,'Allocate OPROC cost'!A:AO,39,FALSE))</f>
        <v>137.68335140875453</v>
      </c>
      <c r="I11" s="370">
        <f>IF(ISERROR(VLOOKUP($A11,'Allocate OPROC cost'!A:AO,38,FALSE)),"-",VLOOKUP($A11,'Allocate OPROC cost'!A:AO,38,FALSE))</f>
        <v>213.32448284089028</v>
      </c>
      <c r="J11" s="370">
        <f>IF(ISERROR(VLOOKUP($A11,'Allocate OPROC cost'!A:AO,41,FALSE)),"-",VLOOKUP($A11,'Allocate OPROC cost'!A:AO,41,FALSE))</f>
        <v>109.88156011103032</v>
      </c>
      <c r="K11" s="370">
        <f>IF(ISERROR(VLOOKUP($A11,'Allocate OPROC cost'!A:AO,40,FALSE)),"-",VLOOKUP($A11,'Allocate OPROC cost'!A:AO,40,FALSE))</f>
        <v>155.32432763201956</v>
      </c>
      <c r="L11" s="371">
        <f t="shared" si="0"/>
        <v>-9.3196752895063906E-4</v>
      </c>
      <c r="M11" s="371">
        <f t="shared" si="1"/>
        <v>-6.5303707697694779E-4</v>
      </c>
      <c r="N11" s="371">
        <f t="shared" si="2"/>
        <v>2.9653022903119997E-4</v>
      </c>
      <c r="O11" s="371">
        <f t="shared" si="3"/>
        <v>-9.6273598953189321E-4</v>
      </c>
      <c r="P11" s="369"/>
      <c r="Q11" s="372">
        <f>IF(ISERROR(VLOOKUP($A11,'Front-loading'!$A:$AG,27,FALSE)),"-",VLOOKUP($A11,'Front-loading'!$A:$AG,27,FALSE))</f>
        <v>151.4901647242952</v>
      </c>
      <c r="R11" s="372">
        <f>IF(ISERROR(VLOOKUP($A11,'Front-loading'!$A:$AG,26,FALSE)),"-",VLOOKUP($A11,'Front-loading'!$A:$AG,26,FALSE))</f>
        <v>249.57278392693581</v>
      </c>
      <c r="S11" s="372">
        <f>IF(ISERROR(VLOOKUP($A11,'Front-loading'!$A:$AG,29,FALSE)),"-",VLOOKUP($A11,'Front-loading'!$A:$AG,29,FALSE))</f>
        <v>98.893404099927281</v>
      </c>
      <c r="T11" s="372">
        <f>IF(ISERROR(VLOOKUP($A11,'Front-loading'!$A:$AG,28,FALSE)),"-",VLOOKUP($A11,'Front-loading'!$A:$AG,28,FALSE))</f>
        <v>139.79189486881759</v>
      </c>
      <c r="U11" s="373">
        <f t="shared" si="4"/>
        <v>0.10027946860874248</v>
      </c>
      <c r="V11" s="373">
        <f t="shared" si="5"/>
        <v>0.16992096079792973</v>
      </c>
      <c r="W11" s="373">
        <f t="shared" si="6"/>
        <v>-0.10000000000000009</v>
      </c>
      <c r="X11" s="373">
        <f t="shared" si="7"/>
        <v>-0.10000000000000009</v>
      </c>
      <c r="Y11" s="369"/>
      <c r="Z11" s="374">
        <f>IF(ISERROR(VLOOKUP($A11,'Further adjustment'!$A:$BC,53,FALSE)),"-",VLOOKUP($A11,'Further adjustment'!$A:$BC,53,FALSE))</f>
        <v>151.4901647242952</v>
      </c>
      <c r="AA11" s="374">
        <f>IF(ISERROR(VLOOKUP($A11,'Further adjustment'!$A:$BC,52,FALSE)),"-",VLOOKUP($A11,'Further adjustment'!$A:$BC,52,FALSE))</f>
        <v>249.57278392693581</v>
      </c>
      <c r="AB11" s="374">
        <f>IF(ISERROR(VLOOKUP($A11,'Further adjustment'!$A:$BC,55,FALSE)),"-",VLOOKUP($A11,'Further adjustment'!$A:$BC,55,FALSE))</f>
        <v>98.893404099927281</v>
      </c>
      <c r="AC11" s="374">
        <f>IF(ISERROR(VLOOKUP($A11,'Further adjustment'!$A:$BC,54,FALSE)),"-",VLOOKUP($A11,'Further adjustment'!$A:$BC,54,FALSE))</f>
        <v>139.79189486881759</v>
      </c>
      <c r="AD11" s="375">
        <f t="shared" si="8"/>
        <v>0</v>
      </c>
      <c r="AE11" s="375">
        <f t="shared" si="9"/>
        <v>0</v>
      </c>
      <c r="AF11" s="375">
        <f t="shared" si="10"/>
        <v>0</v>
      </c>
      <c r="AG11" s="375">
        <f t="shared" si="11"/>
        <v>0</v>
      </c>
      <c r="AH11" s="369"/>
      <c r="AI11" s="376">
        <f>'Price Adjustments'!$G$6</f>
        <v>-3.1174571652793026E-2</v>
      </c>
      <c r="AJ11" s="376">
        <v>0</v>
      </c>
      <c r="AK11" s="377">
        <f t="shared" si="31"/>
        <v>146.76752372940425</v>
      </c>
      <c r="AL11" s="377">
        <f t="shared" si="32"/>
        <v>241.79245929181852</v>
      </c>
      <c r="AM11" s="377">
        <f t="shared" si="33"/>
        <v>95.810444587825486</v>
      </c>
      <c r="AN11" s="377">
        <f t="shared" si="34"/>
        <v>135.43394242574993</v>
      </c>
      <c r="AO11" s="378">
        <f t="shared" si="12"/>
        <v>-3.1174571652793026E-2</v>
      </c>
      <c r="AP11" s="378">
        <f t="shared" si="13"/>
        <v>-3.1174571652793026E-2</v>
      </c>
      <c r="AQ11" s="378">
        <f t="shared" si="14"/>
        <v>-3.1174571652793026E-2</v>
      </c>
      <c r="AR11" s="378">
        <f t="shared" si="15"/>
        <v>-3.1174571652793026E-2</v>
      </c>
      <c r="AS11" s="379">
        <f>'Price Adjustments'!$F$6</f>
        <v>0</v>
      </c>
      <c r="AT11" s="377">
        <f>IF(ISERROR(VLOOKUP($A11,'15-16 tariff'!$A:$F,3,FALSE)*(1+$AS$6)),"-",VLOOKUP($A11,'15-16 tariff'!$A:$F,3,FALSE)*(1+$AS$6))</f>
        <v>112.05820421770494</v>
      </c>
      <c r="AU11" s="377">
        <f>IF(ISERROR(VLOOKUP($A11,'15-16 tariff'!$A:$F,4,FALSE)*(1+$AS$6)),"-",VLOOKUP($A11,'15-16 tariff'!$A:$F,4,FALSE)*(1+$AS$6))</f>
        <v>142.53198958318177</v>
      </c>
      <c r="AV11" s="377">
        <f>IF(ISERROR(VLOOKUP($A11,'15-16 tariff'!$A:$F,5,FALSE)*(1+$AS$6)),"-",VLOOKUP($A11,'15-16 tariff'!$A:$F,5,FALSE)*(1+$AS$6))</f>
        <v>79.894043135639947</v>
      </c>
      <c r="AW11" s="377">
        <f>IF(ISERROR(VLOOKUP($A11,'15-16 tariff'!$A:$F,6,FALSE)*(1+$AS$6)),"-",VLOOKUP($A11,'15-16 tariff'!$A:$F,6,FALSE)*(1+$AS$6))</f>
        <v>99.348685922667286</v>
      </c>
      <c r="AX11" s="369"/>
      <c r="AY11" s="380" t="s">
        <v>307</v>
      </c>
      <c r="AZ11" s="380" t="s">
        <v>307</v>
      </c>
      <c r="BA11" s="380" t="s">
        <v>307</v>
      </c>
      <c r="BB11" s="381" t="s">
        <v>307</v>
      </c>
      <c r="BC11" s="381">
        <f t="shared" si="16"/>
        <v>146.76752372940425</v>
      </c>
      <c r="BD11" s="381">
        <f t="shared" si="17"/>
        <v>241.79245929181852</v>
      </c>
      <c r="BE11" s="381">
        <f t="shared" si="18"/>
        <v>95.810444587825486</v>
      </c>
      <c r="BF11" s="381">
        <f t="shared" si="19"/>
        <v>135.43394242574993</v>
      </c>
      <c r="BG11" s="381">
        <f>IFERROR(VLOOKUP($A11,'Further adjustment'!$A:$Q,7,FALSE),0)</f>
        <v>56998</v>
      </c>
      <c r="BH11" s="381">
        <f>IFERROR(VLOOKUP($A11,'Further adjustment'!$A:$Q,6,FALSE),0)</f>
        <v>869</v>
      </c>
      <c r="BI11" s="381">
        <f>IFERROR(VLOOKUP($A11,'Further adjustment'!$A:$Q,9,FALSE),0)</f>
        <v>71619</v>
      </c>
      <c r="BJ11" s="381">
        <f>IFERROR(VLOOKUP($A11,'Further adjustment'!$A:$Q,8,FALSE),0)</f>
        <v>2028</v>
      </c>
      <c r="BK11" s="382">
        <f t="shared" si="20"/>
        <v>-3.1174571652793026E-2</v>
      </c>
      <c r="BL11" s="382">
        <f t="shared" si="21"/>
        <v>-3.1174571652793026E-2</v>
      </c>
      <c r="BM11" s="382">
        <f t="shared" si="22"/>
        <v>-3.1174571652793026E-2</v>
      </c>
      <c r="BN11" s="382">
        <f t="shared" si="23"/>
        <v>-3.1174571652793026E-2</v>
      </c>
      <c r="BO11" s="369"/>
      <c r="BP11" s="383">
        <f>'Price Adjustments'!$D$90</f>
        <v>-6.8529657693413348E-2</v>
      </c>
      <c r="BQ11" s="384">
        <f t="shared" si="24"/>
        <v>136.70959556771825</v>
      </c>
      <c r="BR11" s="384">
        <f t="shared" si="25"/>
        <v>225.2225048237016</v>
      </c>
      <c r="BS11" s="384">
        <f t="shared" si="26"/>
        <v>89.244587616768058</v>
      </c>
      <c r="BT11" s="384">
        <f t="shared" si="27"/>
        <v>126.15270071124384</v>
      </c>
      <c r="BU11" s="369"/>
      <c r="BV11" s="385" t="str">
        <f>IF(COUNTIF('Manual adjustments'!$A:$A,A11)=1,"Y",IF(COUNTIF(#REF!,A11)=1,"BPT",""))</f>
        <v>Y</v>
      </c>
      <c r="BW11" s="384">
        <f>IF($BV11="",BQ11,IF(AND($BV11="BPT",IFERROR(ISNUMBER(VLOOKUP($A11,#REF!,3,FALSE)),FALSE)),VLOOKUP($A11,#REF!,3,FALSE),IF(AND($BV11="Y",IFERROR(ISNUMBER(VLOOKUP($A11,'Manual adjustments'!$A:$O,12,FALSE)),FALSE)),VLOOKUP($A11,'Manual adjustments'!$A:$O,12,FALSE),BQ11)))</f>
        <v>136.70959556771825</v>
      </c>
      <c r="BX11" s="384">
        <f>IF($BV11="",BR11,IF(AND($BV11="BPT",IFERROR(ISNUMBER(VLOOKUP($A11,#REF!,4,FALSE)),FALSE)),VLOOKUP($A11,#REF!,4,FALSE),IF(AND($BV11="Y",IFERROR(ISNUMBER(VLOOKUP($A11,'Manual adjustments'!$A:$O,13,FALSE)),FALSE)),VLOOKUP($A11,'Manual adjustments'!$A:$O,13,FALSE),BR11)))</f>
        <v>225.2225048237016</v>
      </c>
      <c r="BY11" s="384">
        <f>IF($BV11="",BS11,IF(AND($BV11="BPT",IFERROR(ISNUMBER(VLOOKUP($A11,#REF!,5,FALSE)),FALSE)),VLOOKUP($A11,#REF!,5,FALSE),IF(AND($BV11="Y",IFERROR(ISNUMBER(VLOOKUP($A11,'Manual adjustments'!$A:$O,14,FALSE)),FALSE)),VLOOKUP($A11,'Manual adjustments'!$A:$O,14,FALSE),BS11)))</f>
        <v>89.244587616768058</v>
      </c>
      <c r="BZ11" s="384">
        <f>IF($BV11="",BT11,IF(AND($BV11="BPT",IFERROR(ISNUMBER(VLOOKUP($A11,#REF!,6,FALSE)),FALSE)),VLOOKUP($A11,#REF!,6,FALSE),IF(AND($BV11="Y",IFERROR(ISNUMBER(VLOOKUP($A11,'Manual adjustments'!$A:$O,15,FALSE)),FALSE)),VLOOKUP($A11,'Manual adjustments'!$A:$O,15,FALSE),BT11)))</f>
        <v>126.15270071124384</v>
      </c>
      <c r="CA11" s="386">
        <f>'Post manual recon'!$N$70</f>
        <v>0</v>
      </c>
      <c r="CB11" s="384">
        <f>IF(VLOOKUP($A11,'Post manual recon'!$A:$U,18,FALSE)=0,BW11,BW11*(1+$CA11))</f>
        <v>136.70959556771825</v>
      </c>
      <c r="CC11" s="384">
        <f>IF(VLOOKUP($A11,'Post manual recon'!$A:$U,19,FALSE)=0,BX11,BX11*(1+$CA11))</f>
        <v>225.2225048237016</v>
      </c>
      <c r="CD11" s="384">
        <f>IF(VLOOKUP($A11,'Post manual recon'!$A:$U,20,FALSE)=0,BY11,BY11*(1+$CA11))</f>
        <v>89.244587616768058</v>
      </c>
      <c r="CE11" s="384">
        <f>IF(VLOOKUP($A11,'Post manual recon'!$A:$U,21,FALSE)=0,BZ11,BZ11*(1+$CA11))</f>
        <v>126.15270071124384</v>
      </c>
      <c r="CF11" s="383">
        <f t="shared" si="35"/>
        <v>0</v>
      </c>
      <c r="CG11" s="383">
        <f t="shared" si="36"/>
        <v>0</v>
      </c>
      <c r="CH11" s="383">
        <f t="shared" si="37"/>
        <v>0</v>
      </c>
      <c r="CI11" s="383">
        <f t="shared" si="38"/>
        <v>0</v>
      </c>
      <c r="CJ11" s="369"/>
      <c r="CK11" s="383">
        <f>'Price Adjustments'!$F$6</f>
        <v>0</v>
      </c>
      <c r="CL11" s="384">
        <f t="shared" si="39"/>
        <v>136.70959556771825</v>
      </c>
      <c r="CM11" s="384">
        <f t="shared" si="40"/>
        <v>225.2225048237016</v>
      </c>
      <c r="CN11" s="384">
        <f t="shared" si="41"/>
        <v>89.244587616768058</v>
      </c>
      <c r="CO11" s="384">
        <f t="shared" si="42"/>
        <v>126.15270071124384</v>
      </c>
      <c r="CP11" s="369"/>
      <c r="CQ11" s="384">
        <f t="shared" si="43"/>
        <v>137</v>
      </c>
      <c r="CR11" s="384">
        <f t="shared" si="44"/>
        <v>225</v>
      </c>
      <c r="CS11" s="384">
        <f t="shared" si="45"/>
        <v>89</v>
      </c>
      <c r="CT11" s="384">
        <f t="shared" si="46"/>
        <v>126</v>
      </c>
    </row>
    <row r="12" spans="1:98">
      <c r="A12" s="367">
        <v>107</v>
      </c>
      <c r="B12" s="367" t="str">
        <f>INDEX('201314 RC list'!B:B,MATCH(A12,'201314 RC list'!A:A,0))</f>
        <v>Vascular Surgery</v>
      </c>
      <c r="C12" s="368">
        <f>IF(ISERROR(VLOOKUP($A12,'Allocate OPROC cost'!A:M,11,FALSE)),"-",VLOOKUP($A12,'Allocate OPROC cost'!A:M,11,FALSE))</f>
        <v>156.35836218674888</v>
      </c>
      <c r="D12" s="368">
        <f>IF(ISERROR(VLOOKUP($A12,'Allocate OPROC cost'!A:M,10,FALSE)),"-",VLOOKUP($A12,'Allocate OPROC cost'!A:M,10,FALSE))</f>
        <v>239.60876911801057</v>
      </c>
      <c r="E12" s="368">
        <f>IF(ISERROR(VLOOKUP($A12,'Allocate OPROC cost'!A:M,13,FALSE)),"-",VLOOKUP($A12,'Allocate OPROC cost'!A:M,13,FALSE))</f>
        <v>130.28414342152709</v>
      </c>
      <c r="F12" s="368">
        <f>IF(ISERROR(VLOOKUP($A12,'Allocate OPROC cost'!A:M,12,FALSE)),"-",VLOOKUP($A12,'Allocate OPROC cost'!A:M,12,FALSE))</f>
        <v>213.03213559438387</v>
      </c>
      <c r="G12" s="369"/>
      <c r="H12" s="370">
        <f>IF(ISERROR(VLOOKUP($A12,'Allocate OPROC cost'!A:AO,39,FALSE)),"-",VLOOKUP($A12,'Allocate OPROC cost'!A:AO,39,FALSE))</f>
        <v>156.13444041410378</v>
      </c>
      <c r="I12" s="370">
        <f>IF(ISERROR(VLOOKUP($A12,'Allocate OPROC cost'!A:AO,38,FALSE)),"-",VLOOKUP($A12,'Allocate OPROC cost'!A:AO,38,FALSE))</f>
        <v>237.63992241729093</v>
      </c>
      <c r="J12" s="370">
        <f>IF(ISERROR(VLOOKUP($A12,'Allocate OPROC cost'!A:AO,41,FALSE)),"-",VLOOKUP($A12,'Allocate OPROC cost'!A:AO,41,FALSE))</f>
        <v>130.12391898077516</v>
      </c>
      <c r="K12" s="370">
        <f>IF(ISERROR(VLOOKUP($A12,'Allocate OPROC cost'!A:AO,40,FALSE)),"-",VLOOKUP($A12,'Allocate OPROC cost'!A:AO,40,FALSE))</f>
        <v>210.31352463384621</v>
      </c>
      <c r="L12" s="371">
        <f t="shared" si="0"/>
        <v>-1.4321061535401691E-3</v>
      </c>
      <c r="M12" s="371">
        <f t="shared" si="1"/>
        <v>-8.2169225607513496E-3</v>
      </c>
      <c r="N12" s="371">
        <f t="shared" si="2"/>
        <v>-1.2298076845279615E-3</v>
      </c>
      <c r="O12" s="371">
        <f t="shared" si="3"/>
        <v>-1.2761506394105449E-2</v>
      </c>
      <c r="P12" s="369"/>
      <c r="Q12" s="372">
        <f>IF(ISERROR(VLOOKUP($A12,'Front-loading'!$A:$AG,27,FALSE)),"-",VLOOKUP($A12,'Front-loading'!$A:$AG,27,FALSE))</f>
        <v>172.61531270712945</v>
      </c>
      <c r="R12" s="372">
        <f>IF(ISERROR(VLOOKUP($A12,'Front-loading'!$A:$AG,26,FALSE)),"-",VLOOKUP($A12,'Front-loading'!$A:$AG,26,FALSE))</f>
        <v>269.74851453639781</v>
      </c>
      <c r="S12" s="372">
        <f>IF(ISERROR(VLOOKUP($A12,'Front-loading'!$A:$AG,29,FALSE)),"-",VLOOKUP($A12,'Front-loading'!$A:$AG,29,FALSE))</f>
        <v>117.11152708269763</v>
      </c>
      <c r="T12" s="372">
        <f>IF(ISERROR(VLOOKUP($A12,'Front-loading'!$A:$AG,28,FALSE)),"-",VLOOKUP($A12,'Front-loading'!$A:$AG,28,FALSE))</f>
        <v>189.28217217046159</v>
      </c>
      <c r="U12" s="373">
        <f t="shared" si="4"/>
        <v>0.10555564966521591</v>
      </c>
      <c r="V12" s="373">
        <f t="shared" si="5"/>
        <v>0.1351144697931892</v>
      </c>
      <c r="W12" s="373">
        <f t="shared" si="6"/>
        <v>-0.10000000000000009</v>
      </c>
      <c r="X12" s="373">
        <f t="shared" si="7"/>
        <v>-9.9999999999999978E-2</v>
      </c>
      <c r="Y12" s="369"/>
      <c r="Z12" s="374">
        <f>IF(ISERROR(VLOOKUP($A12,'Further adjustment'!$A:$BC,53,FALSE)),"-",VLOOKUP($A12,'Further adjustment'!$A:$BC,53,FALSE))</f>
        <v>172.61531270712945</v>
      </c>
      <c r="AA12" s="374">
        <f>IF(ISERROR(VLOOKUP($A12,'Further adjustment'!$A:$BC,52,FALSE)),"-",VLOOKUP($A12,'Further adjustment'!$A:$BC,52,FALSE))</f>
        <v>269.74851453639781</v>
      </c>
      <c r="AB12" s="374">
        <f>IF(ISERROR(VLOOKUP($A12,'Further adjustment'!$A:$BC,55,FALSE)),"-",VLOOKUP($A12,'Further adjustment'!$A:$BC,55,FALSE))</f>
        <v>117.11152708269763</v>
      </c>
      <c r="AC12" s="374">
        <f>IF(ISERROR(VLOOKUP($A12,'Further adjustment'!$A:$BC,54,FALSE)),"-",VLOOKUP($A12,'Further adjustment'!$A:$BC,54,FALSE))</f>
        <v>189.28217217046159</v>
      </c>
      <c r="AD12" s="375">
        <f t="shared" si="8"/>
        <v>0</v>
      </c>
      <c r="AE12" s="375">
        <f t="shared" si="9"/>
        <v>0</v>
      </c>
      <c r="AF12" s="375">
        <f t="shared" si="10"/>
        <v>0</v>
      </c>
      <c r="AG12" s="375">
        <f t="shared" si="11"/>
        <v>0</v>
      </c>
      <c r="AH12" s="369"/>
      <c r="AI12" s="376">
        <f>'Price Adjustments'!$G$6</f>
        <v>-3.1174571652793026E-2</v>
      </c>
      <c r="AJ12" s="376">
        <v>0</v>
      </c>
      <c r="AK12" s="377">
        <f t="shared" si="31"/>
        <v>167.23410427277176</v>
      </c>
      <c r="AL12" s="377">
        <f t="shared" si="32"/>
        <v>261.3392201417484</v>
      </c>
      <c r="AM12" s="377">
        <f t="shared" si="33"/>
        <v>113.46062539029006</v>
      </c>
      <c r="AN12" s="377">
        <f t="shared" si="34"/>
        <v>183.38138153153724</v>
      </c>
      <c r="AO12" s="378">
        <f t="shared" si="12"/>
        <v>-3.1174571652793026E-2</v>
      </c>
      <c r="AP12" s="378">
        <f t="shared" si="13"/>
        <v>-3.1174571652793026E-2</v>
      </c>
      <c r="AQ12" s="378">
        <f t="shared" si="14"/>
        <v>-3.1174571652793026E-2</v>
      </c>
      <c r="AR12" s="378">
        <f t="shared" si="15"/>
        <v>-3.1174571652792915E-2</v>
      </c>
      <c r="AS12" s="379">
        <f>'Price Adjustments'!$F$6</f>
        <v>0</v>
      </c>
      <c r="AT12" s="377">
        <f>IF(ISERROR(VLOOKUP($A12,'15-16 tariff'!$A:$F,3,FALSE)*(1+$AS$6)),"-",VLOOKUP($A12,'15-16 tariff'!$A:$F,3,FALSE)*(1+$AS$6))</f>
        <v>163.00387962312047</v>
      </c>
      <c r="AU12" s="377">
        <f>IF(ISERROR(VLOOKUP($A12,'15-16 tariff'!$A:$F,4,FALSE)*(1+$AS$6)),"-",VLOOKUP($A12,'15-16 tariff'!$A:$F,4,FALSE)*(1+$AS$6))</f>
        <v>174.83448777067187</v>
      </c>
      <c r="AV12" s="377">
        <f>IF(ISERROR(VLOOKUP($A12,'15-16 tariff'!$A:$F,5,FALSE)*(1+$AS$6)),"-",VLOOKUP($A12,'15-16 tariff'!$A:$F,5,FALSE)*(1+$AS$6))</f>
        <v>103.31191497615302</v>
      </c>
      <c r="AW12" s="377">
        <f>IF(ISERROR(VLOOKUP($A12,'15-16 tariff'!$A:$F,6,FALSE)*(1+$AS$6)),"-",VLOOKUP($A12,'15-16 tariff'!$A:$F,6,FALSE)*(1+$AS$6))</f>
        <v>117.99397029839876</v>
      </c>
      <c r="AX12" s="369"/>
      <c r="AY12" s="380" t="s">
        <v>307</v>
      </c>
      <c r="AZ12" s="380" t="s">
        <v>307</v>
      </c>
      <c r="BA12" s="380" t="s">
        <v>307</v>
      </c>
      <c r="BB12" s="381" t="s">
        <v>307</v>
      </c>
      <c r="BC12" s="381">
        <f t="shared" si="16"/>
        <v>167.23410427277176</v>
      </c>
      <c r="BD12" s="381">
        <f t="shared" si="17"/>
        <v>261.3392201417484</v>
      </c>
      <c r="BE12" s="381">
        <f t="shared" si="18"/>
        <v>113.46062539029006</v>
      </c>
      <c r="BF12" s="381">
        <f t="shared" si="19"/>
        <v>183.38138153153724</v>
      </c>
      <c r="BG12" s="381">
        <f>IFERROR(VLOOKUP($A12,'Further adjustment'!$A:$Q,7,FALSE),0)</f>
        <v>161188</v>
      </c>
      <c r="BH12" s="381">
        <f>IFERROR(VLOOKUP($A12,'Further adjustment'!$A:$Q,6,FALSE),0)</f>
        <v>3277</v>
      </c>
      <c r="BI12" s="381">
        <f>IFERROR(VLOOKUP($A12,'Further adjustment'!$A:$Q,9,FALSE),0)</f>
        <v>204153</v>
      </c>
      <c r="BJ12" s="381">
        <f>IFERROR(VLOOKUP($A12,'Further adjustment'!$A:$Q,8,FALSE),0)</f>
        <v>5003</v>
      </c>
      <c r="BK12" s="382">
        <f t="shared" si="20"/>
        <v>-3.1174571652793026E-2</v>
      </c>
      <c r="BL12" s="382">
        <f t="shared" si="21"/>
        <v>-3.1174571652793026E-2</v>
      </c>
      <c r="BM12" s="382">
        <f t="shared" si="22"/>
        <v>-3.1174571652793026E-2</v>
      </c>
      <c r="BN12" s="382">
        <f t="shared" si="23"/>
        <v>-3.1174571652792915E-2</v>
      </c>
      <c r="BO12" s="369"/>
      <c r="BP12" s="383">
        <f>'Price Adjustments'!$D$90</f>
        <v>-6.8529657693413348E-2</v>
      </c>
      <c r="BQ12" s="384">
        <f t="shared" si="24"/>
        <v>155.7736083522941</v>
      </c>
      <c r="BR12" s="384">
        <f t="shared" si="25"/>
        <v>243.42973284357078</v>
      </c>
      <c r="BS12" s="384">
        <f t="shared" si="26"/>
        <v>105.68520757061287</v>
      </c>
      <c r="BT12" s="384">
        <f t="shared" si="27"/>
        <v>170.81431822783577</v>
      </c>
      <c r="BU12" s="369"/>
      <c r="BV12" s="385" t="str">
        <f>IF(COUNTIF('Manual adjustments'!$A:$A,A12)=1,"Y",IF(COUNTIF(#REF!,A12)=1,"BPT",""))</f>
        <v>Y</v>
      </c>
      <c r="BW12" s="384">
        <f>IF($BV12="",BQ12,IF(AND($BV12="BPT",IFERROR(ISNUMBER(VLOOKUP($A12,#REF!,3,FALSE)),FALSE)),VLOOKUP($A12,#REF!,3,FALSE),IF(AND($BV12="Y",IFERROR(ISNUMBER(VLOOKUP($A12,'Manual adjustments'!$A:$O,12,FALSE)),FALSE)),VLOOKUP($A12,'Manual adjustments'!$A:$O,12,FALSE),BQ12)))</f>
        <v>155.7736083522941</v>
      </c>
      <c r="BX12" s="384">
        <f>IF($BV12="",BR12,IF(AND($BV12="BPT",IFERROR(ISNUMBER(VLOOKUP($A12,#REF!,4,FALSE)),FALSE)),VLOOKUP($A12,#REF!,4,FALSE),IF(AND($BV12="Y",IFERROR(ISNUMBER(VLOOKUP($A12,'Manual adjustments'!$A:$O,13,FALSE)),FALSE)),VLOOKUP($A12,'Manual adjustments'!$A:$O,13,FALSE),BR12)))</f>
        <v>243.42973284357078</v>
      </c>
      <c r="BY12" s="384">
        <f>IF($BV12="",BS12,IF(AND($BV12="BPT",IFERROR(ISNUMBER(VLOOKUP($A12,#REF!,5,FALSE)),FALSE)),VLOOKUP($A12,#REF!,5,FALSE),IF(AND($BV12="Y",IFERROR(ISNUMBER(VLOOKUP($A12,'Manual adjustments'!$A:$O,14,FALSE)),FALSE)),VLOOKUP($A12,'Manual adjustments'!$A:$O,14,FALSE),BS12)))</f>
        <v>105.68520757061287</v>
      </c>
      <c r="BZ12" s="384">
        <f>IF($BV12="",BT12,IF(AND($BV12="BPT",IFERROR(ISNUMBER(VLOOKUP($A12,#REF!,6,FALSE)),FALSE)),VLOOKUP($A12,#REF!,6,FALSE),IF(AND($BV12="Y",IFERROR(ISNUMBER(VLOOKUP($A12,'Manual adjustments'!$A:$O,15,FALSE)),FALSE)),VLOOKUP($A12,'Manual adjustments'!$A:$O,15,FALSE),BT12)))</f>
        <v>170.81431822783577</v>
      </c>
      <c r="CA12" s="386">
        <f>'Post manual recon'!$N$70</f>
        <v>0</v>
      </c>
      <c r="CB12" s="384">
        <f>IF(VLOOKUP($A12,'Post manual recon'!$A:$U,18,FALSE)=0,BW12,BW12*(1+$CA12))</f>
        <v>155.7736083522941</v>
      </c>
      <c r="CC12" s="384">
        <f>IF(VLOOKUP($A12,'Post manual recon'!$A:$U,19,FALSE)=0,BX12,BX12*(1+$CA12))</f>
        <v>243.42973284357078</v>
      </c>
      <c r="CD12" s="384">
        <f>IF(VLOOKUP($A12,'Post manual recon'!$A:$U,20,FALSE)=0,BY12,BY12*(1+$CA12))</f>
        <v>105.68520757061287</v>
      </c>
      <c r="CE12" s="384">
        <f>IF(VLOOKUP($A12,'Post manual recon'!$A:$U,21,FALSE)=0,BZ12,BZ12*(1+$CA12))</f>
        <v>170.81431822783577</v>
      </c>
      <c r="CF12" s="383">
        <f t="shared" si="35"/>
        <v>0</v>
      </c>
      <c r="CG12" s="383">
        <f t="shared" si="36"/>
        <v>0</v>
      </c>
      <c r="CH12" s="383">
        <f t="shared" si="37"/>
        <v>0</v>
      </c>
      <c r="CI12" s="383">
        <f t="shared" si="38"/>
        <v>0</v>
      </c>
      <c r="CJ12" s="369"/>
      <c r="CK12" s="383">
        <f>'Price Adjustments'!$F$6</f>
        <v>0</v>
      </c>
      <c r="CL12" s="384">
        <f t="shared" si="39"/>
        <v>155.7736083522941</v>
      </c>
      <c r="CM12" s="384">
        <f t="shared" si="40"/>
        <v>243.42973284357078</v>
      </c>
      <c r="CN12" s="384">
        <f t="shared" si="41"/>
        <v>105.68520757061287</v>
      </c>
      <c r="CO12" s="384">
        <f t="shared" si="42"/>
        <v>170.81431822783577</v>
      </c>
      <c r="CP12" s="369"/>
      <c r="CQ12" s="384">
        <f t="shared" si="43"/>
        <v>156</v>
      </c>
      <c r="CR12" s="384">
        <f t="shared" si="44"/>
        <v>243</v>
      </c>
      <c r="CS12" s="384">
        <f t="shared" si="45"/>
        <v>106</v>
      </c>
      <c r="CT12" s="384">
        <f t="shared" si="46"/>
        <v>171</v>
      </c>
    </row>
    <row r="13" spans="1:98">
      <c r="A13" s="367">
        <v>108</v>
      </c>
      <c r="B13" s="367" t="str">
        <f>INDEX('201314 RC list'!B:B,MATCH(A13,'201314 RC list'!A:A,0))</f>
        <v>Spinal Surgery Service</v>
      </c>
      <c r="C13" s="368">
        <f>IF(ISERROR(VLOOKUP($A13,'Allocate OPROC cost'!A:M,11,FALSE)),"-",VLOOKUP($A13,'Allocate OPROC cost'!A:M,11,FALSE))</f>
        <v>156.93786956766604</v>
      </c>
      <c r="D13" s="368">
        <f>IF(ISERROR(VLOOKUP($A13,'Allocate OPROC cost'!A:M,10,FALSE)),"-",VLOOKUP($A13,'Allocate OPROC cost'!A:M,10,FALSE))</f>
        <v>46.786708972766277</v>
      </c>
      <c r="E13" s="368">
        <f>IF(ISERROR(VLOOKUP($A13,'Allocate OPROC cost'!A:M,13,FALSE)),"-",VLOOKUP($A13,'Allocate OPROC cost'!A:M,13,FALSE))</f>
        <v>128.58565614269767</v>
      </c>
      <c r="F13" s="368">
        <f>IF(ISERROR(VLOOKUP($A13,'Allocate OPROC cost'!A:M,12,FALSE)),"-",VLOOKUP($A13,'Allocate OPROC cost'!A:M,12,FALSE))</f>
        <v>62.619390911623732</v>
      </c>
      <c r="G13" s="369"/>
      <c r="H13" s="370">
        <f>IF(ISERROR(VLOOKUP($A13,'Allocate OPROC cost'!A:AO,39,FALSE)),"-",VLOOKUP($A13,'Allocate OPROC cost'!A:AO,39,FALSE))</f>
        <v>156.93129881733043</v>
      </c>
      <c r="I13" s="370">
        <f>IF(ISERROR(VLOOKUP($A13,'Allocate OPROC cost'!A:AO,38,FALSE)),"-",VLOOKUP($A13,'Allocate OPROC cost'!A:AO,38,FALSE))</f>
        <v>46.786708972766277</v>
      </c>
      <c r="J13" s="370">
        <f>IF(ISERROR(VLOOKUP($A13,'Allocate OPROC cost'!A:AO,41,FALSE)),"-",VLOOKUP($A13,'Allocate OPROC cost'!A:AO,41,FALSE))</f>
        <v>128.58168872857198</v>
      </c>
      <c r="K13" s="370">
        <f>IF(ISERROR(VLOOKUP($A13,'Allocate OPROC cost'!A:AO,40,FALSE)),"-",VLOOKUP($A13,'Allocate OPROC cost'!A:AO,40,FALSE))</f>
        <v>62.637037209486628</v>
      </c>
      <c r="L13" s="371">
        <f t="shared" si="0"/>
        <v>-4.1868481799323121E-5</v>
      </c>
      <c r="M13" s="371">
        <f t="shared" si="1"/>
        <v>0</v>
      </c>
      <c r="N13" s="371">
        <f t="shared" si="2"/>
        <v>-3.0854251124923238E-5</v>
      </c>
      <c r="O13" s="371">
        <f t="shared" si="3"/>
        <v>2.8180245138131887E-4</v>
      </c>
      <c r="P13" s="369"/>
      <c r="Q13" s="372">
        <f>IF(ISERROR(VLOOKUP($A13,'Front-loading'!$A:$AG,27,FALSE)),"-",VLOOKUP($A13,'Front-loading'!$A:$AG,27,FALSE))</f>
        <v>186.83006223071942</v>
      </c>
      <c r="R13" s="372">
        <f>IF(ISERROR(VLOOKUP($A13,'Front-loading'!$A:$AG,26,FALSE)),"-",VLOOKUP($A13,'Front-loading'!$A:$AG,26,FALSE))</f>
        <v>67.957056432716797</v>
      </c>
      <c r="S13" s="372">
        <f>IF(ISERROR(VLOOKUP($A13,'Front-loading'!$A:$AG,29,FALSE)),"-",VLOOKUP($A13,'Front-loading'!$A:$AG,29,FALSE))</f>
        <v>115.72351985571478</v>
      </c>
      <c r="T13" s="372">
        <f>IF(ISERROR(VLOOKUP($A13,'Front-loading'!$A:$AG,28,FALSE)),"-",VLOOKUP($A13,'Front-loading'!$A:$AG,28,FALSE))</f>
        <v>56.373333488537966</v>
      </c>
      <c r="U13" s="373">
        <f t="shared" si="4"/>
        <v>0.19052135322088581</v>
      </c>
      <c r="V13" s="373">
        <f t="shared" si="5"/>
        <v>0.45248635616310207</v>
      </c>
      <c r="W13" s="373">
        <f t="shared" si="6"/>
        <v>-9.9999999999999978E-2</v>
      </c>
      <c r="X13" s="373">
        <f t="shared" si="7"/>
        <v>-9.9999999999999978E-2</v>
      </c>
      <c r="Y13" s="369"/>
      <c r="Z13" s="374">
        <f>IF(ISERROR(VLOOKUP($A13,'Further adjustment'!$A:$BC,53,FALSE)),"-",VLOOKUP($A13,'Further adjustment'!$A:$BC,53,FALSE))</f>
        <v>184.75431025130251</v>
      </c>
      <c r="AA13" s="374">
        <f>IF(ISERROR(VLOOKUP($A13,'Further adjustment'!$A:$BC,52,FALSE)),"-",VLOOKUP($A13,'Further adjustment'!$A:$BC,52,FALSE))</f>
        <v>184.75431025130251</v>
      </c>
      <c r="AB13" s="374">
        <f>IF(ISERROR(VLOOKUP($A13,'Further adjustment'!$A:$BC,55,FALSE)),"-",VLOOKUP($A13,'Further adjustment'!$A:$BC,55,FALSE))</f>
        <v>114.2289673978143</v>
      </c>
      <c r="AC13" s="374">
        <f>IF(ISERROR(VLOOKUP($A13,'Further adjustment'!$A:$BC,54,FALSE)),"-",VLOOKUP($A13,'Further adjustment'!$A:$BC,54,FALSE))</f>
        <v>114.2289673978143</v>
      </c>
      <c r="AD13" s="375">
        <f t="shared" si="8"/>
        <v>-1.1110374607987472E-2</v>
      </c>
      <c r="AE13" s="375">
        <f t="shared" si="9"/>
        <v>1.7186920674562298</v>
      </c>
      <c r="AF13" s="375">
        <f t="shared" si="10"/>
        <v>-1.2914854817446808E-2</v>
      </c>
      <c r="AG13" s="375">
        <f t="shared" si="11"/>
        <v>1.0262943546001186</v>
      </c>
      <c r="AH13" s="369"/>
      <c r="AI13" s="376">
        <f>'Price Adjustments'!$G$6</f>
        <v>-3.1174571652793026E-2</v>
      </c>
      <c r="AJ13" s="376">
        <v>0</v>
      </c>
      <c r="AK13" s="377">
        <f t="shared" si="31"/>
        <v>178.99467376821093</v>
      </c>
      <c r="AL13" s="377">
        <f t="shared" si="32"/>
        <v>178.99467376821093</v>
      </c>
      <c r="AM13" s="377">
        <f t="shared" si="33"/>
        <v>110.66792826884658</v>
      </c>
      <c r="AN13" s="377">
        <f t="shared" si="34"/>
        <v>110.66792826884658</v>
      </c>
      <c r="AO13" s="378">
        <f t="shared" si="12"/>
        <v>-3.1174571652793026E-2</v>
      </c>
      <c r="AP13" s="378">
        <f t="shared" si="13"/>
        <v>-3.1174571652793026E-2</v>
      </c>
      <c r="AQ13" s="378">
        <f t="shared" si="14"/>
        <v>-3.1174571652793026E-2</v>
      </c>
      <c r="AR13" s="378">
        <f t="shared" si="15"/>
        <v>-3.1174571652793026E-2</v>
      </c>
      <c r="AS13" s="379">
        <f>'Price Adjustments'!$F$6</f>
        <v>0</v>
      </c>
      <c r="AT13" s="377">
        <f>IF(ISERROR(VLOOKUP($A13,'15-16 tariff'!$A:$F,3,FALSE)*(1+$AS$6)),"-",VLOOKUP($A13,'15-16 tariff'!$A:$F,3,FALSE)*(1+$AS$6))</f>
        <v>159.805945687964</v>
      </c>
      <c r="AU13" s="377">
        <f>IF(ISERROR(VLOOKUP($A13,'15-16 tariff'!$A:$F,4,FALSE)*(1+$AS$6)),"-",VLOOKUP($A13,'15-16 tariff'!$A:$F,4,FALSE)*(1+$AS$6))</f>
        <v>159.805945687964</v>
      </c>
      <c r="AV13" s="377">
        <f>IF(ISERROR(VLOOKUP($A13,'15-16 tariff'!$A:$F,5,FALSE)*(1+$AS$6)),"-",VLOOKUP($A13,'15-16 tariff'!$A:$F,5,FALSE)*(1+$AS$6))</f>
        <v>97.273184331804174</v>
      </c>
      <c r="AW13" s="377">
        <f>IF(ISERROR(VLOOKUP($A13,'15-16 tariff'!$A:$F,6,FALSE)*(1+$AS$6)),"-",VLOOKUP($A13,'15-16 tariff'!$A:$F,6,FALSE)*(1+$AS$6))</f>
        <v>97.273184331804174</v>
      </c>
      <c r="AX13" s="369"/>
      <c r="AY13" s="380" t="s">
        <v>307</v>
      </c>
      <c r="AZ13" s="380" t="s">
        <v>307</v>
      </c>
      <c r="BA13" s="380" t="s">
        <v>307</v>
      </c>
      <c r="BB13" s="381" t="s">
        <v>307</v>
      </c>
      <c r="BC13" s="381">
        <f t="shared" si="16"/>
        <v>178.99467376821093</v>
      </c>
      <c r="BD13" s="381">
        <f t="shared" si="17"/>
        <v>178.99467376821093</v>
      </c>
      <c r="BE13" s="381">
        <f t="shared" si="18"/>
        <v>110.66792826884658</v>
      </c>
      <c r="BF13" s="381">
        <f t="shared" si="19"/>
        <v>110.66792826884658</v>
      </c>
      <c r="BG13" s="381">
        <f>IFERROR(VLOOKUP($A13,'Further adjustment'!$A:$Q,7,FALSE),0)</f>
        <v>14517</v>
      </c>
      <c r="BH13" s="381">
        <f>IFERROR(VLOOKUP($A13,'Further adjustment'!$A:$Q,6,FALSE),0)</f>
        <v>258</v>
      </c>
      <c r="BI13" s="381">
        <f>IFERROR(VLOOKUP($A13,'Further adjustment'!$A:$Q,9,FALSE),0)</f>
        <v>33756</v>
      </c>
      <c r="BJ13" s="381">
        <f>IFERROR(VLOOKUP($A13,'Further adjustment'!$A:$Q,8,FALSE),0)</f>
        <v>872</v>
      </c>
      <c r="BK13" s="382">
        <f t="shared" si="20"/>
        <v>-3.1174571652793026E-2</v>
      </c>
      <c r="BL13" s="382">
        <f t="shared" si="21"/>
        <v>-3.1174571652793026E-2</v>
      </c>
      <c r="BM13" s="382">
        <f t="shared" si="22"/>
        <v>-3.1174571652793026E-2</v>
      </c>
      <c r="BN13" s="382">
        <f t="shared" si="23"/>
        <v>-3.1174571652793026E-2</v>
      </c>
      <c r="BO13" s="369"/>
      <c r="BP13" s="383">
        <f>'Price Adjustments'!$D$90</f>
        <v>-6.8529657693413348E-2</v>
      </c>
      <c r="BQ13" s="384">
        <f t="shared" si="24"/>
        <v>166.72823004593124</v>
      </c>
      <c r="BR13" s="384">
        <f t="shared" si="25"/>
        <v>166.72823004593124</v>
      </c>
      <c r="BS13" s="384">
        <f t="shared" si="26"/>
        <v>103.0838930269433</v>
      </c>
      <c r="BT13" s="384">
        <f t="shared" si="27"/>
        <v>103.0838930269433</v>
      </c>
      <c r="BU13" s="369"/>
      <c r="BV13" s="385" t="str">
        <f>IF(COUNTIF('Manual adjustments'!$A:$A,A13)=1,"Y",IF(COUNTIF(#REF!,A13)=1,"BPT",""))</f>
        <v>Y</v>
      </c>
      <c r="BW13" s="384">
        <f>IF($BV13="",BQ13,IF(AND($BV13="BPT",IFERROR(ISNUMBER(VLOOKUP($A13,#REF!,3,FALSE)),FALSE)),VLOOKUP($A13,#REF!,3,FALSE),IF(AND($BV13="Y",IFERROR(ISNUMBER(VLOOKUP($A13,'Manual adjustments'!$A:$O,12,FALSE)),FALSE)),VLOOKUP($A13,'Manual adjustments'!$A:$O,12,FALSE),BQ13)))</f>
        <v>166.72823004593124</v>
      </c>
      <c r="BX13" s="384">
        <f>IF($BV13="",BR13,IF(AND($BV13="BPT",IFERROR(ISNUMBER(VLOOKUP($A13,#REF!,4,FALSE)),FALSE)),VLOOKUP($A13,#REF!,4,FALSE),IF(AND($BV13="Y",IFERROR(ISNUMBER(VLOOKUP($A13,'Manual adjustments'!$A:$O,13,FALSE)),FALSE)),VLOOKUP($A13,'Manual adjustments'!$A:$O,13,FALSE),BR13)))</f>
        <v>166.72823004593124</v>
      </c>
      <c r="BY13" s="384">
        <f>IF($BV13="",BS13,IF(AND($BV13="BPT",IFERROR(ISNUMBER(VLOOKUP($A13,#REF!,5,FALSE)),FALSE)),VLOOKUP($A13,#REF!,5,FALSE),IF(AND($BV13="Y",IFERROR(ISNUMBER(VLOOKUP($A13,'Manual adjustments'!$A:$O,14,FALSE)),FALSE)),VLOOKUP($A13,'Manual adjustments'!$A:$O,14,FALSE),BS13)))</f>
        <v>103.0838930269433</v>
      </c>
      <c r="BZ13" s="384">
        <f>IF($BV13="",BT13,IF(AND($BV13="BPT",IFERROR(ISNUMBER(VLOOKUP($A13,#REF!,6,FALSE)),FALSE)),VLOOKUP($A13,#REF!,6,FALSE),IF(AND($BV13="Y",IFERROR(ISNUMBER(VLOOKUP($A13,'Manual adjustments'!$A:$O,15,FALSE)),FALSE)),VLOOKUP($A13,'Manual adjustments'!$A:$O,15,FALSE),BT13)))</f>
        <v>103.0838930269433</v>
      </c>
      <c r="CA13" s="386">
        <f>'Post manual recon'!$N$70</f>
        <v>0</v>
      </c>
      <c r="CB13" s="384">
        <f>IF(VLOOKUP($A13,'Post manual recon'!$A:$U,18,FALSE)=0,BW13,BW13*(1+$CA13))</f>
        <v>166.72823004593124</v>
      </c>
      <c r="CC13" s="384">
        <f>IF(VLOOKUP($A13,'Post manual recon'!$A:$U,19,FALSE)=0,BX13,BX13*(1+$CA13))</f>
        <v>166.72823004593124</v>
      </c>
      <c r="CD13" s="384">
        <f>IF(VLOOKUP($A13,'Post manual recon'!$A:$U,20,FALSE)=0,BY13,BY13*(1+$CA13))</f>
        <v>103.0838930269433</v>
      </c>
      <c r="CE13" s="384">
        <f>IF(VLOOKUP($A13,'Post manual recon'!$A:$U,21,FALSE)=0,BZ13,BZ13*(1+$CA13))</f>
        <v>103.0838930269433</v>
      </c>
      <c r="CF13" s="383">
        <f t="shared" si="35"/>
        <v>0</v>
      </c>
      <c r="CG13" s="383">
        <f t="shared" si="36"/>
        <v>0</v>
      </c>
      <c r="CH13" s="383">
        <f t="shared" si="37"/>
        <v>0</v>
      </c>
      <c r="CI13" s="383">
        <f t="shared" si="38"/>
        <v>0</v>
      </c>
      <c r="CJ13" s="369"/>
      <c r="CK13" s="383">
        <f>'Price Adjustments'!$F$6</f>
        <v>0</v>
      </c>
      <c r="CL13" s="384">
        <f t="shared" si="39"/>
        <v>166.72823004593124</v>
      </c>
      <c r="CM13" s="384">
        <f t="shared" si="40"/>
        <v>166.72823004593124</v>
      </c>
      <c r="CN13" s="384">
        <f t="shared" si="41"/>
        <v>103.0838930269433</v>
      </c>
      <c r="CO13" s="384">
        <f t="shared" si="42"/>
        <v>103.0838930269433</v>
      </c>
      <c r="CP13" s="369"/>
      <c r="CQ13" s="384">
        <f t="shared" si="43"/>
        <v>167</v>
      </c>
      <c r="CR13" s="384">
        <f t="shared" si="44"/>
        <v>167</v>
      </c>
      <c r="CS13" s="384">
        <f t="shared" si="45"/>
        <v>103</v>
      </c>
      <c r="CT13" s="384">
        <f t="shared" si="46"/>
        <v>103</v>
      </c>
    </row>
    <row r="14" spans="1:98">
      <c r="A14" s="367">
        <v>110</v>
      </c>
      <c r="B14" s="367" t="str">
        <f>INDEX('201314 RC list'!B:B,MATCH(A14,'201314 RC list'!A:A,0))</f>
        <v>Trauma &amp; Orthopaedics</v>
      </c>
      <c r="C14" s="368">
        <f>IF(ISERROR(VLOOKUP($A14,'Allocate OPROC cost'!A:M,11,FALSE)),"-",VLOOKUP($A14,'Allocate OPROC cost'!A:M,11,FALSE))</f>
        <v>122.54731591929404</v>
      </c>
      <c r="D14" s="368">
        <f>IF(ISERROR(VLOOKUP($A14,'Allocate OPROC cost'!A:M,10,FALSE)),"-",VLOOKUP($A14,'Allocate OPROC cost'!A:M,10,FALSE))</f>
        <v>131.64123044088166</v>
      </c>
      <c r="E14" s="368">
        <f>IF(ISERROR(VLOOKUP($A14,'Allocate OPROC cost'!A:M,13,FALSE)),"-",VLOOKUP($A14,'Allocate OPROC cost'!A:M,13,FALSE))</f>
        <v>97.506873962664173</v>
      </c>
      <c r="F14" s="368">
        <f>IF(ISERROR(VLOOKUP($A14,'Allocate OPROC cost'!A:M,12,FALSE)),"-",VLOOKUP($A14,'Allocate OPROC cost'!A:M,12,FALSE))</f>
        <v>102.73306672288825</v>
      </c>
      <c r="G14" s="369"/>
      <c r="H14" s="370">
        <f>IF(ISERROR(VLOOKUP($A14,'Allocate OPROC cost'!A:AO,39,FALSE)),"-",VLOOKUP($A14,'Allocate OPROC cost'!A:AO,39,FALSE))</f>
        <v>122.52204746716464</v>
      </c>
      <c r="I14" s="370">
        <f>IF(ISERROR(VLOOKUP($A14,'Allocate OPROC cost'!A:AO,38,FALSE)),"-",VLOOKUP($A14,'Allocate OPROC cost'!A:AO,38,FALSE))</f>
        <v>131.49666372140646</v>
      </c>
      <c r="J14" s="370">
        <f>IF(ISERROR(VLOOKUP($A14,'Allocate OPROC cost'!A:AO,41,FALSE)),"-",VLOOKUP($A14,'Allocate OPROC cost'!A:AO,41,FALSE))</f>
        <v>97.619688486405778</v>
      </c>
      <c r="K14" s="370">
        <f>IF(ISERROR(VLOOKUP($A14,'Allocate OPROC cost'!A:AO,40,FALSE)),"-",VLOOKUP($A14,'Allocate OPROC cost'!A:AO,40,FALSE))</f>
        <v>102.96253997332926</v>
      </c>
      <c r="L14" s="371">
        <f t="shared" si="0"/>
        <v>-2.0619343589733941E-4</v>
      </c>
      <c r="M14" s="371">
        <f t="shared" si="1"/>
        <v>-1.0981872395983139E-3</v>
      </c>
      <c r="N14" s="371">
        <f t="shared" si="2"/>
        <v>1.1569904680237553E-3</v>
      </c>
      <c r="O14" s="371">
        <f t="shared" si="3"/>
        <v>2.233684418863735E-3</v>
      </c>
      <c r="P14" s="369"/>
      <c r="Q14" s="372">
        <f>IF(ISERROR(VLOOKUP($A14,'Front-loading'!$A:$AG,27,FALSE)),"-",VLOOKUP($A14,'Front-loading'!$A:$AG,27,FALSE))</f>
        <v>139.69522048892154</v>
      </c>
      <c r="R14" s="372">
        <f>IF(ISERROR(VLOOKUP($A14,'Front-loading'!$A:$AG,26,FALSE)),"-",VLOOKUP($A14,'Front-loading'!$A:$AG,26,FALSE))</f>
        <v>150.02992091660573</v>
      </c>
      <c r="S14" s="372">
        <f>IF(ISERROR(VLOOKUP($A14,'Front-loading'!$A:$AG,29,FALSE)),"-",VLOOKUP($A14,'Front-loading'!$A:$AG,29,FALSE))</f>
        <v>87.857719637765186</v>
      </c>
      <c r="T14" s="372">
        <f>IF(ISERROR(VLOOKUP($A14,'Front-loading'!$A:$AG,28,FALSE)),"-",VLOOKUP($A14,'Front-loading'!$A:$AG,28,FALSE))</f>
        <v>92.666285975996331</v>
      </c>
      <c r="U14" s="373">
        <f t="shared" si="4"/>
        <v>0.14016394091324047</v>
      </c>
      <c r="V14" s="373">
        <f t="shared" si="5"/>
        <v>0.14094089287667777</v>
      </c>
      <c r="W14" s="373">
        <f t="shared" si="6"/>
        <v>-0.1000000000000002</v>
      </c>
      <c r="X14" s="373">
        <f t="shared" si="7"/>
        <v>-9.9999999999999978E-2</v>
      </c>
      <c r="Y14" s="369"/>
      <c r="Z14" s="374">
        <f>IF(ISERROR(VLOOKUP($A14,'Further adjustment'!$A:$BC,53,FALSE)),"-",VLOOKUP($A14,'Further adjustment'!$A:$BC,53,FALSE))</f>
        <v>139.69522048892154</v>
      </c>
      <c r="AA14" s="374">
        <f>IF(ISERROR(VLOOKUP($A14,'Further adjustment'!$A:$BC,52,FALSE)),"-",VLOOKUP($A14,'Further adjustment'!$A:$BC,52,FALSE))</f>
        <v>150.02992091660573</v>
      </c>
      <c r="AB14" s="374">
        <f>IF(ISERROR(VLOOKUP($A14,'Further adjustment'!$A:$BC,55,FALSE)),"-",VLOOKUP($A14,'Further adjustment'!$A:$BC,55,FALSE))</f>
        <v>87.857719637765186</v>
      </c>
      <c r="AC14" s="374">
        <f>IF(ISERROR(VLOOKUP($A14,'Further adjustment'!$A:$BC,54,FALSE)),"-",VLOOKUP($A14,'Further adjustment'!$A:$BC,54,FALSE))</f>
        <v>92.666285975996331</v>
      </c>
      <c r="AD14" s="375">
        <f t="shared" si="8"/>
        <v>0</v>
      </c>
      <c r="AE14" s="375">
        <f t="shared" si="9"/>
        <v>0</v>
      </c>
      <c r="AF14" s="375">
        <f t="shared" si="10"/>
        <v>0</v>
      </c>
      <c r="AG14" s="375">
        <f t="shared" si="11"/>
        <v>0</v>
      </c>
      <c r="AH14" s="369"/>
      <c r="AI14" s="376">
        <f>'Price Adjustments'!$G$6</f>
        <v>-3.1174571652793026E-2</v>
      </c>
      <c r="AJ14" s="376">
        <v>0</v>
      </c>
      <c r="AK14" s="377">
        <f t="shared" si="31"/>
        <v>135.34028182823693</v>
      </c>
      <c r="AL14" s="377">
        <f t="shared" si="32"/>
        <v>145.35280239692813</v>
      </c>
      <c r="AM14" s="377">
        <f t="shared" si="33"/>
        <v>85.118792861666677</v>
      </c>
      <c r="AN14" s="377">
        <f t="shared" si="34"/>
        <v>89.777454204039429</v>
      </c>
      <c r="AO14" s="378">
        <f t="shared" si="12"/>
        <v>-3.1174571652793026E-2</v>
      </c>
      <c r="AP14" s="378">
        <f t="shared" si="13"/>
        <v>-3.1174571652793137E-2</v>
      </c>
      <c r="AQ14" s="378">
        <f t="shared" si="14"/>
        <v>-3.1174571652793026E-2</v>
      </c>
      <c r="AR14" s="378">
        <f t="shared" si="15"/>
        <v>-3.1174571652792915E-2</v>
      </c>
      <c r="AS14" s="379">
        <f>'Price Adjustments'!$F$6</f>
        <v>0</v>
      </c>
      <c r="AT14" s="377">
        <f>IF(ISERROR(VLOOKUP($A14,'15-16 tariff'!$A:$F,3,FALSE)*(1+$AS$6)),"-",VLOOKUP($A14,'15-16 tariff'!$A:$F,3,FALSE)*(1+$AS$6))</f>
        <v>127.91380148798578</v>
      </c>
      <c r="AU14" s="377">
        <f>IF(ISERROR(VLOOKUP($A14,'15-16 tariff'!$A:$F,4,FALSE)*(1+$AS$6)),"-",VLOOKUP($A14,'15-16 tariff'!$A:$F,4,FALSE)*(1+$AS$6))</f>
        <v>129.46247085650671</v>
      </c>
      <c r="AV14" s="377">
        <f>IF(ISERROR(VLOOKUP($A14,'15-16 tariff'!$A:$F,5,FALSE)*(1+$AS$6)),"-",VLOOKUP($A14,'15-16 tariff'!$A:$F,5,FALSE)*(1+$AS$6))</f>
        <v>75.343238386070013</v>
      </c>
      <c r="AW14" s="377">
        <f>IF(ISERROR(VLOOKUP($A14,'15-16 tariff'!$A:$F,6,FALSE)*(1+$AS$6)),"-",VLOOKUP($A14,'15-16 tariff'!$A:$F,6,FALSE)*(1+$AS$6))</f>
        <v>84.414700798698192</v>
      </c>
      <c r="AX14" s="369"/>
      <c r="AY14" s="380" t="s">
        <v>307</v>
      </c>
      <c r="AZ14" s="380" t="s">
        <v>307</v>
      </c>
      <c r="BA14" s="380" t="s">
        <v>307</v>
      </c>
      <c r="BB14" s="381" t="s">
        <v>307</v>
      </c>
      <c r="BC14" s="381">
        <f t="shared" si="16"/>
        <v>135.34028182823693</v>
      </c>
      <c r="BD14" s="381">
        <f t="shared" si="17"/>
        <v>145.35280239692813</v>
      </c>
      <c r="BE14" s="381">
        <f t="shared" si="18"/>
        <v>85.118792861666677</v>
      </c>
      <c r="BF14" s="381">
        <f t="shared" si="19"/>
        <v>89.777454204039429</v>
      </c>
      <c r="BG14" s="381">
        <f>IFERROR(VLOOKUP($A14,'Further adjustment'!$A:$Q,7,FALSE),0)</f>
        <v>2077780</v>
      </c>
      <c r="BH14" s="381">
        <f>IFERROR(VLOOKUP($A14,'Further adjustment'!$A:$Q,6,FALSE),0)</f>
        <v>43770</v>
      </c>
      <c r="BI14" s="381">
        <f>IFERROR(VLOOKUP($A14,'Further adjustment'!$A:$Q,9,FALSE),0)</f>
        <v>3655213</v>
      </c>
      <c r="BJ14" s="381">
        <f>IFERROR(VLOOKUP($A14,'Further adjustment'!$A:$Q,8,FALSE),0)</f>
        <v>78786</v>
      </c>
      <c r="BK14" s="382">
        <f t="shared" si="20"/>
        <v>-3.1174571652793026E-2</v>
      </c>
      <c r="BL14" s="382">
        <f t="shared" si="21"/>
        <v>-3.1174571652793137E-2</v>
      </c>
      <c r="BM14" s="382">
        <f t="shared" si="22"/>
        <v>-3.1174571652793026E-2</v>
      </c>
      <c r="BN14" s="382">
        <f t="shared" si="23"/>
        <v>-3.1174571652792915E-2</v>
      </c>
      <c r="BO14" s="369"/>
      <c r="BP14" s="383">
        <f>'Price Adjustments'!$D$90</f>
        <v>-6.8529657693413348E-2</v>
      </c>
      <c r="BQ14" s="384">
        <f t="shared" si="24"/>
        <v>126.06545864241775</v>
      </c>
      <c r="BR14" s="384">
        <f t="shared" si="25"/>
        <v>135.3918246038883</v>
      </c>
      <c r="BS14" s="384">
        <f t="shared" si="26"/>
        <v>79.285631123580103</v>
      </c>
      <c r="BT14" s="384">
        <f t="shared" si="27"/>
        <v>83.625035998850521</v>
      </c>
      <c r="BU14" s="369"/>
      <c r="BV14" s="385" t="str">
        <f>IF(COUNTIF('Manual adjustments'!$A:$A,A14)=1,"Y",IF(COUNTIF(#REF!,A14)=1,"BPT",""))</f>
        <v>Y</v>
      </c>
      <c r="BW14" s="384">
        <f>IF($BV14="",BQ14,IF(AND($BV14="BPT",IFERROR(ISNUMBER(VLOOKUP($A14,#REF!,3,FALSE)),FALSE)),VLOOKUP($A14,#REF!,3,FALSE),IF(AND($BV14="Y",IFERROR(ISNUMBER(VLOOKUP($A14,'Manual adjustments'!$A:$O,12,FALSE)),FALSE)),VLOOKUP($A14,'Manual adjustments'!$A:$O,12,FALSE),BQ14)))</f>
        <v>126.06545864241775</v>
      </c>
      <c r="BX14" s="384">
        <f>IF($BV14="",BR14,IF(AND($BV14="BPT",IFERROR(ISNUMBER(VLOOKUP($A14,#REF!,4,FALSE)),FALSE)),VLOOKUP($A14,#REF!,4,FALSE),IF(AND($BV14="Y",IFERROR(ISNUMBER(VLOOKUP($A14,'Manual adjustments'!$A:$O,13,FALSE)),FALSE)),VLOOKUP($A14,'Manual adjustments'!$A:$O,13,FALSE),BR14)))</f>
        <v>135.3918246038883</v>
      </c>
      <c r="BY14" s="384">
        <f>IF($BV14="",BS14,IF(AND($BV14="BPT",IFERROR(ISNUMBER(VLOOKUP($A14,#REF!,5,FALSE)),FALSE)),VLOOKUP($A14,#REF!,5,FALSE),IF(AND($BV14="Y",IFERROR(ISNUMBER(VLOOKUP($A14,'Manual adjustments'!$A:$O,14,FALSE)),FALSE)),VLOOKUP($A14,'Manual adjustments'!$A:$O,14,FALSE),BS14)))</f>
        <v>79.285631123580103</v>
      </c>
      <c r="BZ14" s="384">
        <f>IF($BV14="",BT14,IF(AND($BV14="BPT",IFERROR(ISNUMBER(VLOOKUP($A14,#REF!,6,FALSE)),FALSE)),VLOOKUP($A14,#REF!,6,FALSE),IF(AND($BV14="Y",IFERROR(ISNUMBER(VLOOKUP($A14,'Manual adjustments'!$A:$O,15,FALSE)),FALSE)),VLOOKUP($A14,'Manual adjustments'!$A:$O,15,FALSE),BT14)))</f>
        <v>83.625035998850521</v>
      </c>
      <c r="CA14" s="386">
        <f>'Post manual recon'!$N$70</f>
        <v>0</v>
      </c>
      <c r="CB14" s="384">
        <f>IF(VLOOKUP($A14,'Post manual recon'!$A:$U,18,FALSE)=0,BW14,BW14*(1+$CA14))</f>
        <v>126.06545864241775</v>
      </c>
      <c r="CC14" s="384">
        <f>IF(VLOOKUP($A14,'Post manual recon'!$A:$U,19,FALSE)=0,BX14,BX14*(1+$CA14))</f>
        <v>135.3918246038883</v>
      </c>
      <c r="CD14" s="384">
        <f>IF(VLOOKUP($A14,'Post manual recon'!$A:$U,20,FALSE)=0,BY14,BY14*(1+$CA14))</f>
        <v>79.285631123580103</v>
      </c>
      <c r="CE14" s="384">
        <f>IF(VLOOKUP($A14,'Post manual recon'!$A:$U,21,FALSE)=0,BZ14,BZ14*(1+$CA14))</f>
        <v>83.625035998850521</v>
      </c>
      <c r="CF14" s="383">
        <f t="shared" si="35"/>
        <v>0</v>
      </c>
      <c r="CG14" s="383">
        <f t="shared" si="36"/>
        <v>0</v>
      </c>
      <c r="CH14" s="383">
        <f t="shared" si="37"/>
        <v>0</v>
      </c>
      <c r="CI14" s="383">
        <f t="shared" si="38"/>
        <v>0</v>
      </c>
      <c r="CJ14" s="369"/>
      <c r="CK14" s="383">
        <f>'Price Adjustments'!$F$6</f>
        <v>0</v>
      </c>
      <c r="CL14" s="384">
        <f t="shared" si="39"/>
        <v>126.06545864241775</v>
      </c>
      <c r="CM14" s="384">
        <f t="shared" si="40"/>
        <v>135.3918246038883</v>
      </c>
      <c r="CN14" s="384">
        <f t="shared" si="41"/>
        <v>79.285631123580103</v>
      </c>
      <c r="CO14" s="384">
        <f t="shared" si="42"/>
        <v>83.625035998850521</v>
      </c>
      <c r="CP14" s="369"/>
      <c r="CQ14" s="384">
        <f t="shared" si="43"/>
        <v>126</v>
      </c>
      <c r="CR14" s="384">
        <f t="shared" si="44"/>
        <v>135</v>
      </c>
      <c r="CS14" s="384">
        <f t="shared" si="45"/>
        <v>79</v>
      </c>
      <c r="CT14" s="384">
        <f t="shared" si="46"/>
        <v>84</v>
      </c>
    </row>
    <row r="15" spans="1:98">
      <c r="A15" s="367">
        <v>120</v>
      </c>
      <c r="B15" s="367" t="str">
        <f>INDEX('201314 RC list'!B:B,MATCH(A15,'201314 RC list'!A:A,0))</f>
        <v>ENT</v>
      </c>
      <c r="C15" s="368">
        <f>IF(ISERROR(VLOOKUP($A15,'Allocate OPROC cost'!A:M,11,FALSE)),"-",VLOOKUP($A15,'Allocate OPROC cost'!A:M,11,FALSE))</f>
        <v>98.695160702644742</v>
      </c>
      <c r="D15" s="368">
        <f>IF(ISERROR(VLOOKUP($A15,'Allocate OPROC cost'!A:M,10,FALSE)),"-",VLOOKUP($A15,'Allocate OPROC cost'!A:M,10,FALSE))</f>
        <v>135.72994205795538</v>
      </c>
      <c r="E15" s="368">
        <f>IF(ISERROR(VLOOKUP($A15,'Allocate OPROC cost'!A:M,13,FALSE)),"-",VLOOKUP($A15,'Allocate OPROC cost'!A:M,13,FALSE))</f>
        <v>76.619702064376582</v>
      </c>
      <c r="F15" s="368">
        <f>IF(ISERROR(VLOOKUP($A15,'Allocate OPROC cost'!A:M,12,FALSE)),"-",VLOOKUP($A15,'Allocate OPROC cost'!A:M,12,FALSE))</f>
        <v>119.22176931668618</v>
      </c>
      <c r="G15" s="369"/>
      <c r="H15" s="370">
        <f>IF(ISERROR(VLOOKUP($A15,'Allocate OPROC cost'!A:AO,39,FALSE)),"-",VLOOKUP($A15,'Allocate OPROC cost'!A:AO,39,FALSE))</f>
        <v>100.483458964554</v>
      </c>
      <c r="I15" s="370">
        <f>IF(ISERROR(VLOOKUP($A15,'Allocate OPROC cost'!A:AO,38,FALSE)),"-",VLOOKUP($A15,'Allocate OPROC cost'!A:AO,38,FALSE))</f>
        <v>132.09145591097553</v>
      </c>
      <c r="J15" s="370">
        <f>IF(ISERROR(VLOOKUP($A15,'Allocate OPROC cost'!A:AO,41,FALSE)),"-",VLOOKUP($A15,'Allocate OPROC cost'!A:AO,41,FALSE))</f>
        <v>79.779347837773685</v>
      </c>
      <c r="K15" s="370">
        <f>IF(ISERROR(VLOOKUP($A15,'Allocate OPROC cost'!A:AO,40,FALSE)),"-",VLOOKUP($A15,'Allocate OPROC cost'!A:AO,40,FALSE))</f>
        <v>118.99869331712499</v>
      </c>
      <c r="L15" s="371">
        <f t="shared" si="0"/>
        <v>1.8119411825035403E-2</v>
      </c>
      <c r="M15" s="371">
        <f t="shared" si="1"/>
        <v>-2.6806805424158031E-2</v>
      </c>
      <c r="N15" s="371">
        <f t="shared" si="2"/>
        <v>4.123803262432868E-2</v>
      </c>
      <c r="O15" s="371">
        <f t="shared" si="3"/>
        <v>-1.8711012329354348E-3</v>
      </c>
      <c r="P15" s="369"/>
      <c r="Q15" s="372">
        <f>IF(ISERROR(VLOOKUP($A15,'Front-loading'!$A:$AG,27,FALSE)),"-",VLOOKUP($A15,'Front-loading'!$A:$AG,27,FALSE))</f>
        <v>112.03450901270156</v>
      </c>
      <c r="R15" s="372">
        <f>IF(ISERROR(VLOOKUP($A15,'Front-loading'!$A:$AG,26,FALSE)),"-",VLOOKUP($A15,'Front-loading'!$A:$AG,26,FALSE))</f>
        <v>158.0402312120909</v>
      </c>
      <c r="S15" s="372">
        <f>IF(ISERROR(VLOOKUP($A15,'Front-loading'!$A:$AG,29,FALSE)),"-",VLOOKUP($A15,'Front-loading'!$A:$AG,29,FALSE))</f>
        <v>71.801413053996313</v>
      </c>
      <c r="T15" s="372">
        <f>IF(ISERROR(VLOOKUP($A15,'Front-loading'!$A:$AG,28,FALSE)),"-",VLOOKUP($A15,'Front-loading'!$A:$AG,28,FALSE))</f>
        <v>107.09882398541249</v>
      </c>
      <c r="U15" s="373">
        <f t="shared" si="4"/>
        <v>0.11495474147861739</v>
      </c>
      <c r="V15" s="373">
        <f t="shared" si="5"/>
        <v>0.19644552421773476</v>
      </c>
      <c r="W15" s="373">
        <f t="shared" si="6"/>
        <v>-0.10000000000000009</v>
      </c>
      <c r="X15" s="373">
        <f t="shared" si="7"/>
        <v>-9.9999999999999978E-2</v>
      </c>
      <c r="Y15" s="369"/>
      <c r="Z15" s="374">
        <f>IF(ISERROR(VLOOKUP($A15,'Further adjustment'!$A:$BC,53,FALSE)),"-",VLOOKUP($A15,'Further adjustment'!$A:$BC,53,FALSE))</f>
        <v>112.03450901270156</v>
      </c>
      <c r="AA15" s="374">
        <f>IF(ISERROR(VLOOKUP($A15,'Further adjustment'!$A:$BC,52,FALSE)),"-",VLOOKUP($A15,'Further adjustment'!$A:$BC,52,FALSE))</f>
        <v>153.04704437523651</v>
      </c>
      <c r="AB15" s="374">
        <f>IF(ISERROR(VLOOKUP($A15,'Further adjustment'!$A:$BC,55,FALSE)),"-",VLOOKUP($A15,'Further adjustment'!$A:$BC,55,FALSE))</f>
        <v>71.801413053996313</v>
      </c>
      <c r="AC15" s="374">
        <f>IF(ISERROR(VLOOKUP($A15,'Further adjustment'!$A:$BC,54,FALSE)),"-",VLOOKUP($A15,'Further adjustment'!$A:$BC,54,FALSE))</f>
        <v>104.12827458938014</v>
      </c>
      <c r="AD15" s="375">
        <f t="shared" si="8"/>
        <v>0</v>
      </c>
      <c r="AE15" s="375">
        <f t="shared" si="9"/>
        <v>-3.1594403517124059E-2</v>
      </c>
      <c r="AF15" s="375">
        <f t="shared" si="10"/>
        <v>0</v>
      </c>
      <c r="AG15" s="375">
        <f t="shared" si="11"/>
        <v>-2.7736526746894641E-2</v>
      </c>
      <c r="AH15" s="369"/>
      <c r="AI15" s="376">
        <f>'Price Adjustments'!$G$6</f>
        <v>-3.1174571652793026E-2</v>
      </c>
      <c r="AJ15" s="376">
        <v>0</v>
      </c>
      <c r="AK15" s="377">
        <f t="shared" si="31"/>
        <v>108.5418811838996</v>
      </c>
      <c r="AL15" s="377">
        <f t="shared" si="32"/>
        <v>148.27586832411251</v>
      </c>
      <c r="AM15" s="377">
        <f t="shared" si="33"/>
        <v>69.563034757972716</v>
      </c>
      <c r="AN15" s="377">
        <f t="shared" si="34"/>
        <v>100.8821202321118</v>
      </c>
      <c r="AO15" s="378">
        <f t="shared" si="12"/>
        <v>-3.1174571652793137E-2</v>
      </c>
      <c r="AP15" s="378">
        <f t="shared" si="13"/>
        <v>-3.1174571652793026E-2</v>
      </c>
      <c r="AQ15" s="378">
        <f t="shared" si="14"/>
        <v>-3.1174571652793026E-2</v>
      </c>
      <c r="AR15" s="378">
        <f t="shared" si="15"/>
        <v>-3.1174571652793026E-2</v>
      </c>
      <c r="AS15" s="379">
        <f>'Price Adjustments'!$F$6</f>
        <v>0</v>
      </c>
      <c r="AT15" s="377">
        <f>IF(ISERROR(VLOOKUP($A15,'15-16 tariff'!$A:$F,3,FALSE)*(1+$AS$6)),"-",VLOOKUP($A15,'15-16 tariff'!$A:$F,3,FALSE)*(1+$AS$6))</f>
        <v>105.88554271684976</v>
      </c>
      <c r="AU15" s="377">
        <f>IF(ISERROR(VLOOKUP($A15,'15-16 tariff'!$A:$F,4,FALSE)*(1+$AS$6)),"-",VLOOKUP($A15,'15-16 tariff'!$A:$F,4,FALSE)*(1+$AS$6))</f>
        <v>165.32800386763492</v>
      </c>
      <c r="AV15" s="377">
        <f>IF(ISERROR(VLOOKUP($A15,'15-16 tariff'!$A:$F,5,FALSE)*(1+$AS$6)),"-",VLOOKUP($A15,'15-16 tariff'!$A:$F,5,FALSE)*(1+$AS$6))</f>
        <v>65.290580208896841</v>
      </c>
      <c r="AW15" s="377">
        <f>IF(ISERROR(VLOOKUP($A15,'15-16 tariff'!$A:$F,6,FALSE)*(1+$AS$6)),"-",VLOOKUP($A15,'15-16 tariff'!$A:$F,6,FALSE)*(1+$AS$6))</f>
        <v>90.510990015854375</v>
      </c>
      <c r="AX15" s="369"/>
      <c r="AY15" s="380" t="s">
        <v>307</v>
      </c>
      <c r="AZ15" s="380" t="s">
        <v>307</v>
      </c>
      <c r="BA15" s="380" t="s">
        <v>307</v>
      </c>
      <c r="BB15" s="381" t="s">
        <v>307</v>
      </c>
      <c r="BC15" s="381">
        <f t="shared" si="16"/>
        <v>108.5418811838996</v>
      </c>
      <c r="BD15" s="381">
        <f t="shared" si="17"/>
        <v>148.27586832411251</v>
      </c>
      <c r="BE15" s="381">
        <f t="shared" si="18"/>
        <v>69.563034757972716</v>
      </c>
      <c r="BF15" s="381">
        <f t="shared" si="19"/>
        <v>100.8821202321118</v>
      </c>
      <c r="BG15" s="381">
        <f>IFERROR(VLOOKUP($A15,'Further adjustment'!$A:$Q,7,FALSE),0)</f>
        <v>621493</v>
      </c>
      <c r="BH15" s="381">
        <f>IFERROR(VLOOKUP($A15,'Further adjustment'!$A:$Q,6,FALSE),0)</f>
        <v>8832</v>
      </c>
      <c r="BI15" s="381">
        <f>IFERROR(VLOOKUP($A15,'Further adjustment'!$A:$Q,9,FALSE),0)</f>
        <v>899844</v>
      </c>
      <c r="BJ15" s="381">
        <f>IFERROR(VLOOKUP($A15,'Further adjustment'!$A:$Q,8,FALSE),0)</f>
        <v>19259</v>
      </c>
      <c r="BK15" s="382">
        <f t="shared" si="20"/>
        <v>-3.1174571652793137E-2</v>
      </c>
      <c r="BL15" s="382">
        <f t="shared" si="21"/>
        <v>-3.1174571652793026E-2</v>
      </c>
      <c r="BM15" s="382">
        <f t="shared" si="22"/>
        <v>-3.1174571652793026E-2</v>
      </c>
      <c r="BN15" s="382">
        <f t="shared" si="23"/>
        <v>-3.1174571652793026E-2</v>
      </c>
      <c r="BO15" s="369"/>
      <c r="BP15" s="383">
        <f>'Price Adjustments'!$D$90</f>
        <v>-6.8529657693413348E-2</v>
      </c>
      <c r="BQ15" s="384">
        <f t="shared" si="24"/>
        <v>101.10354322096782</v>
      </c>
      <c r="BR15" s="384">
        <f t="shared" si="25"/>
        <v>138.11457382366746</v>
      </c>
      <c r="BS15" s="384">
        <f t="shared" si="26"/>
        <v>64.795903797893828</v>
      </c>
      <c r="BT15" s="384">
        <f t="shared" si="27"/>
        <v>93.968703065219415</v>
      </c>
      <c r="BU15" s="369"/>
      <c r="BV15" s="385" t="str">
        <f>IF(COUNTIF('Manual adjustments'!$A:$A,A15)=1,"Y",IF(COUNTIF(#REF!,A15)=1,"BPT",""))</f>
        <v>Y</v>
      </c>
      <c r="BW15" s="384">
        <f>IF($BV15="",BQ15,IF(AND($BV15="BPT",IFERROR(ISNUMBER(VLOOKUP($A15,#REF!,3,FALSE)),FALSE)),VLOOKUP($A15,#REF!,3,FALSE),IF(AND($BV15="Y",IFERROR(ISNUMBER(VLOOKUP($A15,'Manual adjustments'!$A:$O,12,FALSE)),FALSE)),VLOOKUP($A15,'Manual adjustments'!$A:$O,12,FALSE),BQ15)))</f>
        <v>101.10354322096782</v>
      </c>
      <c r="BX15" s="384">
        <f>IF($BV15="",BR15,IF(AND($BV15="BPT",IFERROR(ISNUMBER(VLOOKUP($A15,#REF!,4,FALSE)),FALSE)),VLOOKUP($A15,#REF!,4,FALSE),IF(AND($BV15="Y",IFERROR(ISNUMBER(VLOOKUP($A15,'Manual adjustments'!$A:$O,13,FALSE)),FALSE)),VLOOKUP($A15,'Manual adjustments'!$A:$O,13,FALSE),BR15)))</f>
        <v>138.11457382366746</v>
      </c>
      <c r="BY15" s="384">
        <f>IF($BV15="",BS15,IF(AND($BV15="BPT",IFERROR(ISNUMBER(VLOOKUP($A15,#REF!,5,FALSE)),FALSE)),VLOOKUP($A15,#REF!,5,FALSE),IF(AND($BV15="Y",IFERROR(ISNUMBER(VLOOKUP($A15,'Manual adjustments'!$A:$O,14,FALSE)),FALSE)),VLOOKUP($A15,'Manual adjustments'!$A:$O,14,FALSE),BS15)))</f>
        <v>64.795903797893828</v>
      </c>
      <c r="BZ15" s="384">
        <f>IF($BV15="",BT15,IF(AND($BV15="BPT",IFERROR(ISNUMBER(VLOOKUP($A15,#REF!,6,FALSE)),FALSE)),VLOOKUP($A15,#REF!,6,FALSE),IF(AND($BV15="Y",IFERROR(ISNUMBER(VLOOKUP($A15,'Manual adjustments'!$A:$O,15,FALSE)),FALSE)),VLOOKUP($A15,'Manual adjustments'!$A:$O,15,FALSE),BT15)))</f>
        <v>93.968703065219415</v>
      </c>
      <c r="CA15" s="386">
        <f>'Post manual recon'!$N$70</f>
        <v>0</v>
      </c>
      <c r="CB15" s="384">
        <f>IF(VLOOKUP($A15,'Post manual recon'!$A:$U,18,FALSE)=0,BW15,BW15*(1+$CA15))</f>
        <v>101.10354322096782</v>
      </c>
      <c r="CC15" s="384">
        <f>IF(VLOOKUP($A15,'Post manual recon'!$A:$U,19,FALSE)=0,BX15,BX15*(1+$CA15))</f>
        <v>138.11457382366746</v>
      </c>
      <c r="CD15" s="384">
        <f>IF(VLOOKUP($A15,'Post manual recon'!$A:$U,20,FALSE)=0,BY15,BY15*(1+$CA15))</f>
        <v>64.795903797893828</v>
      </c>
      <c r="CE15" s="384">
        <f>IF(VLOOKUP($A15,'Post manual recon'!$A:$U,21,FALSE)=0,BZ15,BZ15*(1+$CA15))</f>
        <v>93.968703065219415</v>
      </c>
      <c r="CF15" s="383">
        <f t="shared" si="35"/>
        <v>0</v>
      </c>
      <c r="CG15" s="383">
        <f t="shared" si="36"/>
        <v>0</v>
      </c>
      <c r="CH15" s="383">
        <f t="shared" si="37"/>
        <v>0</v>
      </c>
      <c r="CI15" s="383">
        <f t="shared" si="38"/>
        <v>0</v>
      </c>
      <c r="CJ15" s="369"/>
      <c r="CK15" s="383">
        <f>'Price Adjustments'!$F$6</f>
        <v>0</v>
      </c>
      <c r="CL15" s="384">
        <f t="shared" si="39"/>
        <v>101.10354322096782</v>
      </c>
      <c r="CM15" s="384">
        <f t="shared" si="40"/>
        <v>138.11457382366746</v>
      </c>
      <c r="CN15" s="384">
        <f t="shared" si="41"/>
        <v>64.795903797893828</v>
      </c>
      <c r="CO15" s="384">
        <f t="shared" si="42"/>
        <v>93.968703065219415</v>
      </c>
      <c r="CP15" s="369"/>
      <c r="CQ15" s="384">
        <f t="shared" si="43"/>
        <v>101</v>
      </c>
      <c r="CR15" s="384">
        <f t="shared" si="44"/>
        <v>138</v>
      </c>
      <c r="CS15" s="384">
        <f t="shared" si="45"/>
        <v>65</v>
      </c>
      <c r="CT15" s="384">
        <f t="shared" si="46"/>
        <v>94</v>
      </c>
    </row>
    <row r="16" spans="1:98">
      <c r="A16" s="367">
        <v>130</v>
      </c>
      <c r="B16" s="367" t="str">
        <f>INDEX('201314 RC list'!B:B,MATCH(A16,'201314 RC list'!A:A,0))</f>
        <v>Ophthalmology</v>
      </c>
      <c r="C16" s="368">
        <f>IF(ISERROR(VLOOKUP($A16,'Allocate OPROC cost'!A:M,11,FALSE)),"-",VLOOKUP($A16,'Allocate OPROC cost'!A:M,11,FALSE))</f>
        <v>95.941988682542842</v>
      </c>
      <c r="D16" s="368">
        <f>IF(ISERROR(VLOOKUP($A16,'Allocate OPROC cost'!A:M,10,FALSE)),"-",VLOOKUP($A16,'Allocate OPROC cost'!A:M,10,FALSE))</f>
        <v>121.54026562725326</v>
      </c>
      <c r="E16" s="368">
        <f>IF(ISERROR(VLOOKUP($A16,'Allocate OPROC cost'!A:M,13,FALSE)),"-",VLOOKUP($A16,'Allocate OPROC cost'!A:M,13,FALSE))</f>
        <v>75.331381869061374</v>
      </c>
      <c r="F16" s="368">
        <f>IF(ISERROR(VLOOKUP($A16,'Allocate OPROC cost'!A:M,12,FALSE)),"-",VLOOKUP($A16,'Allocate OPROC cost'!A:M,12,FALSE))</f>
        <v>100.01101319150153</v>
      </c>
      <c r="G16" s="369"/>
      <c r="H16" s="370">
        <f>IF(ISERROR(VLOOKUP($A16,'Allocate OPROC cost'!A:AO,39,FALSE)),"-",VLOOKUP($A16,'Allocate OPROC cost'!A:AO,39,FALSE))</f>
        <v>96.429153919294194</v>
      </c>
      <c r="I16" s="370">
        <f>IF(ISERROR(VLOOKUP($A16,'Allocate OPROC cost'!A:AO,38,FALSE)),"-",VLOOKUP($A16,'Allocate OPROC cost'!A:AO,38,FALSE))</f>
        <v>121.38134635779288</v>
      </c>
      <c r="J16" s="370">
        <f>IF(ISERROR(VLOOKUP($A16,'Allocate OPROC cost'!A:AO,41,FALSE)),"-",VLOOKUP($A16,'Allocate OPROC cost'!A:AO,41,FALSE))</f>
        <v>76.898213148825576</v>
      </c>
      <c r="K16" s="370">
        <f>IF(ISERROR(VLOOKUP($A16,'Allocate OPROC cost'!A:AO,40,FALSE)),"-",VLOOKUP($A16,'Allocate OPROC cost'!A:AO,40,FALSE))</f>
        <v>100.92067212982104</v>
      </c>
      <c r="L16" s="371">
        <f t="shared" si="0"/>
        <v>5.0777062623050817E-3</v>
      </c>
      <c r="M16" s="371">
        <f t="shared" si="1"/>
        <v>-1.307544200600752E-3</v>
      </c>
      <c r="N16" s="371">
        <f t="shared" si="2"/>
        <v>2.0799184096843115E-2</v>
      </c>
      <c r="O16" s="371">
        <f t="shared" si="3"/>
        <v>9.0955876687068837E-3</v>
      </c>
      <c r="P16" s="369"/>
      <c r="Q16" s="372">
        <f>IF(ISERROR(VLOOKUP($A16,'Front-loading'!$A:$AG,27,FALSE)),"-",VLOOKUP($A16,'Front-loading'!$A:$AG,27,FALSE))</f>
        <v>116.53681243510574</v>
      </c>
      <c r="R16" s="372">
        <f>IF(ISERROR(VLOOKUP($A16,'Front-loading'!$A:$AG,26,FALSE)),"-",VLOOKUP($A16,'Front-loading'!$A:$AG,26,FALSE))</f>
        <v>152.6173237009142</v>
      </c>
      <c r="S16" s="372">
        <f>IF(ISERROR(VLOOKUP($A16,'Front-loading'!$A:$AG,29,FALSE)),"-",VLOOKUP($A16,'Front-loading'!$A:$AG,29,FALSE))</f>
        <v>69.208391833943026</v>
      </c>
      <c r="T16" s="372">
        <f>IF(ISERROR(VLOOKUP($A16,'Front-loading'!$A:$AG,28,FALSE)),"-",VLOOKUP($A16,'Front-loading'!$A:$AG,28,FALSE))</f>
        <v>90.828604916838941</v>
      </c>
      <c r="U16" s="373">
        <f t="shared" si="4"/>
        <v>0.20852260647895493</v>
      </c>
      <c r="V16" s="373">
        <f t="shared" si="5"/>
        <v>0.25733754222043137</v>
      </c>
      <c r="W16" s="373">
        <f t="shared" si="6"/>
        <v>-9.9999999999999867E-2</v>
      </c>
      <c r="X16" s="373">
        <f t="shared" si="7"/>
        <v>-9.9999999999999978E-2</v>
      </c>
      <c r="Y16" s="369"/>
      <c r="Z16" s="374">
        <f>IF(ISERROR(VLOOKUP($A16,'Further adjustment'!$A:$BC,53,FALSE)),"-",VLOOKUP($A16,'Further adjustment'!$A:$BC,53,FALSE))</f>
        <v>116.53681243510574</v>
      </c>
      <c r="AA16" s="374">
        <f>IF(ISERROR(VLOOKUP($A16,'Further adjustment'!$A:$BC,52,FALSE)),"-",VLOOKUP($A16,'Further adjustment'!$A:$BC,52,FALSE))</f>
        <v>152.09234073194932</v>
      </c>
      <c r="AB16" s="374">
        <f>IF(ISERROR(VLOOKUP($A16,'Further adjustment'!$A:$BC,55,FALSE)),"-",VLOOKUP($A16,'Further adjustment'!$A:$BC,55,FALSE))</f>
        <v>69.208391833943026</v>
      </c>
      <c r="AC16" s="374">
        <f>IF(ISERROR(VLOOKUP($A16,'Further adjustment'!$A:$BC,54,FALSE)),"-",VLOOKUP($A16,'Further adjustment'!$A:$BC,54,FALSE))</f>
        <v>90.828604916838941</v>
      </c>
      <c r="AD16" s="375">
        <f t="shared" si="8"/>
        <v>0</v>
      </c>
      <c r="AE16" s="375">
        <f t="shared" si="9"/>
        <v>-3.4398648609098581E-3</v>
      </c>
      <c r="AF16" s="375">
        <f t="shared" si="10"/>
        <v>0</v>
      </c>
      <c r="AG16" s="375">
        <f t="shared" si="11"/>
        <v>0</v>
      </c>
      <c r="AH16" s="369"/>
      <c r="AI16" s="376">
        <f>'Price Adjustments'!$G$6</f>
        <v>-3.1174571652793026E-2</v>
      </c>
      <c r="AJ16" s="376">
        <v>0</v>
      </c>
      <c r="AK16" s="377">
        <f t="shared" si="31"/>
        <v>112.90382722565944</v>
      </c>
      <c r="AL16" s="377">
        <f t="shared" si="32"/>
        <v>147.35092715796014</v>
      </c>
      <c r="AM16" s="377">
        <f t="shared" si="33"/>
        <v>67.050849863741192</v>
      </c>
      <c r="AN16" s="377">
        <f t="shared" si="34"/>
        <v>87.997062064735715</v>
      </c>
      <c r="AO16" s="378">
        <f t="shared" si="12"/>
        <v>-3.1174571652793026E-2</v>
      </c>
      <c r="AP16" s="378">
        <f t="shared" si="13"/>
        <v>-3.1174571652793137E-2</v>
      </c>
      <c r="AQ16" s="378">
        <f t="shared" si="14"/>
        <v>-3.1174571652793026E-2</v>
      </c>
      <c r="AR16" s="378">
        <f t="shared" si="15"/>
        <v>-3.1174571652793026E-2</v>
      </c>
      <c r="AS16" s="379">
        <f>'Price Adjustments'!$F$6</f>
        <v>0</v>
      </c>
      <c r="AT16" s="377">
        <f>IF(ISERROR(VLOOKUP($A16,'15-16 tariff'!$A:$F,3,FALSE)*(1+$AS$6)),"-",VLOOKUP($A16,'15-16 tariff'!$A:$F,3,FALSE)*(1+$AS$6))</f>
        <v>111.3687943959391</v>
      </c>
      <c r="AU16" s="377">
        <f>IF(ISERROR(VLOOKUP($A16,'15-16 tariff'!$A:$F,4,FALSE)*(1+$AS$6)),"-",VLOOKUP($A16,'15-16 tariff'!$A:$F,4,FALSE)*(1+$AS$6))</f>
        <v>124.01140095469607</v>
      </c>
      <c r="AV16" s="377">
        <f>IF(ISERROR(VLOOKUP($A16,'15-16 tariff'!$A:$F,5,FALSE)*(1+$AS$6)),"-",VLOOKUP($A16,'15-16 tariff'!$A:$F,5,FALSE)*(1+$AS$6))</f>
        <v>62.959257556396366</v>
      </c>
      <c r="AW16" s="377">
        <f>IF(ISERROR(VLOOKUP($A16,'15-16 tariff'!$A:$F,6,FALSE)*(1+$AS$6)),"-",VLOOKUP($A16,'15-16 tariff'!$A:$F,6,FALSE)*(1+$AS$6))</f>
        <v>93.15196438077345</v>
      </c>
      <c r="AX16" s="369"/>
      <c r="AY16" s="380" t="s">
        <v>307</v>
      </c>
      <c r="AZ16" s="380" t="s">
        <v>307</v>
      </c>
      <c r="BA16" s="380" t="s">
        <v>307</v>
      </c>
      <c r="BB16" s="381" t="s">
        <v>307</v>
      </c>
      <c r="BC16" s="381">
        <f t="shared" si="16"/>
        <v>112.90382722565944</v>
      </c>
      <c r="BD16" s="381">
        <f t="shared" si="17"/>
        <v>147.35092715796014</v>
      </c>
      <c r="BE16" s="381">
        <f t="shared" si="18"/>
        <v>67.050849863741192</v>
      </c>
      <c r="BF16" s="381">
        <f t="shared" si="19"/>
        <v>87.997062064735715</v>
      </c>
      <c r="BG16" s="381">
        <f>IFERROR(VLOOKUP($A16,'Further adjustment'!$A:$Q,7,FALSE),0)</f>
        <v>1321856</v>
      </c>
      <c r="BH16" s="381">
        <f>IFERROR(VLOOKUP($A16,'Further adjustment'!$A:$Q,6,FALSE),0)</f>
        <v>51082</v>
      </c>
      <c r="BI16" s="381">
        <f>IFERROR(VLOOKUP($A16,'Further adjustment'!$A:$Q,9,FALSE),0)</f>
        <v>3456443</v>
      </c>
      <c r="BJ16" s="381">
        <f>IFERROR(VLOOKUP($A16,'Further adjustment'!$A:$Q,8,FALSE),0)</f>
        <v>158104</v>
      </c>
      <c r="BK16" s="382">
        <f t="shared" si="20"/>
        <v>-3.1174571652793026E-2</v>
      </c>
      <c r="BL16" s="382">
        <f t="shared" si="21"/>
        <v>-3.1174571652793137E-2</v>
      </c>
      <c r="BM16" s="382">
        <f t="shared" si="22"/>
        <v>-3.1174571652793026E-2</v>
      </c>
      <c r="BN16" s="382">
        <f t="shared" si="23"/>
        <v>-3.1174571652793026E-2</v>
      </c>
      <c r="BO16" s="369"/>
      <c r="BP16" s="383">
        <f>'Price Adjustments'!$D$90</f>
        <v>-6.8529657693413348E-2</v>
      </c>
      <c r="BQ16" s="384">
        <f t="shared" si="24"/>
        <v>105.16656659360872</v>
      </c>
      <c r="BR16" s="384">
        <f t="shared" si="25"/>
        <v>137.25301855901805</v>
      </c>
      <c r="BS16" s="384">
        <f t="shared" si="26"/>
        <v>62.455878074526559</v>
      </c>
      <c r="BT16" s="384">
        <f t="shared" si="27"/>
        <v>81.966653523413328</v>
      </c>
      <c r="BU16" s="369"/>
      <c r="BV16" s="385" t="str">
        <f>IF(COUNTIF('Manual adjustments'!$A:$A,A16)=1,"Y",IF(COUNTIF(#REF!,A16)=1,"BPT",""))</f>
        <v>Y</v>
      </c>
      <c r="BW16" s="384">
        <f>IF($BV16="",BQ16,IF(AND($BV16="BPT",IFERROR(ISNUMBER(VLOOKUP($A16,#REF!,3,FALSE)),FALSE)),VLOOKUP($A16,#REF!,3,FALSE),IF(AND($BV16="Y",IFERROR(ISNUMBER(VLOOKUP($A16,'Manual adjustments'!$A:$O,12,FALSE)),FALSE)),VLOOKUP($A16,'Manual adjustments'!$A:$O,12,FALSE),BQ16)))</f>
        <v>105.16656659360872</v>
      </c>
      <c r="BX16" s="384">
        <f>IF($BV16="",BR16,IF(AND($BV16="BPT",IFERROR(ISNUMBER(VLOOKUP($A16,#REF!,4,FALSE)),FALSE)),VLOOKUP($A16,#REF!,4,FALSE),IF(AND($BV16="Y",IFERROR(ISNUMBER(VLOOKUP($A16,'Manual adjustments'!$A:$O,13,FALSE)),FALSE)),VLOOKUP($A16,'Manual adjustments'!$A:$O,13,FALSE),BR16)))</f>
        <v>137.25301855901805</v>
      </c>
      <c r="BY16" s="384">
        <f>IF($BV16="",BS16,IF(AND($BV16="BPT",IFERROR(ISNUMBER(VLOOKUP($A16,#REF!,5,FALSE)),FALSE)),VLOOKUP($A16,#REF!,5,FALSE),IF(AND($BV16="Y",IFERROR(ISNUMBER(VLOOKUP($A16,'Manual adjustments'!$A:$O,14,FALSE)),FALSE)),VLOOKUP($A16,'Manual adjustments'!$A:$O,14,FALSE),BS16)))</f>
        <v>62.455878074526559</v>
      </c>
      <c r="BZ16" s="384">
        <f>IF($BV16="",BT16,IF(AND($BV16="BPT",IFERROR(ISNUMBER(VLOOKUP($A16,#REF!,6,FALSE)),FALSE)),VLOOKUP($A16,#REF!,6,FALSE),IF(AND($BV16="Y",IFERROR(ISNUMBER(VLOOKUP($A16,'Manual adjustments'!$A:$O,15,FALSE)),FALSE)),VLOOKUP($A16,'Manual adjustments'!$A:$O,15,FALSE),BT16)))</f>
        <v>81.966653523413328</v>
      </c>
      <c r="CA16" s="386">
        <f>'Post manual recon'!$N$70</f>
        <v>0</v>
      </c>
      <c r="CB16" s="384">
        <f>IF(VLOOKUP($A16,'Post manual recon'!$A:$U,18,FALSE)=0,BW16,BW16*(1+$CA16))</f>
        <v>105.16656659360872</v>
      </c>
      <c r="CC16" s="384">
        <f>IF(VLOOKUP($A16,'Post manual recon'!$A:$U,19,FALSE)=0,BX16,BX16*(1+$CA16))</f>
        <v>137.25301855901805</v>
      </c>
      <c r="CD16" s="384">
        <f>IF(VLOOKUP($A16,'Post manual recon'!$A:$U,20,FALSE)=0,BY16,BY16*(1+$CA16))</f>
        <v>62.455878074526559</v>
      </c>
      <c r="CE16" s="384">
        <f>IF(VLOOKUP($A16,'Post manual recon'!$A:$U,21,FALSE)=0,BZ16,BZ16*(1+$CA16))</f>
        <v>81.966653523413328</v>
      </c>
      <c r="CF16" s="383">
        <f t="shared" si="35"/>
        <v>0</v>
      </c>
      <c r="CG16" s="383">
        <f t="shared" si="36"/>
        <v>0</v>
      </c>
      <c r="CH16" s="383">
        <f t="shared" si="37"/>
        <v>0</v>
      </c>
      <c r="CI16" s="383">
        <f t="shared" si="38"/>
        <v>0</v>
      </c>
      <c r="CJ16" s="369"/>
      <c r="CK16" s="383">
        <f>'Price Adjustments'!$F$6</f>
        <v>0</v>
      </c>
      <c r="CL16" s="384">
        <f t="shared" si="39"/>
        <v>105.16656659360872</v>
      </c>
      <c r="CM16" s="384">
        <f t="shared" si="40"/>
        <v>137.25301855901805</v>
      </c>
      <c r="CN16" s="384">
        <f t="shared" si="41"/>
        <v>62.455878074526559</v>
      </c>
      <c r="CO16" s="384">
        <f t="shared" si="42"/>
        <v>81.966653523413328</v>
      </c>
      <c r="CP16" s="369"/>
      <c r="CQ16" s="384">
        <f t="shared" si="43"/>
        <v>105</v>
      </c>
      <c r="CR16" s="384">
        <f t="shared" si="44"/>
        <v>137</v>
      </c>
      <c r="CS16" s="384">
        <f t="shared" si="45"/>
        <v>62</v>
      </c>
      <c r="CT16" s="384">
        <f t="shared" si="46"/>
        <v>82</v>
      </c>
    </row>
    <row r="17" spans="1:98">
      <c r="A17" s="367">
        <v>140</v>
      </c>
      <c r="B17" s="367" t="str">
        <f>INDEX('201314 RC list'!B:B,MATCH(A17,'201314 RC list'!A:A,0))</f>
        <v>Oral Surgery</v>
      </c>
      <c r="C17" s="368">
        <f>IF(ISERROR(VLOOKUP($A17,'Allocate OPROC cost'!A:M,11,FALSE)),"-",VLOOKUP($A17,'Allocate OPROC cost'!A:M,11,FALSE))</f>
        <v>119.59793625528351</v>
      </c>
      <c r="D17" s="368">
        <f>IF(ISERROR(VLOOKUP($A17,'Allocate OPROC cost'!A:M,10,FALSE)),"-",VLOOKUP($A17,'Allocate OPROC cost'!A:M,10,FALSE))</f>
        <v>181.15438907398706</v>
      </c>
      <c r="E17" s="368">
        <f>IF(ISERROR(VLOOKUP($A17,'Allocate OPROC cost'!A:M,13,FALSE)),"-",VLOOKUP($A17,'Allocate OPROC cost'!A:M,13,FALSE))</f>
        <v>92.237627805728081</v>
      </c>
      <c r="F17" s="368">
        <f>IF(ISERROR(VLOOKUP($A17,'Allocate OPROC cost'!A:M,12,FALSE)),"-",VLOOKUP($A17,'Allocate OPROC cost'!A:M,12,FALSE))</f>
        <v>158.82248497882375</v>
      </c>
      <c r="G17" s="369"/>
      <c r="H17" s="370">
        <f>IF(ISERROR(VLOOKUP($A17,'Allocate OPROC cost'!A:AO,39,FALSE)),"-",VLOOKUP($A17,'Allocate OPROC cost'!A:AO,39,FALSE))</f>
        <v>119.54694075416495</v>
      </c>
      <c r="I17" s="370">
        <f>IF(ISERROR(VLOOKUP($A17,'Allocate OPROC cost'!A:AO,38,FALSE)),"-",VLOOKUP($A17,'Allocate OPROC cost'!A:AO,38,FALSE))</f>
        <v>180.18579519977411</v>
      </c>
      <c r="J17" s="370">
        <f>IF(ISERROR(VLOOKUP($A17,'Allocate OPROC cost'!A:AO,41,FALSE)),"-",VLOOKUP($A17,'Allocate OPROC cost'!A:AO,41,FALSE))</f>
        <v>93.238601332186605</v>
      </c>
      <c r="K17" s="370">
        <f>IF(ISERROR(VLOOKUP($A17,'Allocate OPROC cost'!A:AO,40,FALSE)),"-",VLOOKUP($A17,'Allocate OPROC cost'!A:AO,40,FALSE))</f>
        <v>157.80226800603808</v>
      </c>
      <c r="L17" s="371">
        <f t="shared" si="0"/>
        <v>-4.2639114616249696E-4</v>
      </c>
      <c r="M17" s="371">
        <f t="shared" si="1"/>
        <v>-5.3467866782811457E-3</v>
      </c>
      <c r="N17" s="371">
        <f t="shared" si="2"/>
        <v>1.0852116975154535E-2</v>
      </c>
      <c r="O17" s="371">
        <f t="shared" si="3"/>
        <v>-6.4236305893444756E-3</v>
      </c>
      <c r="P17" s="369"/>
      <c r="Q17" s="372">
        <f>IF(ISERROR(VLOOKUP($A17,'Front-loading'!$A:$AG,27,FALSE)),"-",VLOOKUP($A17,'Front-loading'!$A:$AG,27,FALSE))</f>
        <v>129.43388850041714</v>
      </c>
      <c r="R17" s="372">
        <f>IF(ISERROR(VLOOKUP($A17,'Front-loading'!$A:$AG,26,FALSE)),"-",VLOOKUP($A17,'Front-loading'!$A:$AG,26,FALSE))</f>
        <v>208.85167047090437</v>
      </c>
      <c r="S17" s="372">
        <f>IF(ISERROR(VLOOKUP($A17,'Front-loading'!$A:$AG,29,FALSE)),"-",VLOOKUP($A17,'Front-loading'!$A:$AG,29,FALSE))</f>
        <v>83.914741198967945</v>
      </c>
      <c r="T17" s="372">
        <f>IF(ISERROR(VLOOKUP($A17,'Front-loading'!$A:$AG,28,FALSE)),"-",VLOOKUP($A17,'Front-loading'!$A:$AG,28,FALSE))</f>
        <v>142.02204120543428</v>
      </c>
      <c r="U17" s="373">
        <f t="shared" si="4"/>
        <v>8.2703477678978121E-2</v>
      </c>
      <c r="V17" s="373">
        <f t="shared" si="5"/>
        <v>0.15909064995577515</v>
      </c>
      <c r="W17" s="373">
        <f t="shared" si="6"/>
        <v>-9.9999999999999978E-2</v>
      </c>
      <c r="X17" s="373">
        <f t="shared" si="7"/>
        <v>-9.9999999999999978E-2</v>
      </c>
      <c r="Y17" s="369"/>
      <c r="Z17" s="374">
        <f>IF(ISERROR(VLOOKUP($A17,'Further adjustment'!$A:$BC,53,FALSE)),"-",VLOOKUP($A17,'Further adjustment'!$A:$BC,53,FALSE))</f>
        <v>129.43388850041714</v>
      </c>
      <c r="AA17" s="374">
        <f>IF(ISERROR(VLOOKUP($A17,'Further adjustment'!$A:$BC,52,FALSE)),"-",VLOOKUP($A17,'Further adjustment'!$A:$BC,52,FALSE))</f>
        <v>208.85167047090437</v>
      </c>
      <c r="AB17" s="374">
        <f>IF(ISERROR(VLOOKUP($A17,'Further adjustment'!$A:$BC,55,FALSE)),"-",VLOOKUP($A17,'Further adjustment'!$A:$BC,55,FALSE))</f>
        <v>83.914741198967945</v>
      </c>
      <c r="AC17" s="374">
        <f>IF(ISERROR(VLOOKUP($A17,'Further adjustment'!$A:$BC,54,FALSE)),"-",VLOOKUP($A17,'Further adjustment'!$A:$BC,54,FALSE))</f>
        <v>142.02204120543428</v>
      </c>
      <c r="AD17" s="375">
        <f t="shared" si="8"/>
        <v>0</v>
      </c>
      <c r="AE17" s="375">
        <f t="shared" si="9"/>
        <v>0</v>
      </c>
      <c r="AF17" s="375">
        <f t="shared" si="10"/>
        <v>0</v>
      </c>
      <c r="AG17" s="375">
        <f t="shared" si="11"/>
        <v>0</v>
      </c>
      <c r="AH17" s="369"/>
      <c r="AI17" s="376">
        <f>'Price Adjustments'!$G$6</f>
        <v>-3.1174571652793026E-2</v>
      </c>
      <c r="AJ17" s="376">
        <v>0</v>
      </c>
      <c r="AK17" s="377">
        <f t="shared" si="31"/>
        <v>125.39884246906126</v>
      </c>
      <c r="AL17" s="377">
        <f t="shared" si="32"/>
        <v>202.34080910500364</v>
      </c>
      <c r="AM17" s="377">
        <f t="shared" si="33"/>
        <v>81.298735086735135</v>
      </c>
      <c r="AN17" s="377">
        <f t="shared" si="34"/>
        <v>137.59456490559955</v>
      </c>
      <c r="AO17" s="378">
        <f t="shared" si="12"/>
        <v>-3.1174571652793026E-2</v>
      </c>
      <c r="AP17" s="378">
        <f t="shared" si="13"/>
        <v>-3.1174571652793026E-2</v>
      </c>
      <c r="AQ17" s="378">
        <f t="shared" si="14"/>
        <v>-3.1174571652793026E-2</v>
      </c>
      <c r="AR17" s="378">
        <f t="shared" si="15"/>
        <v>-3.1174571652792915E-2</v>
      </c>
      <c r="AS17" s="379">
        <f>'Price Adjustments'!$F$6</f>
        <v>0</v>
      </c>
      <c r="AT17" s="377">
        <f>IF(ISERROR(VLOOKUP($A17,'15-16 tariff'!$A:$F,3,FALSE)*(1+$AS$6)),"-",VLOOKUP($A17,'15-16 tariff'!$A:$F,3,FALSE)*(1+$AS$6))</f>
        <v>117.48402580162389</v>
      </c>
      <c r="AU17" s="377">
        <f>IF(ISERROR(VLOOKUP($A17,'15-16 tariff'!$A:$F,4,FALSE)*(1+$AS$6)),"-",VLOOKUP($A17,'15-16 tariff'!$A:$F,4,FALSE)*(1+$AS$6))</f>
        <v>182.48697479218325</v>
      </c>
      <c r="AV17" s="377">
        <f>IF(ISERROR(VLOOKUP($A17,'15-16 tariff'!$A:$F,5,FALSE)*(1+$AS$6)),"-",VLOOKUP($A17,'15-16 tariff'!$A:$F,5,FALSE)*(1+$AS$6))</f>
        <v>73.330768391520806</v>
      </c>
      <c r="AW17" s="377">
        <f>IF(ISERROR(VLOOKUP($A17,'15-16 tariff'!$A:$F,6,FALSE)*(1+$AS$6)),"-",VLOOKUP($A17,'15-16 tariff'!$A:$F,6,FALSE)*(1+$AS$6))</f>
        <v>126.60635151682185</v>
      </c>
      <c r="AX17" s="369"/>
      <c r="AY17" s="380" t="s">
        <v>307</v>
      </c>
      <c r="AZ17" s="380" t="s">
        <v>307</v>
      </c>
      <c r="BA17" s="380" t="s">
        <v>307</v>
      </c>
      <c r="BB17" s="381" t="s">
        <v>307</v>
      </c>
      <c r="BC17" s="381">
        <f t="shared" si="16"/>
        <v>125.39884246906126</v>
      </c>
      <c r="BD17" s="381">
        <f t="shared" si="17"/>
        <v>202.34080910500364</v>
      </c>
      <c r="BE17" s="381">
        <f t="shared" si="18"/>
        <v>81.298735086735135</v>
      </c>
      <c r="BF17" s="381">
        <f t="shared" si="19"/>
        <v>137.59456490559955</v>
      </c>
      <c r="BG17" s="381">
        <f>IFERROR(VLOOKUP($A17,'Further adjustment'!$A:$Q,7,FALSE),0)</f>
        <v>373923</v>
      </c>
      <c r="BH17" s="381">
        <f>IFERROR(VLOOKUP($A17,'Further adjustment'!$A:$Q,6,FALSE),0)</f>
        <v>4792</v>
      </c>
      <c r="BI17" s="381">
        <f>IFERROR(VLOOKUP($A17,'Further adjustment'!$A:$Q,9,FALSE),0)</f>
        <v>396505</v>
      </c>
      <c r="BJ17" s="381">
        <f>IFERROR(VLOOKUP($A17,'Further adjustment'!$A:$Q,8,FALSE),0)</f>
        <v>8705</v>
      </c>
      <c r="BK17" s="382">
        <f t="shared" si="20"/>
        <v>-3.1174571652793026E-2</v>
      </c>
      <c r="BL17" s="382">
        <f t="shared" si="21"/>
        <v>-3.1174571652793026E-2</v>
      </c>
      <c r="BM17" s="382">
        <f t="shared" si="22"/>
        <v>-3.1174571652793026E-2</v>
      </c>
      <c r="BN17" s="382">
        <f t="shared" si="23"/>
        <v>-3.1174571652792915E-2</v>
      </c>
      <c r="BO17" s="369"/>
      <c r="BP17" s="383">
        <f>'Price Adjustments'!$D$90</f>
        <v>-6.8529657693413348E-2</v>
      </c>
      <c r="BQ17" s="384">
        <f t="shared" si="24"/>
        <v>116.80530271950623</v>
      </c>
      <c r="BR17" s="384">
        <f t="shared" si="25"/>
        <v>188.47446271962946</v>
      </c>
      <c r="BS17" s="384">
        <f t="shared" si="26"/>
        <v>75.727360600333682</v>
      </c>
      <c r="BT17" s="384">
        <f t="shared" si="27"/>
        <v>128.16525647214468</v>
      </c>
      <c r="BU17" s="369"/>
      <c r="BV17" s="385" t="str">
        <f>IF(COUNTIF('Manual adjustments'!$A:$A,A17)=1,"Y",IF(COUNTIF(#REF!,A17)=1,"BPT",""))</f>
        <v>Y</v>
      </c>
      <c r="BW17" s="384">
        <f>IF($BV17="",BQ17,IF(AND($BV17="BPT",IFERROR(ISNUMBER(VLOOKUP($A17,#REF!,3,FALSE)),FALSE)),VLOOKUP($A17,#REF!,3,FALSE),IF(AND($BV17="Y",IFERROR(ISNUMBER(VLOOKUP($A17,'Manual adjustments'!$A:$O,12,FALSE)),FALSE)),VLOOKUP($A17,'Manual adjustments'!$A:$O,12,FALSE),BQ17)))</f>
        <v>116.80530271950623</v>
      </c>
      <c r="BX17" s="384">
        <f>IF($BV17="",BR17,IF(AND($BV17="BPT",IFERROR(ISNUMBER(VLOOKUP($A17,#REF!,4,FALSE)),FALSE)),VLOOKUP($A17,#REF!,4,FALSE),IF(AND($BV17="Y",IFERROR(ISNUMBER(VLOOKUP($A17,'Manual adjustments'!$A:$O,13,FALSE)),FALSE)),VLOOKUP($A17,'Manual adjustments'!$A:$O,13,FALSE),BR17)))</f>
        <v>188.47446271962946</v>
      </c>
      <c r="BY17" s="384">
        <f>IF($BV17="",BS17,IF(AND($BV17="BPT",IFERROR(ISNUMBER(VLOOKUP($A17,#REF!,5,FALSE)),FALSE)),VLOOKUP($A17,#REF!,5,FALSE),IF(AND($BV17="Y",IFERROR(ISNUMBER(VLOOKUP($A17,'Manual adjustments'!$A:$O,14,FALSE)),FALSE)),VLOOKUP($A17,'Manual adjustments'!$A:$O,14,FALSE),BS17)))</f>
        <v>75.727360600333682</v>
      </c>
      <c r="BZ17" s="384">
        <f>IF($BV17="",BT17,IF(AND($BV17="BPT",IFERROR(ISNUMBER(VLOOKUP($A17,#REF!,6,FALSE)),FALSE)),VLOOKUP($A17,#REF!,6,FALSE),IF(AND($BV17="Y",IFERROR(ISNUMBER(VLOOKUP($A17,'Manual adjustments'!$A:$O,15,FALSE)),FALSE)),VLOOKUP($A17,'Manual adjustments'!$A:$O,15,FALSE),BT17)))</f>
        <v>128.16525647214468</v>
      </c>
      <c r="CA17" s="386">
        <f>'Post manual recon'!$N$70</f>
        <v>0</v>
      </c>
      <c r="CB17" s="384">
        <f>IF(VLOOKUP($A17,'Post manual recon'!$A:$U,18,FALSE)=0,BW17,BW17*(1+$CA17))</f>
        <v>116.80530271950623</v>
      </c>
      <c r="CC17" s="384">
        <f>IF(VLOOKUP($A17,'Post manual recon'!$A:$U,19,FALSE)=0,BX17,BX17*(1+$CA17))</f>
        <v>188.47446271962946</v>
      </c>
      <c r="CD17" s="384">
        <f>IF(VLOOKUP($A17,'Post manual recon'!$A:$U,20,FALSE)=0,BY17,BY17*(1+$CA17))</f>
        <v>75.727360600333682</v>
      </c>
      <c r="CE17" s="384">
        <f>IF(VLOOKUP($A17,'Post manual recon'!$A:$U,21,FALSE)=0,BZ17,BZ17*(1+$CA17))</f>
        <v>128.16525647214468</v>
      </c>
      <c r="CF17" s="383">
        <f t="shared" si="35"/>
        <v>0</v>
      </c>
      <c r="CG17" s="383">
        <f t="shared" si="36"/>
        <v>0</v>
      </c>
      <c r="CH17" s="383">
        <f t="shared" si="37"/>
        <v>0</v>
      </c>
      <c r="CI17" s="383">
        <f t="shared" si="38"/>
        <v>0</v>
      </c>
      <c r="CJ17" s="369"/>
      <c r="CK17" s="383">
        <f>'Price Adjustments'!$F$6</f>
        <v>0</v>
      </c>
      <c r="CL17" s="384">
        <f t="shared" si="39"/>
        <v>116.80530271950623</v>
      </c>
      <c r="CM17" s="384">
        <f t="shared" si="40"/>
        <v>188.47446271962946</v>
      </c>
      <c r="CN17" s="384">
        <f t="shared" si="41"/>
        <v>75.727360600333682</v>
      </c>
      <c r="CO17" s="384">
        <f t="shared" si="42"/>
        <v>128.16525647214468</v>
      </c>
      <c r="CP17" s="369"/>
      <c r="CQ17" s="384">
        <f t="shared" si="43"/>
        <v>117</v>
      </c>
      <c r="CR17" s="384">
        <f t="shared" si="44"/>
        <v>188</v>
      </c>
      <c r="CS17" s="384">
        <f t="shared" si="45"/>
        <v>76</v>
      </c>
      <c r="CT17" s="384">
        <f t="shared" si="46"/>
        <v>128</v>
      </c>
    </row>
    <row r="18" spans="1:98">
      <c r="A18" s="367">
        <v>143</v>
      </c>
      <c r="B18" s="367" t="str">
        <f>INDEX('201314 RC list'!B:B,MATCH(A18,'201314 RC list'!A:A,0))</f>
        <v>Orthodontics</v>
      </c>
      <c r="C18" s="368">
        <f>IF(ISERROR(VLOOKUP($A18,'Allocate OPROC cost'!A:M,11,FALSE)),"-",VLOOKUP($A18,'Allocate OPROC cost'!A:M,11,FALSE))</f>
        <v>122.72668123190751</v>
      </c>
      <c r="D18" s="368">
        <f>IF(ISERROR(VLOOKUP($A18,'Allocate OPROC cost'!A:M,10,FALSE)),"-",VLOOKUP($A18,'Allocate OPROC cost'!A:M,10,FALSE))</f>
        <v>132.71778136994467</v>
      </c>
      <c r="E18" s="368">
        <f>IF(ISERROR(VLOOKUP($A18,'Allocate OPROC cost'!A:M,13,FALSE)),"-",VLOOKUP($A18,'Allocate OPROC cost'!A:M,13,FALSE))</f>
        <v>88.275118839637443</v>
      </c>
      <c r="F18" s="368">
        <f>IF(ISERROR(VLOOKUP($A18,'Allocate OPROC cost'!A:M,12,FALSE)),"-",VLOOKUP($A18,'Allocate OPROC cost'!A:M,12,FALSE))</f>
        <v>115.67489006471557</v>
      </c>
      <c r="G18" s="369"/>
      <c r="H18" s="370">
        <f>IF(ISERROR(VLOOKUP($A18,'Allocate OPROC cost'!A:AO,39,FALSE)),"-",VLOOKUP($A18,'Allocate OPROC cost'!A:AO,39,FALSE))</f>
        <v>122.54024237298883</v>
      </c>
      <c r="I18" s="370">
        <f>IF(ISERROR(VLOOKUP($A18,'Allocate OPROC cost'!A:AO,38,FALSE)),"-",VLOOKUP($A18,'Allocate OPROC cost'!A:AO,38,FALSE))</f>
        <v>132.23001239917156</v>
      </c>
      <c r="J18" s="370">
        <f>IF(ISERROR(VLOOKUP($A18,'Allocate OPROC cost'!A:AO,41,FALSE)),"-",VLOOKUP($A18,'Allocate OPROC cost'!A:AO,41,FALSE))</f>
        <v>95.204648518129886</v>
      </c>
      <c r="K18" s="370">
        <f>IF(ISERROR(VLOOKUP($A18,'Allocate OPROC cost'!A:AO,40,FALSE)),"-",VLOOKUP($A18,'Allocate OPROC cost'!A:AO,40,FALSE))</f>
        <v>115.7451462577047</v>
      </c>
      <c r="L18" s="371">
        <f t="shared" si="0"/>
        <v>-1.5191387646699139E-3</v>
      </c>
      <c r="M18" s="371">
        <f t="shared" si="1"/>
        <v>-3.6752345144580589E-3</v>
      </c>
      <c r="N18" s="371">
        <f t="shared" si="2"/>
        <v>7.8499239305254154E-2</v>
      </c>
      <c r="O18" s="371">
        <f t="shared" si="3"/>
        <v>6.0735906426900854E-4</v>
      </c>
      <c r="P18" s="369"/>
      <c r="Q18" s="372">
        <f>IF(ISERROR(VLOOKUP($A18,'Front-loading'!$A:$AG,27,FALSE)),"-",VLOOKUP($A18,'Front-loading'!$A:$AG,27,FALSE))</f>
        <v>164.60607460120144</v>
      </c>
      <c r="R18" s="372">
        <f>IF(ISERROR(VLOOKUP($A18,'Front-loading'!$A:$AG,26,FALSE)),"-",VLOOKUP($A18,'Front-loading'!$A:$AG,26,FALSE))</f>
        <v>185.46121239264312</v>
      </c>
      <c r="S18" s="372">
        <f>IF(ISERROR(VLOOKUP($A18,'Front-loading'!$A:$AG,29,FALSE)),"-",VLOOKUP($A18,'Front-loading'!$A:$AG,29,FALSE))</f>
        <v>85.684183666316898</v>
      </c>
      <c r="T18" s="372">
        <f>IF(ISERROR(VLOOKUP($A18,'Front-loading'!$A:$AG,28,FALSE)),"-",VLOOKUP($A18,'Front-loading'!$A:$AG,28,FALSE))</f>
        <v>104.17063163193424</v>
      </c>
      <c r="U18" s="373">
        <f t="shared" si="4"/>
        <v>0.34328177759084522</v>
      </c>
      <c r="V18" s="373">
        <f t="shared" si="5"/>
        <v>0.40256518945773823</v>
      </c>
      <c r="W18" s="373">
        <f t="shared" si="6"/>
        <v>-9.9999999999999978E-2</v>
      </c>
      <c r="X18" s="373">
        <f t="shared" si="7"/>
        <v>-9.9999999999999978E-2</v>
      </c>
      <c r="Y18" s="369"/>
      <c r="Z18" s="374">
        <f>IF(ISERROR(VLOOKUP($A18,'Further adjustment'!$A:$BC,53,FALSE)),"-",VLOOKUP($A18,'Further adjustment'!$A:$BC,53,FALSE))</f>
        <v>164.60607460120144</v>
      </c>
      <c r="AA18" s="374">
        <f>IF(ISERROR(VLOOKUP($A18,'Further adjustment'!$A:$BC,52,FALSE)),"-",VLOOKUP($A18,'Further adjustment'!$A:$BC,52,FALSE))</f>
        <v>185.46121239264312</v>
      </c>
      <c r="AB18" s="374">
        <f>IF(ISERROR(VLOOKUP($A18,'Further adjustment'!$A:$BC,55,FALSE)),"-",VLOOKUP($A18,'Further adjustment'!$A:$BC,55,FALSE))</f>
        <v>85.684183666316898</v>
      </c>
      <c r="AC18" s="374">
        <f>IF(ISERROR(VLOOKUP($A18,'Further adjustment'!$A:$BC,54,FALSE)),"-",VLOOKUP($A18,'Further adjustment'!$A:$BC,54,FALSE))</f>
        <v>104.17063163193424</v>
      </c>
      <c r="AD18" s="375">
        <f t="shared" si="8"/>
        <v>0</v>
      </c>
      <c r="AE18" s="375">
        <f t="shared" si="9"/>
        <v>0</v>
      </c>
      <c r="AF18" s="375">
        <f t="shared" si="10"/>
        <v>0</v>
      </c>
      <c r="AG18" s="375">
        <f t="shared" si="11"/>
        <v>0</v>
      </c>
      <c r="AH18" s="369"/>
      <c r="AI18" s="376">
        <f>'Price Adjustments'!$G$6</f>
        <v>-3.1174571652793026E-2</v>
      </c>
      <c r="AJ18" s="376">
        <v>0</v>
      </c>
      <c r="AK18" s="377">
        <f t="shared" si="31"/>
        <v>159.4745507340613</v>
      </c>
      <c r="AL18" s="377">
        <f t="shared" si="32"/>
        <v>179.67953853809479</v>
      </c>
      <c r="AM18" s="377">
        <f t="shared" si="33"/>
        <v>83.013015943100228</v>
      </c>
      <c r="AN18" s="377">
        <f t="shared" si="34"/>
        <v>100.9231568120078</v>
      </c>
      <c r="AO18" s="378">
        <f t="shared" si="12"/>
        <v>-3.1174571652793026E-2</v>
      </c>
      <c r="AP18" s="378">
        <f t="shared" si="13"/>
        <v>-3.1174571652793137E-2</v>
      </c>
      <c r="AQ18" s="378">
        <f t="shared" si="14"/>
        <v>-3.1174571652793026E-2</v>
      </c>
      <c r="AR18" s="378">
        <f t="shared" si="15"/>
        <v>-3.1174571652793026E-2</v>
      </c>
      <c r="AS18" s="379">
        <f>'Price Adjustments'!$F$6</f>
        <v>0</v>
      </c>
      <c r="AT18" s="377">
        <f>IF(ISERROR(VLOOKUP($A18,'15-16 tariff'!$A:$F,3,FALSE)*(1+$AS$6)),"-",VLOOKUP($A18,'15-16 tariff'!$A:$F,3,FALSE)*(1+$AS$6))</f>
        <v>152.95223084304277</v>
      </c>
      <c r="AU18" s="377">
        <f>IF(ISERROR(VLOOKUP($A18,'15-16 tariff'!$A:$F,4,FALSE)*(1+$AS$6)),"-",VLOOKUP($A18,'15-16 tariff'!$A:$F,4,FALSE)*(1+$AS$6))</f>
        <v>204.06478274953756</v>
      </c>
      <c r="AV18" s="377">
        <f>IF(ISERROR(VLOOKUP($A18,'15-16 tariff'!$A:$F,5,FALSE)*(1+$AS$6)),"-",VLOOKUP($A18,'15-16 tariff'!$A:$F,5,FALSE)*(1+$AS$6))</f>
        <v>77.093928194378137</v>
      </c>
      <c r="AW18" s="377">
        <f>IF(ISERROR(VLOOKUP($A18,'15-16 tariff'!$A:$F,6,FALSE)*(1+$AS$6)),"-",VLOOKUP($A18,'15-16 tariff'!$A:$F,6,FALSE)*(1+$AS$6))</f>
        <v>105.42935010113213</v>
      </c>
      <c r="AX18" s="369"/>
      <c r="AY18" s="380" t="s">
        <v>307</v>
      </c>
      <c r="AZ18" s="380" t="s">
        <v>307</v>
      </c>
      <c r="BA18" s="380" t="s">
        <v>307</v>
      </c>
      <c r="BB18" s="381" t="s">
        <v>307</v>
      </c>
      <c r="BC18" s="381">
        <f t="shared" si="16"/>
        <v>159.4745507340613</v>
      </c>
      <c r="BD18" s="381">
        <f t="shared" si="17"/>
        <v>179.67953853809479</v>
      </c>
      <c r="BE18" s="381">
        <f t="shared" si="18"/>
        <v>83.013015943100228</v>
      </c>
      <c r="BF18" s="381">
        <f t="shared" si="19"/>
        <v>100.9231568120078</v>
      </c>
      <c r="BG18" s="381">
        <f>IFERROR(VLOOKUP($A18,'Further adjustment'!$A:$Q,7,FALSE),0)</f>
        <v>59900</v>
      </c>
      <c r="BH18" s="381">
        <f>IFERROR(VLOOKUP($A18,'Further adjustment'!$A:$Q,6,FALSE),0)</f>
        <v>1601</v>
      </c>
      <c r="BI18" s="381">
        <f>IFERROR(VLOOKUP($A18,'Further adjustment'!$A:$Q,9,FALSE),0)</f>
        <v>264666</v>
      </c>
      <c r="BJ18" s="381">
        <f>IFERROR(VLOOKUP($A18,'Further adjustment'!$A:$Q,8,FALSE),0)</f>
        <v>7363</v>
      </c>
      <c r="BK18" s="382">
        <f t="shared" si="20"/>
        <v>-3.1174571652793026E-2</v>
      </c>
      <c r="BL18" s="382">
        <f t="shared" si="21"/>
        <v>-3.1174571652793137E-2</v>
      </c>
      <c r="BM18" s="382">
        <f t="shared" si="22"/>
        <v>-3.1174571652793026E-2</v>
      </c>
      <c r="BN18" s="382">
        <f t="shared" si="23"/>
        <v>-3.1174571652793026E-2</v>
      </c>
      <c r="BO18" s="369"/>
      <c r="BP18" s="383">
        <f>'Price Adjustments'!$D$90</f>
        <v>-6.8529657693413348E-2</v>
      </c>
      <c r="BQ18" s="384">
        <f t="shared" si="24"/>
        <v>148.5458143614452</v>
      </c>
      <c r="BR18" s="384">
        <f t="shared" si="25"/>
        <v>167.36616126756869</v>
      </c>
      <c r="BS18" s="384">
        <f t="shared" si="26"/>
        <v>77.324162376421711</v>
      </c>
      <c r="BT18" s="384">
        <f t="shared" si="27"/>
        <v>94.00692742234223</v>
      </c>
      <c r="BU18" s="369"/>
      <c r="BV18" s="385" t="str">
        <f>IF(COUNTIF('Manual adjustments'!$A:$A,A18)=1,"Y",IF(COUNTIF(#REF!,A18)=1,"BPT",""))</f>
        <v>Y</v>
      </c>
      <c r="BW18" s="384">
        <f>IF($BV18="",BQ18,IF(AND($BV18="BPT",IFERROR(ISNUMBER(VLOOKUP($A18,#REF!,3,FALSE)),FALSE)),VLOOKUP($A18,#REF!,3,FALSE),IF(AND($BV18="Y",IFERROR(ISNUMBER(VLOOKUP($A18,'Manual adjustments'!$A:$O,12,FALSE)),FALSE)),VLOOKUP($A18,'Manual adjustments'!$A:$O,12,FALSE),BQ18)))</f>
        <v>148.5458143614452</v>
      </c>
      <c r="BX18" s="384">
        <f>IF($BV18="",BR18,IF(AND($BV18="BPT",IFERROR(ISNUMBER(VLOOKUP($A18,#REF!,4,FALSE)),FALSE)),VLOOKUP($A18,#REF!,4,FALSE),IF(AND($BV18="Y",IFERROR(ISNUMBER(VLOOKUP($A18,'Manual adjustments'!$A:$O,13,FALSE)),FALSE)),VLOOKUP($A18,'Manual adjustments'!$A:$O,13,FALSE),BR18)))</f>
        <v>167.36616126756869</v>
      </c>
      <c r="BY18" s="384">
        <f>IF($BV18="",BS18,IF(AND($BV18="BPT",IFERROR(ISNUMBER(VLOOKUP($A18,#REF!,5,FALSE)),FALSE)),VLOOKUP($A18,#REF!,5,FALSE),IF(AND($BV18="Y",IFERROR(ISNUMBER(VLOOKUP($A18,'Manual adjustments'!$A:$O,14,FALSE)),FALSE)),VLOOKUP($A18,'Manual adjustments'!$A:$O,14,FALSE),BS18)))</f>
        <v>77.324162376421711</v>
      </c>
      <c r="BZ18" s="384">
        <f>IF($BV18="",BT18,IF(AND($BV18="BPT",IFERROR(ISNUMBER(VLOOKUP($A18,#REF!,6,FALSE)),FALSE)),VLOOKUP($A18,#REF!,6,FALSE),IF(AND($BV18="Y",IFERROR(ISNUMBER(VLOOKUP($A18,'Manual adjustments'!$A:$O,15,FALSE)),FALSE)),VLOOKUP($A18,'Manual adjustments'!$A:$O,15,FALSE),BT18)))</f>
        <v>94.00692742234223</v>
      </c>
      <c r="CA18" s="386">
        <f>'Post manual recon'!$N$70</f>
        <v>0</v>
      </c>
      <c r="CB18" s="384">
        <f>IF(VLOOKUP($A18,'Post manual recon'!$A:$U,18,FALSE)=0,BW18,BW18*(1+$CA18))</f>
        <v>148.5458143614452</v>
      </c>
      <c r="CC18" s="384">
        <f>IF(VLOOKUP($A18,'Post manual recon'!$A:$U,19,FALSE)=0,BX18,BX18*(1+$CA18))</f>
        <v>167.36616126756869</v>
      </c>
      <c r="CD18" s="384">
        <f>IF(VLOOKUP($A18,'Post manual recon'!$A:$U,20,FALSE)=0,BY18,BY18*(1+$CA18))</f>
        <v>77.324162376421711</v>
      </c>
      <c r="CE18" s="384">
        <f>IF(VLOOKUP($A18,'Post manual recon'!$A:$U,21,FALSE)=0,BZ18,BZ18*(1+$CA18))</f>
        <v>94.00692742234223</v>
      </c>
      <c r="CF18" s="383">
        <f t="shared" si="35"/>
        <v>0</v>
      </c>
      <c r="CG18" s="383">
        <f t="shared" si="36"/>
        <v>0</v>
      </c>
      <c r="CH18" s="383">
        <f t="shared" si="37"/>
        <v>0</v>
      </c>
      <c r="CI18" s="383">
        <f t="shared" si="38"/>
        <v>0</v>
      </c>
      <c r="CJ18" s="369"/>
      <c r="CK18" s="383">
        <f>'Price Adjustments'!$F$6</f>
        <v>0</v>
      </c>
      <c r="CL18" s="384">
        <f t="shared" si="39"/>
        <v>148.5458143614452</v>
      </c>
      <c r="CM18" s="384">
        <f t="shared" si="40"/>
        <v>167.36616126756869</v>
      </c>
      <c r="CN18" s="384">
        <f t="shared" si="41"/>
        <v>77.324162376421711</v>
      </c>
      <c r="CO18" s="384">
        <f t="shared" si="42"/>
        <v>94.00692742234223</v>
      </c>
      <c r="CP18" s="369"/>
      <c r="CQ18" s="384">
        <f t="shared" si="43"/>
        <v>149</v>
      </c>
      <c r="CR18" s="384">
        <f t="shared" si="44"/>
        <v>167</v>
      </c>
      <c r="CS18" s="384">
        <f t="shared" si="45"/>
        <v>77</v>
      </c>
      <c r="CT18" s="384">
        <f t="shared" si="46"/>
        <v>94</v>
      </c>
    </row>
    <row r="19" spans="1:98">
      <c r="A19" s="367">
        <v>144</v>
      </c>
      <c r="B19" s="367" t="str">
        <f>INDEX('201314 RC list'!B:B,MATCH(A19,'201314 RC list'!A:A,0))</f>
        <v>Maxillo-Facial Surgery</v>
      </c>
      <c r="C19" s="368">
        <f>IF(ISERROR(VLOOKUP($A19,'Allocate OPROC cost'!A:M,11,FALSE)),"-",VLOOKUP($A19,'Allocate OPROC cost'!A:M,11,FALSE))</f>
        <v>109.50889000670372</v>
      </c>
      <c r="D19" s="368">
        <f>IF(ISERROR(VLOOKUP($A19,'Allocate OPROC cost'!A:M,10,FALSE)),"-",VLOOKUP($A19,'Allocate OPROC cost'!A:M,10,FALSE))</f>
        <v>116.52225702361973</v>
      </c>
      <c r="E19" s="368">
        <f>IF(ISERROR(VLOOKUP($A19,'Allocate OPROC cost'!A:M,13,FALSE)),"-",VLOOKUP($A19,'Allocate OPROC cost'!A:M,13,FALSE))</f>
        <v>95.919927862396406</v>
      </c>
      <c r="F19" s="368">
        <f>IF(ISERROR(VLOOKUP($A19,'Allocate OPROC cost'!A:M,12,FALSE)),"-",VLOOKUP($A19,'Allocate OPROC cost'!A:M,12,FALSE))</f>
        <v>92.450308594763356</v>
      </c>
      <c r="G19" s="369"/>
      <c r="H19" s="370">
        <f>IF(ISERROR(VLOOKUP($A19,'Allocate OPROC cost'!A:AO,39,FALSE)),"-",VLOOKUP($A19,'Allocate OPROC cost'!A:AO,39,FALSE))</f>
        <v>109.61340919646148</v>
      </c>
      <c r="I19" s="370">
        <f>IF(ISERROR(VLOOKUP($A19,'Allocate OPROC cost'!A:AO,38,FALSE)),"-",VLOOKUP($A19,'Allocate OPROC cost'!A:AO,38,FALSE))</f>
        <v>116.5219312849745</v>
      </c>
      <c r="J19" s="370">
        <f>IF(ISERROR(VLOOKUP($A19,'Allocate OPROC cost'!A:AO,41,FALSE)),"-",VLOOKUP($A19,'Allocate OPROC cost'!A:AO,41,FALSE))</f>
        <v>96.673838737535036</v>
      </c>
      <c r="K19" s="370">
        <f>IF(ISERROR(VLOOKUP($A19,'Allocate OPROC cost'!A:AO,40,FALSE)),"-",VLOOKUP($A19,'Allocate OPROC cost'!A:AO,40,FALSE))</f>
        <v>93.288460217392199</v>
      </c>
      <c r="L19" s="371">
        <f>IF(ISERROR(H19/C19-1),"-",H19/C19-1)</f>
        <v>9.5443566044139949E-4</v>
      </c>
      <c r="M19" s="371">
        <f t="shared" si="1"/>
        <v>-2.7955057990691756E-6</v>
      </c>
      <c r="N19" s="371">
        <f t="shared" si="2"/>
        <v>7.8597940171531988E-3</v>
      </c>
      <c r="O19" s="371">
        <f t="shared" si="3"/>
        <v>9.065968901225796E-3</v>
      </c>
      <c r="P19" s="369"/>
      <c r="Q19" s="372">
        <f>IF(ISERROR(VLOOKUP($A19,'Front-loading'!$A:$AG,27,FALSE)),"-",VLOOKUP($A19,'Front-loading'!$A:$AG,27,FALSE))</f>
        <v>121.00655433104558</v>
      </c>
      <c r="R19" s="372">
        <f>IF(ISERROR(VLOOKUP($A19,'Front-loading'!$A:$AG,26,FALSE)),"-",VLOOKUP($A19,'Front-loading'!$A:$AG,26,FALSE))</f>
        <v>155.18422557279413</v>
      </c>
      <c r="S19" s="372">
        <f>IF(ISERROR(VLOOKUP($A19,'Front-loading'!$A:$AG,29,FALSE)),"-",VLOOKUP($A19,'Front-loading'!$A:$AG,29,FALSE))</f>
        <v>87.006454863781542</v>
      </c>
      <c r="T19" s="372">
        <f>IF(ISERROR(VLOOKUP($A19,'Front-loading'!$A:$AG,28,FALSE)),"-",VLOOKUP($A19,'Front-loading'!$A:$AG,28,FALSE))</f>
        <v>83.959614195652975</v>
      </c>
      <c r="U19" s="373">
        <f>IF(ISERROR(Q19/H19-1),"-",Q19/H19-1)</f>
        <v>0.10393933751448259</v>
      </c>
      <c r="V19" s="373">
        <f t="shared" si="5"/>
        <v>0.33180272470136396</v>
      </c>
      <c r="W19" s="373">
        <f t="shared" si="6"/>
        <v>-9.9999999999999867E-2</v>
      </c>
      <c r="X19" s="373">
        <f t="shared" si="7"/>
        <v>-0.10000000000000009</v>
      </c>
      <c r="Y19" s="369"/>
      <c r="Z19" s="374">
        <f>IF(ISERROR(VLOOKUP($A19,'Further adjustment'!$A:$BC,53,FALSE)),"-",VLOOKUP($A19,'Further adjustment'!$A:$BC,53,FALSE))</f>
        <v>120.99988361194939</v>
      </c>
      <c r="AA19" s="374">
        <f>IF(ISERROR(VLOOKUP($A19,'Further adjustment'!$A:$BC,52,FALSE)),"-",VLOOKUP($A19,'Further adjustment'!$A:$BC,52,FALSE))</f>
        <v>155.18422557279413</v>
      </c>
      <c r="AB19" s="374">
        <f>IF(ISERROR(VLOOKUP($A19,'Further adjustment'!$A:$BC,55,FALSE)),"-",VLOOKUP($A19,'Further adjustment'!$A:$BC,55,FALSE))</f>
        <v>86.915035366795479</v>
      </c>
      <c r="AC19" s="374">
        <f>IF(ISERROR(VLOOKUP($A19,'Further adjustment'!$A:$BC,54,FALSE)),"-",VLOOKUP($A19,'Further adjustment'!$A:$BC,54,FALSE))</f>
        <v>86.915035366795479</v>
      </c>
      <c r="AD19" s="375">
        <f t="shared" si="8"/>
        <v>-5.5126923769299729E-5</v>
      </c>
      <c r="AE19" s="375">
        <f t="shared" si="9"/>
        <v>0</v>
      </c>
      <c r="AF19" s="375">
        <f t="shared" si="10"/>
        <v>-1.0507208589201067E-3</v>
      </c>
      <c r="AG19" s="375">
        <f t="shared" si="11"/>
        <v>3.5200509190709495E-2</v>
      </c>
      <c r="AH19" s="369"/>
      <c r="AI19" s="376">
        <f>'Price Adjustments'!$G$6</f>
        <v>-3.1174571652793026E-2</v>
      </c>
      <c r="AJ19" s="376">
        <v>0</v>
      </c>
      <c r="AK19" s="377">
        <f t="shared" si="31"/>
        <v>117.22776407030905</v>
      </c>
      <c r="AL19" s="377">
        <f t="shared" si="32"/>
        <v>150.34642381329186</v>
      </c>
      <c r="AM19" s="377">
        <f t="shared" si="33"/>
        <v>84.205496369048277</v>
      </c>
      <c r="AN19" s="377">
        <f t="shared" si="34"/>
        <v>84.205496369048277</v>
      </c>
      <c r="AO19" s="378">
        <f t="shared" si="12"/>
        <v>-3.1174571652793026E-2</v>
      </c>
      <c r="AP19" s="378">
        <f t="shared" si="13"/>
        <v>-3.1174571652793026E-2</v>
      </c>
      <c r="AQ19" s="378">
        <f t="shared" si="14"/>
        <v>-3.1174571652793026E-2</v>
      </c>
      <c r="AR19" s="378">
        <f t="shared" si="15"/>
        <v>-3.1174571652793026E-2</v>
      </c>
      <c r="AS19" s="379">
        <f>'Price Adjustments'!$F$6</f>
        <v>0</v>
      </c>
      <c r="AT19" s="377">
        <f>IF(ISERROR(VLOOKUP($A19,'15-16 tariff'!$A:$F,3,FALSE)*(1+$AS$6)),"-",VLOOKUP($A19,'15-16 tariff'!$A:$F,3,FALSE)*(1+$AS$6))</f>
        <v>106.85508951442804</v>
      </c>
      <c r="AU19" s="377">
        <f>IF(ISERROR(VLOOKUP($A19,'15-16 tariff'!$A:$F,4,FALSE)*(1+$AS$6)),"-",VLOOKUP($A19,'15-16 tariff'!$A:$F,4,FALSE)*(1+$AS$6))</f>
        <v>172.7037579102624</v>
      </c>
      <c r="AV19" s="377">
        <f>IF(ISERROR(VLOOKUP($A19,'15-16 tariff'!$A:$F,5,FALSE)*(1+$AS$6)),"-",VLOOKUP($A19,'15-16 tariff'!$A:$F,5,FALSE)*(1+$AS$6))</f>
        <v>72.63316299132795</v>
      </c>
      <c r="AW19" s="377">
        <f>IF(ISERROR(VLOOKUP($A19,'15-16 tariff'!$A:$F,6,FALSE)*(1+$AS$6)),"-",VLOOKUP($A19,'15-16 tariff'!$A:$F,6,FALSE)*(1+$AS$6))</f>
        <v>81.759369239255307</v>
      </c>
      <c r="AX19" s="369"/>
      <c r="AY19" s="380" t="s">
        <v>307</v>
      </c>
      <c r="AZ19" s="380" t="s">
        <v>307</v>
      </c>
      <c r="BA19" s="380" t="s">
        <v>307</v>
      </c>
      <c r="BB19" s="381" t="s">
        <v>307</v>
      </c>
      <c r="BC19" s="381">
        <f t="shared" si="16"/>
        <v>117.22776407030905</v>
      </c>
      <c r="BD19" s="381">
        <f t="shared" si="17"/>
        <v>150.34642381329186</v>
      </c>
      <c r="BE19" s="381">
        <f t="shared" si="18"/>
        <v>84.205496369048277</v>
      </c>
      <c r="BF19" s="381">
        <f t="shared" si="19"/>
        <v>84.205496369048277</v>
      </c>
      <c r="BG19" s="381">
        <f>IFERROR(VLOOKUP($A19,'Further adjustment'!$A:$Q,7,FALSE),0)</f>
        <v>159842</v>
      </c>
      <c r="BH19" s="381">
        <f>IFERROR(VLOOKUP($A19,'Further adjustment'!$A:$Q,6,FALSE),0)</f>
        <v>1406</v>
      </c>
      <c r="BI19" s="381">
        <f>IFERROR(VLOOKUP($A19,'Further adjustment'!$A:$Q,9,FALSE),0)</f>
        <v>188376</v>
      </c>
      <c r="BJ19" s="381">
        <f>IFERROR(VLOOKUP($A19,'Further adjustment'!$A:$Q,8,FALSE),0)</f>
        <v>5827</v>
      </c>
      <c r="BK19" s="382">
        <f t="shared" si="20"/>
        <v>-3.1174571652793026E-2</v>
      </c>
      <c r="BL19" s="382">
        <f t="shared" si="21"/>
        <v>-3.1174571652793026E-2</v>
      </c>
      <c r="BM19" s="382">
        <f t="shared" si="22"/>
        <v>-3.1174571652793026E-2</v>
      </c>
      <c r="BN19" s="382">
        <f t="shared" si="23"/>
        <v>-3.1174571652793026E-2</v>
      </c>
      <c r="BO19" s="369"/>
      <c r="BP19" s="383">
        <f>'Price Adjustments'!$D$90</f>
        <v>-6.8529657693413348E-2</v>
      </c>
      <c r="BQ19" s="384">
        <f t="shared" si="24"/>
        <v>109.19418552640656</v>
      </c>
      <c r="BR19" s="384">
        <f t="shared" si="25"/>
        <v>140.04323485393812</v>
      </c>
      <c r="BS19" s="384">
        <f t="shared" si="26"/>
        <v>78.434922526973438</v>
      </c>
      <c r="BT19" s="384">
        <f t="shared" si="27"/>
        <v>78.434922526973438</v>
      </c>
      <c r="BU19" s="369"/>
      <c r="BV19" s="385" t="str">
        <f>IF(COUNTIF('Manual adjustments'!$A:$A,A19)=1,"Y",IF(COUNTIF(#REF!,A19)=1,"BPT",""))</f>
        <v>Y</v>
      </c>
      <c r="BW19" s="384">
        <f>IF($BV19="",BQ19,IF(AND($BV19="BPT",IFERROR(ISNUMBER(VLOOKUP($A19,#REF!,3,FALSE)),FALSE)),VLOOKUP($A19,#REF!,3,FALSE),IF(AND($BV19="Y",IFERROR(ISNUMBER(VLOOKUP($A19,'Manual adjustments'!$A:$O,12,FALSE)),FALSE)),VLOOKUP($A19,'Manual adjustments'!$A:$O,12,FALSE),BQ19)))</f>
        <v>109.19418552640656</v>
      </c>
      <c r="BX19" s="384">
        <f>IF($BV19="",BR19,IF(AND($BV19="BPT",IFERROR(ISNUMBER(VLOOKUP($A19,#REF!,4,FALSE)),FALSE)),VLOOKUP($A19,#REF!,4,FALSE),IF(AND($BV19="Y",IFERROR(ISNUMBER(VLOOKUP($A19,'Manual adjustments'!$A:$O,13,FALSE)),FALSE)),VLOOKUP($A19,'Manual adjustments'!$A:$O,13,FALSE),BR19)))</f>
        <v>140.04323485393812</v>
      </c>
      <c r="BY19" s="384">
        <f>IF($BV19="",BS19,IF(AND($BV19="BPT",IFERROR(ISNUMBER(VLOOKUP($A19,#REF!,5,FALSE)),FALSE)),VLOOKUP($A19,#REF!,5,FALSE),IF(AND($BV19="Y",IFERROR(ISNUMBER(VLOOKUP($A19,'Manual adjustments'!$A:$O,14,FALSE)),FALSE)),VLOOKUP($A19,'Manual adjustments'!$A:$O,14,FALSE),BS19)))</f>
        <v>78.434922526973438</v>
      </c>
      <c r="BZ19" s="384">
        <f>IF($BV19="",BT19,IF(AND($BV19="BPT",IFERROR(ISNUMBER(VLOOKUP($A19,#REF!,6,FALSE)),FALSE)),VLOOKUP($A19,#REF!,6,FALSE),IF(AND($BV19="Y",IFERROR(ISNUMBER(VLOOKUP($A19,'Manual adjustments'!$A:$O,15,FALSE)),FALSE)),VLOOKUP($A19,'Manual adjustments'!$A:$O,15,FALSE),BT19)))</f>
        <v>78.434922526973438</v>
      </c>
      <c r="CA19" s="386">
        <f>'Post manual recon'!$N$70</f>
        <v>0</v>
      </c>
      <c r="CB19" s="384">
        <f>IF(VLOOKUP($A19,'Post manual recon'!$A:$U,18,FALSE)=0,BW19,BW19*(1+$CA19))</f>
        <v>109.19418552640656</v>
      </c>
      <c r="CC19" s="384">
        <f>IF(VLOOKUP($A19,'Post manual recon'!$A:$U,19,FALSE)=0,BX19,BX19*(1+$CA19))</f>
        <v>140.04323485393812</v>
      </c>
      <c r="CD19" s="384">
        <f>IF(VLOOKUP($A19,'Post manual recon'!$A:$U,20,FALSE)=0,BY19,BY19*(1+$CA19))</f>
        <v>78.434922526973438</v>
      </c>
      <c r="CE19" s="384">
        <f>IF(VLOOKUP($A19,'Post manual recon'!$A:$U,21,FALSE)=0,BZ19,BZ19*(1+$CA19))</f>
        <v>78.434922526973438</v>
      </c>
      <c r="CF19" s="383">
        <f t="shared" si="35"/>
        <v>0</v>
      </c>
      <c r="CG19" s="383">
        <f t="shared" si="36"/>
        <v>0</v>
      </c>
      <c r="CH19" s="383">
        <f t="shared" si="37"/>
        <v>0</v>
      </c>
      <c r="CI19" s="383">
        <f t="shared" si="38"/>
        <v>0</v>
      </c>
      <c r="CJ19" s="369"/>
      <c r="CK19" s="383">
        <f>'Price Adjustments'!$F$6</f>
        <v>0</v>
      </c>
      <c r="CL19" s="384">
        <f t="shared" si="39"/>
        <v>109.19418552640656</v>
      </c>
      <c r="CM19" s="384">
        <f t="shared" si="40"/>
        <v>140.04323485393812</v>
      </c>
      <c r="CN19" s="384">
        <f t="shared" si="41"/>
        <v>78.434922526973438</v>
      </c>
      <c r="CO19" s="384">
        <f t="shared" si="42"/>
        <v>78.434922526973438</v>
      </c>
      <c r="CP19" s="369"/>
      <c r="CQ19" s="384">
        <f t="shared" si="43"/>
        <v>109</v>
      </c>
      <c r="CR19" s="384">
        <f t="shared" si="44"/>
        <v>140</v>
      </c>
      <c r="CS19" s="384">
        <f t="shared" si="45"/>
        <v>78</v>
      </c>
      <c r="CT19" s="384">
        <f t="shared" si="46"/>
        <v>78</v>
      </c>
    </row>
    <row r="20" spans="1:98">
      <c r="A20" s="367">
        <v>150</v>
      </c>
      <c r="B20" s="367" t="str">
        <f>INDEX('201314 RC list'!B:B,MATCH(A20,'201314 RC list'!A:A,0))</f>
        <v>Neurosurgery</v>
      </c>
      <c r="C20" s="368">
        <f>IF(ISERROR(VLOOKUP($A20,'Allocate OPROC cost'!A:M,11,FALSE)),"-",VLOOKUP($A20,'Allocate OPROC cost'!A:M,11,FALSE))</f>
        <v>179.71516111756918</v>
      </c>
      <c r="D20" s="368">
        <f>IF(ISERROR(VLOOKUP($A20,'Allocate OPROC cost'!A:M,10,FALSE)),"-",VLOOKUP($A20,'Allocate OPROC cost'!A:M,10,FALSE))</f>
        <v>232.10751046497779</v>
      </c>
      <c r="E20" s="368">
        <f>IF(ISERROR(VLOOKUP($A20,'Allocate OPROC cost'!A:M,13,FALSE)),"-",VLOOKUP($A20,'Allocate OPROC cost'!A:M,13,FALSE))</f>
        <v>154.19990483854835</v>
      </c>
      <c r="F20" s="368">
        <f>IF(ISERROR(VLOOKUP($A20,'Allocate OPROC cost'!A:M,12,FALSE)),"-",VLOOKUP($A20,'Allocate OPROC cost'!A:M,12,FALSE))</f>
        <v>203.76733794110982</v>
      </c>
      <c r="G20" s="369"/>
      <c r="H20" s="370">
        <f>IF(ISERROR(VLOOKUP($A20,'Allocate OPROC cost'!A:AO,39,FALSE)),"-",VLOOKUP($A20,'Allocate OPROC cost'!A:AO,39,FALSE))</f>
        <v>179.65909015741963</v>
      </c>
      <c r="I20" s="370">
        <f>IF(ISERROR(VLOOKUP($A20,'Allocate OPROC cost'!A:AO,38,FALSE)),"-",VLOOKUP($A20,'Allocate OPROC cost'!A:AO,38,FALSE))</f>
        <v>232.04151231972645</v>
      </c>
      <c r="J20" s="370">
        <f>IF(ISERROR(VLOOKUP($A20,'Allocate OPROC cost'!A:AO,41,FALSE)),"-",VLOOKUP($A20,'Allocate OPROC cost'!A:AO,41,FALSE))</f>
        <v>154.08686744700677</v>
      </c>
      <c r="K20" s="370">
        <f>IF(ISERROR(VLOOKUP($A20,'Allocate OPROC cost'!A:AO,40,FALSE)),"-",VLOOKUP($A20,'Allocate OPROC cost'!A:AO,40,FALSE))</f>
        <v>203.68532783584959</v>
      </c>
      <c r="L20" s="371">
        <f>IF(ISERROR(H20/C20-1),"-",H20/C20-1)</f>
        <v>-3.1199905339585055E-4</v>
      </c>
      <c r="M20" s="371">
        <f t="shared" ref="M20" si="47">IF(ISERROR(I20/D20-1),"-",I20/D20-1)</f>
        <v>-2.8434299742874369E-4</v>
      </c>
      <c r="N20" s="371">
        <f t="shared" ref="N20" si="48">IF(ISERROR(J20/E20-1),"-",J20/E20-1)</f>
        <v>-7.3305746628016255E-4</v>
      </c>
      <c r="O20" s="371">
        <f t="shared" ref="O20" si="49">IF(ISERROR(K20/F20-1),"-",K20/F20-1)</f>
        <v>-4.0246933629728421E-4</v>
      </c>
      <c r="P20" s="369"/>
      <c r="Q20" s="372">
        <f>IF(ISERROR(VLOOKUP($A20,'Front-loading'!$A:$AG,27,FALSE)),"-",VLOOKUP($A20,'Front-loading'!$A:$AG,27,FALSE))</f>
        <v>203.7777262985434</v>
      </c>
      <c r="R20" s="372">
        <f>IF(ISERROR(VLOOKUP($A20,'Front-loading'!$A:$AG,26,FALSE)),"-",VLOOKUP($A20,'Front-loading'!$A:$AG,26,FALSE))</f>
        <v>251.30015532499297</v>
      </c>
      <c r="S20" s="372">
        <f>IF(ISERROR(VLOOKUP($A20,'Front-loading'!$A:$AG,29,FALSE)),"-",VLOOKUP($A20,'Front-loading'!$A:$AG,29,FALSE))</f>
        <v>138.67818070230609</v>
      </c>
      <c r="T20" s="372">
        <f>IF(ISERROR(VLOOKUP($A20,'Front-loading'!$A:$AG,28,FALSE)),"-",VLOOKUP($A20,'Front-loading'!$A:$AG,28,FALSE))</f>
        <v>183.31679505226464</v>
      </c>
      <c r="U20" s="373">
        <f>IF(ISERROR(Q20/H20-1),"-",Q20/H20-1)</f>
        <v>0.1342466786400327</v>
      </c>
      <c r="V20" s="373">
        <f t="shared" ref="V20" si="50">IF(ISERROR(R20/I20-1),"-",R20/I20-1)</f>
        <v>8.2996541492671883E-2</v>
      </c>
      <c r="W20" s="373">
        <f t="shared" ref="W20" si="51">IF(ISERROR(S20/J20-1),"-",S20/J20-1)</f>
        <v>-9.9999999999999978E-2</v>
      </c>
      <c r="X20" s="373">
        <f t="shared" ref="X20" si="52">IF(ISERROR(T20/K20-1),"-",T20/K20-1)</f>
        <v>-9.9999999999999978E-2</v>
      </c>
      <c r="Y20" s="369"/>
      <c r="Z20" s="374">
        <f>IF(ISERROR(VLOOKUP($A20,'Further adjustment'!$A:$BC,53,FALSE)),"-",VLOOKUP($A20,'Further adjustment'!$A:$BC,53,FALSE))</f>
        <v>203.7777262985434</v>
      </c>
      <c r="AA20" s="374">
        <f>IF(ISERROR(VLOOKUP($A20,'Further adjustment'!$A:$BC,52,FALSE)),"-",VLOOKUP($A20,'Further adjustment'!$A:$BC,52,FALSE))</f>
        <v>251.30015532499297</v>
      </c>
      <c r="AB20" s="374">
        <f>IF(ISERROR(VLOOKUP($A20,'Further adjustment'!$A:$BC,55,FALSE)),"-",VLOOKUP($A20,'Further adjustment'!$A:$BC,55,FALSE))</f>
        <v>138.67818070230609</v>
      </c>
      <c r="AC20" s="374">
        <f>IF(ISERROR(VLOOKUP($A20,'Further adjustment'!$A:$BC,54,FALSE)),"-",VLOOKUP($A20,'Further adjustment'!$A:$BC,54,FALSE))</f>
        <v>182.27019865757168</v>
      </c>
      <c r="AD20" s="375">
        <f t="shared" ref="AD20" si="53">IF(ISERROR(Z20/Q20-1),"-",Z20/Q20-1)</f>
        <v>0</v>
      </c>
      <c r="AE20" s="375">
        <f t="shared" ref="AE20" si="54">IF(ISERROR(AA20/R20-1),"-",AA20/R20-1)</f>
        <v>0</v>
      </c>
      <c r="AF20" s="375">
        <f t="shared" ref="AF20" si="55">IF(ISERROR(AB20/S20-1),"-",AB20/S20-1)</f>
        <v>0</v>
      </c>
      <c r="AG20" s="375">
        <f t="shared" ref="AG20" si="56">IF(ISERROR(AC20/T20-1),"-",AC20/T20-1)</f>
        <v>-5.7092226295717419E-3</v>
      </c>
      <c r="AH20" s="369"/>
      <c r="AI20" s="376">
        <f>'Price Adjustments'!$G$6</f>
        <v>-3.1174571652793026E-2</v>
      </c>
      <c r="AJ20" s="376">
        <v>0</v>
      </c>
      <c r="AK20" s="377">
        <f t="shared" ref="AK20" si="57">IF(ISERROR(Z20*(1+$AI20)*(1+$AJ20)),"-",Z20*(1+$AI20)*(1+$AJ20))</f>
        <v>197.42504296880622</v>
      </c>
      <c r="AL20" s="377">
        <f t="shared" ref="AL20" si="58">IF(ISERROR(AA20*(1+$AI20)*(1+$AJ20)),"-",AA20*(1+$AI20)*(1+$AJ20))</f>
        <v>243.46598062645597</v>
      </c>
      <c r="AM20" s="377">
        <f t="shared" ref="AM20" si="59">IF(ISERROR(AB20*(1+$AI20)*(1+$AJ20)),"-",AB20*(1+$AI20)*(1+$AJ20))</f>
        <v>134.35494782132307</v>
      </c>
      <c r="AN20" s="377">
        <f t="shared" ref="AN20" si="60">IF(ISERROR(AC20*(1+$AI20)*(1+$AJ20)),"-",AC20*(1+$AI20)*(1+$AJ20))</f>
        <v>176.5880032893524</v>
      </c>
      <c r="AO20" s="378">
        <f t="shared" ref="AO20" si="61">IF(ISERROR(AK20/Z20-1),"-",AK20/Z20-1)</f>
        <v>-3.1174571652792915E-2</v>
      </c>
      <c r="AP20" s="378">
        <f t="shared" ref="AP20" si="62">IF(ISERROR(AL20/AA20-1),"-",AL20/AA20-1)</f>
        <v>-3.1174571652793026E-2</v>
      </c>
      <c r="AQ20" s="378">
        <f t="shared" ref="AQ20" si="63">IF(ISERROR(AM20/AB20-1),"-",AM20/AB20-1)</f>
        <v>-3.1174571652793026E-2</v>
      </c>
      <c r="AR20" s="378">
        <f t="shared" ref="AR20" si="64">IF(ISERROR(AN20/AC20-1),"-",AN20/AC20-1)</f>
        <v>-3.1174571652793026E-2</v>
      </c>
      <c r="AS20" s="379">
        <f>'Price Adjustments'!$F$6</f>
        <v>0</v>
      </c>
      <c r="AT20" s="377" t="str">
        <f>IF(ISERROR(VLOOKUP($A20,'15-16 tariff'!$A:$F,3,FALSE)*(1+$AS$6)),"-",VLOOKUP($A20,'15-16 tariff'!$A:$F,3,FALSE)*(1+$AS$6))</f>
        <v>-</v>
      </c>
      <c r="AU20" s="377" t="str">
        <f>IF(ISERROR(VLOOKUP($A20,'15-16 tariff'!$A:$F,4,FALSE)*(1+$AS$6)),"-",VLOOKUP($A20,'15-16 tariff'!$A:$F,4,FALSE)*(1+$AS$6))</f>
        <v>-</v>
      </c>
      <c r="AV20" s="377" t="str">
        <f>IF(ISERROR(VLOOKUP($A20,'15-16 tariff'!$A:$F,5,FALSE)*(1+$AS$6)),"-",VLOOKUP($A20,'15-16 tariff'!$A:$F,5,FALSE)*(1+$AS$6))</f>
        <v>-</v>
      </c>
      <c r="AW20" s="377" t="str">
        <f>IF(ISERROR(VLOOKUP($A20,'15-16 tariff'!$A:$F,6,FALSE)*(1+$AS$6)),"-",VLOOKUP($A20,'15-16 tariff'!$A:$F,6,FALSE)*(1+$AS$6))</f>
        <v>-</v>
      </c>
      <c r="AX20" s="369"/>
      <c r="AY20" s="380" t="s">
        <v>307</v>
      </c>
      <c r="AZ20" s="380" t="s">
        <v>307</v>
      </c>
      <c r="BA20" s="380" t="s">
        <v>307</v>
      </c>
      <c r="BB20" s="381" t="s">
        <v>307</v>
      </c>
      <c r="BC20" s="381">
        <f t="shared" ref="BC20" si="65">IF(AY20="Modelled",AK20,IF(AY20="Roll-over",AT20,"Error"))</f>
        <v>197.42504296880622</v>
      </c>
      <c r="BD20" s="381">
        <f t="shared" ref="BD20" si="66">IF(AZ20="Modelled",AL20,IF(AZ20="Roll-over",AU20,"Error"))</f>
        <v>243.46598062645597</v>
      </c>
      <c r="BE20" s="381">
        <f t="shared" ref="BE20" si="67">IF(BA20="Modelled",AM20,IF(BA20="Roll-over",AV20,"Error"))</f>
        <v>134.35494782132307</v>
      </c>
      <c r="BF20" s="381">
        <f t="shared" ref="BF20" si="68">IF(BB20="Modelled",AN20,IF(BB20="Roll-over",AW20,"Error"))</f>
        <v>176.5880032893524</v>
      </c>
      <c r="BG20" s="381">
        <f>IFERROR(VLOOKUP($A20,'Further adjustment'!$A:$Q,7,FALSE),0)</f>
        <v>95890</v>
      </c>
      <c r="BH20" s="381">
        <f>IFERROR(VLOOKUP($A20,'Further adjustment'!$A:$Q,6,FALSE),0)</f>
        <v>4955</v>
      </c>
      <c r="BI20" s="381">
        <f>IFERROR(VLOOKUP($A20,'Further adjustment'!$A:$Q,9,FALSE),0)</f>
        <v>150093</v>
      </c>
      <c r="BJ20" s="381">
        <f>IFERROR(VLOOKUP($A20,'Further adjustment'!$A:$Q,8,FALSE),0)</f>
        <v>4685</v>
      </c>
      <c r="BK20" s="382">
        <f t="shared" ref="BK20" si="69">IF(ISERROR(BC20/Z20-1),"-",BC20/Z20-1)</f>
        <v>-3.1174571652792915E-2</v>
      </c>
      <c r="BL20" s="382">
        <f t="shared" ref="BL20" si="70">IF(ISERROR(BD20/AA20-1),"-",BD20/AA20-1)</f>
        <v>-3.1174571652793026E-2</v>
      </c>
      <c r="BM20" s="382">
        <f t="shared" ref="BM20" si="71">IF(ISERROR(BE20/AB20-1),"-",BE20/AB20-1)</f>
        <v>-3.1174571652793026E-2</v>
      </c>
      <c r="BN20" s="382">
        <f t="shared" ref="BN20" si="72">IF(ISERROR(BF20/AC20-1),"-",BF20/AC20-1)</f>
        <v>-3.1174571652793026E-2</v>
      </c>
      <c r="BO20" s="369"/>
      <c r="BP20" s="383">
        <f>'Price Adjustments'!$D$90</f>
        <v>-6.8529657693413348E-2</v>
      </c>
      <c r="BQ20" s="384">
        <f t="shared" ref="BQ20" si="73">BC20*(1+$BP20)</f>
        <v>183.89557235404652</v>
      </c>
      <c r="BR20" s="384">
        <f t="shared" ref="BR20" si="74">BD20*(1+$BP20)</f>
        <v>226.78134031413373</v>
      </c>
      <c r="BS20" s="384">
        <f t="shared" ref="BS20" si="75">BE20*(1+$BP20)</f>
        <v>125.14764923771139</v>
      </c>
      <c r="BT20" s="384">
        <f t="shared" ref="BT20" si="76">BF20*(1+$BP20)</f>
        <v>164.48648787116974</v>
      </c>
      <c r="BU20" s="369"/>
      <c r="BV20" s="385" t="str">
        <f>IF(COUNTIF('Manual adjustments'!$A:$A,A20)=1,"Y",IF(COUNTIF(#REF!,A20)=1,"BPT",""))</f>
        <v>Y</v>
      </c>
      <c r="BW20" s="384">
        <f>IF($BV20="",BQ20,IF(AND($BV20="BPT",IFERROR(ISNUMBER(VLOOKUP($A20,#REF!,3,FALSE)),FALSE)),VLOOKUP($A20,#REF!,3,FALSE),IF(AND($BV20="Y",IFERROR(ISNUMBER(VLOOKUP($A20,'Manual adjustments'!$A:$O,12,FALSE)),FALSE)),VLOOKUP($A20,'Manual adjustments'!$A:$O,12,FALSE),BQ20)))</f>
        <v>183.89557235404652</v>
      </c>
      <c r="BX20" s="384">
        <f>IF($BV20="",BR20,IF(AND($BV20="BPT",IFERROR(ISNUMBER(VLOOKUP($A20,#REF!,4,FALSE)),FALSE)),VLOOKUP($A20,#REF!,4,FALSE),IF(AND($BV20="Y",IFERROR(ISNUMBER(VLOOKUP($A20,'Manual adjustments'!$A:$O,13,FALSE)),FALSE)),VLOOKUP($A20,'Manual adjustments'!$A:$O,13,FALSE),BR20)))</f>
        <v>226.78134031413373</v>
      </c>
      <c r="BY20" s="384">
        <f>IF($BV20="",BS20,IF(AND($BV20="BPT",IFERROR(ISNUMBER(VLOOKUP($A20,#REF!,5,FALSE)),FALSE)),VLOOKUP($A20,#REF!,5,FALSE),IF(AND($BV20="Y",IFERROR(ISNUMBER(VLOOKUP($A20,'Manual adjustments'!$A:$O,14,FALSE)),FALSE)),VLOOKUP($A20,'Manual adjustments'!$A:$O,14,FALSE),BS20)))</f>
        <v>125.14764923771139</v>
      </c>
      <c r="BZ20" s="384">
        <f>IF($BV20="",BT20,IF(AND($BV20="BPT",IFERROR(ISNUMBER(VLOOKUP($A20,#REF!,6,FALSE)),FALSE)),VLOOKUP($A20,#REF!,6,FALSE),IF(AND($BV20="Y",IFERROR(ISNUMBER(VLOOKUP($A20,'Manual adjustments'!$A:$O,15,FALSE)),FALSE)),VLOOKUP($A20,'Manual adjustments'!$A:$O,15,FALSE),BT20)))</f>
        <v>164.48648787116974</v>
      </c>
      <c r="CA20" s="386">
        <f>'Post manual recon'!$N$70</f>
        <v>0</v>
      </c>
      <c r="CB20" s="384">
        <f>IF(VLOOKUP($A20,'Post manual recon'!$A:$U,18,FALSE)=0,BW20,BW20*(1+$CA20))</f>
        <v>183.89557235404652</v>
      </c>
      <c r="CC20" s="384">
        <f>IF(VLOOKUP($A20,'Post manual recon'!$A:$U,19,FALSE)=0,BX20,BX20*(1+$CA20))</f>
        <v>226.78134031413373</v>
      </c>
      <c r="CD20" s="384">
        <f>IF(VLOOKUP($A20,'Post manual recon'!$A:$U,20,FALSE)=0,BY20,BY20*(1+$CA20))</f>
        <v>125.14764923771139</v>
      </c>
      <c r="CE20" s="384">
        <f>IF(VLOOKUP($A20,'Post manual recon'!$A:$U,21,FALSE)=0,BZ20,BZ20*(1+$CA20))</f>
        <v>164.48648787116974</v>
      </c>
      <c r="CF20" s="383">
        <f t="shared" ref="CF20" si="77">IF(ISERROR(CB20/BW20-1),0,CB20/BW20-1)</f>
        <v>0</v>
      </c>
      <c r="CG20" s="383">
        <f t="shared" ref="CG20" si="78">IF(ISERROR(CC20/BX20-1),0,CC20/BX20-1)</f>
        <v>0</v>
      </c>
      <c r="CH20" s="383">
        <f t="shared" ref="CH20" si="79">IF(ISERROR(CD20/BY20-1),0,CD20/BY20-1)</f>
        <v>0</v>
      </c>
      <c r="CI20" s="383">
        <f t="shared" ref="CI20" si="80">IF(ISERROR(CE20/BZ20-1),0,CE20/BZ20-1)</f>
        <v>0</v>
      </c>
      <c r="CJ20" s="369"/>
      <c r="CK20" s="383">
        <f>'Price Adjustments'!$F$6</f>
        <v>0</v>
      </c>
      <c r="CL20" s="384">
        <f t="shared" ref="CL20:CL21" si="81">CB20*(1+$CK20)</f>
        <v>183.89557235404652</v>
      </c>
      <c r="CM20" s="384">
        <f t="shared" ref="CM20:CM21" si="82">CC20*(1+$CK20)</f>
        <v>226.78134031413373</v>
      </c>
      <c r="CN20" s="384">
        <f t="shared" ref="CN20:CN21" si="83">CD20*(1+$CK20)</f>
        <v>125.14764923771139</v>
      </c>
      <c r="CO20" s="384">
        <f t="shared" ref="CO20:CO21" si="84">CE20*(1+$CK20)</f>
        <v>164.48648787116974</v>
      </c>
      <c r="CP20" s="369"/>
      <c r="CQ20" s="384">
        <f t="shared" ref="CQ20" si="85">ROUND(CL20,0)</f>
        <v>184</v>
      </c>
      <c r="CR20" s="384">
        <f t="shared" ref="CR20" si="86">ROUND(CM20,0)</f>
        <v>227</v>
      </c>
      <c r="CS20" s="384">
        <f t="shared" ref="CS20" si="87">ROUND(CN20,0)</f>
        <v>125</v>
      </c>
      <c r="CT20" s="384">
        <f t="shared" ref="CT20" si="88">ROUND(CO20,0)</f>
        <v>164</v>
      </c>
    </row>
    <row r="21" spans="1:98">
      <c r="A21" s="367">
        <v>160</v>
      </c>
      <c r="B21" s="367" t="str">
        <f>INDEX('201314 RC list'!B:B,MATCH(A21,'201314 RC list'!A:A,0))</f>
        <v>Plastic Surgery</v>
      </c>
      <c r="C21" s="368">
        <f>IF(ISERROR(VLOOKUP($A21,'Allocate OPROC cost'!A:M,11,FALSE)),"-",VLOOKUP($A21,'Allocate OPROC cost'!A:M,11,FALSE))</f>
        <v>99.226783355895606</v>
      </c>
      <c r="D21" s="368">
        <f>IF(ISERROR(VLOOKUP($A21,'Allocate OPROC cost'!A:M,10,FALSE)),"-",VLOOKUP($A21,'Allocate OPROC cost'!A:M,10,FALSE))</f>
        <v>154.23414802775747</v>
      </c>
      <c r="E21" s="368">
        <f>IF(ISERROR(VLOOKUP($A21,'Allocate OPROC cost'!A:M,13,FALSE)),"-",VLOOKUP($A21,'Allocate OPROC cost'!A:M,13,FALSE))</f>
        <v>77.836629095292082</v>
      </c>
      <c r="F21" s="368">
        <f>IF(ISERROR(VLOOKUP($A21,'Allocate OPROC cost'!A:M,12,FALSE)),"-",VLOOKUP($A21,'Allocate OPROC cost'!A:M,12,FALSE))</f>
        <v>141.03384406772284</v>
      </c>
      <c r="G21" s="369"/>
      <c r="H21" s="370">
        <f>IF(ISERROR(VLOOKUP($A21,'Allocate OPROC cost'!A:AO,39,FALSE)),"-",VLOOKUP($A21,'Allocate OPROC cost'!A:AO,39,FALSE))</f>
        <v>99.527023367577044</v>
      </c>
      <c r="I21" s="370">
        <f>IF(ISERROR(VLOOKUP($A21,'Allocate OPROC cost'!A:AO,38,FALSE)),"-",VLOOKUP($A21,'Allocate OPROC cost'!A:AO,38,FALSE))</f>
        <v>152.49270671321258</v>
      </c>
      <c r="J21" s="370">
        <f>IF(ISERROR(VLOOKUP($A21,'Allocate OPROC cost'!A:AO,41,FALSE)),"-",VLOOKUP($A21,'Allocate OPROC cost'!A:AO,41,FALSE))</f>
        <v>79.328081096737279</v>
      </c>
      <c r="K21" s="370">
        <f>IF(ISERROR(VLOOKUP($A21,'Allocate OPROC cost'!A:AO,40,FALSE)),"-",VLOOKUP($A21,'Allocate OPROC cost'!A:AO,40,FALSE))</f>
        <v>137.78667069369843</v>
      </c>
      <c r="L21" s="371">
        <f t="shared" si="0"/>
        <v>3.025796075688314E-3</v>
      </c>
      <c r="M21" s="371">
        <f t="shared" si="1"/>
        <v>-1.1290893338558705E-2</v>
      </c>
      <c r="N21" s="371">
        <f t="shared" si="2"/>
        <v>1.9161312852067125E-2</v>
      </c>
      <c r="O21" s="371">
        <f t="shared" si="3"/>
        <v>-2.3024071955843106E-2</v>
      </c>
      <c r="P21" s="369"/>
      <c r="Q21" s="372">
        <f>IF(ISERROR(VLOOKUP($A21,'Front-loading'!$A:$AG,27,FALSE)),"-",VLOOKUP($A21,'Front-loading'!$A:$AG,27,FALSE))</f>
        <v>115.72208583402455</v>
      </c>
      <c r="R21" s="372">
        <f>IF(ISERROR(VLOOKUP($A21,'Front-loading'!$A:$AG,26,FALSE)),"-",VLOOKUP($A21,'Front-loading'!$A:$AG,26,FALSE))</f>
        <v>169.81890427978499</v>
      </c>
      <c r="S21" s="372">
        <f>IF(ISERROR(VLOOKUP($A21,'Front-loading'!$A:$AG,29,FALSE)),"-",VLOOKUP($A21,'Front-loading'!$A:$AG,29,FALSE))</f>
        <v>71.395272987063549</v>
      </c>
      <c r="T21" s="372">
        <f>IF(ISERROR(VLOOKUP($A21,'Front-loading'!$A:$AG,28,FALSE)),"-",VLOOKUP($A21,'Front-loading'!$A:$AG,28,FALSE))</f>
        <v>124.00800362432859</v>
      </c>
      <c r="U21" s="373">
        <f t="shared" si="4"/>
        <v>0.16272025343946317</v>
      </c>
      <c r="V21" s="373">
        <f t="shared" si="5"/>
        <v>0.11361984412249404</v>
      </c>
      <c r="W21" s="373">
        <f t="shared" si="6"/>
        <v>-9.9999999999999978E-2</v>
      </c>
      <c r="X21" s="373">
        <f t="shared" si="7"/>
        <v>-9.9999999999999867E-2</v>
      </c>
      <c r="Y21" s="369"/>
      <c r="Z21" s="374">
        <f>IF(ISERROR(VLOOKUP($A21,'Further adjustment'!$A:$BC,53,FALSE)),"-",VLOOKUP($A21,'Further adjustment'!$A:$BC,53,FALSE))</f>
        <v>115.72208583402455</v>
      </c>
      <c r="AA21" s="374">
        <f>IF(ISERROR(VLOOKUP($A21,'Further adjustment'!$A:$BC,52,FALSE)),"-",VLOOKUP($A21,'Further adjustment'!$A:$BC,52,FALSE))</f>
        <v>169.81890427978499</v>
      </c>
      <c r="AB21" s="374">
        <f>IF(ISERROR(VLOOKUP($A21,'Further adjustment'!$A:$BC,55,FALSE)),"-",VLOOKUP($A21,'Further adjustment'!$A:$BC,55,FALSE))</f>
        <v>71.395272987063549</v>
      </c>
      <c r="AC21" s="374">
        <f>IF(ISERROR(VLOOKUP($A21,'Further adjustment'!$A:$BC,54,FALSE)),"-",VLOOKUP($A21,'Further adjustment'!$A:$BC,54,FALSE))</f>
        <v>124.00800362432859</v>
      </c>
      <c r="AD21" s="375">
        <f t="shared" si="8"/>
        <v>0</v>
      </c>
      <c r="AE21" s="375">
        <f t="shared" si="9"/>
        <v>0</v>
      </c>
      <c r="AF21" s="375">
        <f t="shared" si="10"/>
        <v>0</v>
      </c>
      <c r="AG21" s="375">
        <f t="shared" si="11"/>
        <v>0</v>
      </c>
      <c r="AH21" s="369"/>
      <c r="AI21" s="376">
        <f>'Price Adjustments'!$G$6</f>
        <v>-3.1174571652793026E-2</v>
      </c>
      <c r="AJ21" s="376">
        <v>0</v>
      </c>
      <c r="AK21" s="377">
        <f t="shared" si="31"/>
        <v>112.11449937738109</v>
      </c>
      <c r="AL21" s="377">
        <f t="shared" si="32"/>
        <v>164.52487268031604</v>
      </c>
      <c r="AM21" s="377">
        <f t="shared" si="33"/>
        <v>69.16955593365762</v>
      </c>
      <c r="AN21" s="377">
        <f t="shared" si="34"/>
        <v>120.14210722982214</v>
      </c>
      <c r="AO21" s="378">
        <f t="shared" si="12"/>
        <v>-3.1174571652793026E-2</v>
      </c>
      <c r="AP21" s="378">
        <f t="shared" si="13"/>
        <v>-3.1174571652793026E-2</v>
      </c>
      <c r="AQ21" s="378">
        <f t="shared" si="14"/>
        <v>-3.1174571652793026E-2</v>
      </c>
      <c r="AR21" s="378">
        <f t="shared" si="15"/>
        <v>-3.1174571652793026E-2</v>
      </c>
      <c r="AS21" s="379">
        <f>'Price Adjustments'!$F$6</f>
        <v>0</v>
      </c>
      <c r="AT21" s="377">
        <f>IF(ISERROR(VLOOKUP($A21,'15-16 tariff'!$A:$F,3,FALSE)*(1+$AS$6)),"-",VLOOKUP($A21,'15-16 tariff'!$A:$F,3,FALSE)*(1+$AS$6))</f>
        <v>112.85890498720801</v>
      </c>
      <c r="AU21" s="377">
        <f>IF(ISERROR(VLOOKUP($A21,'15-16 tariff'!$A:$F,4,FALSE)*(1+$AS$6)),"-",VLOOKUP($A21,'15-16 tariff'!$A:$F,4,FALSE)*(1+$AS$6))</f>
        <v>150.02166519174483</v>
      </c>
      <c r="AV21" s="377">
        <f>IF(ISERROR(VLOOKUP($A21,'15-16 tariff'!$A:$F,5,FALSE)*(1+$AS$6)),"-",VLOOKUP($A21,'15-16 tariff'!$A:$F,5,FALSE)*(1+$AS$6))</f>
        <v>65.14259674194733</v>
      </c>
      <c r="AW21" s="377">
        <f>IF(ISERROR(VLOOKUP($A21,'15-16 tariff'!$A:$F,6,FALSE)*(1+$AS$6)),"-",VLOOKUP($A21,'15-16 tariff'!$A:$F,6,FALSE)*(1+$AS$6))</f>
        <v>99.626884384809401</v>
      </c>
      <c r="AX21" s="369"/>
      <c r="AY21" s="380" t="s">
        <v>307</v>
      </c>
      <c r="AZ21" s="380" t="s">
        <v>307</v>
      </c>
      <c r="BA21" s="380" t="s">
        <v>307</v>
      </c>
      <c r="BB21" s="381" t="s">
        <v>307</v>
      </c>
      <c r="BC21" s="381">
        <f t="shared" si="16"/>
        <v>112.11449937738109</v>
      </c>
      <c r="BD21" s="381">
        <f t="shared" si="17"/>
        <v>164.52487268031604</v>
      </c>
      <c r="BE21" s="381">
        <f t="shared" si="18"/>
        <v>69.16955593365762</v>
      </c>
      <c r="BF21" s="381">
        <f t="shared" si="19"/>
        <v>120.14210722982214</v>
      </c>
      <c r="BG21" s="381">
        <f>IFERROR(VLOOKUP($A21,'Further adjustment'!$A:$Q,7,FALSE),0)</f>
        <v>229186</v>
      </c>
      <c r="BH21" s="381">
        <f>IFERROR(VLOOKUP($A21,'Further adjustment'!$A:$Q,6,FALSE),0)</f>
        <v>12223</v>
      </c>
      <c r="BI21" s="381">
        <f>IFERROR(VLOOKUP($A21,'Further adjustment'!$A:$Q,9,FALSE),0)</f>
        <v>467890</v>
      </c>
      <c r="BJ21" s="381">
        <f>IFERROR(VLOOKUP($A21,'Further adjustment'!$A:$Q,8,FALSE),0)</f>
        <v>15370</v>
      </c>
      <c r="BK21" s="382">
        <f t="shared" si="20"/>
        <v>-3.1174571652793026E-2</v>
      </c>
      <c r="BL21" s="382">
        <f t="shared" si="21"/>
        <v>-3.1174571652793026E-2</v>
      </c>
      <c r="BM21" s="382">
        <f t="shared" si="22"/>
        <v>-3.1174571652793026E-2</v>
      </c>
      <c r="BN21" s="382">
        <f t="shared" si="23"/>
        <v>-3.1174571652793026E-2</v>
      </c>
      <c r="BO21" s="369"/>
      <c r="BP21" s="383">
        <f>'Price Adjustments'!$D$90</f>
        <v>-6.8529657693413348E-2</v>
      </c>
      <c r="BQ21" s="384">
        <f t="shared" si="24"/>
        <v>104.43133111258076</v>
      </c>
      <c r="BR21" s="384">
        <f t="shared" si="25"/>
        <v>153.25003947348156</v>
      </c>
      <c r="BS21" s="384">
        <f t="shared" si="26"/>
        <v>64.429389942718657</v>
      </c>
      <c r="BT21" s="384">
        <f t="shared" si="27"/>
        <v>111.90880974679708</v>
      </c>
      <c r="BU21" s="369"/>
      <c r="BV21" s="385" t="str">
        <f>IF(COUNTIF('Manual adjustments'!$A:$A,A21)=1,"Y",IF(COUNTIF(#REF!,A21)=1,"BPT",""))</f>
        <v>Y</v>
      </c>
      <c r="BW21" s="384">
        <f>IF($BV21="",BQ21,IF(AND($BV21="BPT",IFERROR(ISNUMBER(VLOOKUP($A21,#REF!,3,FALSE)),FALSE)),VLOOKUP($A21,#REF!,3,FALSE),IF(AND($BV21="Y",IFERROR(ISNUMBER(VLOOKUP($A21,'Manual adjustments'!$A:$O,12,FALSE)),FALSE)),VLOOKUP($A21,'Manual adjustments'!$A:$O,12,FALSE),BQ21)))</f>
        <v>104.43133111258076</v>
      </c>
      <c r="BX21" s="384">
        <f>IF($BV21="",BR21,IF(AND($BV21="BPT",IFERROR(ISNUMBER(VLOOKUP($A21,#REF!,4,FALSE)),FALSE)),VLOOKUP($A21,#REF!,4,FALSE),IF(AND($BV21="Y",IFERROR(ISNUMBER(VLOOKUP($A21,'Manual adjustments'!$A:$O,13,FALSE)),FALSE)),VLOOKUP($A21,'Manual adjustments'!$A:$O,13,FALSE),BR21)))</f>
        <v>153.25003947348156</v>
      </c>
      <c r="BY21" s="384">
        <f>IF($BV21="",BS21,IF(AND($BV21="BPT",IFERROR(ISNUMBER(VLOOKUP($A21,#REF!,5,FALSE)),FALSE)),VLOOKUP($A21,#REF!,5,FALSE),IF(AND($BV21="Y",IFERROR(ISNUMBER(VLOOKUP($A21,'Manual adjustments'!$A:$O,14,FALSE)),FALSE)),VLOOKUP($A21,'Manual adjustments'!$A:$O,14,FALSE),BS21)))</f>
        <v>64.429389942718657</v>
      </c>
      <c r="BZ21" s="384">
        <f>IF($BV21="",BT21,IF(AND($BV21="BPT",IFERROR(ISNUMBER(VLOOKUP($A21,#REF!,6,FALSE)),FALSE)),VLOOKUP($A21,#REF!,6,FALSE),IF(AND($BV21="Y",IFERROR(ISNUMBER(VLOOKUP($A21,'Manual adjustments'!$A:$O,15,FALSE)),FALSE)),VLOOKUP($A21,'Manual adjustments'!$A:$O,15,FALSE),BT21)))</f>
        <v>111.90880974679708</v>
      </c>
      <c r="CA21" s="386">
        <f>'Post manual recon'!$N$70</f>
        <v>0</v>
      </c>
      <c r="CB21" s="384">
        <f>IF(VLOOKUP($A21,'Post manual recon'!$A:$U,18,FALSE)=0,BW21,BW21*(1+$CA21))</f>
        <v>104.43133111258076</v>
      </c>
      <c r="CC21" s="384">
        <f>IF(VLOOKUP($A21,'Post manual recon'!$A:$U,19,FALSE)=0,BX21,BX21*(1+$CA21))</f>
        <v>153.25003947348156</v>
      </c>
      <c r="CD21" s="384">
        <f>IF(VLOOKUP($A21,'Post manual recon'!$A:$U,20,FALSE)=0,BY21,BY21*(1+$CA21))</f>
        <v>64.429389942718657</v>
      </c>
      <c r="CE21" s="384">
        <f>IF(VLOOKUP($A21,'Post manual recon'!$A:$U,21,FALSE)=0,BZ21,BZ21*(1+$CA21))</f>
        <v>111.90880974679708</v>
      </c>
      <c r="CF21" s="383">
        <f t="shared" si="35"/>
        <v>0</v>
      </c>
      <c r="CG21" s="383">
        <f t="shared" si="36"/>
        <v>0</v>
      </c>
      <c r="CH21" s="383">
        <f t="shared" si="37"/>
        <v>0</v>
      </c>
      <c r="CI21" s="383">
        <f t="shared" si="38"/>
        <v>0</v>
      </c>
      <c r="CJ21" s="369"/>
      <c r="CK21" s="383">
        <f>'Price Adjustments'!$F$6</f>
        <v>0</v>
      </c>
      <c r="CL21" s="384">
        <f t="shared" si="81"/>
        <v>104.43133111258076</v>
      </c>
      <c r="CM21" s="384">
        <f t="shared" si="82"/>
        <v>153.25003947348156</v>
      </c>
      <c r="CN21" s="384">
        <f t="shared" si="83"/>
        <v>64.429389942718657</v>
      </c>
      <c r="CO21" s="384">
        <f t="shared" si="84"/>
        <v>111.90880974679708</v>
      </c>
      <c r="CP21" s="369"/>
      <c r="CQ21" s="384">
        <f t="shared" si="43"/>
        <v>104</v>
      </c>
      <c r="CR21" s="384">
        <f t="shared" si="44"/>
        <v>153</v>
      </c>
      <c r="CS21" s="384">
        <f t="shared" si="45"/>
        <v>64</v>
      </c>
      <c r="CT21" s="384">
        <f t="shared" si="46"/>
        <v>112</v>
      </c>
    </row>
    <row r="22" spans="1:98">
      <c r="A22" s="367">
        <v>170</v>
      </c>
      <c r="B22" s="367" t="str">
        <f>INDEX('201314 RC list'!B:B,MATCH(A22,'201314 RC list'!A:A,0))</f>
        <v>Cardiothoracic Surgery</v>
      </c>
      <c r="C22" s="368">
        <f>IF(ISERROR(VLOOKUP($A22,'Allocate OPROC cost'!A:M,11,FALSE)),"-",VLOOKUP($A22,'Allocate OPROC cost'!A:M,11,FALSE))</f>
        <v>247.46118468990755</v>
      </c>
      <c r="D22" s="368">
        <f>IF(ISERROR(VLOOKUP($A22,'Allocate OPROC cost'!A:M,10,FALSE)),"-",VLOOKUP($A22,'Allocate OPROC cost'!A:M,10,FALSE))</f>
        <v>575.03228641409089</v>
      </c>
      <c r="E22" s="368">
        <f>IF(ISERROR(VLOOKUP($A22,'Allocate OPROC cost'!A:M,13,FALSE)),"-",VLOOKUP($A22,'Allocate OPROC cost'!A:M,13,FALSE))</f>
        <v>249.06387163083934</v>
      </c>
      <c r="F22" s="368">
        <f>IF(ISERROR(VLOOKUP($A22,'Allocate OPROC cost'!A:M,12,FALSE)),"-",VLOOKUP($A22,'Allocate OPROC cost'!A:M,12,FALSE))</f>
        <v>753.73872812518516</v>
      </c>
      <c r="G22" s="369"/>
      <c r="H22" s="370">
        <f>IF(ISERROR(VLOOKUP($A22,'Allocate OPROC cost'!A:AO,39,FALSE)),"-",VLOOKUP($A22,'Allocate OPROC cost'!A:AO,39,FALSE))</f>
        <v>247.20069622054515</v>
      </c>
      <c r="I22" s="370">
        <f>IF(ISERROR(VLOOKUP($A22,'Allocate OPROC cost'!A:AO,38,FALSE)),"-",VLOOKUP($A22,'Allocate OPROC cost'!A:AO,38,FALSE))</f>
        <v>572.98251510655234</v>
      </c>
      <c r="J22" s="370">
        <f>IF(ISERROR(VLOOKUP($A22,'Allocate OPROC cost'!A:AO,41,FALSE)),"-",VLOOKUP($A22,'Allocate OPROC cost'!A:AO,41,FALSE))</f>
        <v>248.63743108690099</v>
      </c>
      <c r="K22" s="370">
        <f>IF(ISERROR(VLOOKUP($A22,'Allocate OPROC cost'!A:AO,40,FALSE)),"-",VLOOKUP($A22,'Allocate OPROC cost'!A:AO,40,FALSE))</f>
        <v>752.34899328033305</v>
      </c>
      <c r="L22" s="371">
        <f t="shared" si="0"/>
        <v>-1.0526437497210273E-3</v>
      </c>
      <c r="M22" s="371">
        <f t="shared" si="1"/>
        <v>-3.5646195108816059E-3</v>
      </c>
      <c r="N22" s="371">
        <f t="shared" si="2"/>
        <v>-1.7121734322448345E-3</v>
      </c>
      <c r="O22" s="371">
        <f t="shared" si="3"/>
        <v>-1.8437885609365878E-3</v>
      </c>
      <c r="P22" s="369"/>
      <c r="Q22" s="372">
        <f>IF(ISERROR(VLOOKUP($A22,'Front-loading'!$A:$AG,27,FALSE)),"-",VLOOKUP($A22,'Front-loading'!$A:$AG,27,FALSE))</f>
        <v>286.87396261737115</v>
      </c>
      <c r="R22" s="372">
        <f>IF(ISERROR(VLOOKUP($A22,'Front-loading'!$A:$AG,26,FALSE)),"-",VLOOKUP($A22,'Front-loading'!$A:$AG,26,FALSE))</f>
        <v>723.76192240182888</v>
      </c>
      <c r="S22" s="372">
        <f>IF(ISERROR(VLOOKUP($A22,'Front-loading'!$A:$AG,29,FALSE)),"-",VLOOKUP($A22,'Front-loading'!$A:$AG,29,FALSE))</f>
        <v>223.77368797821092</v>
      </c>
      <c r="T22" s="372">
        <f>IF(ISERROR(VLOOKUP($A22,'Front-loading'!$A:$AG,28,FALSE)),"-",VLOOKUP($A22,'Front-loading'!$A:$AG,28,FALSE))</f>
        <v>677.11409395229987</v>
      </c>
      <c r="U22" s="373">
        <f t="shared" si="4"/>
        <v>0.16049010784917317</v>
      </c>
      <c r="V22" s="373">
        <f t="shared" si="5"/>
        <v>0.26314835674739134</v>
      </c>
      <c r="W22" s="373">
        <f t="shared" si="6"/>
        <v>-9.9999999999999867E-2</v>
      </c>
      <c r="X22" s="373">
        <f t="shared" si="7"/>
        <v>-9.9999999999999867E-2</v>
      </c>
      <c r="Y22" s="369"/>
      <c r="Z22" s="374">
        <f>IF(ISERROR(VLOOKUP($A22,'Further adjustment'!$A:$BC,53,FALSE)),"-",VLOOKUP($A22,'Further adjustment'!$A:$BC,53,FALSE))</f>
        <v>288.37880910480516</v>
      </c>
      <c r="AA22" s="374">
        <f>IF(ISERROR(VLOOKUP($A22,'Further adjustment'!$A:$BC,52,FALSE)),"-",VLOOKUP($A22,'Further adjustment'!$A:$BC,52,FALSE))</f>
        <v>576.75761820961031</v>
      </c>
      <c r="AB22" s="374">
        <f>IF(ISERROR(VLOOKUP($A22,'Further adjustment'!$A:$BC,55,FALSE)),"-",VLOOKUP($A22,'Further adjustment'!$A:$BC,55,FALSE))</f>
        <v>226.65132283095585</v>
      </c>
      <c r="AC22" s="374">
        <f>IF(ISERROR(VLOOKUP($A22,'Further adjustment'!$A:$BC,54,FALSE)),"-",VLOOKUP($A22,'Further adjustment'!$A:$BC,54,FALSE))</f>
        <v>453.3026456619117</v>
      </c>
      <c r="AD22" s="375">
        <f t="shared" si="8"/>
        <v>5.2456712129052008E-3</v>
      </c>
      <c r="AE22" s="375">
        <f t="shared" si="9"/>
        <v>-0.20311140948722439</v>
      </c>
      <c r="AF22" s="375">
        <f t="shared" si="10"/>
        <v>1.2859576470961809E-2</v>
      </c>
      <c r="AG22" s="375">
        <f t="shared" si="11"/>
        <v>-0.33053727619817475</v>
      </c>
      <c r="AH22" s="369"/>
      <c r="AI22" s="376">
        <f>'Price Adjustments'!$G$6</f>
        <v>-3.1174571652793026E-2</v>
      </c>
      <c r="AJ22" s="376">
        <v>0</v>
      </c>
      <c r="AK22" s="377">
        <f t="shared" si="31"/>
        <v>279.38872325722031</v>
      </c>
      <c r="AL22" s="377">
        <f t="shared" si="32"/>
        <v>558.77744651444061</v>
      </c>
      <c r="AM22" s="377">
        <f t="shared" si="33"/>
        <v>219.5855649271619</v>
      </c>
      <c r="AN22" s="377">
        <f t="shared" si="34"/>
        <v>439.17112985432379</v>
      </c>
      <c r="AO22" s="378">
        <f t="shared" si="12"/>
        <v>-3.1174571652792915E-2</v>
      </c>
      <c r="AP22" s="378">
        <f t="shared" si="13"/>
        <v>-3.1174571652792915E-2</v>
      </c>
      <c r="AQ22" s="378">
        <f t="shared" si="14"/>
        <v>-3.1174571652793026E-2</v>
      </c>
      <c r="AR22" s="378">
        <f t="shared" si="15"/>
        <v>-3.1174571652793026E-2</v>
      </c>
      <c r="AS22" s="379">
        <f>'Price Adjustments'!$F$6</f>
        <v>0</v>
      </c>
      <c r="AT22" s="377">
        <f>IF(ISERROR(VLOOKUP($A22,'15-16 tariff'!$A:$F,3,FALSE)*(1+$AS$6)),"-",VLOOKUP($A22,'15-16 tariff'!$A:$F,3,FALSE)*(1+$AS$6))</f>
        <v>257.05432676502005</v>
      </c>
      <c r="AU22" s="377">
        <f>IF(ISERROR(VLOOKUP($A22,'15-16 tariff'!$A:$F,4,FALSE)*(1+$AS$6)),"-",VLOOKUP($A22,'15-16 tariff'!$A:$F,4,FALSE)*(1+$AS$6))</f>
        <v>257.05432676502005</v>
      </c>
      <c r="AV22" s="377">
        <f>IF(ISERROR(VLOOKUP($A22,'15-16 tariff'!$A:$F,5,FALSE)*(1+$AS$6)),"-",VLOOKUP($A22,'15-16 tariff'!$A:$F,5,FALSE)*(1+$AS$6))</f>
        <v>175.43729216549639</v>
      </c>
      <c r="AW22" s="377">
        <f>IF(ISERROR(VLOOKUP($A22,'15-16 tariff'!$A:$F,6,FALSE)*(1+$AS$6)),"-",VLOOKUP($A22,'15-16 tariff'!$A:$F,6,FALSE)*(1+$AS$6))</f>
        <v>178.23150196791855</v>
      </c>
      <c r="AX22" s="369"/>
      <c r="AY22" s="380" t="s">
        <v>307</v>
      </c>
      <c r="AZ22" s="380" t="s">
        <v>307</v>
      </c>
      <c r="BA22" s="380" t="s">
        <v>307</v>
      </c>
      <c r="BB22" s="381" t="s">
        <v>307</v>
      </c>
      <c r="BC22" s="381">
        <f t="shared" si="16"/>
        <v>279.38872325722031</v>
      </c>
      <c r="BD22" s="381">
        <f t="shared" si="17"/>
        <v>558.77744651444061</v>
      </c>
      <c r="BE22" s="381">
        <f t="shared" si="18"/>
        <v>219.5855649271619</v>
      </c>
      <c r="BF22" s="381">
        <f t="shared" si="19"/>
        <v>439.17112985432379</v>
      </c>
      <c r="BG22" s="381">
        <f>IFERROR(VLOOKUP($A22,'Further adjustment'!$A:$Q,7,FALSE),0)</f>
        <v>23738</v>
      </c>
      <c r="BH22" s="381">
        <f>IFERROR(VLOOKUP($A22,'Further adjustment'!$A:$Q,6,FALSE),0)</f>
        <v>243</v>
      </c>
      <c r="BI22" s="381">
        <f>IFERROR(VLOOKUP($A22,'Further adjustment'!$A:$Q,9,FALSE),0)</f>
        <v>37877</v>
      </c>
      <c r="BJ22" s="381">
        <f>IFERROR(VLOOKUP($A22,'Further adjustment'!$A:$Q,8,FALSE),0)</f>
        <v>487</v>
      </c>
      <c r="BK22" s="382">
        <f t="shared" si="20"/>
        <v>-3.1174571652792915E-2</v>
      </c>
      <c r="BL22" s="382">
        <f t="shared" si="21"/>
        <v>-3.1174571652792915E-2</v>
      </c>
      <c r="BM22" s="382">
        <f t="shared" si="22"/>
        <v>-3.1174571652793026E-2</v>
      </c>
      <c r="BN22" s="382">
        <f t="shared" si="23"/>
        <v>-3.1174571652793026E-2</v>
      </c>
      <c r="BO22" s="369"/>
      <c r="BP22" s="383">
        <f>'Price Adjustments'!$D$90</f>
        <v>-6.8529657693413348E-2</v>
      </c>
      <c r="BQ22" s="384">
        <f t="shared" si="24"/>
        <v>260.24230968900321</v>
      </c>
      <c r="BR22" s="384">
        <f t="shared" si="25"/>
        <v>520.48461937800641</v>
      </c>
      <c r="BS22" s="384">
        <f t="shared" si="26"/>
        <v>204.53744132828871</v>
      </c>
      <c r="BT22" s="384">
        <f t="shared" si="27"/>
        <v>409.07488265657742</v>
      </c>
      <c r="BU22" s="369"/>
      <c r="BV22" s="385" t="str">
        <f>IF(COUNTIF('Manual adjustments'!$A:$A,A22)=1,"Y",IF(COUNTIF(#REF!,A22)=1,"BPT",""))</f>
        <v>Y</v>
      </c>
      <c r="BW22" s="384">
        <f>IF($BV22="",BQ22,IF(AND($BV22="BPT",IFERROR(ISNUMBER(VLOOKUP($A22,#REF!,3,FALSE)),FALSE)),VLOOKUP($A22,#REF!,3,FALSE),IF(AND($BV22="Y",IFERROR(ISNUMBER(VLOOKUP($A22,'Manual adjustments'!$A:$O,12,FALSE)),FALSE)),VLOOKUP($A22,'Manual adjustments'!$A:$O,12,FALSE),BQ22)))</f>
        <v>260.24230968900321</v>
      </c>
      <c r="BX22" s="384">
        <f>IF($BV22="",BR22,IF(AND($BV22="BPT",IFERROR(ISNUMBER(VLOOKUP($A22,#REF!,4,FALSE)),FALSE)),VLOOKUP($A22,#REF!,4,FALSE),IF(AND($BV22="Y",IFERROR(ISNUMBER(VLOOKUP($A22,'Manual adjustments'!$A:$O,13,FALSE)),FALSE)),VLOOKUP($A22,'Manual adjustments'!$A:$O,13,FALSE),BR22)))</f>
        <v>520.48461937800641</v>
      </c>
      <c r="BY22" s="384">
        <f>IF($BV22="",BS22,IF(AND($BV22="BPT",IFERROR(ISNUMBER(VLOOKUP($A22,#REF!,5,FALSE)),FALSE)),VLOOKUP($A22,#REF!,5,FALSE),IF(AND($BV22="Y",IFERROR(ISNUMBER(VLOOKUP($A22,'Manual adjustments'!$A:$O,14,FALSE)),FALSE)),VLOOKUP($A22,'Manual adjustments'!$A:$O,14,FALSE),BS22)))</f>
        <v>204.53744132828871</v>
      </c>
      <c r="BZ22" s="384">
        <f>IF($BV22="",BT22,IF(AND($BV22="BPT",IFERROR(ISNUMBER(VLOOKUP($A22,#REF!,6,FALSE)),FALSE)),VLOOKUP($A22,#REF!,6,FALSE),IF(AND($BV22="Y",IFERROR(ISNUMBER(VLOOKUP($A22,'Manual adjustments'!$A:$O,15,FALSE)),FALSE)),VLOOKUP($A22,'Manual adjustments'!$A:$O,15,FALSE),BT22)))</f>
        <v>409.07488265657742</v>
      </c>
      <c r="CA22" s="386">
        <f>'Post manual recon'!$N$70</f>
        <v>0</v>
      </c>
      <c r="CB22" s="384">
        <f>IF(VLOOKUP($A22,'Post manual recon'!$A:$U,18,FALSE)=0,BW22,BW22*(1+$CA22))</f>
        <v>260.24230968900321</v>
      </c>
      <c r="CC22" s="384">
        <f>IF(VLOOKUP($A22,'Post manual recon'!$A:$U,19,FALSE)=0,BX22,BX22*(1+$CA22))</f>
        <v>520.48461937800641</v>
      </c>
      <c r="CD22" s="384">
        <f>IF(VLOOKUP($A22,'Post manual recon'!$A:$U,20,FALSE)=0,BY22,BY22*(1+$CA22))</f>
        <v>204.53744132828871</v>
      </c>
      <c r="CE22" s="384">
        <f>IF(VLOOKUP($A22,'Post manual recon'!$A:$U,21,FALSE)=0,BZ22,BZ22*(1+$CA22))</f>
        <v>409.07488265657742</v>
      </c>
      <c r="CF22" s="383">
        <f t="shared" si="35"/>
        <v>0</v>
      </c>
      <c r="CG22" s="383">
        <f t="shared" si="36"/>
        <v>0</v>
      </c>
      <c r="CH22" s="383">
        <f t="shared" si="37"/>
        <v>0</v>
      </c>
      <c r="CI22" s="383">
        <f t="shared" si="38"/>
        <v>0</v>
      </c>
      <c r="CJ22" s="369"/>
      <c r="CK22" s="383">
        <f>'Price Adjustments'!$F$6</f>
        <v>0</v>
      </c>
      <c r="CL22" s="384">
        <f t="shared" si="39"/>
        <v>260.24230968900321</v>
      </c>
      <c r="CM22" s="384">
        <f t="shared" si="40"/>
        <v>520.48461937800641</v>
      </c>
      <c r="CN22" s="384">
        <f t="shared" si="41"/>
        <v>204.53744132828871</v>
      </c>
      <c r="CO22" s="384">
        <f t="shared" si="42"/>
        <v>409.07488265657742</v>
      </c>
      <c r="CP22" s="369"/>
      <c r="CQ22" s="384">
        <f t="shared" si="43"/>
        <v>260</v>
      </c>
      <c r="CR22" s="384">
        <f t="shared" si="44"/>
        <v>520</v>
      </c>
      <c r="CS22" s="384">
        <f t="shared" si="45"/>
        <v>205</v>
      </c>
      <c r="CT22" s="384">
        <f t="shared" si="46"/>
        <v>409</v>
      </c>
    </row>
    <row r="23" spans="1:98">
      <c r="A23" s="367">
        <v>171</v>
      </c>
      <c r="B23" s="367" t="str">
        <f>INDEX('201314 RC list'!B:B,MATCH(A23,'201314 RC list'!A:A,0))</f>
        <v>Paediatric Surgery</v>
      </c>
      <c r="C23" s="368">
        <f>IF(ISERROR(VLOOKUP($A23,'Allocate OPROC cost'!A:M,11,FALSE)),"-",VLOOKUP($A23,'Allocate OPROC cost'!A:M,11,FALSE))</f>
        <v>151.47405036350753</v>
      </c>
      <c r="D23" s="368">
        <f>IF(ISERROR(VLOOKUP($A23,'Allocate OPROC cost'!A:M,10,FALSE)),"-",VLOOKUP($A23,'Allocate OPROC cost'!A:M,10,FALSE))</f>
        <v>161.45468671474765</v>
      </c>
      <c r="E23" s="368">
        <f>IF(ISERROR(VLOOKUP($A23,'Allocate OPROC cost'!A:M,13,FALSE)),"-",VLOOKUP($A23,'Allocate OPROC cost'!A:M,13,FALSE))</f>
        <v>127.56576358366324</v>
      </c>
      <c r="F23" s="368">
        <f>IF(ISERROR(VLOOKUP($A23,'Allocate OPROC cost'!A:M,12,FALSE)),"-",VLOOKUP($A23,'Allocate OPROC cost'!A:M,12,FALSE))</f>
        <v>168.8923734049776</v>
      </c>
      <c r="G23" s="369"/>
      <c r="H23" s="370">
        <f>IF(ISERROR(VLOOKUP($A23,'Allocate OPROC cost'!A:AO,39,FALSE)),"-",VLOOKUP($A23,'Allocate OPROC cost'!A:AO,39,FALSE))</f>
        <v>151.30220085464902</v>
      </c>
      <c r="I23" s="370">
        <f>IF(ISERROR(VLOOKUP($A23,'Allocate OPROC cost'!A:AO,38,FALSE)),"-",VLOOKUP($A23,'Allocate OPROC cost'!A:AO,38,FALSE))</f>
        <v>161.05781932977578</v>
      </c>
      <c r="J23" s="370">
        <f>IF(ISERROR(VLOOKUP($A23,'Allocate OPROC cost'!A:AO,41,FALSE)),"-",VLOOKUP($A23,'Allocate OPROC cost'!A:AO,41,FALSE))</f>
        <v>127.55232903285932</v>
      </c>
      <c r="K23" s="370">
        <f>IF(ISERROR(VLOOKUP($A23,'Allocate OPROC cost'!A:AO,40,FALSE)),"-",VLOOKUP($A23,'Allocate OPROC cost'!A:AO,40,FALSE))</f>
        <v>168.25381374661248</v>
      </c>
      <c r="L23" s="371">
        <f t="shared" si="0"/>
        <v>-1.1345145154969538E-3</v>
      </c>
      <c r="M23" s="371">
        <f t="shared" si="1"/>
        <v>-2.4580728689098663E-3</v>
      </c>
      <c r="N23" s="371">
        <f t="shared" si="2"/>
        <v>-1.0531470534502763E-4</v>
      </c>
      <c r="O23" s="371">
        <f t="shared" si="3"/>
        <v>-3.7808673387160763E-3</v>
      </c>
      <c r="P23" s="369"/>
      <c r="Q23" s="372">
        <f>IF(ISERROR(VLOOKUP($A23,'Front-loading'!$A:$AG,27,FALSE)),"-",VLOOKUP($A23,'Front-loading'!$A:$AG,27,FALSE))</f>
        <v>167.67376293817645</v>
      </c>
      <c r="R23" s="372">
        <f>IF(ISERROR(VLOOKUP($A23,'Front-loading'!$A:$AG,26,FALSE)),"-",VLOOKUP($A23,'Front-loading'!$A:$AG,26,FALSE))</f>
        <v>189.36691498290284</v>
      </c>
      <c r="S23" s="372">
        <f>IF(ISERROR(VLOOKUP($A23,'Front-loading'!$A:$AG,29,FALSE)),"-",VLOOKUP($A23,'Front-loading'!$A:$AG,29,FALSE))</f>
        <v>114.79709612957339</v>
      </c>
      <c r="T23" s="372">
        <f>IF(ISERROR(VLOOKUP($A23,'Front-loading'!$A:$AG,28,FALSE)),"-",VLOOKUP($A23,'Front-loading'!$A:$AG,28,FALSE))</f>
        <v>151.42843237195123</v>
      </c>
      <c r="U23" s="373">
        <f t="shared" si="4"/>
        <v>0.10820438824452427</v>
      </c>
      <c r="V23" s="373">
        <f t="shared" si="5"/>
        <v>0.17576976871369676</v>
      </c>
      <c r="W23" s="373">
        <f t="shared" si="6"/>
        <v>-9.9999999999999978E-2</v>
      </c>
      <c r="X23" s="373">
        <f t="shared" si="7"/>
        <v>-9.9999999999999978E-2</v>
      </c>
      <c r="Y23" s="369"/>
      <c r="Z23" s="374">
        <f>IF(ISERROR(VLOOKUP($A23,'Further adjustment'!$A:$BC,53,FALSE)),"-",VLOOKUP($A23,'Further adjustment'!$A:$BC,53,FALSE))</f>
        <v>167.67376293817645</v>
      </c>
      <c r="AA23" s="374">
        <f>IF(ISERROR(VLOOKUP($A23,'Further adjustment'!$A:$BC,52,FALSE)),"-",VLOOKUP($A23,'Further adjustment'!$A:$BC,52,FALSE))</f>
        <v>189.36691498290284</v>
      </c>
      <c r="AB23" s="374">
        <f>IF(ISERROR(VLOOKUP($A23,'Further adjustment'!$A:$BC,55,FALSE)),"-",VLOOKUP($A23,'Further adjustment'!$A:$BC,55,FALSE))</f>
        <v>114.79709612957339</v>
      </c>
      <c r="AC23" s="374">
        <f>IF(ISERROR(VLOOKUP($A23,'Further adjustment'!$A:$BC,54,FALSE)),"-",VLOOKUP($A23,'Further adjustment'!$A:$BC,54,FALSE))</f>
        <v>151.42843237195123</v>
      </c>
      <c r="AD23" s="375">
        <f t="shared" si="8"/>
        <v>0</v>
      </c>
      <c r="AE23" s="375">
        <f t="shared" si="9"/>
        <v>0</v>
      </c>
      <c r="AF23" s="375">
        <f t="shared" si="10"/>
        <v>0</v>
      </c>
      <c r="AG23" s="375">
        <f t="shared" si="11"/>
        <v>0</v>
      </c>
      <c r="AH23" s="369"/>
      <c r="AI23" s="376">
        <f>'Price Adjustments'!$G$6</f>
        <v>-3.1174571652793026E-2</v>
      </c>
      <c r="AJ23" s="376">
        <v>0</v>
      </c>
      <c r="AK23" s="377">
        <f t="shared" si="31"/>
        <v>162.44660520116685</v>
      </c>
      <c r="AL23" s="377">
        <f t="shared" si="32"/>
        <v>183.46348252309997</v>
      </c>
      <c r="AM23" s="377">
        <f t="shared" si="33"/>
        <v>111.21834583074944</v>
      </c>
      <c r="AN23" s="377">
        <f t="shared" si="34"/>
        <v>146.70771585670172</v>
      </c>
      <c r="AO23" s="378">
        <f t="shared" si="12"/>
        <v>-3.1174571652793026E-2</v>
      </c>
      <c r="AP23" s="378">
        <f t="shared" si="13"/>
        <v>-3.1174571652793026E-2</v>
      </c>
      <c r="AQ23" s="378">
        <f t="shared" si="14"/>
        <v>-3.1174571652792915E-2</v>
      </c>
      <c r="AR23" s="378">
        <f t="shared" si="15"/>
        <v>-3.1174571652792915E-2</v>
      </c>
      <c r="AS23" s="379">
        <f>'Price Adjustments'!$F$6</f>
        <v>0</v>
      </c>
      <c r="AT23" s="377">
        <f>IF(ISERROR(VLOOKUP($A23,'15-16 tariff'!$A:$F,3,FALSE)*(1+$AS$6)),"-",VLOOKUP($A23,'15-16 tariff'!$A:$F,3,FALSE)*(1+$AS$6))</f>
        <v>167.30007292772615</v>
      </c>
      <c r="AU23" s="377">
        <f>IF(ISERROR(VLOOKUP($A23,'15-16 tariff'!$A:$F,4,FALSE)*(1+$AS$6)),"-",VLOOKUP($A23,'15-16 tariff'!$A:$F,4,FALSE)*(1+$AS$6))</f>
        <v>167.30007292772615</v>
      </c>
      <c r="AV23" s="377">
        <f>IF(ISERROR(VLOOKUP($A23,'15-16 tariff'!$A:$F,5,FALSE)*(1+$AS$6)),"-",VLOOKUP($A23,'15-16 tariff'!$A:$F,5,FALSE)*(1+$AS$6))</f>
        <v>109.12570681591005</v>
      </c>
      <c r="AW23" s="377">
        <f>IF(ISERROR(VLOOKUP($A23,'15-16 tariff'!$A:$F,6,FALSE)*(1+$AS$6)),"-",VLOOKUP($A23,'15-16 tariff'!$A:$F,6,FALSE)*(1+$AS$6))</f>
        <v>111.25569300431189</v>
      </c>
      <c r="AX23" s="369"/>
      <c r="AY23" s="380" t="s">
        <v>307</v>
      </c>
      <c r="AZ23" s="380" t="s">
        <v>307</v>
      </c>
      <c r="BA23" s="380" t="s">
        <v>307</v>
      </c>
      <c r="BB23" s="381" t="s">
        <v>307</v>
      </c>
      <c r="BC23" s="381">
        <f t="shared" si="16"/>
        <v>162.44660520116685</v>
      </c>
      <c r="BD23" s="381">
        <f t="shared" si="17"/>
        <v>183.46348252309997</v>
      </c>
      <c r="BE23" s="381">
        <f t="shared" si="18"/>
        <v>111.21834583074944</v>
      </c>
      <c r="BF23" s="381">
        <f t="shared" si="19"/>
        <v>146.70771585670172</v>
      </c>
      <c r="BG23" s="381">
        <f>IFERROR(VLOOKUP($A23,'Further adjustment'!$A:$Q,7,FALSE),0)</f>
        <v>53905</v>
      </c>
      <c r="BH23" s="381">
        <f>IFERROR(VLOOKUP($A23,'Further adjustment'!$A:$Q,6,FALSE),0)</f>
        <v>967</v>
      </c>
      <c r="BI23" s="381">
        <f>IFERROR(VLOOKUP($A23,'Further adjustment'!$A:$Q,9,FALSE),0)</f>
        <v>69188</v>
      </c>
      <c r="BJ23" s="381">
        <f>IFERROR(VLOOKUP($A23,'Further adjustment'!$A:$Q,8,FALSE),0)</f>
        <v>1627</v>
      </c>
      <c r="BK23" s="382">
        <f t="shared" si="20"/>
        <v>-3.1174571652793026E-2</v>
      </c>
      <c r="BL23" s="382">
        <f t="shared" si="21"/>
        <v>-3.1174571652793026E-2</v>
      </c>
      <c r="BM23" s="382">
        <f t="shared" si="22"/>
        <v>-3.1174571652792915E-2</v>
      </c>
      <c r="BN23" s="382">
        <f t="shared" si="23"/>
        <v>-3.1174571652792915E-2</v>
      </c>
      <c r="BO23" s="369"/>
      <c r="BP23" s="383">
        <f>'Price Adjustments'!$D$90</f>
        <v>-6.8529657693413348E-2</v>
      </c>
      <c r="BQ23" s="384">
        <f t="shared" si="24"/>
        <v>151.31419495327381</v>
      </c>
      <c r="BR23" s="384">
        <f t="shared" si="25"/>
        <v>170.89079286655041</v>
      </c>
      <c r="BS23" s="384">
        <f t="shared" si="26"/>
        <v>103.59659066174052</v>
      </c>
      <c r="BT23" s="384">
        <f t="shared" si="27"/>
        <v>136.65388630805941</v>
      </c>
      <c r="BU23" s="369"/>
      <c r="BV23" s="385" t="str">
        <f>IF(COUNTIF('Manual adjustments'!$A:$A,A23)=1,"Y",IF(COUNTIF(#REF!,A23)=1,"BPT",""))</f>
        <v>Y</v>
      </c>
      <c r="BW23" s="384">
        <f>IF($BV23="",BQ23,IF(AND($BV23="BPT",IFERROR(ISNUMBER(VLOOKUP($A23,#REF!,3,FALSE)),FALSE)),VLOOKUP($A23,#REF!,3,FALSE),IF(AND($BV23="Y",IFERROR(ISNUMBER(VLOOKUP($A23,'Manual adjustments'!$A:$O,12,FALSE)),FALSE)),VLOOKUP($A23,'Manual adjustments'!$A:$O,12,FALSE),BQ23)))</f>
        <v>151.31419495327381</v>
      </c>
      <c r="BX23" s="384">
        <f>IF($BV23="",BR23,IF(AND($BV23="BPT",IFERROR(ISNUMBER(VLOOKUP($A23,#REF!,4,FALSE)),FALSE)),VLOOKUP($A23,#REF!,4,FALSE),IF(AND($BV23="Y",IFERROR(ISNUMBER(VLOOKUP($A23,'Manual adjustments'!$A:$O,13,FALSE)),FALSE)),VLOOKUP($A23,'Manual adjustments'!$A:$O,13,FALSE),BR23)))</f>
        <v>170.89079286655041</v>
      </c>
      <c r="BY23" s="384">
        <f>IF($BV23="",BS23,IF(AND($BV23="BPT",IFERROR(ISNUMBER(VLOOKUP($A23,#REF!,5,FALSE)),FALSE)),VLOOKUP($A23,#REF!,5,FALSE),IF(AND($BV23="Y",IFERROR(ISNUMBER(VLOOKUP($A23,'Manual adjustments'!$A:$O,14,FALSE)),FALSE)),VLOOKUP($A23,'Manual adjustments'!$A:$O,14,FALSE),BS23)))</f>
        <v>103.59659066174052</v>
      </c>
      <c r="BZ23" s="384">
        <f>IF($BV23="",BT23,IF(AND($BV23="BPT",IFERROR(ISNUMBER(VLOOKUP($A23,#REF!,6,FALSE)),FALSE)),VLOOKUP($A23,#REF!,6,FALSE),IF(AND($BV23="Y",IFERROR(ISNUMBER(VLOOKUP($A23,'Manual adjustments'!$A:$O,15,FALSE)),FALSE)),VLOOKUP($A23,'Manual adjustments'!$A:$O,15,FALSE),BT23)))</f>
        <v>136.65388630805941</v>
      </c>
      <c r="CA23" s="386">
        <f>'Post manual recon'!$N$70</f>
        <v>0</v>
      </c>
      <c r="CB23" s="384">
        <f>IF(VLOOKUP($A23,'Post manual recon'!$A:$U,18,FALSE)=0,BW23,BW23*(1+$CA23))</f>
        <v>151.31419495327381</v>
      </c>
      <c r="CC23" s="384">
        <f>IF(VLOOKUP($A23,'Post manual recon'!$A:$U,19,FALSE)=0,BX23,BX23*(1+$CA23))</f>
        <v>170.89079286655041</v>
      </c>
      <c r="CD23" s="384">
        <f>IF(VLOOKUP($A23,'Post manual recon'!$A:$U,20,FALSE)=0,BY23,BY23*(1+$CA23))</f>
        <v>103.59659066174052</v>
      </c>
      <c r="CE23" s="384">
        <f>IF(VLOOKUP($A23,'Post manual recon'!$A:$U,21,FALSE)=0,BZ23,BZ23*(1+$CA23))</f>
        <v>136.65388630805941</v>
      </c>
      <c r="CF23" s="383">
        <f t="shared" si="35"/>
        <v>0</v>
      </c>
      <c r="CG23" s="383">
        <f t="shared" si="36"/>
        <v>0</v>
      </c>
      <c r="CH23" s="383">
        <f t="shared" si="37"/>
        <v>0</v>
      </c>
      <c r="CI23" s="383">
        <f t="shared" si="38"/>
        <v>0</v>
      </c>
      <c r="CJ23" s="369"/>
      <c r="CK23" s="383">
        <f>'Price Adjustments'!$F$6</f>
        <v>0</v>
      </c>
      <c r="CL23" s="384">
        <f t="shared" si="39"/>
        <v>151.31419495327381</v>
      </c>
      <c r="CM23" s="384">
        <f t="shared" si="40"/>
        <v>170.89079286655041</v>
      </c>
      <c r="CN23" s="384">
        <f t="shared" si="41"/>
        <v>103.59659066174052</v>
      </c>
      <c r="CO23" s="384">
        <f t="shared" si="42"/>
        <v>136.65388630805941</v>
      </c>
      <c r="CP23" s="369"/>
      <c r="CQ23" s="384">
        <f t="shared" si="43"/>
        <v>151</v>
      </c>
      <c r="CR23" s="384">
        <f t="shared" si="44"/>
        <v>171</v>
      </c>
      <c r="CS23" s="384">
        <f t="shared" si="45"/>
        <v>104</v>
      </c>
      <c r="CT23" s="384">
        <f t="shared" si="46"/>
        <v>137</v>
      </c>
    </row>
    <row r="24" spans="1:98">
      <c r="A24" s="367">
        <v>172</v>
      </c>
      <c r="B24" s="367" t="str">
        <f>INDEX('201314 RC list'!B:B,MATCH(A24,'201314 RC list'!A:A,0))</f>
        <v>Cardiac Surgery</v>
      </c>
      <c r="C24" s="368">
        <f>IF(ISERROR(VLOOKUP($A24,'Allocate OPROC cost'!A:M,11,FALSE)),"-",VLOOKUP($A24,'Allocate OPROC cost'!A:M,11,FALSE))</f>
        <v>285.72135691380538</v>
      </c>
      <c r="D24" s="368">
        <f>IF(ISERROR(VLOOKUP($A24,'Allocate OPROC cost'!A:M,10,FALSE)),"-",VLOOKUP($A24,'Allocate OPROC cost'!A:M,10,FALSE))</f>
        <v>181.06025150864227</v>
      </c>
      <c r="E24" s="368">
        <f>IF(ISERROR(VLOOKUP($A24,'Allocate OPROC cost'!A:M,13,FALSE)),"-",VLOOKUP($A24,'Allocate OPROC cost'!A:M,13,FALSE))</f>
        <v>256.62692103706127</v>
      </c>
      <c r="F24" s="368">
        <f>IF(ISERROR(VLOOKUP($A24,'Allocate OPROC cost'!A:M,12,FALSE)),"-",VLOOKUP($A24,'Allocate OPROC cost'!A:M,12,FALSE))</f>
        <v>197.65913845797186</v>
      </c>
      <c r="G24" s="369"/>
      <c r="H24" s="370">
        <f>IF(ISERROR(VLOOKUP($A24,'Allocate OPROC cost'!A:AO,39,FALSE)),"-",VLOOKUP($A24,'Allocate OPROC cost'!A:AO,39,FALSE))</f>
        <v>282.8126983901318</v>
      </c>
      <c r="I24" s="370">
        <f>IF(ISERROR(VLOOKUP($A24,'Allocate OPROC cost'!A:AO,38,FALSE)),"-",VLOOKUP($A24,'Allocate OPROC cost'!A:AO,38,FALSE))</f>
        <v>180.98897855997561</v>
      </c>
      <c r="J24" s="370">
        <f>IF(ISERROR(VLOOKUP($A24,'Allocate OPROC cost'!A:AO,41,FALSE)),"-",VLOOKUP($A24,'Allocate OPROC cost'!A:AO,41,FALSE))</f>
        <v>254.7589987545762</v>
      </c>
      <c r="K24" s="370">
        <f>IF(ISERROR(VLOOKUP($A24,'Allocate OPROC cost'!A:AO,40,FALSE)),"-",VLOOKUP($A24,'Allocate OPROC cost'!A:AO,40,FALSE))</f>
        <v>195.4536749379009</v>
      </c>
      <c r="L24" s="371">
        <f t="shared" si="0"/>
        <v>-1.01800528847098E-2</v>
      </c>
      <c r="M24" s="371">
        <f t="shared" si="1"/>
        <v>-3.9364216095361115E-4</v>
      </c>
      <c r="N24" s="371">
        <f t="shared" si="2"/>
        <v>-7.2787464188736051E-3</v>
      </c>
      <c r="O24" s="371">
        <f t="shared" si="3"/>
        <v>-1.1157913250441021E-2</v>
      </c>
      <c r="P24" s="369"/>
      <c r="Q24" s="372">
        <f>IF(ISERROR(VLOOKUP($A24,'Front-loading'!$A:$AG,27,FALSE)),"-",VLOOKUP($A24,'Front-loading'!$A:$AG,27,FALSE))</f>
        <v>324.90302169192927</v>
      </c>
      <c r="R24" s="372">
        <f>IF(ISERROR(VLOOKUP($A24,'Front-loading'!$A:$AG,26,FALSE)),"-",VLOOKUP($A24,'Front-loading'!$A:$AG,26,FALSE))</f>
        <v>223.43931888383781</v>
      </c>
      <c r="S24" s="372">
        <f>IF(ISERROR(VLOOKUP($A24,'Front-loading'!$A:$AG,29,FALSE)),"-",VLOOKUP($A24,'Front-loading'!$A:$AG,29,FALSE))</f>
        <v>229.28309887911857</v>
      </c>
      <c r="T24" s="372">
        <f>IF(ISERROR(VLOOKUP($A24,'Front-loading'!$A:$AG,28,FALSE)),"-",VLOOKUP($A24,'Front-loading'!$A:$AG,28,FALSE))</f>
        <v>175.90830744411082</v>
      </c>
      <c r="U24" s="373">
        <f t="shared" si="4"/>
        <v>0.14882755810255421</v>
      </c>
      <c r="V24" s="373">
        <f t="shared" si="5"/>
        <v>0.23454654897560601</v>
      </c>
      <c r="W24" s="373">
        <f t="shared" si="6"/>
        <v>-0.10000000000000009</v>
      </c>
      <c r="X24" s="373">
        <f t="shared" si="7"/>
        <v>-9.9999999999999978E-2</v>
      </c>
      <c r="Y24" s="369"/>
      <c r="Z24" s="374">
        <f>IF(ISERROR(VLOOKUP($A24,'Further adjustment'!$A:$BC,53,FALSE)),"-",VLOOKUP($A24,'Further adjustment'!$A:$BC,53,FALSE))</f>
        <v>317.1631583259545</v>
      </c>
      <c r="AA24" s="374">
        <f>IF(ISERROR(VLOOKUP($A24,'Further adjustment'!$A:$BC,52,FALSE)),"-",VLOOKUP($A24,'Further adjustment'!$A:$BC,52,FALSE))</f>
        <v>317.1631583259545</v>
      </c>
      <c r="AB24" s="374">
        <f>IF(ISERROR(VLOOKUP($A24,'Further adjustment'!$A:$BC,55,FALSE)),"-",VLOOKUP($A24,'Further adjustment'!$A:$BC,55,FALSE))</f>
        <v>224.05618898341157</v>
      </c>
      <c r="AC24" s="374">
        <f>IF(ISERROR(VLOOKUP($A24,'Further adjustment'!$A:$BC,54,FALSE)),"-",VLOOKUP($A24,'Further adjustment'!$A:$BC,54,FALSE))</f>
        <v>224.05618898341157</v>
      </c>
      <c r="AD24" s="375">
        <f t="shared" si="8"/>
        <v>-2.3822072585442555E-2</v>
      </c>
      <c r="AE24" s="375">
        <f t="shared" si="9"/>
        <v>0.41945992276695976</v>
      </c>
      <c r="AF24" s="375">
        <f t="shared" si="10"/>
        <v>-2.2796751794002534E-2</v>
      </c>
      <c r="AG24" s="375">
        <f t="shared" si="11"/>
        <v>0.27371010635525672</v>
      </c>
      <c r="AH24" s="369"/>
      <c r="AI24" s="376">
        <f>'Price Adjustments'!$G$6</f>
        <v>-3.1174571652793026E-2</v>
      </c>
      <c r="AJ24" s="376">
        <v>0</v>
      </c>
      <c r="AK24" s="377">
        <f t="shared" si="31"/>
        <v>307.27573272109589</v>
      </c>
      <c r="AL24" s="377">
        <f t="shared" si="32"/>
        <v>307.27573272109589</v>
      </c>
      <c r="AM24" s="377">
        <f t="shared" si="33"/>
        <v>217.07133326569647</v>
      </c>
      <c r="AN24" s="377">
        <f t="shared" si="34"/>
        <v>217.07133326569647</v>
      </c>
      <c r="AO24" s="378">
        <f t="shared" si="12"/>
        <v>-3.1174571652793026E-2</v>
      </c>
      <c r="AP24" s="378">
        <f t="shared" si="13"/>
        <v>-3.1174571652793026E-2</v>
      </c>
      <c r="AQ24" s="378">
        <f t="shared" si="14"/>
        <v>-3.1174571652793026E-2</v>
      </c>
      <c r="AR24" s="378">
        <f t="shared" si="15"/>
        <v>-3.1174571652793026E-2</v>
      </c>
      <c r="AS24" s="379">
        <f>'Price Adjustments'!$F$6</f>
        <v>0</v>
      </c>
      <c r="AT24" s="377">
        <f>IF(ISERROR(VLOOKUP($A24,'15-16 tariff'!$A:$F,3,FALSE)*(1+$AS$6)),"-",VLOOKUP($A24,'15-16 tariff'!$A:$F,3,FALSE)*(1+$AS$6))</f>
        <v>276.58709582852185</v>
      </c>
      <c r="AU24" s="377">
        <f>IF(ISERROR(VLOOKUP($A24,'15-16 tariff'!$A:$F,4,FALSE)*(1+$AS$6)),"-",VLOOKUP($A24,'15-16 tariff'!$A:$F,4,FALSE)*(1+$AS$6))</f>
        <v>276.58709582852185</v>
      </c>
      <c r="AV24" s="377">
        <f>IF(ISERROR(VLOOKUP($A24,'15-16 tariff'!$A:$F,5,FALSE)*(1+$AS$6)),"-",VLOOKUP($A24,'15-16 tariff'!$A:$F,5,FALSE)*(1+$AS$6))</f>
        <v>180.10750425684625</v>
      </c>
      <c r="AW24" s="377">
        <f>IF(ISERROR(VLOOKUP($A24,'15-16 tariff'!$A:$F,6,FALSE)*(1+$AS$6)),"-",VLOOKUP($A24,'15-16 tariff'!$A:$F,6,FALSE)*(1+$AS$6))</f>
        <v>180.10750425684625</v>
      </c>
      <c r="AX24" s="369"/>
      <c r="AY24" s="380" t="s">
        <v>307</v>
      </c>
      <c r="AZ24" s="380" t="s">
        <v>307</v>
      </c>
      <c r="BA24" s="380" t="s">
        <v>307</v>
      </c>
      <c r="BB24" s="381" t="s">
        <v>307</v>
      </c>
      <c r="BC24" s="381">
        <f t="shared" si="16"/>
        <v>307.27573272109589</v>
      </c>
      <c r="BD24" s="381">
        <f t="shared" si="17"/>
        <v>307.27573272109589</v>
      </c>
      <c r="BE24" s="381">
        <f t="shared" si="18"/>
        <v>217.07133326569647</v>
      </c>
      <c r="BF24" s="381">
        <f t="shared" si="19"/>
        <v>217.07133326569647</v>
      </c>
      <c r="BG24" s="381">
        <f>IFERROR(VLOOKUP($A24,'Further adjustment'!$A:$Q,7,FALSE),0)</f>
        <v>15076</v>
      </c>
      <c r="BH24" s="381">
        <f>IFERROR(VLOOKUP($A24,'Further adjustment'!$A:$Q,6,FALSE),0)</f>
        <v>1245</v>
      </c>
      <c r="BI24" s="381">
        <f>IFERROR(VLOOKUP($A24,'Further adjustment'!$A:$Q,9,FALSE),0)</f>
        <v>24908</v>
      </c>
      <c r="BJ24" s="381">
        <f>IFERROR(VLOOKUP($A24,'Further adjustment'!$A:$Q,8,FALSE),0)</f>
        <v>2704</v>
      </c>
      <c r="BK24" s="382">
        <f t="shared" si="20"/>
        <v>-3.1174571652793026E-2</v>
      </c>
      <c r="BL24" s="382">
        <f t="shared" si="21"/>
        <v>-3.1174571652793026E-2</v>
      </c>
      <c r="BM24" s="382">
        <f t="shared" si="22"/>
        <v>-3.1174571652793026E-2</v>
      </c>
      <c r="BN24" s="382">
        <f t="shared" si="23"/>
        <v>-3.1174571652793026E-2</v>
      </c>
      <c r="BO24" s="369"/>
      <c r="BP24" s="383">
        <f>'Price Adjustments'!$D$90</f>
        <v>-6.8529657693413348E-2</v>
      </c>
      <c r="BQ24" s="384">
        <f t="shared" si="24"/>
        <v>286.21823194022642</v>
      </c>
      <c r="BR24" s="384">
        <f t="shared" si="25"/>
        <v>286.21823194022642</v>
      </c>
      <c r="BS24" s="384">
        <f t="shared" si="26"/>
        <v>202.19550910194545</v>
      </c>
      <c r="BT24" s="384">
        <f t="shared" si="27"/>
        <v>202.19550910194545</v>
      </c>
      <c r="BU24" s="369"/>
      <c r="BV24" s="385" t="str">
        <f>IF(COUNTIF('Manual adjustments'!$A:$A,A24)=1,"Y",IF(COUNTIF(#REF!,A24)=1,"BPT",""))</f>
        <v>Y</v>
      </c>
      <c r="BW24" s="384">
        <f>IF($BV24="",BQ24,IF(AND($BV24="BPT",IFERROR(ISNUMBER(VLOOKUP($A24,#REF!,3,FALSE)),FALSE)),VLOOKUP($A24,#REF!,3,FALSE),IF(AND($BV24="Y",IFERROR(ISNUMBER(VLOOKUP($A24,'Manual adjustments'!$A:$O,12,FALSE)),FALSE)),VLOOKUP($A24,'Manual adjustments'!$A:$O,12,FALSE),BQ24)))</f>
        <v>286.21823194022642</v>
      </c>
      <c r="BX24" s="384">
        <f>IF($BV24="",BR24,IF(AND($BV24="BPT",IFERROR(ISNUMBER(VLOOKUP($A24,#REF!,4,FALSE)),FALSE)),VLOOKUP($A24,#REF!,4,FALSE),IF(AND($BV24="Y",IFERROR(ISNUMBER(VLOOKUP($A24,'Manual adjustments'!$A:$O,13,FALSE)),FALSE)),VLOOKUP($A24,'Manual adjustments'!$A:$O,13,FALSE),BR24)))</f>
        <v>286.21823194022642</v>
      </c>
      <c r="BY24" s="384">
        <f>IF($BV24="",BS24,IF(AND($BV24="BPT",IFERROR(ISNUMBER(VLOOKUP($A24,#REF!,5,FALSE)),FALSE)),VLOOKUP($A24,#REF!,5,FALSE),IF(AND($BV24="Y",IFERROR(ISNUMBER(VLOOKUP($A24,'Manual adjustments'!$A:$O,14,FALSE)),FALSE)),VLOOKUP($A24,'Manual adjustments'!$A:$O,14,FALSE),BS24)))</f>
        <v>202.19550910194545</v>
      </c>
      <c r="BZ24" s="384">
        <f>IF($BV24="",BT24,IF(AND($BV24="BPT",IFERROR(ISNUMBER(VLOOKUP($A24,#REF!,6,FALSE)),FALSE)),VLOOKUP($A24,#REF!,6,FALSE),IF(AND($BV24="Y",IFERROR(ISNUMBER(VLOOKUP($A24,'Manual adjustments'!$A:$O,15,FALSE)),FALSE)),VLOOKUP($A24,'Manual adjustments'!$A:$O,15,FALSE),BT24)))</f>
        <v>202.19550910194545</v>
      </c>
      <c r="CA24" s="386">
        <f>'Post manual recon'!$N$70</f>
        <v>0</v>
      </c>
      <c r="CB24" s="384">
        <f>IF(VLOOKUP($A24,'Post manual recon'!$A:$U,18,FALSE)=0,BW24,BW24*(1+$CA24))</f>
        <v>286.21823194022642</v>
      </c>
      <c r="CC24" s="384">
        <f>IF(VLOOKUP($A24,'Post manual recon'!$A:$U,19,FALSE)=0,BX24,BX24*(1+$CA24))</f>
        <v>286.21823194022642</v>
      </c>
      <c r="CD24" s="384">
        <f>IF(VLOOKUP($A24,'Post manual recon'!$A:$U,20,FALSE)=0,BY24,BY24*(1+$CA24))</f>
        <v>202.19550910194545</v>
      </c>
      <c r="CE24" s="384">
        <f>IF(VLOOKUP($A24,'Post manual recon'!$A:$U,21,FALSE)=0,BZ24,BZ24*(1+$CA24))</f>
        <v>202.19550910194545</v>
      </c>
      <c r="CF24" s="383">
        <f t="shared" si="35"/>
        <v>0</v>
      </c>
      <c r="CG24" s="383">
        <f t="shared" si="36"/>
        <v>0</v>
      </c>
      <c r="CH24" s="383">
        <f t="shared" si="37"/>
        <v>0</v>
      </c>
      <c r="CI24" s="383">
        <f t="shared" si="38"/>
        <v>0</v>
      </c>
      <c r="CJ24" s="369"/>
      <c r="CK24" s="383">
        <f>'Price Adjustments'!$F$6</f>
        <v>0</v>
      </c>
      <c r="CL24" s="384">
        <f t="shared" si="39"/>
        <v>286.21823194022642</v>
      </c>
      <c r="CM24" s="384">
        <f t="shared" si="40"/>
        <v>286.21823194022642</v>
      </c>
      <c r="CN24" s="384">
        <f t="shared" si="41"/>
        <v>202.19550910194545</v>
      </c>
      <c r="CO24" s="384">
        <f t="shared" si="42"/>
        <v>202.19550910194545</v>
      </c>
      <c r="CP24" s="369"/>
      <c r="CQ24" s="384">
        <f t="shared" si="43"/>
        <v>286</v>
      </c>
      <c r="CR24" s="384">
        <f t="shared" si="44"/>
        <v>286</v>
      </c>
      <c r="CS24" s="384">
        <f t="shared" si="45"/>
        <v>202</v>
      </c>
      <c r="CT24" s="384">
        <f t="shared" si="46"/>
        <v>202</v>
      </c>
    </row>
    <row r="25" spans="1:98">
      <c r="A25" s="367">
        <v>173</v>
      </c>
      <c r="B25" s="367" t="str">
        <f>INDEX('201314 RC list'!B:B,MATCH(A25,'201314 RC list'!A:A,0))</f>
        <v>Thoracic Surgery</v>
      </c>
      <c r="C25" s="368">
        <f>IF(ISERROR(VLOOKUP($A25,'Allocate OPROC cost'!A:M,11,FALSE)),"-",VLOOKUP($A25,'Allocate OPROC cost'!A:M,11,FALSE))</f>
        <v>219.60849411425059</v>
      </c>
      <c r="D25" s="368">
        <f>IF(ISERROR(VLOOKUP($A25,'Allocate OPROC cost'!A:M,10,FALSE)),"-",VLOOKUP($A25,'Allocate OPROC cost'!A:M,10,FALSE))</f>
        <v>126.41854126939558</v>
      </c>
      <c r="E25" s="368">
        <f>IF(ISERROR(VLOOKUP($A25,'Allocate OPROC cost'!A:M,13,FALSE)),"-",VLOOKUP($A25,'Allocate OPROC cost'!A:M,13,FALSE))</f>
        <v>187.00603403047029</v>
      </c>
      <c r="F25" s="368">
        <f>IF(ISERROR(VLOOKUP($A25,'Allocate OPROC cost'!A:M,12,FALSE)),"-",VLOOKUP($A25,'Allocate OPROC cost'!A:M,12,FALSE))</f>
        <v>141.18473615691619</v>
      </c>
      <c r="G25" s="369"/>
      <c r="H25" s="370">
        <f>IF(ISERROR(VLOOKUP($A25,'Allocate OPROC cost'!A:AO,39,FALSE)),"-",VLOOKUP($A25,'Allocate OPROC cost'!A:AO,39,FALSE))</f>
        <v>216.77737186618515</v>
      </c>
      <c r="I25" s="370">
        <f>IF(ISERROR(VLOOKUP($A25,'Allocate OPROC cost'!A:AO,38,FALSE)),"-",VLOOKUP($A25,'Allocate OPROC cost'!A:AO,38,FALSE))</f>
        <v>125.98049457589343</v>
      </c>
      <c r="J25" s="370">
        <f>IF(ISERROR(VLOOKUP($A25,'Allocate OPROC cost'!A:AO,41,FALSE)),"-",VLOOKUP($A25,'Allocate OPROC cost'!A:AO,41,FALSE))</f>
        <v>186.32462182917766</v>
      </c>
      <c r="K25" s="370">
        <f>IF(ISERROR(VLOOKUP($A25,'Allocate OPROC cost'!A:AO,40,FALSE)),"-",VLOOKUP($A25,'Allocate OPROC cost'!A:AO,40,FALSE))</f>
        <v>139.36362246976753</v>
      </c>
      <c r="L25" s="371">
        <f t="shared" si="0"/>
        <v>-1.2891679165162651E-2</v>
      </c>
      <c r="M25" s="371">
        <f t="shared" si="1"/>
        <v>-3.465051005205555E-3</v>
      </c>
      <c r="N25" s="371">
        <f t="shared" si="2"/>
        <v>-3.6437979385285368E-3</v>
      </c>
      <c r="O25" s="371">
        <f t="shared" si="3"/>
        <v>-1.2898800087883577E-2</v>
      </c>
      <c r="P25" s="369"/>
      <c r="Q25" s="372">
        <f>IF(ISERROR(VLOOKUP($A25,'Front-loading'!$A:$AG,27,FALSE)),"-",VLOOKUP($A25,'Front-loading'!$A:$AG,27,FALSE))</f>
        <v>260.37529248755362</v>
      </c>
      <c r="R25" s="372">
        <f>IF(ISERROR(VLOOKUP($A25,'Front-loading'!$A:$AG,26,FALSE)),"-",VLOOKUP($A25,'Front-loading'!$A:$AG,26,FALSE))</f>
        <v>140.298674966623</v>
      </c>
      <c r="S25" s="372">
        <f>IF(ISERROR(VLOOKUP($A25,'Front-loading'!$A:$AG,29,FALSE)),"-",VLOOKUP($A25,'Front-loading'!$A:$AG,29,FALSE))</f>
        <v>167.69215964625991</v>
      </c>
      <c r="T25" s="372">
        <f>IF(ISERROR(VLOOKUP($A25,'Front-loading'!$A:$AG,28,FALSE)),"-",VLOOKUP($A25,'Front-loading'!$A:$AG,28,FALSE))</f>
        <v>125.42726022279079</v>
      </c>
      <c r="U25" s="373">
        <f t="shared" si="4"/>
        <v>0.20111841123473484</v>
      </c>
      <c r="V25" s="373">
        <f t="shared" si="5"/>
        <v>0.1136539465012496</v>
      </c>
      <c r="W25" s="373">
        <f t="shared" si="6"/>
        <v>-9.9999999999999867E-2</v>
      </c>
      <c r="X25" s="373">
        <f t="shared" si="7"/>
        <v>-9.9999999999999867E-2</v>
      </c>
      <c r="Y25" s="369"/>
      <c r="Z25" s="374">
        <f>IF(ISERROR(VLOOKUP($A25,'Further adjustment'!$A:$BC,53,FALSE)),"-",VLOOKUP($A25,'Further adjustment'!$A:$BC,53,FALSE))</f>
        <v>255.53541257121651</v>
      </c>
      <c r="AA25" s="374">
        <f>IF(ISERROR(VLOOKUP($A25,'Further adjustment'!$A:$BC,52,FALSE)),"-",VLOOKUP($A25,'Further adjustment'!$A:$BC,52,FALSE))</f>
        <v>256.73197409765112</v>
      </c>
      <c r="AB25" s="374">
        <f>IF(ISERROR(VLOOKUP($A25,'Further adjustment'!$A:$BC,55,FALSE)),"-",VLOOKUP($A25,'Further adjustment'!$A:$BC,55,FALSE))</f>
        <v>166.44323710084245</v>
      </c>
      <c r="AC25" s="374">
        <f>IF(ISERROR(VLOOKUP($A25,'Further adjustment'!$A:$BC,54,FALSE)),"-",VLOOKUP($A25,'Further adjustment'!$A:$BC,54,FALSE))</f>
        <v>167.24274554558502</v>
      </c>
      <c r="AD25" s="375">
        <f t="shared" si="8"/>
        <v>-1.858809209621326E-2</v>
      </c>
      <c r="AE25" s="375">
        <f t="shared" si="9"/>
        <v>0.82989592851627125</v>
      </c>
      <c r="AF25" s="375">
        <f t="shared" si="10"/>
        <v>-7.4477098276509723E-3</v>
      </c>
      <c r="AG25" s="375">
        <f t="shared" si="11"/>
        <v>0.33338434761725066</v>
      </c>
      <c r="AH25" s="369"/>
      <c r="AI25" s="376">
        <f>'Price Adjustments'!$G$6</f>
        <v>-3.1174571652793026E-2</v>
      </c>
      <c r="AJ25" s="376">
        <v>0</v>
      </c>
      <c r="AK25" s="377">
        <f t="shared" si="31"/>
        <v>247.56920554218908</v>
      </c>
      <c r="AL25" s="377">
        <f t="shared" si="32"/>
        <v>248.7284647755809</v>
      </c>
      <c r="AM25" s="377">
        <f t="shared" si="33"/>
        <v>161.25444047971942</v>
      </c>
      <c r="AN25" s="377">
        <f t="shared" si="34"/>
        <v>162.02902459116436</v>
      </c>
      <c r="AO25" s="378">
        <f t="shared" si="12"/>
        <v>-3.1174571652793026E-2</v>
      </c>
      <c r="AP25" s="378">
        <f t="shared" si="13"/>
        <v>-3.1174571652793026E-2</v>
      </c>
      <c r="AQ25" s="378">
        <f t="shared" si="14"/>
        <v>-3.1174571652793026E-2</v>
      </c>
      <c r="AR25" s="378">
        <f t="shared" si="15"/>
        <v>-3.1174571652793026E-2</v>
      </c>
      <c r="AS25" s="379">
        <f>'Price Adjustments'!$F$6</f>
        <v>0</v>
      </c>
      <c r="AT25" s="377">
        <f>IF(ISERROR(VLOOKUP($A25,'15-16 tariff'!$A:$F,3,FALSE)*(1+$AS$6)),"-",VLOOKUP($A25,'15-16 tariff'!$A:$F,3,FALSE)*(1+$AS$6))</f>
        <v>271.5433037152502</v>
      </c>
      <c r="AU25" s="377">
        <f>IF(ISERROR(VLOOKUP($A25,'15-16 tariff'!$A:$F,4,FALSE)*(1+$AS$6)),"-",VLOOKUP($A25,'15-16 tariff'!$A:$F,4,FALSE)*(1+$AS$6))</f>
        <v>273.60470150244106</v>
      </c>
      <c r="AV25" s="377">
        <f>IF(ISERROR(VLOOKUP($A25,'15-16 tariff'!$A:$F,5,FALSE)*(1+$AS$6)),"-",VLOOKUP($A25,'15-16 tariff'!$A:$F,5,FALSE)*(1+$AS$6))</f>
        <v>166.99185646460316</v>
      </c>
      <c r="AW25" s="377">
        <f>IF(ISERROR(VLOOKUP($A25,'15-16 tariff'!$A:$F,6,FALSE)*(1+$AS$6)),"-",VLOOKUP($A25,'15-16 tariff'!$A:$F,6,FALSE)*(1+$AS$6))</f>
        <v>167.96300849699213</v>
      </c>
      <c r="AX25" s="369"/>
      <c r="AY25" s="380" t="s">
        <v>307</v>
      </c>
      <c r="AZ25" s="380" t="s">
        <v>307</v>
      </c>
      <c r="BA25" s="380" t="s">
        <v>307</v>
      </c>
      <c r="BB25" s="381" t="s">
        <v>307</v>
      </c>
      <c r="BC25" s="381">
        <f t="shared" si="16"/>
        <v>247.56920554218908</v>
      </c>
      <c r="BD25" s="381">
        <f t="shared" si="17"/>
        <v>248.7284647755809</v>
      </c>
      <c r="BE25" s="381">
        <f t="shared" si="18"/>
        <v>161.25444047971942</v>
      </c>
      <c r="BF25" s="381">
        <f t="shared" si="19"/>
        <v>162.02902459116436</v>
      </c>
      <c r="BG25" s="381">
        <f>IFERROR(VLOOKUP($A25,'Further adjustment'!$A:$Q,7,FALSE),0)</f>
        <v>8947</v>
      </c>
      <c r="BH25" s="381">
        <f>IFERROR(VLOOKUP($A25,'Further adjustment'!$A:$Q,6,FALSE),0)</f>
        <v>219</v>
      </c>
      <c r="BI25" s="381">
        <f>IFERROR(VLOOKUP($A25,'Further adjustment'!$A:$Q,9,FALSE),0)</f>
        <v>20935</v>
      </c>
      <c r="BJ25" s="381">
        <f>IFERROR(VLOOKUP($A25,'Further adjustment'!$A:$Q,8,FALSE),0)</f>
        <v>225</v>
      </c>
      <c r="BK25" s="382">
        <f t="shared" si="20"/>
        <v>-3.1174571652793026E-2</v>
      </c>
      <c r="BL25" s="382">
        <f t="shared" si="21"/>
        <v>-3.1174571652793026E-2</v>
      </c>
      <c r="BM25" s="382">
        <f t="shared" si="22"/>
        <v>-3.1174571652793026E-2</v>
      </c>
      <c r="BN25" s="382">
        <f t="shared" si="23"/>
        <v>-3.1174571652793026E-2</v>
      </c>
      <c r="BO25" s="369"/>
      <c r="BP25" s="383">
        <f>'Price Adjustments'!$D$90</f>
        <v>-6.8529657693413348E-2</v>
      </c>
      <c r="BQ25" s="384">
        <f t="shared" si="24"/>
        <v>230.60337263095258</v>
      </c>
      <c r="BR25" s="384">
        <f t="shared" si="25"/>
        <v>231.68318822590211</v>
      </c>
      <c r="BS25" s="384">
        <f t="shared" si="26"/>
        <v>150.20372887210135</v>
      </c>
      <c r="BT25" s="384">
        <f t="shared" si="27"/>
        <v>150.92523099953422</v>
      </c>
      <c r="BU25" s="369"/>
      <c r="BV25" s="385" t="str">
        <f>IF(COUNTIF('Manual adjustments'!$A:$A,A25)=1,"Y",IF(COUNTIF(#REF!,A25)=1,"BPT",""))</f>
        <v>Y</v>
      </c>
      <c r="BW25" s="384">
        <f>IF($BV25="",BQ25,IF(AND($BV25="BPT",IFERROR(ISNUMBER(VLOOKUP($A25,#REF!,3,FALSE)),FALSE)),VLOOKUP($A25,#REF!,3,FALSE),IF(AND($BV25="Y",IFERROR(ISNUMBER(VLOOKUP($A25,'Manual adjustments'!$A:$O,12,FALSE)),FALSE)),VLOOKUP($A25,'Manual adjustments'!$A:$O,12,FALSE),BQ25)))</f>
        <v>230.60337263095258</v>
      </c>
      <c r="BX25" s="384">
        <f>IF($BV25="",BR25,IF(AND($BV25="BPT",IFERROR(ISNUMBER(VLOOKUP($A25,#REF!,4,FALSE)),FALSE)),VLOOKUP($A25,#REF!,4,FALSE),IF(AND($BV25="Y",IFERROR(ISNUMBER(VLOOKUP($A25,'Manual adjustments'!$A:$O,13,FALSE)),FALSE)),VLOOKUP($A25,'Manual adjustments'!$A:$O,13,FALSE),BR25)))</f>
        <v>231.68318822590211</v>
      </c>
      <c r="BY25" s="384">
        <f>IF($BV25="",BS25,IF(AND($BV25="BPT",IFERROR(ISNUMBER(VLOOKUP($A25,#REF!,5,FALSE)),FALSE)),VLOOKUP($A25,#REF!,5,FALSE),IF(AND($BV25="Y",IFERROR(ISNUMBER(VLOOKUP($A25,'Manual adjustments'!$A:$O,14,FALSE)),FALSE)),VLOOKUP($A25,'Manual adjustments'!$A:$O,14,FALSE),BS25)))</f>
        <v>150.20372887210135</v>
      </c>
      <c r="BZ25" s="384">
        <f>IF($BV25="",BT25,IF(AND($BV25="BPT",IFERROR(ISNUMBER(VLOOKUP($A25,#REF!,6,FALSE)),FALSE)),VLOOKUP($A25,#REF!,6,FALSE),IF(AND($BV25="Y",IFERROR(ISNUMBER(VLOOKUP($A25,'Manual adjustments'!$A:$O,15,FALSE)),FALSE)),VLOOKUP($A25,'Manual adjustments'!$A:$O,15,FALSE),BT25)))</f>
        <v>150.92523099953422</v>
      </c>
      <c r="CA25" s="386">
        <f>'Post manual recon'!$N$70</f>
        <v>0</v>
      </c>
      <c r="CB25" s="384">
        <f>IF(VLOOKUP($A25,'Post manual recon'!$A:$U,18,FALSE)=0,BW25,BW25*(1+$CA25))</f>
        <v>230.60337263095258</v>
      </c>
      <c r="CC25" s="384">
        <f>IF(VLOOKUP($A25,'Post manual recon'!$A:$U,19,FALSE)=0,BX25,BX25*(1+$CA25))</f>
        <v>231.68318822590211</v>
      </c>
      <c r="CD25" s="384">
        <f>IF(VLOOKUP($A25,'Post manual recon'!$A:$U,20,FALSE)=0,BY25,BY25*(1+$CA25))</f>
        <v>150.20372887210135</v>
      </c>
      <c r="CE25" s="384">
        <f>IF(VLOOKUP($A25,'Post manual recon'!$A:$U,21,FALSE)=0,BZ25,BZ25*(1+$CA25))</f>
        <v>150.92523099953422</v>
      </c>
      <c r="CF25" s="383">
        <f t="shared" si="35"/>
        <v>0</v>
      </c>
      <c r="CG25" s="383">
        <f t="shared" si="36"/>
        <v>0</v>
      </c>
      <c r="CH25" s="383">
        <f t="shared" si="37"/>
        <v>0</v>
      </c>
      <c r="CI25" s="383">
        <f t="shared" si="38"/>
        <v>0</v>
      </c>
      <c r="CJ25" s="369"/>
      <c r="CK25" s="383">
        <f>'Price Adjustments'!$F$6</f>
        <v>0</v>
      </c>
      <c r="CL25" s="384">
        <f t="shared" si="39"/>
        <v>230.60337263095258</v>
      </c>
      <c r="CM25" s="384">
        <f t="shared" si="40"/>
        <v>231.68318822590211</v>
      </c>
      <c r="CN25" s="384">
        <f t="shared" si="41"/>
        <v>150.20372887210135</v>
      </c>
      <c r="CO25" s="384">
        <f t="shared" si="42"/>
        <v>150.92523099953422</v>
      </c>
      <c r="CP25" s="369"/>
      <c r="CQ25" s="384">
        <f t="shared" si="43"/>
        <v>231</v>
      </c>
      <c r="CR25" s="384">
        <f t="shared" si="44"/>
        <v>232</v>
      </c>
      <c r="CS25" s="384">
        <f t="shared" si="45"/>
        <v>150</v>
      </c>
      <c r="CT25" s="384">
        <f t="shared" si="46"/>
        <v>151</v>
      </c>
    </row>
    <row r="26" spans="1:98">
      <c r="A26" s="367">
        <v>190</v>
      </c>
      <c r="B26" s="367" t="str">
        <f>INDEX('201314 RC list'!B:B,MATCH(A26,'201314 RC list'!A:A,0))</f>
        <v>Anaesthetics</v>
      </c>
      <c r="C26" s="368">
        <f>IF(ISERROR(VLOOKUP($A26,'Allocate OPROC cost'!A:M,11,FALSE)),"-",VLOOKUP($A26,'Allocate OPROC cost'!A:M,11,FALSE))</f>
        <v>116.41849789958067</v>
      </c>
      <c r="D26" s="368">
        <f>IF(ISERROR(VLOOKUP($A26,'Allocate OPROC cost'!A:M,10,FALSE)),"-",VLOOKUP($A26,'Allocate OPROC cost'!A:M,10,FALSE))</f>
        <v>177.4928930168013</v>
      </c>
      <c r="E26" s="368">
        <f>IF(ISERROR(VLOOKUP($A26,'Allocate OPROC cost'!A:M,13,FALSE)),"-",VLOOKUP($A26,'Allocate OPROC cost'!A:M,13,FALSE))</f>
        <v>83.038675469191716</v>
      </c>
      <c r="F26" s="368">
        <f>IF(ISERROR(VLOOKUP($A26,'Allocate OPROC cost'!A:M,12,FALSE)),"-",VLOOKUP($A26,'Allocate OPROC cost'!A:M,12,FALSE))</f>
        <v>113.15221958155527</v>
      </c>
      <c r="G26" s="369"/>
      <c r="H26" s="370">
        <f>IF(ISERROR(VLOOKUP($A26,'Allocate OPROC cost'!A:AO,39,FALSE)),"-",VLOOKUP($A26,'Allocate OPROC cost'!A:AO,39,FALSE))</f>
        <v>116.42090366675534</v>
      </c>
      <c r="I26" s="370">
        <f>IF(ISERROR(VLOOKUP($A26,'Allocate OPROC cost'!A:AO,38,FALSE)),"-",VLOOKUP($A26,'Allocate OPROC cost'!A:AO,38,FALSE))</f>
        <v>173.58696437687971</v>
      </c>
      <c r="J26" s="370">
        <f>IF(ISERROR(VLOOKUP($A26,'Allocate OPROC cost'!A:AO,41,FALSE)),"-",VLOOKUP($A26,'Allocate OPROC cost'!A:AO,41,FALSE))</f>
        <v>83.353500804004909</v>
      </c>
      <c r="K26" s="370">
        <f>IF(ISERROR(VLOOKUP($A26,'Allocate OPROC cost'!A:AO,40,FALSE)),"-",VLOOKUP($A26,'Allocate OPROC cost'!A:AO,40,FALSE))</f>
        <v>113.94881622321151</v>
      </c>
      <c r="L26" s="371">
        <f t="shared" si="0"/>
        <v>2.0664818890958614E-5</v>
      </c>
      <c r="M26" s="371">
        <f t="shared" si="1"/>
        <v>-2.2006112884485285E-2</v>
      </c>
      <c r="N26" s="371">
        <f t="shared" si="2"/>
        <v>3.7913096883390729E-3</v>
      </c>
      <c r="O26" s="371">
        <f t="shared" si="3"/>
        <v>7.0400443279159397E-3</v>
      </c>
      <c r="P26" s="369"/>
      <c r="Q26" s="372">
        <f>IF(ISERROR(VLOOKUP($A26,'Front-loading'!$A:$AG,27,FALSE)),"-",VLOOKUP($A26,'Front-loading'!$A:$AG,27,FALSE))</f>
        <v>129.94506435720024</v>
      </c>
      <c r="R26" s="372">
        <f>IF(ISERROR(VLOOKUP($A26,'Front-loading'!$A:$AG,26,FALSE)),"-",VLOOKUP($A26,'Front-loading'!$A:$AG,26,FALSE))</f>
        <v>242.92309255148839</v>
      </c>
      <c r="S26" s="372">
        <f>IF(ISERROR(VLOOKUP($A26,'Front-loading'!$A:$AG,29,FALSE)),"-",VLOOKUP($A26,'Front-loading'!$A:$AG,29,FALSE))</f>
        <v>75.018150723604421</v>
      </c>
      <c r="T26" s="372">
        <f>IF(ISERROR(VLOOKUP($A26,'Front-loading'!$A:$AG,28,FALSE)),"-",VLOOKUP($A26,'Front-loading'!$A:$AG,28,FALSE))</f>
        <v>102.55393460089037</v>
      </c>
      <c r="U26" s="373">
        <f t="shared" si="4"/>
        <v>0.11616608585307531</v>
      </c>
      <c r="V26" s="373">
        <f t="shared" si="5"/>
        <v>0.39943165331280861</v>
      </c>
      <c r="W26" s="373">
        <f t="shared" si="6"/>
        <v>-9.9999999999999978E-2</v>
      </c>
      <c r="X26" s="373">
        <f t="shared" si="7"/>
        <v>-9.9999999999999867E-2</v>
      </c>
      <c r="Y26" s="369"/>
      <c r="Z26" s="374">
        <f>IF(ISERROR(VLOOKUP($A26,'Further adjustment'!$A:$BC,53,FALSE)),"-",VLOOKUP($A26,'Further adjustment'!$A:$BC,53,FALSE))</f>
        <v>129.94506435720024</v>
      </c>
      <c r="AA26" s="374">
        <f>IF(ISERROR(VLOOKUP($A26,'Further adjustment'!$A:$BC,52,FALSE)),"-",VLOOKUP($A26,'Further adjustment'!$A:$BC,52,FALSE))</f>
        <v>242.92309255148839</v>
      </c>
      <c r="AB26" s="374">
        <f>IF(ISERROR(VLOOKUP($A26,'Further adjustment'!$A:$BC,55,FALSE)),"-",VLOOKUP($A26,'Further adjustment'!$A:$BC,55,FALSE))</f>
        <v>75.018150723604421</v>
      </c>
      <c r="AC26" s="374">
        <f>IF(ISERROR(VLOOKUP($A26,'Further adjustment'!$A:$BC,54,FALSE)),"-",VLOOKUP($A26,'Further adjustment'!$A:$BC,54,FALSE))</f>
        <v>102.55393460089037</v>
      </c>
      <c r="AD26" s="375">
        <f t="shared" si="8"/>
        <v>0</v>
      </c>
      <c r="AE26" s="375">
        <f t="shared" si="9"/>
        <v>0</v>
      </c>
      <c r="AF26" s="375">
        <f t="shared" si="10"/>
        <v>0</v>
      </c>
      <c r="AG26" s="375">
        <f t="shared" si="11"/>
        <v>0</v>
      </c>
      <c r="AH26" s="369"/>
      <c r="AI26" s="376">
        <f>'Price Adjustments'!$G$6</f>
        <v>-3.1174571652793026E-2</v>
      </c>
      <c r="AJ26" s="376">
        <v>0</v>
      </c>
      <c r="AK26" s="377">
        <f t="shared" si="31"/>
        <v>125.89408263746989</v>
      </c>
      <c r="AL26" s="377">
        <f t="shared" si="32"/>
        <v>235.35006919662393</v>
      </c>
      <c r="AM26" s="377">
        <f t="shared" si="33"/>
        <v>72.67949200861139</v>
      </c>
      <c r="AN26" s="377">
        <f t="shared" si="34"/>
        <v>99.356859618399071</v>
      </c>
      <c r="AO26" s="378">
        <f t="shared" si="12"/>
        <v>-3.1174571652793026E-2</v>
      </c>
      <c r="AP26" s="378">
        <f t="shared" si="13"/>
        <v>-3.1174571652793137E-2</v>
      </c>
      <c r="AQ26" s="378">
        <f t="shared" si="14"/>
        <v>-3.1174571652793026E-2</v>
      </c>
      <c r="AR26" s="378">
        <f t="shared" si="15"/>
        <v>-3.1174571652793026E-2</v>
      </c>
      <c r="AS26" s="379">
        <f>'Price Adjustments'!$F$6</f>
        <v>0</v>
      </c>
      <c r="AT26" s="377">
        <f>IF(ISERROR(VLOOKUP($A26,'15-16 tariff'!$A:$F,3,FALSE)*(1+$AS$6)),"-",VLOOKUP($A26,'15-16 tariff'!$A:$F,3,FALSE)*(1+$AS$6))</f>
        <v>93.352886484870595</v>
      </c>
      <c r="AU26" s="377">
        <f>IF(ISERROR(VLOOKUP($A26,'15-16 tariff'!$A:$F,4,FALSE)*(1+$AS$6)),"-",VLOOKUP($A26,'15-16 tariff'!$A:$F,4,FALSE)*(1+$AS$6))</f>
        <v>93.352886484870595</v>
      </c>
      <c r="AV26" s="377">
        <f>IF(ISERROR(VLOOKUP($A26,'15-16 tariff'!$A:$F,5,FALSE)*(1+$AS$6)),"-",VLOOKUP($A26,'15-16 tariff'!$A:$F,5,FALSE)*(1+$AS$6))</f>
        <v>59.991031778081421</v>
      </c>
      <c r="AW26" s="377">
        <f>IF(ISERROR(VLOOKUP($A26,'15-16 tariff'!$A:$F,6,FALSE)*(1+$AS$6)),"-",VLOOKUP($A26,'15-16 tariff'!$A:$F,6,FALSE)*(1+$AS$6))</f>
        <v>83.186269790423978</v>
      </c>
      <c r="AX26" s="369"/>
      <c r="AY26" s="380" t="s">
        <v>307</v>
      </c>
      <c r="AZ26" s="380" t="s">
        <v>307</v>
      </c>
      <c r="BA26" s="380" t="s">
        <v>307</v>
      </c>
      <c r="BB26" s="381" t="s">
        <v>307</v>
      </c>
      <c r="BC26" s="381">
        <f t="shared" si="16"/>
        <v>125.89408263746989</v>
      </c>
      <c r="BD26" s="381">
        <f t="shared" si="17"/>
        <v>235.35006919662393</v>
      </c>
      <c r="BE26" s="381">
        <f t="shared" si="18"/>
        <v>72.67949200861139</v>
      </c>
      <c r="BF26" s="381">
        <f t="shared" si="19"/>
        <v>99.356859618399071</v>
      </c>
      <c r="BG26" s="381">
        <f>IFERROR(VLOOKUP($A26,'Further adjustment'!$A:$Q,7,FALSE),0)</f>
        <v>87983</v>
      </c>
      <c r="BH26" s="381">
        <f>IFERROR(VLOOKUP($A26,'Further adjustment'!$A:$Q,6,FALSE),0)</f>
        <v>330</v>
      </c>
      <c r="BI26" s="381">
        <f>IFERROR(VLOOKUP($A26,'Further adjustment'!$A:$Q,9,FALSE),0)</f>
        <v>142753</v>
      </c>
      <c r="BJ26" s="381">
        <f>IFERROR(VLOOKUP($A26,'Further adjustment'!$A:$Q,8,FALSE),0)</f>
        <v>2008</v>
      </c>
      <c r="BK26" s="382">
        <f t="shared" si="20"/>
        <v>-3.1174571652793026E-2</v>
      </c>
      <c r="BL26" s="382">
        <f t="shared" si="21"/>
        <v>-3.1174571652793137E-2</v>
      </c>
      <c r="BM26" s="382">
        <f t="shared" si="22"/>
        <v>-3.1174571652793026E-2</v>
      </c>
      <c r="BN26" s="382">
        <f t="shared" si="23"/>
        <v>-3.1174571652793026E-2</v>
      </c>
      <c r="BO26" s="369"/>
      <c r="BP26" s="383">
        <f>'Price Adjustments'!$D$90</f>
        <v>-6.8529657693413348E-2</v>
      </c>
      <c r="BQ26" s="384">
        <f t="shared" si="24"/>
        <v>117.26660424869779</v>
      </c>
      <c r="BR26" s="384">
        <f t="shared" si="25"/>
        <v>219.22160951645816</v>
      </c>
      <c r="BS26" s="384">
        <f t="shared" si="26"/>
        <v>67.698791299930079</v>
      </c>
      <c r="BT26" s="384">
        <f t="shared" si="27"/>
        <v>92.547968039257654</v>
      </c>
      <c r="BU26" s="369"/>
      <c r="BV26" s="385" t="str">
        <f>IF(COUNTIF('Manual adjustments'!$A:$A,A26)=1,"Y",IF(COUNTIF(#REF!,A26)=1,"BPT",""))</f>
        <v>Y</v>
      </c>
      <c r="BW26" s="384">
        <f>IF($BV26="",BQ26,IF(AND($BV26="BPT",IFERROR(ISNUMBER(VLOOKUP($A26,#REF!,3,FALSE)),FALSE)),VLOOKUP($A26,#REF!,3,FALSE),IF(AND($BV26="Y",IFERROR(ISNUMBER(VLOOKUP($A26,'Manual adjustments'!$A:$O,12,FALSE)),FALSE)),VLOOKUP($A26,'Manual adjustments'!$A:$O,12,FALSE),BQ26)))</f>
        <v>117.26660424869779</v>
      </c>
      <c r="BX26" s="384">
        <f>IF($BV26="",BR26,IF(AND($BV26="BPT",IFERROR(ISNUMBER(VLOOKUP($A26,#REF!,4,FALSE)),FALSE)),VLOOKUP($A26,#REF!,4,FALSE),IF(AND($BV26="Y",IFERROR(ISNUMBER(VLOOKUP($A26,'Manual adjustments'!$A:$O,13,FALSE)),FALSE)),VLOOKUP($A26,'Manual adjustments'!$A:$O,13,FALSE),BR26)))</f>
        <v>219.22160951645816</v>
      </c>
      <c r="BY26" s="384">
        <f>IF($BV26="",BS26,IF(AND($BV26="BPT",IFERROR(ISNUMBER(VLOOKUP($A26,#REF!,5,FALSE)),FALSE)),VLOOKUP($A26,#REF!,5,FALSE),IF(AND($BV26="Y",IFERROR(ISNUMBER(VLOOKUP($A26,'Manual adjustments'!$A:$O,14,FALSE)),FALSE)),VLOOKUP($A26,'Manual adjustments'!$A:$O,14,FALSE),BS26)))</f>
        <v>67.698791299930079</v>
      </c>
      <c r="BZ26" s="384">
        <f>IF($BV26="",BT26,IF(AND($BV26="BPT",IFERROR(ISNUMBER(VLOOKUP($A26,#REF!,6,FALSE)),FALSE)),VLOOKUP($A26,#REF!,6,FALSE),IF(AND($BV26="Y",IFERROR(ISNUMBER(VLOOKUP($A26,'Manual adjustments'!$A:$O,15,FALSE)),FALSE)),VLOOKUP($A26,'Manual adjustments'!$A:$O,15,FALSE),BT26)))</f>
        <v>92.547968039257654</v>
      </c>
      <c r="CA26" s="386">
        <f>'Post manual recon'!$N$70</f>
        <v>0</v>
      </c>
      <c r="CB26" s="384">
        <f>IF(VLOOKUP($A26,'Post manual recon'!$A:$U,18,FALSE)=0,BW26,BW26*(1+$CA26))</f>
        <v>117.26660424869779</v>
      </c>
      <c r="CC26" s="384">
        <f>IF(VLOOKUP($A26,'Post manual recon'!$A:$U,19,FALSE)=0,BX26,BX26*(1+$CA26))</f>
        <v>219.22160951645816</v>
      </c>
      <c r="CD26" s="384">
        <f>IF(VLOOKUP($A26,'Post manual recon'!$A:$U,20,FALSE)=0,BY26,BY26*(1+$CA26))</f>
        <v>67.698791299930079</v>
      </c>
      <c r="CE26" s="384">
        <f>IF(VLOOKUP($A26,'Post manual recon'!$A:$U,21,FALSE)=0,BZ26,BZ26*(1+$CA26))</f>
        <v>92.547968039257654</v>
      </c>
      <c r="CF26" s="383">
        <f t="shared" si="35"/>
        <v>0</v>
      </c>
      <c r="CG26" s="383">
        <f t="shared" si="36"/>
        <v>0</v>
      </c>
      <c r="CH26" s="383">
        <f t="shared" si="37"/>
        <v>0</v>
      </c>
      <c r="CI26" s="383">
        <f t="shared" si="38"/>
        <v>0</v>
      </c>
      <c r="CJ26" s="369"/>
      <c r="CK26" s="383">
        <f>'Price Adjustments'!$F$6</f>
        <v>0</v>
      </c>
      <c r="CL26" s="384">
        <f t="shared" si="39"/>
        <v>117.26660424869779</v>
      </c>
      <c r="CM26" s="384">
        <f t="shared" si="40"/>
        <v>219.22160951645816</v>
      </c>
      <c r="CN26" s="384">
        <f t="shared" si="41"/>
        <v>67.698791299930079</v>
      </c>
      <c r="CO26" s="384">
        <f t="shared" si="42"/>
        <v>92.547968039257654</v>
      </c>
      <c r="CP26" s="369"/>
      <c r="CQ26" s="384">
        <f t="shared" si="43"/>
        <v>117</v>
      </c>
      <c r="CR26" s="384">
        <f t="shared" si="44"/>
        <v>219</v>
      </c>
      <c r="CS26" s="384">
        <f t="shared" si="45"/>
        <v>68</v>
      </c>
      <c r="CT26" s="384">
        <f t="shared" si="46"/>
        <v>93</v>
      </c>
    </row>
    <row r="27" spans="1:98">
      <c r="A27" s="367">
        <v>191</v>
      </c>
      <c r="B27" s="367" t="str">
        <f>INDEX('201314 RC list'!B:B,MATCH(A27,'201314 RC list'!A:A,0))</f>
        <v>Pain Management</v>
      </c>
      <c r="C27" s="368">
        <f>IF(ISERROR(VLOOKUP($A27,'Allocate OPROC cost'!A:M,11,FALSE)),"-",VLOOKUP($A27,'Allocate OPROC cost'!A:M,11,FALSE))</f>
        <v>154.35948399488638</v>
      </c>
      <c r="D27" s="368">
        <f>IF(ISERROR(VLOOKUP($A27,'Allocate OPROC cost'!A:M,10,FALSE)),"-",VLOOKUP($A27,'Allocate OPROC cost'!A:M,10,FALSE))</f>
        <v>170.68503078202536</v>
      </c>
      <c r="E27" s="368">
        <f>IF(ISERROR(VLOOKUP($A27,'Allocate OPROC cost'!A:M,13,FALSE)),"-",VLOOKUP($A27,'Allocate OPROC cost'!A:M,13,FALSE))</f>
        <v>112.99570269732718</v>
      </c>
      <c r="F27" s="368">
        <f>IF(ISERROR(VLOOKUP($A27,'Allocate OPROC cost'!A:M,12,FALSE)),"-",VLOOKUP($A27,'Allocate OPROC cost'!A:M,12,FALSE))</f>
        <v>147.15423791549</v>
      </c>
      <c r="G27" s="369"/>
      <c r="H27" s="370">
        <f>IF(ISERROR(VLOOKUP($A27,'Allocate OPROC cost'!A:AO,39,FALSE)),"-",VLOOKUP($A27,'Allocate OPROC cost'!A:AO,39,FALSE))</f>
        <v>154.16315233211103</v>
      </c>
      <c r="I27" s="370">
        <f>IF(ISERROR(VLOOKUP($A27,'Allocate OPROC cost'!A:AO,38,FALSE)),"-",VLOOKUP($A27,'Allocate OPROC cost'!A:AO,38,FALSE))</f>
        <v>170.29504078841782</v>
      </c>
      <c r="J27" s="370">
        <f>IF(ISERROR(VLOOKUP($A27,'Allocate OPROC cost'!A:AO,41,FALSE)),"-",VLOOKUP($A27,'Allocate OPROC cost'!A:AO,41,FALSE))</f>
        <v>113.12527363631494</v>
      </c>
      <c r="K27" s="370">
        <f>IF(ISERROR(VLOOKUP($A27,'Allocate OPROC cost'!A:AO,40,FALSE)),"-",VLOOKUP($A27,'Allocate OPROC cost'!A:AO,40,FALSE))</f>
        <v>146.44019427515963</v>
      </c>
      <c r="L27" s="371">
        <f t="shared" si="0"/>
        <v>-1.2719118883673941E-3</v>
      </c>
      <c r="M27" s="371">
        <f t="shared" si="1"/>
        <v>-2.2848517636299137E-3</v>
      </c>
      <c r="N27" s="371">
        <f t="shared" si="2"/>
        <v>1.146689085467667E-3</v>
      </c>
      <c r="O27" s="371">
        <f t="shared" si="3"/>
        <v>-4.8523484640683456E-3</v>
      </c>
      <c r="P27" s="369"/>
      <c r="Q27" s="372">
        <f>IF(ISERROR(VLOOKUP($A27,'Front-loading'!$A:$AG,27,FALSE)),"-",VLOOKUP($A27,'Front-loading'!$A:$AG,27,FALSE))</f>
        <v>174.52001429062454</v>
      </c>
      <c r="R27" s="372">
        <f>IF(ISERROR(VLOOKUP($A27,'Front-loading'!$A:$AG,26,FALSE)),"-",VLOOKUP($A27,'Front-loading'!$A:$AG,26,FALSE))</f>
        <v>184.0233253389269</v>
      </c>
      <c r="S27" s="372">
        <f>IF(ISERROR(VLOOKUP($A27,'Front-loading'!$A:$AG,29,FALSE)),"-",VLOOKUP($A27,'Front-loading'!$A:$AG,29,FALSE))</f>
        <v>101.81274627268344</v>
      </c>
      <c r="T27" s="372">
        <f>IF(ISERROR(VLOOKUP($A27,'Front-loading'!$A:$AG,28,FALSE)),"-",VLOOKUP($A27,'Front-loading'!$A:$AG,28,FALSE))</f>
        <v>131.79617484764367</v>
      </c>
      <c r="U27" s="373">
        <f t="shared" si="4"/>
        <v>0.13204752011465803</v>
      </c>
      <c r="V27" s="373">
        <f t="shared" si="5"/>
        <v>8.0614705436817147E-2</v>
      </c>
      <c r="W27" s="373">
        <f t="shared" si="6"/>
        <v>-0.10000000000000009</v>
      </c>
      <c r="X27" s="373">
        <f t="shared" si="7"/>
        <v>-9.9999999999999978E-2</v>
      </c>
      <c r="Y27" s="369"/>
      <c r="Z27" s="374">
        <f>IF(ISERROR(VLOOKUP($A27,'Further adjustment'!$A:$BC,53,FALSE)),"-",VLOOKUP($A27,'Further adjustment'!$A:$BC,53,FALSE))</f>
        <v>174.52001429062454</v>
      </c>
      <c r="AA27" s="374">
        <f>IF(ISERROR(VLOOKUP($A27,'Further adjustment'!$A:$BC,52,FALSE)),"-",VLOOKUP($A27,'Further adjustment'!$A:$BC,52,FALSE))</f>
        <v>184.0233253389269</v>
      </c>
      <c r="AB27" s="374">
        <f>IF(ISERROR(VLOOKUP($A27,'Further adjustment'!$A:$BC,55,FALSE)),"-",VLOOKUP($A27,'Further adjustment'!$A:$BC,55,FALSE))</f>
        <v>101.81274627268344</v>
      </c>
      <c r="AC27" s="374">
        <f>IF(ISERROR(VLOOKUP($A27,'Further adjustment'!$A:$BC,54,FALSE)),"-",VLOOKUP($A27,'Further adjustment'!$A:$BC,54,FALSE))</f>
        <v>131.79617484764367</v>
      </c>
      <c r="AD27" s="375">
        <f t="shared" si="8"/>
        <v>0</v>
      </c>
      <c r="AE27" s="375">
        <f t="shared" si="9"/>
        <v>0</v>
      </c>
      <c r="AF27" s="375">
        <f t="shared" si="10"/>
        <v>0</v>
      </c>
      <c r="AG27" s="375">
        <f t="shared" si="11"/>
        <v>0</v>
      </c>
      <c r="AH27" s="369"/>
      <c r="AI27" s="376">
        <f>'Price Adjustments'!$G$6</f>
        <v>-3.1174571652793026E-2</v>
      </c>
      <c r="AJ27" s="376">
        <v>0</v>
      </c>
      <c r="AK27" s="377">
        <f t="shared" si="31"/>
        <v>169.07942760027501</v>
      </c>
      <c r="AL27" s="377">
        <f t="shared" si="32"/>
        <v>178.28647699736328</v>
      </c>
      <c r="AM27" s="377">
        <f t="shared" si="33"/>
        <v>98.63877751883804</v>
      </c>
      <c r="AN27" s="377">
        <f t="shared" si="34"/>
        <v>127.68748555129176</v>
      </c>
      <c r="AO27" s="378">
        <f t="shared" si="12"/>
        <v>-3.1174571652793026E-2</v>
      </c>
      <c r="AP27" s="378">
        <f t="shared" si="13"/>
        <v>-3.1174571652793026E-2</v>
      </c>
      <c r="AQ27" s="378">
        <f t="shared" si="14"/>
        <v>-3.1174571652793026E-2</v>
      </c>
      <c r="AR27" s="378">
        <f t="shared" si="15"/>
        <v>-3.1174571652793026E-2</v>
      </c>
      <c r="AS27" s="379">
        <f>'Price Adjustments'!$F$6</f>
        <v>0</v>
      </c>
      <c r="AT27" s="377">
        <f>IF(ISERROR(VLOOKUP($A27,'15-16 tariff'!$A:$F,3,FALSE)*(1+$AS$6)),"-",VLOOKUP($A27,'15-16 tariff'!$A:$F,3,FALSE)*(1+$AS$6))</f>
        <v>162.45640728742131</v>
      </c>
      <c r="AU27" s="377">
        <f>IF(ISERROR(VLOOKUP($A27,'15-16 tariff'!$A:$F,4,FALSE)*(1+$AS$6)),"-",VLOOKUP($A27,'15-16 tariff'!$A:$F,4,FALSE)*(1+$AS$6))</f>
        <v>162.45640728742131</v>
      </c>
      <c r="AV27" s="377">
        <f>IF(ISERROR(VLOOKUP($A27,'15-16 tariff'!$A:$F,5,FALSE)*(1+$AS$6)),"-",VLOOKUP($A27,'15-16 tariff'!$A:$F,5,FALSE)*(1+$AS$6))</f>
        <v>91.213684933267288</v>
      </c>
      <c r="AW27" s="377">
        <f>IF(ISERROR(VLOOKUP($A27,'15-16 tariff'!$A:$F,6,FALSE)*(1+$AS$6)),"-",VLOOKUP($A27,'15-16 tariff'!$A:$F,6,FALSE)*(1+$AS$6))</f>
        <v>91.213684933267288</v>
      </c>
      <c r="AX27" s="369"/>
      <c r="AY27" s="380" t="s">
        <v>307</v>
      </c>
      <c r="AZ27" s="380" t="s">
        <v>307</v>
      </c>
      <c r="BA27" s="380" t="s">
        <v>307</v>
      </c>
      <c r="BB27" s="381" t="s">
        <v>307</v>
      </c>
      <c r="BC27" s="381">
        <f t="shared" si="16"/>
        <v>169.07942760027501</v>
      </c>
      <c r="BD27" s="381">
        <f t="shared" si="17"/>
        <v>178.28647699736328</v>
      </c>
      <c r="BE27" s="381">
        <f t="shared" si="18"/>
        <v>98.63877751883804</v>
      </c>
      <c r="BF27" s="381">
        <f t="shared" si="19"/>
        <v>127.68748555129176</v>
      </c>
      <c r="BG27" s="381">
        <f>IFERROR(VLOOKUP($A27,'Further adjustment'!$A:$Q,7,FALSE),0)</f>
        <v>191748</v>
      </c>
      <c r="BH27" s="381">
        <f>IFERROR(VLOOKUP($A27,'Further adjustment'!$A:$Q,6,FALSE),0)</f>
        <v>5677</v>
      </c>
      <c r="BI27" s="381">
        <f>IFERROR(VLOOKUP($A27,'Further adjustment'!$A:$Q,9,FALSE),0)</f>
        <v>345050</v>
      </c>
      <c r="BJ27" s="381">
        <f>IFERROR(VLOOKUP($A27,'Further adjustment'!$A:$Q,8,FALSE),0)</f>
        <v>5322</v>
      </c>
      <c r="BK27" s="382">
        <f t="shared" si="20"/>
        <v>-3.1174571652793026E-2</v>
      </c>
      <c r="BL27" s="382">
        <f t="shared" si="21"/>
        <v>-3.1174571652793026E-2</v>
      </c>
      <c r="BM27" s="382">
        <f t="shared" si="22"/>
        <v>-3.1174571652793026E-2</v>
      </c>
      <c r="BN27" s="382">
        <f t="shared" si="23"/>
        <v>-3.1174571652793026E-2</v>
      </c>
      <c r="BO27" s="369"/>
      <c r="BP27" s="383">
        <f>'Price Adjustments'!$D$90</f>
        <v>-6.8529657693413348E-2</v>
      </c>
      <c r="BQ27" s="384">
        <f t="shared" si="24"/>
        <v>157.49247230382991</v>
      </c>
      <c r="BR27" s="384">
        <f t="shared" si="25"/>
        <v>166.06856575736936</v>
      </c>
      <c r="BS27" s="384">
        <f t="shared" si="26"/>
        <v>91.879095860175312</v>
      </c>
      <c r="BT27" s="384">
        <f t="shared" si="27"/>
        <v>118.93710587472907</v>
      </c>
      <c r="BU27" s="369"/>
      <c r="BV27" s="385" t="str">
        <f>IF(COUNTIF('Manual adjustments'!$A:$A,A27)=1,"Y",IF(COUNTIF(#REF!,A27)=1,"BPT",""))</f>
        <v>Y</v>
      </c>
      <c r="BW27" s="384">
        <f>IF($BV27="",BQ27,IF(AND($BV27="BPT",IFERROR(ISNUMBER(VLOOKUP($A27,#REF!,3,FALSE)),FALSE)),VLOOKUP($A27,#REF!,3,FALSE),IF(AND($BV27="Y",IFERROR(ISNUMBER(VLOOKUP($A27,'Manual adjustments'!$A:$O,12,FALSE)),FALSE)),VLOOKUP($A27,'Manual adjustments'!$A:$O,12,FALSE),BQ27)))</f>
        <v>157.49247230382991</v>
      </c>
      <c r="BX27" s="384">
        <f>IF($BV27="",BR27,IF(AND($BV27="BPT",IFERROR(ISNUMBER(VLOOKUP($A27,#REF!,4,FALSE)),FALSE)),VLOOKUP($A27,#REF!,4,FALSE),IF(AND($BV27="Y",IFERROR(ISNUMBER(VLOOKUP($A27,'Manual adjustments'!$A:$O,13,FALSE)),FALSE)),VLOOKUP($A27,'Manual adjustments'!$A:$O,13,FALSE),BR27)))</f>
        <v>166.06856575736936</v>
      </c>
      <c r="BY27" s="384">
        <f>IF($BV27="",BS27,IF(AND($BV27="BPT",IFERROR(ISNUMBER(VLOOKUP($A27,#REF!,5,FALSE)),FALSE)),VLOOKUP($A27,#REF!,5,FALSE),IF(AND($BV27="Y",IFERROR(ISNUMBER(VLOOKUP($A27,'Manual adjustments'!$A:$O,14,FALSE)),FALSE)),VLOOKUP($A27,'Manual adjustments'!$A:$O,14,FALSE),BS27)))</f>
        <v>91.879095860175312</v>
      </c>
      <c r="BZ27" s="384">
        <f>IF($BV27="",BT27,IF(AND($BV27="BPT",IFERROR(ISNUMBER(VLOOKUP($A27,#REF!,6,FALSE)),FALSE)),VLOOKUP($A27,#REF!,6,FALSE),IF(AND($BV27="Y",IFERROR(ISNUMBER(VLOOKUP($A27,'Manual adjustments'!$A:$O,15,FALSE)),FALSE)),VLOOKUP($A27,'Manual adjustments'!$A:$O,15,FALSE),BT27)))</f>
        <v>118.93710587472907</v>
      </c>
      <c r="CA27" s="386">
        <f>'Post manual recon'!$N$70</f>
        <v>0</v>
      </c>
      <c r="CB27" s="384">
        <f>IF(VLOOKUP($A27,'Post manual recon'!$A:$U,18,FALSE)=0,BW27,BW27*(1+$CA27))</f>
        <v>157.49247230382991</v>
      </c>
      <c r="CC27" s="384">
        <f>IF(VLOOKUP($A27,'Post manual recon'!$A:$U,19,FALSE)=0,BX27,BX27*(1+$CA27))</f>
        <v>166.06856575736936</v>
      </c>
      <c r="CD27" s="384">
        <f>IF(VLOOKUP($A27,'Post manual recon'!$A:$U,20,FALSE)=0,BY27,BY27*(1+$CA27))</f>
        <v>91.879095860175312</v>
      </c>
      <c r="CE27" s="384">
        <f>IF(VLOOKUP($A27,'Post manual recon'!$A:$U,21,FALSE)=0,BZ27,BZ27*(1+$CA27))</f>
        <v>118.93710587472907</v>
      </c>
      <c r="CF27" s="383">
        <f t="shared" si="35"/>
        <v>0</v>
      </c>
      <c r="CG27" s="383">
        <f t="shared" si="36"/>
        <v>0</v>
      </c>
      <c r="CH27" s="383">
        <f t="shared" si="37"/>
        <v>0</v>
      </c>
      <c r="CI27" s="383">
        <f t="shared" si="38"/>
        <v>0</v>
      </c>
      <c r="CJ27" s="369"/>
      <c r="CK27" s="383">
        <f>'Price Adjustments'!$F$6</f>
        <v>0</v>
      </c>
      <c r="CL27" s="384">
        <f t="shared" si="39"/>
        <v>157.49247230382991</v>
      </c>
      <c r="CM27" s="384">
        <f t="shared" si="40"/>
        <v>166.06856575736936</v>
      </c>
      <c r="CN27" s="384">
        <f t="shared" si="41"/>
        <v>91.879095860175312</v>
      </c>
      <c r="CO27" s="384">
        <f t="shared" si="42"/>
        <v>118.93710587472907</v>
      </c>
      <c r="CP27" s="369"/>
      <c r="CQ27" s="384">
        <f t="shared" si="43"/>
        <v>157</v>
      </c>
      <c r="CR27" s="384">
        <f t="shared" si="44"/>
        <v>166</v>
      </c>
      <c r="CS27" s="384">
        <f t="shared" si="45"/>
        <v>92</v>
      </c>
      <c r="CT27" s="384">
        <f t="shared" si="46"/>
        <v>119</v>
      </c>
    </row>
    <row r="28" spans="1:98">
      <c r="A28" s="367">
        <v>211</v>
      </c>
      <c r="B28" s="367" t="str">
        <f>INDEX('201314 RC list'!B:B,MATCH(A28,'201314 RC list'!A:A,0))</f>
        <v>Paediatric Urology</v>
      </c>
      <c r="C28" s="368">
        <f>IF(ISERROR(VLOOKUP($A28,'Allocate OPROC cost'!A:M,11,FALSE)),"-",VLOOKUP($A28,'Allocate OPROC cost'!A:M,11,FALSE))</f>
        <v>140.09570267624571</v>
      </c>
      <c r="D28" s="368">
        <f>IF(ISERROR(VLOOKUP($A28,'Allocate OPROC cost'!A:M,10,FALSE)),"-",VLOOKUP($A28,'Allocate OPROC cost'!A:M,10,FALSE))</f>
        <v>117.97700922642964</v>
      </c>
      <c r="E28" s="368">
        <f>IF(ISERROR(VLOOKUP($A28,'Allocate OPROC cost'!A:M,13,FALSE)),"-",VLOOKUP($A28,'Allocate OPROC cost'!A:M,13,FALSE))</f>
        <v>112.74538082930241</v>
      </c>
      <c r="F28" s="368">
        <f>IF(ISERROR(VLOOKUP($A28,'Allocate OPROC cost'!A:M,12,FALSE)),"-",VLOOKUP($A28,'Allocate OPROC cost'!A:M,12,FALSE))</f>
        <v>122.91341995070269</v>
      </c>
      <c r="G28" s="369"/>
      <c r="H28" s="370">
        <f>IF(ISERROR(VLOOKUP($A28,'Allocate OPROC cost'!A:AO,39,FALSE)),"-",VLOOKUP($A28,'Allocate OPROC cost'!A:AO,39,FALSE))</f>
        <v>139.9952711337765</v>
      </c>
      <c r="I28" s="370">
        <f>IF(ISERROR(VLOOKUP($A28,'Allocate OPROC cost'!A:AO,38,FALSE)),"-",VLOOKUP($A28,'Allocate OPROC cost'!A:AO,38,FALSE))</f>
        <v>118.04749423124603</v>
      </c>
      <c r="J28" s="370">
        <f>IF(ISERROR(VLOOKUP($A28,'Allocate OPROC cost'!A:AO,41,FALSE)),"-",VLOOKUP($A28,'Allocate OPROC cost'!A:AO,41,FALSE))</f>
        <v>112.77599995788917</v>
      </c>
      <c r="K28" s="370">
        <f>IF(ISERROR(VLOOKUP($A28,'Allocate OPROC cost'!A:AO,40,FALSE)),"-",VLOOKUP($A28,'Allocate OPROC cost'!A:AO,40,FALSE))</f>
        <v>122.98699117157599</v>
      </c>
      <c r="L28" s="371">
        <f t="shared" si="0"/>
        <v>-7.1687810939713437E-4</v>
      </c>
      <c r="M28" s="371">
        <f t="shared" si="1"/>
        <v>5.9744695410191007E-4</v>
      </c>
      <c r="N28" s="371">
        <f t="shared" si="2"/>
        <v>2.7157767672214561E-4</v>
      </c>
      <c r="O28" s="371">
        <f t="shared" si="3"/>
        <v>5.9856133612434803E-4</v>
      </c>
      <c r="P28" s="369"/>
      <c r="Q28" s="372">
        <f>IF(ISERROR(VLOOKUP($A28,'Front-loading'!$A:$AG,27,FALSE)),"-",VLOOKUP($A28,'Front-loading'!$A:$AG,27,FALSE))</f>
        <v>158.58213621723945</v>
      </c>
      <c r="R28" s="372">
        <f>IF(ISERROR(VLOOKUP($A28,'Front-loading'!$A:$AG,26,FALSE)),"-",VLOOKUP($A28,'Front-loading'!$A:$AG,26,FALSE))</f>
        <v>144.67354386632951</v>
      </c>
      <c r="S28" s="372">
        <f>IF(ISERROR(VLOOKUP($A28,'Front-loading'!$A:$AG,29,FALSE)),"-",VLOOKUP($A28,'Front-loading'!$A:$AG,29,FALSE))</f>
        <v>101.49839996210025</v>
      </c>
      <c r="T28" s="372">
        <f>IF(ISERROR(VLOOKUP($A28,'Front-loading'!$A:$AG,28,FALSE)),"-",VLOOKUP($A28,'Front-loading'!$A:$AG,28,FALSE))</f>
        <v>110.68829205441841</v>
      </c>
      <c r="U28" s="373">
        <f t="shared" si="4"/>
        <v>0.13276780660470844</v>
      </c>
      <c r="V28" s="373">
        <f t="shared" si="5"/>
        <v>0.22555370453628676</v>
      </c>
      <c r="W28" s="373">
        <f t="shared" si="6"/>
        <v>-9.9999999999999978E-2</v>
      </c>
      <c r="X28" s="373">
        <f t="shared" si="7"/>
        <v>-9.9999999999999867E-2</v>
      </c>
      <c r="Y28" s="369"/>
      <c r="Z28" s="374">
        <f>IF(ISERROR(VLOOKUP($A28,'Further adjustment'!$A:$BC,53,FALSE)),"-",VLOOKUP($A28,'Further adjustment'!$A:$BC,53,FALSE))</f>
        <v>158.35147568415033</v>
      </c>
      <c r="AA28" s="374">
        <f>IF(ISERROR(VLOOKUP($A28,'Further adjustment'!$A:$BC,52,FALSE)),"-",VLOOKUP($A28,'Further adjustment'!$A:$BC,52,FALSE))</f>
        <v>198.60552620525058</v>
      </c>
      <c r="AB28" s="374">
        <f>IF(ISERROR(VLOOKUP($A28,'Further adjustment'!$A:$BC,55,FALSE)),"-",VLOOKUP($A28,'Further adjustment'!$A:$BC,55,FALSE))</f>
        <v>101.49839996210025</v>
      </c>
      <c r="AC28" s="374">
        <f>IF(ISERROR(VLOOKUP($A28,'Further adjustment'!$A:$BC,54,FALSE)),"-",VLOOKUP($A28,'Further adjustment'!$A:$BC,54,FALSE))</f>
        <v>124.91138679693073</v>
      </c>
      <c r="AD28" s="375">
        <f t="shared" si="8"/>
        <v>-1.4545177571144707E-3</v>
      </c>
      <c r="AE28" s="375">
        <f t="shared" si="9"/>
        <v>0.37278399973910425</v>
      </c>
      <c r="AF28" s="375">
        <f t="shared" si="10"/>
        <v>0</v>
      </c>
      <c r="AG28" s="375">
        <f t="shared" si="11"/>
        <v>0.12849683086192831</v>
      </c>
      <c r="AH28" s="369"/>
      <c r="AI28" s="376">
        <f>'Price Adjustments'!$G$6</f>
        <v>-3.1174571652793026E-2</v>
      </c>
      <c r="AJ28" s="376">
        <v>0</v>
      </c>
      <c r="AK28" s="377">
        <f t="shared" si="31"/>
        <v>153.41493625910928</v>
      </c>
      <c r="AL28" s="377">
        <f t="shared" si="32"/>
        <v>192.41408399792434</v>
      </c>
      <c r="AM28" s="377">
        <f t="shared" si="33"/>
        <v>98.334230819837913</v>
      </c>
      <c r="AN28" s="377">
        <f t="shared" si="34"/>
        <v>121.01732781898006</v>
      </c>
      <c r="AO28" s="378">
        <f t="shared" si="12"/>
        <v>-3.1174571652792915E-2</v>
      </c>
      <c r="AP28" s="378">
        <f t="shared" si="13"/>
        <v>-3.1174571652793026E-2</v>
      </c>
      <c r="AQ28" s="378">
        <f t="shared" si="14"/>
        <v>-3.1174571652793026E-2</v>
      </c>
      <c r="AR28" s="378">
        <f t="shared" si="15"/>
        <v>-3.1174571652793026E-2</v>
      </c>
      <c r="AS28" s="379">
        <f>'Price Adjustments'!$F$6</f>
        <v>0</v>
      </c>
      <c r="AT28" s="377">
        <f>IF(ISERROR(VLOOKUP($A28,'15-16 tariff'!$A:$F,3,FALSE)*(1+$AS$6)),"-",VLOOKUP($A28,'15-16 tariff'!$A:$F,3,FALSE)*(1+$AS$6))</f>
        <v>170.8902902595903</v>
      </c>
      <c r="AU28" s="377">
        <f>IF(ISERROR(VLOOKUP($A28,'15-16 tariff'!$A:$F,4,FALSE)*(1+$AS$6)),"-",VLOOKUP($A28,'15-16 tariff'!$A:$F,4,FALSE)*(1+$AS$6))</f>
        <v>299.97278285998857</v>
      </c>
      <c r="AV28" s="377">
        <f>IF(ISERROR(VLOOKUP($A28,'15-16 tariff'!$A:$F,5,FALSE)*(1+$AS$6)),"-",VLOOKUP($A28,'15-16 tariff'!$A:$F,5,FALSE)*(1+$AS$6))</f>
        <v>142.06684611357159</v>
      </c>
      <c r="AW28" s="377">
        <f>IF(ISERROR(VLOOKUP($A28,'15-16 tariff'!$A:$F,6,FALSE)*(1+$AS$6)),"-",VLOOKUP($A28,'15-16 tariff'!$A:$F,6,FALSE)*(1+$AS$6))</f>
        <v>204.71980593849548</v>
      </c>
      <c r="AX28" s="369"/>
      <c r="AY28" s="380" t="s">
        <v>307</v>
      </c>
      <c r="AZ28" s="380" t="s">
        <v>307</v>
      </c>
      <c r="BA28" s="380" t="s">
        <v>307</v>
      </c>
      <c r="BB28" s="381" t="s">
        <v>307</v>
      </c>
      <c r="BC28" s="381">
        <f t="shared" si="16"/>
        <v>153.41493625910928</v>
      </c>
      <c r="BD28" s="381">
        <f t="shared" si="17"/>
        <v>192.41408399792434</v>
      </c>
      <c r="BE28" s="381">
        <f t="shared" si="18"/>
        <v>98.334230819837913</v>
      </c>
      <c r="BF28" s="381">
        <f t="shared" si="19"/>
        <v>121.01732781898006</v>
      </c>
      <c r="BG28" s="381">
        <f>IFERROR(VLOOKUP($A28,'Further adjustment'!$A:$Q,7,FALSE),0)</f>
        <v>17256</v>
      </c>
      <c r="BH28" s="381">
        <f>IFERROR(VLOOKUP($A28,'Further adjustment'!$A:$Q,6,FALSE),0)</f>
        <v>291</v>
      </c>
      <c r="BI28" s="381">
        <f>IFERROR(VLOOKUP($A28,'Further adjustment'!$A:$Q,9,FALSE),0)</f>
        <v>28440</v>
      </c>
      <c r="BJ28" s="381">
        <f>IFERROR(VLOOKUP($A28,'Further adjustment'!$A:$Q,8,FALSE),0)</f>
        <v>630</v>
      </c>
      <c r="BK28" s="382">
        <f t="shared" si="20"/>
        <v>-3.1174571652792915E-2</v>
      </c>
      <c r="BL28" s="382">
        <f t="shared" si="21"/>
        <v>-3.1174571652793026E-2</v>
      </c>
      <c r="BM28" s="382">
        <f t="shared" si="22"/>
        <v>-3.1174571652793026E-2</v>
      </c>
      <c r="BN28" s="382">
        <f t="shared" si="23"/>
        <v>-3.1174571652793026E-2</v>
      </c>
      <c r="BO28" s="369"/>
      <c r="BP28" s="383">
        <f>'Price Adjustments'!$D$90</f>
        <v>-6.8529657693413348E-2</v>
      </c>
      <c r="BQ28" s="384">
        <f t="shared" si="24"/>
        <v>142.90146319221569</v>
      </c>
      <c r="BR28" s="384">
        <f t="shared" si="25"/>
        <v>179.2280126861549</v>
      </c>
      <c r="BS28" s="384">
        <f t="shared" si="26"/>
        <v>91.595419642209322</v>
      </c>
      <c r="BT28" s="384">
        <f t="shared" si="27"/>
        <v>112.72405176857377</v>
      </c>
      <c r="BU28" s="369"/>
      <c r="BV28" s="385" t="str">
        <f>IF(COUNTIF('Manual adjustments'!$A:$A,A28)=1,"Y",IF(COUNTIF(#REF!,A28)=1,"BPT",""))</f>
        <v>Y</v>
      </c>
      <c r="BW28" s="384">
        <f>IF($BV28="",BQ28,IF(AND($BV28="BPT",IFERROR(ISNUMBER(VLOOKUP($A28,#REF!,3,FALSE)),FALSE)),VLOOKUP($A28,#REF!,3,FALSE),IF(AND($BV28="Y",IFERROR(ISNUMBER(VLOOKUP($A28,'Manual adjustments'!$A:$O,12,FALSE)),FALSE)),VLOOKUP($A28,'Manual adjustments'!$A:$O,12,FALSE),BQ28)))</f>
        <v>142.90146319221569</v>
      </c>
      <c r="BX28" s="384">
        <f>IF($BV28="",BR28,IF(AND($BV28="BPT",IFERROR(ISNUMBER(VLOOKUP($A28,#REF!,4,FALSE)),FALSE)),VLOOKUP($A28,#REF!,4,FALSE),IF(AND($BV28="Y",IFERROR(ISNUMBER(VLOOKUP($A28,'Manual adjustments'!$A:$O,13,FALSE)),FALSE)),VLOOKUP($A28,'Manual adjustments'!$A:$O,13,FALSE),BR28)))</f>
        <v>179.2280126861549</v>
      </c>
      <c r="BY28" s="384">
        <f>IF($BV28="",BS28,IF(AND($BV28="BPT",IFERROR(ISNUMBER(VLOOKUP($A28,#REF!,5,FALSE)),FALSE)),VLOOKUP($A28,#REF!,5,FALSE),IF(AND($BV28="Y",IFERROR(ISNUMBER(VLOOKUP($A28,'Manual adjustments'!$A:$O,14,FALSE)),FALSE)),VLOOKUP($A28,'Manual adjustments'!$A:$O,14,FALSE),BS28)))</f>
        <v>91.595419642209322</v>
      </c>
      <c r="BZ28" s="384">
        <f>IF($BV28="",BT28,IF(AND($BV28="BPT",IFERROR(ISNUMBER(VLOOKUP($A28,#REF!,6,FALSE)),FALSE)),VLOOKUP($A28,#REF!,6,FALSE),IF(AND($BV28="Y",IFERROR(ISNUMBER(VLOOKUP($A28,'Manual adjustments'!$A:$O,15,FALSE)),FALSE)),VLOOKUP($A28,'Manual adjustments'!$A:$O,15,FALSE),BT28)))</f>
        <v>112.72405176857377</v>
      </c>
      <c r="CA28" s="386">
        <f>'Post manual recon'!$N$70</f>
        <v>0</v>
      </c>
      <c r="CB28" s="384">
        <f>IF(VLOOKUP($A28,'Post manual recon'!$A:$U,18,FALSE)=0,BW28,BW28*(1+$CA28))</f>
        <v>142.90146319221569</v>
      </c>
      <c r="CC28" s="384">
        <f>IF(VLOOKUP($A28,'Post manual recon'!$A:$U,19,FALSE)=0,BX28,BX28*(1+$CA28))</f>
        <v>179.2280126861549</v>
      </c>
      <c r="CD28" s="384">
        <f>IF(VLOOKUP($A28,'Post manual recon'!$A:$U,20,FALSE)=0,BY28,BY28*(1+$CA28))</f>
        <v>91.595419642209322</v>
      </c>
      <c r="CE28" s="384">
        <f>IF(VLOOKUP($A28,'Post manual recon'!$A:$U,21,FALSE)=0,BZ28,BZ28*(1+$CA28))</f>
        <v>112.72405176857377</v>
      </c>
      <c r="CF28" s="383">
        <f t="shared" si="35"/>
        <v>0</v>
      </c>
      <c r="CG28" s="383">
        <f t="shared" si="36"/>
        <v>0</v>
      </c>
      <c r="CH28" s="383">
        <f t="shared" si="37"/>
        <v>0</v>
      </c>
      <c r="CI28" s="383">
        <f t="shared" si="38"/>
        <v>0</v>
      </c>
      <c r="CJ28" s="369"/>
      <c r="CK28" s="383">
        <f>'Price Adjustments'!$F$6</f>
        <v>0</v>
      </c>
      <c r="CL28" s="384">
        <f t="shared" si="39"/>
        <v>142.90146319221569</v>
      </c>
      <c r="CM28" s="384">
        <f t="shared" si="40"/>
        <v>179.2280126861549</v>
      </c>
      <c r="CN28" s="384">
        <f t="shared" si="41"/>
        <v>91.595419642209322</v>
      </c>
      <c r="CO28" s="384">
        <f t="shared" si="42"/>
        <v>112.72405176857377</v>
      </c>
      <c r="CP28" s="369"/>
      <c r="CQ28" s="384">
        <f t="shared" si="43"/>
        <v>143</v>
      </c>
      <c r="CR28" s="384">
        <f t="shared" si="44"/>
        <v>179</v>
      </c>
      <c r="CS28" s="384">
        <f t="shared" si="45"/>
        <v>92</v>
      </c>
      <c r="CT28" s="384">
        <f t="shared" si="46"/>
        <v>113</v>
      </c>
    </row>
    <row r="29" spans="1:98">
      <c r="A29" s="367">
        <v>214</v>
      </c>
      <c r="B29" s="367" t="str">
        <f>INDEX('201314 RC list'!B:B,MATCH(A29,'201314 RC list'!A:A,0))</f>
        <v>Paediatric Trauma and Orthopaedics</v>
      </c>
      <c r="C29" s="368">
        <f>IF(ISERROR(VLOOKUP($A29,'Allocate OPROC cost'!A:M,11,FALSE)),"-",VLOOKUP($A29,'Allocate OPROC cost'!A:M,11,FALSE))</f>
        <v>140.52046197475582</v>
      </c>
      <c r="D29" s="368">
        <f>IF(ISERROR(VLOOKUP($A29,'Allocate OPROC cost'!A:M,10,FALSE)),"-",VLOOKUP($A29,'Allocate OPROC cost'!A:M,10,FALSE))</f>
        <v>201.84249454852414</v>
      </c>
      <c r="E29" s="368">
        <f>IF(ISERROR(VLOOKUP($A29,'Allocate OPROC cost'!A:M,13,FALSE)),"-",VLOOKUP($A29,'Allocate OPROC cost'!A:M,13,FALSE))</f>
        <v>124.62885666596449</v>
      </c>
      <c r="F29" s="368">
        <f>IF(ISERROR(VLOOKUP($A29,'Allocate OPROC cost'!A:M,12,FALSE)),"-",VLOOKUP($A29,'Allocate OPROC cost'!A:M,12,FALSE))</f>
        <v>213.63235203287499</v>
      </c>
      <c r="G29" s="369"/>
      <c r="H29" s="370">
        <f>IF(ISERROR(VLOOKUP($A29,'Allocate OPROC cost'!A:AO,39,FALSE)),"-",VLOOKUP($A29,'Allocate OPROC cost'!A:AO,39,FALSE))</f>
        <v>140.48114113032096</v>
      </c>
      <c r="I29" s="370">
        <f>IF(ISERROR(VLOOKUP($A29,'Allocate OPROC cost'!A:AO,38,FALSE)),"-",VLOOKUP($A29,'Allocate OPROC cost'!A:AO,38,FALSE))</f>
        <v>201.74272826087875</v>
      </c>
      <c r="J29" s="370">
        <f>IF(ISERROR(VLOOKUP($A29,'Allocate OPROC cost'!A:AO,41,FALSE)),"-",VLOOKUP($A29,'Allocate OPROC cost'!A:AO,41,FALSE))</f>
        <v>124.61016161904578</v>
      </c>
      <c r="K29" s="370">
        <f>IF(ISERROR(VLOOKUP($A29,'Allocate OPROC cost'!A:AO,40,FALSE)),"-",VLOOKUP($A29,'Allocate OPROC cost'!A:AO,40,FALSE))</f>
        <v>212.8543968288233</v>
      </c>
      <c r="L29" s="371">
        <f t="shared" si="0"/>
        <v>-2.7982290893635575E-4</v>
      </c>
      <c r="M29" s="371">
        <f t="shared" si="1"/>
        <v>-4.9427791639489183E-4</v>
      </c>
      <c r="N29" s="371">
        <f t="shared" si="2"/>
        <v>-1.5000576446599911E-4</v>
      </c>
      <c r="O29" s="371">
        <f t="shared" si="3"/>
        <v>-3.6415608247012399E-3</v>
      </c>
      <c r="P29" s="369"/>
      <c r="Q29" s="372">
        <f>IF(ISERROR(VLOOKUP($A29,'Front-loading'!$A:$AG,27,FALSE)),"-",VLOOKUP($A29,'Front-loading'!$A:$AG,27,FALSE))</f>
        <v>159.34060115837457</v>
      </c>
      <c r="R29" s="372">
        <f>IF(ISERROR(VLOOKUP($A29,'Front-loading'!$A:$AG,26,FALSE)),"-",VLOOKUP($A29,'Front-loading'!$A:$AG,26,FALSE))</f>
        <v>233.49604713067933</v>
      </c>
      <c r="S29" s="372">
        <f>IF(ISERROR(VLOOKUP($A29,'Front-loading'!$A:$AG,29,FALSE)),"-",VLOOKUP($A29,'Front-loading'!$A:$AG,29,FALSE))</f>
        <v>112.1491454571412</v>
      </c>
      <c r="T29" s="372">
        <f>IF(ISERROR(VLOOKUP($A29,'Front-loading'!$A:$AG,28,FALSE)),"-",VLOOKUP($A29,'Front-loading'!$A:$AG,28,FALSE))</f>
        <v>191.56895714594097</v>
      </c>
      <c r="U29" s="373">
        <f t="shared" si="4"/>
        <v>0.13424905205288828</v>
      </c>
      <c r="V29" s="373">
        <f t="shared" si="5"/>
        <v>0.15739510981897475</v>
      </c>
      <c r="W29" s="373">
        <f t="shared" si="6"/>
        <v>-9.9999999999999978E-2</v>
      </c>
      <c r="X29" s="373">
        <f t="shared" si="7"/>
        <v>-9.9999999999999978E-2</v>
      </c>
      <c r="Y29" s="369"/>
      <c r="Z29" s="374">
        <f>IF(ISERROR(VLOOKUP($A29,'Further adjustment'!$A:$BC,53,FALSE)),"-",VLOOKUP($A29,'Further adjustment'!$A:$BC,53,FALSE))</f>
        <v>159.34060115837457</v>
      </c>
      <c r="AA29" s="374">
        <f>IF(ISERROR(VLOOKUP($A29,'Further adjustment'!$A:$BC,52,FALSE)),"-",VLOOKUP($A29,'Further adjustment'!$A:$BC,52,FALSE))</f>
        <v>233.49604713067933</v>
      </c>
      <c r="AB29" s="374">
        <f>IF(ISERROR(VLOOKUP($A29,'Further adjustment'!$A:$BC,55,FALSE)),"-",VLOOKUP($A29,'Further adjustment'!$A:$BC,55,FALSE))</f>
        <v>112.1491454571412</v>
      </c>
      <c r="AC29" s="374">
        <f>IF(ISERROR(VLOOKUP($A29,'Further adjustment'!$A:$BC,54,FALSE)),"-",VLOOKUP($A29,'Further adjustment'!$A:$BC,54,FALSE))</f>
        <v>191.56895714594097</v>
      </c>
      <c r="AD29" s="375">
        <f t="shared" si="8"/>
        <v>0</v>
      </c>
      <c r="AE29" s="375">
        <f t="shared" si="9"/>
        <v>0</v>
      </c>
      <c r="AF29" s="375">
        <f t="shared" si="10"/>
        <v>0</v>
      </c>
      <c r="AG29" s="375">
        <f t="shared" si="11"/>
        <v>0</v>
      </c>
      <c r="AH29" s="369"/>
      <c r="AI29" s="376">
        <f>'Price Adjustments'!$G$6</f>
        <v>-3.1174571652793026E-2</v>
      </c>
      <c r="AJ29" s="376">
        <v>0</v>
      </c>
      <c r="AK29" s="377">
        <f t="shared" si="31"/>
        <v>154.37322617036369</v>
      </c>
      <c r="AL29" s="377">
        <f t="shared" si="32"/>
        <v>226.21690787876003</v>
      </c>
      <c r="AM29" s="377">
        <f t="shared" si="33"/>
        <v>108.65294388628804</v>
      </c>
      <c r="AN29" s="377">
        <f t="shared" si="34"/>
        <v>185.59687696494399</v>
      </c>
      <c r="AO29" s="378">
        <f t="shared" si="12"/>
        <v>-3.1174571652793137E-2</v>
      </c>
      <c r="AP29" s="378">
        <f t="shared" si="13"/>
        <v>-3.1174571652793026E-2</v>
      </c>
      <c r="AQ29" s="378">
        <f t="shared" si="14"/>
        <v>-3.1174571652793026E-2</v>
      </c>
      <c r="AR29" s="378">
        <f t="shared" si="15"/>
        <v>-3.1174571652793026E-2</v>
      </c>
      <c r="AS29" s="379">
        <f>'Price Adjustments'!$F$6</f>
        <v>0</v>
      </c>
      <c r="AT29" s="377">
        <f>IF(ISERROR(VLOOKUP($A29,'15-16 tariff'!$A:$F,3,FALSE)*(1+$AS$6)),"-",VLOOKUP($A29,'15-16 tariff'!$A:$F,3,FALSE)*(1+$AS$6))</f>
        <v>144.01728251064748</v>
      </c>
      <c r="AU29" s="377">
        <f>IF(ISERROR(VLOOKUP($A29,'15-16 tariff'!$A:$F,4,FALSE)*(1+$AS$6)),"-",VLOOKUP($A29,'15-16 tariff'!$A:$F,4,FALSE)*(1+$AS$6))</f>
        <v>144.01728251064748</v>
      </c>
      <c r="AV29" s="377">
        <f>IF(ISERROR(VLOOKUP($A29,'15-16 tariff'!$A:$F,5,FALSE)*(1+$AS$6)),"-",VLOOKUP($A29,'15-16 tariff'!$A:$F,5,FALSE)*(1+$AS$6))</f>
        <v>92.488314240729693</v>
      </c>
      <c r="AW29" s="377">
        <f>IF(ISERROR(VLOOKUP($A29,'15-16 tariff'!$A:$F,6,FALSE)*(1+$AS$6)),"-",VLOOKUP($A29,'15-16 tariff'!$A:$F,6,FALSE)*(1+$AS$6))</f>
        <v>107.82378758052576</v>
      </c>
      <c r="AX29" s="369"/>
      <c r="AY29" s="380" t="s">
        <v>307</v>
      </c>
      <c r="AZ29" s="380" t="s">
        <v>307</v>
      </c>
      <c r="BA29" s="380" t="s">
        <v>307</v>
      </c>
      <c r="BB29" s="381" t="s">
        <v>307</v>
      </c>
      <c r="BC29" s="381">
        <f t="shared" si="16"/>
        <v>154.37322617036369</v>
      </c>
      <c r="BD29" s="381">
        <f t="shared" si="17"/>
        <v>226.21690787876003</v>
      </c>
      <c r="BE29" s="381">
        <f t="shared" si="18"/>
        <v>108.65294388628804</v>
      </c>
      <c r="BF29" s="381">
        <f t="shared" si="19"/>
        <v>185.59687696494399</v>
      </c>
      <c r="BG29" s="381">
        <f>IFERROR(VLOOKUP($A29,'Further adjustment'!$A:$Q,7,FALSE),0)</f>
        <v>82660</v>
      </c>
      <c r="BH29" s="381">
        <f>IFERROR(VLOOKUP($A29,'Further adjustment'!$A:$Q,6,FALSE),0)</f>
        <v>1887</v>
      </c>
      <c r="BI29" s="381">
        <f>IFERROR(VLOOKUP($A29,'Further adjustment'!$A:$Q,9,FALSE),0)</f>
        <v>125104</v>
      </c>
      <c r="BJ29" s="381">
        <f>IFERROR(VLOOKUP($A29,'Further adjustment'!$A:$Q,8,FALSE),0)</f>
        <v>2815</v>
      </c>
      <c r="BK29" s="382">
        <f t="shared" si="20"/>
        <v>-3.1174571652793137E-2</v>
      </c>
      <c r="BL29" s="382">
        <f t="shared" si="21"/>
        <v>-3.1174571652793026E-2</v>
      </c>
      <c r="BM29" s="382">
        <f t="shared" si="22"/>
        <v>-3.1174571652793026E-2</v>
      </c>
      <c r="BN29" s="382">
        <f t="shared" si="23"/>
        <v>-3.1174571652793026E-2</v>
      </c>
      <c r="BO29" s="369"/>
      <c r="BP29" s="383">
        <f>'Price Adjustments'!$D$90</f>
        <v>-6.8529657693413348E-2</v>
      </c>
      <c r="BQ29" s="384">
        <f t="shared" si="24"/>
        <v>143.79408182388079</v>
      </c>
      <c r="BR29" s="384">
        <f t="shared" si="25"/>
        <v>210.71434061736619</v>
      </c>
      <c r="BS29" s="384">
        <f t="shared" si="26"/>
        <v>101.20699483437907</v>
      </c>
      <c r="BT29" s="384">
        <f t="shared" si="27"/>
        <v>172.87798651756981</v>
      </c>
      <c r="BU29" s="369"/>
      <c r="BV29" s="385" t="str">
        <f>IF(COUNTIF('Manual adjustments'!$A:$A,A29)=1,"Y",IF(COUNTIF(#REF!,A29)=1,"BPT",""))</f>
        <v>Y</v>
      </c>
      <c r="BW29" s="384">
        <f>IF($BV29="",BQ29,IF(AND($BV29="BPT",IFERROR(ISNUMBER(VLOOKUP($A29,#REF!,3,FALSE)),FALSE)),VLOOKUP($A29,#REF!,3,FALSE),IF(AND($BV29="Y",IFERROR(ISNUMBER(VLOOKUP($A29,'Manual adjustments'!$A:$O,12,FALSE)),FALSE)),VLOOKUP($A29,'Manual adjustments'!$A:$O,12,FALSE),BQ29)))</f>
        <v>143.79408182388079</v>
      </c>
      <c r="BX29" s="384">
        <f>IF($BV29="",BR29,IF(AND($BV29="BPT",IFERROR(ISNUMBER(VLOOKUP($A29,#REF!,4,FALSE)),FALSE)),VLOOKUP($A29,#REF!,4,FALSE),IF(AND($BV29="Y",IFERROR(ISNUMBER(VLOOKUP($A29,'Manual adjustments'!$A:$O,13,FALSE)),FALSE)),VLOOKUP($A29,'Manual adjustments'!$A:$O,13,FALSE),BR29)))</f>
        <v>210.71434061736619</v>
      </c>
      <c r="BY29" s="384">
        <f>IF($BV29="",BS29,IF(AND($BV29="BPT",IFERROR(ISNUMBER(VLOOKUP($A29,#REF!,5,FALSE)),FALSE)),VLOOKUP($A29,#REF!,5,FALSE),IF(AND($BV29="Y",IFERROR(ISNUMBER(VLOOKUP($A29,'Manual adjustments'!$A:$O,14,FALSE)),FALSE)),VLOOKUP($A29,'Manual adjustments'!$A:$O,14,FALSE),BS29)))</f>
        <v>101.20699483437907</v>
      </c>
      <c r="BZ29" s="384">
        <f>IF($BV29="",BT29,IF(AND($BV29="BPT",IFERROR(ISNUMBER(VLOOKUP($A29,#REF!,6,FALSE)),FALSE)),VLOOKUP($A29,#REF!,6,FALSE),IF(AND($BV29="Y",IFERROR(ISNUMBER(VLOOKUP($A29,'Manual adjustments'!$A:$O,15,FALSE)),FALSE)),VLOOKUP($A29,'Manual adjustments'!$A:$O,15,FALSE),BT29)))</f>
        <v>172.87798651756981</v>
      </c>
      <c r="CA29" s="386">
        <f>'Post manual recon'!$N$70</f>
        <v>0</v>
      </c>
      <c r="CB29" s="384">
        <f>IF(VLOOKUP($A29,'Post manual recon'!$A:$U,18,FALSE)=0,BW29,BW29*(1+$CA29))</f>
        <v>143.79408182388079</v>
      </c>
      <c r="CC29" s="384">
        <f>IF(VLOOKUP($A29,'Post manual recon'!$A:$U,19,FALSE)=0,BX29,BX29*(1+$CA29))</f>
        <v>210.71434061736619</v>
      </c>
      <c r="CD29" s="384">
        <f>IF(VLOOKUP($A29,'Post manual recon'!$A:$U,20,FALSE)=0,BY29,BY29*(1+$CA29))</f>
        <v>101.20699483437907</v>
      </c>
      <c r="CE29" s="384">
        <f>IF(VLOOKUP($A29,'Post manual recon'!$A:$U,21,FALSE)=0,BZ29,BZ29*(1+$CA29))</f>
        <v>172.87798651756981</v>
      </c>
      <c r="CF29" s="383">
        <f t="shared" si="35"/>
        <v>0</v>
      </c>
      <c r="CG29" s="383">
        <f t="shared" si="36"/>
        <v>0</v>
      </c>
      <c r="CH29" s="383">
        <f t="shared" si="37"/>
        <v>0</v>
      </c>
      <c r="CI29" s="383">
        <f t="shared" si="38"/>
        <v>0</v>
      </c>
      <c r="CJ29" s="369"/>
      <c r="CK29" s="383">
        <f>'Price Adjustments'!$F$6</f>
        <v>0</v>
      </c>
      <c r="CL29" s="384">
        <f t="shared" si="39"/>
        <v>143.79408182388079</v>
      </c>
      <c r="CM29" s="384">
        <f t="shared" si="40"/>
        <v>210.71434061736619</v>
      </c>
      <c r="CN29" s="384">
        <f t="shared" si="41"/>
        <v>101.20699483437907</v>
      </c>
      <c r="CO29" s="384">
        <f t="shared" si="42"/>
        <v>172.87798651756981</v>
      </c>
      <c r="CP29" s="369"/>
      <c r="CQ29" s="384">
        <f t="shared" si="43"/>
        <v>144</v>
      </c>
      <c r="CR29" s="384">
        <f t="shared" si="44"/>
        <v>211</v>
      </c>
      <c r="CS29" s="384">
        <f t="shared" si="45"/>
        <v>101</v>
      </c>
      <c r="CT29" s="384">
        <f t="shared" si="46"/>
        <v>173</v>
      </c>
    </row>
    <row r="30" spans="1:98">
      <c r="A30" s="367">
        <v>215</v>
      </c>
      <c r="B30" s="367" t="str">
        <f>INDEX('201314 RC list'!B:B,MATCH(A30,'201314 RC list'!A:A,0))</f>
        <v>Paediatric Ear Nose and Throat</v>
      </c>
      <c r="C30" s="368">
        <f>IF(ISERROR(VLOOKUP($A30,'Allocate OPROC cost'!A:M,11,FALSE)),"-",VLOOKUP($A30,'Allocate OPROC cost'!A:M,11,FALSE))</f>
        <v>118.31073062156074</v>
      </c>
      <c r="D30" s="368">
        <f>IF(ISERROR(VLOOKUP($A30,'Allocate OPROC cost'!A:M,10,FALSE)),"-",VLOOKUP($A30,'Allocate OPROC cost'!A:M,10,FALSE))</f>
        <v>93.619585726631385</v>
      </c>
      <c r="E30" s="368">
        <f>IF(ISERROR(VLOOKUP($A30,'Allocate OPROC cost'!A:M,13,FALSE)),"-",VLOOKUP($A30,'Allocate OPROC cost'!A:M,13,FALSE))</f>
        <v>91.373291308202326</v>
      </c>
      <c r="F30" s="368">
        <f>IF(ISERROR(VLOOKUP($A30,'Allocate OPROC cost'!A:M,12,FALSE)),"-",VLOOKUP($A30,'Allocate OPROC cost'!A:M,12,FALSE))</f>
        <v>95.055131062845689</v>
      </c>
      <c r="G30" s="369"/>
      <c r="H30" s="370">
        <f>IF(ISERROR(VLOOKUP($A30,'Allocate OPROC cost'!A:AO,39,FALSE)),"-",VLOOKUP($A30,'Allocate OPROC cost'!A:AO,39,FALSE))</f>
        <v>118.25901670864468</v>
      </c>
      <c r="I30" s="370">
        <f>IF(ISERROR(VLOOKUP($A30,'Allocate OPROC cost'!A:AO,38,FALSE)),"-",VLOOKUP($A30,'Allocate OPROC cost'!A:AO,38,FALSE))</f>
        <v>93.740116944520082</v>
      </c>
      <c r="J30" s="370">
        <f>IF(ISERROR(VLOOKUP($A30,'Allocate OPROC cost'!A:AO,41,FALSE)),"-",VLOOKUP($A30,'Allocate OPROC cost'!A:AO,41,FALSE))</f>
        <v>92.163093717731826</v>
      </c>
      <c r="K30" s="370">
        <f>IF(ISERROR(VLOOKUP($A30,'Allocate OPROC cost'!A:AO,40,FALSE)),"-",VLOOKUP($A30,'Allocate OPROC cost'!A:AO,40,FALSE))</f>
        <v>95.146367240279432</v>
      </c>
      <c r="L30" s="371">
        <f t="shared" si="0"/>
        <v>-4.3710247282191528E-4</v>
      </c>
      <c r="M30" s="371">
        <f t="shared" si="1"/>
        <v>1.2874572874168599E-3</v>
      </c>
      <c r="N30" s="371">
        <f t="shared" si="2"/>
        <v>8.6436900567092856E-3</v>
      </c>
      <c r="O30" s="371">
        <f t="shared" si="3"/>
        <v>9.5982380344539209E-4</v>
      </c>
      <c r="P30" s="369"/>
      <c r="Q30" s="372">
        <f>IF(ISERROR(VLOOKUP($A30,'Front-loading'!$A:$AG,27,FALSE)),"-",VLOOKUP($A30,'Front-loading'!$A:$AG,27,FALSE))</f>
        <v>131.41922483002452</v>
      </c>
      <c r="R30" s="372">
        <f>IF(ISERROR(VLOOKUP($A30,'Front-loading'!$A:$AG,26,FALSE)),"-",VLOOKUP($A30,'Front-loading'!$A:$AG,26,FALSE))</f>
        <v>108.86281549920582</v>
      </c>
      <c r="S30" s="372">
        <f>IF(ISERROR(VLOOKUP($A30,'Front-loading'!$A:$AG,29,FALSE)),"-",VLOOKUP($A30,'Front-loading'!$A:$AG,29,FALSE))</f>
        <v>82.946784345958633</v>
      </c>
      <c r="T30" s="372">
        <f>IF(ISERROR(VLOOKUP($A30,'Front-loading'!$A:$AG,28,FALSE)),"-",VLOOKUP($A30,'Front-loading'!$A:$AG,28,FALSE))</f>
        <v>85.631730516251494</v>
      </c>
      <c r="U30" s="373">
        <f t="shared" si="4"/>
        <v>0.11128291514382127</v>
      </c>
      <c r="V30" s="373">
        <f t="shared" si="5"/>
        <v>0.16132579142861614</v>
      </c>
      <c r="W30" s="373">
        <f t="shared" si="6"/>
        <v>-0.10000000000000009</v>
      </c>
      <c r="X30" s="373">
        <f t="shared" si="7"/>
        <v>-9.9999999999999978E-2</v>
      </c>
      <c r="Y30" s="369"/>
      <c r="Z30" s="374">
        <f>IF(ISERROR(VLOOKUP($A30,'Further adjustment'!$A:$BC,53,FALSE)),"-",VLOOKUP($A30,'Further adjustment'!$A:$BC,53,FALSE))</f>
        <v>130.3852632122879</v>
      </c>
      <c r="AA30" s="374">
        <f>IF(ISERROR(VLOOKUP($A30,'Further adjustment'!$A:$BC,52,FALSE)),"-",VLOOKUP($A30,'Further adjustment'!$A:$BC,52,FALSE))</f>
        <v>153.04704437523651</v>
      </c>
      <c r="AB30" s="374">
        <f>IF(ISERROR(VLOOKUP($A30,'Further adjustment'!$A:$BC,55,FALSE)),"-",VLOOKUP($A30,'Further adjustment'!$A:$BC,55,FALSE))</f>
        <v>82.946784345958633</v>
      </c>
      <c r="AC30" s="374">
        <f>IF(ISERROR(VLOOKUP($A30,'Further adjustment'!$A:$BC,54,FALSE)),"-",VLOOKUP($A30,'Further adjustment'!$A:$BC,54,FALSE))</f>
        <v>104.12827458938014</v>
      </c>
      <c r="AD30" s="375">
        <f t="shared" si="8"/>
        <v>-7.8676587772750217E-3</v>
      </c>
      <c r="AE30" s="375">
        <f t="shared" si="9"/>
        <v>0.40587071603299685</v>
      </c>
      <c r="AF30" s="375">
        <f t="shared" si="10"/>
        <v>0</v>
      </c>
      <c r="AG30" s="375">
        <f t="shared" si="11"/>
        <v>0.2160010543009907</v>
      </c>
      <c r="AH30" s="369"/>
      <c r="AI30" s="376">
        <f>'Price Adjustments'!$G$6</f>
        <v>-3.1174571652793026E-2</v>
      </c>
      <c r="AJ30" s="376">
        <v>0</v>
      </c>
      <c r="AK30" s="377">
        <f t="shared" si="31"/>
        <v>126.32055848180815</v>
      </c>
      <c r="AL30" s="377">
        <f t="shared" si="32"/>
        <v>148.27586832411251</v>
      </c>
      <c r="AM30" s="377">
        <f t="shared" si="33"/>
        <v>80.360953873996777</v>
      </c>
      <c r="AN30" s="377">
        <f t="shared" si="34"/>
        <v>100.8821202321118</v>
      </c>
      <c r="AO30" s="378">
        <f t="shared" si="12"/>
        <v>-3.1174571652793026E-2</v>
      </c>
      <c r="AP30" s="378">
        <f t="shared" si="13"/>
        <v>-3.1174571652793026E-2</v>
      </c>
      <c r="AQ30" s="378">
        <f t="shared" si="14"/>
        <v>-3.1174571652793026E-2</v>
      </c>
      <c r="AR30" s="378">
        <f t="shared" si="15"/>
        <v>-3.1174571652793026E-2</v>
      </c>
      <c r="AS30" s="379">
        <f>'Price Adjustments'!$F$6</f>
        <v>0</v>
      </c>
      <c r="AT30" s="377">
        <f>IF(ISERROR(VLOOKUP($A30,'15-16 tariff'!$A:$F,3,FALSE)*(1+$AS$6)),"-",VLOOKUP($A30,'15-16 tariff'!$A:$F,3,FALSE)*(1+$AS$6))</f>
        <v>105.88554271684976</v>
      </c>
      <c r="AU30" s="377">
        <f>IF(ISERROR(VLOOKUP($A30,'15-16 tariff'!$A:$F,4,FALSE)*(1+$AS$6)),"-",VLOOKUP($A30,'15-16 tariff'!$A:$F,4,FALSE)*(1+$AS$6))</f>
        <v>165.32800386763492</v>
      </c>
      <c r="AV30" s="377">
        <f>IF(ISERROR(VLOOKUP($A30,'15-16 tariff'!$A:$F,5,FALSE)*(1+$AS$6)),"-",VLOOKUP($A30,'15-16 tariff'!$A:$F,5,FALSE)*(1+$AS$6))</f>
        <v>65.290580208896841</v>
      </c>
      <c r="AW30" s="377">
        <f>IF(ISERROR(VLOOKUP($A30,'15-16 tariff'!$A:$F,6,FALSE)*(1+$AS$6)),"-",VLOOKUP($A30,'15-16 tariff'!$A:$F,6,FALSE)*(1+$AS$6))</f>
        <v>90.510990015854375</v>
      </c>
      <c r="AX30" s="369"/>
      <c r="AY30" s="380" t="s">
        <v>307</v>
      </c>
      <c r="AZ30" s="380" t="s">
        <v>307</v>
      </c>
      <c r="BA30" s="380" t="s">
        <v>307</v>
      </c>
      <c r="BB30" s="381" t="s">
        <v>307</v>
      </c>
      <c r="BC30" s="381">
        <f t="shared" si="16"/>
        <v>126.32055848180815</v>
      </c>
      <c r="BD30" s="381">
        <f t="shared" si="17"/>
        <v>148.27586832411251</v>
      </c>
      <c r="BE30" s="381">
        <f t="shared" si="18"/>
        <v>80.360953873996777</v>
      </c>
      <c r="BF30" s="381">
        <f t="shared" si="19"/>
        <v>100.8821202321118</v>
      </c>
      <c r="BG30" s="381">
        <f>IFERROR(VLOOKUP($A30,'Further adjustment'!$A:$Q,7,FALSE),0)</f>
        <v>40507</v>
      </c>
      <c r="BH30" s="381">
        <f>IFERROR(VLOOKUP($A30,'Further adjustment'!$A:$Q,6,FALSE),0)</f>
        <v>1946</v>
      </c>
      <c r="BI30" s="381">
        <f>IFERROR(VLOOKUP($A30,'Further adjustment'!$A:$Q,9,FALSE),0)</f>
        <v>57841</v>
      </c>
      <c r="BJ30" s="381">
        <f>IFERROR(VLOOKUP($A30,'Further adjustment'!$A:$Q,8,FALSE),0)</f>
        <v>3093</v>
      </c>
      <c r="BK30" s="382">
        <f t="shared" si="20"/>
        <v>-3.1174571652793026E-2</v>
      </c>
      <c r="BL30" s="382">
        <f t="shared" si="21"/>
        <v>-3.1174571652793026E-2</v>
      </c>
      <c r="BM30" s="382">
        <f t="shared" si="22"/>
        <v>-3.1174571652793026E-2</v>
      </c>
      <c r="BN30" s="382">
        <f t="shared" si="23"/>
        <v>-3.1174571652793026E-2</v>
      </c>
      <c r="BO30" s="369"/>
      <c r="BP30" s="383">
        <f>'Price Adjustments'!$D$90</f>
        <v>-6.8529657693413348E-2</v>
      </c>
      <c r="BQ30" s="384">
        <f t="shared" si="24"/>
        <v>117.66385384940904</v>
      </c>
      <c r="BR30" s="384">
        <f t="shared" si="25"/>
        <v>138.11457382366746</v>
      </c>
      <c r="BS30" s="384">
        <f t="shared" si="26"/>
        <v>74.853845213095596</v>
      </c>
      <c r="BT30" s="384">
        <f t="shared" si="27"/>
        <v>93.968703065219415</v>
      </c>
      <c r="BU30" s="369"/>
      <c r="BV30" s="385" t="str">
        <f>IF(COUNTIF('Manual adjustments'!$A:$A,A30)=1,"Y",IF(COUNTIF(#REF!,A30)=1,"BPT",""))</f>
        <v>Y</v>
      </c>
      <c r="BW30" s="384">
        <f>IF($BV30="",BQ30,IF(AND($BV30="BPT",IFERROR(ISNUMBER(VLOOKUP($A30,#REF!,3,FALSE)),FALSE)),VLOOKUP($A30,#REF!,3,FALSE),IF(AND($BV30="Y",IFERROR(ISNUMBER(VLOOKUP($A30,'Manual adjustments'!$A:$O,12,FALSE)),FALSE)),VLOOKUP($A30,'Manual adjustments'!$A:$O,12,FALSE),BQ30)))</f>
        <v>117.66385384940904</v>
      </c>
      <c r="BX30" s="384">
        <f>IF($BV30="",BR30,IF(AND($BV30="BPT",IFERROR(ISNUMBER(VLOOKUP($A30,#REF!,4,FALSE)),FALSE)),VLOOKUP($A30,#REF!,4,FALSE),IF(AND($BV30="Y",IFERROR(ISNUMBER(VLOOKUP($A30,'Manual adjustments'!$A:$O,13,FALSE)),FALSE)),VLOOKUP($A30,'Manual adjustments'!$A:$O,13,FALSE),BR30)))</f>
        <v>138.11457382366746</v>
      </c>
      <c r="BY30" s="384">
        <f>IF($BV30="",BS30,IF(AND($BV30="BPT",IFERROR(ISNUMBER(VLOOKUP($A30,#REF!,5,FALSE)),FALSE)),VLOOKUP($A30,#REF!,5,FALSE),IF(AND($BV30="Y",IFERROR(ISNUMBER(VLOOKUP($A30,'Manual adjustments'!$A:$O,14,FALSE)),FALSE)),VLOOKUP($A30,'Manual adjustments'!$A:$O,14,FALSE),BS30)))</f>
        <v>74.853845213095596</v>
      </c>
      <c r="BZ30" s="384">
        <f>IF($BV30="",BT30,IF(AND($BV30="BPT",IFERROR(ISNUMBER(VLOOKUP($A30,#REF!,6,FALSE)),FALSE)),VLOOKUP($A30,#REF!,6,FALSE),IF(AND($BV30="Y",IFERROR(ISNUMBER(VLOOKUP($A30,'Manual adjustments'!$A:$O,15,FALSE)),FALSE)),VLOOKUP($A30,'Manual adjustments'!$A:$O,15,FALSE),BT30)))</f>
        <v>93.968703065219415</v>
      </c>
      <c r="CA30" s="386">
        <f>'Post manual recon'!$N$70</f>
        <v>0</v>
      </c>
      <c r="CB30" s="384">
        <f>IF(VLOOKUP($A30,'Post manual recon'!$A:$U,18,FALSE)=0,BW30,BW30*(1+$CA30))</f>
        <v>117.66385384940904</v>
      </c>
      <c r="CC30" s="384">
        <f>IF(VLOOKUP($A30,'Post manual recon'!$A:$U,19,FALSE)=0,BX30,BX30*(1+$CA30))</f>
        <v>138.11457382366746</v>
      </c>
      <c r="CD30" s="384">
        <f>IF(VLOOKUP($A30,'Post manual recon'!$A:$U,20,FALSE)=0,BY30,BY30*(1+$CA30))</f>
        <v>74.853845213095596</v>
      </c>
      <c r="CE30" s="384">
        <f>IF(VLOOKUP($A30,'Post manual recon'!$A:$U,21,FALSE)=0,BZ30,BZ30*(1+$CA30))</f>
        <v>93.968703065219415</v>
      </c>
      <c r="CF30" s="383">
        <f t="shared" si="35"/>
        <v>0</v>
      </c>
      <c r="CG30" s="383">
        <f t="shared" si="36"/>
        <v>0</v>
      </c>
      <c r="CH30" s="383">
        <f t="shared" si="37"/>
        <v>0</v>
      </c>
      <c r="CI30" s="383">
        <f t="shared" si="38"/>
        <v>0</v>
      </c>
      <c r="CJ30" s="369"/>
      <c r="CK30" s="383">
        <f>'Price Adjustments'!$F$6</f>
        <v>0</v>
      </c>
      <c r="CL30" s="384">
        <f t="shared" si="39"/>
        <v>117.66385384940904</v>
      </c>
      <c r="CM30" s="384">
        <f t="shared" si="40"/>
        <v>138.11457382366746</v>
      </c>
      <c r="CN30" s="384">
        <f t="shared" si="41"/>
        <v>74.853845213095596</v>
      </c>
      <c r="CO30" s="384">
        <f t="shared" si="42"/>
        <v>93.968703065219415</v>
      </c>
      <c r="CP30" s="369"/>
      <c r="CQ30" s="384">
        <f t="shared" si="43"/>
        <v>118</v>
      </c>
      <c r="CR30" s="384">
        <f t="shared" si="44"/>
        <v>138</v>
      </c>
      <c r="CS30" s="384">
        <f t="shared" si="45"/>
        <v>75</v>
      </c>
      <c r="CT30" s="384">
        <f t="shared" si="46"/>
        <v>94</v>
      </c>
    </row>
    <row r="31" spans="1:98">
      <c r="A31" s="367">
        <v>216</v>
      </c>
      <c r="B31" s="367" t="str">
        <f>INDEX('201314 RC list'!B:B,MATCH(A31,'201314 RC list'!A:A,0))</f>
        <v>Paediatric Ophthalmology</v>
      </c>
      <c r="C31" s="368">
        <f>IF(ISERROR(VLOOKUP($A31,'Allocate OPROC cost'!A:M,11,FALSE)),"-",VLOOKUP($A31,'Allocate OPROC cost'!A:M,11,FALSE))</f>
        <v>105.94757777222709</v>
      </c>
      <c r="D31" s="368">
        <f>IF(ISERROR(VLOOKUP($A31,'Allocate OPROC cost'!A:M,10,FALSE)),"-",VLOOKUP($A31,'Allocate OPROC cost'!A:M,10,FALSE))</f>
        <v>118.57736276568647</v>
      </c>
      <c r="E31" s="368">
        <f>IF(ISERROR(VLOOKUP($A31,'Allocate OPROC cost'!A:M,13,FALSE)),"-",VLOOKUP($A31,'Allocate OPROC cost'!A:M,13,FALSE))</f>
        <v>100.70711477945662</v>
      </c>
      <c r="F31" s="368">
        <f>IF(ISERROR(VLOOKUP($A31,'Allocate OPROC cost'!A:M,12,FALSE)),"-",VLOOKUP($A31,'Allocate OPROC cost'!A:M,12,FALSE))</f>
        <v>106.72382107769951</v>
      </c>
      <c r="G31" s="369"/>
      <c r="H31" s="370">
        <f>IF(ISERROR(VLOOKUP($A31,'Allocate OPROC cost'!A:AO,39,FALSE)),"-",VLOOKUP($A31,'Allocate OPROC cost'!A:AO,39,FALSE))</f>
        <v>105.99025108857853</v>
      </c>
      <c r="I31" s="370">
        <f>IF(ISERROR(VLOOKUP($A31,'Allocate OPROC cost'!A:AO,38,FALSE)),"-",VLOOKUP($A31,'Allocate OPROC cost'!A:AO,38,FALSE))</f>
        <v>118.53434001085738</v>
      </c>
      <c r="J31" s="370">
        <f>IF(ISERROR(VLOOKUP($A31,'Allocate OPROC cost'!A:AO,41,FALSE)),"-",VLOOKUP($A31,'Allocate OPROC cost'!A:AO,41,FALSE))</f>
        <v>100.78773676289673</v>
      </c>
      <c r="K31" s="370">
        <f>IF(ISERROR(VLOOKUP($A31,'Allocate OPROC cost'!A:AO,40,FALSE)),"-",VLOOKUP($A31,'Allocate OPROC cost'!A:AO,40,FALSE))</f>
        <v>106.94248929268453</v>
      </c>
      <c r="L31" s="371">
        <f t="shared" si="0"/>
        <v>4.0277764955787276E-4</v>
      </c>
      <c r="M31" s="371">
        <f t="shared" si="1"/>
        <v>-3.6282435218359943E-4</v>
      </c>
      <c r="N31" s="371">
        <f t="shared" si="2"/>
        <v>8.0055896365083257E-4</v>
      </c>
      <c r="O31" s="371">
        <f t="shared" si="3"/>
        <v>2.0489166596258102E-3</v>
      </c>
      <c r="P31" s="369"/>
      <c r="Q31" s="372">
        <f>IF(ISERROR(VLOOKUP($A31,'Front-loading'!$A:$AG,27,FALSE)),"-",VLOOKUP($A31,'Front-loading'!$A:$AG,27,FALSE))</f>
        <v>131.52224819984153</v>
      </c>
      <c r="R31" s="372">
        <f>IF(ISERROR(VLOOKUP($A31,'Front-loading'!$A:$AG,26,FALSE)),"-",VLOOKUP($A31,'Front-loading'!$A:$AG,26,FALSE))</f>
        <v>140.51824490947871</v>
      </c>
      <c r="S31" s="372">
        <f>IF(ISERROR(VLOOKUP($A31,'Front-loading'!$A:$AG,29,FALSE)),"-",VLOOKUP($A31,'Front-loading'!$A:$AG,29,FALSE))</f>
        <v>90.708963086607056</v>
      </c>
      <c r="T31" s="372">
        <f>IF(ISERROR(VLOOKUP($A31,'Front-loading'!$A:$AG,28,FALSE)),"-",VLOOKUP($A31,'Front-loading'!$A:$AG,28,FALSE))</f>
        <v>96.248240363416087</v>
      </c>
      <c r="U31" s="373">
        <f t="shared" si="4"/>
        <v>0.24089005214192105</v>
      </c>
      <c r="V31" s="373">
        <f t="shared" si="5"/>
        <v>0.18546443922164402</v>
      </c>
      <c r="W31" s="373">
        <f t="shared" si="6"/>
        <v>-9.9999999999999978E-2</v>
      </c>
      <c r="X31" s="373">
        <f t="shared" si="7"/>
        <v>-9.9999999999999867E-2</v>
      </c>
      <c r="Y31" s="369"/>
      <c r="Z31" s="374">
        <f>IF(ISERROR(VLOOKUP($A31,'Further adjustment'!$A:$BC,53,FALSE)),"-",VLOOKUP($A31,'Further adjustment'!$A:$BC,53,FALSE))</f>
        <v>131.52224819984153</v>
      </c>
      <c r="AA31" s="374">
        <f>IF(ISERROR(VLOOKUP($A31,'Further adjustment'!$A:$BC,52,FALSE)),"-",VLOOKUP($A31,'Further adjustment'!$A:$BC,52,FALSE))</f>
        <v>152.09234073194932</v>
      </c>
      <c r="AB31" s="374">
        <f>IF(ISERROR(VLOOKUP($A31,'Further adjustment'!$A:$BC,55,FALSE)),"-",VLOOKUP($A31,'Further adjustment'!$A:$BC,55,FALSE))</f>
        <v>90.708963086607056</v>
      </c>
      <c r="AC31" s="374">
        <f>IF(ISERROR(VLOOKUP($A31,'Further adjustment'!$A:$BC,54,FALSE)),"-",VLOOKUP($A31,'Further adjustment'!$A:$BC,54,FALSE))</f>
        <v>96.248240363416087</v>
      </c>
      <c r="AD31" s="375">
        <f t="shared" si="8"/>
        <v>0</v>
      </c>
      <c r="AE31" s="375">
        <f t="shared" si="9"/>
        <v>8.236721025036009E-2</v>
      </c>
      <c r="AF31" s="375">
        <f t="shared" si="10"/>
        <v>0</v>
      </c>
      <c r="AG31" s="375">
        <f t="shared" si="11"/>
        <v>0</v>
      </c>
      <c r="AH31" s="369"/>
      <c r="AI31" s="376">
        <f>'Price Adjustments'!$G$6</f>
        <v>-3.1174571652793026E-2</v>
      </c>
      <c r="AJ31" s="376">
        <v>0</v>
      </c>
      <c r="AK31" s="377">
        <f t="shared" si="31"/>
        <v>127.42209844939914</v>
      </c>
      <c r="AL31" s="377">
        <f t="shared" si="32"/>
        <v>147.35092715796014</v>
      </c>
      <c r="AM31" s="377">
        <f t="shared" si="33"/>
        <v>87.881150017313061</v>
      </c>
      <c r="AN31" s="377">
        <f t="shared" si="34"/>
        <v>93.247742697751534</v>
      </c>
      <c r="AO31" s="378">
        <f t="shared" si="12"/>
        <v>-3.1174571652793026E-2</v>
      </c>
      <c r="AP31" s="378">
        <f t="shared" si="13"/>
        <v>-3.1174571652793137E-2</v>
      </c>
      <c r="AQ31" s="378">
        <f t="shared" si="14"/>
        <v>-3.1174571652793137E-2</v>
      </c>
      <c r="AR31" s="378">
        <f t="shared" si="15"/>
        <v>-3.1174571652792915E-2</v>
      </c>
      <c r="AS31" s="379">
        <f>'Price Adjustments'!$F$6</f>
        <v>0</v>
      </c>
      <c r="AT31" s="377">
        <f>IF(ISERROR(VLOOKUP($A31,'15-16 tariff'!$A:$F,3,FALSE)*(1+$AS$6)),"-",VLOOKUP($A31,'15-16 tariff'!$A:$F,3,FALSE)*(1+$AS$6))</f>
        <v>134.11275840262138</v>
      </c>
      <c r="AU31" s="377">
        <f>IF(ISERROR(VLOOKUP($A31,'15-16 tariff'!$A:$F,4,FALSE)*(1+$AS$6)),"-",VLOOKUP($A31,'15-16 tariff'!$A:$F,4,FALSE)*(1+$AS$6))</f>
        <v>163.53522167468603</v>
      </c>
      <c r="AV31" s="377">
        <f>IF(ISERROR(VLOOKUP($A31,'15-16 tariff'!$A:$F,5,FALSE)*(1+$AS$6)),"-",VLOOKUP($A31,'15-16 tariff'!$A:$F,5,FALSE)*(1+$AS$6))</f>
        <v>80.586110844261711</v>
      </c>
      <c r="AW31" s="377">
        <f>IF(ISERROR(VLOOKUP($A31,'15-16 tariff'!$A:$F,6,FALSE)*(1+$AS$6)),"-",VLOOKUP($A31,'15-16 tariff'!$A:$F,6,FALSE)*(1+$AS$6))</f>
        <v>133.77184682374534</v>
      </c>
      <c r="AX31" s="369"/>
      <c r="AY31" s="380" t="s">
        <v>307</v>
      </c>
      <c r="AZ31" s="380" t="s">
        <v>307</v>
      </c>
      <c r="BA31" s="380" t="s">
        <v>307</v>
      </c>
      <c r="BB31" s="381" t="s">
        <v>307</v>
      </c>
      <c r="BC31" s="381">
        <f t="shared" si="16"/>
        <v>127.42209844939914</v>
      </c>
      <c r="BD31" s="381">
        <f t="shared" si="17"/>
        <v>147.35092715796014</v>
      </c>
      <c r="BE31" s="381">
        <f t="shared" si="18"/>
        <v>87.881150017313061</v>
      </c>
      <c r="BF31" s="381">
        <f t="shared" si="19"/>
        <v>93.247742697751534</v>
      </c>
      <c r="BG31" s="381">
        <f>IFERROR(VLOOKUP($A31,'Further adjustment'!$A:$Q,7,FALSE),0)</f>
        <v>54731</v>
      </c>
      <c r="BH31" s="381">
        <f>IFERROR(VLOOKUP($A31,'Further adjustment'!$A:$Q,6,FALSE),0)</f>
        <v>2317</v>
      </c>
      <c r="BI31" s="381">
        <f>IFERROR(VLOOKUP($A31,'Further adjustment'!$A:$Q,9,FALSE),0)</f>
        <v>138647</v>
      </c>
      <c r="BJ31" s="381">
        <f>IFERROR(VLOOKUP($A31,'Further adjustment'!$A:$Q,8,FALSE),0)</f>
        <v>4763</v>
      </c>
      <c r="BK31" s="382">
        <f t="shared" si="20"/>
        <v>-3.1174571652793026E-2</v>
      </c>
      <c r="BL31" s="382">
        <f t="shared" si="21"/>
        <v>-3.1174571652793137E-2</v>
      </c>
      <c r="BM31" s="382">
        <f t="shared" si="22"/>
        <v>-3.1174571652793137E-2</v>
      </c>
      <c r="BN31" s="382">
        <f t="shared" si="23"/>
        <v>-3.1174571652792915E-2</v>
      </c>
      <c r="BO31" s="369"/>
      <c r="BP31" s="383">
        <f>'Price Adjustments'!$D$90</f>
        <v>-6.8529657693413348E-2</v>
      </c>
      <c r="BQ31" s="384">
        <f t="shared" si="24"/>
        <v>118.6899056600854</v>
      </c>
      <c r="BR31" s="384">
        <f t="shared" si="25"/>
        <v>137.25301855901805</v>
      </c>
      <c r="BS31" s="384">
        <f t="shared" si="26"/>
        <v>81.858684888923094</v>
      </c>
      <c r="BT31" s="384">
        <f t="shared" si="27"/>
        <v>86.857506809991136</v>
      </c>
      <c r="BU31" s="369"/>
      <c r="BV31" s="385" t="str">
        <f>IF(COUNTIF('Manual adjustments'!$A:$A,A31)=1,"Y",IF(COUNTIF(#REF!,A31)=1,"BPT",""))</f>
        <v>Y</v>
      </c>
      <c r="BW31" s="384">
        <f>IF($BV31="",BQ31,IF(AND($BV31="BPT",IFERROR(ISNUMBER(VLOOKUP($A31,#REF!,3,FALSE)),FALSE)),VLOOKUP($A31,#REF!,3,FALSE),IF(AND($BV31="Y",IFERROR(ISNUMBER(VLOOKUP($A31,'Manual adjustments'!$A:$O,12,FALSE)),FALSE)),VLOOKUP($A31,'Manual adjustments'!$A:$O,12,FALSE),BQ31)))</f>
        <v>118.6899056600854</v>
      </c>
      <c r="BX31" s="384">
        <f>IF($BV31="",BR31,IF(AND($BV31="BPT",IFERROR(ISNUMBER(VLOOKUP($A31,#REF!,4,FALSE)),FALSE)),VLOOKUP($A31,#REF!,4,FALSE),IF(AND($BV31="Y",IFERROR(ISNUMBER(VLOOKUP($A31,'Manual adjustments'!$A:$O,13,FALSE)),FALSE)),VLOOKUP($A31,'Manual adjustments'!$A:$O,13,FALSE),BR31)))</f>
        <v>137.25301855901805</v>
      </c>
      <c r="BY31" s="384">
        <f>IF($BV31="",BS31,IF(AND($BV31="BPT",IFERROR(ISNUMBER(VLOOKUP($A31,#REF!,5,FALSE)),FALSE)),VLOOKUP($A31,#REF!,5,FALSE),IF(AND($BV31="Y",IFERROR(ISNUMBER(VLOOKUP($A31,'Manual adjustments'!$A:$O,14,FALSE)),FALSE)),VLOOKUP($A31,'Manual adjustments'!$A:$O,14,FALSE),BS31)))</f>
        <v>81.858684888923094</v>
      </c>
      <c r="BZ31" s="384">
        <f>IF($BV31="",BT31,IF(AND($BV31="BPT",IFERROR(ISNUMBER(VLOOKUP($A31,#REF!,6,FALSE)),FALSE)),VLOOKUP($A31,#REF!,6,FALSE),IF(AND($BV31="Y",IFERROR(ISNUMBER(VLOOKUP($A31,'Manual adjustments'!$A:$O,15,FALSE)),FALSE)),VLOOKUP($A31,'Manual adjustments'!$A:$O,15,FALSE),BT31)))</f>
        <v>86.857506809991136</v>
      </c>
      <c r="CA31" s="387">
        <f>'Post manual recon'!$N$70</f>
        <v>0</v>
      </c>
      <c r="CB31" s="384">
        <f>IF(VLOOKUP($A31,'Post manual recon'!$A:$U,18,FALSE)=0,BW31,BW31*(1+$CA31))</f>
        <v>118.6899056600854</v>
      </c>
      <c r="CC31" s="384">
        <f>IF(VLOOKUP($A31,'Post manual recon'!$A:$U,19,FALSE)=0,BX31,BX31*(1+$CA31))</f>
        <v>137.25301855901805</v>
      </c>
      <c r="CD31" s="384">
        <f>IF(VLOOKUP($A31,'Post manual recon'!$A:$U,20,FALSE)=0,BY31,BY31*(1+$CA31))</f>
        <v>81.858684888923094</v>
      </c>
      <c r="CE31" s="384">
        <f>IF(VLOOKUP($A31,'Post manual recon'!$A:$U,21,FALSE)=0,BZ31,BZ31*(1+$CA31))</f>
        <v>86.857506809991136</v>
      </c>
      <c r="CF31" s="383">
        <f t="shared" si="35"/>
        <v>0</v>
      </c>
      <c r="CG31" s="383">
        <f t="shared" si="36"/>
        <v>0</v>
      </c>
      <c r="CH31" s="383">
        <f t="shared" si="37"/>
        <v>0</v>
      </c>
      <c r="CI31" s="383">
        <f t="shared" si="38"/>
        <v>0</v>
      </c>
      <c r="CJ31" s="369"/>
      <c r="CK31" s="383">
        <f>'Price Adjustments'!$F$6</f>
        <v>0</v>
      </c>
      <c r="CL31" s="384">
        <f t="shared" si="39"/>
        <v>118.6899056600854</v>
      </c>
      <c r="CM31" s="384">
        <f t="shared" si="40"/>
        <v>137.25301855901805</v>
      </c>
      <c r="CN31" s="384">
        <f t="shared" si="41"/>
        <v>81.858684888923094</v>
      </c>
      <c r="CO31" s="384">
        <f t="shared" si="42"/>
        <v>86.857506809991136</v>
      </c>
      <c r="CP31" s="369"/>
      <c r="CQ31" s="384">
        <f t="shared" si="43"/>
        <v>119</v>
      </c>
      <c r="CR31" s="384">
        <f t="shared" si="44"/>
        <v>137</v>
      </c>
      <c r="CS31" s="384">
        <f t="shared" si="45"/>
        <v>82</v>
      </c>
      <c r="CT31" s="384">
        <f t="shared" si="46"/>
        <v>87</v>
      </c>
    </row>
    <row r="32" spans="1:98">
      <c r="A32" s="367">
        <v>217</v>
      </c>
      <c r="B32" s="367" t="str">
        <f>INDEX('201314 RC list'!B:B,MATCH(A32,'201314 RC list'!A:A,0))</f>
        <v>Paediatric Maxillo-Facial Surgery</v>
      </c>
      <c r="C32" s="368">
        <f>IF(ISERROR(VLOOKUP($A32,'Allocate OPROC cost'!A:M,11,FALSE)),"-",VLOOKUP($A32,'Allocate OPROC cost'!A:M,11,FALSE))</f>
        <v>104.21133043993945</v>
      </c>
      <c r="D32" s="368">
        <f>IF(ISERROR(VLOOKUP($A32,'Allocate OPROC cost'!A:M,10,FALSE)),"-",VLOOKUP($A32,'Allocate OPROC cost'!A:M,10,FALSE))</f>
        <v>229.99911327604534</v>
      </c>
      <c r="E32" s="368">
        <f>IF(ISERROR(VLOOKUP($A32,'Allocate OPROC cost'!A:M,13,FALSE)),"-",VLOOKUP($A32,'Allocate OPROC cost'!A:M,13,FALSE))</f>
        <v>122.55828214539753</v>
      </c>
      <c r="F32" s="368">
        <f>IF(ISERROR(VLOOKUP($A32,'Allocate OPROC cost'!A:M,12,FALSE)),"-",VLOOKUP($A32,'Allocate OPROC cost'!A:M,12,FALSE))</f>
        <v>382.78278328902218</v>
      </c>
      <c r="G32" s="369"/>
      <c r="H32" s="370">
        <f>IF(ISERROR(VLOOKUP($A32,'Allocate OPROC cost'!A:AO,39,FALSE)),"-",VLOOKUP($A32,'Allocate OPROC cost'!A:AO,39,FALSE))</f>
        <v>104.36433346001891</v>
      </c>
      <c r="I32" s="370">
        <f>IF(ISERROR(VLOOKUP($A32,'Allocate OPROC cost'!A:AO,38,FALSE)),"-",VLOOKUP($A32,'Allocate OPROC cost'!A:AO,38,FALSE))</f>
        <v>226.08490755275002</v>
      </c>
      <c r="J32" s="370">
        <f>IF(ISERROR(VLOOKUP($A32,'Allocate OPROC cost'!A:AO,41,FALSE)),"-",VLOOKUP($A32,'Allocate OPROC cost'!A:AO,41,FALSE))</f>
        <v>122.47116349666602</v>
      </c>
      <c r="K32" s="370">
        <f>IF(ISERROR(VLOOKUP($A32,'Allocate OPROC cost'!A:AO,40,FALSE)),"-",VLOOKUP($A32,'Allocate OPROC cost'!A:AO,40,FALSE))</f>
        <v>378.59978166471137</v>
      </c>
      <c r="L32" s="371">
        <f t="shared" si="0"/>
        <v>1.4681994696119638E-3</v>
      </c>
      <c r="M32" s="371">
        <f t="shared" si="1"/>
        <v>-1.7018351364674444E-2</v>
      </c>
      <c r="N32" s="371">
        <f t="shared" si="2"/>
        <v>-7.1083444714203914E-4</v>
      </c>
      <c r="O32" s="371">
        <f t="shared" si="3"/>
        <v>-1.0927872952824047E-2</v>
      </c>
      <c r="P32" s="369"/>
      <c r="Q32" s="372">
        <f>IF(ISERROR(VLOOKUP($A32,'Front-loading'!$A:$AG,27,FALSE)),"-",VLOOKUP($A32,'Front-loading'!$A:$AG,27,FALSE))</f>
        <v>118.18932317570713</v>
      </c>
      <c r="R32" s="372">
        <f>IF(ISERROR(VLOOKUP($A32,'Front-loading'!$A:$AG,26,FALSE)),"-",VLOOKUP($A32,'Front-loading'!$A:$AG,26,FALSE))</f>
        <v>339.12736132912505</v>
      </c>
      <c r="S32" s="372">
        <f>IF(ISERROR(VLOOKUP($A32,'Front-loading'!$A:$AG,29,FALSE)),"-",VLOOKUP($A32,'Front-loading'!$A:$AG,29,FALSE))</f>
        <v>110.22404714699942</v>
      </c>
      <c r="T32" s="372">
        <f>IF(ISERROR(VLOOKUP($A32,'Front-loading'!$A:$AG,28,FALSE)),"-",VLOOKUP($A32,'Front-loading'!$A:$AG,28,FALSE))</f>
        <v>340.73980349824024</v>
      </c>
      <c r="U32" s="373">
        <f t="shared" si="4"/>
        <v>0.13246852882919491</v>
      </c>
      <c r="V32" s="373">
        <f t="shared" si="5"/>
        <v>0.5</v>
      </c>
      <c r="W32" s="373">
        <f t="shared" si="6"/>
        <v>-9.9999999999999978E-2</v>
      </c>
      <c r="X32" s="373">
        <f t="shared" si="7"/>
        <v>-9.9999999999999978E-2</v>
      </c>
      <c r="Y32" s="369"/>
      <c r="Z32" s="374">
        <f>IF(ISERROR(VLOOKUP($A32,'Further adjustment'!$A:$BC,53,FALSE)),"-",VLOOKUP($A32,'Further adjustment'!$A:$BC,53,FALSE))</f>
        <v>120.99988361194939</v>
      </c>
      <c r="AA32" s="374">
        <f>IF(ISERROR(VLOOKUP($A32,'Further adjustment'!$A:$BC,52,FALSE)),"-",VLOOKUP($A32,'Further adjustment'!$A:$BC,52,FALSE))</f>
        <v>241.31801461406957</v>
      </c>
      <c r="AB32" s="374">
        <f>IF(ISERROR(VLOOKUP($A32,'Further adjustment'!$A:$BC,55,FALSE)),"-",VLOOKUP($A32,'Further adjustment'!$A:$BC,55,FALSE))</f>
        <v>117.71288675058065</v>
      </c>
      <c r="AC32" s="374">
        <f>IF(ISERROR(VLOOKUP($A32,'Further adjustment'!$A:$BC,54,FALSE)),"-",VLOOKUP($A32,'Further adjustment'!$A:$BC,54,FALSE))</f>
        <v>235.4257735011613</v>
      </c>
      <c r="AD32" s="375">
        <f t="shared" si="8"/>
        <v>2.3780155099660805E-2</v>
      </c>
      <c r="AE32" s="375">
        <f t="shared" si="9"/>
        <v>-0.28841479004146453</v>
      </c>
      <c r="AF32" s="375">
        <f t="shared" si="10"/>
        <v>6.7941976342002608E-2</v>
      </c>
      <c r="AG32" s="375">
        <f t="shared" si="11"/>
        <v>-0.3090746338286916</v>
      </c>
      <c r="AH32" s="369"/>
      <c r="AI32" s="376">
        <f>'Price Adjustments'!$G$6</f>
        <v>-3.1174571652793026E-2</v>
      </c>
      <c r="AJ32" s="376">
        <v>0</v>
      </c>
      <c r="AK32" s="377">
        <f t="shared" si="31"/>
        <v>117.22776407030905</v>
      </c>
      <c r="AL32" s="377">
        <f t="shared" si="32"/>
        <v>233.79502887637349</v>
      </c>
      <c r="AM32" s="377">
        <f t="shared" si="33"/>
        <v>114.04323792811756</v>
      </c>
      <c r="AN32" s="377">
        <f t="shared" si="34"/>
        <v>228.08647585623513</v>
      </c>
      <c r="AO32" s="378">
        <f t="shared" si="12"/>
        <v>-3.1174571652793026E-2</v>
      </c>
      <c r="AP32" s="378">
        <f t="shared" si="13"/>
        <v>-3.1174571652793026E-2</v>
      </c>
      <c r="AQ32" s="378">
        <f t="shared" si="14"/>
        <v>-3.1174571652793026E-2</v>
      </c>
      <c r="AR32" s="378">
        <f t="shared" si="15"/>
        <v>-3.1174571652793026E-2</v>
      </c>
      <c r="AS32" s="379">
        <f>'Price Adjustments'!$F$6</f>
        <v>0</v>
      </c>
      <c r="AT32" s="377">
        <f>IF(ISERROR(VLOOKUP($A32,'15-16 tariff'!$A:$F,3,FALSE)*(1+$AS$6)),"-",VLOOKUP($A32,'15-16 tariff'!$A:$F,3,FALSE)*(1+$AS$6))</f>
        <v>126.82598732288648</v>
      </c>
      <c r="AU32" s="377">
        <f>IF(ISERROR(VLOOKUP($A32,'15-16 tariff'!$A:$F,4,FALSE)*(1+$AS$6)),"-",VLOOKUP($A32,'15-16 tariff'!$A:$F,4,FALSE)*(1+$AS$6))</f>
        <v>209.66579321959395</v>
      </c>
      <c r="AV32" s="377">
        <f>IF(ISERROR(VLOOKUP($A32,'15-16 tariff'!$A:$F,5,FALSE)*(1+$AS$6)),"-",VLOOKUP($A32,'15-16 tariff'!$A:$F,5,FALSE)*(1+$AS$6))</f>
        <v>126.82598732288648</v>
      </c>
      <c r="AW32" s="377">
        <f>IF(ISERROR(VLOOKUP($A32,'15-16 tariff'!$A:$F,6,FALSE)*(1+$AS$6)),"-",VLOOKUP($A32,'15-16 tariff'!$A:$F,6,FALSE)*(1+$AS$6))</f>
        <v>185.53206535979029</v>
      </c>
      <c r="AX32" s="369"/>
      <c r="AY32" s="380" t="s">
        <v>307</v>
      </c>
      <c r="AZ32" s="380" t="s">
        <v>307</v>
      </c>
      <c r="BA32" s="380" t="s">
        <v>307</v>
      </c>
      <c r="BB32" s="381" t="s">
        <v>307</v>
      </c>
      <c r="BC32" s="381">
        <f t="shared" si="16"/>
        <v>117.22776407030905</v>
      </c>
      <c r="BD32" s="381">
        <f t="shared" si="17"/>
        <v>233.79502887637349</v>
      </c>
      <c r="BE32" s="381">
        <f t="shared" si="18"/>
        <v>114.04323792811756</v>
      </c>
      <c r="BF32" s="381">
        <f t="shared" si="19"/>
        <v>228.08647585623513</v>
      </c>
      <c r="BG32" s="381">
        <f>IFERROR(VLOOKUP($A32,'Further adjustment'!$A:$Q,7,FALSE),0)</f>
        <v>3128</v>
      </c>
      <c r="BH32" s="381">
        <f>IFERROR(VLOOKUP($A32,'Further adjustment'!$A:$Q,6,FALSE),0)</f>
        <v>78</v>
      </c>
      <c r="BI32" s="381">
        <f>IFERROR(VLOOKUP($A32,'Further adjustment'!$A:$Q,9,FALSE),0)</f>
        <v>3531</v>
      </c>
      <c r="BJ32" s="381">
        <f>IFERROR(VLOOKUP($A32,'Further adjustment'!$A:$Q,8,FALSE),0)</f>
        <v>252</v>
      </c>
      <c r="BK32" s="382">
        <f t="shared" si="20"/>
        <v>-3.1174571652793026E-2</v>
      </c>
      <c r="BL32" s="382">
        <f t="shared" si="21"/>
        <v>-3.1174571652793026E-2</v>
      </c>
      <c r="BM32" s="382">
        <f t="shared" si="22"/>
        <v>-3.1174571652793026E-2</v>
      </c>
      <c r="BN32" s="382">
        <f t="shared" si="23"/>
        <v>-3.1174571652793026E-2</v>
      </c>
      <c r="BO32" s="369"/>
      <c r="BP32" s="383">
        <f>'Price Adjustments'!$D$90</f>
        <v>-6.8529657693413348E-2</v>
      </c>
      <c r="BQ32" s="384">
        <f t="shared" si="24"/>
        <v>109.19418552640656</v>
      </c>
      <c r="BR32" s="384">
        <f t="shared" si="25"/>
        <v>217.77313557705392</v>
      </c>
      <c r="BS32" s="384">
        <f t="shared" si="26"/>
        <v>106.22789387065517</v>
      </c>
      <c r="BT32" s="384">
        <f t="shared" si="27"/>
        <v>212.45578774131033</v>
      </c>
      <c r="BU32" s="369"/>
      <c r="BV32" s="385" t="str">
        <f>IF(COUNTIF('Manual adjustments'!$A:$A,A32)=1,"Y",IF(COUNTIF(#REF!,A32)=1,"BPT",""))</f>
        <v>Y</v>
      </c>
      <c r="BW32" s="384">
        <f>IF($BV32="",BQ32,IF(AND($BV32="BPT",IFERROR(ISNUMBER(VLOOKUP($A32,#REF!,3,FALSE)),FALSE)),VLOOKUP($A32,#REF!,3,FALSE),IF(AND($BV32="Y",IFERROR(ISNUMBER(VLOOKUP($A32,'Manual adjustments'!$A:$O,12,FALSE)),FALSE)),VLOOKUP($A32,'Manual adjustments'!$A:$O,12,FALSE),BQ32)))</f>
        <v>109.19418552640656</v>
      </c>
      <c r="BX32" s="384">
        <f>IF($BV32="",BR32,IF(AND($BV32="BPT",IFERROR(ISNUMBER(VLOOKUP($A32,#REF!,4,FALSE)),FALSE)),VLOOKUP($A32,#REF!,4,FALSE),IF(AND($BV32="Y",IFERROR(ISNUMBER(VLOOKUP($A32,'Manual adjustments'!$A:$O,13,FALSE)),FALSE)),VLOOKUP($A32,'Manual adjustments'!$A:$O,13,FALSE),BR32)))</f>
        <v>217.77313557705392</v>
      </c>
      <c r="BY32" s="384">
        <f>IF($BV32="",BS32,IF(AND($BV32="BPT",IFERROR(ISNUMBER(VLOOKUP($A32,#REF!,5,FALSE)),FALSE)),VLOOKUP($A32,#REF!,5,FALSE),IF(AND($BV32="Y",IFERROR(ISNUMBER(VLOOKUP($A32,'Manual adjustments'!$A:$O,14,FALSE)),FALSE)),VLOOKUP($A32,'Manual adjustments'!$A:$O,14,FALSE),BS32)))</f>
        <v>106.22789387065517</v>
      </c>
      <c r="BZ32" s="384">
        <f>IF($BV32="",BT32,IF(AND($BV32="BPT",IFERROR(ISNUMBER(VLOOKUP($A32,#REF!,6,FALSE)),FALSE)),VLOOKUP($A32,#REF!,6,FALSE),IF(AND($BV32="Y",IFERROR(ISNUMBER(VLOOKUP($A32,'Manual adjustments'!$A:$O,15,FALSE)),FALSE)),VLOOKUP($A32,'Manual adjustments'!$A:$O,15,FALSE),BT32)))</f>
        <v>212.45578774131033</v>
      </c>
      <c r="CA32" s="386">
        <f>'Post manual recon'!$N$70</f>
        <v>0</v>
      </c>
      <c r="CB32" s="384">
        <f>IF(VLOOKUP($A32,'Post manual recon'!$A:$U,18,FALSE)=0,BW32,BW32*(1+$CA32))</f>
        <v>109.19418552640656</v>
      </c>
      <c r="CC32" s="384">
        <f>IF(VLOOKUP($A32,'Post manual recon'!$A:$U,19,FALSE)=0,BX32,BX32*(1+$CA32))</f>
        <v>217.77313557705392</v>
      </c>
      <c r="CD32" s="384">
        <f>IF(VLOOKUP($A32,'Post manual recon'!$A:$U,20,FALSE)=0,BY32,BY32*(1+$CA32))</f>
        <v>106.22789387065517</v>
      </c>
      <c r="CE32" s="384">
        <f>IF(VLOOKUP($A32,'Post manual recon'!$A:$U,21,FALSE)=0,BZ32,BZ32*(1+$CA32))</f>
        <v>212.45578774131033</v>
      </c>
      <c r="CF32" s="383">
        <f t="shared" si="35"/>
        <v>0</v>
      </c>
      <c r="CG32" s="383">
        <f t="shared" si="36"/>
        <v>0</v>
      </c>
      <c r="CH32" s="383">
        <f t="shared" si="37"/>
        <v>0</v>
      </c>
      <c r="CI32" s="383">
        <f t="shared" si="38"/>
        <v>0</v>
      </c>
      <c r="CJ32" s="369"/>
      <c r="CK32" s="383">
        <f>'Price Adjustments'!$F$6</f>
        <v>0</v>
      </c>
      <c r="CL32" s="384">
        <f t="shared" si="39"/>
        <v>109.19418552640656</v>
      </c>
      <c r="CM32" s="384">
        <f t="shared" si="40"/>
        <v>217.77313557705392</v>
      </c>
      <c r="CN32" s="384">
        <f t="shared" si="41"/>
        <v>106.22789387065517</v>
      </c>
      <c r="CO32" s="384">
        <f t="shared" si="42"/>
        <v>212.45578774131033</v>
      </c>
      <c r="CP32" s="369"/>
      <c r="CQ32" s="384">
        <f t="shared" si="43"/>
        <v>109</v>
      </c>
      <c r="CR32" s="384">
        <f t="shared" si="44"/>
        <v>218</v>
      </c>
      <c r="CS32" s="384">
        <f t="shared" si="45"/>
        <v>106</v>
      </c>
      <c r="CT32" s="384">
        <f t="shared" si="46"/>
        <v>212</v>
      </c>
    </row>
    <row r="33" spans="1:98">
      <c r="A33" s="367">
        <v>218</v>
      </c>
      <c r="B33" s="367" t="str">
        <f>INDEX('201314 RC list'!B:B,MATCH(A33,'201314 RC list'!A:A,0))</f>
        <v>Paediatric Neurosurgery</v>
      </c>
      <c r="C33" s="368">
        <f>IF(ISERROR(VLOOKUP($A33,'Allocate OPROC cost'!A:M,11,FALSE)),"-",VLOOKUP($A33,'Allocate OPROC cost'!A:M,11,FALSE))</f>
        <v>239.79474890740781</v>
      </c>
      <c r="D33" s="368">
        <f>IF(ISERROR(VLOOKUP($A33,'Allocate OPROC cost'!A:M,10,FALSE)),"-",VLOOKUP($A33,'Allocate OPROC cost'!A:M,10,FALSE))</f>
        <v>241.19642368845925</v>
      </c>
      <c r="E33" s="368">
        <f>IF(ISERROR(VLOOKUP($A33,'Allocate OPROC cost'!A:M,13,FALSE)),"-",VLOOKUP($A33,'Allocate OPROC cost'!A:M,13,FALSE))</f>
        <v>180.44208380837037</v>
      </c>
      <c r="F33" s="368">
        <f>IF(ISERROR(VLOOKUP($A33,'Allocate OPROC cost'!A:M,12,FALSE)),"-",VLOOKUP($A33,'Allocate OPROC cost'!A:M,12,FALSE))</f>
        <v>131.43150630968987</v>
      </c>
      <c r="G33" s="369"/>
      <c r="H33" s="370">
        <f>IF(ISERROR(VLOOKUP($A33,'Allocate OPROC cost'!A:AO,39,FALSE)),"-",VLOOKUP($A33,'Allocate OPROC cost'!A:AO,39,FALSE))</f>
        <v>239.79474890740781</v>
      </c>
      <c r="I33" s="370">
        <f>IF(ISERROR(VLOOKUP($A33,'Allocate OPROC cost'!A:AO,38,FALSE)),"-",VLOOKUP($A33,'Allocate OPROC cost'!A:AO,38,FALSE))</f>
        <v>241.19642368845925</v>
      </c>
      <c r="J33" s="370">
        <f>IF(ISERROR(VLOOKUP($A33,'Allocate OPROC cost'!A:AO,41,FALSE)),"-",VLOOKUP($A33,'Allocate OPROC cost'!A:AO,41,FALSE))</f>
        <v>180.44577328369081</v>
      </c>
      <c r="K33" s="370">
        <f>IF(ISERROR(VLOOKUP($A33,'Allocate OPROC cost'!A:AO,40,FALSE)),"-",VLOOKUP($A33,'Allocate OPROC cost'!A:AO,40,FALSE))</f>
        <v>131.43150630968987</v>
      </c>
      <c r="L33" s="371">
        <f t="shared" ref="L33" si="89">IF(ISERROR(H33/C33-1),"-",H33/C33-1)</f>
        <v>0</v>
      </c>
      <c r="M33" s="371">
        <f t="shared" ref="M33" si="90">IF(ISERROR(I33/D33-1),"-",I33/D33-1)</f>
        <v>0</v>
      </c>
      <c r="N33" s="371">
        <f t="shared" ref="N33" si="91">IF(ISERROR(J33/E33-1),"-",J33/E33-1)</f>
        <v>2.0446867175172301E-5</v>
      </c>
      <c r="O33" s="371">
        <f t="shared" ref="O33" si="92">IF(ISERROR(K33/F33-1),"-",K33/F33-1)</f>
        <v>0</v>
      </c>
      <c r="P33" s="369"/>
      <c r="Q33" s="372">
        <f>IF(ISERROR(VLOOKUP($A33,'Front-loading'!$A:$AG,27,FALSE)),"-",VLOOKUP($A33,'Front-loading'!$A:$AG,27,FALSE))</f>
        <v>304.63499920394821</v>
      </c>
      <c r="R33" s="372">
        <f>IF(ISERROR(VLOOKUP($A33,'Front-loading'!$A:$AG,26,FALSE)),"-",VLOOKUP($A33,'Front-loading'!$A:$AG,26,FALSE))</f>
        <v>298.88025145771201</v>
      </c>
      <c r="S33" s="372">
        <f>IF(ISERROR(VLOOKUP($A33,'Front-loading'!$A:$AG,29,FALSE)),"-",VLOOKUP($A33,'Front-loading'!$A:$AG,29,FALSE))</f>
        <v>162.40119595532173</v>
      </c>
      <c r="T33" s="372">
        <f>IF(ISERROR(VLOOKUP($A33,'Front-loading'!$A:$AG,28,FALSE)),"-",VLOOKUP($A33,'Front-loading'!$A:$AG,28,FALSE))</f>
        <v>118.28835567872089</v>
      </c>
      <c r="U33" s="373">
        <f t="shared" ref="U33" si="93">IF(ISERROR(Q33/H33-1),"-",Q33/H33-1)</f>
        <v>0.2703989582423143</v>
      </c>
      <c r="V33" s="373">
        <f t="shared" ref="V33" si="94">IF(ISERROR(R33/I33-1),"-",R33/I33-1)</f>
        <v>0.23915706081844701</v>
      </c>
      <c r="W33" s="373">
        <f t="shared" ref="W33" si="95">IF(ISERROR(S33/J33-1),"-",S33/J33-1)</f>
        <v>-9.9999999999999978E-2</v>
      </c>
      <c r="X33" s="373">
        <f t="shared" ref="X33" si="96">IF(ISERROR(T33/K33-1),"-",T33/K33-1)</f>
        <v>-9.9999999999999867E-2</v>
      </c>
      <c r="Y33" s="369"/>
      <c r="Z33" s="374">
        <f>IF(ISERROR(VLOOKUP($A33,'Further adjustment'!$A:$BC,53,FALSE)),"-",VLOOKUP($A33,'Further adjustment'!$A:$BC,53,FALSE))</f>
        <v>304.54711561280095</v>
      </c>
      <c r="AA33" s="374">
        <f>IF(ISERROR(VLOOKUP($A33,'Further adjustment'!$A:$BC,52,FALSE)),"-",VLOOKUP($A33,'Further adjustment'!$A:$BC,52,FALSE))</f>
        <v>304.54711561280095</v>
      </c>
      <c r="AB33" s="374">
        <f>IF(ISERROR(VLOOKUP($A33,'Further adjustment'!$A:$BC,55,FALSE)),"-",VLOOKUP($A33,'Further adjustment'!$A:$BC,55,FALSE))</f>
        <v>161.58115178357849</v>
      </c>
      <c r="AC33" s="374">
        <f>IF(ISERROR(VLOOKUP($A33,'Further adjustment'!$A:$BC,54,FALSE)),"-",VLOOKUP($A33,'Further adjustment'!$A:$BC,54,FALSE))</f>
        <v>182.27019865757168</v>
      </c>
      <c r="AD33" s="375">
        <f t="shared" ref="AD33" si="97">IF(ISERROR(Z33/Q33-1),"-",Z33/Q33-1)</f>
        <v>-2.8848816247939446E-4</v>
      </c>
      <c r="AE33" s="375">
        <f t="shared" ref="AE33" si="98">IF(ISERROR(AA33/R33-1),"-",AA33/R33-1)</f>
        <v>1.8960316472735439E-2</v>
      </c>
      <c r="AF33" s="375">
        <f t="shared" ref="AF33" si="99">IF(ISERROR(AB33/S33-1),"-",AB33/S33-1)</f>
        <v>-5.0494958914516497E-3</v>
      </c>
      <c r="AG33" s="375">
        <f t="shared" ref="AG33" si="100">IF(ISERROR(AC33/T33-1),"-",AC33/T33-1)</f>
        <v>0.5408972219770285</v>
      </c>
      <c r="AH33" s="369"/>
      <c r="AI33" s="376">
        <f>'Price Adjustments'!$G$6</f>
        <v>-3.1174571652793026E-2</v>
      </c>
      <c r="AJ33" s="376">
        <v>0</v>
      </c>
      <c r="AK33" s="377">
        <f t="shared" ref="AK33" si="101">IF(ISERROR(Z33*(1+$AI33)*(1+$AJ33)),"-",Z33*(1+$AI33)*(1+$AJ33))</f>
        <v>295.05298973547826</v>
      </c>
      <c r="AL33" s="377">
        <f t="shared" ref="AL33" si="102">IF(ISERROR(AA33*(1+$AI33)*(1+$AJ33)),"-",AA33*(1+$AI33)*(1+$AJ33))</f>
        <v>295.05298973547826</v>
      </c>
      <c r="AM33" s="377">
        <f t="shared" ref="AM33" si="103">IF(ISERROR(AB33*(1+$AI33)*(1+$AJ33)),"-",AB33*(1+$AI33)*(1+$AJ33))</f>
        <v>156.54392858956049</v>
      </c>
      <c r="AN33" s="377">
        <f t="shared" ref="AN33" si="104">IF(ISERROR(AC33*(1+$AI33)*(1+$AJ33)),"-",AC33*(1+$AI33)*(1+$AJ33))</f>
        <v>176.5880032893524</v>
      </c>
      <c r="AO33" s="378">
        <f t="shared" ref="AO33" si="105">IF(ISERROR(AK33/Z33-1),"-",AK33/Z33-1)</f>
        <v>-3.1174571652792915E-2</v>
      </c>
      <c r="AP33" s="378">
        <f t="shared" si="13"/>
        <v>-3.1174571652792915E-2</v>
      </c>
      <c r="AQ33" s="378">
        <f t="shared" si="14"/>
        <v>-3.1174571652793026E-2</v>
      </c>
      <c r="AR33" s="378">
        <f t="shared" si="15"/>
        <v>-3.1174571652793026E-2</v>
      </c>
      <c r="AS33" s="379">
        <f>'Price Adjustments'!$F$6</f>
        <v>0</v>
      </c>
      <c r="AT33" s="377" t="str">
        <f>IF(ISERROR(VLOOKUP($A33,'15-16 tariff'!$A:$F,3,FALSE)*(1+$AS$6)),"-",VLOOKUP($A33,'15-16 tariff'!$A:$F,3,FALSE)*(1+$AS$6))</f>
        <v>-</v>
      </c>
      <c r="AU33" s="377" t="str">
        <f>IF(ISERROR(VLOOKUP($A33,'15-16 tariff'!$A:$F,4,FALSE)*(1+$AS$6)),"-",VLOOKUP($A33,'15-16 tariff'!$A:$F,4,FALSE)*(1+$AS$6))</f>
        <v>-</v>
      </c>
      <c r="AV33" s="377" t="str">
        <f>IF(ISERROR(VLOOKUP($A33,'15-16 tariff'!$A:$F,5,FALSE)*(1+$AS$6)),"-",VLOOKUP($A33,'15-16 tariff'!$A:$F,5,FALSE)*(1+$AS$6))</f>
        <v>-</v>
      </c>
      <c r="AW33" s="377" t="str">
        <f>IF(ISERROR(VLOOKUP($A33,'15-16 tariff'!$A:$F,6,FALSE)*(1+$AS$6)),"-",VLOOKUP($A33,'15-16 tariff'!$A:$F,6,FALSE)*(1+$AS$6))</f>
        <v>-</v>
      </c>
      <c r="AX33" s="369"/>
      <c r="AY33" s="380" t="s">
        <v>307</v>
      </c>
      <c r="AZ33" s="380" t="s">
        <v>307</v>
      </c>
      <c r="BA33" s="380" t="s">
        <v>307</v>
      </c>
      <c r="BB33" s="381" t="s">
        <v>307</v>
      </c>
      <c r="BC33" s="381">
        <f t="shared" ref="BC33" si="106">IF(AY33="Modelled",AK33,IF(AY33="Roll-over",AT33,"Error"))</f>
        <v>295.05298973547826</v>
      </c>
      <c r="BD33" s="381">
        <f t="shared" ref="BD33" si="107">IF(AZ33="Modelled",AL33,IF(AZ33="Roll-over",AU33,"Error"))</f>
        <v>295.05298973547826</v>
      </c>
      <c r="BE33" s="381">
        <f t="shared" ref="BE33" si="108">IF(BA33="Modelled",AM33,IF(BA33="Roll-over",AV33,"Error"))</f>
        <v>156.54392858956049</v>
      </c>
      <c r="BF33" s="381">
        <f t="shared" ref="BF33" si="109">IF(BB33="Modelled",AN33,IF(BB33="Roll-over",AW33,"Error"))</f>
        <v>176.5880032893524</v>
      </c>
      <c r="BG33" s="381">
        <f>IFERROR(VLOOKUP($A33,'Further adjustment'!$A:$Q,7,FALSE),0)</f>
        <v>3482</v>
      </c>
      <c r="BH33" s="381">
        <f>IFERROR(VLOOKUP($A33,'Further adjustment'!$A:$Q,6,FALSE),0)</f>
        <v>54</v>
      </c>
      <c r="BI33" s="381">
        <f>IFERROR(VLOOKUP($A33,'Further adjustment'!$A:$Q,9,FALSE),0)</f>
        <v>12512</v>
      </c>
      <c r="BJ33" s="381">
        <f>IFERROR(VLOOKUP($A33,'Further adjustment'!$A:$Q,8,FALSE),0)</f>
        <v>237</v>
      </c>
      <c r="BK33" s="382">
        <f t="shared" ref="BK33" si="110">IF(ISERROR(BC33/Z33-1),"-",BC33/Z33-1)</f>
        <v>-3.1174571652792915E-2</v>
      </c>
      <c r="BL33" s="382">
        <f t="shared" ref="BL33" si="111">IF(ISERROR(BD33/AA33-1),"-",BD33/AA33-1)</f>
        <v>-3.1174571652792915E-2</v>
      </c>
      <c r="BM33" s="382">
        <f t="shared" ref="BM33" si="112">IF(ISERROR(BE33/AB33-1),"-",BE33/AB33-1)</f>
        <v>-3.1174571652793026E-2</v>
      </c>
      <c r="BN33" s="382">
        <f t="shared" ref="BN33" si="113">IF(ISERROR(BF33/AC33-1),"-",BF33/AC33-1)</f>
        <v>-3.1174571652793026E-2</v>
      </c>
      <c r="BO33" s="369"/>
      <c r="BP33" s="383">
        <f>'Price Adjustments'!$D$90</f>
        <v>-6.8529657693413348E-2</v>
      </c>
      <c r="BQ33" s="384">
        <f t="shared" ref="BQ33" si="114">BC33*(1+$BP33)</f>
        <v>274.83310934748772</v>
      </c>
      <c r="BR33" s="384">
        <f t="shared" ref="BR33" si="115">BD33*(1+$BP33)</f>
        <v>274.83310934748772</v>
      </c>
      <c r="BS33" s="384">
        <f t="shared" ref="BS33" si="116">BE33*(1+$BP33)</f>
        <v>145.81602674933578</v>
      </c>
      <c r="BT33" s="384">
        <f t="shared" ref="BT33" si="117">BF33*(1+$BP33)</f>
        <v>164.48648787116974</v>
      </c>
      <c r="BU33" s="369"/>
      <c r="BV33" s="385" t="str">
        <f>IF(COUNTIF('Manual adjustments'!$A:$A,A33)=1,"Y",IF(COUNTIF(#REF!,A33)=1,"BPT",""))</f>
        <v>Y</v>
      </c>
      <c r="BW33" s="384">
        <f>IF($BV33="",BQ33,IF(AND($BV33="BPT",IFERROR(ISNUMBER(VLOOKUP($A33,#REF!,3,FALSE)),FALSE)),VLOOKUP($A33,#REF!,3,FALSE),IF(AND($BV33="Y",IFERROR(ISNUMBER(VLOOKUP($A33,'Manual adjustments'!$A:$O,12,FALSE)),FALSE)),VLOOKUP($A33,'Manual adjustments'!$A:$O,12,FALSE),BQ33)))</f>
        <v>274.83310934748772</v>
      </c>
      <c r="BX33" s="384">
        <f>IF($BV33="",BR33,IF(AND($BV33="BPT",IFERROR(ISNUMBER(VLOOKUP($A33,#REF!,4,FALSE)),FALSE)),VLOOKUP($A33,#REF!,4,FALSE),IF(AND($BV33="Y",IFERROR(ISNUMBER(VLOOKUP($A33,'Manual adjustments'!$A:$O,13,FALSE)),FALSE)),VLOOKUP($A33,'Manual adjustments'!$A:$O,13,FALSE),BR33)))</f>
        <v>274.83310934748772</v>
      </c>
      <c r="BY33" s="384">
        <f>IF($BV33="",BS33,IF(AND($BV33="BPT",IFERROR(ISNUMBER(VLOOKUP($A33,#REF!,5,FALSE)),FALSE)),VLOOKUP($A33,#REF!,5,FALSE),IF(AND($BV33="Y",IFERROR(ISNUMBER(VLOOKUP($A33,'Manual adjustments'!$A:$O,14,FALSE)),FALSE)),VLOOKUP($A33,'Manual adjustments'!$A:$O,14,FALSE),BS33)))</f>
        <v>145.81602674933578</v>
      </c>
      <c r="BZ33" s="384">
        <f>IF($BV33="",BT33,IF(AND($BV33="BPT",IFERROR(ISNUMBER(VLOOKUP($A33,#REF!,6,FALSE)),FALSE)),VLOOKUP($A33,#REF!,6,FALSE),IF(AND($BV33="Y",IFERROR(ISNUMBER(VLOOKUP($A33,'Manual adjustments'!$A:$O,15,FALSE)),FALSE)),VLOOKUP($A33,'Manual adjustments'!$A:$O,15,FALSE),BT33)))</f>
        <v>164.48648787116974</v>
      </c>
      <c r="CA33" s="386">
        <f>'Post manual recon'!$N$70</f>
        <v>0</v>
      </c>
      <c r="CB33" s="384">
        <f>IF(VLOOKUP($A33,'Post manual recon'!$A:$U,18,FALSE)=0,BW33,BW33*(1+$CA33))</f>
        <v>274.83310934748772</v>
      </c>
      <c r="CC33" s="384">
        <f>IF(VLOOKUP($A33,'Post manual recon'!$A:$U,19,FALSE)=0,BX33,BX33*(1+$CA33))</f>
        <v>274.83310934748772</v>
      </c>
      <c r="CD33" s="384">
        <f>IF(VLOOKUP($A33,'Post manual recon'!$A:$U,20,FALSE)=0,BY33,BY33*(1+$CA33))</f>
        <v>145.81602674933578</v>
      </c>
      <c r="CE33" s="384">
        <f>IF(VLOOKUP($A33,'Post manual recon'!$A:$U,21,FALSE)=0,BZ33,BZ33*(1+$CA33))</f>
        <v>164.48648787116974</v>
      </c>
      <c r="CF33" s="383">
        <f t="shared" ref="CF33" si="118">IF(ISERROR(CB33/BW33-1),0,CB33/BW33-1)</f>
        <v>0</v>
      </c>
      <c r="CG33" s="383">
        <f t="shared" ref="CG33" si="119">IF(ISERROR(CC33/BX33-1),0,CC33/BX33-1)</f>
        <v>0</v>
      </c>
      <c r="CH33" s="383">
        <f t="shared" ref="CH33" si="120">IF(ISERROR(CD33/BY33-1),0,CD33/BY33-1)</f>
        <v>0</v>
      </c>
      <c r="CI33" s="383">
        <f t="shared" ref="CI33" si="121">IF(ISERROR(CE33/BZ33-1),0,CE33/BZ33-1)</f>
        <v>0</v>
      </c>
      <c r="CJ33" s="369"/>
      <c r="CK33" s="383">
        <f>'Price Adjustments'!$F$6</f>
        <v>0</v>
      </c>
      <c r="CL33" s="384">
        <f t="shared" ref="CL33" si="122">CB33*(1+$CK33)</f>
        <v>274.83310934748772</v>
      </c>
      <c r="CM33" s="384">
        <f t="shared" ref="CM33" si="123">CC33*(1+$CK33)</f>
        <v>274.83310934748772</v>
      </c>
      <c r="CN33" s="384">
        <f t="shared" ref="CN33" si="124">CD33*(1+$CK33)</f>
        <v>145.81602674933578</v>
      </c>
      <c r="CO33" s="384">
        <f t="shared" ref="CO33" si="125">CE33*(1+$CK33)</f>
        <v>164.48648787116974</v>
      </c>
      <c r="CP33" s="369"/>
      <c r="CQ33" s="384">
        <f t="shared" ref="CQ33" si="126">ROUND(CL33,0)</f>
        <v>275</v>
      </c>
      <c r="CR33" s="384">
        <f t="shared" ref="CR33" si="127">ROUND(CM33,0)</f>
        <v>275</v>
      </c>
      <c r="CS33" s="384">
        <f t="shared" ref="CS33" si="128">ROUND(CN33,0)</f>
        <v>146</v>
      </c>
      <c r="CT33" s="384">
        <f t="shared" ref="CT33" si="129">ROUND(CO33,0)</f>
        <v>164</v>
      </c>
    </row>
    <row r="34" spans="1:98">
      <c r="A34" s="367">
        <v>219</v>
      </c>
      <c r="B34" s="367" t="str">
        <f>INDEX('201314 RC list'!B:B,MATCH(A34,'201314 RC list'!A:A,0))</f>
        <v>Paediatric Plastic Surgery</v>
      </c>
      <c r="C34" s="368">
        <f>IF(ISERROR(VLOOKUP($A34,'Allocate OPROC cost'!A:M,11,FALSE)),"-",VLOOKUP($A34,'Allocate OPROC cost'!A:M,11,FALSE))</f>
        <v>154.02855713397685</v>
      </c>
      <c r="D34" s="368">
        <f>IF(ISERROR(VLOOKUP($A34,'Allocate OPROC cost'!A:M,10,FALSE)),"-",VLOOKUP($A34,'Allocate OPROC cost'!A:M,10,FALSE))</f>
        <v>245.62000861203691</v>
      </c>
      <c r="E34" s="368">
        <f>IF(ISERROR(VLOOKUP($A34,'Allocate OPROC cost'!A:M,13,FALSE)),"-",VLOOKUP($A34,'Allocate OPROC cost'!A:M,13,FALSE))</f>
        <v>137.6338138278953</v>
      </c>
      <c r="F34" s="368">
        <f>IF(ISERROR(VLOOKUP($A34,'Allocate OPROC cost'!A:M,12,FALSE)),"-",VLOOKUP($A34,'Allocate OPROC cost'!A:M,12,FALSE))</f>
        <v>141.41504396293519</v>
      </c>
      <c r="G34" s="369"/>
      <c r="H34" s="370">
        <f>IF(ISERROR(VLOOKUP($A34,'Allocate OPROC cost'!A:AO,39,FALSE)),"-",VLOOKUP($A34,'Allocate OPROC cost'!A:AO,39,FALSE))</f>
        <v>153.2316003269641</v>
      </c>
      <c r="I34" s="370">
        <f>IF(ISERROR(VLOOKUP($A34,'Allocate OPROC cost'!A:AO,38,FALSE)),"-",VLOOKUP($A34,'Allocate OPROC cost'!A:AO,38,FALSE))</f>
        <v>239.71933813468021</v>
      </c>
      <c r="J34" s="370">
        <f>IF(ISERROR(VLOOKUP($A34,'Allocate OPROC cost'!A:AO,41,FALSE)),"-",VLOOKUP($A34,'Allocate OPROC cost'!A:AO,41,FALSE))</f>
        <v>137.32832770577477</v>
      </c>
      <c r="K34" s="370">
        <f>IF(ISERROR(VLOOKUP($A34,'Allocate OPROC cost'!A:AO,40,FALSE)),"-",VLOOKUP($A34,'Allocate OPROC cost'!A:AO,40,FALSE))</f>
        <v>140.02384178972503</v>
      </c>
      <c r="L34" s="371">
        <f t="shared" si="0"/>
        <v>-5.1740847401403611E-3</v>
      </c>
      <c r="M34" s="371">
        <f t="shared" si="1"/>
        <v>-2.4023574100092815E-2</v>
      </c>
      <c r="N34" s="371">
        <f t="shared" si="2"/>
        <v>-2.2195571976413309E-3</v>
      </c>
      <c r="O34" s="371">
        <f t="shared" si="3"/>
        <v>-9.8377240088741713E-3</v>
      </c>
      <c r="P34" s="369"/>
      <c r="Q34" s="372">
        <f>IF(ISERROR(VLOOKUP($A34,'Front-loading'!$A:$AG,27,FALSE)),"-",VLOOKUP($A34,'Front-loading'!$A:$AG,27,FALSE))</f>
        <v>189.0454639977394</v>
      </c>
      <c r="R34" s="372">
        <f>IF(ISERROR(VLOOKUP($A34,'Front-loading'!$A:$AG,26,FALSE)),"-",VLOOKUP($A34,'Front-loading'!$A:$AG,26,FALSE))</f>
        <v>280.01191301702966</v>
      </c>
      <c r="S34" s="372">
        <f>IF(ISERROR(VLOOKUP($A34,'Front-loading'!$A:$AG,29,FALSE)),"-",VLOOKUP($A34,'Front-loading'!$A:$AG,29,FALSE))</f>
        <v>123.59549493519732</v>
      </c>
      <c r="T34" s="372">
        <f>IF(ISERROR(VLOOKUP($A34,'Front-loading'!$A:$AG,28,FALSE)),"-",VLOOKUP($A34,'Front-loading'!$A:$AG,28,FALSE))</f>
        <v>126.02145761075252</v>
      </c>
      <c r="U34" s="373">
        <f t="shared" si="4"/>
        <v>0.23372374624004477</v>
      </c>
      <c r="V34" s="373">
        <f t="shared" si="5"/>
        <v>0.16808228821202609</v>
      </c>
      <c r="W34" s="373">
        <f t="shared" si="6"/>
        <v>-9.9999999999999756E-2</v>
      </c>
      <c r="X34" s="373">
        <f t="shared" si="7"/>
        <v>-9.9999999999999978E-2</v>
      </c>
      <c r="Y34" s="369"/>
      <c r="Z34" s="374">
        <f>IF(ISERROR(VLOOKUP($A34,'Further adjustment'!$A:$BC,53,FALSE)),"-",VLOOKUP($A34,'Further adjustment'!$A:$BC,53,FALSE))</f>
        <v>189.0454639977394</v>
      </c>
      <c r="AA34" s="374">
        <f>IF(ISERROR(VLOOKUP($A34,'Further adjustment'!$A:$BC,52,FALSE)),"-",VLOOKUP($A34,'Further adjustment'!$A:$BC,52,FALSE))</f>
        <v>280.01191301702966</v>
      </c>
      <c r="AB34" s="374">
        <f>IF(ISERROR(VLOOKUP($A34,'Further adjustment'!$A:$BC,55,FALSE)),"-",VLOOKUP($A34,'Further adjustment'!$A:$BC,55,FALSE))</f>
        <v>123.59549493519732</v>
      </c>
      <c r="AC34" s="374">
        <f>IF(ISERROR(VLOOKUP($A34,'Further adjustment'!$A:$BC,54,FALSE)),"-",VLOOKUP($A34,'Further adjustment'!$A:$BC,54,FALSE))</f>
        <v>126.02145761075252</v>
      </c>
      <c r="AD34" s="375">
        <f t="shared" si="8"/>
        <v>0</v>
      </c>
      <c r="AE34" s="375">
        <f t="shared" si="9"/>
        <v>0</v>
      </c>
      <c r="AF34" s="375">
        <f t="shared" si="10"/>
        <v>0</v>
      </c>
      <c r="AG34" s="375">
        <f t="shared" si="11"/>
        <v>0</v>
      </c>
      <c r="AH34" s="369"/>
      <c r="AI34" s="376">
        <f>'Price Adjustments'!$G$6</f>
        <v>-3.1174571652793026E-2</v>
      </c>
      <c r="AJ34" s="376">
        <v>0</v>
      </c>
      <c r="AK34" s="377">
        <f t="shared" si="31"/>
        <v>183.15205263470637</v>
      </c>
      <c r="AL34" s="377">
        <f t="shared" si="32"/>
        <v>271.28266157104463</v>
      </c>
      <c r="AM34" s="377">
        <f t="shared" si="33"/>
        <v>119.7424583223776</v>
      </c>
      <c r="AN34" s="377">
        <f t="shared" si="34"/>
        <v>122.0927926506767</v>
      </c>
      <c r="AO34" s="378">
        <f t="shared" si="12"/>
        <v>-3.1174571652793026E-2</v>
      </c>
      <c r="AP34" s="378">
        <f t="shared" si="13"/>
        <v>-3.1174571652793026E-2</v>
      </c>
      <c r="AQ34" s="378">
        <f t="shared" si="14"/>
        <v>-3.1174571652793026E-2</v>
      </c>
      <c r="AR34" s="378">
        <f t="shared" si="15"/>
        <v>-3.1174571652793026E-2</v>
      </c>
      <c r="AS34" s="379">
        <f>'Price Adjustments'!$F$6</f>
        <v>0</v>
      </c>
      <c r="AT34" s="377">
        <f>IF(ISERROR(VLOOKUP($A34,'15-16 tariff'!$A:$F,3,FALSE)*(1+$AS$6)),"-",VLOOKUP($A34,'15-16 tariff'!$A:$F,3,FALSE)*(1+$AS$6))</f>
        <v>135.79455719430786</v>
      </c>
      <c r="AU34" s="377">
        <f>IF(ISERROR(VLOOKUP($A34,'15-16 tariff'!$A:$F,4,FALSE)*(1+$AS$6)),"-",VLOOKUP($A34,'15-16 tariff'!$A:$F,4,FALSE)*(1+$AS$6))</f>
        <v>191.19149417717065</v>
      </c>
      <c r="AV34" s="377">
        <f>IF(ISERROR(VLOOKUP($A34,'15-16 tariff'!$A:$F,5,FALSE)*(1+$AS$6)),"-",VLOOKUP($A34,'15-16 tariff'!$A:$F,5,FALSE)*(1+$AS$6))</f>
        <v>103.54392175147757</v>
      </c>
      <c r="AW34" s="377">
        <f>IF(ISERROR(VLOOKUP($A34,'15-16 tariff'!$A:$F,6,FALSE)*(1+$AS$6)),"-",VLOOKUP($A34,'15-16 tariff'!$A:$F,6,FALSE)*(1+$AS$6))</f>
        <v>103.54392175147757</v>
      </c>
      <c r="AX34" s="369"/>
      <c r="AY34" s="380" t="s">
        <v>307</v>
      </c>
      <c r="AZ34" s="380" t="s">
        <v>307</v>
      </c>
      <c r="BA34" s="380" t="s">
        <v>307</v>
      </c>
      <c r="BB34" s="381" t="s">
        <v>307</v>
      </c>
      <c r="BC34" s="381">
        <f t="shared" si="16"/>
        <v>183.15205263470637</v>
      </c>
      <c r="BD34" s="381">
        <f t="shared" si="17"/>
        <v>271.28266157104463</v>
      </c>
      <c r="BE34" s="381">
        <f t="shared" si="18"/>
        <v>119.7424583223776</v>
      </c>
      <c r="BF34" s="381">
        <f t="shared" si="19"/>
        <v>122.0927926506767</v>
      </c>
      <c r="BG34" s="381">
        <f>IFERROR(VLOOKUP($A34,'Further adjustment'!$A:$Q,7,FALSE),0)</f>
        <v>14657</v>
      </c>
      <c r="BH34" s="381">
        <f>IFERROR(VLOOKUP($A34,'Further adjustment'!$A:$Q,6,FALSE),0)</f>
        <v>392</v>
      </c>
      <c r="BI34" s="381">
        <f>IFERROR(VLOOKUP($A34,'Further adjustment'!$A:$Q,9,FALSE),0)</f>
        <v>38224</v>
      </c>
      <c r="BJ34" s="381">
        <f>IFERROR(VLOOKUP($A34,'Further adjustment'!$A:$Q,8,FALSE),0)</f>
        <v>1128</v>
      </c>
      <c r="BK34" s="382">
        <f t="shared" si="20"/>
        <v>-3.1174571652793026E-2</v>
      </c>
      <c r="BL34" s="382">
        <f t="shared" si="21"/>
        <v>-3.1174571652793026E-2</v>
      </c>
      <c r="BM34" s="382">
        <f t="shared" si="22"/>
        <v>-3.1174571652793026E-2</v>
      </c>
      <c r="BN34" s="382">
        <f t="shared" si="23"/>
        <v>-3.1174571652793026E-2</v>
      </c>
      <c r="BO34" s="369"/>
      <c r="BP34" s="383">
        <f>'Price Adjustments'!$D$90</f>
        <v>-6.8529657693413348E-2</v>
      </c>
      <c r="BQ34" s="384">
        <f t="shared" si="24"/>
        <v>170.60070516180392</v>
      </c>
      <c r="BR34" s="384">
        <f t="shared" si="25"/>
        <v>252.69175363542283</v>
      </c>
      <c r="BS34" s="384">
        <f t="shared" si="26"/>
        <v>111.53654864217725</v>
      </c>
      <c r="BT34" s="384">
        <f t="shared" si="27"/>
        <v>113.72581536349293</v>
      </c>
      <c r="BU34" s="369"/>
      <c r="BV34" s="385" t="str">
        <f>IF(COUNTIF('Manual adjustments'!$A:$A,A34)=1,"Y",IF(COUNTIF(#REF!,A34)=1,"BPT",""))</f>
        <v>Y</v>
      </c>
      <c r="BW34" s="384">
        <f>IF($BV34="",BQ34,IF(AND($BV34="BPT",IFERROR(ISNUMBER(VLOOKUP($A34,#REF!,3,FALSE)),FALSE)),VLOOKUP($A34,#REF!,3,FALSE),IF(AND($BV34="Y",IFERROR(ISNUMBER(VLOOKUP($A34,'Manual adjustments'!$A:$O,12,FALSE)),FALSE)),VLOOKUP($A34,'Manual adjustments'!$A:$O,12,FALSE),BQ34)))</f>
        <v>170.60070516180392</v>
      </c>
      <c r="BX34" s="384">
        <f>IF($BV34="",BR34,IF(AND($BV34="BPT",IFERROR(ISNUMBER(VLOOKUP($A34,#REF!,4,FALSE)),FALSE)),VLOOKUP($A34,#REF!,4,FALSE),IF(AND($BV34="Y",IFERROR(ISNUMBER(VLOOKUP($A34,'Manual adjustments'!$A:$O,13,FALSE)),FALSE)),VLOOKUP($A34,'Manual adjustments'!$A:$O,13,FALSE),BR34)))</f>
        <v>252.69175363542283</v>
      </c>
      <c r="BY34" s="384">
        <f>IF($BV34="",BS34,IF(AND($BV34="BPT",IFERROR(ISNUMBER(VLOOKUP($A34,#REF!,5,FALSE)),FALSE)),VLOOKUP($A34,#REF!,5,FALSE),IF(AND($BV34="Y",IFERROR(ISNUMBER(VLOOKUP($A34,'Manual adjustments'!$A:$O,14,FALSE)),FALSE)),VLOOKUP($A34,'Manual adjustments'!$A:$O,14,FALSE),BS34)))</f>
        <v>111.53654864217725</v>
      </c>
      <c r="BZ34" s="384">
        <f>IF($BV34="",BT34,IF(AND($BV34="BPT",IFERROR(ISNUMBER(VLOOKUP($A34,#REF!,6,FALSE)),FALSE)),VLOOKUP($A34,#REF!,6,FALSE),IF(AND($BV34="Y",IFERROR(ISNUMBER(VLOOKUP($A34,'Manual adjustments'!$A:$O,15,FALSE)),FALSE)),VLOOKUP($A34,'Manual adjustments'!$A:$O,15,FALSE),BT34)))</f>
        <v>113.72581536349293</v>
      </c>
      <c r="CA34" s="386">
        <f>'Post manual recon'!$N$70</f>
        <v>0</v>
      </c>
      <c r="CB34" s="384">
        <f>IF(VLOOKUP($A34,'Post manual recon'!$A:$U,18,FALSE)=0,BW34,BW34*(1+$CA34))</f>
        <v>170.60070516180392</v>
      </c>
      <c r="CC34" s="384">
        <f>IF(VLOOKUP($A34,'Post manual recon'!$A:$U,19,FALSE)=0,BX34,BX34*(1+$CA34))</f>
        <v>252.69175363542283</v>
      </c>
      <c r="CD34" s="384">
        <f>IF(VLOOKUP($A34,'Post manual recon'!$A:$U,20,FALSE)=0,BY34,BY34*(1+$CA34))</f>
        <v>111.53654864217725</v>
      </c>
      <c r="CE34" s="384">
        <f>IF(VLOOKUP($A34,'Post manual recon'!$A:$U,21,FALSE)=0,BZ34,BZ34*(1+$CA34))</f>
        <v>113.72581536349293</v>
      </c>
      <c r="CF34" s="383">
        <f t="shared" si="35"/>
        <v>0</v>
      </c>
      <c r="CG34" s="383">
        <f t="shared" si="36"/>
        <v>0</v>
      </c>
      <c r="CH34" s="383">
        <f t="shared" si="37"/>
        <v>0</v>
      </c>
      <c r="CI34" s="383">
        <f t="shared" si="38"/>
        <v>0</v>
      </c>
      <c r="CJ34" s="369"/>
      <c r="CK34" s="383">
        <f>'Price Adjustments'!$F$6</f>
        <v>0</v>
      </c>
      <c r="CL34" s="384">
        <f t="shared" si="39"/>
        <v>170.60070516180392</v>
      </c>
      <c r="CM34" s="384">
        <f t="shared" si="40"/>
        <v>252.69175363542283</v>
      </c>
      <c r="CN34" s="384">
        <f t="shared" si="41"/>
        <v>111.53654864217725</v>
      </c>
      <c r="CO34" s="384">
        <f t="shared" si="42"/>
        <v>113.72581536349293</v>
      </c>
      <c r="CP34" s="369"/>
      <c r="CQ34" s="384">
        <f t="shared" si="43"/>
        <v>171</v>
      </c>
      <c r="CR34" s="384">
        <f t="shared" si="44"/>
        <v>253</v>
      </c>
      <c r="CS34" s="384">
        <f t="shared" si="45"/>
        <v>112</v>
      </c>
      <c r="CT34" s="384">
        <f t="shared" si="46"/>
        <v>114</v>
      </c>
    </row>
    <row r="35" spans="1:98">
      <c r="A35" s="367">
        <v>223</v>
      </c>
      <c r="B35" s="367" t="str">
        <f>INDEX('201314 RC list'!B:B,MATCH(A35,'201314 RC list'!A:A,0))</f>
        <v>Paediatric Epilepsy</v>
      </c>
      <c r="C35" s="368">
        <f>IF(ISERROR(VLOOKUP($A35,'Allocate OPROC cost'!A:M,11,FALSE)),"-",VLOOKUP($A35,'Allocate OPROC cost'!A:M,11,FALSE))</f>
        <v>258.0724578032461</v>
      </c>
      <c r="D35" s="368">
        <f>IF(ISERROR(VLOOKUP($A35,'Allocate OPROC cost'!A:M,10,FALSE)),"-",VLOOKUP($A35,'Allocate OPROC cost'!A:M,10,FALSE))</f>
        <v>165.28256407748444</v>
      </c>
      <c r="E35" s="368">
        <f>IF(ISERROR(VLOOKUP($A35,'Allocate OPROC cost'!A:M,13,FALSE)),"-",VLOOKUP($A35,'Allocate OPROC cost'!A:M,13,FALSE))</f>
        <v>164.31578668672981</v>
      </c>
      <c r="F35" s="368">
        <f>IF(ISERROR(VLOOKUP($A35,'Allocate OPROC cost'!A:M,12,FALSE)),"-",VLOOKUP($A35,'Allocate OPROC cost'!A:M,12,FALSE))</f>
        <v>134.04913766646695</v>
      </c>
      <c r="G35" s="369"/>
      <c r="H35" s="370">
        <f>IF(ISERROR(VLOOKUP($A35,'Allocate OPROC cost'!A:AO,39,FALSE)),"-",VLOOKUP($A35,'Allocate OPROC cost'!A:AO,39,FALSE))</f>
        <v>258.0724578032461</v>
      </c>
      <c r="I35" s="370">
        <f>IF(ISERROR(VLOOKUP($A35,'Allocate OPROC cost'!A:AO,38,FALSE)),"-",VLOOKUP($A35,'Allocate OPROC cost'!A:AO,38,FALSE))</f>
        <v>165.28256407748444</v>
      </c>
      <c r="J35" s="370">
        <f>IF(ISERROR(VLOOKUP($A35,'Allocate OPROC cost'!A:AO,41,FALSE)),"-",VLOOKUP($A35,'Allocate OPROC cost'!A:AO,41,FALSE))</f>
        <v>164.31578668672981</v>
      </c>
      <c r="K35" s="370">
        <f>IF(ISERROR(VLOOKUP($A35,'Allocate OPROC cost'!A:AO,40,FALSE)),"-",VLOOKUP($A35,'Allocate OPROC cost'!A:AO,40,FALSE))</f>
        <v>134.04913766646695</v>
      </c>
      <c r="L35" s="371">
        <f t="shared" si="0"/>
        <v>0</v>
      </c>
      <c r="M35" s="371">
        <f t="shared" si="1"/>
        <v>0</v>
      </c>
      <c r="N35" s="371">
        <f t="shared" si="2"/>
        <v>0</v>
      </c>
      <c r="O35" s="371">
        <f t="shared" si="3"/>
        <v>0</v>
      </c>
      <c r="P35" s="369"/>
      <c r="Q35" s="372">
        <f>IF(ISERROR(VLOOKUP($A35,'Front-loading'!$A:$AG,27,FALSE)),"-",VLOOKUP($A35,'Front-loading'!$A:$AG,27,FALSE))</f>
        <v>321.84140573997695</v>
      </c>
      <c r="R35" s="372">
        <f>IF(ISERROR(VLOOKUP($A35,'Front-loading'!$A:$AG,26,FALSE)),"-",VLOOKUP($A35,'Front-loading'!$A:$AG,26,FALSE))</f>
        <v>247.92384611622663</v>
      </c>
      <c r="S35" s="372">
        <f>IF(ISERROR(VLOOKUP($A35,'Front-loading'!$A:$AG,29,FALSE)),"-",VLOOKUP($A35,'Front-loading'!$A:$AG,29,FALSE))</f>
        <v>147.88420801805682</v>
      </c>
      <c r="T35" s="372">
        <f>IF(ISERROR(VLOOKUP($A35,'Front-loading'!$A:$AG,28,FALSE)),"-",VLOOKUP($A35,'Front-loading'!$A:$AG,28,FALSE))</f>
        <v>120.64422389982026</v>
      </c>
      <c r="U35" s="373">
        <f t="shared" si="4"/>
        <v>0.24709706909269702</v>
      </c>
      <c r="V35" s="373">
        <f t="shared" si="5"/>
        <v>0.49999999999999978</v>
      </c>
      <c r="W35" s="373">
        <f t="shared" si="6"/>
        <v>-9.9999999999999978E-2</v>
      </c>
      <c r="X35" s="373">
        <f t="shared" si="7"/>
        <v>-9.9999999999999978E-2</v>
      </c>
      <c r="Y35" s="369"/>
      <c r="Z35" s="374">
        <f>IF(ISERROR(VLOOKUP($A35,'Further adjustment'!$A:$BC,53,FALSE)),"-",VLOOKUP($A35,'Further adjustment'!$A:$BC,53,FALSE))</f>
        <v>311.99474612340799</v>
      </c>
      <c r="AA35" s="374">
        <f>IF(ISERROR(VLOOKUP($A35,'Further adjustment'!$A:$BC,52,FALSE)),"-",VLOOKUP($A35,'Further adjustment'!$A:$BC,52,FALSE))</f>
        <v>311.99474612340799</v>
      </c>
      <c r="AB35" s="374">
        <f>IF(ISERROR(VLOOKUP($A35,'Further adjustment'!$A:$BC,55,FALSE)),"-",VLOOKUP($A35,'Further adjustment'!$A:$BC,55,FALSE))</f>
        <v>146.9797021859066</v>
      </c>
      <c r="AC35" s="374">
        <f>IF(ISERROR(VLOOKUP($A35,'Further adjustment'!$A:$BC,54,FALSE)),"-",VLOOKUP($A35,'Further adjustment'!$A:$BC,54,FALSE))</f>
        <v>146.9797021859066</v>
      </c>
      <c r="AD35" s="375">
        <f t="shared" si="8"/>
        <v>-3.0594757047899268E-2</v>
      </c>
      <c r="AE35" s="375">
        <f t="shared" si="9"/>
        <v>0.25842975982691452</v>
      </c>
      <c r="AF35" s="375">
        <f t="shared" si="10"/>
        <v>-6.116311161769028E-3</v>
      </c>
      <c r="AG35" s="375">
        <f t="shared" si="11"/>
        <v>0.21829041983770914</v>
      </c>
      <c r="AH35" s="369"/>
      <c r="AI35" s="376">
        <f>'Price Adjustments'!$G$6</f>
        <v>-3.1174571652793026E-2</v>
      </c>
      <c r="AJ35" s="376">
        <v>0</v>
      </c>
      <c r="AK35" s="377">
        <f t="shared" si="31"/>
        <v>302.26844355508882</v>
      </c>
      <c r="AL35" s="377">
        <f t="shared" si="32"/>
        <v>302.26844355508882</v>
      </c>
      <c r="AM35" s="377">
        <f t="shared" si="33"/>
        <v>142.39767292860589</v>
      </c>
      <c r="AN35" s="377">
        <f t="shared" si="34"/>
        <v>142.39767292860589</v>
      </c>
      <c r="AO35" s="378">
        <f t="shared" si="12"/>
        <v>-3.1174571652793137E-2</v>
      </c>
      <c r="AP35" s="378">
        <f t="shared" si="13"/>
        <v>-3.1174571652793137E-2</v>
      </c>
      <c r="AQ35" s="378">
        <f t="shared" si="14"/>
        <v>-3.1174571652793026E-2</v>
      </c>
      <c r="AR35" s="378">
        <f t="shared" si="15"/>
        <v>-3.1174571652793026E-2</v>
      </c>
      <c r="AS35" s="379">
        <f>'Price Adjustments'!$F$6</f>
        <v>0</v>
      </c>
      <c r="AT35" s="377">
        <f>IF(ISERROR(VLOOKUP($A35,'15-16 tariff'!$A:$F,3,FALSE)*(1+$AS$6)),"-",VLOOKUP($A35,'15-16 tariff'!$A:$F,3,FALSE)*(1+$AS$6))</f>
        <v>210.42770488104574</v>
      </c>
      <c r="AU35" s="377">
        <f>IF(ISERROR(VLOOKUP($A35,'15-16 tariff'!$A:$F,4,FALSE)*(1+$AS$6)),"-",VLOOKUP($A35,'15-16 tariff'!$A:$F,4,FALSE)*(1+$AS$6))</f>
        <v>210.42770488104574</v>
      </c>
      <c r="AV35" s="377">
        <f>IF(ISERROR(VLOOKUP($A35,'15-16 tariff'!$A:$F,5,FALSE)*(1+$AS$6)),"-",VLOOKUP($A35,'15-16 tariff'!$A:$F,5,FALSE)*(1+$AS$6))</f>
        <v>167</v>
      </c>
      <c r="AW35" s="377">
        <f>IF(ISERROR(VLOOKUP($A35,'15-16 tariff'!$A:$F,6,FALSE)*(1+$AS$6)),"-",VLOOKUP($A35,'15-16 tariff'!$A:$F,6,FALSE)*(1+$AS$6))</f>
        <v>167</v>
      </c>
      <c r="AX35" s="369"/>
      <c r="AY35" s="380" t="s">
        <v>307</v>
      </c>
      <c r="AZ35" s="380" t="s">
        <v>307</v>
      </c>
      <c r="BA35" s="380" t="s">
        <v>307</v>
      </c>
      <c r="BB35" s="381" t="s">
        <v>307</v>
      </c>
      <c r="BC35" s="381">
        <f t="shared" si="16"/>
        <v>302.26844355508882</v>
      </c>
      <c r="BD35" s="381">
        <f t="shared" si="17"/>
        <v>302.26844355508882</v>
      </c>
      <c r="BE35" s="381">
        <f t="shared" si="18"/>
        <v>142.39767292860589</v>
      </c>
      <c r="BF35" s="381">
        <f t="shared" si="19"/>
        <v>142.39767292860589</v>
      </c>
      <c r="BG35" s="381">
        <f>IFERROR(VLOOKUP($A35,'Further adjustment'!$A:$Q,7,FALSE),0)</f>
        <v>638</v>
      </c>
      <c r="BH35" s="381">
        <f>IFERROR(VLOOKUP($A35,'Further adjustment'!$A:$Q,6,FALSE),0)</f>
        <v>36</v>
      </c>
      <c r="BI35" s="381">
        <f>IFERROR(VLOOKUP($A35,'Further adjustment'!$A:$Q,9,FALSE),0)</f>
        <v>2476</v>
      </c>
      <c r="BJ35" s="381">
        <f>IFERROR(VLOOKUP($A35,'Further adjustment'!$A:$Q,8,FALSE),0)</f>
        <v>236</v>
      </c>
      <c r="BK35" s="382">
        <f t="shared" si="20"/>
        <v>-3.1174571652793137E-2</v>
      </c>
      <c r="BL35" s="382">
        <f t="shared" si="21"/>
        <v>-3.1174571652793137E-2</v>
      </c>
      <c r="BM35" s="382">
        <f t="shared" si="22"/>
        <v>-3.1174571652793026E-2</v>
      </c>
      <c r="BN35" s="382">
        <f t="shared" si="23"/>
        <v>-3.1174571652793026E-2</v>
      </c>
      <c r="BO35" s="369"/>
      <c r="BP35" s="383">
        <f>'Price Adjustments'!$D$90</f>
        <v>-6.8529657693413348E-2</v>
      </c>
      <c r="BQ35" s="384">
        <f t="shared" si="24"/>
        <v>281.55409058673774</v>
      </c>
      <c r="BR35" s="384">
        <f t="shared" si="25"/>
        <v>281.55409058673774</v>
      </c>
      <c r="BS35" s="384">
        <f t="shared" si="26"/>
        <v>132.63920914646988</v>
      </c>
      <c r="BT35" s="384">
        <f t="shared" si="27"/>
        <v>132.63920914646988</v>
      </c>
      <c r="BU35" s="369"/>
      <c r="BV35" s="385" t="str">
        <f>IF(COUNTIF('Manual adjustments'!$A:$A,A35)=1,"Y",IF(COUNTIF(#REF!,A35)=1,"BPT",""))</f>
        <v>Y</v>
      </c>
      <c r="BW35" s="384">
        <f>IF($BV35="",BQ35,IF(AND($BV35="BPT",IFERROR(ISNUMBER(VLOOKUP($A35,#REF!,3,FALSE)),FALSE)),VLOOKUP($A35,#REF!,3,FALSE),IF(AND($BV35="Y",IFERROR(ISNUMBER(VLOOKUP($A35,'Manual adjustments'!$A:$O,12,FALSE)),FALSE)),VLOOKUP($A35,'Manual adjustments'!$A:$O,12,FALSE),BQ35)))</f>
        <v>281.55409058673774</v>
      </c>
      <c r="BX35" s="384">
        <f>IF($BV35="",BR35,IF(AND($BV35="BPT",IFERROR(ISNUMBER(VLOOKUP($A35,#REF!,4,FALSE)),FALSE)),VLOOKUP($A35,#REF!,4,FALSE),IF(AND($BV35="Y",IFERROR(ISNUMBER(VLOOKUP($A35,'Manual adjustments'!$A:$O,13,FALSE)),FALSE)),VLOOKUP($A35,'Manual adjustments'!$A:$O,13,FALSE),BR35)))</f>
        <v>281.55409058673774</v>
      </c>
      <c r="BY35" s="384">
        <f>IF($BV35="",BS35,IF(AND($BV35="BPT",IFERROR(ISNUMBER(VLOOKUP($A35,#REF!,5,FALSE)),FALSE)),VLOOKUP($A35,#REF!,5,FALSE),IF(AND($BV35="Y",IFERROR(ISNUMBER(VLOOKUP($A35,'Manual adjustments'!$A:$O,14,FALSE)),FALSE)),VLOOKUP($A35,'Manual adjustments'!$A:$O,14,FALSE),BS35)))</f>
        <v>132.63920914646988</v>
      </c>
      <c r="BZ35" s="384">
        <f>IF($BV35="",BT35,IF(AND($BV35="BPT",IFERROR(ISNUMBER(VLOOKUP($A35,#REF!,6,FALSE)),FALSE)),VLOOKUP($A35,#REF!,6,FALSE),IF(AND($BV35="Y",IFERROR(ISNUMBER(VLOOKUP($A35,'Manual adjustments'!$A:$O,15,FALSE)),FALSE)),VLOOKUP($A35,'Manual adjustments'!$A:$O,15,FALSE),BT35)))</f>
        <v>132.63920914646988</v>
      </c>
      <c r="CA35" s="386">
        <f>'Post manual recon'!$N$70</f>
        <v>0</v>
      </c>
      <c r="CB35" s="384">
        <f>IF(VLOOKUP($A35,'Post manual recon'!$A:$U,18,FALSE)=0,BW35,BW35*(1+$CA35))</f>
        <v>281.55409058673774</v>
      </c>
      <c r="CC35" s="384">
        <f>IF(VLOOKUP($A35,'Post manual recon'!$A:$U,19,FALSE)=0,BX35,BX35*(1+$CA35))</f>
        <v>281.55409058673774</v>
      </c>
      <c r="CD35" s="384">
        <f>IF(VLOOKUP($A35,'Post manual recon'!$A:$U,20,FALSE)=0,BY35,BY35*(1+$CA35))</f>
        <v>132.63920914646988</v>
      </c>
      <c r="CE35" s="384">
        <f>IF(VLOOKUP($A35,'Post manual recon'!$A:$U,21,FALSE)=0,BZ35,BZ35*(1+$CA35))</f>
        <v>132.63920914646988</v>
      </c>
      <c r="CF35" s="383">
        <f t="shared" si="35"/>
        <v>0</v>
      </c>
      <c r="CG35" s="383">
        <f t="shared" si="36"/>
        <v>0</v>
      </c>
      <c r="CH35" s="383">
        <f t="shared" si="37"/>
        <v>0</v>
      </c>
      <c r="CI35" s="383">
        <f t="shared" si="38"/>
        <v>0</v>
      </c>
      <c r="CJ35" s="369"/>
      <c r="CK35" s="383">
        <f>'Price Adjustments'!$F$6</f>
        <v>0</v>
      </c>
      <c r="CL35" s="384">
        <f t="shared" si="39"/>
        <v>281.55409058673774</v>
      </c>
      <c r="CM35" s="384">
        <f t="shared" si="40"/>
        <v>281.55409058673774</v>
      </c>
      <c r="CN35" s="384">
        <f t="shared" si="41"/>
        <v>132.63920914646988</v>
      </c>
      <c r="CO35" s="384">
        <f t="shared" si="42"/>
        <v>132.63920914646988</v>
      </c>
      <c r="CP35" s="369"/>
      <c r="CQ35" s="384">
        <f t="shared" si="43"/>
        <v>282</v>
      </c>
      <c r="CR35" s="384">
        <f t="shared" si="44"/>
        <v>282</v>
      </c>
      <c r="CS35" s="384">
        <f t="shared" si="45"/>
        <v>133</v>
      </c>
      <c r="CT35" s="384">
        <f t="shared" si="46"/>
        <v>133</v>
      </c>
    </row>
    <row r="36" spans="1:98">
      <c r="A36" s="367">
        <v>251</v>
      </c>
      <c r="B36" s="367" t="str">
        <f>INDEX('201314 RC list'!B:B,MATCH(A36,'201314 RC list'!A:A,0))</f>
        <v>Paediatric Gastroenterology</v>
      </c>
      <c r="C36" s="368">
        <f>IF(ISERROR(VLOOKUP($A36,'Allocate OPROC cost'!A:M,11,FALSE)),"-",VLOOKUP($A36,'Allocate OPROC cost'!A:M,11,FALSE))</f>
        <v>223.11043713887199</v>
      </c>
      <c r="D36" s="368">
        <f>IF(ISERROR(VLOOKUP($A36,'Allocate OPROC cost'!A:M,10,FALSE)),"-",VLOOKUP($A36,'Allocate OPROC cost'!A:M,10,FALSE))</f>
        <v>187.1689058629004</v>
      </c>
      <c r="E36" s="368">
        <f>IF(ISERROR(VLOOKUP($A36,'Allocate OPROC cost'!A:M,13,FALSE)),"-",VLOOKUP($A36,'Allocate OPROC cost'!A:M,13,FALSE))</f>
        <v>201.97321725253644</v>
      </c>
      <c r="F36" s="368">
        <f>IF(ISERROR(VLOOKUP($A36,'Allocate OPROC cost'!A:M,12,FALSE)),"-",VLOOKUP($A36,'Allocate OPROC cost'!A:M,12,FALSE))</f>
        <v>165.09706909691528</v>
      </c>
      <c r="G36" s="369"/>
      <c r="H36" s="370">
        <f>IF(ISERROR(VLOOKUP($A36,'Allocate OPROC cost'!A:AO,39,FALSE)),"-",VLOOKUP($A36,'Allocate OPROC cost'!A:AO,39,FALSE))</f>
        <v>223.01270565718488</v>
      </c>
      <c r="I36" s="370">
        <f>IF(ISERROR(VLOOKUP($A36,'Allocate OPROC cost'!A:AO,38,FALSE)),"-",VLOOKUP($A36,'Allocate OPROC cost'!A:AO,38,FALSE))</f>
        <v>187.19935620274828</v>
      </c>
      <c r="J36" s="370">
        <f>IF(ISERROR(VLOOKUP($A36,'Allocate OPROC cost'!A:AO,41,FALSE)),"-",VLOOKUP($A36,'Allocate OPROC cost'!A:AO,41,FALSE))</f>
        <v>201.96093006431354</v>
      </c>
      <c r="K36" s="370">
        <f>IF(ISERROR(VLOOKUP($A36,'Allocate OPROC cost'!A:AO,40,FALSE)),"-",VLOOKUP($A36,'Allocate OPROC cost'!A:AO,40,FALSE))</f>
        <v>165.08956302091789</v>
      </c>
      <c r="L36" s="371">
        <f t="shared" si="0"/>
        <v>-4.3804083278398132E-4</v>
      </c>
      <c r="M36" s="371">
        <f t="shared" si="1"/>
        <v>1.6268909468419857E-4</v>
      </c>
      <c r="N36" s="371">
        <f t="shared" si="2"/>
        <v>-6.0835730549047007E-5</v>
      </c>
      <c r="O36" s="371">
        <f t="shared" si="3"/>
        <v>-4.5464622954516365E-5</v>
      </c>
      <c r="P36" s="369"/>
      <c r="Q36" s="372">
        <f>IF(ISERROR(VLOOKUP($A36,'Front-loading'!$A:$AG,27,FALSE)),"-",VLOOKUP($A36,'Front-loading'!$A:$AG,27,FALSE))</f>
        <v>273.87016989550546</v>
      </c>
      <c r="R36" s="372">
        <f>IF(ISERROR(VLOOKUP($A36,'Front-loading'!$A:$AG,26,FALSE)),"-",VLOOKUP($A36,'Front-loading'!$A:$AG,26,FALSE))</f>
        <v>248.12785917781659</v>
      </c>
      <c r="S36" s="372">
        <f>IF(ISERROR(VLOOKUP($A36,'Front-loading'!$A:$AG,29,FALSE)),"-",VLOOKUP($A36,'Front-loading'!$A:$AG,29,FALSE))</f>
        <v>181.76483705788218</v>
      </c>
      <c r="T36" s="372">
        <f>IF(ISERROR(VLOOKUP($A36,'Front-loading'!$A:$AG,28,FALSE)),"-",VLOOKUP($A36,'Front-loading'!$A:$AG,28,FALSE))</f>
        <v>148.58060671882609</v>
      </c>
      <c r="U36" s="373">
        <f t="shared" si="4"/>
        <v>0.22804738451314366</v>
      </c>
      <c r="V36" s="373">
        <f t="shared" si="5"/>
        <v>0.32547389163603224</v>
      </c>
      <c r="W36" s="373">
        <f t="shared" si="6"/>
        <v>-0.10000000000000009</v>
      </c>
      <c r="X36" s="373">
        <f t="shared" si="7"/>
        <v>-0.10000000000000009</v>
      </c>
      <c r="Y36" s="369"/>
      <c r="Z36" s="374">
        <f>IF(ISERROR(VLOOKUP($A36,'Further adjustment'!$A:$BC,53,FALSE)),"-",VLOOKUP($A36,'Further adjustment'!$A:$BC,53,FALSE))</f>
        <v>271.90485071093497</v>
      </c>
      <c r="AA36" s="374">
        <f>IF(ISERROR(VLOOKUP($A36,'Further adjustment'!$A:$BC,52,FALSE)),"-",VLOOKUP($A36,'Further adjustment'!$A:$BC,52,FALSE))</f>
        <v>271.90485071093497</v>
      </c>
      <c r="AB36" s="374">
        <f>IF(ISERROR(VLOOKUP($A36,'Further adjustment'!$A:$BC,55,FALSE)),"-",VLOOKUP($A36,'Further adjustment'!$A:$BC,55,FALSE))</f>
        <v>178.17924062778198</v>
      </c>
      <c r="AC36" s="374">
        <f>IF(ISERROR(VLOOKUP($A36,'Further adjustment'!$A:$BC,54,FALSE)),"-",VLOOKUP($A36,'Further adjustment'!$A:$BC,54,FALSE))</f>
        <v>178.17924062778198</v>
      </c>
      <c r="AD36" s="375">
        <f t="shared" si="8"/>
        <v>-7.1760980223598558E-3</v>
      </c>
      <c r="AE36" s="375">
        <f t="shared" si="9"/>
        <v>9.5825561917571633E-2</v>
      </c>
      <c r="AF36" s="375">
        <f t="shared" si="10"/>
        <v>-1.9726568065298489E-2</v>
      </c>
      <c r="AG36" s="375">
        <f t="shared" si="11"/>
        <v>0.19920926803703476</v>
      </c>
      <c r="AH36" s="369"/>
      <c r="AI36" s="376">
        <f>'Price Adjustments'!$G$6</f>
        <v>-3.1174571652793026E-2</v>
      </c>
      <c r="AJ36" s="376">
        <v>0</v>
      </c>
      <c r="AK36" s="377">
        <f t="shared" si="31"/>
        <v>263.42833345970496</v>
      </c>
      <c r="AL36" s="377">
        <f t="shared" si="32"/>
        <v>263.42833345970496</v>
      </c>
      <c r="AM36" s="377">
        <f t="shared" si="33"/>
        <v>172.62457912379094</v>
      </c>
      <c r="AN36" s="377">
        <f t="shared" si="34"/>
        <v>172.62457912379094</v>
      </c>
      <c r="AO36" s="378">
        <f t="shared" si="12"/>
        <v>-3.1174571652792915E-2</v>
      </c>
      <c r="AP36" s="378">
        <f t="shared" si="13"/>
        <v>-3.1174571652792915E-2</v>
      </c>
      <c r="AQ36" s="378">
        <f t="shared" si="14"/>
        <v>-3.1174571652793026E-2</v>
      </c>
      <c r="AR36" s="378">
        <f t="shared" si="15"/>
        <v>-3.1174571652793026E-2</v>
      </c>
      <c r="AS36" s="379">
        <f>'Price Adjustments'!$F$6</f>
        <v>0</v>
      </c>
      <c r="AT36" s="377">
        <f>IF(ISERROR(VLOOKUP($A36,'15-16 tariff'!$A:$F,3,FALSE)*(1+$AS$6)),"-",VLOOKUP($A36,'15-16 tariff'!$A:$F,3,FALSE)*(1+$AS$6))</f>
        <v>253.15944325564755</v>
      </c>
      <c r="AU36" s="377">
        <f>IF(ISERROR(VLOOKUP($A36,'15-16 tariff'!$A:$F,4,FALSE)*(1+$AS$6)),"-",VLOOKUP($A36,'15-16 tariff'!$A:$F,4,FALSE)*(1+$AS$6))</f>
        <v>253.15944325564755</v>
      </c>
      <c r="AV36" s="377">
        <f>IF(ISERROR(VLOOKUP($A36,'15-16 tariff'!$A:$F,5,FALSE)*(1+$AS$6)),"-",VLOOKUP($A36,'15-16 tariff'!$A:$F,5,FALSE)*(1+$AS$6))</f>
        <v>147.10018272844619</v>
      </c>
      <c r="AW36" s="377">
        <f>IF(ISERROR(VLOOKUP($A36,'15-16 tariff'!$A:$F,6,FALSE)*(1+$AS$6)),"-",VLOOKUP($A36,'15-16 tariff'!$A:$F,6,FALSE)*(1+$AS$6))</f>
        <v>147.10018272844619</v>
      </c>
      <c r="AX36" s="369"/>
      <c r="AY36" s="380" t="s">
        <v>307</v>
      </c>
      <c r="AZ36" s="380" t="s">
        <v>307</v>
      </c>
      <c r="BA36" s="380" t="s">
        <v>307</v>
      </c>
      <c r="BB36" s="381" t="s">
        <v>307</v>
      </c>
      <c r="BC36" s="381">
        <f t="shared" si="16"/>
        <v>263.42833345970496</v>
      </c>
      <c r="BD36" s="381">
        <f t="shared" si="17"/>
        <v>263.42833345970496</v>
      </c>
      <c r="BE36" s="381">
        <f t="shared" si="18"/>
        <v>172.62457912379094</v>
      </c>
      <c r="BF36" s="381">
        <f t="shared" si="19"/>
        <v>172.62457912379094</v>
      </c>
      <c r="BG36" s="381">
        <f>IFERROR(VLOOKUP($A36,'Further adjustment'!$A:$Q,7,FALSE),0)</f>
        <v>18341</v>
      </c>
      <c r="BH36" s="381">
        <f>IFERROR(VLOOKUP($A36,'Further adjustment'!$A:$Q,6,FALSE),0)</f>
        <v>1516</v>
      </c>
      <c r="BI36" s="381">
        <f>IFERROR(VLOOKUP($A36,'Further adjustment'!$A:$Q,9,FALSE),0)</f>
        <v>46186</v>
      </c>
      <c r="BJ36" s="381">
        <f>IFERROR(VLOOKUP($A36,'Further adjustment'!$A:$Q,8,FALSE),0)</f>
        <v>5595</v>
      </c>
      <c r="BK36" s="382">
        <f t="shared" si="20"/>
        <v>-3.1174571652792915E-2</v>
      </c>
      <c r="BL36" s="382">
        <f t="shared" si="21"/>
        <v>-3.1174571652792915E-2</v>
      </c>
      <c r="BM36" s="382">
        <f t="shared" si="22"/>
        <v>-3.1174571652793026E-2</v>
      </c>
      <c r="BN36" s="382">
        <f t="shared" si="23"/>
        <v>-3.1174571652793026E-2</v>
      </c>
      <c r="BO36" s="369"/>
      <c r="BP36" s="383">
        <f>'Price Adjustments'!$D$90</f>
        <v>-6.8529657693413348E-2</v>
      </c>
      <c r="BQ36" s="384">
        <f t="shared" si="24"/>
        <v>245.37567994096503</v>
      </c>
      <c r="BR36" s="384">
        <f t="shared" si="25"/>
        <v>245.37567994096503</v>
      </c>
      <c r="BS36" s="384">
        <f t="shared" si="26"/>
        <v>160.794675806968</v>
      </c>
      <c r="BT36" s="384">
        <f t="shared" si="27"/>
        <v>160.794675806968</v>
      </c>
      <c r="BU36" s="369"/>
      <c r="BV36" s="385" t="str">
        <f>IF(COUNTIF('Manual adjustments'!$A:$A,A36)=1,"Y",IF(COUNTIF(#REF!,A36)=1,"BPT",""))</f>
        <v>Y</v>
      </c>
      <c r="BW36" s="384">
        <f>IF($BV36="",BQ36,IF(AND($BV36="BPT",IFERROR(ISNUMBER(VLOOKUP($A36,#REF!,3,FALSE)),FALSE)),VLOOKUP($A36,#REF!,3,FALSE),IF(AND($BV36="Y",IFERROR(ISNUMBER(VLOOKUP($A36,'Manual adjustments'!$A:$O,12,FALSE)),FALSE)),VLOOKUP($A36,'Manual adjustments'!$A:$O,12,FALSE),BQ36)))</f>
        <v>245.37567994096503</v>
      </c>
      <c r="BX36" s="384">
        <f>IF($BV36="",BR36,IF(AND($BV36="BPT",IFERROR(ISNUMBER(VLOOKUP($A36,#REF!,4,FALSE)),FALSE)),VLOOKUP($A36,#REF!,4,FALSE),IF(AND($BV36="Y",IFERROR(ISNUMBER(VLOOKUP($A36,'Manual adjustments'!$A:$O,13,FALSE)),FALSE)),VLOOKUP($A36,'Manual adjustments'!$A:$O,13,FALSE),BR36)))</f>
        <v>245.37567994096503</v>
      </c>
      <c r="BY36" s="384">
        <f>IF($BV36="",BS36,IF(AND($BV36="BPT",IFERROR(ISNUMBER(VLOOKUP($A36,#REF!,5,FALSE)),FALSE)),VLOOKUP($A36,#REF!,5,FALSE),IF(AND($BV36="Y",IFERROR(ISNUMBER(VLOOKUP($A36,'Manual adjustments'!$A:$O,14,FALSE)),FALSE)),VLOOKUP($A36,'Manual adjustments'!$A:$O,14,FALSE),BS36)))</f>
        <v>160.794675806968</v>
      </c>
      <c r="BZ36" s="384">
        <f>IF($BV36="",BT36,IF(AND($BV36="BPT",IFERROR(ISNUMBER(VLOOKUP($A36,#REF!,6,FALSE)),FALSE)),VLOOKUP($A36,#REF!,6,FALSE),IF(AND($BV36="Y",IFERROR(ISNUMBER(VLOOKUP($A36,'Manual adjustments'!$A:$O,15,FALSE)),FALSE)),VLOOKUP($A36,'Manual adjustments'!$A:$O,15,FALSE),BT36)))</f>
        <v>160.794675806968</v>
      </c>
      <c r="CA36" s="386">
        <f>'Post manual recon'!$N$70</f>
        <v>0</v>
      </c>
      <c r="CB36" s="384">
        <f>IF(VLOOKUP($A36,'Post manual recon'!$A:$U,18,FALSE)=0,BW36,BW36*(1+$CA36))</f>
        <v>245.37567994096503</v>
      </c>
      <c r="CC36" s="384">
        <f>IF(VLOOKUP($A36,'Post manual recon'!$A:$U,19,FALSE)=0,BX36,BX36*(1+$CA36))</f>
        <v>245.37567994096503</v>
      </c>
      <c r="CD36" s="384">
        <f>IF(VLOOKUP($A36,'Post manual recon'!$A:$U,20,FALSE)=0,BY36,BY36*(1+$CA36))</f>
        <v>160.794675806968</v>
      </c>
      <c r="CE36" s="384">
        <f>IF(VLOOKUP($A36,'Post manual recon'!$A:$U,21,FALSE)=0,BZ36,BZ36*(1+$CA36))</f>
        <v>160.794675806968</v>
      </c>
      <c r="CF36" s="383">
        <f t="shared" si="35"/>
        <v>0</v>
      </c>
      <c r="CG36" s="383">
        <f t="shared" si="36"/>
        <v>0</v>
      </c>
      <c r="CH36" s="383">
        <f t="shared" si="37"/>
        <v>0</v>
      </c>
      <c r="CI36" s="383">
        <f t="shared" si="38"/>
        <v>0</v>
      </c>
      <c r="CJ36" s="369"/>
      <c r="CK36" s="383">
        <f>'Price Adjustments'!$F$6</f>
        <v>0</v>
      </c>
      <c r="CL36" s="384">
        <f t="shared" si="39"/>
        <v>245.37567994096503</v>
      </c>
      <c r="CM36" s="384">
        <f t="shared" si="40"/>
        <v>245.37567994096503</v>
      </c>
      <c r="CN36" s="384">
        <f t="shared" si="41"/>
        <v>160.794675806968</v>
      </c>
      <c r="CO36" s="384">
        <f t="shared" si="42"/>
        <v>160.794675806968</v>
      </c>
      <c r="CP36" s="369"/>
      <c r="CQ36" s="384">
        <f t="shared" si="43"/>
        <v>245</v>
      </c>
      <c r="CR36" s="384">
        <f t="shared" si="44"/>
        <v>245</v>
      </c>
      <c r="CS36" s="384">
        <f t="shared" si="45"/>
        <v>161</v>
      </c>
      <c r="CT36" s="384">
        <f t="shared" si="46"/>
        <v>161</v>
      </c>
    </row>
    <row r="37" spans="1:98">
      <c r="A37" s="367">
        <v>252</v>
      </c>
      <c r="B37" s="367" t="str">
        <f>INDEX('201314 RC list'!B:B,MATCH(A37,'201314 RC list'!A:A,0))</f>
        <v>Paediatric Endocrinology</v>
      </c>
      <c r="C37" s="368">
        <f>IF(ISERROR(VLOOKUP($A37,'Allocate OPROC cost'!A:M,11,FALSE)),"-",VLOOKUP($A37,'Allocate OPROC cost'!A:M,11,FALSE))</f>
        <v>296.19630311132096</v>
      </c>
      <c r="D37" s="368">
        <f>IF(ISERROR(VLOOKUP($A37,'Allocate OPROC cost'!A:M,10,FALSE)),"-",VLOOKUP($A37,'Allocate OPROC cost'!A:M,10,FALSE))</f>
        <v>249.26118229281283</v>
      </c>
      <c r="E37" s="368">
        <f>IF(ISERROR(VLOOKUP($A37,'Allocate OPROC cost'!A:M,13,FALSE)),"-",VLOOKUP($A37,'Allocate OPROC cost'!A:M,13,FALSE))</f>
        <v>192.13918153277663</v>
      </c>
      <c r="F37" s="368">
        <f>IF(ISERROR(VLOOKUP($A37,'Allocate OPROC cost'!A:M,12,FALSE)),"-",VLOOKUP($A37,'Allocate OPROC cost'!A:M,12,FALSE))</f>
        <v>201.14377492028805</v>
      </c>
      <c r="G37" s="369"/>
      <c r="H37" s="370">
        <f>IF(ISERROR(VLOOKUP($A37,'Allocate OPROC cost'!A:AO,39,FALSE)),"-",VLOOKUP($A37,'Allocate OPROC cost'!A:AO,39,FALSE))</f>
        <v>295.97616140367461</v>
      </c>
      <c r="I37" s="370">
        <f>IF(ISERROR(VLOOKUP($A37,'Allocate OPROC cost'!A:AO,38,FALSE)),"-",VLOOKUP($A37,'Allocate OPROC cost'!A:AO,38,FALSE))</f>
        <v>249.27338496667207</v>
      </c>
      <c r="J37" s="370">
        <f>IF(ISERROR(VLOOKUP($A37,'Allocate OPROC cost'!A:AO,41,FALSE)),"-",VLOOKUP($A37,'Allocate OPROC cost'!A:AO,41,FALSE))</f>
        <v>192.12908978182566</v>
      </c>
      <c r="K37" s="370">
        <f>IF(ISERROR(VLOOKUP($A37,'Allocate OPROC cost'!A:AO,40,FALSE)),"-",VLOOKUP($A37,'Allocate OPROC cost'!A:AO,40,FALSE))</f>
        <v>201.12024215859077</v>
      </c>
      <c r="L37" s="371">
        <f t="shared" si="0"/>
        <v>-7.4322908602819648E-4</v>
      </c>
      <c r="M37" s="371">
        <f t="shared" si="1"/>
        <v>4.8955371819259241E-5</v>
      </c>
      <c r="N37" s="371">
        <f t="shared" si="2"/>
        <v>-5.2523128653225726E-5</v>
      </c>
      <c r="O37" s="371">
        <f t="shared" si="3"/>
        <v>-1.16994730294806E-4</v>
      </c>
      <c r="P37" s="369"/>
      <c r="Q37" s="372">
        <f>IF(ISERROR(VLOOKUP($A37,'Front-loading'!$A:$AG,27,FALSE)),"-",VLOOKUP($A37,'Front-loading'!$A:$AG,27,FALSE))</f>
        <v>369.12658797313719</v>
      </c>
      <c r="R37" s="372">
        <f>IF(ISERROR(VLOOKUP($A37,'Front-loading'!$A:$AG,26,FALSE)),"-",VLOOKUP($A37,'Front-loading'!$A:$AG,26,FALSE))</f>
        <v>333.45361003511317</v>
      </c>
      <c r="S37" s="372">
        <f>IF(ISERROR(VLOOKUP($A37,'Front-loading'!$A:$AG,29,FALSE)),"-",VLOOKUP($A37,'Front-loading'!$A:$AG,29,FALSE))</f>
        <v>172.9161808036431</v>
      </c>
      <c r="T37" s="372">
        <f>IF(ISERROR(VLOOKUP($A37,'Front-loading'!$A:$AG,28,FALSE)),"-",VLOOKUP($A37,'Front-loading'!$A:$AG,28,FALSE))</f>
        <v>181.0082179427317</v>
      </c>
      <c r="U37" s="373">
        <f t="shared" si="4"/>
        <v>0.24714972389176482</v>
      </c>
      <c r="V37" s="373">
        <f t="shared" si="5"/>
        <v>0.33770241889119457</v>
      </c>
      <c r="W37" s="373">
        <f t="shared" si="6"/>
        <v>-9.9999999999999978E-2</v>
      </c>
      <c r="X37" s="373">
        <f t="shared" si="7"/>
        <v>-9.9999999999999978E-2</v>
      </c>
      <c r="Y37" s="369"/>
      <c r="Z37" s="374">
        <f>IF(ISERROR(VLOOKUP($A37,'Further adjustment'!$A:$BC,53,FALSE)),"-",VLOOKUP($A37,'Further adjustment'!$A:$BC,53,FALSE))</f>
        <v>365.05419749877103</v>
      </c>
      <c r="AA37" s="374">
        <f>IF(ISERROR(VLOOKUP($A37,'Further adjustment'!$A:$BC,52,FALSE)),"-",VLOOKUP($A37,'Further adjustment'!$A:$BC,52,FALSE))</f>
        <v>365.05419749877103</v>
      </c>
      <c r="AB37" s="374">
        <f>IF(ISERROR(VLOOKUP($A37,'Further adjustment'!$A:$BC,55,FALSE)),"-",VLOOKUP($A37,'Further adjustment'!$A:$BC,55,FALSE))</f>
        <v>172.9161808036431</v>
      </c>
      <c r="AC37" s="374">
        <f>IF(ISERROR(VLOOKUP($A37,'Further adjustment'!$A:$BC,54,FALSE)),"-",VLOOKUP($A37,'Further adjustment'!$A:$BC,54,FALSE))</f>
        <v>181.0082179427317</v>
      </c>
      <c r="AD37" s="375">
        <f t="shared" si="8"/>
        <v>-1.103250377256082E-2</v>
      </c>
      <c r="AE37" s="375">
        <f t="shared" si="9"/>
        <v>9.476756739964598E-2</v>
      </c>
      <c r="AF37" s="375">
        <f t="shared" si="10"/>
        <v>0</v>
      </c>
      <c r="AG37" s="375">
        <f t="shared" si="11"/>
        <v>0</v>
      </c>
      <c r="AH37" s="369"/>
      <c r="AI37" s="376">
        <f>'Price Adjustments'!$G$6</f>
        <v>-3.1174571652793026E-2</v>
      </c>
      <c r="AJ37" s="376">
        <v>0</v>
      </c>
      <c r="AK37" s="377">
        <f t="shared" si="31"/>
        <v>353.67378926169272</v>
      </c>
      <c r="AL37" s="377">
        <f t="shared" si="32"/>
        <v>353.67378926169272</v>
      </c>
      <c r="AM37" s="377">
        <f t="shared" si="33"/>
        <v>167.5255929352526</v>
      </c>
      <c r="AN37" s="377">
        <f t="shared" si="34"/>
        <v>175.36536428273163</v>
      </c>
      <c r="AO37" s="378">
        <f t="shared" si="12"/>
        <v>-3.1174571652793026E-2</v>
      </c>
      <c r="AP37" s="378">
        <f t="shared" si="13"/>
        <v>-3.1174571652793026E-2</v>
      </c>
      <c r="AQ37" s="378">
        <f t="shared" si="14"/>
        <v>-3.1174571652793137E-2</v>
      </c>
      <c r="AR37" s="378">
        <f t="shared" si="15"/>
        <v>-3.1174571652793026E-2</v>
      </c>
      <c r="AS37" s="379">
        <f>'Price Adjustments'!$F$6</f>
        <v>0</v>
      </c>
      <c r="AT37" s="377">
        <f>IF(ISERROR(VLOOKUP($A37,'15-16 tariff'!$A:$F,3,FALSE)*(1+$AS$6)),"-",VLOOKUP($A37,'15-16 tariff'!$A:$F,3,FALSE)*(1+$AS$6))</f>
        <v>380.08943460751425</v>
      </c>
      <c r="AU37" s="377">
        <f>IF(ISERROR(VLOOKUP($A37,'15-16 tariff'!$A:$F,4,FALSE)*(1+$AS$6)),"-",VLOOKUP($A37,'15-16 tariff'!$A:$F,4,FALSE)*(1+$AS$6))</f>
        <v>380.08943460751425</v>
      </c>
      <c r="AV37" s="377">
        <f>IF(ISERROR(VLOOKUP($A37,'15-16 tariff'!$A:$F,5,FALSE)*(1+$AS$6)),"-",VLOOKUP($A37,'15-16 tariff'!$A:$F,5,FALSE)*(1+$AS$6))</f>
        <v>183.49583390393013</v>
      </c>
      <c r="AW37" s="377">
        <f>IF(ISERROR(VLOOKUP($A37,'15-16 tariff'!$A:$F,6,FALSE)*(1+$AS$6)),"-",VLOOKUP($A37,'15-16 tariff'!$A:$F,6,FALSE)*(1+$AS$6))</f>
        <v>197.38483284429159</v>
      </c>
      <c r="AX37" s="369"/>
      <c r="AY37" s="380" t="s">
        <v>307</v>
      </c>
      <c r="AZ37" s="380" t="s">
        <v>307</v>
      </c>
      <c r="BA37" s="380" t="s">
        <v>307</v>
      </c>
      <c r="BB37" s="381" t="s">
        <v>307</v>
      </c>
      <c r="BC37" s="381">
        <f t="shared" si="16"/>
        <v>353.67378926169272</v>
      </c>
      <c r="BD37" s="381">
        <f t="shared" si="17"/>
        <v>353.67378926169272</v>
      </c>
      <c r="BE37" s="381">
        <f t="shared" si="18"/>
        <v>167.5255929352526</v>
      </c>
      <c r="BF37" s="381">
        <f t="shared" si="19"/>
        <v>175.36536428273163</v>
      </c>
      <c r="BG37" s="381">
        <f>IFERROR(VLOOKUP($A37,'Further adjustment'!$A:$Q,7,FALSE),0)</f>
        <v>9785</v>
      </c>
      <c r="BH37" s="381">
        <f>IFERROR(VLOOKUP($A37,'Further adjustment'!$A:$Q,6,FALSE),0)</f>
        <v>1261</v>
      </c>
      <c r="BI37" s="381">
        <f>IFERROR(VLOOKUP($A37,'Further adjustment'!$A:$Q,9,FALSE),0)</f>
        <v>37255</v>
      </c>
      <c r="BJ37" s="381">
        <f>IFERROR(VLOOKUP($A37,'Further adjustment'!$A:$Q,8,FALSE),0)</f>
        <v>5278</v>
      </c>
      <c r="BK37" s="382">
        <f t="shared" si="20"/>
        <v>-3.1174571652793026E-2</v>
      </c>
      <c r="BL37" s="382">
        <f t="shared" si="21"/>
        <v>-3.1174571652793026E-2</v>
      </c>
      <c r="BM37" s="382">
        <f t="shared" si="22"/>
        <v>-3.1174571652793137E-2</v>
      </c>
      <c r="BN37" s="382">
        <f t="shared" si="23"/>
        <v>-3.1174571652793026E-2</v>
      </c>
      <c r="BO37" s="369"/>
      <c r="BP37" s="383">
        <f>'Price Adjustments'!$D$90</f>
        <v>-6.8529657693413348E-2</v>
      </c>
      <c r="BQ37" s="384">
        <f t="shared" si="24"/>
        <v>329.43664554845651</v>
      </c>
      <c r="BR37" s="384">
        <f t="shared" si="25"/>
        <v>329.43664554845651</v>
      </c>
      <c r="BS37" s="384">
        <f t="shared" si="26"/>
        <v>156.04512139651365</v>
      </c>
      <c r="BT37" s="384">
        <f t="shared" si="27"/>
        <v>163.3476358971553</v>
      </c>
      <c r="BU37" s="369"/>
      <c r="BV37" s="385" t="str">
        <f>IF(COUNTIF('Manual adjustments'!$A:$A,A37)=1,"Y",IF(COUNTIF(#REF!,A37)=1,"BPT",""))</f>
        <v>Y</v>
      </c>
      <c r="BW37" s="384">
        <f>IF($BV37="",BQ37,IF(AND($BV37="BPT",IFERROR(ISNUMBER(VLOOKUP($A37,#REF!,3,FALSE)),FALSE)),VLOOKUP($A37,#REF!,3,FALSE),IF(AND($BV37="Y",IFERROR(ISNUMBER(VLOOKUP($A37,'Manual adjustments'!$A:$O,12,FALSE)),FALSE)),VLOOKUP($A37,'Manual adjustments'!$A:$O,12,FALSE),BQ37)))</f>
        <v>329.43664554845651</v>
      </c>
      <c r="BX37" s="384">
        <f>IF($BV37="",BR37,IF(AND($BV37="BPT",IFERROR(ISNUMBER(VLOOKUP($A37,#REF!,4,FALSE)),FALSE)),VLOOKUP($A37,#REF!,4,FALSE),IF(AND($BV37="Y",IFERROR(ISNUMBER(VLOOKUP($A37,'Manual adjustments'!$A:$O,13,FALSE)),FALSE)),VLOOKUP($A37,'Manual adjustments'!$A:$O,13,FALSE),BR37)))</f>
        <v>329.43664554845651</v>
      </c>
      <c r="BY37" s="384">
        <f>IF($BV37="",BS37,IF(AND($BV37="BPT",IFERROR(ISNUMBER(VLOOKUP($A37,#REF!,5,FALSE)),FALSE)),VLOOKUP($A37,#REF!,5,FALSE),IF(AND($BV37="Y",IFERROR(ISNUMBER(VLOOKUP($A37,'Manual adjustments'!$A:$O,14,FALSE)),FALSE)),VLOOKUP($A37,'Manual adjustments'!$A:$O,14,FALSE),BS37)))</f>
        <v>156.04512139651365</v>
      </c>
      <c r="BZ37" s="384">
        <f>IF($BV37="",BT37,IF(AND($BV37="BPT",IFERROR(ISNUMBER(VLOOKUP($A37,#REF!,6,FALSE)),FALSE)),VLOOKUP($A37,#REF!,6,FALSE),IF(AND($BV37="Y",IFERROR(ISNUMBER(VLOOKUP($A37,'Manual adjustments'!$A:$O,15,FALSE)),FALSE)),VLOOKUP($A37,'Manual adjustments'!$A:$O,15,FALSE),BT37)))</f>
        <v>163.3476358971553</v>
      </c>
      <c r="CA37" s="386">
        <f>'Post manual recon'!$N$70</f>
        <v>0</v>
      </c>
      <c r="CB37" s="384">
        <f>IF(VLOOKUP($A37,'Post manual recon'!$A:$U,18,FALSE)=0,BW37,BW37*(1+$CA37))</f>
        <v>329.43664554845651</v>
      </c>
      <c r="CC37" s="384">
        <f>IF(VLOOKUP($A37,'Post manual recon'!$A:$U,19,FALSE)=0,BX37,BX37*(1+$CA37))</f>
        <v>329.43664554845651</v>
      </c>
      <c r="CD37" s="384">
        <f>IF(VLOOKUP($A37,'Post manual recon'!$A:$U,20,FALSE)=0,BY37,BY37*(1+$CA37))</f>
        <v>156.04512139651365</v>
      </c>
      <c r="CE37" s="384">
        <f>IF(VLOOKUP($A37,'Post manual recon'!$A:$U,21,FALSE)=0,BZ37,BZ37*(1+$CA37))</f>
        <v>163.3476358971553</v>
      </c>
      <c r="CF37" s="383">
        <f t="shared" si="35"/>
        <v>0</v>
      </c>
      <c r="CG37" s="383">
        <f t="shared" si="36"/>
        <v>0</v>
      </c>
      <c r="CH37" s="383">
        <f t="shared" si="37"/>
        <v>0</v>
      </c>
      <c r="CI37" s="383">
        <f t="shared" si="38"/>
        <v>0</v>
      </c>
      <c r="CJ37" s="369"/>
      <c r="CK37" s="383">
        <f>'Price Adjustments'!$F$6</f>
        <v>0</v>
      </c>
      <c r="CL37" s="384">
        <f t="shared" si="39"/>
        <v>329.43664554845651</v>
      </c>
      <c r="CM37" s="384">
        <f t="shared" si="40"/>
        <v>329.43664554845651</v>
      </c>
      <c r="CN37" s="384">
        <f t="shared" si="41"/>
        <v>156.04512139651365</v>
      </c>
      <c r="CO37" s="384">
        <f t="shared" si="42"/>
        <v>163.3476358971553</v>
      </c>
      <c r="CP37" s="369"/>
      <c r="CQ37" s="384">
        <f t="shared" si="43"/>
        <v>329</v>
      </c>
      <c r="CR37" s="384">
        <f t="shared" si="44"/>
        <v>329</v>
      </c>
      <c r="CS37" s="384">
        <f t="shared" si="45"/>
        <v>156</v>
      </c>
      <c r="CT37" s="384">
        <f t="shared" si="46"/>
        <v>163</v>
      </c>
    </row>
    <row r="38" spans="1:98">
      <c r="A38" s="367">
        <v>253</v>
      </c>
      <c r="B38" s="367" t="str">
        <f>INDEX('201314 RC list'!B:B,MATCH(A38,'201314 RC list'!A:A,0))</f>
        <v>Paediatric Clinical Haematology</v>
      </c>
      <c r="C38" s="368">
        <f>IF(ISERROR(VLOOKUP($A38,'Allocate OPROC cost'!A:M,11,FALSE)),"-",VLOOKUP($A38,'Allocate OPROC cost'!A:M,11,FALSE))</f>
        <v>279.75357418373409</v>
      </c>
      <c r="D38" s="368">
        <f>IF(ISERROR(VLOOKUP($A38,'Allocate OPROC cost'!A:M,10,FALSE)),"-",VLOOKUP($A38,'Allocate OPROC cost'!A:M,10,FALSE))</f>
        <v>296.19615662840931</v>
      </c>
      <c r="E38" s="368">
        <f>IF(ISERROR(VLOOKUP($A38,'Allocate OPROC cost'!A:M,13,FALSE)),"-",VLOOKUP($A38,'Allocate OPROC cost'!A:M,13,FALSE))</f>
        <v>233.06760846728295</v>
      </c>
      <c r="F38" s="368">
        <f>IF(ISERROR(VLOOKUP($A38,'Allocate OPROC cost'!A:M,12,FALSE)),"-",VLOOKUP($A38,'Allocate OPROC cost'!A:M,12,FALSE))</f>
        <v>215.078490765499</v>
      </c>
      <c r="G38" s="369"/>
      <c r="H38" s="370">
        <f>IF(ISERROR(VLOOKUP($A38,'Allocate OPROC cost'!A:AO,39,FALSE)),"-",VLOOKUP($A38,'Allocate OPROC cost'!A:AO,39,FALSE))</f>
        <v>279.44880438031447</v>
      </c>
      <c r="I38" s="370">
        <f>IF(ISERROR(VLOOKUP($A38,'Allocate OPROC cost'!A:AO,38,FALSE)),"-",VLOOKUP($A38,'Allocate OPROC cost'!A:AO,38,FALSE))</f>
        <v>295.73531761991717</v>
      </c>
      <c r="J38" s="370">
        <f>IF(ISERROR(VLOOKUP($A38,'Allocate OPROC cost'!A:AO,41,FALSE)),"-",VLOOKUP($A38,'Allocate OPROC cost'!A:AO,41,FALSE))</f>
        <v>232.79718286410966</v>
      </c>
      <c r="K38" s="370">
        <f>IF(ISERROR(VLOOKUP($A38,'Allocate OPROC cost'!A:AO,40,FALSE)),"-",VLOOKUP($A38,'Allocate OPROC cost'!A:AO,40,FALSE))</f>
        <v>213.92321784140802</v>
      </c>
      <c r="L38" s="371">
        <f t="shared" si="0"/>
        <v>-1.0894223757779153E-3</v>
      </c>
      <c r="M38" s="371">
        <f t="shared" si="1"/>
        <v>-1.5558574889622534E-3</v>
      </c>
      <c r="N38" s="371">
        <f t="shared" si="2"/>
        <v>-1.1602882311775309E-3</v>
      </c>
      <c r="O38" s="371">
        <f t="shared" si="3"/>
        <v>-5.3714014822178191E-3</v>
      </c>
      <c r="P38" s="369"/>
      <c r="Q38" s="372">
        <f>IF(ISERROR(VLOOKUP($A38,'Front-loading'!$A:$AG,27,FALSE)),"-",VLOOKUP($A38,'Front-loading'!$A:$AG,27,FALSE))</f>
        <v>419.17320657047168</v>
      </c>
      <c r="R38" s="372">
        <f>IF(ISERROR(VLOOKUP($A38,'Front-loading'!$A:$AG,26,FALSE)),"-",VLOOKUP($A38,'Front-loading'!$A:$AG,26,FALSE))</f>
        <v>443.60297642987575</v>
      </c>
      <c r="S38" s="372">
        <f>IF(ISERROR(VLOOKUP($A38,'Front-loading'!$A:$AG,29,FALSE)),"-",VLOOKUP($A38,'Front-loading'!$A:$AG,29,FALSE))</f>
        <v>209.51746457769872</v>
      </c>
      <c r="T38" s="372">
        <f>IF(ISERROR(VLOOKUP($A38,'Front-loading'!$A:$AG,28,FALSE)),"-",VLOOKUP($A38,'Front-loading'!$A:$AG,28,FALSE))</f>
        <v>192.5308960572672</v>
      </c>
      <c r="U38" s="373">
        <f t="shared" si="4"/>
        <v>0.5</v>
      </c>
      <c r="V38" s="373">
        <f t="shared" si="5"/>
        <v>0.5</v>
      </c>
      <c r="W38" s="373">
        <f t="shared" si="6"/>
        <v>-9.9999999999999867E-2</v>
      </c>
      <c r="X38" s="373">
        <f t="shared" si="7"/>
        <v>-0.10000000000000009</v>
      </c>
      <c r="Y38" s="369"/>
      <c r="Z38" s="374">
        <f>IF(ISERROR(VLOOKUP($A38,'Further adjustment'!$A:$BC,53,FALSE)),"-",VLOOKUP($A38,'Further adjustment'!$A:$BC,53,FALSE))</f>
        <v>419.17320657047168</v>
      </c>
      <c r="AA38" s="374">
        <f>IF(ISERROR(VLOOKUP($A38,'Further adjustment'!$A:$BC,52,FALSE)),"-",VLOOKUP($A38,'Further adjustment'!$A:$BC,52,FALSE))</f>
        <v>464.30620172211127</v>
      </c>
      <c r="AB38" s="374">
        <f>IF(ISERROR(VLOOKUP($A38,'Further adjustment'!$A:$BC,55,FALSE)),"-",VLOOKUP($A38,'Further adjustment'!$A:$BC,55,FALSE))</f>
        <v>208.11389960738509</v>
      </c>
      <c r="AC38" s="374">
        <f>IF(ISERROR(VLOOKUP($A38,'Further adjustment'!$A:$BC,54,FALSE)),"-",VLOOKUP($A38,'Further adjustment'!$A:$BC,54,FALSE))</f>
        <v>221.62089591394292</v>
      </c>
      <c r="AD38" s="375">
        <f t="shared" si="8"/>
        <v>0</v>
      </c>
      <c r="AE38" s="375">
        <f t="shared" si="9"/>
        <v>4.6670618531136521E-2</v>
      </c>
      <c r="AF38" s="375">
        <f t="shared" si="10"/>
        <v>-6.6990356777304472E-3</v>
      </c>
      <c r="AG38" s="375">
        <f t="shared" si="11"/>
        <v>0.15109263215615565</v>
      </c>
      <c r="AH38" s="369"/>
      <c r="AI38" s="376">
        <f>'Price Adjustments'!$G$6</f>
        <v>-3.1174571652793026E-2</v>
      </c>
      <c r="AJ38" s="376">
        <v>0</v>
      </c>
      <c r="AK38" s="377">
        <f t="shared" si="31"/>
        <v>406.10566140730947</v>
      </c>
      <c r="AL38" s="377">
        <f t="shared" si="32"/>
        <v>449.83165476768914</v>
      </c>
      <c r="AM38" s="377">
        <f t="shared" si="33"/>
        <v>201.6260379321325</v>
      </c>
      <c r="AN38" s="377">
        <f t="shared" si="34"/>
        <v>214.71195941451751</v>
      </c>
      <c r="AO38" s="378">
        <f t="shared" si="12"/>
        <v>-3.1174571652793137E-2</v>
      </c>
      <c r="AP38" s="378">
        <f t="shared" si="13"/>
        <v>-3.1174571652793026E-2</v>
      </c>
      <c r="AQ38" s="378">
        <f t="shared" si="14"/>
        <v>-3.1174571652792915E-2</v>
      </c>
      <c r="AR38" s="378">
        <f t="shared" si="15"/>
        <v>-3.1174571652793026E-2</v>
      </c>
      <c r="AS38" s="379">
        <f>'Price Adjustments'!$F$6</f>
        <v>0</v>
      </c>
      <c r="AT38" s="377">
        <f>IF(ISERROR(VLOOKUP($A38,'15-16 tariff'!$A:$F,3,FALSE)*(1+$AS$6)),"-",VLOOKUP($A38,'15-16 tariff'!$A:$F,3,FALSE)*(1+$AS$6))</f>
        <v>418.59281267838236</v>
      </c>
      <c r="AU38" s="377">
        <f>IF(ISERROR(VLOOKUP($A38,'15-16 tariff'!$A:$F,4,FALSE)*(1+$AS$6)),"-",VLOOKUP($A38,'15-16 tariff'!$A:$F,4,FALSE)*(1+$AS$6))</f>
        <v>456.11103869113566</v>
      </c>
      <c r="AV38" s="377">
        <f>IF(ISERROR(VLOOKUP($A38,'15-16 tariff'!$A:$F,5,FALSE)*(1+$AS$6)),"-",VLOOKUP($A38,'15-16 tariff'!$A:$F,5,FALSE)*(1+$AS$6))</f>
        <v>203.63524591108279</v>
      </c>
      <c r="AW38" s="377">
        <f>IF(ISERROR(VLOOKUP($A38,'15-16 tariff'!$A:$F,6,FALSE)*(1+$AS$6)),"-",VLOOKUP($A38,'15-16 tariff'!$A:$F,6,FALSE)*(1+$AS$6))</f>
        <v>212.98627951299147</v>
      </c>
      <c r="AX38" s="369"/>
      <c r="AY38" s="380" t="s">
        <v>307</v>
      </c>
      <c r="AZ38" s="380" t="s">
        <v>307</v>
      </c>
      <c r="BA38" s="380" t="s">
        <v>307</v>
      </c>
      <c r="BB38" s="381" t="s">
        <v>307</v>
      </c>
      <c r="BC38" s="381">
        <f t="shared" si="16"/>
        <v>406.10566140730947</v>
      </c>
      <c r="BD38" s="381">
        <f t="shared" si="17"/>
        <v>449.83165476768914</v>
      </c>
      <c r="BE38" s="381">
        <f t="shared" si="18"/>
        <v>201.6260379321325</v>
      </c>
      <c r="BF38" s="381">
        <f t="shared" si="19"/>
        <v>214.71195941451751</v>
      </c>
      <c r="BG38" s="381">
        <f>IFERROR(VLOOKUP($A38,'Further adjustment'!$A:$Q,7,FALSE),0)</f>
        <v>5342</v>
      </c>
      <c r="BH38" s="381">
        <f>IFERROR(VLOOKUP($A38,'Further adjustment'!$A:$Q,6,FALSE),0)</f>
        <v>409</v>
      </c>
      <c r="BI38" s="381">
        <f>IFERROR(VLOOKUP($A38,'Further adjustment'!$A:$Q,9,FALSE),0)</f>
        <v>33596</v>
      </c>
      <c r="BJ38" s="381">
        <f>IFERROR(VLOOKUP($A38,'Further adjustment'!$A:$Q,8,FALSE),0)</f>
        <v>3026</v>
      </c>
      <c r="BK38" s="382">
        <f t="shared" si="20"/>
        <v>-3.1174571652793137E-2</v>
      </c>
      <c r="BL38" s="382">
        <f t="shared" si="21"/>
        <v>-3.1174571652793026E-2</v>
      </c>
      <c r="BM38" s="382">
        <f t="shared" si="22"/>
        <v>-3.1174571652792915E-2</v>
      </c>
      <c r="BN38" s="382">
        <f t="shared" si="23"/>
        <v>-3.1174571652793026E-2</v>
      </c>
      <c r="BO38" s="369"/>
      <c r="BP38" s="383">
        <f>'Price Adjustments'!$D$90</f>
        <v>-6.8529657693413348E-2</v>
      </c>
      <c r="BQ38" s="384">
        <f t="shared" si="24"/>
        <v>378.27537944370931</v>
      </c>
      <c r="BR38" s="384">
        <f t="shared" si="25"/>
        <v>419.00484544679773</v>
      </c>
      <c r="BS38" s="384">
        <f t="shared" si="26"/>
        <v>187.80867457056428</v>
      </c>
      <c r="BT38" s="384">
        <f t="shared" si="27"/>
        <v>199.99782233315855</v>
      </c>
      <c r="BU38" s="369"/>
      <c r="BV38" s="385" t="str">
        <f>IF(COUNTIF('Manual adjustments'!$A:$A,A38)=1,"Y",IF(COUNTIF(#REF!,A38)=1,"BPT",""))</f>
        <v>Y</v>
      </c>
      <c r="BW38" s="384">
        <f>IF($BV38="",BQ38,IF(AND($BV38="BPT",IFERROR(ISNUMBER(VLOOKUP($A38,#REF!,3,FALSE)),FALSE)),VLOOKUP($A38,#REF!,3,FALSE),IF(AND($BV38="Y",IFERROR(ISNUMBER(VLOOKUP($A38,'Manual adjustments'!$A:$O,12,FALSE)),FALSE)),VLOOKUP($A38,'Manual adjustments'!$A:$O,12,FALSE),BQ38)))</f>
        <v>378.27537944370931</v>
      </c>
      <c r="BX38" s="384">
        <f>IF($BV38="",BR38,IF(AND($BV38="BPT",IFERROR(ISNUMBER(VLOOKUP($A38,#REF!,4,FALSE)),FALSE)),VLOOKUP($A38,#REF!,4,FALSE),IF(AND($BV38="Y",IFERROR(ISNUMBER(VLOOKUP($A38,'Manual adjustments'!$A:$O,13,FALSE)),FALSE)),VLOOKUP($A38,'Manual adjustments'!$A:$O,13,FALSE),BR38)))</f>
        <v>419.00484544679773</v>
      </c>
      <c r="BY38" s="384">
        <f>IF($BV38="",BS38,IF(AND($BV38="BPT",IFERROR(ISNUMBER(VLOOKUP($A38,#REF!,5,FALSE)),FALSE)),VLOOKUP($A38,#REF!,5,FALSE),IF(AND($BV38="Y",IFERROR(ISNUMBER(VLOOKUP($A38,'Manual adjustments'!$A:$O,14,FALSE)),FALSE)),VLOOKUP($A38,'Manual adjustments'!$A:$O,14,FALSE),BS38)))</f>
        <v>187.80867457056428</v>
      </c>
      <c r="BZ38" s="384">
        <f>IF($BV38="",BT38,IF(AND($BV38="BPT",IFERROR(ISNUMBER(VLOOKUP($A38,#REF!,6,FALSE)),FALSE)),VLOOKUP($A38,#REF!,6,FALSE),IF(AND($BV38="Y",IFERROR(ISNUMBER(VLOOKUP($A38,'Manual adjustments'!$A:$O,15,FALSE)),FALSE)),VLOOKUP($A38,'Manual adjustments'!$A:$O,15,FALSE),BT38)))</f>
        <v>199.99782233315855</v>
      </c>
      <c r="CA38" s="386">
        <f>'Post manual recon'!$N$70</f>
        <v>0</v>
      </c>
      <c r="CB38" s="384">
        <f>IF(VLOOKUP($A38,'Post manual recon'!$A:$U,18,FALSE)=0,BW38,BW38*(1+$CA38))</f>
        <v>378.27537944370931</v>
      </c>
      <c r="CC38" s="384">
        <f>IF(VLOOKUP($A38,'Post manual recon'!$A:$U,19,FALSE)=0,BX38,BX38*(1+$CA38))</f>
        <v>419.00484544679773</v>
      </c>
      <c r="CD38" s="384">
        <f>IF(VLOOKUP($A38,'Post manual recon'!$A:$U,20,FALSE)=0,BY38,BY38*(1+$CA38))</f>
        <v>187.80867457056428</v>
      </c>
      <c r="CE38" s="384">
        <f>IF(VLOOKUP($A38,'Post manual recon'!$A:$U,21,FALSE)=0,BZ38,BZ38*(1+$CA38))</f>
        <v>199.99782233315855</v>
      </c>
      <c r="CF38" s="383">
        <f t="shared" si="35"/>
        <v>0</v>
      </c>
      <c r="CG38" s="383">
        <f t="shared" si="36"/>
        <v>0</v>
      </c>
      <c r="CH38" s="383">
        <f t="shared" si="37"/>
        <v>0</v>
      </c>
      <c r="CI38" s="383">
        <f t="shared" si="38"/>
        <v>0</v>
      </c>
      <c r="CJ38" s="369"/>
      <c r="CK38" s="383">
        <f>'Price Adjustments'!$F$6</f>
        <v>0</v>
      </c>
      <c r="CL38" s="384">
        <f t="shared" si="39"/>
        <v>378.27537944370931</v>
      </c>
      <c r="CM38" s="384">
        <f t="shared" si="40"/>
        <v>419.00484544679773</v>
      </c>
      <c r="CN38" s="384">
        <f t="shared" si="41"/>
        <v>187.80867457056428</v>
      </c>
      <c r="CO38" s="384">
        <f t="shared" si="42"/>
        <v>199.99782233315855</v>
      </c>
      <c r="CP38" s="369"/>
      <c r="CQ38" s="384">
        <f t="shared" si="43"/>
        <v>378</v>
      </c>
      <c r="CR38" s="384">
        <f t="shared" si="44"/>
        <v>419</v>
      </c>
      <c r="CS38" s="384">
        <f t="shared" si="45"/>
        <v>188</v>
      </c>
      <c r="CT38" s="384">
        <f t="shared" si="46"/>
        <v>200</v>
      </c>
    </row>
    <row r="39" spans="1:98">
      <c r="A39" s="367">
        <v>257</v>
      </c>
      <c r="B39" s="367" t="str">
        <f>INDEX('201314 RC list'!B:B,MATCH(A39,'201314 RC list'!A:A,0))</f>
        <v>Paediatric Dermatology</v>
      </c>
      <c r="C39" s="368">
        <f>IF(ISERROR(VLOOKUP($A39,'Allocate OPROC cost'!A:M,11,FALSE)),"-",VLOOKUP($A39,'Allocate OPROC cost'!A:M,11,FALSE))</f>
        <v>147.63382524386495</v>
      </c>
      <c r="D39" s="368">
        <f>IF(ISERROR(VLOOKUP($A39,'Allocate OPROC cost'!A:M,10,FALSE)),"-",VLOOKUP($A39,'Allocate OPROC cost'!A:M,10,FALSE))</f>
        <v>143.36313513734467</v>
      </c>
      <c r="E39" s="368">
        <f>IF(ISERROR(VLOOKUP($A39,'Allocate OPROC cost'!A:M,13,FALSE)),"-",VLOOKUP($A39,'Allocate OPROC cost'!A:M,13,FALSE))</f>
        <v>120.3965047826035</v>
      </c>
      <c r="F39" s="368">
        <f>IF(ISERROR(VLOOKUP($A39,'Allocate OPROC cost'!A:M,12,FALSE)),"-",VLOOKUP($A39,'Allocate OPROC cost'!A:M,12,FALSE))</f>
        <v>136.36786347530278</v>
      </c>
      <c r="G39" s="369"/>
      <c r="H39" s="370">
        <f>IF(ISERROR(VLOOKUP($A39,'Allocate OPROC cost'!A:AO,39,FALSE)),"-",VLOOKUP($A39,'Allocate OPROC cost'!A:AO,39,FALSE))</f>
        <v>147.39731214324689</v>
      </c>
      <c r="I39" s="370">
        <f>IF(ISERROR(VLOOKUP($A39,'Allocate OPROC cost'!A:AO,38,FALSE)),"-",VLOOKUP($A39,'Allocate OPROC cost'!A:AO,38,FALSE))</f>
        <v>143.31084848183164</v>
      </c>
      <c r="J39" s="370">
        <f>IF(ISERROR(VLOOKUP($A39,'Allocate OPROC cost'!A:AO,41,FALSE)),"-",VLOOKUP($A39,'Allocate OPROC cost'!A:AO,41,FALSE))</f>
        <v>120.28483923498403</v>
      </c>
      <c r="K39" s="370">
        <f>IF(ISERROR(VLOOKUP($A39,'Allocate OPROC cost'!A:AO,40,FALSE)),"-",VLOOKUP($A39,'Allocate OPROC cost'!A:AO,40,FALSE))</f>
        <v>136.17884723968146</v>
      </c>
      <c r="L39" s="371">
        <f t="shared" si="0"/>
        <v>-1.6020251472003144E-3</v>
      </c>
      <c r="M39" s="371">
        <f t="shared" si="1"/>
        <v>-3.6471478851896055E-4</v>
      </c>
      <c r="N39" s="371">
        <f t="shared" si="2"/>
        <v>-9.2748163928091376E-4</v>
      </c>
      <c r="O39" s="371">
        <f t="shared" si="3"/>
        <v>-1.386076094501254E-3</v>
      </c>
      <c r="P39" s="369"/>
      <c r="Q39" s="372">
        <f>IF(ISERROR(VLOOKUP($A39,'Front-loading'!$A:$AG,27,FALSE)),"-",VLOOKUP($A39,'Front-loading'!$A:$AG,27,FALSE))</f>
        <v>168.15765357332216</v>
      </c>
      <c r="R39" s="372">
        <f>IF(ISERROR(VLOOKUP($A39,'Front-loading'!$A:$AG,26,FALSE)),"-",VLOOKUP($A39,'Front-loading'!$A:$AG,26,FALSE))</f>
        <v>161.29404816958049</v>
      </c>
      <c r="S39" s="372">
        <f>IF(ISERROR(VLOOKUP($A39,'Front-loading'!$A:$AG,29,FALSE)),"-",VLOOKUP($A39,'Front-loading'!$A:$AG,29,FALSE))</f>
        <v>108.25635531148563</v>
      </c>
      <c r="T39" s="372">
        <f>IF(ISERROR(VLOOKUP($A39,'Front-loading'!$A:$AG,28,FALSE)),"-",VLOOKUP($A39,'Front-loading'!$A:$AG,28,FALSE))</f>
        <v>122.56096251571333</v>
      </c>
      <c r="U39" s="373">
        <f t="shared" si="4"/>
        <v>0.14084613300071247</v>
      </c>
      <c r="V39" s="373">
        <f t="shared" si="5"/>
        <v>0.12548386865512628</v>
      </c>
      <c r="W39" s="373">
        <f t="shared" si="6"/>
        <v>-9.9999999999999978E-2</v>
      </c>
      <c r="X39" s="373">
        <f t="shared" si="7"/>
        <v>-9.9999999999999867E-2</v>
      </c>
      <c r="Y39" s="369"/>
      <c r="Z39" s="374">
        <f>IF(ISERROR(VLOOKUP($A39,'Further adjustment'!$A:$BC,53,FALSE)),"-",VLOOKUP($A39,'Further adjustment'!$A:$BC,53,FALSE))</f>
        <v>168.00035462332025</v>
      </c>
      <c r="AA39" s="374">
        <f>IF(ISERROR(VLOOKUP($A39,'Further adjustment'!$A:$BC,52,FALSE)),"-",VLOOKUP($A39,'Further adjustment'!$A:$BC,52,FALSE))</f>
        <v>168.00035462332025</v>
      </c>
      <c r="AB39" s="374">
        <f>IF(ISERROR(VLOOKUP($A39,'Further adjustment'!$A:$BC,55,FALSE)),"-",VLOOKUP($A39,'Further adjustment'!$A:$BC,55,FALSE))</f>
        <v>108.25635531148563</v>
      </c>
      <c r="AC39" s="374">
        <f>IF(ISERROR(VLOOKUP($A39,'Further adjustment'!$A:$BC,54,FALSE)),"-",VLOOKUP($A39,'Further adjustment'!$A:$BC,54,FALSE))</f>
        <v>122.56096251571333</v>
      </c>
      <c r="AD39" s="375">
        <f t="shared" si="8"/>
        <v>-9.3542545735703087E-4</v>
      </c>
      <c r="AE39" s="375">
        <f t="shared" si="9"/>
        <v>4.1578139614233622E-2</v>
      </c>
      <c r="AF39" s="375">
        <f t="shared" si="10"/>
        <v>0</v>
      </c>
      <c r="AG39" s="375">
        <f t="shared" si="11"/>
        <v>0</v>
      </c>
      <c r="AH39" s="369"/>
      <c r="AI39" s="376">
        <f>'Price Adjustments'!$G$6</f>
        <v>-3.1174571652793026E-2</v>
      </c>
      <c r="AJ39" s="376">
        <v>0</v>
      </c>
      <c r="AK39" s="377">
        <f t="shared" si="31"/>
        <v>162.76301553042092</v>
      </c>
      <c r="AL39" s="377">
        <f t="shared" si="32"/>
        <v>162.76301553042092</v>
      </c>
      <c r="AM39" s="377">
        <f t="shared" si="33"/>
        <v>104.88150980595751</v>
      </c>
      <c r="AN39" s="377">
        <f t="shared" si="34"/>
        <v>118.74017700793195</v>
      </c>
      <c r="AO39" s="378">
        <f t="shared" si="12"/>
        <v>-3.1174571652793026E-2</v>
      </c>
      <c r="AP39" s="378">
        <f t="shared" si="13"/>
        <v>-3.1174571652793026E-2</v>
      </c>
      <c r="AQ39" s="378">
        <f t="shared" si="14"/>
        <v>-3.1174571652793026E-2</v>
      </c>
      <c r="AR39" s="378">
        <f t="shared" si="15"/>
        <v>-3.1174571652793026E-2</v>
      </c>
      <c r="AS39" s="379">
        <f>'Price Adjustments'!$F$6</f>
        <v>0</v>
      </c>
      <c r="AT39" s="377">
        <f>IF(ISERROR(VLOOKUP($A39,'15-16 tariff'!$A:$F,3,FALSE)*(1+$AS$6)),"-",VLOOKUP($A39,'15-16 tariff'!$A:$F,3,FALSE)*(1+$AS$6))</f>
        <v>128.17509408472185</v>
      </c>
      <c r="AU39" s="377">
        <f>IF(ISERROR(VLOOKUP($A39,'15-16 tariff'!$A:$F,4,FALSE)*(1+$AS$6)),"-",VLOOKUP($A39,'15-16 tariff'!$A:$F,4,FALSE)*(1+$AS$6))</f>
        <v>198.29872545724365</v>
      </c>
      <c r="AV39" s="377">
        <f>IF(ISERROR(VLOOKUP($A39,'15-16 tariff'!$A:$F,5,FALSE)*(1+$AS$6)),"-",VLOOKUP($A39,'15-16 tariff'!$A:$F,5,FALSE)*(1+$AS$6))</f>
        <v>92.873762010498027</v>
      </c>
      <c r="AW39" s="377">
        <f>IF(ISERROR(VLOOKUP($A39,'15-16 tariff'!$A:$F,6,FALSE)*(1+$AS$6)),"-",VLOOKUP($A39,'15-16 tariff'!$A:$F,6,FALSE)*(1+$AS$6))</f>
        <v>162.06743640494037</v>
      </c>
      <c r="AX39" s="369"/>
      <c r="AY39" s="380" t="s">
        <v>307</v>
      </c>
      <c r="AZ39" s="380" t="s">
        <v>307</v>
      </c>
      <c r="BA39" s="380" t="s">
        <v>307</v>
      </c>
      <c r="BB39" s="381" t="s">
        <v>307</v>
      </c>
      <c r="BC39" s="381">
        <f t="shared" si="16"/>
        <v>162.76301553042092</v>
      </c>
      <c r="BD39" s="381">
        <f t="shared" si="17"/>
        <v>162.76301553042092</v>
      </c>
      <c r="BE39" s="381">
        <f t="shared" si="18"/>
        <v>104.88150980595751</v>
      </c>
      <c r="BF39" s="381">
        <f t="shared" si="19"/>
        <v>118.74017700793195</v>
      </c>
      <c r="BG39" s="381">
        <f>IFERROR(VLOOKUP($A39,'Further adjustment'!$A:$Q,7,FALSE),0)</f>
        <v>24472</v>
      </c>
      <c r="BH39" s="381">
        <f>IFERROR(VLOOKUP($A39,'Further adjustment'!$A:$Q,6,FALSE),0)</f>
        <v>574</v>
      </c>
      <c r="BI39" s="381">
        <f>IFERROR(VLOOKUP($A39,'Further adjustment'!$A:$Q,9,FALSE),0)</f>
        <v>42237</v>
      </c>
      <c r="BJ39" s="381">
        <f>IFERROR(VLOOKUP($A39,'Further adjustment'!$A:$Q,8,FALSE),0)</f>
        <v>758</v>
      </c>
      <c r="BK39" s="382">
        <f t="shared" si="20"/>
        <v>-3.1174571652793026E-2</v>
      </c>
      <c r="BL39" s="382">
        <f t="shared" si="21"/>
        <v>-3.1174571652793026E-2</v>
      </c>
      <c r="BM39" s="382">
        <f t="shared" si="22"/>
        <v>-3.1174571652793026E-2</v>
      </c>
      <c r="BN39" s="382">
        <f t="shared" si="23"/>
        <v>-3.1174571652793026E-2</v>
      </c>
      <c r="BO39" s="369"/>
      <c r="BP39" s="383">
        <f>'Price Adjustments'!$D$90</f>
        <v>-6.8529657693413348E-2</v>
      </c>
      <c r="BQ39" s="384">
        <f t="shared" si="24"/>
        <v>151.60892179097345</v>
      </c>
      <c r="BR39" s="384">
        <f t="shared" si="25"/>
        <v>151.60892179097345</v>
      </c>
      <c r="BS39" s="384">
        <f t="shared" si="26"/>
        <v>97.694015840586857</v>
      </c>
      <c r="BT39" s="384">
        <f t="shared" si="27"/>
        <v>110.60295332312306</v>
      </c>
      <c r="BU39" s="369"/>
      <c r="BV39" s="385" t="str">
        <f>IF(COUNTIF('Manual adjustments'!$A:$A,A39)=1,"Y",IF(COUNTIF(#REF!,A39)=1,"BPT",""))</f>
        <v>Y</v>
      </c>
      <c r="BW39" s="384">
        <f>IF($BV39="",BQ39,IF(AND($BV39="BPT",IFERROR(ISNUMBER(VLOOKUP($A39,#REF!,3,FALSE)),FALSE)),VLOOKUP($A39,#REF!,3,FALSE),IF(AND($BV39="Y",IFERROR(ISNUMBER(VLOOKUP($A39,'Manual adjustments'!$A:$O,12,FALSE)),FALSE)),VLOOKUP($A39,'Manual adjustments'!$A:$O,12,FALSE),BQ39)))</f>
        <v>151.60892179097345</v>
      </c>
      <c r="BX39" s="384">
        <f>IF($BV39="",BR39,IF(AND($BV39="BPT",IFERROR(ISNUMBER(VLOOKUP($A39,#REF!,4,FALSE)),FALSE)),VLOOKUP($A39,#REF!,4,FALSE),IF(AND($BV39="Y",IFERROR(ISNUMBER(VLOOKUP($A39,'Manual adjustments'!$A:$O,13,FALSE)),FALSE)),VLOOKUP($A39,'Manual adjustments'!$A:$O,13,FALSE),BR39)))</f>
        <v>151.60892179097345</v>
      </c>
      <c r="BY39" s="384">
        <f>IF($BV39="",BS39,IF(AND($BV39="BPT",IFERROR(ISNUMBER(VLOOKUP($A39,#REF!,5,FALSE)),FALSE)),VLOOKUP($A39,#REF!,5,FALSE),IF(AND($BV39="Y",IFERROR(ISNUMBER(VLOOKUP($A39,'Manual adjustments'!$A:$O,14,FALSE)),FALSE)),VLOOKUP($A39,'Manual adjustments'!$A:$O,14,FALSE),BS39)))</f>
        <v>97.694015840586857</v>
      </c>
      <c r="BZ39" s="384">
        <f>IF($BV39="",BT39,IF(AND($BV39="BPT",IFERROR(ISNUMBER(VLOOKUP($A39,#REF!,6,FALSE)),FALSE)),VLOOKUP($A39,#REF!,6,FALSE),IF(AND($BV39="Y",IFERROR(ISNUMBER(VLOOKUP($A39,'Manual adjustments'!$A:$O,15,FALSE)),FALSE)),VLOOKUP($A39,'Manual adjustments'!$A:$O,15,FALSE),BT39)))</f>
        <v>110.60295332312306</v>
      </c>
      <c r="CA39" s="386">
        <f>'Post manual recon'!$N$70</f>
        <v>0</v>
      </c>
      <c r="CB39" s="384">
        <f>IF(VLOOKUP($A39,'Post manual recon'!$A:$U,18,FALSE)=0,BW39,BW39*(1+$CA39))</f>
        <v>151.60892179097345</v>
      </c>
      <c r="CC39" s="384">
        <f>IF(VLOOKUP($A39,'Post manual recon'!$A:$U,19,FALSE)=0,BX39,BX39*(1+$CA39))</f>
        <v>151.60892179097345</v>
      </c>
      <c r="CD39" s="384">
        <f>IF(VLOOKUP($A39,'Post manual recon'!$A:$U,20,FALSE)=0,BY39,BY39*(1+$CA39))</f>
        <v>97.694015840586857</v>
      </c>
      <c r="CE39" s="384">
        <f>IF(VLOOKUP($A39,'Post manual recon'!$A:$U,21,FALSE)=0,BZ39,BZ39*(1+$CA39))</f>
        <v>110.60295332312306</v>
      </c>
      <c r="CF39" s="383">
        <f t="shared" si="35"/>
        <v>0</v>
      </c>
      <c r="CG39" s="383">
        <f t="shared" si="36"/>
        <v>0</v>
      </c>
      <c r="CH39" s="383">
        <f t="shared" si="37"/>
        <v>0</v>
      </c>
      <c r="CI39" s="383">
        <f t="shared" si="38"/>
        <v>0</v>
      </c>
      <c r="CJ39" s="369"/>
      <c r="CK39" s="383">
        <f>'Price Adjustments'!$F$6</f>
        <v>0</v>
      </c>
      <c r="CL39" s="384">
        <f t="shared" si="39"/>
        <v>151.60892179097345</v>
      </c>
      <c r="CM39" s="384">
        <f t="shared" si="40"/>
        <v>151.60892179097345</v>
      </c>
      <c r="CN39" s="384">
        <f t="shared" si="41"/>
        <v>97.694015840586857</v>
      </c>
      <c r="CO39" s="384">
        <f t="shared" si="42"/>
        <v>110.60295332312306</v>
      </c>
      <c r="CP39" s="369"/>
      <c r="CQ39" s="384">
        <f t="shared" si="43"/>
        <v>152</v>
      </c>
      <c r="CR39" s="384">
        <f t="shared" si="44"/>
        <v>152</v>
      </c>
      <c r="CS39" s="384">
        <f t="shared" si="45"/>
        <v>98</v>
      </c>
      <c r="CT39" s="384">
        <f t="shared" si="46"/>
        <v>111</v>
      </c>
    </row>
    <row r="40" spans="1:98">
      <c r="A40" s="367">
        <v>258</v>
      </c>
      <c r="B40" s="367" t="str">
        <f>INDEX('201314 RC list'!B:B,MATCH(A40,'201314 RC list'!A:A,0))</f>
        <v>Paediatric Respiratory Medicine</v>
      </c>
      <c r="C40" s="368">
        <f>IF(ISERROR(VLOOKUP($A40,'Allocate OPROC cost'!A:M,11,FALSE)),"-",VLOOKUP($A40,'Allocate OPROC cost'!A:M,11,FALSE))</f>
        <v>266.78603965058335</v>
      </c>
      <c r="D40" s="368">
        <f>IF(ISERROR(VLOOKUP($A40,'Allocate OPROC cost'!A:M,10,FALSE)),"-",VLOOKUP($A40,'Allocate OPROC cost'!A:M,10,FALSE))</f>
        <v>269.54610735990349</v>
      </c>
      <c r="E40" s="368">
        <f>IF(ISERROR(VLOOKUP($A40,'Allocate OPROC cost'!A:M,13,FALSE)),"-",VLOOKUP($A40,'Allocate OPROC cost'!A:M,13,FALSE))</f>
        <v>192.25536689201485</v>
      </c>
      <c r="F40" s="368">
        <f>IF(ISERROR(VLOOKUP($A40,'Allocate OPROC cost'!A:M,12,FALSE)),"-",VLOOKUP($A40,'Allocate OPROC cost'!A:M,12,FALSE))</f>
        <v>186.93941643955378</v>
      </c>
      <c r="G40" s="369"/>
      <c r="H40" s="370">
        <f>IF(ISERROR(VLOOKUP($A40,'Allocate OPROC cost'!A:AO,39,FALSE)),"-",VLOOKUP($A40,'Allocate OPROC cost'!A:AO,39,FALSE))</f>
        <v>263.29350885148585</v>
      </c>
      <c r="I40" s="370">
        <f>IF(ISERROR(VLOOKUP($A40,'Allocate OPROC cost'!A:AO,38,FALSE)),"-",VLOOKUP($A40,'Allocate OPROC cost'!A:AO,38,FALSE))</f>
        <v>262.15957733547759</v>
      </c>
      <c r="J40" s="370">
        <f>IF(ISERROR(VLOOKUP($A40,'Allocate OPROC cost'!A:AO,41,FALSE)),"-",VLOOKUP($A40,'Allocate OPROC cost'!A:AO,41,FALSE))</f>
        <v>191.09227751988453</v>
      </c>
      <c r="K40" s="370">
        <f>IF(ISERROR(VLOOKUP($A40,'Allocate OPROC cost'!A:AO,40,FALSE)),"-",VLOOKUP($A40,'Allocate OPROC cost'!A:AO,40,FALSE))</f>
        <v>181.81731270109657</v>
      </c>
      <c r="L40" s="371">
        <f t="shared" ref="L40:L65" si="130">IF(ISERROR(H40/C40-1),"-",H40/C40-1)</f>
        <v>-1.3091130269303974E-2</v>
      </c>
      <c r="M40" s="371">
        <f t="shared" ref="M40:M65" si="131">IF(ISERROR(I40/D40-1),"-",I40/D40-1)</f>
        <v>-2.7403586335466024E-2</v>
      </c>
      <c r="N40" s="371">
        <f t="shared" ref="N40:N65" si="132">IF(ISERROR(J40/E40-1),"-",J40/E40-1)</f>
        <v>-6.0497108139696554E-3</v>
      </c>
      <c r="O40" s="371">
        <f t="shared" ref="O40:O65" si="133">IF(ISERROR(K40/F40-1),"-",K40/F40-1)</f>
        <v>-2.7399805969296143E-2</v>
      </c>
      <c r="P40" s="369"/>
      <c r="Q40" s="372">
        <f>IF(ISERROR(VLOOKUP($A40,'Front-loading'!$A:$AG,27,FALSE)),"-",VLOOKUP($A40,'Front-loading'!$A:$AG,27,FALSE))</f>
        <v>322.64018969398296</v>
      </c>
      <c r="R40" s="372">
        <f>IF(ISERROR(VLOOKUP($A40,'Front-loading'!$A:$AG,26,FALSE)),"-",VLOOKUP($A40,'Front-loading'!$A:$AG,26,FALSE))</f>
        <v>323.64356672378244</v>
      </c>
      <c r="S40" s="372">
        <f>IF(ISERROR(VLOOKUP($A40,'Front-loading'!$A:$AG,29,FALSE)),"-",VLOOKUP($A40,'Front-loading'!$A:$AG,29,FALSE))</f>
        <v>171.98304976789609</v>
      </c>
      <c r="T40" s="372">
        <f>IF(ISERROR(VLOOKUP($A40,'Front-loading'!$A:$AG,28,FALSE)),"-",VLOOKUP($A40,'Front-loading'!$A:$AG,28,FALSE))</f>
        <v>163.63558143098689</v>
      </c>
      <c r="U40" s="373">
        <f t="shared" ref="U40:U65" si="134">IF(ISERROR(Q40/H40-1),"-",Q40/H40-1)</f>
        <v>0.22540123036596538</v>
      </c>
      <c r="V40" s="373">
        <f t="shared" ref="V40:V65" si="135">IF(ISERROR(R40/I40-1),"-",R40/I40-1)</f>
        <v>0.23452886983268839</v>
      </c>
      <c r="W40" s="373">
        <f t="shared" ref="W40:W65" si="136">IF(ISERROR(S40/J40-1),"-",S40/J40-1)</f>
        <v>-9.9999999999999978E-2</v>
      </c>
      <c r="X40" s="373">
        <f t="shared" ref="X40:X65" si="137">IF(ISERROR(T40/K40-1),"-",T40/K40-1)</f>
        <v>-0.10000000000000009</v>
      </c>
      <c r="Y40" s="369"/>
      <c r="Z40" s="374">
        <f>IF(ISERROR(VLOOKUP($A40,'Further adjustment'!$A:$BC,53,FALSE)),"-",VLOOKUP($A40,'Further adjustment'!$A:$BC,53,FALSE))</f>
        <v>322.64018969398296</v>
      </c>
      <c r="AA40" s="374">
        <f>IF(ISERROR(VLOOKUP($A40,'Further adjustment'!$A:$BC,52,FALSE)),"-",VLOOKUP($A40,'Further adjustment'!$A:$BC,52,FALSE))</f>
        <v>323.64356672378244</v>
      </c>
      <c r="AB40" s="374">
        <f>IF(ISERROR(VLOOKUP($A40,'Further adjustment'!$A:$BC,55,FALSE)),"-",VLOOKUP($A40,'Further adjustment'!$A:$BC,55,FALSE))</f>
        <v>171.48397605787667</v>
      </c>
      <c r="AC40" s="374">
        <f>IF(ISERROR(VLOOKUP($A40,'Further adjustment'!$A:$BC,54,FALSE)),"-",VLOOKUP($A40,'Further adjustment'!$A:$BC,54,FALSE))</f>
        <v>171.48397605787667</v>
      </c>
      <c r="AD40" s="375">
        <f t="shared" ref="AD40:AD65" si="138">IF(ISERROR(Z40/Q40-1),"-",Z40/Q40-1)</f>
        <v>0</v>
      </c>
      <c r="AE40" s="375">
        <f t="shared" ref="AE40:AE65" si="139">IF(ISERROR(AA40/R40-1),"-",AA40/R40-1)</f>
        <v>0</v>
      </c>
      <c r="AF40" s="375">
        <f t="shared" ref="AF40:AF65" si="140">IF(ISERROR(AB40/S40-1),"-",AB40/S40-1)</f>
        <v>-2.9018773111242346E-3</v>
      </c>
      <c r="AG40" s="375">
        <f t="shared" ref="AG40:AG65" si="141">IF(ISERROR(AC40/T40-1),"-",AC40/T40-1)</f>
        <v>4.7962640877099449E-2</v>
      </c>
      <c r="AH40" s="369"/>
      <c r="AI40" s="376">
        <f>'Price Adjustments'!$G$6</f>
        <v>-3.1174571652793026E-2</v>
      </c>
      <c r="AJ40" s="376">
        <v>0</v>
      </c>
      <c r="AK40" s="377">
        <f t="shared" si="31"/>
        <v>312.58201998229714</v>
      </c>
      <c r="AL40" s="377">
        <f t="shared" si="32"/>
        <v>313.55411716298636</v>
      </c>
      <c r="AM40" s="377">
        <f t="shared" si="33"/>
        <v>166.13803655895455</v>
      </c>
      <c r="AN40" s="377">
        <f t="shared" si="34"/>
        <v>166.13803655895455</v>
      </c>
      <c r="AO40" s="378">
        <f t="shared" ref="AO40:AO65" si="142">IF(ISERROR(AK40/Z40-1),"-",AK40/Z40-1)</f>
        <v>-3.1174571652793026E-2</v>
      </c>
      <c r="AP40" s="378">
        <f t="shared" ref="AP40:AP65" si="143">IF(ISERROR(AL40/AA40-1),"-",AL40/AA40-1)</f>
        <v>-3.1174571652793137E-2</v>
      </c>
      <c r="AQ40" s="378">
        <f t="shared" ref="AQ40:AQ65" si="144">IF(ISERROR(AM40/AB40-1),"-",AM40/AB40-1)</f>
        <v>-3.1174571652793026E-2</v>
      </c>
      <c r="AR40" s="378">
        <f t="shared" ref="AR40:AR65" si="145">IF(ISERROR(AN40/AC40-1),"-",AN40/AC40-1)</f>
        <v>-3.1174571652793026E-2</v>
      </c>
      <c r="AS40" s="379">
        <f>'Price Adjustments'!$F$6</f>
        <v>0</v>
      </c>
      <c r="AT40" s="377">
        <f>IF(ISERROR(VLOOKUP($A40,'15-16 tariff'!$A:$F,3,FALSE)*(1+$AS$6)),"-",VLOOKUP($A40,'15-16 tariff'!$A:$F,3,FALSE)*(1+$AS$6))</f>
        <v>280.76603300229306</v>
      </c>
      <c r="AU40" s="377">
        <f>IF(ISERROR(VLOOKUP($A40,'15-16 tariff'!$A:$F,4,FALSE)*(1+$AS$6)),"-",VLOOKUP($A40,'15-16 tariff'!$A:$F,4,FALSE)*(1+$AS$6))</f>
        <v>290.12165169212847</v>
      </c>
      <c r="AV40" s="377">
        <f>IF(ISERROR(VLOOKUP($A40,'15-16 tariff'!$A:$F,5,FALSE)*(1+$AS$6)),"-",VLOOKUP($A40,'15-16 tariff'!$A:$F,5,FALSE)*(1+$AS$6))</f>
        <v>148.4398244600136</v>
      </c>
      <c r="AW40" s="377">
        <f>IF(ISERROR(VLOOKUP($A40,'15-16 tariff'!$A:$F,6,FALSE)*(1+$AS$6)),"-",VLOOKUP($A40,'15-16 tariff'!$A:$F,6,FALSE)*(1+$AS$6))</f>
        <v>171.16034224827675</v>
      </c>
      <c r="AX40" s="369"/>
      <c r="AY40" s="380" t="s">
        <v>307</v>
      </c>
      <c r="AZ40" s="380" t="s">
        <v>307</v>
      </c>
      <c r="BA40" s="380" t="s">
        <v>307</v>
      </c>
      <c r="BB40" s="381" t="s">
        <v>307</v>
      </c>
      <c r="BC40" s="381">
        <f t="shared" ref="BC40:BC65" si="146">IF(AY40="Modelled",AK40,IF(AY40="Roll-over",AT40,"Error"))</f>
        <v>312.58201998229714</v>
      </c>
      <c r="BD40" s="381">
        <f t="shared" ref="BD40:BD65" si="147">IF(AZ40="Modelled",AL40,IF(AZ40="Roll-over",AU40,"Error"))</f>
        <v>313.55411716298636</v>
      </c>
      <c r="BE40" s="381">
        <f t="shared" ref="BE40:BE65" si="148">IF(BA40="Modelled",AM40,IF(BA40="Roll-over",AV40,"Error"))</f>
        <v>166.13803655895455</v>
      </c>
      <c r="BF40" s="381">
        <f t="shared" ref="BF40:BF65" si="149">IF(BB40="Modelled",AN40,IF(BB40="Roll-over",AW40,"Error"))</f>
        <v>166.13803655895455</v>
      </c>
      <c r="BG40" s="381">
        <f>IFERROR(VLOOKUP($A40,'Further adjustment'!$A:$Q,7,FALSE),0)</f>
        <v>11935</v>
      </c>
      <c r="BH40" s="381">
        <f>IFERROR(VLOOKUP($A40,'Further adjustment'!$A:$Q,6,FALSE),0)</f>
        <v>697</v>
      </c>
      <c r="BI40" s="381">
        <f>IFERROR(VLOOKUP($A40,'Further adjustment'!$A:$Q,9,FALSE),0)</f>
        <v>37066</v>
      </c>
      <c r="BJ40" s="381">
        <f>IFERROR(VLOOKUP($A40,'Further adjustment'!$A:$Q,8,FALSE),0)</f>
        <v>2357</v>
      </c>
      <c r="BK40" s="382">
        <f t="shared" ref="BK40:BK65" si="150">IF(ISERROR(BC40/Z40-1),"-",BC40/Z40-1)</f>
        <v>-3.1174571652793026E-2</v>
      </c>
      <c r="BL40" s="382">
        <f t="shared" ref="BL40:BL65" si="151">IF(ISERROR(BD40/AA40-1),"-",BD40/AA40-1)</f>
        <v>-3.1174571652793137E-2</v>
      </c>
      <c r="BM40" s="382">
        <f t="shared" ref="BM40:BM65" si="152">IF(ISERROR(BE40/AB40-1),"-",BE40/AB40-1)</f>
        <v>-3.1174571652793026E-2</v>
      </c>
      <c r="BN40" s="382">
        <f t="shared" ref="BN40:BN65" si="153">IF(ISERROR(BF40/AC40-1),"-",BF40/AC40-1)</f>
        <v>-3.1174571652793026E-2</v>
      </c>
      <c r="BO40" s="369"/>
      <c r="BP40" s="383">
        <f>'Price Adjustments'!$D$90</f>
        <v>-6.8529657693413348E-2</v>
      </c>
      <c r="BQ40" s="384">
        <f t="shared" ref="BQ40:BQ65" si="154">BC40*(1+$BP40)</f>
        <v>291.16088115179463</v>
      </c>
      <c r="BR40" s="384">
        <f t="shared" ref="BR40:BR65" si="155">BD40*(1+$BP40)</f>
        <v>292.06636084544647</v>
      </c>
      <c r="BS40" s="384">
        <f t="shared" ref="BS40:BS65" si="156">BE40*(1+$BP40)</f>
        <v>154.75265378371361</v>
      </c>
      <c r="BT40" s="384">
        <f t="shared" ref="BT40:BT65" si="157">BF40*(1+$BP40)</f>
        <v>154.75265378371361</v>
      </c>
      <c r="BU40" s="369"/>
      <c r="BV40" s="385" t="str">
        <f>IF(COUNTIF('Manual adjustments'!$A:$A,A40)=1,"Y",IF(COUNTIF(#REF!,A40)=1,"BPT",""))</f>
        <v>Y</v>
      </c>
      <c r="BW40" s="384">
        <f>IF($BV40="",BQ40,IF(AND($BV40="BPT",IFERROR(ISNUMBER(VLOOKUP($A40,#REF!,3,FALSE)),FALSE)),VLOOKUP($A40,#REF!,3,FALSE),IF(AND($BV40="Y",IFERROR(ISNUMBER(VLOOKUP($A40,'Manual adjustments'!$A:$O,12,FALSE)),FALSE)),VLOOKUP($A40,'Manual adjustments'!$A:$O,12,FALSE),BQ40)))</f>
        <v>291.16088115179463</v>
      </c>
      <c r="BX40" s="384">
        <f>IF($BV40="",BR40,IF(AND($BV40="BPT",IFERROR(ISNUMBER(VLOOKUP($A40,#REF!,4,FALSE)),FALSE)),VLOOKUP($A40,#REF!,4,FALSE),IF(AND($BV40="Y",IFERROR(ISNUMBER(VLOOKUP($A40,'Manual adjustments'!$A:$O,13,FALSE)),FALSE)),VLOOKUP($A40,'Manual adjustments'!$A:$O,13,FALSE),BR40)))</f>
        <v>292.06636084544647</v>
      </c>
      <c r="BY40" s="384">
        <f>IF($BV40="",BS40,IF(AND($BV40="BPT",IFERROR(ISNUMBER(VLOOKUP($A40,#REF!,5,FALSE)),FALSE)),VLOOKUP($A40,#REF!,5,FALSE),IF(AND($BV40="Y",IFERROR(ISNUMBER(VLOOKUP($A40,'Manual adjustments'!$A:$O,14,FALSE)),FALSE)),VLOOKUP($A40,'Manual adjustments'!$A:$O,14,FALSE),BS40)))</f>
        <v>154.75265378371361</v>
      </c>
      <c r="BZ40" s="384">
        <f>IF($BV40="",BT40,IF(AND($BV40="BPT",IFERROR(ISNUMBER(VLOOKUP($A40,#REF!,6,FALSE)),FALSE)),VLOOKUP($A40,#REF!,6,FALSE),IF(AND($BV40="Y",IFERROR(ISNUMBER(VLOOKUP($A40,'Manual adjustments'!$A:$O,15,FALSE)),FALSE)),VLOOKUP($A40,'Manual adjustments'!$A:$O,15,FALSE),BT40)))</f>
        <v>154.75265378371361</v>
      </c>
      <c r="CA40" s="386">
        <f>'Post manual recon'!$N$70</f>
        <v>0</v>
      </c>
      <c r="CB40" s="384">
        <f>IF(VLOOKUP($A40,'Post manual recon'!$A:$U,18,FALSE)=0,BW40,BW40*(1+$CA40))</f>
        <v>291.16088115179463</v>
      </c>
      <c r="CC40" s="384">
        <f>IF(VLOOKUP($A40,'Post manual recon'!$A:$U,19,FALSE)=0,BX40,BX40*(1+$CA40))</f>
        <v>292.06636084544647</v>
      </c>
      <c r="CD40" s="384">
        <f>IF(VLOOKUP($A40,'Post manual recon'!$A:$U,20,FALSE)=0,BY40,BY40*(1+$CA40))</f>
        <v>154.75265378371361</v>
      </c>
      <c r="CE40" s="384">
        <f>IF(VLOOKUP($A40,'Post manual recon'!$A:$U,21,FALSE)=0,BZ40,BZ40*(1+$CA40))</f>
        <v>154.75265378371361</v>
      </c>
      <c r="CF40" s="383">
        <f t="shared" si="35"/>
        <v>0</v>
      </c>
      <c r="CG40" s="383">
        <f t="shared" si="36"/>
        <v>0</v>
      </c>
      <c r="CH40" s="383">
        <f t="shared" si="37"/>
        <v>0</v>
      </c>
      <c r="CI40" s="383">
        <f t="shared" si="38"/>
        <v>0</v>
      </c>
      <c r="CJ40" s="369"/>
      <c r="CK40" s="383">
        <f>'Price Adjustments'!$F$6</f>
        <v>0</v>
      </c>
      <c r="CL40" s="384">
        <f t="shared" si="39"/>
        <v>291.16088115179463</v>
      </c>
      <c r="CM40" s="384">
        <f t="shared" si="40"/>
        <v>292.06636084544647</v>
      </c>
      <c r="CN40" s="384">
        <f t="shared" si="41"/>
        <v>154.75265378371361</v>
      </c>
      <c r="CO40" s="384">
        <f t="shared" si="42"/>
        <v>154.75265378371361</v>
      </c>
      <c r="CP40" s="369"/>
      <c r="CQ40" s="384">
        <f t="shared" si="43"/>
        <v>291</v>
      </c>
      <c r="CR40" s="384">
        <f t="shared" si="44"/>
        <v>292</v>
      </c>
      <c r="CS40" s="384">
        <f t="shared" si="45"/>
        <v>155</v>
      </c>
      <c r="CT40" s="384">
        <f t="shared" si="46"/>
        <v>155</v>
      </c>
    </row>
    <row r="41" spans="1:98">
      <c r="A41" s="367">
        <v>263</v>
      </c>
      <c r="B41" s="367" t="str">
        <f>INDEX('201314 RC list'!B:B,MATCH(A41,'201314 RC list'!A:A,0))</f>
        <v>Paediatric Diabetic Medicine</v>
      </c>
      <c r="C41" s="368">
        <f>IF(ISERROR(VLOOKUP($A41,'Allocate OPROC cost'!A:M,11,FALSE)),"-",VLOOKUP($A41,'Allocate OPROC cost'!A:M,11,FALSE))</f>
        <v>131.963117326977</v>
      </c>
      <c r="D41" s="368">
        <f>IF(ISERROR(VLOOKUP($A41,'Allocate OPROC cost'!A:M,10,FALSE)),"-",VLOOKUP($A41,'Allocate OPROC cost'!A:M,10,FALSE))</f>
        <v>131.91171556413295</v>
      </c>
      <c r="E41" s="368">
        <f>IF(ISERROR(VLOOKUP($A41,'Allocate OPROC cost'!A:M,13,FALSE)),"-",VLOOKUP($A41,'Allocate OPROC cost'!A:M,13,FALSE))</f>
        <v>105.61770706140182</v>
      </c>
      <c r="F41" s="368">
        <f>IF(ISERROR(VLOOKUP($A41,'Allocate OPROC cost'!A:M,12,FALSE)),"-",VLOOKUP($A41,'Allocate OPROC cost'!A:M,12,FALSE))</f>
        <v>121.86786603015254</v>
      </c>
      <c r="G41" s="369"/>
      <c r="H41" s="370">
        <f>IF(ISERROR(VLOOKUP($A41,'Allocate OPROC cost'!A:AO,39,FALSE)),"-",VLOOKUP($A41,'Allocate OPROC cost'!A:AO,39,FALSE))</f>
        <v>131.93134258402517</v>
      </c>
      <c r="I41" s="370">
        <f>IF(ISERROR(VLOOKUP($A41,'Allocate OPROC cost'!A:AO,38,FALSE)),"-",VLOOKUP($A41,'Allocate OPROC cost'!A:AO,38,FALSE))</f>
        <v>132.00385671225536</v>
      </c>
      <c r="J41" s="370">
        <f>IF(ISERROR(VLOOKUP($A41,'Allocate OPROC cost'!A:AO,41,FALSE)),"-",VLOOKUP($A41,'Allocate OPROC cost'!A:AO,41,FALSE))</f>
        <v>105.62157209534421</v>
      </c>
      <c r="K41" s="370">
        <f>IF(ISERROR(VLOOKUP($A41,'Allocate OPROC cost'!A:AO,40,FALSE)),"-",VLOOKUP($A41,'Allocate OPROC cost'!A:AO,40,FALSE))</f>
        <v>121.86491113287695</v>
      </c>
      <c r="L41" s="371">
        <f t="shared" si="130"/>
        <v>-2.4078502838864591E-4</v>
      </c>
      <c r="M41" s="371">
        <f t="shared" si="131"/>
        <v>6.9850617686495475E-4</v>
      </c>
      <c r="N41" s="371">
        <f t="shared" si="132"/>
        <v>3.6594564017056186E-5</v>
      </c>
      <c r="O41" s="371">
        <f t="shared" si="133"/>
        <v>-2.4246730264798622E-5</v>
      </c>
      <c r="P41" s="369"/>
      <c r="Q41" s="372">
        <f>IF(ISERROR(VLOOKUP($A41,'Front-loading'!$A:$AG,27,FALSE)),"-",VLOOKUP($A41,'Front-loading'!$A:$AG,27,FALSE))</f>
        <v>197.89701387603776</v>
      </c>
      <c r="R41" s="372">
        <f>IF(ISERROR(VLOOKUP($A41,'Front-loading'!$A:$AG,26,FALSE)),"-",VLOOKUP($A41,'Front-loading'!$A:$AG,26,FALSE))</f>
        <v>198.00578506838303</v>
      </c>
      <c r="S41" s="372">
        <f>IF(ISERROR(VLOOKUP($A41,'Front-loading'!$A:$AG,29,FALSE)),"-",VLOOKUP($A41,'Front-loading'!$A:$AG,29,FALSE))</f>
        <v>95.059414885809787</v>
      </c>
      <c r="T41" s="372">
        <f>IF(ISERROR(VLOOKUP($A41,'Front-loading'!$A:$AG,28,FALSE)),"-",VLOOKUP($A41,'Front-loading'!$A:$AG,28,FALSE))</f>
        <v>109.67842001958927</v>
      </c>
      <c r="U41" s="373">
        <f t="shared" si="134"/>
        <v>0.5</v>
      </c>
      <c r="V41" s="373">
        <f t="shared" si="135"/>
        <v>0.5</v>
      </c>
      <c r="W41" s="373">
        <f t="shared" si="136"/>
        <v>-9.9999999999999978E-2</v>
      </c>
      <c r="X41" s="373">
        <f t="shared" si="137"/>
        <v>-9.9999999999999978E-2</v>
      </c>
      <c r="Y41" s="369"/>
      <c r="Z41" s="374">
        <f>IF(ISERROR(VLOOKUP($A41,'Further adjustment'!$A:$BC,53,FALSE)),"-",VLOOKUP($A41,'Further adjustment'!$A:$BC,53,FALSE))</f>
        <v>215.9391454931407</v>
      </c>
      <c r="AA41" s="374">
        <f>IF(ISERROR(VLOOKUP($A41,'Further adjustment'!$A:$BC,52,FALSE)),"-",VLOOKUP($A41,'Further adjustment'!$A:$BC,52,FALSE))</f>
        <v>272.40112471744942</v>
      </c>
      <c r="AB41" s="374">
        <f>IF(ISERROR(VLOOKUP($A41,'Further adjustment'!$A:$BC,55,FALSE)),"-",VLOOKUP($A41,'Further adjustment'!$A:$BC,55,FALSE))</f>
        <v>104.11557016283905</v>
      </c>
      <c r="AC41" s="374">
        <f>IF(ISERROR(VLOOKUP($A41,'Further adjustment'!$A:$BC,54,FALSE)),"-",VLOOKUP($A41,'Further adjustment'!$A:$BC,54,FALSE))</f>
        <v>122.88743199403187</v>
      </c>
      <c r="AD41" s="375">
        <f t="shared" si="138"/>
        <v>9.1169296917256615E-2</v>
      </c>
      <c r="AE41" s="375">
        <f t="shared" si="139"/>
        <v>0.37572306093669594</v>
      </c>
      <c r="AF41" s="375">
        <f t="shared" si="140"/>
        <v>9.5268367556311739E-2</v>
      </c>
      <c r="AG41" s="375">
        <f t="shared" si="141"/>
        <v>0.12043401037399515</v>
      </c>
      <c r="AH41" s="369"/>
      <c r="AI41" s="376">
        <f>'Price Adjustments'!$G$6</f>
        <v>-3.1174571652793026E-2</v>
      </c>
      <c r="AJ41" s="376">
        <v>0</v>
      </c>
      <c r="AK41" s="377">
        <f t="shared" si="31"/>
        <v>209.20733512932188</v>
      </c>
      <c r="AL41" s="377">
        <f t="shared" si="32"/>
        <v>263.90913633664388</v>
      </c>
      <c r="AM41" s="377">
        <f t="shared" si="33"/>
        <v>100.86981186062623</v>
      </c>
      <c r="AN41" s="377">
        <f t="shared" si="34"/>
        <v>119.0564689401062</v>
      </c>
      <c r="AO41" s="378">
        <f t="shared" si="142"/>
        <v>-3.1174571652793026E-2</v>
      </c>
      <c r="AP41" s="378">
        <f t="shared" si="143"/>
        <v>-3.1174571652793026E-2</v>
      </c>
      <c r="AQ41" s="378">
        <f t="shared" si="144"/>
        <v>-3.1174571652793026E-2</v>
      </c>
      <c r="AR41" s="378">
        <f t="shared" si="145"/>
        <v>-3.1174571652793026E-2</v>
      </c>
      <c r="AS41" s="379">
        <f>'Price Adjustments'!$F$6</f>
        <v>0</v>
      </c>
      <c r="AT41" s="377">
        <f>IF(ISERROR(VLOOKUP($A41,'15-16 tariff'!$A:$F,3,FALSE)*(1+$AS$6)),"-",VLOOKUP($A41,'15-16 tariff'!$A:$F,3,FALSE)*(1+$AS$6))</f>
        <v>200.51370545538029</v>
      </c>
      <c r="AU41" s="377">
        <f>IF(ISERROR(VLOOKUP($A41,'15-16 tariff'!$A:$F,4,FALSE)*(1+$AS$6)),"-",VLOOKUP($A41,'15-16 tariff'!$A:$F,4,FALSE)*(1+$AS$6))</f>
        <v>204.36355049009515</v>
      </c>
      <c r="AV41" s="377">
        <f>IF(ISERROR(VLOOKUP($A41,'15-16 tariff'!$A:$F,5,FALSE)*(1+$AS$6)),"-",VLOOKUP($A41,'15-16 tariff'!$A:$F,5,FALSE)*(1+$AS$6))</f>
        <v>93.30837892031191</v>
      </c>
      <c r="AW41" s="377">
        <f>IF(ISERROR(VLOOKUP($A41,'15-16 tariff'!$A:$F,6,FALSE)*(1+$AS$6)),"-",VLOOKUP($A41,'15-16 tariff'!$A:$F,6,FALSE)*(1+$AS$6))</f>
        <v>109.48176806898577</v>
      </c>
      <c r="AX41" s="369"/>
      <c r="AY41" s="380" t="s">
        <v>307</v>
      </c>
      <c r="AZ41" s="380" t="s">
        <v>307</v>
      </c>
      <c r="BA41" s="380" t="s">
        <v>307</v>
      </c>
      <c r="BB41" s="381" t="s">
        <v>307</v>
      </c>
      <c r="BC41" s="381">
        <f t="shared" si="146"/>
        <v>209.20733512932188</v>
      </c>
      <c r="BD41" s="381">
        <f t="shared" si="147"/>
        <v>263.90913633664388</v>
      </c>
      <c r="BE41" s="381">
        <f t="shared" si="148"/>
        <v>100.86981186062623</v>
      </c>
      <c r="BF41" s="381">
        <f t="shared" si="149"/>
        <v>119.0564689401062</v>
      </c>
      <c r="BG41" s="381">
        <f>IFERROR(VLOOKUP($A41,'Further adjustment'!$A:$Q,7,FALSE),0)</f>
        <v>2216</v>
      </c>
      <c r="BH41" s="381">
        <f>IFERROR(VLOOKUP($A41,'Further adjustment'!$A:$Q,6,FALSE),0)</f>
        <v>334</v>
      </c>
      <c r="BI41" s="381">
        <f>IFERROR(VLOOKUP($A41,'Further adjustment'!$A:$Q,9,FALSE),0)</f>
        <v>42150</v>
      </c>
      <c r="BJ41" s="381">
        <f>IFERROR(VLOOKUP($A41,'Further adjustment'!$A:$Q,8,FALSE),0)</f>
        <v>9782</v>
      </c>
      <c r="BK41" s="382">
        <f t="shared" si="150"/>
        <v>-3.1174571652793026E-2</v>
      </c>
      <c r="BL41" s="382">
        <f t="shared" si="151"/>
        <v>-3.1174571652793026E-2</v>
      </c>
      <c r="BM41" s="382">
        <f t="shared" si="152"/>
        <v>-3.1174571652793026E-2</v>
      </c>
      <c r="BN41" s="382">
        <f t="shared" si="153"/>
        <v>-3.1174571652793026E-2</v>
      </c>
      <c r="BO41" s="369"/>
      <c r="BP41" s="383">
        <f>'Price Adjustments'!$D$90</f>
        <v>-6.8529657693413348E-2</v>
      </c>
      <c r="BQ41" s="384">
        <f t="shared" si="154"/>
        <v>194.87042806595824</v>
      </c>
      <c r="BR41" s="384">
        <f t="shared" si="155"/>
        <v>245.82353356132933</v>
      </c>
      <c r="BS41" s="384">
        <f t="shared" si="156"/>
        <v>93.957238182218504</v>
      </c>
      <c r="BT41" s="384">
        <f t="shared" si="157"/>
        <v>110.89756987745422</v>
      </c>
      <c r="BU41" s="369"/>
      <c r="BV41" s="385" t="str">
        <f>IF(COUNTIF('Manual adjustments'!$A:$A,A41)=1,"Y",IF(COUNTIF(#REF!,A41)=1,"BPT",""))</f>
        <v>Y</v>
      </c>
      <c r="BW41" s="384">
        <f>IF($BV41="",BQ41,IF(AND($BV41="BPT",IFERROR(ISNUMBER(VLOOKUP($A41,#REF!,3,FALSE)),FALSE)),VLOOKUP($A41,#REF!,3,FALSE),IF(AND($BV41="Y",IFERROR(ISNUMBER(VLOOKUP($A41,'Manual adjustments'!$A:$O,12,FALSE)),FALSE)),VLOOKUP($A41,'Manual adjustments'!$A:$O,12,FALSE),BQ41)))</f>
        <v>194.87042806595824</v>
      </c>
      <c r="BX41" s="384">
        <f>IF($BV41="",BR41,IF(AND($BV41="BPT",IFERROR(ISNUMBER(VLOOKUP($A41,#REF!,4,FALSE)),FALSE)),VLOOKUP($A41,#REF!,4,FALSE),IF(AND($BV41="Y",IFERROR(ISNUMBER(VLOOKUP($A41,'Manual adjustments'!$A:$O,13,FALSE)),FALSE)),VLOOKUP($A41,'Manual adjustments'!$A:$O,13,FALSE),BR41)))</f>
        <v>245.82353356132933</v>
      </c>
      <c r="BY41" s="384">
        <f>IF($BV41="",BS41,IF(AND($BV41="BPT",IFERROR(ISNUMBER(VLOOKUP($A41,#REF!,5,FALSE)),FALSE)),VLOOKUP($A41,#REF!,5,FALSE),IF(AND($BV41="Y",IFERROR(ISNUMBER(VLOOKUP($A41,'Manual adjustments'!$A:$O,14,FALSE)),FALSE)),VLOOKUP($A41,'Manual adjustments'!$A:$O,14,FALSE),BS41)))</f>
        <v>93.957238182218504</v>
      </c>
      <c r="BZ41" s="384">
        <f>IF($BV41="",BT41,IF(AND($BV41="BPT",IFERROR(ISNUMBER(VLOOKUP($A41,#REF!,6,FALSE)),FALSE)),VLOOKUP($A41,#REF!,6,FALSE),IF(AND($BV41="Y",IFERROR(ISNUMBER(VLOOKUP($A41,'Manual adjustments'!$A:$O,15,FALSE)),FALSE)),VLOOKUP($A41,'Manual adjustments'!$A:$O,15,FALSE),BT41)))</f>
        <v>110.89756987745422</v>
      </c>
      <c r="CA41" s="386">
        <f>'Post manual recon'!$N$70</f>
        <v>0</v>
      </c>
      <c r="CB41" s="384">
        <f>IF(VLOOKUP($A41,'Post manual recon'!$A:$U,18,FALSE)=0,BW41,BW41*(1+$CA41))</f>
        <v>194.87042806595824</v>
      </c>
      <c r="CC41" s="384">
        <f>IF(VLOOKUP($A41,'Post manual recon'!$A:$U,19,FALSE)=0,BX41,BX41*(1+$CA41))</f>
        <v>245.82353356132933</v>
      </c>
      <c r="CD41" s="384">
        <f>IF(VLOOKUP($A41,'Post manual recon'!$A:$U,20,FALSE)=0,BY41,BY41*(1+$CA41))</f>
        <v>93.957238182218504</v>
      </c>
      <c r="CE41" s="384">
        <f>IF(VLOOKUP($A41,'Post manual recon'!$A:$U,21,FALSE)=0,BZ41,BZ41*(1+$CA41))</f>
        <v>110.89756987745422</v>
      </c>
      <c r="CF41" s="383">
        <f t="shared" si="35"/>
        <v>0</v>
      </c>
      <c r="CG41" s="383">
        <f t="shared" si="36"/>
        <v>0</v>
      </c>
      <c r="CH41" s="383">
        <f t="shared" si="37"/>
        <v>0</v>
      </c>
      <c r="CI41" s="383">
        <f t="shared" si="38"/>
        <v>0</v>
      </c>
      <c r="CJ41" s="369"/>
      <c r="CK41" s="383">
        <f>'Price Adjustments'!$F$6</f>
        <v>0</v>
      </c>
      <c r="CL41" s="384">
        <f t="shared" si="39"/>
        <v>194.87042806595824</v>
      </c>
      <c r="CM41" s="384">
        <f t="shared" si="40"/>
        <v>245.82353356132933</v>
      </c>
      <c r="CN41" s="384">
        <f t="shared" si="41"/>
        <v>93.957238182218504</v>
      </c>
      <c r="CO41" s="384">
        <f t="shared" si="42"/>
        <v>110.89756987745422</v>
      </c>
      <c r="CP41" s="369"/>
      <c r="CQ41" s="384">
        <f t="shared" si="43"/>
        <v>195</v>
      </c>
      <c r="CR41" s="384">
        <f t="shared" si="44"/>
        <v>246</v>
      </c>
      <c r="CS41" s="384">
        <f t="shared" si="45"/>
        <v>94</v>
      </c>
      <c r="CT41" s="384">
        <f t="shared" si="46"/>
        <v>111</v>
      </c>
    </row>
    <row r="42" spans="1:98">
      <c r="A42" s="367">
        <v>300</v>
      </c>
      <c r="B42" s="367" t="str">
        <f>INDEX('201314 RC list'!B:B,MATCH(A42,'201314 RC list'!A:A,0))</f>
        <v>General Medicine</v>
      </c>
      <c r="C42" s="368">
        <f>IF(ISERROR(VLOOKUP($A42,'Allocate OPROC cost'!A:M,11,FALSE)),"-",VLOOKUP($A42,'Allocate OPROC cost'!A:M,11,FALSE))</f>
        <v>183.00624126519853</v>
      </c>
      <c r="D42" s="368">
        <f>IF(ISERROR(VLOOKUP($A42,'Allocate OPROC cost'!A:M,10,FALSE)),"-",VLOOKUP($A42,'Allocate OPROC cost'!A:M,10,FALSE))</f>
        <v>242.72487988583771</v>
      </c>
      <c r="E42" s="368">
        <f>IF(ISERROR(VLOOKUP($A42,'Allocate OPROC cost'!A:M,13,FALSE)),"-",VLOOKUP($A42,'Allocate OPROC cost'!A:M,13,FALSE))</f>
        <v>132.61083380673941</v>
      </c>
      <c r="F42" s="368">
        <f>IF(ISERROR(VLOOKUP($A42,'Allocate OPROC cost'!A:M,12,FALSE)),"-",VLOOKUP($A42,'Allocate OPROC cost'!A:M,12,FALSE))</f>
        <v>182.10089562510163</v>
      </c>
      <c r="G42" s="369"/>
      <c r="H42" s="370">
        <f>IF(ISERROR(VLOOKUP($A42,'Allocate OPROC cost'!A:AO,39,FALSE)),"-",VLOOKUP($A42,'Allocate OPROC cost'!A:AO,39,FALSE))</f>
        <v>182.35677911498351</v>
      </c>
      <c r="I42" s="370">
        <f>IF(ISERROR(VLOOKUP($A42,'Allocate OPROC cost'!A:AO,38,FALSE)),"-",VLOOKUP($A42,'Allocate OPROC cost'!A:AO,38,FALSE))</f>
        <v>241.87625470068579</v>
      </c>
      <c r="J42" s="370">
        <f>IF(ISERROR(VLOOKUP($A42,'Allocate OPROC cost'!A:AO,41,FALSE)),"-",VLOOKUP($A42,'Allocate OPROC cost'!A:AO,41,FALSE))</f>
        <v>132.51280386354262</v>
      </c>
      <c r="K42" s="370">
        <f>IF(ISERROR(VLOOKUP($A42,'Allocate OPROC cost'!A:AO,40,FALSE)),"-",VLOOKUP($A42,'Allocate OPROC cost'!A:AO,40,FALSE))</f>
        <v>181.71307235165665</v>
      </c>
      <c r="L42" s="371">
        <f t="shared" si="130"/>
        <v>-3.5488524638559449E-3</v>
      </c>
      <c r="M42" s="371">
        <f t="shared" si="131"/>
        <v>-3.4962430944494027E-3</v>
      </c>
      <c r="N42" s="371">
        <f t="shared" si="132"/>
        <v>-7.3923027540612196E-4</v>
      </c>
      <c r="O42" s="371">
        <f t="shared" si="133"/>
        <v>-2.1297164525945211E-3</v>
      </c>
      <c r="P42" s="369"/>
      <c r="Q42" s="372">
        <f>IF(ISERROR(VLOOKUP($A42,'Front-loading'!$A:$AG,27,FALSE)),"-",VLOOKUP($A42,'Front-loading'!$A:$AG,27,FALSE))</f>
        <v>204.35111639477873</v>
      </c>
      <c r="R42" s="372">
        <f>IF(ISERROR(VLOOKUP($A42,'Front-loading'!$A:$AG,26,FALSE)),"-",VLOOKUP($A42,'Front-loading'!$A:$AG,26,FALSE))</f>
        <v>263.80379546024989</v>
      </c>
      <c r="S42" s="372">
        <f>IF(ISERROR(VLOOKUP($A42,'Front-loading'!$A:$AG,29,FALSE)),"-",VLOOKUP($A42,'Front-loading'!$A:$AG,29,FALSE))</f>
        <v>119.26152347718835</v>
      </c>
      <c r="T42" s="372">
        <f>IF(ISERROR(VLOOKUP($A42,'Front-loading'!$A:$AG,28,FALSE)),"-",VLOOKUP($A42,'Front-loading'!$A:$AG,28,FALSE))</f>
        <v>163.54176511649098</v>
      </c>
      <c r="U42" s="373">
        <f t="shared" si="134"/>
        <v>0.12061156918069327</v>
      </c>
      <c r="V42" s="373">
        <f t="shared" si="135"/>
        <v>9.0656028995895976E-2</v>
      </c>
      <c r="W42" s="373">
        <f t="shared" si="136"/>
        <v>-0.10000000000000009</v>
      </c>
      <c r="X42" s="373">
        <f t="shared" si="137"/>
        <v>-9.9999999999999978E-2</v>
      </c>
      <c r="Y42" s="369"/>
      <c r="Z42" s="374">
        <f>IF(ISERROR(VLOOKUP($A42,'Further adjustment'!$A:$BC,53,FALSE)),"-",VLOOKUP($A42,'Further adjustment'!$A:$BC,53,FALSE))</f>
        <v>204.35111639477873</v>
      </c>
      <c r="AA42" s="374">
        <f>IF(ISERROR(VLOOKUP($A42,'Further adjustment'!$A:$BC,52,FALSE)),"-",VLOOKUP($A42,'Further adjustment'!$A:$BC,52,FALSE))</f>
        <v>263.80379546024989</v>
      </c>
      <c r="AB42" s="374">
        <f>IF(ISERROR(VLOOKUP($A42,'Further adjustment'!$A:$BC,55,FALSE)),"-",VLOOKUP($A42,'Further adjustment'!$A:$BC,55,FALSE))</f>
        <v>119.26152347718835</v>
      </c>
      <c r="AC42" s="374">
        <f>IF(ISERROR(VLOOKUP($A42,'Further adjustment'!$A:$BC,54,FALSE)),"-",VLOOKUP($A42,'Further adjustment'!$A:$BC,54,FALSE))</f>
        <v>163.54176511649098</v>
      </c>
      <c r="AD42" s="375">
        <f t="shared" si="138"/>
        <v>0</v>
      </c>
      <c r="AE42" s="375">
        <f t="shared" si="139"/>
        <v>0</v>
      </c>
      <c r="AF42" s="375">
        <f t="shared" si="140"/>
        <v>0</v>
      </c>
      <c r="AG42" s="375">
        <f t="shared" si="141"/>
        <v>0</v>
      </c>
      <c r="AH42" s="369"/>
      <c r="AI42" s="376">
        <f>'Price Adjustments'!$G$6</f>
        <v>-3.1174571652793026E-2</v>
      </c>
      <c r="AJ42" s="376">
        <v>0</v>
      </c>
      <c r="AK42" s="377">
        <f t="shared" si="31"/>
        <v>197.98055787440146</v>
      </c>
      <c r="AL42" s="377">
        <f t="shared" si="32"/>
        <v>255.57982513639558</v>
      </c>
      <c r="AM42" s="377">
        <f t="shared" si="33"/>
        <v>115.54359656812748</v>
      </c>
      <c r="AN42" s="377">
        <f t="shared" si="34"/>
        <v>158.44342064164269</v>
      </c>
      <c r="AO42" s="378">
        <f t="shared" si="142"/>
        <v>-3.1174571652793026E-2</v>
      </c>
      <c r="AP42" s="378">
        <f t="shared" si="143"/>
        <v>-3.1174571652793026E-2</v>
      </c>
      <c r="AQ42" s="378">
        <f t="shared" si="144"/>
        <v>-3.1174571652793026E-2</v>
      </c>
      <c r="AR42" s="378">
        <f t="shared" si="145"/>
        <v>-3.1174571652793026E-2</v>
      </c>
      <c r="AS42" s="379">
        <f>'Price Adjustments'!$F$6</f>
        <v>0</v>
      </c>
      <c r="AT42" s="377">
        <f>IF(ISERROR(VLOOKUP($A42,'15-16 tariff'!$A:$F,3,FALSE)*(1+$AS$6)),"-",VLOOKUP($A42,'15-16 tariff'!$A:$F,3,FALSE)*(1+$AS$6))</f>
        <v>180.25354504904192</v>
      </c>
      <c r="AU42" s="377">
        <f>IF(ISERROR(VLOOKUP($A42,'15-16 tariff'!$A:$F,4,FALSE)*(1+$AS$6)),"-",VLOOKUP($A42,'15-16 tariff'!$A:$F,4,FALSE)*(1+$AS$6))</f>
        <v>255.33165714951829</v>
      </c>
      <c r="AV42" s="377">
        <f>IF(ISERROR(VLOOKUP($A42,'15-16 tariff'!$A:$F,5,FALSE)*(1+$AS$6)),"-",VLOOKUP($A42,'15-16 tariff'!$A:$F,5,FALSE)*(1+$AS$6))</f>
        <v>106.48736623293232</v>
      </c>
      <c r="AW42" s="377">
        <f>IF(ISERROR(VLOOKUP($A42,'15-16 tariff'!$A:$F,6,FALSE)*(1+$AS$6)),"-",VLOOKUP($A42,'15-16 tariff'!$A:$F,6,FALSE)*(1+$AS$6))</f>
        <v>137.74083212237301</v>
      </c>
      <c r="AX42" s="369"/>
      <c r="AY42" s="380" t="s">
        <v>307</v>
      </c>
      <c r="AZ42" s="380" t="s">
        <v>307</v>
      </c>
      <c r="BA42" s="380" t="s">
        <v>307</v>
      </c>
      <c r="BB42" s="381" t="s">
        <v>307</v>
      </c>
      <c r="BC42" s="381">
        <f t="shared" si="146"/>
        <v>197.98055787440146</v>
      </c>
      <c r="BD42" s="381">
        <f t="shared" si="147"/>
        <v>255.57982513639558</v>
      </c>
      <c r="BE42" s="381">
        <f t="shared" si="148"/>
        <v>115.54359656812748</v>
      </c>
      <c r="BF42" s="381">
        <f t="shared" si="149"/>
        <v>158.44342064164269</v>
      </c>
      <c r="BG42" s="381">
        <f>IFERROR(VLOOKUP($A42,'Further adjustment'!$A:$Q,7,FALSE),0)</f>
        <v>317480</v>
      </c>
      <c r="BH42" s="381">
        <f>IFERROR(VLOOKUP($A42,'Further adjustment'!$A:$Q,6,FALSE),0)</f>
        <v>8611</v>
      </c>
      <c r="BI42" s="381">
        <f>IFERROR(VLOOKUP($A42,'Further adjustment'!$A:$Q,9,FALSE),0)</f>
        <v>526950</v>
      </c>
      <c r="BJ42" s="381">
        <f>IFERROR(VLOOKUP($A42,'Further adjustment'!$A:$Q,8,FALSE),0)</f>
        <v>10391</v>
      </c>
      <c r="BK42" s="382">
        <f t="shared" si="150"/>
        <v>-3.1174571652793026E-2</v>
      </c>
      <c r="BL42" s="382">
        <f t="shared" si="151"/>
        <v>-3.1174571652793026E-2</v>
      </c>
      <c r="BM42" s="382">
        <f t="shared" si="152"/>
        <v>-3.1174571652793026E-2</v>
      </c>
      <c r="BN42" s="382">
        <f t="shared" si="153"/>
        <v>-3.1174571652793026E-2</v>
      </c>
      <c r="BO42" s="369"/>
      <c r="BP42" s="383">
        <f>'Price Adjustments'!$D$90</f>
        <v>-6.8529657693413348E-2</v>
      </c>
      <c r="BQ42" s="384">
        <f t="shared" si="154"/>
        <v>184.41301801331772</v>
      </c>
      <c r="BR42" s="384">
        <f t="shared" si="155"/>
        <v>238.06502720645597</v>
      </c>
      <c r="BS42" s="384">
        <f t="shared" si="156"/>
        <v>107.62543344664786</v>
      </c>
      <c r="BT42" s="384">
        <f t="shared" si="157"/>
        <v>147.58534726129741</v>
      </c>
      <c r="BU42" s="369"/>
      <c r="BV42" s="385" t="str">
        <f>IF(COUNTIF('Manual adjustments'!$A:$A,A42)=1,"Y",IF(COUNTIF(#REF!,A42)=1,"BPT",""))</f>
        <v>Y</v>
      </c>
      <c r="BW42" s="384">
        <f>IF($BV42="",BQ42,IF(AND($BV42="BPT",IFERROR(ISNUMBER(VLOOKUP($A42,#REF!,3,FALSE)),FALSE)),VLOOKUP($A42,#REF!,3,FALSE),IF(AND($BV42="Y",IFERROR(ISNUMBER(VLOOKUP($A42,'Manual adjustments'!$A:$O,12,FALSE)),FALSE)),VLOOKUP($A42,'Manual adjustments'!$A:$O,12,FALSE),BQ42)))</f>
        <v>184.41301801331772</v>
      </c>
      <c r="BX42" s="384">
        <f>IF($BV42="",BR42,IF(AND($BV42="BPT",IFERROR(ISNUMBER(VLOOKUP($A42,#REF!,4,FALSE)),FALSE)),VLOOKUP($A42,#REF!,4,FALSE),IF(AND($BV42="Y",IFERROR(ISNUMBER(VLOOKUP($A42,'Manual adjustments'!$A:$O,13,FALSE)),FALSE)),VLOOKUP($A42,'Manual adjustments'!$A:$O,13,FALSE),BR42)))</f>
        <v>238.06502720645597</v>
      </c>
      <c r="BY42" s="384">
        <f>IF($BV42="",BS42,IF(AND($BV42="BPT",IFERROR(ISNUMBER(VLOOKUP($A42,#REF!,5,FALSE)),FALSE)),VLOOKUP($A42,#REF!,5,FALSE),IF(AND($BV42="Y",IFERROR(ISNUMBER(VLOOKUP($A42,'Manual adjustments'!$A:$O,14,FALSE)),FALSE)),VLOOKUP($A42,'Manual adjustments'!$A:$O,14,FALSE),BS42)))</f>
        <v>107.62543344664786</v>
      </c>
      <c r="BZ42" s="384">
        <f>IF($BV42="",BT42,IF(AND($BV42="BPT",IFERROR(ISNUMBER(VLOOKUP($A42,#REF!,6,FALSE)),FALSE)),VLOOKUP($A42,#REF!,6,FALSE),IF(AND($BV42="Y",IFERROR(ISNUMBER(VLOOKUP($A42,'Manual adjustments'!$A:$O,15,FALSE)),FALSE)),VLOOKUP($A42,'Manual adjustments'!$A:$O,15,FALSE),BT42)))</f>
        <v>147.58534726129741</v>
      </c>
      <c r="CA42" s="386">
        <f>'Post manual recon'!$N$70</f>
        <v>0</v>
      </c>
      <c r="CB42" s="384">
        <f>IF(VLOOKUP($A42,'Post manual recon'!$A:$U,18,FALSE)=0,BW42,BW42*(1+$CA42))</f>
        <v>184.41301801331772</v>
      </c>
      <c r="CC42" s="384">
        <f>IF(VLOOKUP($A42,'Post manual recon'!$A:$U,19,FALSE)=0,BX42,BX42*(1+$CA42))</f>
        <v>238.06502720645597</v>
      </c>
      <c r="CD42" s="384">
        <f>IF(VLOOKUP($A42,'Post manual recon'!$A:$U,20,FALSE)=0,BY42,BY42*(1+$CA42))</f>
        <v>107.62543344664786</v>
      </c>
      <c r="CE42" s="384">
        <f>IF(VLOOKUP($A42,'Post manual recon'!$A:$U,21,FALSE)=0,BZ42,BZ42*(1+$CA42))</f>
        <v>147.58534726129741</v>
      </c>
      <c r="CF42" s="383">
        <f t="shared" si="35"/>
        <v>0</v>
      </c>
      <c r="CG42" s="383">
        <f t="shared" si="36"/>
        <v>0</v>
      </c>
      <c r="CH42" s="383">
        <f t="shared" si="37"/>
        <v>0</v>
      </c>
      <c r="CI42" s="383">
        <f t="shared" si="38"/>
        <v>0</v>
      </c>
      <c r="CJ42" s="369"/>
      <c r="CK42" s="383">
        <f>'Price Adjustments'!$F$6</f>
        <v>0</v>
      </c>
      <c r="CL42" s="384">
        <f t="shared" si="39"/>
        <v>184.41301801331772</v>
      </c>
      <c r="CM42" s="384">
        <f t="shared" si="40"/>
        <v>238.06502720645597</v>
      </c>
      <c r="CN42" s="384">
        <f t="shared" si="41"/>
        <v>107.62543344664786</v>
      </c>
      <c r="CO42" s="384">
        <f t="shared" si="42"/>
        <v>147.58534726129741</v>
      </c>
      <c r="CP42" s="369"/>
      <c r="CQ42" s="384">
        <f t="shared" si="43"/>
        <v>184</v>
      </c>
      <c r="CR42" s="384">
        <f t="shared" si="44"/>
        <v>238</v>
      </c>
      <c r="CS42" s="384">
        <f t="shared" si="45"/>
        <v>108</v>
      </c>
      <c r="CT42" s="384">
        <f t="shared" si="46"/>
        <v>148</v>
      </c>
    </row>
    <row r="43" spans="1:98">
      <c r="A43" s="367">
        <v>301</v>
      </c>
      <c r="B43" s="367" t="str">
        <f>INDEX('201314 RC list'!B:B,MATCH(A43,'201314 RC list'!A:A,0))</f>
        <v>Gastroenterology</v>
      </c>
      <c r="C43" s="368">
        <f>IF(ISERROR(VLOOKUP($A43,'Allocate OPROC cost'!A:M,11,FALSE)),"-",VLOOKUP($A43,'Allocate OPROC cost'!A:M,11,FALSE))</f>
        <v>149.58830860780435</v>
      </c>
      <c r="D43" s="368">
        <f>IF(ISERROR(VLOOKUP($A43,'Allocate OPROC cost'!A:M,10,FALSE)),"-",VLOOKUP($A43,'Allocate OPROC cost'!A:M,10,FALSE))</f>
        <v>170.32822902830668</v>
      </c>
      <c r="E43" s="368">
        <f>IF(ISERROR(VLOOKUP($A43,'Allocate OPROC cost'!A:M,13,FALSE)),"-",VLOOKUP($A43,'Allocate OPROC cost'!A:M,13,FALSE))</f>
        <v>109.11044176182399</v>
      </c>
      <c r="F43" s="368">
        <f>IF(ISERROR(VLOOKUP($A43,'Allocate OPROC cost'!A:M,12,FALSE)),"-",VLOOKUP($A43,'Allocate OPROC cost'!A:M,12,FALSE))</f>
        <v>158.65434118374506</v>
      </c>
      <c r="G43" s="369"/>
      <c r="H43" s="370">
        <f>IF(ISERROR(VLOOKUP($A43,'Allocate OPROC cost'!A:AO,39,FALSE)),"-",VLOOKUP($A43,'Allocate OPROC cost'!A:AO,39,FALSE))</f>
        <v>149.40066141420846</v>
      </c>
      <c r="I43" s="370">
        <f>IF(ISERROR(VLOOKUP($A43,'Allocate OPROC cost'!A:AO,38,FALSE)),"-",VLOOKUP($A43,'Allocate OPROC cost'!A:AO,38,FALSE))</f>
        <v>170.13211845256063</v>
      </c>
      <c r="J43" s="370">
        <f>IF(ISERROR(VLOOKUP($A43,'Allocate OPROC cost'!A:AO,41,FALSE)),"-",VLOOKUP($A43,'Allocate OPROC cost'!A:AO,41,FALSE))</f>
        <v>109.13007824671018</v>
      </c>
      <c r="K43" s="370">
        <f>IF(ISERROR(VLOOKUP($A43,'Allocate OPROC cost'!A:AO,40,FALSE)),"-",VLOOKUP($A43,'Allocate OPROC cost'!A:AO,40,FALSE))</f>
        <v>158.62264275238257</v>
      </c>
      <c r="L43" s="371">
        <f t="shared" si="130"/>
        <v>-1.2544241949273838E-3</v>
      </c>
      <c r="M43" s="371">
        <f t="shared" si="131"/>
        <v>-1.1513686067472495E-3</v>
      </c>
      <c r="N43" s="371">
        <f t="shared" si="132"/>
        <v>1.7996888812032985E-4</v>
      </c>
      <c r="O43" s="371">
        <f t="shared" si="133"/>
        <v>-1.9979555003646343E-4</v>
      </c>
      <c r="P43" s="369"/>
      <c r="Q43" s="372">
        <f>IF(ISERROR(VLOOKUP($A43,'Front-loading'!$A:$AG,27,FALSE)),"-",VLOOKUP($A43,'Front-loading'!$A:$AG,27,FALSE))</f>
        <v>168.95519575293417</v>
      </c>
      <c r="R43" s="372">
        <f>IF(ISERROR(VLOOKUP($A43,'Front-loading'!$A:$AG,26,FALSE)),"-",VLOOKUP($A43,'Front-loading'!$A:$AG,26,FALSE))</f>
        <v>220.21987303225467</v>
      </c>
      <c r="S43" s="372">
        <f>IF(ISERROR(VLOOKUP($A43,'Front-loading'!$A:$AG,29,FALSE)),"-",VLOOKUP($A43,'Front-loading'!$A:$AG,29,FALSE))</f>
        <v>98.217070422039171</v>
      </c>
      <c r="T43" s="372">
        <f>IF(ISERROR(VLOOKUP($A43,'Front-loading'!$A:$AG,28,FALSE)),"-",VLOOKUP($A43,'Front-loading'!$A:$AG,28,FALSE))</f>
        <v>142.76037847714431</v>
      </c>
      <c r="U43" s="373">
        <f t="shared" si="134"/>
        <v>0.13088653124842198</v>
      </c>
      <c r="V43" s="373">
        <f t="shared" si="135"/>
        <v>0.29440504847214033</v>
      </c>
      <c r="W43" s="373">
        <f t="shared" si="136"/>
        <v>-9.9999999999999978E-2</v>
      </c>
      <c r="X43" s="373">
        <f t="shared" si="137"/>
        <v>-9.9999999999999978E-2</v>
      </c>
      <c r="Y43" s="369"/>
      <c r="Z43" s="374">
        <f>IF(ISERROR(VLOOKUP($A43,'Further adjustment'!$A:$BC,53,FALSE)),"-",VLOOKUP($A43,'Further adjustment'!$A:$BC,53,FALSE))</f>
        <v>168.95519575293417</v>
      </c>
      <c r="AA43" s="374">
        <f>IF(ISERROR(VLOOKUP($A43,'Further adjustment'!$A:$BC,52,FALSE)),"-",VLOOKUP($A43,'Further adjustment'!$A:$BC,52,FALSE))</f>
        <v>220.21987303225467</v>
      </c>
      <c r="AB43" s="374">
        <f>IF(ISERROR(VLOOKUP($A43,'Further adjustment'!$A:$BC,55,FALSE)),"-",VLOOKUP($A43,'Further adjustment'!$A:$BC,55,FALSE))</f>
        <v>98.217070422039171</v>
      </c>
      <c r="AC43" s="374">
        <f>IF(ISERROR(VLOOKUP($A43,'Further adjustment'!$A:$BC,54,FALSE)),"-",VLOOKUP($A43,'Further adjustment'!$A:$BC,54,FALSE))</f>
        <v>142.76037847714431</v>
      </c>
      <c r="AD43" s="375">
        <f t="shared" si="138"/>
        <v>0</v>
      </c>
      <c r="AE43" s="375">
        <f t="shared" si="139"/>
        <v>0</v>
      </c>
      <c r="AF43" s="375">
        <f t="shared" si="140"/>
        <v>0</v>
      </c>
      <c r="AG43" s="375">
        <f t="shared" si="141"/>
        <v>0</v>
      </c>
      <c r="AH43" s="369"/>
      <c r="AI43" s="376">
        <f>'Price Adjustments'!$G$6</f>
        <v>-3.1174571652793026E-2</v>
      </c>
      <c r="AJ43" s="376">
        <v>0</v>
      </c>
      <c r="AK43" s="377">
        <f t="shared" si="31"/>
        <v>163.68808989682265</v>
      </c>
      <c r="AL43" s="377">
        <f t="shared" si="32"/>
        <v>213.35461282104166</v>
      </c>
      <c r="AM43" s="377">
        <f t="shared" si="33"/>
        <v>95.155195322639898</v>
      </c>
      <c r="AN43" s="377">
        <f t="shared" si="34"/>
        <v>138.30988482912872</v>
      </c>
      <c r="AO43" s="378">
        <f t="shared" si="142"/>
        <v>-3.1174571652793026E-2</v>
      </c>
      <c r="AP43" s="378">
        <f t="shared" si="143"/>
        <v>-3.1174571652793026E-2</v>
      </c>
      <c r="AQ43" s="378">
        <f t="shared" si="144"/>
        <v>-3.1174571652793026E-2</v>
      </c>
      <c r="AR43" s="378">
        <f t="shared" si="145"/>
        <v>-3.1174571652793137E-2</v>
      </c>
      <c r="AS43" s="379">
        <f>'Price Adjustments'!$F$6</f>
        <v>0</v>
      </c>
      <c r="AT43" s="377">
        <f>IF(ISERROR(VLOOKUP($A43,'15-16 tariff'!$A:$F,3,FALSE)*(1+$AS$6)),"-",VLOOKUP($A43,'15-16 tariff'!$A:$F,3,FALSE)*(1+$AS$6))</f>
        <v>180.25354504904192</v>
      </c>
      <c r="AU43" s="377">
        <f>IF(ISERROR(VLOOKUP($A43,'15-16 tariff'!$A:$F,4,FALSE)*(1+$AS$6)),"-",VLOOKUP($A43,'15-16 tariff'!$A:$F,4,FALSE)*(1+$AS$6))</f>
        <v>255.33165714951829</v>
      </c>
      <c r="AV43" s="377">
        <f>IF(ISERROR(VLOOKUP($A43,'15-16 tariff'!$A:$F,5,FALSE)*(1+$AS$6)),"-",VLOOKUP($A43,'15-16 tariff'!$A:$F,5,FALSE)*(1+$AS$6))</f>
        <v>106.48736623293232</v>
      </c>
      <c r="AW43" s="377">
        <f>IF(ISERROR(VLOOKUP($A43,'15-16 tariff'!$A:$F,6,FALSE)*(1+$AS$6)),"-",VLOOKUP($A43,'15-16 tariff'!$A:$F,6,FALSE)*(1+$AS$6))</f>
        <v>137.74083212237301</v>
      </c>
      <c r="AX43" s="369"/>
      <c r="AY43" s="380" t="s">
        <v>307</v>
      </c>
      <c r="AZ43" s="380" t="s">
        <v>307</v>
      </c>
      <c r="BA43" s="380" t="s">
        <v>307</v>
      </c>
      <c r="BB43" s="381" t="s">
        <v>307</v>
      </c>
      <c r="BC43" s="381">
        <f t="shared" si="146"/>
        <v>163.68808989682265</v>
      </c>
      <c r="BD43" s="381">
        <f t="shared" si="147"/>
        <v>213.35461282104166</v>
      </c>
      <c r="BE43" s="381">
        <f t="shared" si="148"/>
        <v>95.155195322639898</v>
      </c>
      <c r="BF43" s="381">
        <f t="shared" si="149"/>
        <v>138.30988482912872</v>
      </c>
      <c r="BG43" s="381">
        <f>IFERROR(VLOOKUP($A43,'Further adjustment'!$A:$Q,7,FALSE),0)</f>
        <v>407741</v>
      </c>
      <c r="BH43" s="381">
        <f>IFERROR(VLOOKUP($A43,'Further adjustment'!$A:$Q,6,FALSE),0)</f>
        <v>4167</v>
      </c>
      <c r="BI43" s="381">
        <f>IFERROR(VLOOKUP($A43,'Further adjustment'!$A:$Q,9,FALSE),0)</f>
        <v>730613</v>
      </c>
      <c r="BJ43" s="381">
        <f>IFERROR(VLOOKUP($A43,'Further adjustment'!$A:$Q,8,FALSE),0)</f>
        <v>13158</v>
      </c>
      <c r="BK43" s="382">
        <f t="shared" si="150"/>
        <v>-3.1174571652793026E-2</v>
      </c>
      <c r="BL43" s="382">
        <f t="shared" si="151"/>
        <v>-3.1174571652793026E-2</v>
      </c>
      <c r="BM43" s="382">
        <f t="shared" si="152"/>
        <v>-3.1174571652793026E-2</v>
      </c>
      <c r="BN43" s="382">
        <f t="shared" si="153"/>
        <v>-3.1174571652793137E-2</v>
      </c>
      <c r="BO43" s="369"/>
      <c r="BP43" s="383">
        <f>'Price Adjustments'!$D$90</f>
        <v>-6.8529657693413348E-2</v>
      </c>
      <c r="BQ43" s="384">
        <f t="shared" si="154"/>
        <v>152.47060112770473</v>
      </c>
      <c r="BR43" s="384">
        <f t="shared" si="155"/>
        <v>198.73349423710494</v>
      </c>
      <c r="BS43" s="384">
        <f t="shared" si="156"/>
        <v>88.634242359429493</v>
      </c>
      <c r="BT43" s="384">
        <f t="shared" si="157"/>
        <v>128.8315557661731</v>
      </c>
      <c r="BU43" s="369"/>
      <c r="BV43" s="385" t="str">
        <f>IF(COUNTIF('Manual adjustments'!$A:$A,A43)=1,"Y",IF(COUNTIF(#REF!,A43)=1,"BPT",""))</f>
        <v>Y</v>
      </c>
      <c r="BW43" s="384">
        <f>IF($BV43="",BQ43,IF(AND($BV43="BPT",IFERROR(ISNUMBER(VLOOKUP($A43,#REF!,3,FALSE)),FALSE)),VLOOKUP($A43,#REF!,3,FALSE),IF(AND($BV43="Y",IFERROR(ISNUMBER(VLOOKUP($A43,'Manual adjustments'!$A:$O,12,FALSE)),FALSE)),VLOOKUP($A43,'Manual adjustments'!$A:$O,12,FALSE),BQ43)))</f>
        <v>152.47060112770473</v>
      </c>
      <c r="BX43" s="384">
        <f>IF($BV43="",BR43,IF(AND($BV43="BPT",IFERROR(ISNUMBER(VLOOKUP($A43,#REF!,4,FALSE)),FALSE)),VLOOKUP($A43,#REF!,4,FALSE),IF(AND($BV43="Y",IFERROR(ISNUMBER(VLOOKUP($A43,'Manual adjustments'!$A:$O,13,FALSE)),FALSE)),VLOOKUP($A43,'Manual adjustments'!$A:$O,13,FALSE),BR43)))</f>
        <v>198.73349423710494</v>
      </c>
      <c r="BY43" s="384">
        <f>IF($BV43="",BS43,IF(AND($BV43="BPT",IFERROR(ISNUMBER(VLOOKUP($A43,#REF!,5,FALSE)),FALSE)),VLOOKUP($A43,#REF!,5,FALSE),IF(AND($BV43="Y",IFERROR(ISNUMBER(VLOOKUP($A43,'Manual adjustments'!$A:$O,14,FALSE)),FALSE)),VLOOKUP($A43,'Manual adjustments'!$A:$O,14,FALSE),BS43)))</f>
        <v>88.634242359429493</v>
      </c>
      <c r="BZ43" s="384">
        <f>IF($BV43="",BT43,IF(AND($BV43="BPT",IFERROR(ISNUMBER(VLOOKUP($A43,#REF!,6,FALSE)),FALSE)),VLOOKUP($A43,#REF!,6,FALSE),IF(AND($BV43="Y",IFERROR(ISNUMBER(VLOOKUP($A43,'Manual adjustments'!$A:$O,15,FALSE)),FALSE)),VLOOKUP($A43,'Manual adjustments'!$A:$O,15,FALSE),BT43)))</f>
        <v>128.8315557661731</v>
      </c>
      <c r="CA43" s="386">
        <f>'Post manual recon'!$N$70</f>
        <v>0</v>
      </c>
      <c r="CB43" s="384">
        <f>IF(VLOOKUP($A43,'Post manual recon'!$A:$U,18,FALSE)=0,BW43,BW43*(1+$CA43))</f>
        <v>152.47060112770473</v>
      </c>
      <c r="CC43" s="384">
        <f>IF(VLOOKUP($A43,'Post manual recon'!$A:$U,19,FALSE)=0,BX43,BX43*(1+$CA43))</f>
        <v>198.73349423710494</v>
      </c>
      <c r="CD43" s="384">
        <f>IF(VLOOKUP($A43,'Post manual recon'!$A:$U,20,FALSE)=0,BY43,BY43*(1+$CA43))</f>
        <v>88.634242359429493</v>
      </c>
      <c r="CE43" s="384">
        <f>IF(VLOOKUP($A43,'Post manual recon'!$A:$U,21,FALSE)=0,BZ43,BZ43*(1+$CA43))</f>
        <v>128.8315557661731</v>
      </c>
      <c r="CF43" s="383">
        <f t="shared" si="35"/>
        <v>0</v>
      </c>
      <c r="CG43" s="383">
        <f t="shared" si="36"/>
        <v>0</v>
      </c>
      <c r="CH43" s="383">
        <f t="shared" si="37"/>
        <v>0</v>
      </c>
      <c r="CI43" s="383">
        <f t="shared" si="38"/>
        <v>0</v>
      </c>
      <c r="CJ43" s="369"/>
      <c r="CK43" s="383">
        <f>'Price Adjustments'!$F$6</f>
        <v>0</v>
      </c>
      <c r="CL43" s="384">
        <f t="shared" si="39"/>
        <v>152.47060112770473</v>
      </c>
      <c r="CM43" s="384">
        <f t="shared" si="40"/>
        <v>198.73349423710494</v>
      </c>
      <c r="CN43" s="384">
        <f t="shared" si="41"/>
        <v>88.634242359429493</v>
      </c>
      <c r="CO43" s="384">
        <f t="shared" si="42"/>
        <v>128.8315557661731</v>
      </c>
      <c r="CP43" s="369"/>
      <c r="CQ43" s="384">
        <f t="shared" si="43"/>
        <v>152</v>
      </c>
      <c r="CR43" s="384">
        <f t="shared" si="44"/>
        <v>199</v>
      </c>
      <c r="CS43" s="384">
        <f t="shared" si="45"/>
        <v>89</v>
      </c>
      <c r="CT43" s="384">
        <f t="shared" si="46"/>
        <v>129</v>
      </c>
    </row>
    <row r="44" spans="1:98">
      <c r="A44" s="367">
        <v>302</v>
      </c>
      <c r="B44" s="367" t="str">
        <f>INDEX('201314 RC list'!B:B,MATCH(A44,'201314 RC list'!A:A,0))</f>
        <v>Endocrinology</v>
      </c>
      <c r="C44" s="368">
        <f>IF(ISERROR(VLOOKUP($A44,'Allocate OPROC cost'!A:M,11,FALSE)),"-",VLOOKUP($A44,'Allocate OPROC cost'!A:M,11,FALSE))</f>
        <v>168.69200944616622</v>
      </c>
      <c r="D44" s="368">
        <f>IF(ISERROR(VLOOKUP($A44,'Allocate OPROC cost'!A:M,10,FALSE)),"-",VLOOKUP($A44,'Allocate OPROC cost'!A:M,10,FALSE))</f>
        <v>191.40191376173641</v>
      </c>
      <c r="E44" s="368">
        <f>IF(ISERROR(VLOOKUP($A44,'Allocate OPROC cost'!A:M,13,FALSE)),"-",VLOOKUP($A44,'Allocate OPROC cost'!A:M,13,FALSE))</f>
        <v>120.59965625050947</v>
      </c>
      <c r="F44" s="368">
        <f>IF(ISERROR(VLOOKUP($A44,'Allocate OPROC cost'!A:M,12,FALSE)),"-",VLOOKUP($A44,'Allocate OPROC cost'!A:M,12,FALSE))</f>
        <v>156.08192343643131</v>
      </c>
      <c r="G44" s="369"/>
      <c r="H44" s="370">
        <f>IF(ISERROR(VLOOKUP($A44,'Allocate OPROC cost'!A:AO,39,FALSE)),"-",VLOOKUP($A44,'Allocate OPROC cost'!A:AO,39,FALSE))</f>
        <v>168.60168344100038</v>
      </c>
      <c r="I44" s="370">
        <f>IF(ISERROR(VLOOKUP($A44,'Allocate OPROC cost'!A:AO,38,FALSE)),"-",VLOOKUP($A44,'Allocate OPROC cost'!A:AO,38,FALSE))</f>
        <v>191.05403450930191</v>
      </c>
      <c r="J44" s="370">
        <f>IF(ISERROR(VLOOKUP($A44,'Allocate OPROC cost'!A:AO,41,FALSE)),"-",VLOOKUP($A44,'Allocate OPROC cost'!A:AO,41,FALSE))</f>
        <v>120.5978042285158</v>
      </c>
      <c r="K44" s="370">
        <f>IF(ISERROR(VLOOKUP($A44,'Allocate OPROC cost'!A:AO,40,FALSE)),"-",VLOOKUP($A44,'Allocate OPROC cost'!A:AO,40,FALSE))</f>
        <v>156.01952880534492</v>
      </c>
      <c r="L44" s="371">
        <f t="shared" si="130"/>
        <v>-5.354492217052309E-4</v>
      </c>
      <c r="M44" s="371">
        <f t="shared" si="131"/>
        <v>-1.8175327800930008E-3</v>
      </c>
      <c r="N44" s="371">
        <f t="shared" si="132"/>
        <v>-1.5356776721042742E-5</v>
      </c>
      <c r="O44" s="371">
        <f t="shared" si="133"/>
        <v>-3.9975565211303188E-4</v>
      </c>
      <c r="P44" s="369"/>
      <c r="Q44" s="372">
        <f>IF(ISERROR(VLOOKUP($A44,'Front-loading'!$A:$AG,27,FALSE)),"-",VLOOKUP($A44,'Front-loading'!$A:$AG,27,FALSE))</f>
        <v>207.57394250064195</v>
      </c>
      <c r="R44" s="372">
        <f>IF(ISERROR(VLOOKUP($A44,'Front-loading'!$A:$AG,26,FALSE)),"-",VLOOKUP($A44,'Front-loading'!$A:$AG,26,FALSE))</f>
        <v>239.46260948454523</v>
      </c>
      <c r="S44" s="372">
        <f>IF(ISERROR(VLOOKUP($A44,'Front-loading'!$A:$AG,29,FALSE)),"-",VLOOKUP($A44,'Front-loading'!$A:$AG,29,FALSE))</f>
        <v>108.53802380566422</v>
      </c>
      <c r="T44" s="372">
        <f>IF(ISERROR(VLOOKUP($A44,'Front-loading'!$A:$AG,28,FALSE)),"-",VLOOKUP($A44,'Front-loading'!$A:$AG,28,FALSE))</f>
        <v>140.41757592481042</v>
      </c>
      <c r="U44" s="373">
        <f t="shared" si="134"/>
        <v>0.23114988097541334</v>
      </c>
      <c r="V44" s="373">
        <f t="shared" si="135"/>
        <v>0.25337635554032967</v>
      </c>
      <c r="W44" s="373">
        <f t="shared" si="136"/>
        <v>-9.9999999999999978E-2</v>
      </c>
      <c r="X44" s="373">
        <f t="shared" si="137"/>
        <v>-0.10000000000000009</v>
      </c>
      <c r="Y44" s="369"/>
      <c r="Z44" s="374">
        <f>IF(ISERROR(VLOOKUP($A44,'Further adjustment'!$A:$BC,53,FALSE)),"-",VLOOKUP($A44,'Further adjustment'!$A:$BC,53,FALSE))</f>
        <v>207.57394250064195</v>
      </c>
      <c r="AA44" s="374">
        <f>IF(ISERROR(VLOOKUP($A44,'Further adjustment'!$A:$BC,52,FALSE)),"-",VLOOKUP($A44,'Further adjustment'!$A:$BC,52,FALSE))</f>
        <v>239.46260948454523</v>
      </c>
      <c r="AB44" s="374">
        <f>IF(ISERROR(VLOOKUP($A44,'Further adjustment'!$A:$BC,55,FALSE)),"-",VLOOKUP($A44,'Further adjustment'!$A:$BC,55,FALSE))</f>
        <v>108.53802380566422</v>
      </c>
      <c r="AC44" s="374">
        <f>IF(ISERROR(VLOOKUP($A44,'Further adjustment'!$A:$BC,54,FALSE)),"-",VLOOKUP($A44,'Further adjustment'!$A:$BC,54,FALSE))</f>
        <v>140.41757592481042</v>
      </c>
      <c r="AD44" s="375">
        <f t="shared" si="138"/>
        <v>0</v>
      </c>
      <c r="AE44" s="375">
        <f t="shared" si="139"/>
        <v>0</v>
      </c>
      <c r="AF44" s="375">
        <f t="shared" si="140"/>
        <v>0</v>
      </c>
      <c r="AG44" s="375">
        <f t="shared" si="141"/>
        <v>0</v>
      </c>
      <c r="AH44" s="369"/>
      <c r="AI44" s="376">
        <f>'Price Adjustments'!$G$6</f>
        <v>-3.1174571652793026E-2</v>
      </c>
      <c r="AJ44" s="376">
        <v>0</v>
      </c>
      <c r="AK44" s="377">
        <f t="shared" si="31"/>
        <v>201.10291375690295</v>
      </c>
      <c r="AL44" s="377">
        <f t="shared" si="32"/>
        <v>231.99746520700447</v>
      </c>
      <c r="AM44" s="377">
        <f t="shared" si="33"/>
        <v>105.15439740548199</v>
      </c>
      <c r="AN44" s="377">
        <f t="shared" si="34"/>
        <v>136.04011814283092</v>
      </c>
      <c r="AO44" s="378">
        <f t="shared" si="142"/>
        <v>-3.1174571652793026E-2</v>
      </c>
      <c r="AP44" s="378">
        <f t="shared" si="143"/>
        <v>-3.1174571652793026E-2</v>
      </c>
      <c r="AQ44" s="378">
        <f t="shared" si="144"/>
        <v>-3.1174571652793026E-2</v>
      </c>
      <c r="AR44" s="378">
        <f t="shared" si="145"/>
        <v>-3.1174571652793026E-2</v>
      </c>
      <c r="AS44" s="379">
        <f>'Price Adjustments'!$F$6</f>
        <v>0</v>
      </c>
      <c r="AT44" s="377">
        <f>IF(ISERROR(VLOOKUP($A44,'15-16 tariff'!$A:$F,3,FALSE)*(1+$AS$6)),"-",VLOOKUP($A44,'15-16 tariff'!$A:$F,3,FALSE)*(1+$AS$6))</f>
        <v>186.89353989489726</v>
      </c>
      <c r="AU44" s="377">
        <f>IF(ISERROR(VLOOKUP($A44,'15-16 tariff'!$A:$F,4,FALSE)*(1+$AS$6)),"-",VLOOKUP($A44,'15-16 tariff'!$A:$F,4,FALSE)*(1+$AS$6))</f>
        <v>186.89353989489726</v>
      </c>
      <c r="AV44" s="377">
        <f>IF(ISERROR(VLOOKUP($A44,'15-16 tariff'!$A:$F,5,FALSE)*(1+$AS$6)),"-",VLOOKUP($A44,'15-16 tariff'!$A:$F,5,FALSE)*(1+$AS$6))</f>
        <v>94.722516710909403</v>
      </c>
      <c r="AW44" s="377">
        <f>IF(ISERROR(VLOOKUP($A44,'15-16 tariff'!$A:$F,6,FALSE)*(1+$AS$6)),"-",VLOOKUP($A44,'15-16 tariff'!$A:$F,6,FALSE)*(1+$AS$6))</f>
        <v>104.59753474249229</v>
      </c>
      <c r="AX44" s="369"/>
      <c r="AY44" s="380" t="s">
        <v>307</v>
      </c>
      <c r="AZ44" s="380" t="s">
        <v>307</v>
      </c>
      <c r="BA44" s="380" t="s">
        <v>307</v>
      </c>
      <c r="BB44" s="381" t="s">
        <v>307</v>
      </c>
      <c r="BC44" s="381">
        <f t="shared" si="146"/>
        <v>201.10291375690295</v>
      </c>
      <c r="BD44" s="381">
        <f t="shared" si="147"/>
        <v>231.99746520700447</v>
      </c>
      <c r="BE44" s="381">
        <f t="shared" si="148"/>
        <v>105.15439740548199</v>
      </c>
      <c r="BF44" s="381">
        <f t="shared" si="149"/>
        <v>136.04011814283092</v>
      </c>
      <c r="BG44" s="381">
        <f>IFERROR(VLOOKUP($A44,'Further adjustment'!$A:$Q,7,FALSE),0)</f>
        <v>109353</v>
      </c>
      <c r="BH44" s="381">
        <f>IFERROR(VLOOKUP($A44,'Further adjustment'!$A:$Q,6,FALSE),0)</f>
        <v>2862</v>
      </c>
      <c r="BI44" s="381">
        <f>IFERROR(VLOOKUP($A44,'Further adjustment'!$A:$Q,9,FALSE),0)</f>
        <v>353384</v>
      </c>
      <c r="BJ44" s="381">
        <f>IFERROR(VLOOKUP($A44,'Further adjustment'!$A:$Q,8,FALSE),0)</f>
        <v>8880</v>
      </c>
      <c r="BK44" s="382">
        <f t="shared" si="150"/>
        <v>-3.1174571652793026E-2</v>
      </c>
      <c r="BL44" s="382">
        <f t="shared" si="151"/>
        <v>-3.1174571652793026E-2</v>
      </c>
      <c r="BM44" s="382">
        <f t="shared" si="152"/>
        <v>-3.1174571652793026E-2</v>
      </c>
      <c r="BN44" s="382">
        <f t="shared" si="153"/>
        <v>-3.1174571652793026E-2</v>
      </c>
      <c r="BO44" s="369"/>
      <c r="BP44" s="383">
        <f>'Price Adjustments'!$D$90</f>
        <v>-6.8529657693413348E-2</v>
      </c>
      <c r="BQ44" s="384">
        <f t="shared" si="154"/>
        <v>187.32139991599436</v>
      </c>
      <c r="BR44" s="384">
        <f t="shared" si="155"/>
        <v>216.09875833062887</v>
      </c>
      <c r="BS44" s="384">
        <f t="shared" si="156"/>
        <v>97.948202546327153</v>
      </c>
      <c r="BT44" s="384">
        <f t="shared" si="157"/>
        <v>126.71733541393121</v>
      </c>
      <c r="BU44" s="369"/>
      <c r="BV44" s="385" t="str">
        <f>IF(COUNTIF('Manual adjustments'!$A:$A,A44)=1,"Y",IF(COUNTIF(#REF!,A44)=1,"BPT",""))</f>
        <v>Y</v>
      </c>
      <c r="BW44" s="384">
        <f>IF($BV44="",BQ44,IF(AND($BV44="BPT",IFERROR(ISNUMBER(VLOOKUP($A44,#REF!,3,FALSE)),FALSE)),VLOOKUP($A44,#REF!,3,FALSE),IF(AND($BV44="Y",IFERROR(ISNUMBER(VLOOKUP($A44,'Manual adjustments'!$A:$O,12,FALSE)),FALSE)),VLOOKUP($A44,'Manual adjustments'!$A:$O,12,FALSE),BQ44)))</f>
        <v>187.32139991599436</v>
      </c>
      <c r="BX44" s="384">
        <f>IF($BV44="",BR44,IF(AND($BV44="BPT",IFERROR(ISNUMBER(VLOOKUP($A44,#REF!,4,FALSE)),FALSE)),VLOOKUP($A44,#REF!,4,FALSE),IF(AND($BV44="Y",IFERROR(ISNUMBER(VLOOKUP($A44,'Manual adjustments'!$A:$O,13,FALSE)),FALSE)),VLOOKUP($A44,'Manual adjustments'!$A:$O,13,FALSE),BR44)))</f>
        <v>216.09875833062887</v>
      </c>
      <c r="BY44" s="384">
        <f>IF($BV44="",BS44,IF(AND($BV44="BPT",IFERROR(ISNUMBER(VLOOKUP($A44,#REF!,5,FALSE)),FALSE)),VLOOKUP($A44,#REF!,5,FALSE),IF(AND($BV44="Y",IFERROR(ISNUMBER(VLOOKUP($A44,'Manual adjustments'!$A:$O,14,FALSE)),FALSE)),VLOOKUP($A44,'Manual adjustments'!$A:$O,14,FALSE),BS44)))</f>
        <v>97.948202546327153</v>
      </c>
      <c r="BZ44" s="384">
        <f>IF($BV44="",BT44,IF(AND($BV44="BPT",IFERROR(ISNUMBER(VLOOKUP($A44,#REF!,6,FALSE)),FALSE)),VLOOKUP($A44,#REF!,6,FALSE),IF(AND($BV44="Y",IFERROR(ISNUMBER(VLOOKUP($A44,'Manual adjustments'!$A:$O,15,FALSE)),FALSE)),VLOOKUP($A44,'Manual adjustments'!$A:$O,15,FALSE),BT44)))</f>
        <v>126.71733541393121</v>
      </c>
      <c r="CA44" s="386">
        <f>'Post manual recon'!$N$70</f>
        <v>0</v>
      </c>
      <c r="CB44" s="384">
        <f>IF(VLOOKUP($A44,'Post manual recon'!$A:$U,18,FALSE)=0,BW44,BW44*(1+$CA44))</f>
        <v>187.32139991599436</v>
      </c>
      <c r="CC44" s="384">
        <f>IF(VLOOKUP($A44,'Post manual recon'!$A:$U,19,FALSE)=0,BX44,BX44*(1+$CA44))</f>
        <v>216.09875833062887</v>
      </c>
      <c r="CD44" s="384">
        <f>IF(VLOOKUP($A44,'Post manual recon'!$A:$U,20,FALSE)=0,BY44,BY44*(1+$CA44))</f>
        <v>97.948202546327153</v>
      </c>
      <c r="CE44" s="384">
        <f>IF(VLOOKUP($A44,'Post manual recon'!$A:$U,21,FALSE)=0,BZ44,BZ44*(1+$CA44))</f>
        <v>126.71733541393121</v>
      </c>
      <c r="CF44" s="383">
        <f t="shared" si="35"/>
        <v>0</v>
      </c>
      <c r="CG44" s="383">
        <f t="shared" si="36"/>
        <v>0</v>
      </c>
      <c r="CH44" s="383">
        <f t="shared" si="37"/>
        <v>0</v>
      </c>
      <c r="CI44" s="383">
        <f t="shared" si="38"/>
        <v>0</v>
      </c>
      <c r="CJ44" s="369"/>
      <c r="CK44" s="383">
        <f>'Price Adjustments'!$F$6</f>
        <v>0</v>
      </c>
      <c r="CL44" s="384">
        <f t="shared" si="39"/>
        <v>187.32139991599436</v>
      </c>
      <c r="CM44" s="384">
        <f t="shared" si="40"/>
        <v>216.09875833062887</v>
      </c>
      <c r="CN44" s="384">
        <f t="shared" si="41"/>
        <v>97.948202546327153</v>
      </c>
      <c r="CO44" s="384">
        <f t="shared" si="42"/>
        <v>126.71733541393121</v>
      </c>
      <c r="CP44" s="369"/>
      <c r="CQ44" s="384">
        <f t="shared" si="43"/>
        <v>187</v>
      </c>
      <c r="CR44" s="384">
        <f t="shared" si="44"/>
        <v>216</v>
      </c>
      <c r="CS44" s="384">
        <f t="shared" si="45"/>
        <v>98</v>
      </c>
      <c r="CT44" s="384">
        <f t="shared" si="46"/>
        <v>127</v>
      </c>
    </row>
    <row r="45" spans="1:98">
      <c r="A45" s="367">
        <v>303</v>
      </c>
      <c r="B45" s="367" t="str">
        <f>INDEX('201314 RC list'!B:B,MATCH(A45,'201314 RC list'!A:A,0))</f>
        <v>Clinical Haematology</v>
      </c>
      <c r="C45" s="368">
        <f>IF(ISERROR(VLOOKUP($A45,'Allocate OPROC cost'!A:M,11,FALSE)),"-",VLOOKUP($A45,'Allocate OPROC cost'!A:M,11,FALSE))</f>
        <v>193.44806678371472</v>
      </c>
      <c r="D45" s="368">
        <f>IF(ISERROR(VLOOKUP($A45,'Allocate OPROC cost'!A:M,10,FALSE)),"-",VLOOKUP($A45,'Allocate OPROC cost'!A:M,10,FALSE))</f>
        <v>311.52635224268255</v>
      </c>
      <c r="E45" s="368">
        <f>IF(ISERROR(VLOOKUP($A45,'Allocate OPROC cost'!A:M,13,FALSE)),"-",VLOOKUP($A45,'Allocate OPROC cost'!A:M,13,FALSE))</f>
        <v>142.32251914359566</v>
      </c>
      <c r="F45" s="368">
        <f>IF(ISERROR(VLOOKUP($A45,'Allocate OPROC cost'!A:M,12,FALSE)),"-",VLOOKUP($A45,'Allocate OPROC cost'!A:M,12,FALSE))</f>
        <v>248.42919873939607</v>
      </c>
      <c r="G45" s="369"/>
      <c r="H45" s="370">
        <f>IF(ISERROR(VLOOKUP($A45,'Allocate OPROC cost'!A:AO,39,FALSE)),"-",VLOOKUP($A45,'Allocate OPROC cost'!A:AO,39,FALSE))</f>
        <v>193.32459259609297</v>
      </c>
      <c r="I45" s="370">
        <f>IF(ISERROR(VLOOKUP($A45,'Allocate OPROC cost'!A:AO,38,FALSE)),"-",VLOOKUP($A45,'Allocate OPROC cost'!A:AO,38,FALSE))</f>
        <v>310.69377249103798</v>
      </c>
      <c r="J45" s="370">
        <f>IF(ISERROR(VLOOKUP($A45,'Allocate OPROC cost'!A:AO,41,FALSE)),"-",VLOOKUP($A45,'Allocate OPROC cost'!A:AO,41,FALSE))</f>
        <v>142.17298439357637</v>
      </c>
      <c r="K45" s="370">
        <f>IF(ISERROR(VLOOKUP($A45,'Allocate OPROC cost'!A:AO,40,FALSE)),"-",VLOOKUP($A45,'Allocate OPROC cost'!A:AO,40,FALSE))</f>
        <v>247.29853152708256</v>
      </c>
      <c r="L45" s="371">
        <f t="shared" si="130"/>
        <v>-6.3828080411787447E-4</v>
      </c>
      <c r="M45" s="371">
        <f t="shared" si="131"/>
        <v>-2.6725820966695402E-3</v>
      </c>
      <c r="N45" s="371">
        <f t="shared" si="132"/>
        <v>-1.0506752615052628E-3</v>
      </c>
      <c r="O45" s="371">
        <f t="shared" si="133"/>
        <v>-4.5512653828569949E-3</v>
      </c>
      <c r="P45" s="369"/>
      <c r="Q45" s="372">
        <f>IF(ISERROR(VLOOKUP($A45,'Front-loading'!$A:$AG,27,FALSE)),"-",VLOOKUP($A45,'Front-loading'!$A:$AG,27,FALSE))</f>
        <v>283.34983233061831</v>
      </c>
      <c r="R45" s="372">
        <f>IF(ISERROR(VLOOKUP($A45,'Front-loading'!$A:$AG,26,FALSE)),"-",VLOOKUP($A45,'Front-loading'!$A:$AG,26,FALSE))</f>
        <v>466.04065873655702</v>
      </c>
      <c r="S45" s="372">
        <f>IF(ISERROR(VLOOKUP($A45,'Front-loading'!$A:$AG,29,FALSE)),"-",VLOOKUP($A45,'Front-loading'!$A:$AG,29,FALSE))</f>
        <v>127.95568595421875</v>
      </c>
      <c r="T45" s="372">
        <f>IF(ISERROR(VLOOKUP($A45,'Front-loading'!$A:$AG,28,FALSE)),"-",VLOOKUP($A45,'Front-loading'!$A:$AG,28,FALSE))</f>
        <v>222.56867837437431</v>
      </c>
      <c r="U45" s="373">
        <f t="shared" si="134"/>
        <v>0.46566884494934513</v>
      </c>
      <c r="V45" s="373">
        <f t="shared" si="135"/>
        <v>0.50000000000000022</v>
      </c>
      <c r="W45" s="373">
        <f t="shared" si="136"/>
        <v>-9.9999999999999867E-2</v>
      </c>
      <c r="X45" s="373">
        <f t="shared" si="137"/>
        <v>-9.9999999999999978E-2</v>
      </c>
      <c r="Y45" s="369"/>
      <c r="Z45" s="374">
        <f>IF(ISERROR(VLOOKUP($A45,'Further adjustment'!$A:$BC,53,FALSE)),"-",VLOOKUP($A45,'Further adjustment'!$A:$BC,53,FALSE))</f>
        <v>283.34983233061831</v>
      </c>
      <c r="AA45" s="374">
        <f>IF(ISERROR(VLOOKUP($A45,'Further adjustment'!$A:$BC,52,FALSE)),"-",VLOOKUP($A45,'Further adjustment'!$A:$BC,52,FALSE))</f>
        <v>464.30620172211127</v>
      </c>
      <c r="AB45" s="374">
        <f>IF(ISERROR(VLOOKUP($A45,'Further adjustment'!$A:$BC,55,FALSE)),"-",VLOOKUP($A45,'Further adjustment'!$A:$BC,55,FALSE))</f>
        <v>127.95568595421875</v>
      </c>
      <c r="AC45" s="374">
        <f>IF(ISERROR(VLOOKUP($A45,'Further adjustment'!$A:$BC,54,FALSE)),"-",VLOOKUP($A45,'Further adjustment'!$A:$BC,54,FALSE))</f>
        <v>221.62089591394292</v>
      </c>
      <c r="AD45" s="375">
        <f t="shared" si="138"/>
        <v>0</v>
      </c>
      <c r="AE45" s="375">
        <f t="shared" si="139"/>
        <v>-3.7216860416168229E-3</v>
      </c>
      <c r="AF45" s="375">
        <f t="shared" si="140"/>
        <v>0</v>
      </c>
      <c r="AG45" s="375">
        <f t="shared" si="141"/>
        <v>-4.258382030004948E-3</v>
      </c>
      <c r="AH45" s="369"/>
      <c r="AI45" s="376">
        <f>'Price Adjustments'!$G$6</f>
        <v>-3.1174571652793026E-2</v>
      </c>
      <c r="AJ45" s="376">
        <v>0</v>
      </c>
      <c r="AK45" s="377">
        <f t="shared" si="31"/>
        <v>274.51652267982058</v>
      </c>
      <c r="AL45" s="377">
        <f t="shared" si="32"/>
        <v>449.83165476768914</v>
      </c>
      <c r="AM45" s="377">
        <f t="shared" si="33"/>
        <v>123.96672225405668</v>
      </c>
      <c r="AN45" s="377">
        <f t="shared" si="34"/>
        <v>214.71195941451751</v>
      </c>
      <c r="AO45" s="378">
        <f t="shared" si="142"/>
        <v>-3.1174571652792915E-2</v>
      </c>
      <c r="AP45" s="378">
        <f t="shared" si="143"/>
        <v>-3.1174571652793026E-2</v>
      </c>
      <c r="AQ45" s="378">
        <f t="shared" si="144"/>
        <v>-3.1174571652793026E-2</v>
      </c>
      <c r="AR45" s="378">
        <f t="shared" si="145"/>
        <v>-3.1174571652793026E-2</v>
      </c>
      <c r="AS45" s="379">
        <f>'Price Adjustments'!$F$6</f>
        <v>0</v>
      </c>
      <c r="AT45" s="377">
        <f>IF(ISERROR(VLOOKUP($A45,'15-16 tariff'!$A:$F,3,FALSE)*(1+$AS$6)),"-",VLOOKUP($A45,'15-16 tariff'!$A:$F,3,FALSE)*(1+$AS$6))</f>
        <v>284.15984692212743</v>
      </c>
      <c r="AU45" s="377">
        <f>IF(ISERROR(VLOOKUP($A45,'15-16 tariff'!$A:$F,4,FALSE)*(1+$AS$6)),"-",VLOOKUP($A45,'15-16 tariff'!$A:$F,4,FALSE)*(1+$AS$6))</f>
        <v>456.11103869113566</v>
      </c>
      <c r="AV45" s="377">
        <f>IF(ISERROR(VLOOKUP($A45,'15-16 tariff'!$A:$F,5,FALSE)*(1+$AS$6)),"-",VLOOKUP($A45,'15-16 tariff'!$A:$F,5,FALSE)*(1+$AS$6))</f>
        <v>118.90969423352311</v>
      </c>
      <c r="AW45" s="377">
        <f>IF(ISERROR(VLOOKUP($A45,'15-16 tariff'!$A:$F,6,FALSE)*(1+$AS$6)),"-",VLOOKUP($A45,'15-16 tariff'!$A:$F,6,FALSE)*(1+$AS$6))</f>
        <v>212.98627951299147</v>
      </c>
      <c r="AX45" s="369"/>
      <c r="AY45" s="380" t="s">
        <v>307</v>
      </c>
      <c r="AZ45" s="380" t="s">
        <v>307</v>
      </c>
      <c r="BA45" s="380" t="s">
        <v>307</v>
      </c>
      <c r="BB45" s="381" t="s">
        <v>307</v>
      </c>
      <c r="BC45" s="381">
        <f t="shared" si="146"/>
        <v>274.51652267982058</v>
      </c>
      <c r="BD45" s="381">
        <f t="shared" si="147"/>
        <v>449.83165476768914</v>
      </c>
      <c r="BE45" s="381">
        <f t="shared" si="148"/>
        <v>123.96672225405668</v>
      </c>
      <c r="BF45" s="381">
        <f t="shared" si="149"/>
        <v>214.71195941451751</v>
      </c>
      <c r="BG45" s="381">
        <f>IFERROR(VLOOKUP($A45,'Further adjustment'!$A:$Q,7,FALSE),0)</f>
        <v>169691</v>
      </c>
      <c r="BH45" s="381">
        <f>IFERROR(VLOOKUP($A45,'Further adjustment'!$A:$Q,6,FALSE),0)</f>
        <v>4882</v>
      </c>
      <c r="BI45" s="381">
        <f>IFERROR(VLOOKUP($A45,'Further adjustment'!$A:$Q,9,FALSE),0)</f>
        <v>1074499</v>
      </c>
      <c r="BJ45" s="381">
        <f>IFERROR(VLOOKUP($A45,'Further adjustment'!$A:$Q,8,FALSE),0)</f>
        <v>43124</v>
      </c>
      <c r="BK45" s="382">
        <f t="shared" si="150"/>
        <v>-3.1174571652792915E-2</v>
      </c>
      <c r="BL45" s="382">
        <f t="shared" si="151"/>
        <v>-3.1174571652793026E-2</v>
      </c>
      <c r="BM45" s="382">
        <f t="shared" si="152"/>
        <v>-3.1174571652793026E-2</v>
      </c>
      <c r="BN45" s="382">
        <f t="shared" si="153"/>
        <v>-3.1174571652793026E-2</v>
      </c>
      <c r="BO45" s="369"/>
      <c r="BP45" s="383">
        <f>'Price Adjustments'!$D$90</f>
        <v>-6.8529657693413348E-2</v>
      </c>
      <c r="BQ45" s="384">
        <f t="shared" si="154"/>
        <v>255.70399934938632</v>
      </c>
      <c r="BR45" s="384">
        <f t="shared" si="155"/>
        <v>419.00484544679773</v>
      </c>
      <c r="BS45" s="384">
        <f t="shared" si="156"/>
        <v>115.47132521261173</v>
      </c>
      <c r="BT45" s="384">
        <f t="shared" si="157"/>
        <v>199.99782233315855</v>
      </c>
      <c r="BU45" s="369"/>
      <c r="BV45" s="385" t="str">
        <f>IF(COUNTIF('Manual adjustments'!$A:$A,A45)=1,"Y",IF(COUNTIF(#REF!,A45)=1,"BPT",""))</f>
        <v>Y</v>
      </c>
      <c r="BW45" s="384">
        <f>IF($BV45="",BQ45,IF(AND($BV45="BPT",IFERROR(ISNUMBER(VLOOKUP($A45,#REF!,3,FALSE)),FALSE)),VLOOKUP($A45,#REF!,3,FALSE),IF(AND($BV45="Y",IFERROR(ISNUMBER(VLOOKUP($A45,'Manual adjustments'!$A:$O,12,FALSE)),FALSE)),VLOOKUP($A45,'Manual adjustments'!$A:$O,12,FALSE),BQ45)))</f>
        <v>255.70399934938632</v>
      </c>
      <c r="BX45" s="384">
        <f>IF($BV45="",BR45,IF(AND($BV45="BPT",IFERROR(ISNUMBER(VLOOKUP($A45,#REF!,4,FALSE)),FALSE)),VLOOKUP($A45,#REF!,4,FALSE),IF(AND($BV45="Y",IFERROR(ISNUMBER(VLOOKUP($A45,'Manual adjustments'!$A:$O,13,FALSE)),FALSE)),VLOOKUP($A45,'Manual adjustments'!$A:$O,13,FALSE),BR45)))</f>
        <v>419.00484544679773</v>
      </c>
      <c r="BY45" s="384">
        <f>IF($BV45="",BS45,IF(AND($BV45="BPT",IFERROR(ISNUMBER(VLOOKUP($A45,#REF!,5,FALSE)),FALSE)),VLOOKUP($A45,#REF!,5,FALSE),IF(AND($BV45="Y",IFERROR(ISNUMBER(VLOOKUP($A45,'Manual adjustments'!$A:$O,14,FALSE)),FALSE)),VLOOKUP($A45,'Manual adjustments'!$A:$O,14,FALSE),BS45)))</f>
        <v>115.47132521261173</v>
      </c>
      <c r="BZ45" s="384">
        <f>IF($BV45="",BT45,IF(AND($BV45="BPT",IFERROR(ISNUMBER(VLOOKUP($A45,#REF!,6,FALSE)),FALSE)),VLOOKUP($A45,#REF!,6,FALSE),IF(AND($BV45="Y",IFERROR(ISNUMBER(VLOOKUP($A45,'Manual adjustments'!$A:$O,15,FALSE)),FALSE)),VLOOKUP($A45,'Manual adjustments'!$A:$O,15,FALSE),BT45)))</f>
        <v>199.99782233315855</v>
      </c>
      <c r="CA45" s="386">
        <f>'Post manual recon'!$N$70</f>
        <v>0</v>
      </c>
      <c r="CB45" s="384">
        <f>IF(VLOOKUP($A45,'Post manual recon'!$A:$U,18,FALSE)=0,BW45,BW45*(1+$CA45))</f>
        <v>255.70399934938632</v>
      </c>
      <c r="CC45" s="384">
        <f>IF(VLOOKUP($A45,'Post manual recon'!$A:$U,19,FALSE)=0,BX45,BX45*(1+$CA45))</f>
        <v>419.00484544679773</v>
      </c>
      <c r="CD45" s="384">
        <f>IF(VLOOKUP($A45,'Post manual recon'!$A:$U,20,FALSE)=0,BY45,BY45*(1+$CA45))</f>
        <v>115.47132521261173</v>
      </c>
      <c r="CE45" s="384">
        <f>IF(VLOOKUP($A45,'Post manual recon'!$A:$U,21,FALSE)=0,BZ45,BZ45*(1+$CA45))</f>
        <v>199.99782233315855</v>
      </c>
      <c r="CF45" s="383">
        <f t="shared" si="35"/>
        <v>0</v>
      </c>
      <c r="CG45" s="383">
        <f t="shared" si="36"/>
        <v>0</v>
      </c>
      <c r="CH45" s="383">
        <f t="shared" si="37"/>
        <v>0</v>
      </c>
      <c r="CI45" s="383">
        <f t="shared" si="38"/>
        <v>0</v>
      </c>
      <c r="CJ45" s="369"/>
      <c r="CK45" s="383">
        <f>'Price Adjustments'!$F$6</f>
        <v>0</v>
      </c>
      <c r="CL45" s="384">
        <f t="shared" si="39"/>
        <v>255.70399934938632</v>
      </c>
      <c r="CM45" s="384">
        <f t="shared" si="40"/>
        <v>419.00484544679773</v>
      </c>
      <c r="CN45" s="384">
        <f t="shared" si="41"/>
        <v>115.47132521261173</v>
      </c>
      <c r="CO45" s="384">
        <f t="shared" si="42"/>
        <v>199.99782233315855</v>
      </c>
      <c r="CP45" s="369"/>
      <c r="CQ45" s="384">
        <f t="shared" si="43"/>
        <v>256</v>
      </c>
      <c r="CR45" s="384">
        <f t="shared" si="44"/>
        <v>419</v>
      </c>
      <c r="CS45" s="384">
        <f t="shared" si="45"/>
        <v>115</v>
      </c>
      <c r="CT45" s="384">
        <f t="shared" si="46"/>
        <v>200</v>
      </c>
    </row>
    <row r="46" spans="1:98">
      <c r="A46" s="367">
        <v>306</v>
      </c>
      <c r="B46" s="367" t="str">
        <f>INDEX('201314 RC list'!B:B,MATCH(A46,'201314 RC list'!A:A,0))</f>
        <v>Hepatology</v>
      </c>
      <c r="C46" s="368">
        <f>IF(ISERROR(VLOOKUP($A46,'Allocate OPROC cost'!A:M,11,FALSE)),"-",VLOOKUP($A46,'Allocate OPROC cost'!A:M,11,FALSE))</f>
        <v>192.68225400841263</v>
      </c>
      <c r="D46" s="368">
        <f>IF(ISERROR(VLOOKUP($A46,'Allocate OPROC cost'!A:M,10,FALSE)),"-",VLOOKUP($A46,'Allocate OPROC cost'!A:M,10,FALSE))</f>
        <v>280.78709681463215</v>
      </c>
      <c r="E46" s="368">
        <f>IF(ISERROR(VLOOKUP($A46,'Allocate OPROC cost'!A:M,13,FALSE)),"-",VLOOKUP($A46,'Allocate OPROC cost'!A:M,13,FALSE))</f>
        <v>158.52636978394409</v>
      </c>
      <c r="F46" s="368">
        <f>IF(ISERROR(VLOOKUP($A46,'Allocate OPROC cost'!A:M,12,FALSE)),"-",VLOOKUP($A46,'Allocate OPROC cost'!A:M,12,FALSE))</f>
        <v>212.69049025160754</v>
      </c>
      <c r="G46" s="369"/>
      <c r="H46" s="370">
        <f>IF(ISERROR(VLOOKUP($A46,'Allocate OPROC cost'!A:AO,39,FALSE)),"-",VLOOKUP($A46,'Allocate OPROC cost'!A:AO,39,FALSE))</f>
        <v>192.55639116794885</v>
      </c>
      <c r="I46" s="370">
        <f>IF(ISERROR(VLOOKUP($A46,'Allocate OPROC cost'!A:AO,38,FALSE)),"-",VLOOKUP($A46,'Allocate OPROC cost'!A:AO,38,FALSE))</f>
        <v>280.6544221541036</v>
      </c>
      <c r="J46" s="370">
        <f>IF(ISERROR(VLOOKUP($A46,'Allocate OPROC cost'!A:AO,41,FALSE)),"-",VLOOKUP($A46,'Allocate OPROC cost'!A:AO,41,FALSE))</f>
        <v>158.50235486313147</v>
      </c>
      <c r="K46" s="370">
        <f>IF(ISERROR(VLOOKUP($A46,'Allocate OPROC cost'!A:AO,40,FALSE)),"-",VLOOKUP($A46,'Allocate OPROC cost'!A:AO,40,FALSE))</f>
        <v>212.54124992436564</v>
      </c>
      <c r="L46" s="371">
        <f t="shared" si="130"/>
        <v>-6.5321449093225237E-4</v>
      </c>
      <c r="M46" s="371">
        <f t="shared" si="131"/>
        <v>-4.725098198373745E-4</v>
      </c>
      <c r="N46" s="371">
        <f t="shared" si="132"/>
        <v>-1.5148849270529841E-4</v>
      </c>
      <c r="O46" s="371">
        <f t="shared" si="133"/>
        <v>-7.0167842043789008E-4</v>
      </c>
      <c r="P46" s="369"/>
      <c r="Q46" s="372">
        <f>IF(ISERROR(VLOOKUP($A46,'Front-loading'!$A:$AG,27,FALSE)),"-",VLOOKUP($A46,'Front-loading'!$A:$AG,27,FALSE))</f>
        <v>257.99465267397983</v>
      </c>
      <c r="R46" s="372">
        <f>IF(ISERROR(VLOOKUP($A46,'Front-loading'!$A:$AG,26,FALSE)),"-",VLOOKUP($A46,'Front-loading'!$A:$AG,26,FALSE))</f>
        <v>400.69257154603645</v>
      </c>
      <c r="S46" s="372">
        <f>IF(ISERROR(VLOOKUP($A46,'Front-loading'!$A:$AG,29,FALSE)),"-",VLOOKUP($A46,'Front-loading'!$A:$AG,29,FALSE))</f>
        <v>142.65211937681832</v>
      </c>
      <c r="T46" s="372">
        <f>IF(ISERROR(VLOOKUP($A46,'Front-loading'!$A:$AG,28,FALSE)),"-",VLOOKUP($A46,'Front-loading'!$A:$AG,28,FALSE))</f>
        <v>191.2871249319291</v>
      </c>
      <c r="U46" s="373">
        <f t="shared" si="134"/>
        <v>0.33983946785207109</v>
      </c>
      <c r="V46" s="373">
        <f t="shared" si="135"/>
        <v>0.42770802779662431</v>
      </c>
      <c r="W46" s="373">
        <f t="shared" si="136"/>
        <v>-0.10000000000000009</v>
      </c>
      <c r="X46" s="373">
        <f t="shared" si="137"/>
        <v>-9.9999999999999867E-2</v>
      </c>
      <c r="Y46" s="369"/>
      <c r="Z46" s="374">
        <f>IF(ISERROR(VLOOKUP($A46,'Further adjustment'!$A:$BC,53,FALSE)),"-",VLOOKUP($A46,'Further adjustment'!$A:$BC,53,FALSE))</f>
        <v>257.99465267397983</v>
      </c>
      <c r="AA46" s="374">
        <f>IF(ISERROR(VLOOKUP($A46,'Further adjustment'!$A:$BC,52,FALSE)),"-",VLOOKUP($A46,'Further adjustment'!$A:$BC,52,FALSE))</f>
        <v>400.69257154603645</v>
      </c>
      <c r="AB46" s="374">
        <f>IF(ISERROR(VLOOKUP($A46,'Further adjustment'!$A:$BC,55,FALSE)),"-",VLOOKUP($A46,'Further adjustment'!$A:$BC,55,FALSE))</f>
        <v>142.65211937681832</v>
      </c>
      <c r="AC46" s="374">
        <f>IF(ISERROR(VLOOKUP($A46,'Further adjustment'!$A:$BC,54,FALSE)),"-",VLOOKUP($A46,'Further adjustment'!$A:$BC,54,FALSE))</f>
        <v>191.2871249319291</v>
      </c>
      <c r="AD46" s="375">
        <f t="shared" si="138"/>
        <v>0</v>
      </c>
      <c r="AE46" s="375">
        <f t="shared" si="139"/>
        <v>0</v>
      </c>
      <c r="AF46" s="375">
        <f t="shared" si="140"/>
        <v>0</v>
      </c>
      <c r="AG46" s="375">
        <f t="shared" si="141"/>
        <v>0</v>
      </c>
      <c r="AH46" s="369"/>
      <c r="AI46" s="376">
        <f>'Price Adjustments'!$G$6</f>
        <v>-3.1174571652793026E-2</v>
      </c>
      <c r="AJ46" s="376">
        <v>0</v>
      </c>
      <c r="AK46" s="377">
        <f t="shared" si="31"/>
        <v>249.9517798881574</v>
      </c>
      <c r="AL46" s="377">
        <f t="shared" si="32"/>
        <v>388.20115226363265</v>
      </c>
      <c r="AM46" s="377">
        <f t="shared" si="33"/>
        <v>138.2050006598829</v>
      </c>
      <c r="AN46" s="377">
        <f t="shared" si="34"/>
        <v>185.32383074948191</v>
      </c>
      <c r="AO46" s="378">
        <f t="shared" si="142"/>
        <v>-3.1174571652793026E-2</v>
      </c>
      <c r="AP46" s="378">
        <f t="shared" si="143"/>
        <v>-3.1174571652793026E-2</v>
      </c>
      <c r="AQ46" s="378">
        <f t="shared" si="144"/>
        <v>-3.1174571652793137E-2</v>
      </c>
      <c r="AR46" s="378">
        <f t="shared" si="145"/>
        <v>-3.1174571652793026E-2</v>
      </c>
      <c r="AS46" s="379">
        <f>'Price Adjustments'!$F$6</f>
        <v>0</v>
      </c>
      <c r="AT46" s="377">
        <f>IF(ISERROR(VLOOKUP($A46,'15-16 tariff'!$A:$F,3,FALSE)*(1+$AS$6)),"-",VLOOKUP($A46,'15-16 tariff'!$A:$F,3,FALSE)*(1+$AS$6))</f>
        <v>180.25354504904192</v>
      </c>
      <c r="AU46" s="377">
        <f>IF(ISERROR(VLOOKUP($A46,'15-16 tariff'!$A:$F,4,FALSE)*(1+$AS$6)),"-",VLOOKUP($A46,'15-16 tariff'!$A:$F,4,FALSE)*(1+$AS$6))</f>
        <v>255.33165714951829</v>
      </c>
      <c r="AV46" s="377">
        <f>IF(ISERROR(VLOOKUP($A46,'15-16 tariff'!$A:$F,5,FALSE)*(1+$AS$6)),"-",VLOOKUP($A46,'15-16 tariff'!$A:$F,5,FALSE)*(1+$AS$6))</f>
        <v>106.48736623293232</v>
      </c>
      <c r="AW46" s="377">
        <f>IF(ISERROR(VLOOKUP($A46,'15-16 tariff'!$A:$F,6,FALSE)*(1+$AS$6)),"-",VLOOKUP($A46,'15-16 tariff'!$A:$F,6,FALSE)*(1+$AS$6))</f>
        <v>137.74083212237301</v>
      </c>
      <c r="AX46" s="369"/>
      <c r="AY46" s="380" t="s">
        <v>307</v>
      </c>
      <c r="AZ46" s="380" t="s">
        <v>307</v>
      </c>
      <c r="BA46" s="380" t="s">
        <v>307</v>
      </c>
      <c r="BB46" s="381" t="s">
        <v>307</v>
      </c>
      <c r="BC46" s="381">
        <f t="shared" si="146"/>
        <v>249.9517798881574</v>
      </c>
      <c r="BD46" s="381">
        <f t="shared" si="147"/>
        <v>388.20115226363265</v>
      </c>
      <c r="BE46" s="381">
        <f t="shared" si="148"/>
        <v>138.2050006598829</v>
      </c>
      <c r="BF46" s="381">
        <f t="shared" si="149"/>
        <v>185.32383074948191</v>
      </c>
      <c r="BG46" s="381">
        <f>IFERROR(VLOOKUP($A46,'Further adjustment'!$A:$Q,7,FALSE),0)</f>
        <v>31501</v>
      </c>
      <c r="BH46" s="381">
        <f>IFERROR(VLOOKUP($A46,'Further adjustment'!$A:$Q,6,FALSE),0)</f>
        <v>2609</v>
      </c>
      <c r="BI46" s="381">
        <f>IFERROR(VLOOKUP($A46,'Further adjustment'!$A:$Q,9,FALSE),0)</f>
        <v>130053</v>
      </c>
      <c r="BJ46" s="381">
        <f>IFERROR(VLOOKUP($A46,'Further adjustment'!$A:$Q,8,FALSE),0)</f>
        <v>14735</v>
      </c>
      <c r="BK46" s="382">
        <f t="shared" si="150"/>
        <v>-3.1174571652793026E-2</v>
      </c>
      <c r="BL46" s="382">
        <f t="shared" si="151"/>
        <v>-3.1174571652793026E-2</v>
      </c>
      <c r="BM46" s="382">
        <f t="shared" si="152"/>
        <v>-3.1174571652793137E-2</v>
      </c>
      <c r="BN46" s="382">
        <f t="shared" si="153"/>
        <v>-3.1174571652793026E-2</v>
      </c>
      <c r="BO46" s="369"/>
      <c r="BP46" s="383">
        <f>'Price Adjustments'!$D$90</f>
        <v>-6.8529657693413348E-2</v>
      </c>
      <c r="BQ46" s="384">
        <f t="shared" si="154"/>
        <v>232.82266997256258</v>
      </c>
      <c r="BR46" s="384">
        <f t="shared" si="155"/>
        <v>361.59786018281727</v>
      </c>
      <c r="BS46" s="384">
        <f t="shared" si="156"/>
        <v>128.73385927314317</v>
      </c>
      <c r="BT46" s="384">
        <f t="shared" si="157"/>
        <v>172.62365206578784</v>
      </c>
      <c r="BU46" s="369"/>
      <c r="BV46" s="385" t="str">
        <f>IF(COUNTIF('Manual adjustments'!$A:$A,A46)=1,"Y",IF(COUNTIF(#REF!,A46)=1,"BPT",""))</f>
        <v>Y</v>
      </c>
      <c r="BW46" s="384">
        <f>IF($BV46="",BQ46,IF(AND($BV46="BPT",IFERROR(ISNUMBER(VLOOKUP($A46,#REF!,3,FALSE)),FALSE)),VLOOKUP($A46,#REF!,3,FALSE),IF(AND($BV46="Y",IFERROR(ISNUMBER(VLOOKUP($A46,'Manual adjustments'!$A:$O,12,FALSE)),FALSE)),VLOOKUP($A46,'Manual adjustments'!$A:$O,12,FALSE),BQ46)))</f>
        <v>232.82266997256258</v>
      </c>
      <c r="BX46" s="384">
        <f>IF($BV46="",BR46,IF(AND($BV46="BPT",IFERROR(ISNUMBER(VLOOKUP($A46,#REF!,4,FALSE)),FALSE)),VLOOKUP($A46,#REF!,4,FALSE),IF(AND($BV46="Y",IFERROR(ISNUMBER(VLOOKUP($A46,'Manual adjustments'!$A:$O,13,FALSE)),FALSE)),VLOOKUP($A46,'Manual adjustments'!$A:$O,13,FALSE),BR46)))</f>
        <v>361.59786018281727</v>
      </c>
      <c r="BY46" s="384">
        <f>IF($BV46="",BS46,IF(AND($BV46="BPT",IFERROR(ISNUMBER(VLOOKUP($A46,#REF!,5,FALSE)),FALSE)),VLOOKUP($A46,#REF!,5,FALSE),IF(AND($BV46="Y",IFERROR(ISNUMBER(VLOOKUP($A46,'Manual adjustments'!$A:$O,14,FALSE)),FALSE)),VLOOKUP($A46,'Manual adjustments'!$A:$O,14,FALSE),BS46)))</f>
        <v>128.73385927314317</v>
      </c>
      <c r="BZ46" s="384">
        <f>IF($BV46="",BT46,IF(AND($BV46="BPT",IFERROR(ISNUMBER(VLOOKUP($A46,#REF!,6,FALSE)),FALSE)),VLOOKUP($A46,#REF!,6,FALSE),IF(AND($BV46="Y",IFERROR(ISNUMBER(VLOOKUP($A46,'Manual adjustments'!$A:$O,15,FALSE)),FALSE)),VLOOKUP($A46,'Manual adjustments'!$A:$O,15,FALSE),BT46)))</f>
        <v>172.62365206578784</v>
      </c>
      <c r="CA46" s="386">
        <f>'Post manual recon'!$N$70</f>
        <v>0</v>
      </c>
      <c r="CB46" s="384">
        <f>IF(VLOOKUP($A46,'Post manual recon'!$A:$U,18,FALSE)=0,BW46,BW46*(1+$CA46))</f>
        <v>232.82266997256258</v>
      </c>
      <c r="CC46" s="384">
        <f>IF(VLOOKUP($A46,'Post manual recon'!$A:$U,19,FALSE)=0,BX46,BX46*(1+$CA46))</f>
        <v>361.59786018281727</v>
      </c>
      <c r="CD46" s="384">
        <f>IF(VLOOKUP($A46,'Post manual recon'!$A:$U,20,FALSE)=0,BY46,BY46*(1+$CA46))</f>
        <v>128.73385927314317</v>
      </c>
      <c r="CE46" s="384">
        <f>IF(VLOOKUP($A46,'Post manual recon'!$A:$U,21,FALSE)=0,BZ46,BZ46*(1+$CA46))</f>
        <v>172.62365206578784</v>
      </c>
      <c r="CF46" s="383">
        <f t="shared" si="35"/>
        <v>0</v>
      </c>
      <c r="CG46" s="383">
        <f t="shared" si="36"/>
        <v>0</v>
      </c>
      <c r="CH46" s="383">
        <f t="shared" si="37"/>
        <v>0</v>
      </c>
      <c r="CI46" s="383">
        <f t="shared" si="38"/>
        <v>0</v>
      </c>
      <c r="CJ46" s="369"/>
      <c r="CK46" s="383">
        <f>'Price Adjustments'!$F$6</f>
        <v>0</v>
      </c>
      <c r="CL46" s="384">
        <f t="shared" si="39"/>
        <v>232.82266997256258</v>
      </c>
      <c r="CM46" s="384">
        <f t="shared" si="40"/>
        <v>361.59786018281727</v>
      </c>
      <c r="CN46" s="384">
        <f t="shared" si="41"/>
        <v>128.73385927314317</v>
      </c>
      <c r="CO46" s="384">
        <f t="shared" si="42"/>
        <v>172.62365206578784</v>
      </c>
      <c r="CP46" s="369"/>
      <c r="CQ46" s="384">
        <f t="shared" si="43"/>
        <v>233</v>
      </c>
      <c r="CR46" s="384">
        <f t="shared" si="44"/>
        <v>362</v>
      </c>
      <c r="CS46" s="384">
        <f t="shared" si="45"/>
        <v>129</v>
      </c>
      <c r="CT46" s="384">
        <f t="shared" si="46"/>
        <v>173</v>
      </c>
    </row>
    <row r="47" spans="1:98">
      <c r="A47" s="367">
        <v>307</v>
      </c>
      <c r="B47" s="367" t="str">
        <f>INDEX('201314 RC list'!B:B,MATCH(A47,'201314 RC list'!A:A,0))</f>
        <v>Diabetic Medicine</v>
      </c>
      <c r="C47" s="368">
        <f>IF(ISERROR(VLOOKUP($A47,'Allocate OPROC cost'!A:M,11,FALSE)),"-",VLOOKUP($A47,'Allocate OPROC cost'!A:M,11,FALSE))</f>
        <v>156.57331094164348</v>
      </c>
      <c r="D47" s="368">
        <f>IF(ISERROR(VLOOKUP($A47,'Allocate OPROC cost'!A:M,10,FALSE)),"-",VLOOKUP($A47,'Allocate OPROC cost'!A:M,10,FALSE))</f>
        <v>196.49615852919626</v>
      </c>
      <c r="E47" s="368">
        <f>IF(ISERROR(VLOOKUP($A47,'Allocate OPROC cost'!A:M,13,FALSE)),"-",VLOOKUP($A47,'Allocate OPROC cost'!A:M,13,FALSE))</f>
        <v>116.45025683028534</v>
      </c>
      <c r="F47" s="368">
        <f>IF(ISERROR(VLOOKUP($A47,'Allocate OPROC cost'!A:M,12,FALSE)),"-",VLOOKUP($A47,'Allocate OPROC cost'!A:M,12,FALSE))</f>
        <v>139.32179709732964</v>
      </c>
      <c r="G47" s="369"/>
      <c r="H47" s="370">
        <f>IF(ISERROR(VLOOKUP($A47,'Allocate OPROC cost'!A:AO,39,FALSE)),"-",VLOOKUP($A47,'Allocate OPROC cost'!A:AO,39,FALSE))</f>
        <v>156.45480735914191</v>
      </c>
      <c r="I47" s="370">
        <f>IF(ISERROR(VLOOKUP($A47,'Allocate OPROC cost'!A:AO,38,FALSE)),"-",VLOOKUP($A47,'Allocate OPROC cost'!A:AO,38,FALSE))</f>
        <v>195.27168608294377</v>
      </c>
      <c r="J47" s="370">
        <f>IF(ISERROR(VLOOKUP($A47,'Allocate OPROC cost'!A:AO,41,FALSE)),"-",VLOOKUP($A47,'Allocate OPROC cost'!A:AO,41,FALSE))</f>
        <v>116.45228060545416</v>
      </c>
      <c r="K47" s="370">
        <f>IF(ISERROR(VLOOKUP($A47,'Allocate OPROC cost'!A:AO,40,FALSE)),"-",VLOOKUP($A47,'Allocate OPROC cost'!A:AO,40,FALSE))</f>
        <v>138.81225527456888</v>
      </c>
      <c r="L47" s="371">
        <f t="shared" si="130"/>
        <v>-7.5685684737003545E-4</v>
      </c>
      <c r="M47" s="371">
        <f t="shared" si="131"/>
        <v>-6.2315337633970236E-3</v>
      </c>
      <c r="N47" s="371">
        <f t="shared" si="132"/>
        <v>1.7378881111307365E-5</v>
      </c>
      <c r="O47" s="371">
        <f t="shared" si="133"/>
        <v>-3.6573015377111551E-3</v>
      </c>
      <c r="P47" s="369"/>
      <c r="Q47" s="372">
        <f>IF(ISERROR(VLOOKUP($A47,'Front-loading'!$A:$AG,27,FALSE)),"-",VLOOKUP($A47,'Front-loading'!$A:$AG,27,FALSE))</f>
        <v>216.31141838149526</v>
      </c>
      <c r="R47" s="372">
        <f>IF(ISERROR(VLOOKUP($A47,'Front-loading'!$A:$AG,26,FALSE)),"-",VLOOKUP($A47,'Front-loading'!$A:$AG,26,FALSE))</f>
        <v>274.64839282297424</v>
      </c>
      <c r="S47" s="372">
        <f>IF(ISERROR(VLOOKUP($A47,'Front-loading'!$A:$AG,29,FALSE)),"-",VLOOKUP($A47,'Front-loading'!$A:$AG,29,FALSE))</f>
        <v>104.80705254490874</v>
      </c>
      <c r="T47" s="372">
        <f>IF(ISERROR(VLOOKUP($A47,'Front-loading'!$A:$AG,28,FALSE)),"-",VLOOKUP($A47,'Front-loading'!$A:$AG,28,FALSE))</f>
        <v>124.93102974711199</v>
      </c>
      <c r="U47" s="373">
        <f t="shared" si="134"/>
        <v>0.38258083617048944</v>
      </c>
      <c r="V47" s="373">
        <f t="shared" si="135"/>
        <v>0.40649368237807071</v>
      </c>
      <c r="W47" s="373">
        <f t="shared" si="136"/>
        <v>-0.10000000000000009</v>
      </c>
      <c r="X47" s="373">
        <f t="shared" si="137"/>
        <v>-9.9999999999999978E-2</v>
      </c>
      <c r="Y47" s="369"/>
      <c r="Z47" s="374">
        <f>IF(ISERROR(VLOOKUP($A47,'Further adjustment'!$A:$BC,53,FALSE)),"-",VLOOKUP($A47,'Further adjustment'!$A:$BC,53,FALSE))</f>
        <v>215.9391454931407</v>
      </c>
      <c r="AA47" s="374">
        <f>IF(ISERROR(VLOOKUP($A47,'Further adjustment'!$A:$BC,52,FALSE)),"-",VLOOKUP($A47,'Further adjustment'!$A:$BC,52,FALSE))</f>
        <v>272.40112471744942</v>
      </c>
      <c r="AB47" s="374">
        <f>IF(ISERROR(VLOOKUP($A47,'Further adjustment'!$A:$BC,55,FALSE)),"-",VLOOKUP($A47,'Further adjustment'!$A:$BC,55,FALSE))</f>
        <v>104.11557016283905</v>
      </c>
      <c r="AC47" s="374">
        <f>IF(ISERROR(VLOOKUP($A47,'Further adjustment'!$A:$BC,54,FALSE)),"-",VLOOKUP($A47,'Further adjustment'!$A:$BC,54,FALSE))</f>
        <v>122.88743199403187</v>
      </c>
      <c r="AD47" s="375">
        <f t="shared" si="138"/>
        <v>-1.721004333197107E-3</v>
      </c>
      <c r="AE47" s="375">
        <f t="shared" si="139"/>
        <v>-8.1823457345818751E-3</v>
      </c>
      <c r="AF47" s="375">
        <f t="shared" si="140"/>
        <v>-6.5976703406805948E-3</v>
      </c>
      <c r="AG47" s="375">
        <f t="shared" si="141"/>
        <v>-1.6357807641678934E-2</v>
      </c>
      <c r="AH47" s="369"/>
      <c r="AI47" s="376">
        <f>'Price Adjustments'!$G$6</f>
        <v>-3.1174571652793026E-2</v>
      </c>
      <c r="AJ47" s="376">
        <v>0</v>
      </c>
      <c r="AK47" s="377">
        <f t="shared" si="31"/>
        <v>209.20733512932188</v>
      </c>
      <c r="AL47" s="377">
        <f t="shared" si="32"/>
        <v>263.90913633664388</v>
      </c>
      <c r="AM47" s="377">
        <f t="shared" si="33"/>
        <v>100.86981186062623</v>
      </c>
      <c r="AN47" s="377">
        <f t="shared" si="34"/>
        <v>119.0564689401062</v>
      </c>
      <c r="AO47" s="378">
        <f t="shared" si="142"/>
        <v>-3.1174571652793026E-2</v>
      </c>
      <c r="AP47" s="378">
        <f t="shared" si="143"/>
        <v>-3.1174571652793026E-2</v>
      </c>
      <c r="AQ47" s="378">
        <f t="shared" si="144"/>
        <v>-3.1174571652793026E-2</v>
      </c>
      <c r="AR47" s="378">
        <f t="shared" si="145"/>
        <v>-3.1174571652793026E-2</v>
      </c>
      <c r="AS47" s="379">
        <f>'Price Adjustments'!$F$6</f>
        <v>0</v>
      </c>
      <c r="AT47" s="377">
        <f>IF(ISERROR(VLOOKUP($A47,'15-16 tariff'!$A:$F,3,FALSE)*(1+$AS$6)),"-",VLOOKUP($A47,'15-16 tariff'!$A:$F,3,FALSE)*(1+$AS$6))</f>
        <v>200.51370545538029</v>
      </c>
      <c r="AU47" s="377">
        <f>IF(ISERROR(VLOOKUP($A47,'15-16 tariff'!$A:$F,4,FALSE)*(1+$AS$6)),"-",VLOOKUP($A47,'15-16 tariff'!$A:$F,4,FALSE)*(1+$AS$6))</f>
        <v>204.36355049009515</v>
      </c>
      <c r="AV47" s="377">
        <f>IF(ISERROR(VLOOKUP($A47,'15-16 tariff'!$A:$F,5,FALSE)*(1+$AS$6)),"-",VLOOKUP($A47,'15-16 tariff'!$A:$F,5,FALSE)*(1+$AS$6))</f>
        <v>93.30837892031191</v>
      </c>
      <c r="AW47" s="377">
        <f>IF(ISERROR(VLOOKUP($A47,'15-16 tariff'!$A:$F,6,FALSE)*(1+$AS$6)),"-",VLOOKUP($A47,'15-16 tariff'!$A:$F,6,FALSE)*(1+$AS$6))</f>
        <v>109.48176806898577</v>
      </c>
      <c r="AX47" s="369"/>
      <c r="AY47" s="380" t="s">
        <v>307</v>
      </c>
      <c r="AZ47" s="380" t="s">
        <v>307</v>
      </c>
      <c r="BA47" s="380" t="s">
        <v>307</v>
      </c>
      <c r="BB47" s="381" t="s">
        <v>307</v>
      </c>
      <c r="BC47" s="381">
        <f t="shared" si="146"/>
        <v>209.20733512932188</v>
      </c>
      <c r="BD47" s="381">
        <f t="shared" si="147"/>
        <v>263.90913633664388</v>
      </c>
      <c r="BE47" s="381">
        <f t="shared" si="148"/>
        <v>100.86981186062623</v>
      </c>
      <c r="BF47" s="381">
        <f t="shared" si="149"/>
        <v>119.0564689401062</v>
      </c>
      <c r="BG47" s="381">
        <f>IFERROR(VLOOKUP($A47,'Further adjustment'!$A:$Q,7,FALSE),0)</f>
        <v>107398</v>
      </c>
      <c r="BH47" s="381">
        <f>IFERROR(VLOOKUP($A47,'Further adjustment'!$A:$Q,6,FALSE),0)</f>
        <v>11057</v>
      </c>
      <c r="BI47" s="381">
        <f>IFERROR(VLOOKUP($A47,'Further adjustment'!$A:$Q,9,FALSE),0)</f>
        <v>552027</v>
      </c>
      <c r="BJ47" s="381">
        <f>IFERROR(VLOOKUP($A47,'Further adjustment'!$A:$Q,8,FALSE),0)</f>
        <v>63227</v>
      </c>
      <c r="BK47" s="382">
        <f t="shared" si="150"/>
        <v>-3.1174571652793026E-2</v>
      </c>
      <c r="BL47" s="382">
        <f t="shared" si="151"/>
        <v>-3.1174571652793026E-2</v>
      </c>
      <c r="BM47" s="382">
        <f t="shared" si="152"/>
        <v>-3.1174571652793026E-2</v>
      </c>
      <c r="BN47" s="382">
        <f t="shared" si="153"/>
        <v>-3.1174571652793026E-2</v>
      </c>
      <c r="BO47" s="369"/>
      <c r="BP47" s="383">
        <f>'Price Adjustments'!$D$90</f>
        <v>-6.8529657693413348E-2</v>
      </c>
      <c r="BQ47" s="384">
        <f t="shared" si="154"/>
        <v>194.87042806595824</v>
      </c>
      <c r="BR47" s="384">
        <f t="shared" si="155"/>
        <v>245.82353356132933</v>
      </c>
      <c r="BS47" s="384">
        <f t="shared" si="156"/>
        <v>93.957238182218504</v>
      </c>
      <c r="BT47" s="384">
        <f t="shared" si="157"/>
        <v>110.89756987745422</v>
      </c>
      <c r="BU47" s="369"/>
      <c r="BV47" s="385" t="str">
        <f>IF(COUNTIF('Manual adjustments'!$A:$A,A47)=1,"Y",IF(COUNTIF(#REF!,A47)=1,"BPT",""))</f>
        <v>Y</v>
      </c>
      <c r="BW47" s="384">
        <f>IF($BV47="",BQ47,IF(AND($BV47="BPT",IFERROR(ISNUMBER(VLOOKUP($A47,#REF!,3,FALSE)),FALSE)),VLOOKUP($A47,#REF!,3,FALSE),IF(AND($BV47="Y",IFERROR(ISNUMBER(VLOOKUP($A47,'Manual adjustments'!$A:$O,12,FALSE)),FALSE)),VLOOKUP($A47,'Manual adjustments'!$A:$O,12,FALSE),BQ47)))</f>
        <v>194.87042806595824</v>
      </c>
      <c r="BX47" s="384">
        <f>IF($BV47="",BR47,IF(AND($BV47="BPT",IFERROR(ISNUMBER(VLOOKUP($A47,#REF!,4,FALSE)),FALSE)),VLOOKUP($A47,#REF!,4,FALSE),IF(AND($BV47="Y",IFERROR(ISNUMBER(VLOOKUP($A47,'Manual adjustments'!$A:$O,13,FALSE)),FALSE)),VLOOKUP($A47,'Manual adjustments'!$A:$O,13,FALSE),BR47)))</f>
        <v>245.82353356132933</v>
      </c>
      <c r="BY47" s="384">
        <f>IF($BV47="",BS47,IF(AND($BV47="BPT",IFERROR(ISNUMBER(VLOOKUP($A47,#REF!,5,FALSE)),FALSE)),VLOOKUP($A47,#REF!,5,FALSE),IF(AND($BV47="Y",IFERROR(ISNUMBER(VLOOKUP($A47,'Manual adjustments'!$A:$O,14,FALSE)),FALSE)),VLOOKUP($A47,'Manual adjustments'!$A:$O,14,FALSE),BS47)))</f>
        <v>93.957238182218504</v>
      </c>
      <c r="BZ47" s="384">
        <f>IF($BV47="",BT47,IF(AND($BV47="BPT",IFERROR(ISNUMBER(VLOOKUP($A47,#REF!,6,FALSE)),FALSE)),VLOOKUP($A47,#REF!,6,FALSE),IF(AND($BV47="Y",IFERROR(ISNUMBER(VLOOKUP($A47,'Manual adjustments'!$A:$O,15,FALSE)),FALSE)),VLOOKUP($A47,'Manual adjustments'!$A:$O,15,FALSE),BT47)))</f>
        <v>110.89756987745422</v>
      </c>
      <c r="CA47" s="386">
        <f>'Post manual recon'!$N$70</f>
        <v>0</v>
      </c>
      <c r="CB47" s="384">
        <f>IF(VLOOKUP($A47,'Post manual recon'!$A:$U,18,FALSE)=0,BW47,BW47*(1+$CA47))</f>
        <v>194.87042806595824</v>
      </c>
      <c r="CC47" s="384">
        <f>IF(VLOOKUP($A47,'Post manual recon'!$A:$U,19,FALSE)=0,BX47,BX47*(1+$CA47))</f>
        <v>245.82353356132933</v>
      </c>
      <c r="CD47" s="384">
        <f>IF(VLOOKUP($A47,'Post manual recon'!$A:$U,20,FALSE)=0,BY47,BY47*(1+$CA47))</f>
        <v>93.957238182218504</v>
      </c>
      <c r="CE47" s="384">
        <f>IF(VLOOKUP($A47,'Post manual recon'!$A:$U,21,FALSE)=0,BZ47,BZ47*(1+$CA47))</f>
        <v>110.89756987745422</v>
      </c>
      <c r="CF47" s="383">
        <f t="shared" si="35"/>
        <v>0</v>
      </c>
      <c r="CG47" s="383">
        <f t="shared" si="36"/>
        <v>0</v>
      </c>
      <c r="CH47" s="383">
        <f t="shared" si="37"/>
        <v>0</v>
      </c>
      <c r="CI47" s="383">
        <f t="shared" si="38"/>
        <v>0</v>
      </c>
      <c r="CJ47" s="369"/>
      <c r="CK47" s="383">
        <f>'Price Adjustments'!$F$6</f>
        <v>0</v>
      </c>
      <c r="CL47" s="384">
        <f t="shared" si="39"/>
        <v>194.87042806595824</v>
      </c>
      <c r="CM47" s="384">
        <f t="shared" si="40"/>
        <v>245.82353356132933</v>
      </c>
      <c r="CN47" s="384">
        <f t="shared" si="41"/>
        <v>93.957238182218504</v>
      </c>
      <c r="CO47" s="384">
        <f t="shared" si="42"/>
        <v>110.89756987745422</v>
      </c>
      <c r="CP47" s="369"/>
      <c r="CQ47" s="384">
        <f t="shared" si="43"/>
        <v>195</v>
      </c>
      <c r="CR47" s="384">
        <f t="shared" si="44"/>
        <v>246</v>
      </c>
      <c r="CS47" s="384">
        <f t="shared" si="45"/>
        <v>94</v>
      </c>
      <c r="CT47" s="384">
        <f t="shared" si="46"/>
        <v>111</v>
      </c>
    </row>
    <row r="48" spans="1:98">
      <c r="A48" s="367">
        <v>320</v>
      </c>
      <c r="B48" s="367" t="str">
        <f>INDEX('201314 RC list'!B:B,MATCH(A48,'201314 RC list'!A:A,0))</f>
        <v>Cardiology</v>
      </c>
      <c r="C48" s="368">
        <f>IF(ISERROR(VLOOKUP($A48,'Allocate OPROC cost'!A:M,11,FALSE)),"-",VLOOKUP($A48,'Allocate OPROC cost'!A:M,11,FALSE))</f>
        <v>146.19147168427656</v>
      </c>
      <c r="D48" s="368">
        <f>IF(ISERROR(VLOOKUP($A48,'Allocate OPROC cost'!A:M,10,FALSE)),"-",VLOOKUP($A48,'Allocate OPROC cost'!A:M,10,FALSE))</f>
        <v>208.20766931949865</v>
      </c>
      <c r="E48" s="368">
        <f>IF(ISERROR(VLOOKUP($A48,'Allocate OPROC cost'!A:M,13,FALSE)),"-",VLOOKUP($A48,'Allocate OPROC cost'!A:M,13,FALSE))</f>
        <v>112.70812820329532</v>
      </c>
      <c r="F48" s="368">
        <f>IF(ISERROR(VLOOKUP($A48,'Allocate OPROC cost'!A:M,12,FALSE)),"-",VLOOKUP($A48,'Allocate OPROC cost'!A:M,12,FALSE))</f>
        <v>154.77219553194439</v>
      </c>
      <c r="G48" s="369"/>
      <c r="H48" s="370">
        <f>IF(ISERROR(VLOOKUP($A48,'Allocate OPROC cost'!A:AO,39,FALSE)),"-",VLOOKUP($A48,'Allocate OPROC cost'!A:AO,39,FALSE))</f>
        <v>144.88492182770352</v>
      </c>
      <c r="I48" s="370">
        <f>IF(ISERROR(VLOOKUP($A48,'Allocate OPROC cost'!A:AO,38,FALSE)),"-",VLOOKUP($A48,'Allocate OPROC cost'!A:AO,38,FALSE))</f>
        <v>205.70908846046706</v>
      </c>
      <c r="J48" s="370">
        <f>IF(ISERROR(VLOOKUP($A48,'Allocate OPROC cost'!A:AO,41,FALSE)),"-",VLOOKUP($A48,'Allocate OPROC cost'!A:AO,41,FALSE))</f>
        <v>112.83625059413234</v>
      </c>
      <c r="K48" s="370">
        <f>IF(ISERROR(VLOOKUP($A48,'Allocate OPROC cost'!A:AO,40,FALSE)),"-",VLOOKUP($A48,'Allocate OPROC cost'!A:AO,40,FALSE))</f>
        <v>154.09607890066832</v>
      </c>
      <c r="L48" s="371">
        <f t="shared" si="130"/>
        <v>-8.9372508636805792E-3</v>
      </c>
      <c r="M48" s="371">
        <f t="shared" si="131"/>
        <v>-1.200042662788503E-2</v>
      </c>
      <c r="N48" s="371">
        <f t="shared" si="132"/>
        <v>1.1367626530529584E-3</v>
      </c>
      <c r="O48" s="371">
        <f t="shared" si="133"/>
        <v>-4.3684631399864005E-3</v>
      </c>
      <c r="P48" s="369"/>
      <c r="Q48" s="372">
        <f>IF(ISERROR(VLOOKUP($A48,'Front-loading'!$A:$AG,27,FALSE)),"-",VLOOKUP($A48,'Front-loading'!$A:$AG,27,FALSE))</f>
        <v>161.26005654436565</v>
      </c>
      <c r="R48" s="372">
        <f>IF(ISERROR(VLOOKUP($A48,'Front-loading'!$A:$AG,26,FALSE)),"-",VLOOKUP($A48,'Front-loading'!$A:$AG,26,FALSE))</f>
        <v>239.77740884827196</v>
      </c>
      <c r="S48" s="372">
        <f>IF(ISERROR(VLOOKUP($A48,'Front-loading'!$A:$AG,29,FALSE)),"-",VLOOKUP($A48,'Front-loading'!$A:$AG,29,FALSE))</f>
        <v>101.5526255347191</v>
      </c>
      <c r="T48" s="372">
        <f>IF(ISERROR(VLOOKUP($A48,'Front-loading'!$A:$AG,28,FALSE)),"-",VLOOKUP($A48,'Front-loading'!$A:$AG,28,FALSE))</f>
        <v>138.68647101060151</v>
      </c>
      <c r="U48" s="373">
        <f t="shared" si="134"/>
        <v>0.11302166236549693</v>
      </c>
      <c r="V48" s="373">
        <f t="shared" si="135"/>
        <v>0.16561407491897051</v>
      </c>
      <c r="W48" s="373">
        <f t="shared" si="136"/>
        <v>-0.10000000000000009</v>
      </c>
      <c r="X48" s="373">
        <f t="shared" si="137"/>
        <v>-9.9999999999999867E-2</v>
      </c>
      <c r="Y48" s="369"/>
      <c r="Z48" s="374">
        <f>IF(ISERROR(VLOOKUP($A48,'Further adjustment'!$A:$BC,53,FALSE)),"-",VLOOKUP($A48,'Further adjustment'!$A:$BC,53,FALSE))</f>
        <v>161.26005654436565</v>
      </c>
      <c r="AA48" s="374">
        <f>IF(ISERROR(VLOOKUP($A48,'Further adjustment'!$A:$BC,52,FALSE)),"-",VLOOKUP($A48,'Further adjustment'!$A:$BC,52,FALSE))</f>
        <v>239.77740884827196</v>
      </c>
      <c r="AB48" s="374">
        <f>IF(ISERROR(VLOOKUP($A48,'Further adjustment'!$A:$BC,55,FALSE)),"-",VLOOKUP($A48,'Further adjustment'!$A:$BC,55,FALSE))</f>
        <v>101.5526255347191</v>
      </c>
      <c r="AC48" s="374">
        <f>IF(ISERROR(VLOOKUP($A48,'Further adjustment'!$A:$BC,54,FALSE)),"-",VLOOKUP($A48,'Further adjustment'!$A:$BC,54,FALSE))</f>
        <v>138.68647101060151</v>
      </c>
      <c r="AD48" s="375">
        <f t="shared" si="138"/>
        <v>0</v>
      </c>
      <c r="AE48" s="375">
        <f t="shared" si="139"/>
        <v>0</v>
      </c>
      <c r="AF48" s="375">
        <f t="shared" si="140"/>
        <v>0</v>
      </c>
      <c r="AG48" s="375">
        <f t="shared" si="141"/>
        <v>0</v>
      </c>
      <c r="AH48" s="369"/>
      <c r="AI48" s="376">
        <f>'Price Adjustments'!$G$6</f>
        <v>-3.1174571652793026E-2</v>
      </c>
      <c r="AJ48" s="376">
        <v>0</v>
      </c>
      <c r="AK48" s="377">
        <f t="shared" si="31"/>
        <v>156.23284335688987</v>
      </c>
      <c r="AL48" s="377">
        <f t="shared" si="32"/>
        <v>232.30245083541047</v>
      </c>
      <c r="AM48" s="377">
        <f t="shared" si="33"/>
        <v>98.386765933457738</v>
      </c>
      <c r="AN48" s="377">
        <f t="shared" si="34"/>
        <v>134.36297968280851</v>
      </c>
      <c r="AO48" s="378">
        <f t="shared" si="142"/>
        <v>-3.1174571652793026E-2</v>
      </c>
      <c r="AP48" s="378">
        <f t="shared" si="143"/>
        <v>-3.1174571652793026E-2</v>
      </c>
      <c r="AQ48" s="378">
        <f t="shared" si="144"/>
        <v>-3.1174571652793026E-2</v>
      </c>
      <c r="AR48" s="378">
        <f t="shared" si="145"/>
        <v>-3.1174571652793026E-2</v>
      </c>
      <c r="AS48" s="379">
        <f>'Price Adjustments'!$F$6</f>
        <v>0</v>
      </c>
      <c r="AT48" s="377">
        <f>IF(ISERROR(VLOOKUP($A48,'15-16 tariff'!$A:$F,3,FALSE)*(1+$AS$6)),"-",VLOOKUP($A48,'15-16 tariff'!$A:$F,3,FALSE)*(1+$AS$6))</f>
        <v>163.77308690542904</v>
      </c>
      <c r="AU48" s="377">
        <f>IF(ISERROR(VLOOKUP($A48,'15-16 tariff'!$A:$F,4,FALSE)*(1+$AS$6)),"-",VLOOKUP($A48,'15-16 tariff'!$A:$F,4,FALSE)*(1+$AS$6))</f>
        <v>227.2121416078767</v>
      </c>
      <c r="AV48" s="377">
        <f>IF(ISERROR(VLOOKUP($A48,'15-16 tariff'!$A:$F,5,FALSE)*(1+$AS$6)),"-",VLOOKUP($A48,'15-16 tariff'!$A:$F,5,FALSE)*(1+$AS$6))</f>
        <v>95.039933837925645</v>
      </c>
      <c r="AW48" s="377">
        <f>IF(ISERROR(VLOOKUP($A48,'15-16 tariff'!$A:$F,6,FALSE)*(1+$AS$6)),"-",VLOOKUP($A48,'15-16 tariff'!$A:$F,6,FALSE)*(1+$AS$6))</f>
        <v>146.0246689188977</v>
      </c>
      <c r="AX48" s="369"/>
      <c r="AY48" s="380" t="s">
        <v>307</v>
      </c>
      <c r="AZ48" s="380" t="s">
        <v>307</v>
      </c>
      <c r="BA48" s="380" t="s">
        <v>307</v>
      </c>
      <c r="BB48" s="381" t="s">
        <v>307</v>
      </c>
      <c r="BC48" s="381">
        <f t="shared" si="146"/>
        <v>156.23284335688987</v>
      </c>
      <c r="BD48" s="381">
        <f t="shared" si="147"/>
        <v>232.30245083541047</v>
      </c>
      <c r="BE48" s="381">
        <f t="shared" si="148"/>
        <v>98.386765933457738</v>
      </c>
      <c r="BF48" s="381">
        <f t="shared" si="149"/>
        <v>134.36297968280851</v>
      </c>
      <c r="BG48" s="381">
        <f>IFERROR(VLOOKUP($A48,'Further adjustment'!$A:$Q,7,FALSE),0)</f>
        <v>733196</v>
      </c>
      <c r="BH48" s="381">
        <f>IFERROR(VLOOKUP($A48,'Further adjustment'!$A:$Q,6,FALSE),0)</f>
        <v>15319</v>
      </c>
      <c r="BI48" s="381">
        <f>IFERROR(VLOOKUP($A48,'Further adjustment'!$A:$Q,9,FALSE),0)</f>
        <v>1064036</v>
      </c>
      <c r="BJ48" s="381">
        <f>IFERROR(VLOOKUP($A48,'Further adjustment'!$A:$Q,8,FALSE),0)</f>
        <v>33868</v>
      </c>
      <c r="BK48" s="382">
        <f t="shared" si="150"/>
        <v>-3.1174571652793026E-2</v>
      </c>
      <c r="BL48" s="382">
        <f t="shared" si="151"/>
        <v>-3.1174571652793026E-2</v>
      </c>
      <c r="BM48" s="382">
        <f t="shared" si="152"/>
        <v>-3.1174571652793026E-2</v>
      </c>
      <c r="BN48" s="382">
        <f t="shared" si="153"/>
        <v>-3.1174571652793026E-2</v>
      </c>
      <c r="BO48" s="369"/>
      <c r="BP48" s="383">
        <f>'Price Adjustments'!$D$90</f>
        <v>-6.8529657693413348E-2</v>
      </c>
      <c r="BQ48" s="384">
        <f t="shared" si="154"/>
        <v>145.52626008117355</v>
      </c>
      <c r="BR48" s="384">
        <f t="shared" si="155"/>
        <v>216.38284339831881</v>
      </c>
      <c r="BS48" s="384">
        <f t="shared" si="156"/>
        <v>91.644354542475895</v>
      </c>
      <c r="BT48" s="384">
        <f t="shared" si="157"/>
        <v>125.1551306784786</v>
      </c>
      <c r="BU48" s="369"/>
      <c r="BV48" s="385" t="str">
        <f>IF(COUNTIF('Manual adjustments'!$A:$A,A48)=1,"Y",IF(COUNTIF(#REF!,A48)=1,"BPT",""))</f>
        <v>Y</v>
      </c>
      <c r="BW48" s="384">
        <f>IF($BV48="",BQ48,IF(AND($BV48="BPT",IFERROR(ISNUMBER(VLOOKUP($A48,#REF!,3,FALSE)),FALSE)),VLOOKUP($A48,#REF!,3,FALSE),IF(AND($BV48="Y",IFERROR(ISNUMBER(VLOOKUP($A48,'Manual adjustments'!$A:$O,12,FALSE)),FALSE)),VLOOKUP($A48,'Manual adjustments'!$A:$O,12,FALSE),BQ48)))</f>
        <v>145.52626008117355</v>
      </c>
      <c r="BX48" s="384">
        <f>IF($BV48="",BR48,IF(AND($BV48="BPT",IFERROR(ISNUMBER(VLOOKUP($A48,#REF!,4,FALSE)),FALSE)),VLOOKUP($A48,#REF!,4,FALSE),IF(AND($BV48="Y",IFERROR(ISNUMBER(VLOOKUP($A48,'Manual adjustments'!$A:$O,13,FALSE)),FALSE)),VLOOKUP($A48,'Manual adjustments'!$A:$O,13,FALSE),BR48)))</f>
        <v>216.38284339831881</v>
      </c>
      <c r="BY48" s="384">
        <f>IF($BV48="",BS48,IF(AND($BV48="BPT",IFERROR(ISNUMBER(VLOOKUP($A48,#REF!,5,FALSE)),FALSE)),VLOOKUP($A48,#REF!,5,FALSE),IF(AND($BV48="Y",IFERROR(ISNUMBER(VLOOKUP($A48,'Manual adjustments'!$A:$O,14,FALSE)),FALSE)),VLOOKUP($A48,'Manual adjustments'!$A:$O,14,FALSE),BS48)))</f>
        <v>91.644354542475895</v>
      </c>
      <c r="BZ48" s="384">
        <f>IF($BV48="",BT48,IF(AND($BV48="BPT",IFERROR(ISNUMBER(VLOOKUP($A48,#REF!,6,FALSE)),FALSE)),VLOOKUP($A48,#REF!,6,FALSE),IF(AND($BV48="Y",IFERROR(ISNUMBER(VLOOKUP($A48,'Manual adjustments'!$A:$O,15,FALSE)),FALSE)),VLOOKUP($A48,'Manual adjustments'!$A:$O,15,FALSE),BT48)))</f>
        <v>125.1551306784786</v>
      </c>
      <c r="CA48" s="386">
        <f>'Post manual recon'!$N$70</f>
        <v>0</v>
      </c>
      <c r="CB48" s="384">
        <f>IF(VLOOKUP($A48,'Post manual recon'!$A:$U,18,FALSE)=0,BW48,BW48*(1+$CA48))</f>
        <v>145.52626008117355</v>
      </c>
      <c r="CC48" s="384">
        <f>IF(VLOOKUP($A48,'Post manual recon'!$A:$U,19,FALSE)=0,BX48,BX48*(1+$CA48))</f>
        <v>216.38284339831881</v>
      </c>
      <c r="CD48" s="384">
        <f>IF(VLOOKUP($A48,'Post manual recon'!$A:$U,20,FALSE)=0,BY48,BY48*(1+$CA48))</f>
        <v>91.644354542475895</v>
      </c>
      <c r="CE48" s="384">
        <f>IF(VLOOKUP($A48,'Post manual recon'!$A:$U,21,FALSE)=0,BZ48,BZ48*(1+$CA48))</f>
        <v>125.1551306784786</v>
      </c>
      <c r="CF48" s="383">
        <f t="shared" si="35"/>
        <v>0</v>
      </c>
      <c r="CG48" s="383">
        <f t="shared" si="36"/>
        <v>0</v>
      </c>
      <c r="CH48" s="383">
        <f t="shared" si="37"/>
        <v>0</v>
      </c>
      <c r="CI48" s="383">
        <f t="shared" si="38"/>
        <v>0</v>
      </c>
      <c r="CJ48" s="369"/>
      <c r="CK48" s="383">
        <f>'Price Adjustments'!$F$6</f>
        <v>0</v>
      </c>
      <c r="CL48" s="384">
        <f t="shared" si="39"/>
        <v>145.52626008117355</v>
      </c>
      <c r="CM48" s="384">
        <f t="shared" si="40"/>
        <v>216.38284339831881</v>
      </c>
      <c r="CN48" s="384">
        <f t="shared" si="41"/>
        <v>91.644354542475895</v>
      </c>
      <c r="CO48" s="384">
        <f t="shared" si="42"/>
        <v>125.1551306784786</v>
      </c>
      <c r="CP48" s="369"/>
      <c r="CQ48" s="384">
        <f t="shared" si="43"/>
        <v>146</v>
      </c>
      <c r="CR48" s="384">
        <f t="shared" si="44"/>
        <v>216</v>
      </c>
      <c r="CS48" s="384">
        <f t="shared" si="45"/>
        <v>92</v>
      </c>
      <c r="CT48" s="384">
        <f t="shared" si="46"/>
        <v>125</v>
      </c>
    </row>
    <row r="49" spans="1:98">
      <c r="A49" s="367">
        <v>321</v>
      </c>
      <c r="B49" s="367" t="str">
        <f>INDEX('201314 RC list'!B:B,MATCH(A49,'201314 RC list'!A:A,0))</f>
        <v>Paediatric Cardiology</v>
      </c>
      <c r="C49" s="368">
        <f>IF(ISERROR(VLOOKUP($A49,'Allocate OPROC cost'!A:M,11,FALSE)),"-",VLOOKUP($A49,'Allocate OPROC cost'!A:M,11,FALSE))</f>
        <v>206.09417152456027</v>
      </c>
      <c r="D49" s="368">
        <f>IF(ISERROR(VLOOKUP($A49,'Allocate OPROC cost'!A:M,10,FALSE)),"-",VLOOKUP($A49,'Allocate OPROC cost'!A:M,10,FALSE))</f>
        <v>180.7785367163178</v>
      </c>
      <c r="E49" s="368">
        <f>IF(ISERROR(VLOOKUP($A49,'Allocate OPROC cost'!A:M,13,FALSE)),"-",VLOOKUP($A49,'Allocate OPROC cost'!A:M,13,FALSE))</f>
        <v>146.62862981959427</v>
      </c>
      <c r="F49" s="368">
        <f>IF(ISERROR(VLOOKUP($A49,'Allocate OPROC cost'!A:M,12,FALSE)),"-",VLOOKUP($A49,'Allocate OPROC cost'!A:M,12,FALSE))</f>
        <v>192.33501611028535</v>
      </c>
      <c r="G49" s="369"/>
      <c r="H49" s="370">
        <f>IF(ISERROR(VLOOKUP($A49,'Allocate OPROC cost'!A:AO,39,FALSE)),"-",VLOOKUP($A49,'Allocate OPROC cost'!A:AO,39,FALSE))</f>
        <v>202.77031430005198</v>
      </c>
      <c r="I49" s="370">
        <f>IF(ISERROR(VLOOKUP($A49,'Allocate OPROC cost'!A:AO,38,FALSE)),"-",VLOOKUP($A49,'Allocate OPROC cost'!A:AO,38,FALSE))</f>
        <v>177.44950367574205</v>
      </c>
      <c r="J49" s="370">
        <f>IF(ISERROR(VLOOKUP($A49,'Allocate OPROC cost'!A:AO,41,FALSE)),"-",VLOOKUP($A49,'Allocate OPROC cost'!A:AO,41,FALSE))</f>
        <v>146.10733991806137</v>
      </c>
      <c r="K49" s="370">
        <f>IF(ISERROR(VLOOKUP($A49,'Allocate OPROC cost'!A:AO,40,FALSE)),"-",VLOOKUP($A49,'Allocate OPROC cost'!A:AO,40,FALSE))</f>
        <v>190.83667158122017</v>
      </c>
      <c r="L49" s="371">
        <f t="shared" si="130"/>
        <v>-1.6127856503269311E-2</v>
      </c>
      <c r="M49" s="371">
        <f t="shared" si="131"/>
        <v>-1.8414979460751768E-2</v>
      </c>
      <c r="N49" s="371">
        <f t="shared" si="132"/>
        <v>-3.5551713343722202E-3</v>
      </c>
      <c r="O49" s="371">
        <f t="shared" si="133"/>
        <v>-7.7902846780953938E-3</v>
      </c>
      <c r="P49" s="369"/>
      <c r="Q49" s="372">
        <f>IF(ISERROR(VLOOKUP($A49,'Front-loading'!$A:$AG,27,FALSE)),"-",VLOOKUP($A49,'Front-loading'!$A:$AG,27,FALSE))</f>
        <v>241.65709859591385</v>
      </c>
      <c r="R49" s="372">
        <f>IF(ISERROR(VLOOKUP($A49,'Front-loading'!$A:$AG,26,FALSE)),"-",VLOOKUP($A49,'Front-loading'!$A:$AG,26,FALSE))</f>
        <v>220.86362627714749</v>
      </c>
      <c r="S49" s="372">
        <f>IF(ISERROR(VLOOKUP($A49,'Front-loading'!$A:$AG,29,FALSE)),"-",VLOOKUP($A49,'Front-loading'!$A:$AG,29,FALSE))</f>
        <v>131.49660592625526</v>
      </c>
      <c r="T49" s="372">
        <f>IF(ISERROR(VLOOKUP($A49,'Front-loading'!$A:$AG,28,FALSE)),"-",VLOOKUP($A49,'Front-loading'!$A:$AG,28,FALSE))</f>
        <v>171.75300442309813</v>
      </c>
      <c r="U49" s="373">
        <f t="shared" si="134"/>
        <v>0.1917775017023382</v>
      </c>
      <c r="V49" s="373">
        <f t="shared" si="135"/>
        <v>0.24465620755264084</v>
      </c>
      <c r="W49" s="373">
        <f t="shared" si="136"/>
        <v>-9.9999999999999867E-2</v>
      </c>
      <c r="X49" s="373">
        <f t="shared" si="137"/>
        <v>-0.10000000000000009</v>
      </c>
      <c r="Y49" s="369"/>
      <c r="Z49" s="374">
        <f>IF(ISERROR(VLOOKUP($A49,'Further adjustment'!$A:$BC,53,FALSE)),"-",VLOOKUP($A49,'Further adjustment'!$A:$BC,53,FALSE))</f>
        <v>240.60063916354693</v>
      </c>
      <c r="AA49" s="374">
        <f>IF(ISERROR(VLOOKUP($A49,'Further adjustment'!$A:$BC,52,FALSE)),"-",VLOOKUP($A49,'Further adjustment'!$A:$BC,52,FALSE))</f>
        <v>240.60063916354693</v>
      </c>
      <c r="AB49" s="374">
        <f>IF(ISERROR(VLOOKUP($A49,'Further adjustment'!$A:$BC,55,FALSE)),"-",VLOOKUP($A49,'Further adjustment'!$A:$BC,55,FALSE))</f>
        <v>131.49660592625526</v>
      </c>
      <c r="AC49" s="374">
        <f>IF(ISERROR(VLOOKUP($A49,'Further adjustment'!$A:$BC,54,FALSE)),"-",VLOOKUP($A49,'Further adjustment'!$A:$BC,54,FALSE))</f>
        <v>171.75300442309813</v>
      </c>
      <c r="AD49" s="375">
        <f t="shared" si="138"/>
        <v>-4.3717293574457861E-3</v>
      </c>
      <c r="AE49" s="375">
        <f t="shared" si="139"/>
        <v>8.9362894284968242E-2</v>
      </c>
      <c r="AF49" s="375">
        <f t="shared" si="140"/>
        <v>0</v>
      </c>
      <c r="AG49" s="375">
        <f t="shared" si="141"/>
        <v>0</v>
      </c>
      <c r="AH49" s="369"/>
      <c r="AI49" s="376">
        <f>'Price Adjustments'!$G$6</f>
        <v>-3.1174571652793026E-2</v>
      </c>
      <c r="AJ49" s="376">
        <v>0</v>
      </c>
      <c r="AK49" s="377">
        <f t="shared" si="31"/>
        <v>233.10001729823514</v>
      </c>
      <c r="AL49" s="377">
        <f t="shared" si="32"/>
        <v>233.10001729823514</v>
      </c>
      <c r="AM49" s="377">
        <f t="shared" si="33"/>
        <v>127.39725556270812</v>
      </c>
      <c r="AN49" s="377">
        <f t="shared" si="34"/>
        <v>166.39867808012778</v>
      </c>
      <c r="AO49" s="378">
        <f t="shared" si="142"/>
        <v>-3.1174571652793026E-2</v>
      </c>
      <c r="AP49" s="378">
        <f t="shared" si="143"/>
        <v>-3.1174571652793026E-2</v>
      </c>
      <c r="AQ49" s="378">
        <f t="shared" si="144"/>
        <v>-3.1174571652793026E-2</v>
      </c>
      <c r="AR49" s="378">
        <f t="shared" si="145"/>
        <v>-3.1174571652793026E-2</v>
      </c>
      <c r="AS49" s="379">
        <f>'Price Adjustments'!$F$6</f>
        <v>0</v>
      </c>
      <c r="AT49" s="377">
        <f>IF(ISERROR(VLOOKUP($A49,'15-16 tariff'!$A:$F,3,FALSE)*(1+$AS$6)),"-",VLOOKUP($A49,'15-16 tariff'!$A:$F,3,FALSE)*(1+$AS$6))</f>
        <v>225.93492014909421</v>
      </c>
      <c r="AU49" s="377">
        <f>IF(ISERROR(VLOOKUP($A49,'15-16 tariff'!$A:$F,4,FALSE)*(1+$AS$6)),"-",VLOOKUP($A49,'15-16 tariff'!$A:$F,4,FALSE)*(1+$AS$6))</f>
        <v>228.84377818418469</v>
      </c>
      <c r="AV49" s="377">
        <f>IF(ISERROR(VLOOKUP($A49,'15-16 tariff'!$A:$F,5,FALSE)*(1+$AS$6)),"-",VLOOKUP($A49,'15-16 tariff'!$A:$F,5,FALSE)*(1+$AS$6))</f>
        <v>123.37164157584282</v>
      </c>
      <c r="AW49" s="377">
        <f>IF(ISERROR(VLOOKUP($A49,'15-16 tariff'!$A:$F,6,FALSE)*(1+$AS$6)),"-",VLOOKUP($A49,'15-16 tariff'!$A:$F,6,FALSE)*(1+$AS$6))</f>
        <v>164.42487332601181</v>
      </c>
      <c r="AX49" s="369"/>
      <c r="AY49" s="380" t="s">
        <v>307</v>
      </c>
      <c r="AZ49" s="380" t="s">
        <v>307</v>
      </c>
      <c r="BA49" s="380" t="s">
        <v>307</v>
      </c>
      <c r="BB49" s="381" t="s">
        <v>307</v>
      </c>
      <c r="BC49" s="381">
        <f t="shared" si="146"/>
        <v>233.10001729823514</v>
      </c>
      <c r="BD49" s="381">
        <f t="shared" si="147"/>
        <v>233.10001729823514</v>
      </c>
      <c r="BE49" s="381">
        <f t="shared" si="148"/>
        <v>127.39725556270812</v>
      </c>
      <c r="BF49" s="381">
        <f t="shared" si="149"/>
        <v>166.39867808012778</v>
      </c>
      <c r="BG49" s="381">
        <f>IFERROR(VLOOKUP($A49,'Further adjustment'!$A:$Q,7,FALSE),0)</f>
        <v>29219</v>
      </c>
      <c r="BH49" s="381">
        <f>IFERROR(VLOOKUP($A49,'Further adjustment'!$A:$Q,6,FALSE),0)</f>
        <v>1564</v>
      </c>
      <c r="BI49" s="381">
        <f>IFERROR(VLOOKUP($A49,'Further adjustment'!$A:$Q,9,FALSE),0)</f>
        <v>77767</v>
      </c>
      <c r="BJ49" s="381">
        <f>IFERROR(VLOOKUP($A49,'Further adjustment'!$A:$Q,8,FALSE),0)</f>
        <v>3558</v>
      </c>
      <c r="BK49" s="382">
        <f t="shared" si="150"/>
        <v>-3.1174571652793026E-2</v>
      </c>
      <c r="BL49" s="382">
        <f t="shared" si="151"/>
        <v>-3.1174571652793026E-2</v>
      </c>
      <c r="BM49" s="382">
        <f t="shared" si="152"/>
        <v>-3.1174571652793026E-2</v>
      </c>
      <c r="BN49" s="382">
        <f t="shared" si="153"/>
        <v>-3.1174571652793026E-2</v>
      </c>
      <c r="BO49" s="369"/>
      <c r="BP49" s="383">
        <f>'Price Adjustments'!$D$90</f>
        <v>-6.8529657693413348E-2</v>
      </c>
      <c r="BQ49" s="384">
        <f t="shared" si="154"/>
        <v>217.12575290445835</v>
      </c>
      <c r="BR49" s="384">
        <f t="shared" si="155"/>
        <v>217.12575290445835</v>
      </c>
      <c r="BS49" s="384">
        <f t="shared" si="156"/>
        <v>118.66676524791544</v>
      </c>
      <c r="BT49" s="384">
        <f t="shared" si="157"/>
        <v>154.99543363066013</v>
      </c>
      <c r="BU49" s="369"/>
      <c r="BV49" s="385" t="str">
        <f>IF(COUNTIF('Manual adjustments'!$A:$A,A49)=1,"Y",IF(COUNTIF(#REF!,A49)=1,"BPT",""))</f>
        <v>Y</v>
      </c>
      <c r="BW49" s="384">
        <f>IF($BV49="",BQ49,IF(AND($BV49="BPT",IFERROR(ISNUMBER(VLOOKUP($A49,#REF!,3,FALSE)),FALSE)),VLOOKUP($A49,#REF!,3,FALSE),IF(AND($BV49="Y",IFERROR(ISNUMBER(VLOOKUP($A49,'Manual adjustments'!$A:$O,12,FALSE)),FALSE)),VLOOKUP($A49,'Manual adjustments'!$A:$O,12,FALSE),BQ49)))</f>
        <v>217.12575290445835</v>
      </c>
      <c r="BX49" s="384">
        <f>IF($BV49="",BR49,IF(AND($BV49="BPT",IFERROR(ISNUMBER(VLOOKUP($A49,#REF!,4,FALSE)),FALSE)),VLOOKUP($A49,#REF!,4,FALSE),IF(AND($BV49="Y",IFERROR(ISNUMBER(VLOOKUP($A49,'Manual adjustments'!$A:$O,13,FALSE)),FALSE)),VLOOKUP($A49,'Manual adjustments'!$A:$O,13,FALSE),BR49)))</f>
        <v>217.12575290445835</v>
      </c>
      <c r="BY49" s="384">
        <f>IF($BV49="",BS49,IF(AND($BV49="BPT",IFERROR(ISNUMBER(VLOOKUP($A49,#REF!,5,FALSE)),FALSE)),VLOOKUP($A49,#REF!,5,FALSE),IF(AND($BV49="Y",IFERROR(ISNUMBER(VLOOKUP($A49,'Manual adjustments'!$A:$O,14,FALSE)),FALSE)),VLOOKUP($A49,'Manual adjustments'!$A:$O,14,FALSE),BS49)))</f>
        <v>118.66676524791544</v>
      </c>
      <c r="BZ49" s="384">
        <f>IF($BV49="",BT49,IF(AND($BV49="BPT",IFERROR(ISNUMBER(VLOOKUP($A49,#REF!,6,FALSE)),FALSE)),VLOOKUP($A49,#REF!,6,FALSE),IF(AND($BV49="Y",IFERROR(ISNUMBER(VLOOKUP($A49,'Manual adjustments'!$A:$O,15,FALSE)),FALSE)),VLOOKUP($A49,'Manual adjustments'!$A:$O,15,FALSE),BT49)))</f>
        <v>154.99543363066013</v>
      </c>
      <c r="CA49" s="386">
        <f>'Post manual recon'!$N$70</f>
        <v>0</v>
      </c>
      <c r="CB49" s="384">
        <f>IF(VLOOKUP($A49,'Post manual recon'!$A:$U,18,FALSE)=0,BW49,BW49*(1+$CA49))</f>
        <v>217.12575290445835</v>
      </c>
      <c r="CC49" s="384">
        <f>IF(VLOOKUP($A49,'Post manual recon'!$A:$U,19,FALSE)=0,BX49,BX49*(1+$CA49))</f>
        <v>217.12575290445835</v>
      </c>
      <c r="CD49" s="384">
        <f>IF(VLOOKUP($A49,'Post manual recon'!$A:$U,20,FALSE)=0,BY49,BY49*(1+$CA49))</f>
        <v>118.66676524791544</v>
      </c>
      <c r="CE49" s="384">
        <f>IF(VLOOKUP($A49,'Post manual recon'!$A:$U,21,FALSE)=0,BZ49,BZ49*(1+$CA49))</f>
        <v>154.99543363066013</v>
      </c>
      <c r="CF49" s="383">
        <f t="shared" si="35"/>
        <v>0</v>
      </c>
      <c r="CG49" s="383">
        <f t="shared" si="36"/>
        <v>0</v>
      </c>
      <c r="CH49" s="383">
        <f t="shared" si="37"/>
        <v>0</v>
      </c>
      <c r="CI49" s="383">
        <f t="shared" si="38"/>
        <v>0</v>
      </c>
      <c r="CJ49" s="369"/>
      <c r="CK49" s="383">
        <f>'Price Adjustments'!$F$6</f>
        <v>0</v>
      </c>
      <c r="CL49" s="384">
        <f t="shared" si="39"/>
        <v>217.12575290445835</v>
      </c>
      <c r="CM49" s="384">
        <f t="shared" si="40"/>
        <v>217.12575290445835</v>
      </c>
      <c r="CN49" s="384">
        <f t="shared" si="41"/>
        <v>118.66676524791544</v>
      </c>
      <c r="CO49" s="384">
        <f t="shared" si="42"/>
        <v>154.99543363066013</v>
      </c>
      <c r="CP49" s="369"/>
      <c r="CQ49" s="384">
        <f t="shared" si="43"/>
        <v>217</v>
      </c>
      <c r="CR49" s="384">
        <f t="shared" si="44"/>
        <v>217</v>
      </c>
      <c r="CS49" s="384">
        <f t="shared" si="45"/>
        <v>119</v>
      </c>
      <c r="CT49" s="384">
        <f t="shared" si="46"/>
        <v>155</v>
      </c>
    </row>
    <row r="50" spans="1:98">
      <c r="A50" s="367">
        <v>329</v>
      </c>
      <c r="B50" s="367" t="str">
        <f>INDEX('201314 RC list'!B:B,MATCH(A50,'201314 RC list'!A:A,0))</f>
        <v>Transient Ischaemic Attack</v>
      </c>
      <c r="C50" s="368">
        <f>IF(ISERROR(VLOOKUP($A50,'Allocate OPROC cost'!A:M,11,FALSE)),"-",VLOOKUP($A50,'Allocate OPROC cost'!A:M,11,FALSE))</f>
        <v>182.76321775334497</v>
      </c>
      <c r="D50" s="368">
        <f>IF(ISERROR(VLOOKUP($A50,'Allocate OPROC cost'!A:M,10,FALSE)),"-",VLOOKUP($A50,'Allocate OPROC cost'!A:M,10,FALSE))</f>
        <v>226.61996842283503</v>
      </c>
      <c r="E50" s="368">
        <f>IF(ISERROR(VLOOKUP($A50,'Allocate OPROC cost'!A:M,13,FALSE)),"-",VLOOKUP($A50,'Allocate OPROC cost'!A:M,13,FALSE))</f>
        <v>110.92578842026653</v>
      </c>
      <c r="F50" s="368">
        <f>IF(ISERROR(VLOOKUP($A50,'Allocate OPROC cost'!A:M,12,FALSE)),"-",VLOOKUP($A50,'Allocate OPROC cost'!A:M,12,FALSE))</f>
        <v>130.14684784720777</v>
      </c>
      <c r="G50" s="369"/>
      <c r="H50" s="370">
        <f>IF(ISERROR(VLOOKUP($A50,'Allocate OPROC cost'!A:AO,39,FALSE)),"-",VLOOKUP($A50,'Allocate OPROC cost'!A:AO,39,FALSE))</f>
        <v>181.9762763817811</v>
      </c>
      <c r="I50" s="370">
        <f>IF(ISERROR(VLOOKUP($A50,'Allocate OPROC cost'!A:AO,38,FALSE)),"-",VLOOKUP($A50,'Allocate OPROC cost'!A:AO,38,FALSE))</f>
        <v>225.91879950963326</v>
      </c>
      <c r="J50" s="370">
        <f>IF(ISERROR(VLOOKUP($A50,'Allocate OPROC cost'!A:AO,41,FALSE)),"-",VLOOKUP($A50,'Allocate OPROC cost'!A:AO,41,FALSE))</f>
        <v>110.93502623783411</v>
      </c>
      <c r="K50" s="370">
        <f>IF(ISERROR(VLOOKUP($A50,'Allocate OPROC cost'!A:AO,40,FALSE)),"-",VLOOKUP($A50,'Allocate OPROC cost'!A:AO,40,FALSE))</f>
        <v>130.41215080818094</v>
      </c>
      <c r="L50" s="371">
        <f t="shared" si="130"/>
        <v>-4.3057973110646186E-3</v>
      </c>
      <c r="M50" s="371">
        <f t="shared" si="131"/>
        <v>-3.0940297012728157E-3</v>
      </c>
      <c r="N50" s="371">
        <f t="shared" si="132"/>
        <v>8.3279259937008021E-5</v>
      </c>
      <c r="O50" s="371">
        <f t="shared" si="133"/>
        <v>2.0384893323319719E-3</v>
      </c>
      <c r="P50" s="369"/>
      <c r="Q50" s="372">
        <f>IF(ISERROR(VLOOKUP($A50,'Front-loading'!$A:$AG,27,FALSE)),"-",VLOOKUP($A50,'Front-loading'!$A:$AG,27,FALSE))</f>
        <v>185.74328973428561</v>
      </c>
      <c r="R50" s="372">
        <f>IF(ISERROR(VLOOKUP($A50,'Front-loading'!$A:$AG,26,FALSE)),"-",VLOOKUP($A50,'Front-loading'!$A:$AG,26,FALSE))</f>
        <v>226.44867024496597</v>
      </c>
      <c r="S50" s="372">
        <f>IF(ISERROR(VLOOKUP($A50,'Front-loading'!$A:$AG,29,FALSE)),"-",VLOOKUP($A50,'Front-loading'!$A:$AG,29,FALSE))</f>
        <v>99.841523614050701</v>
      </c>
      <c r="T50" s="372">
        <f>IF(ISERROR(VLOOKUP($A50,'Front-loading'!$A:$AG,28,FALSE)),"-",VLOOKUP($A50,'Front-loading'!$A:$AG,28,FALSE))</f>
        <v>117.37093572736285</v>
      </c>
      <c r="U50" s="373">
        <f t="shared" si="134"/>
        <v>2.0700573873714267E-2</v>
      </c>
      <c r="V50" s="373">
        <f t="shared" si="135"/>
        <v>2.3454034656824607E-3</v>
      </c>
      <c r="W50" s="373">
        <f t="shared" si="136"/>
        <v>-9.9999999999999978E-2</v>
      </c>
      <c r="X50" s="373">
        <f t="shared" si="137"/>
        <v>-9.9999999999999978E-2</v>
      </c>
      <c r="Y50" s="369"/>
      <c r="Z50" s="374">
        <f>IF(ISERROR(VLOOKUP($A50,'Further adjustment'!$A:$BC,53,FALSE)),"-",VLOOKUP($A50,'Further adjustment'!$A:$BC,53,FALSE))</f>
        <v>185.74328973428561</v>
      </c>
      <c r="AA50" s="374">
        <f>IF(ISERROR(VLOOKUP($A50,'Further adjustment'!$A:$BC,52,FALSE)),"-",VLOOKUP($A50,'Further adjustment'!$A:$BC,52,FALSE))</f>
        <v>226.44867024496597</v>
      </c>
      <c r="AB50" s="374">
        <f>IF(ISERROR(VLOOKUP($A50,'Further adjustment'!$A:$BC,55,FALSE)),"-",VLOOKUP($A50,'Further adjustment'!$A:$BC,55,FALSE))</f>
        <v>99.841523614050701</v>
      </c>
      <c r="AC50" s="374">
        <f>IF(ISERROR(VLOOKUP($A50,'Further adjustment'!$A:$BC,54,FALSE)),"-",VLOOKUP($A50,'Further adjustment'!$A:$BC,54,FALSE))</f>
        <v>117.37093572736285</v>
      </c>
      <c r="AD50" s="375">
        <f t="shared" si="138"/>
        <v>0</v>
      </c>
      <c r="AE50" s="375">
        <f t="shared" si="139"/>
        <v>0</v>
      </c>
      <c r="AF50" s="375">
        <f t="shared" si="140"/>
        <v>0</v>
      </c>
      <c r="AG50" s="375">
        <f t="shared" si="141"/>
        <v>0</v>
      </c>
      <c r="AH50" s="369"/>
      <c r="AI50" s="376">
        <f>'Price Adjustments'!$G$6</f>
        <v>-3.1174571652793026E-2</v>
      </c>
      <c r="AJ50" s="376">
        <v>0</v>
      </c>
      <c r="AK50" s="377">
        <f t="shared" si="31"/>
        <v>179.95282223943863</v>
      </c>
      <c r="AL50" s="377">
        <f t="shared" si="32"/>
        <v>219.38922994873457</v>
      </c>
      <c r="AM50" s="377">
        <f t="shared" si="33"/>
        <v>96.729006882220446</v>
      </c>
      <c r="AN50" s="377">
        <f t="shared" si="34"/>
        <v>113.71194708157481</v>
      </c>
      <c r="AO50" s="378">
        <f t="shared" si="142"/>
        <v>-3.1174571652793026E-2</v>
      </c>
      <c r="AP50" s="378">
        <f t="shared" si="143"/>
        <v>-3.1174571652793026E-2</v>
      </c>
      <c r="AQ50" s="378">
        <f t="shared" si="144"/>
        <v>-3.1174571652793026E-2</v>
      </c>
      <c r="AR50" s="378">
        <f t="shared" si="145"/>
        <v>-3.1174571652793026E-2</v>
      </c>
      <c r="AS50" s="379">
        <f>'Price Adjustments'!$F$6</f>
        <v>0</v>
      </c>
      <c r="AT50" s="377">
        <f>IF(ISERROR(VLOOKUP($A50,'15-16 tariff'!$A:$F,3,FALSE)*(1+$AS$6)),"-",VLOOKUP($A50,'15-16 tariff'!$A:$F,3,FALSE)*(1+$AS$6))</f>
        <v>302</v>
      </c>
      <c r="AU50" s="377">
        <f>IF(ISERROR(VLOOKUP($A50,'15-16 tariff'!$A:$F,4,FALSE)*(1+$AS$6)),"-",VLOOKUP($A50,'15-16 tariff'!$A:$F,4,FALSE)*(1+$AS$6))</f>
        <v>302</v>
      </c>
      <c r="AV50" s="377">
        <f>IF(ISERROR(VLOOKUP($A50,'15-16 tariff'!$A:$F,5,FALSE)*(1+$AS$6)),"-",VLOOKUP($A50,'15-16 tariff'!$A:$F,5,FALSE)*(1+$AS$6))</f>
        <v>143.63212653181637</v>
      </c>
      <c r="AW50" s="377">
        <f>IF(ISERROR(VLOOKUP($A50,'15-16 tariff'!$A:$F,6,FALSE)*(1+$AS$6)),"-",VLOOKUP($A50,'15-16 tariff'!$A:$F,6,FALSE)*(1+$AS$6))</f>
        <v>287.26425306363274</v>
      </c>
      <c r="AX50" s="369"/>
      <c r="AY50" s="380" t="s">
        <v>307</v>
      </c>
      <c r="AZ50" s="380" t="s">
        <v>307</v>
      </c>
      <c r="BA50" s="380" t="s">
        <v>307</v>
      </c>
      <c r="BB50" s="381" t="s">
        <v>307</v>
      </c>
      <c r="BC50" s="381">
        <f t="shared" si="146"/>
        <v>179.95282223943863</v>
      </c>
      <c r="BD50" s="381">
        <f t="shared" si="147"/>
        <v>219.38922994873457</v>
      </c>
      <c r="BE50" s="381">
        <f t="shared" si="148"/>
        <v>96.729006882220446</v>
      </c>
      <c r="BF50" s="381">
        <f t="shared" si="149"/>
        <v>113.71194708157481</v>
      </c>
      <c r="BG50" s="381">
        <f>IFERROR(VLOOKUP($A50,'Further adjustment'!$A:$Q,7,FALSE),0)</f>
        <v>31858</v>
      </c>
      <c r="BH50" s="381">
        <f>IFERROR(VLOOKUP($A50,'Further adjustment'!$A:$Q,6,FALSE),0)</f>
        <v>2855</v>
      </c>
      <c r="BI50" s="381">
        <f>IFERROR(VLOOKUP($A50,'Further adjustment'!$A:$Q,9,FALSE),0)</f>
        <v>10818</v>
      </c>
      <c r="BJ50" s="381">
        <f>IFERROR(VLOOKUP($A50,'Further adjustment'!$A:$Q,8,FALSE),0)</f>
        <v>116</v>
      </c>
      <c r="BK50" s="382">
        <f t="shared" si="150"/>
        <v>-3.1174571652793026E-2</v>
      </c>
      <c r="BL50" s="382">
        <f t="shared" si="151"/>
        <v>-3.1174571652793026E-2</v>
      </c>
      <c r="BM50" s="382">
        <f t="shared" si="152"/>
        <v>-3.1174571652793026E-2</v>
      </c>
      <c r="BN50" s="382">
        <f t="shared" si="153"/>
        <v>-3.1174571652793026E-2</v>
      </c>
      <c r="BO50" s="369"/>
      <c r="BP50" s="383">
        <f>'Price Adjustments'!$D$90</f>
        <v>-6.8529657693413348E-2</v>
      </c>
      <c r="BQ50" s="384">
        <f t="shared" si="154"/>
        <v>167.62071693040625</v>
      </c>
      <c r="BR50" s="384">
        <f t="shared" si="155"/>
        <v>204.35456111872625</v>
      </c>
      <c r="BS50" s="384">
        <f t="shared" si="156"/>
        <v>90.100201151558053</v>
      </c>
      <c r="BT50" s="384">
        <f t="shared" si="157"/>
        <v>105.91930627242296</v>
      </c>
      <c r="BU50" s="369"/>
      <c r="BV50" s="385" t="str">
        <f>IF(COUNTIF('Manual adjustments'!$A:$A,A50)=1,"Y",IF(COUNTIF(#REF!,A50)=1,"BPT",""))</f>
        <v>Y</v>
      </c>
      <c r="BW50" s="384">
        <f>IF($BV50="",BQ50,IF(AND($BV50="BPT",IFERROR(ISNUMBER(VLOOKUP($A50,#REF!,3,FALSE)),FALSE)),VLOOKUP($A50,#REF!,3,FALSE),IF(AND($BV50="Y",IFERROR(ISNUMBER(VLOOKUP($A50,'Manual adjustments'!$A:$O,12,FALSE)),FALSE)),VLOOKUP($A50,'Manual adjustments'!$A:$O,12,FALSE),BQ50)))</f>
        <v>167.62071693040625</v>
      </c>
      <c r="BX50" s="384">
        <f>IF($BV50="",BR50,IF(AND($BV50="BPT",IFERROR(ISNUMBER(VLOOKUP($A50,#REF!,4,FALSE)),FALSE)),VLOOKUP($A50,#REF!,4,FALSE),IF(AND($BV50="Y",IFERROR(ISNUMBER(VLOOKUP($A50,'Manual adjustments'!$A:$O,13,FALSE)),FALSE)),VLOOKUP($A50,'Manual adjustments'!$A:$O,13,FALSE),BR50)))</f>
        <v>204.35456111872625</v>
      </c>
      <c r="BY50" s="384">
        <f>IF($BV50="",BS50,IF(AND($BV50="BPT",IFERROR(ISNUMBER(VLOOKUP($A50,#REF!,5,FALSE)),FALSE)),VLOOKUP($A50,#REF!,5,FALSE),IF(AND($BV50="Y",IFERROR(ISNUMBER(VLOOKUP($A50,'Manual adjustments'!$A:$O,14,FALSE)),FALSE)),VLOOKUP($A50,'Manual adjustments'!$A:$O,14,FALSE),BS50)))</f>
        <v>90.100201151558053</v>
      </c>
      <c r="BZ50" s="384">
        <f>IF($BV50="",BT50,IF(AND($BV50="BPT",IFERROR(ISNUMBER(VLOOKUP($A50,#REF!,6,FALSE)),FALSE)),VLOOKUP($A50,#REF!,6,FALSE),IF(AND($BV50="Y",IFERROR(ISNUMBER(VLOOKUP($A50,'Manual adjustments'!$A:$O,15,FALSE)),FALSE)),VLOOKUP($A50,'Manual adjustments'!$A:$O,15,FALSE),BT50)))</f>
        <v>105.91930627242296</v>
      </c>
      <c r="CA50" s="386">
        <f>'Post manual recon'!$N$70</f>
        <v>0</v>
      </c>
      <c r="CB50" s="384">
        <f>IF(VLOOKUP($A50,'Post manual recon'!$A:$U,18,FALSE)=0,BW50,BW50*(1+$CA50))</f>
        <v>167.62071693040625</v>
      </c>
      <c r="CC50" s="384">
        <f>IF(VLOOKUP($A50,'Post manual recon'!$A:$U,19,FALSE)=0,BX50,BX50*(1+$CA50))</f>
        <v>204.35456111872625</v>
      </c>
      <c r="CD50" s="384">
        <f>IF(VLOOKUP($A50,'Post manual recon'!$A:$U,20,FALSE)=0,BY50,BY50*(1+$CA50))</f>
        <v>90.100201151558053</v>
      </c>
      <c r="CE50" s="384">
        <f>IF(VLOOKUP($A50,'Post manual recon'!$A:$U,21,FALSE)=0,BZ50,BZ50*(1+$CA50))</f>
        <v>105.91930627242296</v>
      </c>
      <c r="CF50" s="383">
        <f t="shared" si="35"/>
        <v>0</v>
      </c>
      <c r="CG50" s="383">
        <f t="shared" si="36"/>
        <v>0</v>
      </c>
      <c r="CH50" s="383">
        <f t="shared" si="37"/>
        <v>0</v>
      </c>
      <c r="CI50" s="383">
        <f t="shared" si="38"/>
        <v>0</v>
      </c>
      <c r="CJ50" s="369"/>
      <c r="CK50" s="383">
        <f>'Price Adjustments'!$F$6</f>
        <v>0</v>
      </c>
      <c r="CL50" s="384">
        <f t="shared" si="39"/>
        <v>167.62071693040625</v>
      </c>
      <c r="CM50" s="384">
        <f t="shared" si="40"/>
        <v>204.35456111872625</v>
      </c>
      <c r="CN50" s="384">
        <f t="shared" si="41"/>
        <v>90.100201151558053</v>
      </c>
      <c r="CO50" s="384">
        <f t="shared" si="42"/>
        <v>105.91930627242296</v>
      </c>
      <c r="CP50" s="369"/>
      <c r="CQ50" s="384">
        <f t="shared" si="43"/>
        <v>168</v>
      </c>
      <c r="CR50" s="384">
        <f t="shared" si="44"/>
        <v>204</v>
      </c>
      <c r="CS50" s="384">
        <f t="shared" si="45"/>
        <v>90</v>
      </c>
      <c r="CT50" s="384">
        <f t="shared" si="46"/>
        <v>106</v>
      </c>
    </row>
    <row r="51" spans="1:98">
      <c r="A51" s="367">
        <v>330</v>
      </c>
      <c r="B51" s="367" t="str">
        <f>INDEX('201314 RC list'!B:B,MATCH(A51,'201314 RC list'!A:A,0))</f>
        <v>Dermatology</v>
      </c>
      <c r="C51" s="368">
        <f>IF(ISERROR(VLOOKUP($A51,'Allocate OPROC cost'!A:M,11,FALSE)),"-",VLOOKUP($A51,'Allocate OPROC cost'!A:M,11,FALSE))</f>
        <v>99.789334816283755</v>
      </c>
      <c r="D51" s="368">
        <f>IF(ISERROR(VLOOKUP($A51,'Allocate OPROC cost'!A:M,10,FALSE)),"-",VLOOKUP($A51,'Allocate OPROC cost'!A:M,10,FALSE))</f>
        <v>117.2687532332871</v>
      </c>
      <c r="E51" s="368">
        <f>IF(ISERROR(VLOOKUP($A51,'Allocate OPROC cost'!A:M,13,FALSE)),"-",VLOOKUP($A51,'Allocate OPROC cost'!A:M,13,FALSE))</f>
        <v>85.142632771495911</v>
      </c>
      <c r="F51" s="368">
        <f>IF(ISERROR(VLOOKUP($A51,'Allocate OPROC cost'!A:M,12,FALSE)),"-",VLOOKUP($A51,'Allocate OPROC cost'!A:M,12,FALSE))</f>
        <v>102.13864997098909</v>
      </c>
      <c r="G51" s="369"/>
      <c r="H51" s="370">
        <f>IF(ISERROR(VLOOKUP($A51,'Allocate OPROC cost'!A:AO,39,FALSE)),"-",VLOOKUP($A51,'Allocate OPROC cost'!A:AO,39,FALSE))</f>
        <v>100.29905720063297</v>
      </c>
      <c r="I51" s="370">
        <f>IF(ISERROR(VLOOKUP($A51,'Allocate OPROC cost'!A:AO,38,FALSE)),"-",VLOOKUP($A51,'Allocate OPROC cost'!A:AO,38,FALSE))</f>
        <v>117.25008024778852</v>
      </c>
      <c r="J51" s="370">
        <f>IF(ISERROR(VLOOKUP($A51,'Allocate OPROC cost'!A:AO,41,FALSE)),"-",VLOOKUP($A51,'Allocate OPROC cost'!A:AO,41,FALSE))</f>
        <v>87.873681452782847</v>
      </c>
      <c r="K51" s="370">
        <f>IF(ISERROR(VLOOKUP($A51,'Allocate OPROC cost'!A:AO,40,FALSE)),"-",VLOOKUP($A51,'Allocate OPROC cost'!A:AO,40,FALSE))</f>
        <v>102.71489216411598</v>
      </c>
      <c r="L51" s="371">
        <f t="shared" si="130"/>
        <v>5.1079845886099484E-3</v>
      </c>
      <c r="M51" s="371">
        <f t="shared" si="131"/>
        <v>-1.5923240406112704E-4</v>
      </c>
      <c r="N51" s="371">
        <f t="shared" si="132"/>
        <v>3.2076159643976032E-2</v>
      </c>
      <c r="O51" s="371">
        <f t="shared" si="133"/>
        <v>5.6417643398514183E-3</v>
      </c>
      <c r="P51" s="369"/>
      <c r="Q51" s="372">
        <f>IF(ISERROR(VLOOKUP($A51,'Front-loading'!$A:$AG,27,FALSE)),"-",VLOOKUP($A51,'Front-loading'!$A:$AG,27,FALSE))</f>
        <v>116.62395650527235</v>
      </c>
      <c r="R51" s="372">
        <f>IF(ISERROR(VLOOKUP($A51,'Front-loading'!$A:$AG,26,FALSE)),"-",VLOOKUP($A51,'Front-loading'!$A:$AG,26,FALSE))</f>
        <v>139.28037955079489</v>
      </c>
      <c r="S51" s="372">
        <f>IF(ISERROR(VLOOKUP($A51,'Front-loading'!$A:$AG,29,FALSE)),"-",VLOOKUP($A51,'Front-loading'!$A:$AG,29,FALSE))</f>
        <v>79.086313307504568</v>
      </c>
      <c r="T51" s="372">
        <f>IF(ISERROR(VLOOKUP($A51,'Front-loading'!$A:$AG,28,FALSE)),"-",VLOOKUP($A51,'Front-loading'!$A:$AG,28,FALSE))</f>
        <v>92.443402947704385</v>
      </c>
      <c r="U51" s="373">
        <f t="shared" si="134"/>
        <v>0.1627622408452345</v>
      </c>
      <c r="V51" s="373">
        <f t="shared" si="135"/>
        <v>0.18789154989445644</v>
      </c>
      <c r="W51" s="373">
        <f t="shared" si="136"/>
        <v>-9.9999999999999978E-2</v>
      </c>
      <c r="X51" s="373">
        <f t="shared" si="137"/>
        <v>-9.9999999999999978E-2</v>
      </c>
      <c r="Y51" s="369"/>
      <c r="Z51" s="374">
        <f>IF(ISERROR(VLOOKUP($A51,'Further adjustment'!$A:$BC,53,FALSE)),"-",VLOOKUP($A51,'Further adjustment'!$A:$BC,53,FALSE))</f>
        <v>116.62395650527235</v>
      </c>
      <c r="AA51" s="374">
        <f>IF(ISERROR(VLOOKUP($A51,'Further adjustment'!$A:$BC,52,FALSE)),"-",VLOOKUP($A51,'Further adjustment'!$A:$BC,52,FALSE))</f>
        <v>139.28037955079489</v>
      </c>
      <c r="AB51" s="374">
        <f>IF(ISERROR(VLOOKUP($A51,'Further adjustment'!$A:$BC,55,FALSE)),"-",VLOOKUP($A51,'Further adjustment'!$A:$BC,55,FALSE))</f>
        <v>79.086313307504568</v>
      </c>
      <c r="AC51" s="374">
        <f>IF(ISERROR(VLOOKUP($A51,'Further adjustment'!$A:$BC,54,FALSE)),"-",VLOOKUP($A51,'Further adjustment'!$A:$BC,54,FALSE))</f>
        <v>92.443402947704385</v>
      </c>
      <c r="AD51" s="375">
        <f t="shared" si="138"/>
        <v>0</v>
      </c>
      <c r="AE51" s="375">
        <f t="shared" si="139"/>
        <v>0</v>
      </c>
      <c r="AF51" s="375">
        <f t="shared" si="140"/>
        <v>0</v>
      </c>
      <c r="AG51" s="375">
        <f t="shared" si="141"/>
        <v>0</v>
      </c>
      <c r="AH51" s="369"/>
      <c r="AI51" s="376">
        <f>'Price Adjustments'!$G$6</f>
        <v>-3.1174571652793026E-2</v>
      </c>
      <c r="AJ51" s="376">
        <v>0</v>
      </c>
      <c r="AK51" s="377">
        <f t="shared" si="31"/>
        <v>112.98825461676651</v>
      </c>
      <c r="AL51" s="377">
        <f t="shared" si="32"/>
        <v>134.93837337866043</v>
      </c>
      <c r="AM51" s="377">
        <f t="shared" si="33"/>
        <v>76.620831366544522</v>
      </c>
      <c r="AN51" s="377">
        <f t="shared" si="34"/>
        <v>89.561519458683151</v>
      </c>
      <c r="AO51" s="378">
        <f t="shared" si="142"/>
        <v>-3.1174571652793026E-2</v>
      </c>
      <c r="AP51" s="378">
        <f t="shared" si="143"/>
        <v>-3.1174571652793026E-2</v>
      </c>
      <c r="AQ51" s="378">
        <f t="shared" si="144"/>
        <v>-3.1174571652793137E-2</v>
      </c>
      <c r="AR51" s="378">
        <f t="shared" si="145"/>
        <v>-3.1174571652793137E-2</v>
      </c>
      <c r="AS51" s="379">
        <f>'Price Adjustments'!$F$6</f>
        <v>0</v>
      </c>
      <c r="AT51" s="377">
        <f>IF(ISERROR(VLOOKUP($A51,'15-16 tariff'!$A:$F,3,FALSE)*(1+$AS$6)),"-",VLOOKUP($A51,'15-16 tariff'!$A:$F,3,FALSE)*(1+$AS$6))</f>
        <v>106.09932185848382</v>
      </c>
      <c r="AU51" s="377">
        <f>IF(ISERROR(VLOOKUP($A51,'15-16 tariff'!$A:$F,4,FALSE)*(1+$AS$6)),"-",VLOOKUP($A51,'15-16 tariff'!$A:$F,4,FALSE)*(1+$AS$6))</f>
        <v>121.36916930558991</v>
      </c>
      <c r="AV51" s="377">
        <f>IF(ISERROR(VLOOKUP($A51,'15-16 tariff'!$A:$F,5,FALSE)*(1+$AS$6)),"-",VLOOKUP($A51,'15-16 tariff'!$A:$F,5,FALSE)*(1+$AS$6))</f>
        <v>69.086528099491787</v>
      </c>
      <c r="AW51" s="377">
        <f>IF(ISERROR(VLOOKUP($A51,'15-16 tariff'!$A:$F,6,FALSE)*(1+$AS$6)),"-",VLOOKUP($A51,'15-16 tariff'!$A:$F,6,FALSE)*(1+$AS$6))</f>
        <v>75.929964032700454</v>
      </c>
      <c r="AX51" s="369"/>
      <c r="AY51" s="380" t="s">
        <v>307</v>
      </c>
      <c r="AZ51" s="380" t="s">
        <v>307</v>
      </c>
      <c r="BA51" s="380" t="s">
        <v>307</v>
      </c>
      <c r="BB51" s="381" t="s">
        <v>307</v>
      </c>
      <c r="BC51" s="381">
        <f t="shared" si="146"/>
        <v>112.98825461676651</v>
      </c>
      <c r="BD51" s="381">
        <f t="shared" si="147"/>
        <v>134.93837337866043</v>
      </c>
      <c r="BE51" s="381">
        <f t="shared" si="148"/>
        <v>76.620831366544522</v>
      </c>
      <c r="BF51" s="381">
        <f t="shared" si="149"/>
        <v>89.561519458683151</v>
      </c>
      <c r="BG51" s="381">
        <f>IFERROR(VLOOKUP($A51,'Further adjustment'!$A:$Q,7,FALSE),0)</f>
        <v>712861</v>
      </c>
      <c r="BH51" s="381">
        <f>IFERROR(VLOOKUP($A51,'Further adjustment'!$A:$Q,6,FALSE),0)</f>
        <v>8011</v>
      </c>
      <c r="BI51" s="381">
        <f>IFERROR(VLOOKUP($A51,'Further adjustment'!$A:$Q,9,FALSE),0)</f>
        <v>1324331</v>
      </c>
      <c r="BJ51" s="381">
        <f>IFERROR(VLOOKUP($A51,'Further adjustment'!$A:$Q,8,FALSE),0)</f>
        <v>17182</v>
      </c>
      <c r="BK51" s="382">
        <f t="shared" si="150"/>
        <v>-3.1174571652793026E-2</v>
      </c>
      <c r="BL51" s="382">
        <f t="shared" si="151"/>
        <v>-3.1174571652793026E-2</v>
      </c>
      <c r="BM51" s="382">
        <f t="shared" si="152"/>
        <v>-3.1174571652793137E-2</v>
      </c>
      <c r="BN51" s="382">
        <f t="shared" si="153"/>
        <v>-3.1174571652793137E-2</v>
      </c>
      <c r="BO51" s="369"/>
      <c r="BP51" s="383">
        <f>'Price Adjustments'!$D$90</f>
        <v>-6.8529657693413348E-2</v>
      </c>
      <c r="BQ51" s="384">
        <f t="shared" si="154"/>
        <v>105.24520820450327</v>
      </c>
      <c r="BR51" s="384">
        <f t="shared" si="155"/>
        <v>125.69109284131483</v>
      </c>
      <c r="BS51" s="384">
        <f t="shared" si="156"/>
        <v>71.370032020810484</v>
      </c>
      <c r="BT51" s="384">
        <f t="shared" si="157"/>
        <v>83.42389918767762</v>
      </c>
      <c r="BU51" s="369"/>
      <c r="BV51" s="385" t="str">
        <f>IF(COUNTIF('Manual adjustments'!$A:$A,A51)=1,"Y",IF(COUNTIF(#REF!,A51)=1,"BPT",""))</f>
        <v>Y</v>
      </c>
      <c r="BW51" s="384">
        <f>IF($BV51="",BQ51,IF(AND($BV51="BPT",IFERROR(ISNUMBER(VLOOKUP($A51,#REF!,3,FALSE)),FALSE)),VLOOKUP($A51,#REF!,3,FALSE),IF(AND($BV51="Y",IFERROR(ISNUMBER(VLOOKUP($A51,'Manual adjustments'!$A:$O,12,FALSE)),FALSE)),VLOOKUP($A51,'Manual adjustments'!$A:$O,12,FALSE),BQ51)))</f>
        <v>105.24520820450327</v>
      </c>
      <c r="BX51" s="384">
        <f>IF($BV51="",BR51,IF(AND($BV51="BPT",IFERROR(ISNUMBER(VLOOKUP($A51,#REF!,4,FALSE)),FALSE)),VLOOKUP($A51,#REF!,4,FALSE),IF(AND($BV51="Y",IFERROR(ISNUMBER(VLOOKUP($A51,'Manual adjustments'!$A:$O,13,FALSE)),FALSE)),VLOOKUP($A51,'Manual adjustments'!$A:$O,13,FALSE),BR51)))</f>
        <v>125.69109284131483</v>
      </c>
      <c r="BY51" s="384">
        <f>IF($BV51="",BS51,IF(AND($BV51="BPT",IFERROR(ISNUMBER(VLOOKUP($A51,#REF!,5,FALSE)),FALSE)),VLOOKUP($A51,#REF!,5,FALSE),IF(AND($BV51="Y",IFERROR(ISNUMBER(VLOOKUP($A51,'Manual adjustments'!$A:$O,14,FALSE)),FALSE)),VLOOKUP($A51,'Manual adjustments'!$A:$O,14,FALSE),BS51)))</f>
        <v>71.370032020810484</v>
      </c>
      <c r="BZ51" s="384">
        <f>IF($BV51="",BT51,IF(AND($BV51="BPT",IFERROR(ISNUMBER(VLOOKUP($A51,#REF!,6,FALSE)),FALSE)),VLOOKUP($A51,#REF!,6,FALSE),IF(AND($BV51="Y",IFERROR(ISNUMBER(VLOOKUP($A51,'Manual adjustments'!$A:$O,15,FALSE)),FALSE)),VLOOKUP($A51,'Manual adjustments'!$A:$O,15,FALSE),BT51)))</f>
        <v>83.42389918767762</v>
      </c>
      <c r="CA51" s="386">
        <f>'Post manual recon'!$N$70</f>
        <v>0</v>
      </c>
      <c r="CB51" s="384">
        <f>IF(VLOOKUP($A51,'Post manual recon'!$A:$U,18,FALSE)=0,BW51,BW51*(1+$CA51))</f>
        <v>105.24520820450327</v>
      </c>
      <c r="CC51" s="384">
        <f>IF(VLOOKUP($A51,'Post manual recon'!$A:$U,19,FALSE)=0,BX51,BX51*(1+$CA51))</f>
        <v>125.69109284131483</v>
      </c>
      <c r="CD51" s="384">
        <f>IF(VLOOKUP($A51,'Post manual recon'!$A:$U,20,FALSE)=0,BY51,BY51*(1+$CA51))</f>
        <v>71.370032020810484</v>
      </c>
      <c r="CE51" s="384">
        <f>IF(VLOOKUP($A51,'Post manual recon'!$A:$U,21,FALSE)=0,BZ51,BZ51*(1+$CA51))</f>
        <v>83.42389918767762</v>
      </c>
      <c r="CF51" s="383">
        <f t="shared" si="35"/>
        <v>0</v>
      </c>
      <c r="CG51" s="383">
        <f t="shared" si="36"/>
        <v>0</v>
      </c>
      <c r="CH51" s="383">
        <f t="shared" si="37"/>
        <v>0</v>
      </c>
      <c r="CI51" s="383">
        <f t="shared" si="38"/>
        <v>0</v>
      </c>
      <c r="CJ51" s="369"/>
      <c r="CK51" s="383">
        <f>'Price Adjustments'!$F$6</f>
        <v>0</v>
      </c>
      <c r="CL51" s="384">
        <f t="shared" si="39"/>
        <v>105.24520820450327</v>
      </c>
      <c r="CM51" s="384">
        <f t="shared" si="40"/>
        <v>125.69109284131483</v>
      </c>
      <c r="CN51" s="384">
        <f t="shared" si="41"/>
        <v>71.370032020810484</v>
      </c>
      <c r="CO51" s="384">
        <f t="shared" si="42"/>
        <v>83.42389918767762</v>
      </c>
      <c r="CP51" s="369"/>
      <c r="CQ51" s="384">
        <f t="shared" si="43"/>
        <v>105</v>
      </c>
      <c r="CR51" s="384">
        <f t="shared" si="44"/>
        <v>126</v>
      </c>
      <c r="CS51" s="384">
        <f t="shared" si="45"/>
        <v>71</v>
      </c>
      <c r="CT51" s="384">
        <f t="shared" si="46"/>
        <v>83</v>
      </c>
    </row>
    <row r="52" spans="1:98">
      <c r="A52" s="367">
        <v>340</v>
      </c>
      <c r="B52" s="367" t="str">
        <f>INDEX('201314 RC list'!B:B,MATCH(A52,'201314 RC list'!A:A,0))</f>
        <v>Respiratory Medicine</v>
      </c>
      <c r="C52" s="368">
        <f>IF(ISERROR(VLOOKUP($A52,'Allocate OPROC cost'!A:M,11,FALSE)),"-",VLOOKUP($A52,'Allocate OPROC cost'!A:M,11,FALSE))</f>
        <v>170.88761937010631</v>
      </c>
      <c r="D52" s="368">
        <f>IF(ISERROR(VLOOKUP($A52,'Allocate OPROC cost'!A:M,10,FALSE)),"-",VLOOKUP($A52,'Allocate OPROC cost'!A:M,10,FALSE))</f>
        <v>217.34651578203369</v>
      </c>
      <c r="E52" s="368">
        <f>IF(ISERROR(VLOOKUP($A52,'Allocate OPROC cost'!A:M,13,FALSE)),"-",VLOOKUP($A52,'Allocate OPROC cost'!A:M,13,FALSE))</f>
        <v>123.98869904672587</v>
      </c>
      <c r="F52" s="368">
        <f>IF(ISERROR(VLOOKUP($A52,'Allocate OPROC cost'!A:M,12,FALSE)),"-",VLOOKUP($A52,'Allocate OPROC cost'!A:M,12,FALSE))</f>
        <v>178.90026434933606</v>
      </c>
      <c r="G52" s="369"/>
      <c r="H52" s="370">
        <f>IF(ISERROR(VLOOKUP($A52,'Allocate OPROC cost'!A:AO,39,FALSE)),"-",VLOOKUP($A52,'Allocate OPROC cost'!A:AO,39,FALSE))</f>
        <v>169.10532816085617</v>
      </c>
      <c r="I52" s="370">
        <f>IF(ISERROR(VLOOKUP($A52,'Allocate OPROC cost'!A:AO,38,FALSE)),"-",VLOOKUP($A52,'Allocate OPROC cost'!A:AO,38,FALSE))</f>
        <v>212.95298549245385</v>
      </c>
      <c r="J52" s="370">
        <f>IF(ISERROR(VLOOKUP($A52,'Allocate OPROC cost'!A:AO,41,FALSE)),"-",VLOOKUP($A52,'Allocate OPROC cost'!A:AO,41,FALSE))</f>
        <v>123.82692376199742</v>
      </c>
      <c r="K52" s="370">
        <f>IF(ISERROR(VLOOKUP($A52,'Allocate OPROC cost'!A:AO,40,FALSE)),"-",VLOOKUP($A52,'Allocate OPROC cost'!A:AO,40,FALSE))</f>
        <v>177.4781892807886</v>
      </c>
      <c r="L52" s="371">
        <f t="shared" si="130"/>
        <v>-1.0429609914513915E-2</v>
      </c>
      <c r="M52" s="371">
        <f t="shared" si="131"/>
        <v>-2.0214404053230384E-2</v>
      </c>
      <c r="N52" s="371">
        <f t="shared" si="132"/>
        <v>-1.3047583043636068E-3</v>
      </c>
      <c r="O52" s="371">
        <f t="shared" si="133"/>
        <v>-7.9489824887603033E-3</v>
      </c>
      <c r="P52" s="369"/>
      <c r="Q52" s="372">
        <f>IF(ISERROR(VLOOKUP($A52,'Front-loading'!$A:$AG,27,FALSE)),"-",VLOOKUP($A52,'Front-loading'!$A:$AG,27,FALSE))</f>
        <v>196.01497415096901</v>
      </c>
      <c r="R52" s="372">
        <f>IF(ISERROR(VLOOKUP($A52,'Front-loading'!$A:$AG,26,FALSE)),"-",VLOOKUP($A52,'Front-loading'!$A:$AG,26,FALSE))</f>
        <v>260.20280990905712</v>
      </c>
      <c r="S52" s="372">
        <f>IF(ISERROR(VLOOKUP($A52,'Front-loading'!$A:$AG,29,FALSE)),"-",VLOOKUP($A52,'Front-loading'!$A:$AG,29,FALSE))</f>
        <v>111.44423138579768</v>
      </c>
      <c r="T52" s="372">
        <f>IF(ISERROR(VLOOKUP($A52,'Front-loading'!$A:$AG,28,FALSE)),"-",VLOOKUP($A52,'Front-loading'!$A:$AG,28,FALSE))</f>
        <v>159.73037035270971</v>
      </c>
      <c r="U52" s="373">
        <f t="shared" si="134"/>
        <v>0.15912949806357291</v>
      </c>
      <c r="V52" s="373">
        <f t="shared" si="135"/>
        <v>0.22187913593856434</v>
      </c>
      <c r="W52" s="373">
        <f t="shared" si="136"/>
        <v>-9.9999999999999978E-2</v>
      </c>
      <c r="X52" s="373">
        <f t="shared" si="137"/>
        <v>-0.10000000000000009</v>
      </c>
      <c r="Y52" s="369"/>
      <c r="Z52" s="374">
        <f>IF(ISERROR(VLOOKUP($A52,'Further adjustment'!$A:$BC,53,FALSE)),"-",VLOOKUP($A52,'Further adjustment'!$A:$BC,53,FALSE))</f>
        <v>196.01497415096901</v>
      </c>
      <c r="AA52" s="374">
        <f>IF(ISERROR(VLOOKUP($A52,'Further adjustment'!$A:$BC,52,FALSE)),"-",VLOOKUP($A52,'Further adjustment'!$A:$BC,52,FALSE))</f>
        <v>260.20280990905712</v>
      </c>
      <c r="AB52" s="374">
        <f>IF(ISERROR(VLOOKUP($A52,'Further adjustment'!$A:$BC,55,FALSE)),"-",VLOOKUP($A52,'Further adjustment'!$A:$BC,55,FALSE))</f>
        <v>111.44423138579768</v>
      </c>
      <c r="AC52" s="374">
        <f>IF(ISERROR(VLOOKUP($A52,'Further adjustment'!$A:$BC,54,FALSE)),"-",VLOOKUP($A52,'Further adjustment'!$A:$BC,54,FALSE))</f>
        <v>159.73037035270971</v>
      </c>
      <c r="AD52" s="375">
        <f t="shared" si="138"/>
        <v>0</v>
      </c>
      <c r="AE52" s="375">
        <f t="shared" si="139"/>
        <v>0</v>
      </c>
      <c r="AF52" s="375">
        <f t="shared" si="140"/>
        <v>0</v>
      </c>
      <c r="AG52" s="375">
        <f t="shared" si="141"/>
        <v>0</v>
      </c>
      <c r="AH52" s="369"/>
      <c r="AI52" s="376">
        <f>'Price Adjustments'!$G$6</f>
        <v>-3.1174571652793026E-2</v>
      </c>
      <c r="AJ52" s="376">
        <v>0</v>
      </c>
      <c r="AK52" s="377">
        <f t="shared" si="31"/>
        <v>189.90429129427926</v>
      </c>
      <c r="AL52" s="377">
        <f t="shared" si="32"/>
        <v>252.09109876728914</v>
      </c>
      <c r="AM52" s="377">
        <f t="shared" si="33"/>
        <v>107.97000520917068</v>
      </c>
      <c r="AN52" s="377">
        <f t="shared" si="34"/>
        <v>154.75084447702199</v>
      </c>
      <c r="AO52" s="378">
        <f t="shared" si="142"/>
        <v>-3.1174571652793026E-2</v>
      </c>
      <c r="AP52" s="378">
        <f t="shared" si="143"/>
        <v>-3.1174571652793026E-2</v>
      </c>
      <c r="AQ52" s="378">
        <f t="shared" si="144"/>
        <v>-3.1174571652793026E-2</v>
      </c>
      <c r="AR52" s="378">
        <f t="shared" si="145"/>
        <v>-3.1174571652793137E-2</v>
      </c>
      <c r="AS52" s="379">
        <f>'Price Adjustments'!$F$6</f>
        <v>0</v>
      </c>
      <c r="AT52" s="377">
        <f>IF(ISERROR(VLOOKUP($A52,'15-16 tariff'!$A:$F,3,FALSE)*(1+$AS$6)),"-",VLOOKUP($A52,'15-16 tariff'!$A:$F,3,FALSE)*(1+$AS$6))</f>
        <v>179.5264567405186</v>
      </c>
      <c r="AU52" s="377">
        <f>IF(ISERROR(VLOOKUP($A52,'15-16 tariff'!$A:$F,4,FALSE)*(1+$AS$6)),"-",VLOOKUP($A52,'15-16 tariff'!$A:$F,4,FALSE)*(1+$AS$6))</f>
        <v>273.6658041548323</v>
      </c>
      <c r="AV52" s="377">
        <f>IF(ISERROR(VLOOKUP($A52,'15-16 tariff'!$A:$F,5,FALSE)*(1+$AS$6)),"-",VLOOKUP($A52,'15-16 tariff'!$A:$F,5,FALSE)*(1+$AS$6))</f>
        <v>104.11550081812261</v>
      </c>
      <c r="AW52" s="377">
        <f>IF(ISERROR(VLOOKUP($A52,'15-16 tariff'!$A:$F,6,FALSE)*(1+$AS$6)),"-",VLOOKUP($A52,'15-16 tariff'!$A:$F,6,FALSE)*(1+$AS$6))</f>
        <v>171.16034224827675</v>
      </c>
      <c r="AX52" s="369"/>
      <c r="AY52" s="380" t="s">
        <v>307</v>
      </c>
      <c r="AZ52" s="380" t="s">
        <v>307</v>
      </c>
      <c r="BA52" s="380" t="s">
        <v>307</v>
      </c>
      <c r="BB52" s="381" t="s">
        <v>307</v>
      </c>
      <c r="BC52" s="381">
        <f t="shared" si="146"/>
        <v>189.90429129427926</v>
      </c>
      <c r="BD52" s="381">
        <f t="shared" si="147"/>
        <v>252.09109876728914</v>
      </c>
      <c r="BE52" s="381">
        <f t="shared" si="148"/>
        <v>107.97000520917068</v>
      </c>
      <c r="BF52" s="381">
        <f t="shared" si="149"/>
        <v>154.75084447702199</v>
      </c>
      <c r="BG52" s="381">
        <f>IFERROR(VLOOKUP($A52,'Further adjustment'!$A:$Q,7,FALSE),0)</f>
        <v>334650</v>
      </c>
      <c r="BH52" s="381">
        <f>IFERROR(VLOOKUP($A52,'Further adjustment'!$A:$Q,6,FALSE),0)</f>
        <v>13097</v>
      </c>
      <c r="BI52" s="381">
        <f>IFERROR(VLOOKUP($A52,'Further adjustment'!$A:$Q,9,FALSE),0)</f>
        <v>727250</v>
      </c>
      <c r="BJ52" s="381">
        <f>IFERROR(VLOOKUP($A52,'Further adjustment'!$A:$Q,8,FALSE),0)</f>
        <v>34868</v>
      </c>
      <c r="BK52" s="382">
        <f t="shared" si="150"/>
        <v>-3.1174571652793026E-2</v>
      </c>
      <c r="BL52" s="382">
        <f t="shared" si="151"/>
        <v>-3.1174571652793026E-2</v>
      </c>
      <c r="BM52" s="382">
        <f t="shared" si="152"/>
        <v>-3.1174571652793026E-2</v>
      </c>
      <c r="BN52" s="382">
        <f t="shared" si="153"/>
        <v>-3.1174571652793137E-2</v>
      </c>
      <c r="BO52" s="369"/>
      <c r="BP52" s="383">
        <f>'Price Adjustments'!$D$90</f>
        <v>-6.8529657693413348E-2</v>
      </c>
      <c r="BQ52" s="384">
        <f t="shared" si="154"/>
        <v>176.89021521737206</v>
      </c>
      <c r="BR52" s="384">
        <f t="shared" si="155"/>
        <v>234.81538206121036</v>
      </c>
      <c r="BS52" s="384">
        <f t="shared" si="156"/>
        <v>100.57085771103016</v>
      </c>
      <c r="BT52" s="384">
        <f t="shared" si="157"/>
        <v>144.14582207724501</v>
      </c>
      <c r="BU52" s="369"/>
      <c r="BV52" s="385" t="str">
        <f>IF(COUNTIF('Manual adjustments'!$A:$A,A52)=1,"Y",IF(COUNTIF(#REF!,A52)=1,"BPT",""))</f>
        <v>Y</v>
      </c>
      <c r="BW52" s="384">
        <f>IF($BV52="",BQ52,IF(AND($BV52="BPT",IFERROR(ISNUMBER(VLOOKUP($A52,#REF!,3,FALSE)),FALSE)),VLOOKUP($A52,#REF!,3,FALSE),IF(AND($BV52="Y",IFERROR(ISNUMBER(VLOOKUP($A52,'Manual adjustments'!$A:$O,12,FALSE)),FALSE)),VLOOKUP($A52,'Manual adjustments'!$A:$O,12,FALSE),BQ52)))</f>
        <v>176.89021521737206</v>
      </c>
      <c r="BX52" s="384">
        <f>IF($BV52="",BR52,IF(AND($BV52="BPT",IFERROR(ISNUMBER(VLOOKUP($A52,#REF!,4,FALSE)),FALSE)),VLOOKUP($A52,#REF!,4,FALSE),IF(AND($BV52="Y",IFERROR(ISNUMBER(VLOOKUP($A52,'Manual adjustments'!$A:$O,13,FALSE)),FALSE)),VLOOKUP($A52,'Manual adjustments'!$A:$O,13,FALSE),BR52)))</f>
        <v>234.81538206121036</v>
      </c>
      <c r="BY52" s="384">
        <f>IF($BV52="",BS52,IF(AND($BV52="BPT",IFERROR(ISNUMBER(VLOOKUP($A52,#REF!,5,FALSE)),FALSE)),VLOOKUP($A52,#REF!,5,FALSE),IF(AND($BV52="Y",IFERROR(ISNUMBER(VLOOKUP($A52,'Manual adjustments'!$A:$O,14,FALSE)),FALSE)),VLOOKUP($A52,'Manual adjustments'!$A:$O,14,FALSE),BS52)))</f>
        <v>100.57085771103016</v>
      </c>
      <c r="BZ52" s="384">
        <f>IF($BV52="",BT52,IF(AND($BV52="BPT",IFERROR(ISNUMBER(VLOOKUP($A52,#REF!,6,FALSE)),FALSE)),VLOOKUP($A52,#REF!,6,FALSE),IF(AND($BV52="Y",IFERROR(ISNUMBER(VLOOKUP($A52,'Manual adjustments'!$A:$O,15,FALSE)),FALSE)),VLOOKUP($A52,'Manual adjustments'!$A:$O,15,FALSE),BT52)))</f>
        <v>144.14582207724501</v>
      </c>
      <c r="CA52" s="386">
        <f>'Post manual recon'!$N$70</f>
        <v>0</v>
      </c>
      <c r="CB52" s="384">
        <f>IF(VLOOKUP($A52,'Post manual recon'!$A:$U,18,FALSE)=0,BW52,BW52*(1+$CA52))</f>
        <v>176.89021521737206</v>
      </c>
      <c r="CC52" s="384">
        <f>IF(VLOOKUP($A52,'Post manual recon'!$A:$U,19,FALSE)=0,BX52,BX52*(1+$CA52))</f>
        <v>234.81538206121036</v>
      </c>
      <c r="CD52" s="384">
        <f>IF(VLOOKUP($A52,'Post manual recon'!$A:$U,20,FALSE)=0,BY52,BY52*(1+$CA52))</f>
        <v>100.57085771103016</v>
      </c>
      <c r="CE52" s="384">
        <f>IF(VLOOKUP($A52,'Post manual recon'!$A:$U,21,FALSE)=0,BZ52,BZ52*(1+$CA52))</f>
        <v>144.14582207724501</v>
      </c>
      <c r="CF52" s="383">
        <f t="shared" si="35"/>
        <v>0</v>
      </c>
      <c r="CG52" s="383">
        <f t="shared" si="36"/>
        <v>0</v>
      </c>
      <c r="CH52" s="383">
        <f t="shared" si="37"/>
        <v>0</v>
      </c>
      <c r="CI52" s="383">
        <f t="shared" si="38"/>
        <v>0</v>
      </c>
      <c r="CJ52" s="369"/>
      <c r="CK52" s="383">
        <f>'Price Adjustments'!$F$6</f>
        <v>0</v>
      </c>
      <c r="CL52" s="384">
        <f t="shared" si="39"/>
        <v>176.89021521737206</v>
      </c>
      <c r="CM52" s="384">
        <f t="shared" si="40"/>
        <v>234.81538206121036</v>
      </c>
      <c r="CN52" s="384">
        <f t="shared" si="41"/>
        <v>100.57085771103016</v>
      </c>
      <c r="CO52" s="384">
        <f t="shared" si="42"/>
        <v>144.14582207724501</v>
      </c>
      <c r="CP52" s="369"/>
      <c r="CQ52" s="384">
        <f t="shared" si="43"/>
        <v>177</v>
      </c>
      <c r="CR52" s="384">
        <f t="shared" si="44"/>
        <v>235</v>
      </c>
      <c r="CS52" s="384">
        <f t="shared" si="45"/>
        <v>101</v>
      </c>
      <c r="CT52" s="384">
        <f t="shared" si="46"/>
        <v>144</v>
      </c>
    </row>
    <row r="53" spans="1:98">
      <c r="A53" s="367">
        <v>341</v>
      </c>
      <c r="B53" s="367" t="str">
        <f>INDEX('201314 RC list'!B:B,MATCH(A53,'201314 RC list'!A:A,0))</f>
        <v>Respiratory Physiology</v>
      </c>
      <c r="C53" s="368">
        <f>IF(ISERROR(VLOOKUP($A53,'Allocate OPROC cost'!A:M,11,FALSE)),"-",VLOOKUP($A53,'Allocate OPROC cost'!A:M,11,FALSE))</f>
        <v>116.45704531002175</v>
      </c>
      <c r="D53" s="368">
        <f>IF(ISERROR(VLOOKUP($A53,'Allocate OPROC cost'!A:M,10,FALSE)),"-",VLOOKUP($A53,'Allocate OPROC cost'!A:M,10,FALSE))</f>
        <v>37.942834176514332</v>
      </c>
      <c r="E53" s="368">
        <f>IF(ISERROR(VLOOKUP($A53,'Allocate OPROC cost'!A:M,13,FALSE)),"-",VLOOKUP($A53,'Allocate OPROC cost'!A:M,13,FALSE))</f>
        <v>131.29698231792312</v>
      </c>
      <c r="F53" s="368">
        <f>IF(ISERROR(VLOOKUP($A53,'Allocate OPROC cost'!A:M,12,FALSE)),"-",VLOOKUP($A53,'Allocate OPROC cost'!A:M,12,FALSE))</f>
        <v>91.18279683963317</v>
      </c>
      <c r="G53" s="369"/>
      <c r="H53" s="370">
        <f>IF(ISERROR(VLOOKUP($A53,'Allocate OPROC cost'!A:AO,39,FALSE)),"-",VLOOKUP($A53,'Allocate OPROC cost'!A:AO,39,FALSE))</f>
        <v>116.49433090730544</v>
      </c>
      <c r="I53" s="370">
        <f>IF(ISERROR(VLOOKUP($A53,'Allocate OPROC cost'!A:AO,38,FALSE)),"-",VLOOKUP($A53,'Allocate OPROC cost'!A:AO,38,FALSE))</f>
        <v>38.668236720133557</v>
      </c>
      <c r="J53" s="370">
        <f>IF(ISERROR(VLOOKUP($A53,'Allocate OPROC cost'!A:AO,41,FALSE)),"-",VLOOKUP($A53,'Allocate OPROC cost'!A:AO,41,FALSE))</f>
        <v>130.8843681618599</v>
      </c>
      <c r="K53" s="370">
        <f>IF(ISERROR(VLOOKUP($A53,'Allocate OPROC cost'!A:AO,40,FALSE)),"-",VLOOKUP($A53,'Allocate OPROC cost'!A:AO,40,FALSE))</f>
        <v>91.671334243489085</v>
      </c>
      <c r="L53" s="371">
        <f t="shared" si="130"/>
        <v>3.2016609372509386E-4</v>
      </c>
      <c r="M53" s="371">
        <f t="shared" si="131"/>
        <v>1.9118301501795276E-2</v>
      </c>
      <c r="N53" s="371">
        <f t="shared" si="132"/>
        <v>-3.1426019759092094E-3</v>
      </c>
      <c r="O53" s="371">
        <f t="shared" si="133"/>
        <v>5.3577804233744253E-3</v>
      </c>
      <c r="P53" s="369"/>
      <c r="Q53" s="372">
        <f>IF(ISERROR(VLOOKUP($A53,'Front-loading'!$A:$AG,27,FALSE)),"-",VLOOKUP($A53,'Front-loading'!$A:$AG,27,FALSE))</f>
        <v>147.92412214816326</v>
      </c>
      <c r="R53" s="372">
        <f>IF(ISERROR(VLOOKUP($A53,'Front-loading'!$A:$AG,26,FALSE)),"-",VLOOKUP($A53,'Front-loading'!$A:$AG,26,FALSE))</f>
        <v>45.686823248150695</v>
      </c>
      <c r="S53" s="372">
        <f>IF(ISERROR(VLOOKUP($A53,'Front-loading'!$A:$AG,29,FALSE)),"-",VLOOKUP($A53,'Front-loading'!$A:$AG,29,FALSE))</f>
        <v>117.79593134567392</v>
      </c>
      <c r="T53" s="372">
        <f>IF(ISERROR(VLOOKUP($A53,'Front-loading'!$A:$AG,28,FALSE)),"-",VLOOKUP($A53,'Front-loading'!$A:$AG,28,FALSE))</f>
        <v>82.504200819140181</v>
      </c>
      <c r="U53" s="373">
        <f t="shared" si="134"/>
        <v>0.26979674458035663</v>
      </c>
      <c r="V53" s="373">
        <f t="shared" si="135"/>
        <v>0.18150779873452927</v>
      </c>
      <c r="W53" s="373">
        <f t="shared" si="136"/>
        <v>-9.9999999999999867E-2</v>
      </c>
      <c r="X53" s="373">
        <f t="shared" si="137"/>
        <v>-9.9999999999999978E-2</v>
      </c>
      <c r="Y53" s="369"/>
      <c r="Z53" s="374">
        <f>IF(ISERROR(VLOOKUP($A53,'Further adjustment'!$A:$BC,53,FALSE)),"-",VLOOKUP($A53,'Further adjustment'!$A:$BC,53,FALSE))</f>
        <v>147.16786636845765</v>
      </c>
      <c r="AA53" s="374">
        <f>IF(ISERROR(VLOOKUP($A53,'Further adjustment'!$A:$BC,52,FALSE)),"-",VLOOKUP($A53,'Further adjustment'!$A:$BC,52,FALSE))</f>
        <v>147.16786636845765</v>
      </c>
      <c r="AB53" s="374">
        <f>IF(ISERROR(VLOOKUP($A53,'Further adjustment'!$A:$BC,55,FALSE)),"-",VLOOKUP($A53,'Further adjustment'!$A:$BC,55,FALSE))</f>
        <v>117.63807402375338</v>
      </c>
      <c r="AC53" s="374">
        <f>IF(ISERROR(VLOOKUP($A53,'Further adjustment'!$A:$BC,54,FALSE)),"-",VLOOKUP($A53,'Further adjustment'!$A:$BC,54,FALSE))</f>
        <v>117.63807402375338</v>
      </c>
      <c r="AD53" s="375">
        <f t="shared" si="138"/>
        <v>-5.1124574459068262E-3</v>
      </c>
      <c r="AE53" s="375">
        <f t="shared" si="139"/>
        <v>2.2212322045047133</v>
      </c>
      <c r="AF53" s="375">
        <f t="shared" si="140"/>
        <v>-1.3400914625592009E-3</v>
      </c>
      <c r="AG53" s="375">
        <f t="shared" si="141"/>
        <v>0.42584344622198289</v>
      </c>
      <c r="AH53" s="369"/>
      <c r="AI53" s="376">
        <f>'Price Adjustments'!$G$6</f>
        <v>-3.1174571652793026E-2</v>
      </c>
      <c r="AJ53" s="376">
        <v>0</v>
      </c>
      <c r="AK53" s="377">
        <f t="shared" si="31"/>
        <v>142.57997117336549</v>
      </c>
      <c r="AL53" s="377">
        <f t="shared" si="32"/>
        <v>142.57997117336549</v>
      </c>
      <c r="AM53" s="377">
        <f t="shared" si="33"/>
        <v>113.97075745600331</v>
      </c>
      <c r="AN53" s="377">
        <f t="shared" si="34"/>
        <v>113.97075745600331</v>
      </c>
      <c r="AO53" s="378">
        <f t="shared" si="142"/>
        <v>-3.1174571652793026E-2</v>
      </c>
      <c r="AP53" s="378">
        <f t="shared" si="143"/>
        <v>-3.1174571652793026E-2</v>
      </c>
      <c r="AQ53" s="378">
        <f t="shared" si="144"/>
        <v>-3.1174571652793026E-2</v>
      </c>
      <c r="AR53" s="378">
        <f t="shared" si="145"/>
        <v>-3.1174571652793026E-2</v>
      </c>
      <c r="AS53" s="379">
        <f>'Price Adjustments'!$F$6</f>
        <v>0</v>
      </c>
      <c r="AT53" s="377">
        <f>IF(ISERROR(VLOOKUP($A53,'15-16 tariff'!$A:$F,3,FALSE)*(1+$AS$6)),"-",VLOOKUP($A53,'15-16 tariff'!$A:$F,3,FALSE)*(1+$AS$6))</f>
        <v>164.73113070785851</v>
      </c>
      <c r="AU53" s="377">
        <f>IF(ISERROR(VLOOKUP($A53,'15-16 tariff'!$A:$F,4,FALSE)*(1+$AS$6)),"-",VLOOKUP($A53,'15-16 tariff'!$A:$F,4,FALSE)*(1+$AS$6))</f>
        <v>329.46226141571702</v>
      </c>
      <c r="AV53" s="377">
        <f>IF(ISERROR(VLOOKUP($A53,'15-16 tariff'!$A:$F,5,FALSE)*(1+$AS$6)),"-",VLOOKUP($A53,'15-16 tariff'!$A:$F,5,FALSE)*(1+$AS$6))</f>
        <v>134.9387086665669</v>
      </c>
      <c r="AW53" s="377">
        <f>IF(ISERROR(VLOOKUP($A53,'15-16 tariff'!$A:$F,6,FALSE)*(1+$AS$6)),"-",VLOOKUP($A53,'15-16 tariff'!$A:$F,6,FALSE)*(1+$AS$6))</f>
        <v>269.87741733313379</v>
      </c>
      <c r="AX53" s="369"/>
      <c r="AY53" s="380" t="s">
        <v>307</v>
      </c>
      <c r="AZ53" s="380" t="s">
        <v>307</v>
      </c>
      <c r="BA53" s="380" t="s">
        <v>307</v>
      </c>
      <c r="BB53" s="381" t="s">
        <v>307</v>
      </c>
      <c r="BC53" s="381">
        <f t="shared" si="146"/>
        <v>142.57997117336549</v>
      </c>
      <c r="BD53" s="381">
        <f t="shared" si="147"/>
        <v>142.57997117336549</v>
      </c>
      <c r="BE53" s="381">
        <f t="shared" si="148"/>
        <v>113.97075745600331</v>
      </c>
      <c r="BF53" s="381">
        <f t="shared" si="149"/>
        <v>113.97075745600331</v>
      </c>
      <c r="BG53" s="381">
        <f>IFERROR(VLOOKUP($A53,'Further adjustment'!$A:$Q,7,FALSE),0)</f>
        <v>28948</v>
      </c>
      <c r="BH53" s="381">
        <f>IFERROR(VLOOKUP($A53,'Further adjustment'!$A:$Q,6,FALSE),0)</f>
        <v>256</v>
      </c>
      <c r="BI53" s="381">
        <f>IFERROR(VLOOKUP($A53,'Further adjustment'!$A:$Q,9,FALSE),0)</f>
        <v>69514</v>
      </c>
      <c r="BJ53" s="381">
        <f>IFERROR(VLOOKUP($A53,'Further adjustment'!$A:$Q,8,FALSE),0)</f>
        <v>196</v>
      </c>
      <c r="BK53" s="382">
        <f t="shared" si="150"/>
        <v>-3.1174571652793026E-2</v>
      </c>
      <c r="BL53" s="382">
        <f t="shared" si="151"/>
        <v>-3.1174571652793026E-2</v>
      </c>
      <c r="BM53" s="382">
        <f t="shared" si="152"/>
        <v>-3.1174571652793026E-2</v>
      </c>
      <c r="BN53" s="382">
        <f t="shared" si="153"/>
        <v>-3.1174571652793026E-2</v>
      </c>
      <c r="BO53" s="369"/>
      <c r="BP53" s="383">
        <f>'Price Adjustments'!$D$90</f>
        <v>-6.8529657693413348E-2</v>
      </c>
      <c r="BQ53" s="384">
        <f t="shared" si="154"/>
        <v>132.80901455491801</v>
      </c>
      <c r="BR53" s="384">
        <f t="shared" si="155"/>
        <v>132.80901455491801</v>
      </c>
      <c r="BS53" s="384">
        <f t="shared" si="156"/>
        <v>106.16038046048436</v>
      </c>
      <c r="BT53" s="384">
        <f t="shared" si="157"/>
        <v>106.16038046048436</v>
      </c>
      <c r="BU53" s="369"/>
      <c r="BV53" s="385" t="str">
        <f>IF(COUNTIF('Manual adjustments'!$A:$A,A53)=1,"Y",IF(COUNTIF(#REF!,A53)=1,"BPT",""))</f>
        <v>Y</v>
      </c>
      <c r="BW53" s="384">
        <f>IF($BV53="",BQ53,IF(AND($BV53="BPT",IFERROR(ISNUMBER(VLOOKUP($A53,#REF!,3,FALSE)),FALSE)),VLOOKUP($A53,#REF!,3,FALSE),IF(AND($BV53="Y",IFERROR(ISNUMBER(VLOOKUP($A53,'Manual adjustments'!$A:$O,12,FALSE)),FALSE)),VLOOKUP($A53,'Manual adjustments'!$A:$O,12,FALSE),BQ53)))</f>
        <v>132.80901455491801</v>
      </c>
      <c r="BX53" s="384">
        <f>IF($BV53="",BR53,IF(AND($BV53="BPT",IFERROR(ISNUMBER(VLOOKUP($A53,#REF!,4,FALSE)),FALSE)),VLOOKUP($A53,#REF!,4,FALSE),IF(AND($BV53="Y",IFERROR(ISNUMBER(VLOOKUP($A53,'Manual adjustments'!$A:$O,13,FALSE)),FALSE)),VLOOKUP($A53,'Manual adjustments'!$A:$O,13,FALSE),BR53)))</f>
        <v>132.80901455491801</v>
      </c>
      <c r="BY53" s="384">
        <f>IF($BV53="",BS53,IF(AND($BV53="BPT",IFERROR(ISNUMBER(VLOOKUP($A53,#REF!,5,FALSE)),FALSE)),VLOOKUP($A53,#REF!,5,FALSE),IF(AND($BV53="Y",IFERROR(ISNUMBER(VLOOKUP($A53,'Manual adjustments'!$A:$O,14,FALSE)),FALSE)),VLOOKUP($A53,'Manual adjustments'!$A:$O,14,FALSE),BS53)))</f>
        <v>106.16038046048436</v>
      </c>
      <c r="BZ53" s="384">
        <f>IF($BV53="",BT53,IF(AND($BV53="BPT",IFERROR(ISNUMBER(VLOOKUP($A53,#REF!,6,FALSE)),FALSE)),VLOOKUP($A53,#REF!,6,FALSE),IF(AND($BV53="Y",IFERROR(ISNUMBER(VLOOKUP($A53,'Manual adjustments'!$A:$O,15,FALSE)),FALSE)),VLOOKUP($A53,'Manual adjustments'!$A:$O,15,FALSE),BT53)))</f>
        <v>106.16038046048436</v>
      </c>
      <c r="CA53" s="386">
        <f>'Post manual recon'!$N$70</f>
        <v>0</v>
      </c>
      <c r="CB53" s="384">
        <f>IF(VLOOKUP($A53,'Post manual recon'!$A:$U,18,FALSE)=0,BW53,BW53*(1+$CA53))</f>
        <v>132.80901455491801</v>
      </c>
      <c r="CC53" s="384">
        <f>IF(VLOOKUP($A53,'Post manual recon'!$A:$U,19,FALSE)=0,BX53,BX53*(1+$CA53))</f>
        <v>132.80901455491801</v>
      </c>
      <c r="CD53" s="384">
        <f>IF(VLOOKUP($A53,'Post manual recon'!$A:$U,20,FALSE)=0,BY53,BY53*(1+$CA53))</f>
        <v>106.16038046048436</v>
      </c>
      <c r="CE53" s="384">
        <f>IF(VLOOKUP($A53,'Post manual recon'!$A:$U,21,FALSE)=0,BZ53,BZ53*(1+$CA53))</f>
        <v>106.16038046048436</v>
      </c>
      <c r="CF53" s="383">
        <f t="shared" si="35"/>
        <v>0</v>
      </c>
      <c r="CG53" s="383">
        <f t="shared" si="36"/>
        <v>0</v>
      </c>
      <c r="CH53" s="383">
        <f t="shared" si="37"/>
        <v>0</v>
      </c>
      <c r="CI53" s="383">
        <f t="shared" si="38"/>
        <v>0</v>
      </c>
      <c r="CJ53" s="369"/>
      <c r="CK53" s="383">
        <f>'Price Adjustments'!$F$6</f>
        <v>0</v>
      </c>
      <c r="CL53" s="384">
        <f t="shared" si="39"/>
        <v>132.80901455491801</v>
      </c>
      <c r="CM53" s="384">
        <f t="shared" si="40"/>
        <v>132.80901455491801</v>
      </c>
      <c r="CN53" s="384">
        <f t="shared" si="41"/>
        <v>106.16038046048436</v>
      </c>
      <c r="CO53" s="384">
        <f t="shared" si="42"/>
        <v>106.16038046048436</v>
      </c>
      <c r="CP53" s="369"/>
      <c r="CQ53" s="384">
        <f t="shared" si="43"/>
        <v>133</v>
      </c>
      <c r="CR53" s="384">
        <f t="shared" si="44"/>
        <v>133</v>
      </c>
      <c r="CS53" s="384">
        <f t="shared" si="45"/>
        <v>106</v>
      </c>
      <c r="CT53" s="384">
        <f t="shared" si="46"/>
        <v>106</v>
      </c>
    </row>
    <row r="54" spans="1:98">
      <c r="A54" s="367">
        <v>350</v>
      </c>
      <c r="B54" s="367" t="str">
        <f>INDEX('201314 RC list'!B:B,MATCH(A54,'201314 RC list'!A:A,0))</f>
        <v>Infectious Diseases</v>
      </c>
      <c r="C54" s="368">
        <f>IF(ISERROR(VLOOKUP($A54,'Allocate OPROC cost'!A:M,11,FALSE)),"-",VLOOKUP($A54,'Allocate OPROC cost'!A:M,11,FALSE))</f>
        <v>235.95037088154319</v>
      </c>
      <c r="D54" s="368">
        <f>IF(ISERROR(VLOOKUP($A54,'Allocate OPROC cost'!A:M,10,FALSE)),"-",VLOOKUP($A54,'Allocate OPROC cost'!A:M,10,FALSE))</f>
        <v>182.01802771317512</v>
      </c>
      <c r="E54" s="368">
        <f>IF(ISERROR(VLOOKUP($A54,'Allocate OPROC cost'!A:M,13,FALSE)),"-",VLOOKUP($A54,'Allocate OPROC cost'!A:M,13,FALSE))</f>
        <v>207.15407455382768</v>
      </c>
      <c r="F54" s="368">
        <f>IF(ISERROR(VLOOKUP($A54,'Allocate OPROC cost'!A:M,12,FALSE)),"-",VLOOKUP($A54,'Allocate OPROC cost'!A:M,12,FALSE))</f>
        <v>189.24641066491162</v>
      </c>
      <c r="G54" s="369"/>
      <c r="H54" s="370">
        <f>IF(ISERROR(VLOOKUP($A54,'Allocate OPROC cost'!A:AO,39,FALSE)),"-",VLOOKUP($A54,'Allocate OPROC cost'!A:AO,39,FALSE))</f>
        <v>235.56736549056731</v>
      </c>
      <c r="I54" s="370">
        <f>IF(ISERROR(VLOOKUP($A54,'Allocate OPROC cost'!A:AO,38,FALSE)),"-",VLOOKUP($A54,'Allocate OPROC cost'!A:AO,38,FALSE))</f>
        <v>181.69599762868083</v>
      </c>
      <c r="J54" s="370">
        <f>IF(ISERROR(VLOOKUP($A54,'Allocate OPROC cost'!A:AO,41,FALSE)),"-",VLOOKUP($A54,'Allocate OPROC cost'!A:AO,41,FALSE))</f>
        <v>206.97377037554628</v>
      </c>
      <c r="K54" s="370">
        <f>IF(ISERROR(VLOOKUP($A54,'Allocate OPROC cost'!A:AO,40,FALSE)),"-",VLOOKUP($A54,'Allocate OPROC cost'!A:AO,40,FALSE))</f>
        <v>189.19686636158383</v>
      </c>
      <c r="L54" s="371">
        <f t="shared" si="130"/>
        <v>-1.6232455560248882E-3</v>
      </c>
      <c r="M54" s="371">
        <f t="shared" si="131"/>
        <v>-1.7692208213668792E-3</v>
      </c>
      <c r="N54" s="371">
        <f t="shared" si="132"/>
        <v>-8.7038683004303508E-4</v>
      </c>
      <c r="O54" s="371">
        <f t="shared" si="133"/>
        <v>-2.6179784944779794E-4</v>
      </c>
      <c r="P54" s="369"/>
      <c r="Q54" s="372">
        <f>IF(ISERROR(VLOOKUP($A54,'Front-loading'!$A:$AG,27,FALSE)),"-",VLOOKUP($A54,'Front-loading'!$A:$AG,27,FALSE))</f>
        <v>306.78751360037052</v>
      </c>
      <c r="R54" s="372">
        <f>IF(ISERROR(VLOOKUP($A54,'Front-loading'!$A:$AG,26,FALSE)),"-",VLOOKUP($A54,'Front-loading'!$A:$AG,26,FALSE))</f>
        <v>239.82075987056876</v>
      </c>
      <c r="S54" s="372">
        <f>IF(ISERROR(VLOOKUP($A54,'Front-loading'!$A:$AG,29,FALSE)),"-",VLOOKUP($A54,'Front-loading'!$A:$AG,29,FALSE))</f>
        <v>186.27639333799166</v>
      </c>
      <c r="T54" s="372">
        <f>IF(ISERROR(VLOOKUP($A54,'Front-loading'!$A:$AG,28,FALSE)),"-",VLOOKUP($A54,'Front-loading'!$A:$AG,28,FALSE))</f>
        <v>170.27717972542544</v>
      </c>
      <c r="U54" s="373">
        <f t="shared" si="134"/>
        <v>0.30233452737176791</v>
      </c>
      <c r="V54" s="373">
        <f t="shared" si="135"/>
        <v>0.31990117008891628</v>
      </c>
      <c r="W54" s="373">
        <f t="shared" si="136"/>
        <v>-9.9999999999999978E-2</v>
      </c>
      <c r="X54" s="373">
        <f t="shared" si="137"/>
        <v>-9.9999999999999978E-2</v>
      </c>
      <c r="Y54" s="369"/>
      <c r="Z54" s="374">
        <f>IF(ISERROR(VLOOKUP($A54,'Further adjustment'!$A:$BC,53,FALSE)),"-",VLOOKUP($A54,'Further adjustment'!$A:$BC,53,FALSE))</f>
        <v>301.91758993108863</v>
      </c>
      <c r="AA54" s="374">
        <f>IF(ISERROR(VLOOKUP($A54,'Further adjustment'!$A:$BC,52,FALSE)),"-",VLOOKUP($A54,'Further adjustment'!$A:$BC,52,FALSE))</f>
        <v>301.91758993108863</v>
      </c>
      <c r="AB54" s="374">
        <f>IF(ISERROR(VLOOKUP($A54,'Further adjustment'!$A:$BC,55,FALSE)),"-",VLOOKUP($A54,'Further adjustment'!$A:$BC,55,FALSE))</f>
        <v>185.22945817018859</v>
      </c>
      <c r="AC54" s="374">
        <f>IF(ISERROR(VLOOKUP($A54,'Further adjustment'!$A:$BC,54,FALSE)),"-",VLOOKUP($A54,'Further adjustment'!$A:$BC,54,FALSE))</f>
        <v>185.22945817018859</v>
      </c>
      <c r="AD54" s="375">
        <f t="shared" si="138"/>
        <v>-1.5873930500396982E-2</v>
      </c>
      <c r="AE54" s="375">
        <f t="shared" si="139"/>
        <v>0.25893016974024063</v>
      </c>
      <c r="AF54" s="375">
        <f t="shared" si="140"/>
        <v>-5.6203319650034445E-3</v>
      </c>
      <c r="AG54" s="375">
        <f t="shared" si="141"/>
        <v>8.7811405314992541E-2</v>
      </c>
      <c r="AH54" s="369"/>
      <c r="AI54" s="376">
        <f>'Price Adjustments'!$G$6</f>
        <v>-3.1174571652793026E-2</v>
      </c>
      <c r="AJ54" s="376">
        <v>0</v>
      </c>
      <c r="AK54" s="377">
        <f t="shared" si="31"/>
        <v>292.5054383905433</v>
      </c>
      <c r="AL54" s="377">
        <f t="shared" si="32"/>
        <v>292.5054383905433</v>
      </c>
      <c r="AM54" s="377">
        <f t="shared" si="33"/>
        <v>179.45500915425401</v>
      </c>
      <c r="AN54" s="377">
        <f t="shared" si="34"/>
        <v>179.45500915425401</v>
      </c>
      <c r="AO54" s="378">
        <f t="shared" si="142"/>
        <v>-3.1174571652793137E-2</v>
      </c>
      <c r="AP54" s="378">
        <f t="shared" si="143"/>
        <v>-3.1174571652793137E-2</v>
      </c>
      <c r="AQ54" s="378">
        <f t="shared" si="144"/>
        <v>-3.1174571652793026E-2</v>
      </c>
      <c r="AR54" s="378">
        <f t="shared" si="145"/>
        <v>-3.1174571652793026E-2</v>
      </c>
      <c r="AS54" s="379">
        <f>'Price Adjustments'!$F$6</f>
        <v>0</v>
      </c>
      <c r="AT54" s="377">
        <f>IF(ISERROR(VLOOKUP($A54,'15-16 tariff'!$A:$F,3,FALSE)*(1+$AS$6)),"-",VLOOKUP($A54,'15-16 tariff'!$A:$F,3,FALSE)*(1+$AS$6))</f>
        <v>318.25292797346424</v>
      </c>
      <c r="AU54" s="377">
        <f>IF(ISERROR(VLOOKUP($A54,'15-16 tariff'!$A:$F,4,FALSE)*(1+$AS$6)),"-",VLOOKUP($A54,'15-16 tariff'!$A:$F,4,FALSE)*(1+$AS$6))</f>
        <v>322.65423795980325</v>
      </c>
      <c r="AV54" s="377">
        <f>IF(ISERROR(VLOOKUP($A54,'15-16 tariff'!$A:$F,5,FALSE)*(1+$AS$6)),"-",VLOOKUP($A54,'15-16 tariff'!$A:$F,5,FALSE)*(1+$AS$6))</f>
        <v>206.03648059749133</v>
      </c>
      <c r="AW54" s="377">
        <f>IF(ISERROR(VLOOKUP($A54,'15-16 tariff'!$A:$F,6,FALSE)*(1+$AS$6)),"-",VLOOKUP($A54,'15-16 tariff'!$A:$F,6,FALSE)*(1+$AS$6))</f>
        <v>206.03648059749133</v>
      </c>
      <c r="AX54" s="369"/>
      <c r="AY54" s="380" t="s">
        <v>307</v>
      </c>
      <c r="AZ54" s="380" t="s">
        <v>307</v>
      </c>
      <c r="BA54" s="380" t="s">
        <v>307</v>
      </c>
      <c r="BB54" s="381" t="s">
        <v>307</v>
      </c>
      <c r="BC54" s="381">
        <f t="shared" si="146"/>
        <v>292.5054383905433</v>
      </c>
      <c r="BD54" s="381">
        <f t="shared" si="147"/>
        <v>292.5054383905433</v>
      </c>
      <c r="BE54" s="381">
        <f t="shared" si="148"/>
        <v>179.45500915425401</v>
      </c>
      <c r="BF54" s="381">
        <f t="shared" si="149"/>
        <v>179.45500915425401</v>
      </c>
      <c r="BG54" s="381">
        <f>IFERROR(VLOOKUP($A54,'Further adjustment'!$A:$Q,7,FALSE),0)</f>
        <v>20491</v>
      </c>
      <c r="BH54" s="381">
        <f>IFERROR(VLOOKUP($A54,'Further adjustment'!$A:$Q,6,FALSE),0)</f>
        <v>1607</v>
      </c>
      <c r="BI54" s="381">
        <f>IFERROR(VLOOKUP($A54,'Further adjustment'!$A:$Q,9,FALSE),0)</f>
        <v>70510</v>
      </c>
      <c r="BJ54" s="381">
        <f>IFERROR(VLOOKUP($A54,'Further adjustment'!$A:$Q,8,FALSE),0)</f>
        <v>4937</v>
      </c>
      <c r="BK54" s="382">
        <f t="shared" si="150"/>
        <v>-3.1174571652793137E-2</v>
      </c>
      <c r="BL54" s="382">
        <f t="shared" si="151"/>
        <v>-3.1174571652793137E-2</v>
      </c>
      <c r="BM54" s="382">
        <f t="shared" si="152"/>
        <v>-3.1174571652793026E-2</v>
      </c>
      <c r="BN54" s="382">
        <f t="shared" si="153"/>
        <v>-3.1174571652793026E-2</v>
      </c>
      <c r="BO54" s="369"/>
      <c r="BP54" s="383">
        <f>'Price Adjustments'!$D$90</f>
        <v>-6.8529657693413348E-2</v>
      </c>
      <c r="BQ54" s="384">
        <f t="shared" si="154"/>
        <v>272.46014082417759</v>
      </c>
      <c r="BR54" s="384">
        <f t="shared" si="155"/>
        <v>272.46014082417759</v>
      </c>
      <c r="BS54" s="384">
        <f t="shared" si="156"/>
        <v>167.15701880554462</v>
      </c>
      <c r="BT54" s="384">
        <f t="shared" si="157"/>
        <v>167.15701880554462</v>
      </c>
      <c r="BU54" s="369"/>
      <c r="BV54" s="385" t="str">
        <f>IF(COUNTIF('Manual adjustments'!$A:$A,A54)=1,"Y",IF(COUNTIF(#REF!,A54)=1,"BPT",""))</f>
        <v>Y</v>
      </c>
      <c r="BW54" s="384">
        <f>IF($BV54="",BQ54,IF(AND($BV54="BPT",IFERROR(ISNUMBER(VLOOKUP($A54,#REF!,3,FALSE)),FALSE)),VLOOKUP($A54,#REF!,3,FALSE),IF(AND($BV54="Y",IFERROR(ISNUMBER(VLOOKUP($A54,'Manual adjustments'!$A:$O,12,FALSE)),FALSE)),VLOOKUP($A54,'Manual adjustments'!$A:$O,12,FALSE),BQ54)))</f>
        <v>272.46014082417759</v>
      </c>
      <c r="BX54" s="384">
        <f>IF($BV54="",BR54,IF(AND($BV54="BPT",IFERROR(ISNUMBER(VLOOKUP($A54,#REF!,4,FALSE)),FALSE)),VLOOKUP($A54,#REF!,4,FALSE),IF(AND($BV54="Y",IFERROR(ISNUMBER(VLOOKUP($A54,'Manual adjustments'!$A:$O,13,FALSE)),FALSE)),VLOOKUP($A54,'Manual adjustments'!$A:$O,13,FALSE),BR54)))</f>
        <v>272.46014082417759</v>
      </c>
      <c r="BY54" s="384">
        <f>IF($BV54="",BS54,IF(AND($BV54="BPT",IFERROR(ISNUMBER(VLOOKUP($A54,#REF!,5,FALSE)),FALSE)),VLOOKUP($A54,#REF!,5,FALSE),IF(AND($BV54="Y",IFERROR(ISNUMBER(VLOOKUP($A54,'Manual adjustments'!$A:$O,14,FALSE)),FALSE)),VLOOKUP($A54,'Manual adjustments'!$A:$O,14,FALSE),BS54)))</f>
        <v>167.15701880554462</v>
      </c>
      <c r="BZ54" s="384">
        <f>IF($BV54="",BT54,IF(AND($BV54="BPT",IFERROR(ISNUMBER(VLOOKUP($A54,#REF!,6,FALSE)),FALSE)),VLOOKUP($A54,#REF!,6,FALSE),IF(AND($BV54="Y",IFERROR(ISNUMBER(VLOOKUP($A54,'Manual adjustments'!$A:$O,15,FALSE)),FALSE)),VLOOKUP($A54,'Manual adjustments'!$A:$O,15,FALSE),BT54)))</f>
        <v>167.15701880554462</v>
      </c>
      <c r="CA54" s="386">
        <f>'Post manual recon'!$N$70</f>
        <v>0</v>
      </c>
      <c r="CB54" s="384">
        <f>IF(VLOOKUP($A54,'Post manual recon'!$A:$U,18,FALSE)=0,BW54,BW54*(1+$CA54))</f>
        <v>272.46014082417759</v>
      </c>
      <c r="CC54" s="384">
        <f>IF(VLOOKUP($A54,'Post manual recon'!$A:$U,19,FALSE)=0,BX54,BX54*(1+$CA54))</f>
        <v>272.46014082417759</v>
      </c>
      <c r="CD54" s="384">
        <f>IF(VLOOKUP($A54,'Post manual recon'!$A:$U,20,FALSE)=0,BY54,BY54*(1+$CA54))</f>
        <v>167.15701880554462</v>
      </c>
      <c r="CE54" s="384">
        <f>IF(VLOOKUP($A54,'Post manual recon'!$A:$U,21,FALSE)=0,BZ54,BZ54*(1+$CA54))</f>
        <v>167.15701880554462</v>
      </c>
      <c r="CF54" s="383">
        <f t="shared" si="35"/>
        <v>0</v>
      </c>
      <c r="CG54" s="383">
        <f t="shared" si="36"/>
        <v>0</v>
      </c>
      <c r="CH54" s="383">
        <f t="shared" si="37"/>
        <v>0</v>
      </c>
      <c r="CI54" s="383">
        <f t="shared" si="38"/>
        <v>0</v>
      </c>
      <c r="CJ54" s="369"/>
      <c r="CK54" s="383">
        <f>'Price Adjustments'!$F$6</f>
        <v>0</v>
      </c>
      <c r="CL54" s="384">
        <f t="shared" si="39"/>
        <v>272.46014082417759</v>
      </c>
      <c r="CM54" s="384">
        <f t="shared" si="40"/>
        <v>272.46014082417759</v>
      </c>
      <c r="CN54" s="384">
        <f t="shared" si="41"/>
        <v>167.15701880554462</v>
      </c>
      <c r="CO54" s="384">
        <f t="shared" si="42"/>
        <v>167.15701880554462</v>
      </c>
      <c r="CP54" s="369"/>
      <c r="CQ54" s="384">
        <f t="shared" si="43"/>
        <v>272</v>
      </c>
      <c r="CR54" s="384">
        <f t="shared" si="44"/>
        <v>272</v>
      </c>
      <c r="CS54" s="384">
        <f t="shared" si="45"/>
        <v>167</v>
      </c>
      <c r="CT54" s="384">
        <f t="shared" si="46"/>
        <v>167</v>
      </c>
    </row>
    <row r="55" spans="1:98">
      <c r="A55" s="367">
        <v>361</v>
      </c>
      <c r="B55" s="367" t="str">
        <f>INDEX('201314 RC list'!B:B,MATCH(A55,'201314 RC list'!A:A,0))</f>
        <v>Nephrology</v>
      </c>
      <c r="C55" s="368">
        <f>IF(ISERROR(VLOOKUP($A55,'Allocate OPROC cost'!A:M,11,FALSE)),"-",VLOOKUP($A55,'Allocate OPROC cost'!A:M,11,FALSE))</f>
        <v>169.85903364435367</v>
      </c>
      <c r="D55" s="368">
        <f>IF(ISERROR(VLOOKUP($A55,'Allocate OPROC cost'!A:M,10,FALSE)),"-",VLOOKUP($A55,'Allocate OPROC cost'!A:M,10,FALSE))</f>
        <v>224.26339632206799</v>
      </c>
      <c r="E55" s="368">
        <f>IF(ISERROR(VLOOKUP($A55,'Allocate OPROC cost'!A:M,13,FALSE)),"-",VLOOKUP($A55,'Allocate OPROC cost'!A:M,13,FALSE))</f>
        <v>132.09022799174952</v>
      </c>
      <c r="F55" s="368">
        <f>IF(ISERROR(VLOOKUP($A55,'Allocate OPROC cost'!A:M,12,FALSE)),"-",VLOOKUP($A55,'Allocate OPROC cost'!A:M,12,FALSE))</f>
        <v>178.6389460297392</v>
      </c>
      <c r="G55" s="369"/>
      <c r="H55" s="370">
        <f>IF(ISERROR(VLOOKUP($A55,'Allocate OPROC cost'!A:AO,39,FALSE)),"-",VLOOKUP($A55,'Allocate OPROC cost'!A:AO,39,FALSE))</f>
        <v>169.71349848225196</v>
      </c>
      <c r="I55" s="370">
        <f>IF(ISERROR(VLOOKUP($A55,'Allocate OPROC cost'!A:AO,38,FALSE)),"-",VLOOKUP($A55,'Allocate OPROC cost'!A:AO,38,FALSE))</f>
        <v>223.60583930616329</v>
      </c>
      <c r="J55" s="370">
        <f>IF(ISERROR(VLOOKUP($A55,'Allocate OPROC cost'!A:AO,41,FALSE)),"-",VLOOKUP($A55,'Allocate OPROC cost'!A:AO,41,FALSE))</f>
        <v>132.02955099773638</v>
      </c>
      <c r="K55" s="370">
        <f>IF(ISERROR(VLOOKUP($A55,'Allocate OPROC cost'!A:AO,40,FALSE)),"-",VLOOKUP($A55,'Allocate OPROC cost'!A:AO,40,FALSE))</f>
        <v>178.18380822600724</v>
      </c>
      <c r="L55" s="371">
        <f t="shared" ref="L55" si="158">IF(ISERROR(H55/C55-1),"-",H55/C55-1)</f>
        <v>-8.5679965898322052E-4</v>
      </c>
      <c r="M55" s="371">
        <f t="shared" ref="M55" si="159">IF(ISERROR(I55/D55-1),"-",I55/D55-1)</f>
        <v>-2.9320746349545956E-3</v>
      </c>
      <c r="N55" s="371">
        <f t="shared" ref="N55" si="160">IF(ISERROR(J55/E55-1),"-",J55/E55-1)</f>
        <v>-4.5936020351877715E-4</v>
      </c>
      <c r="O55" s="371">
        <f t="shared" ref="O55" si="161">IF(ISERROR(K55/F55-1),"-",K55/F55-1)</f>
        <v>-2.5478083802408236E-3</v>
      </c>
      <c r="P55" s="369"/>
      <c r="Q55" s="372">
        <f>IF(ISERROR(VLOOKUP($A55,'Front-loading'!$A:$AG,27,FALSE)),"-",VLOOKUP($A55,'Front-loading'!$A:$AG,27,FALSE))</f>
        <v>254.57024772337792</v>
      </c>
      <c r="R55" s="372">
        <f>IF(ISERROR(VLOOKUP($A55,'Front-loading'!$A:$AG,26,FALSE)),"-",VLOOKUP($A55,'Front-loading'!$A:$AG,26,FALSE))</f>
        <v>335.40875895924489</v>
      </c>
      <c r="S55" s="372">
        <f>IF(ISERROR(VLOOKUP($A55,'Front-loading'!$A:$AG,29,FALSE)),"-",VLOOKUP($A55,'Front-loading'!$A:$AG,29,FALSE))</f>
        <v>118.82659589796273</v>
      </c>
      <c r="T55" s="372">
        <f>IF(ISERROR(VLOOKUP($A55,'Front-loading'!$A:$AG,28,FALSE)),"-",VLOOKUP($A55,'Front-loading'!$A:$AG,28,FALSE))</f>
        <v>160.36542740340653</v>
      </c>
      <c r="U55" s="373">
        <f t="shared" ref="U55" si="162">IF(ISERROR(Q55/H55-1),"-",Q55/H55-1)</f>
        <v>0.49999999999999978</v>
      </c>
      <c r="V55" s="373">
        <f t="shared" ref="V55" si="163">IF(ISERROR(R55/I55-1),"-",R55/I55-1)</f>
        <v>0.49999999999999978</v>
      </c>
      <c r="W55" s="373">
        <f t="shared" ref="W55" si="164">IF(ISERROR(S55/J55-1),"-",S55/J55-1)</f>
        <v>-0.10000000000000009</v>
      </c>
      <c r="X55" s="373">
        <f t="shared" ref="X55" si="165">IF(ISERROR(T55/K55-1),"-",T55/K55-1)</f>
        <v>-9.9999999999999978E-2</v>
      </c>
      <c r="Y55" s="369"/>
      <c r="Z55" s="374">
        <f>IF(ISERROR(VLOOKUP($A55,'Further adjustment'!$A:$BC,53,FALSE)),"-",VLOOKUP($A55,'Further adjustment'!$A:$BC,53,FALSE))</f>
        <v>254.57024772337792</v>
      </c>
      <c r="AA55" s="374">
        <f>IF(ISERROR(VLOOKUP($A55,'Further adjustment'!$A:$BC,52,FALSE)),"-",VLOOKUP($A55,'Further adjustment'!$A:$BC,52,FALSE))</f>
        <v>335.40875895924489</v>
      </c>
      <c r="AB55" s="374">
        <f>IF(ISERROR(VLOOKUP($A55,'Further adjustment'!$A:$BC,55,FALSE)),"-",VLOOKUP($A55,'Further adjustment'!$A:$BC,55,FALSE))</f>
        <v>118.82659589796273</v>
      </c>
      <c r="AC55" s="374">
        <f>IF(ISERROR(VLOOKUP($A55,'Further adjustment'!$A:$BC,54,FALSE)),"-",VLOOKUP($A55,'Further adjustment'!$A:$BC,54,FALSE))</f>
        <v>160.36542740340653</v>
      </c>
      <c r="AD55" s="375">
        <f t="shared" ref="AD55" si="166">IF(ISERROR(Z55/Q55-1),"-",Z55/Q55-1)</f>
        <v>0</v>
      </c>
      <c r="AE55" s="375">
        <f t="shared" ref="AE55" si="167">IF(ISERROR(AA55/R55-1),"-",AA55/R55-1)</f>
        <v>0</v>
      </c>
      <c r="AF55" s="375">
        <f t="shared" ref="AF55" si="168">IF(ISERROR(AB55/S55-1),"-",AB55/S55-1)</f>
        <v>0</v>
      </c>
      <c r="AG55" s="375">
        <f t="shared" ref="AG55" si="169">IF(ISERROR(AC55/T55-1),"-",AC55/T55-1)</f>
        <v>0</v>
      </c>
      <c r="AH55" s="369"/>
      <c r="AI55" s="376">
        <f>'Price Adjustments'!$G$6</f>
        <v>-3.1174571652793026E-2</v>
      </c>
      <c r="AJ55" s="376">
        <v>0</v>
      </c>
      <c r="AK55" s="377">
        <f t="shared" ref="AK55" si="170">IF(ISERROR(Z55*(1+$AI55)*(1+$AJ55)),"-",Z55*(1+$AI55)*(1+$AJ55))</f>
        <v>246.6341292950562</v>
      </c>
      <c r="AL55" s="377">
        <f t="shared" ref="AL55" si="171">IF(ISERROR(AA55*(1+$AI55)*(1+$AJ55)),"-",AA55*(1+$AI55)*(1+$AJ55))</f>
        <v>324.95253457009551</v>
      </c>
      <c r="AM55" s="377">
        <f t="shared" ref="AM55" si="172">IF(ISERROR(AB55*(1+$AI55)*(1+$AJ55)),"-",AB55*(1+$AI55)*(1+$AJ55))</f>
        <v>115.12222766988421</v>
      </c>
      <c r="AN55" s="377">
        <f t="shared" ref="AN55" si="173">IF(ISERROR(AC55*(1+$AI55)*(1+$AJ55)),"-",AC55*(1+$AI55)*(1+$AJ55))</f>
        <v>155.36610389618826</v>
      </c>
      <c r="AO55" s="378">
        <f t="shared" ref="AO55" si="174">IF(ISERROR(AK55/Z55-1),"-",AK55/Z55-1)</f>
        <v>-3.1174571652793026E-2</v>
      </c>
      <c r="AP55" s="378">
        <f t="shared" ref="AP55" si="175">IF(ISERROR(AL55/AA55-1),"-",AL55/AA55-1)</f>
        <v>-3.1174571652793137E-2</v>
      </c>
      <c r="AQ55" s="378">
        <f t="shared" ref="AQ55" si="176">IF(ISERROR(AM55/AB55-1),"-",AM55/AB55-1)</f>
        <v>-3.1174571652793026E-2</v>
      </c>
      <c r="AR55" s="378">
        <f t="shared" ref="AR55" si="177">IF(ISERROR(AN55/AC55-1),"-",AN55/AC55-1)</f>
        <v>-3.1174571652792915E-2</v>
      </c>
      <c r="AS55" s="379">
        <f>'Price Adjustments'!$F$6</f>
        <v>0</v>
      </c>
      <c r="AT55" s="377">
        <f>IF(ISERROR(VLOOKUP($A55,'15-16 tariff'!$A:$F,3,FALSE)*(1+$AS$6)),"-",VLOOKUP($A55,'15-16 tariff'!$A:$F,3,FALSE)*(1+$AS$6))</f>
        <v>265.54974657818212</v>
      </c>
      <c r="AU55" s="377">
        <f>IF(ISERROR(VLOOKUP($A55,'15-16 tariff'!$A:$F,4,FALSE)*(1+$AS$6)),"-",VLOOKUP($A55,'15-16 tariff'!$A:$F,4,FALSE)*(1+$AS$6))</f>
        <v>309.08927352476786</v>
      </c>
      <c r="AV55" s="377">
        <f>IF(ISERROR(VLOOKUP($A55,'15-16 tariff'!$A:$F,5,FALSE)*(1+$AS$6)),"-",VLOOKUP($A55,'15-16 tariff'!$A:$F,5,FALSE)*(1+$AS$6))</f>
        <v>127.03040023826152</v>
      </c>
      <c r="AW55" s="377">
        <f>IF(ISERROR(VLOOKUP($A55,'15-16 tariff'!$A:$F,6,FALSE)*(1+$AS$6)),"-",VLOOKUP($A55,'15-16 tariff'!$A:$F,6,FALSE)*(1+$AS$6))</f>
        <v>238.14290221006664</v>
      </c>
      <c r="AX55" s="369"/>
      <c r="AY55" s="380" t="s">
        <v>307</v>
      </c>
      <c r="AZ55" s="380" t="s">
        <v>307</v>
      </c>
      <c r="BA55" s="380" t="s">
        <v>307</v>
      </c>
      <c r="BB55" s="381" t="s">
        <v>307</v>
      </c>
      <c r="BC55" s="381">
        <f t="shared" ref="BC55" si="178">IF(AY55="Modelled",AK55,IF(AY55="Roll-over",AT55,"Error"))</f>
        <v>246.6341292950562</v>
      </c>
      <c r="BD55" s="381">
        <f t="shared" ref="BD55" si="179">IF(AZ55="Modelled",AL55,IF(AZ55="Roll-over",AU55,"Error"))</f>
        <v>324.95253457009551</v>
      </c>
      <c r="BE55" s="381">
        <f t="shared" ref="BE55" si="180">IF(BA55="Modelled",AM55,IF(BA55="Roll-over",AV55,"Error"))</f>
        <v>115.12222766988421</v>
      </c>
      <c r="BF55" s="381">
        <f t="shared" ref="BF55" si="181">IF(BB55="Modelled",AN55,IF(BB55="Roll-over",AW55,"Error"))</f>
        <v>155.36610389618826</v>
      </c>
      <c r="BG55" s="381">
        <f>IFERROR(VLOOKUP($A55,'Further adjustment'!$A:$Q,7,FALSE),0)</f>
        <v>85441</v>
      </c>
      <c r="BH55" s="381">
        <f>IFERROR(VLOOKUP($A55,'Further adjustment'!$A:$Q,6,FALSE),0)</f>
        <v>2826</v>
      </c>
      <c r="BI55" s="381">
        <f>IFERROR(VLOOKUP($A55,'Further adjustment'!$A:$Q,9,FALSE),0)</f>
        <v>655290</v>
      </c>
      <c r="BJ55" s="381">
        <f>IFERROR(VLOOKUP($A55,'Further adjustment'!$A:$Q,8,FALSE),0)</f>
        <v>24412</v>
      </c>
      <c r="BK55" s="382">
        <f t="shared" ref="BK55" si="182">IF(ISERROR(BC55/Z55-1),"-",BC55/Z55-1)</f>
        <v>-3.1174571652793026E-2</v>
      </c>
      <c r="BL55" s="382">
        <f t="shared" ref="BL55" si="183">IF(ISERROR(BD55/AA55-1),"-",BD55/AA55-1)</f>
        <v>-3.1174571652793137E-2</v>
      </c>
      <c r="BM55" s="382">
        <f t="shared" ref="BM55" si="184">IF(ISERROR(BE55/AB55-1),"-",BE55/AB55-1)</f>
        <v>-3.1174571652793026E-2</v>
      </c>
      <c r="BN55" s="382">
        <f t="shared" ref="BN55" si="185">IF(ISERROR(BF55/AC55-1),"-",BF55/AC55-1)</f>
        <v>-3.1174571652792915E-2</v>
      </c>
      <c r="BO55" s="369"/>
      <c r="BP55" s="383">
        <f>'Price Adjustments'!$D$90</f>
        <v>-6.8529657693413348E-2</v>
      </c>
      <c r="BQ55" s="384">
        <f t="shared" ref="BQ55" si="186">BC55*(1+$BP55)</f>
        <v>229.73237683895294</v>
      </c>
      <c r="BR55" s="384">
        <f t="shared" ref="BR55" si="187">BD55*(1+$BP55)</f>
        <v>302.68364860939977</v>
      </c>
      <c r="BS55" s="384">
        <f t="shared" ref="BS55" si="188">BE55*(1+$BP55)</f>
        <v>107.23294081476385</v>
      </c>
      <c r="BT55" s="384">
        <f t="shared" ref="BT55" si="189">BF55*(1+$BP55)</f>
        <v>144.71891797902319</v>
      </c>
      <c r="BU55" s="369"/>
      <c r="BV55" s="385" t="str">
        <f>IF(COUNTIF('Manual adjustments'!$A:$A,A55)=1,"Y",IF(COUNTIF(#REF!,A55)=1,"BPT",""))</f>
        <v>Y</v>
      </c>
      <c r="BW55" s="384">
        <f>IF($BV55="",BQ55,IF(AND($BV55="BPT",IFERROR(ISNUMBER(VLOOKUP($A55,#REF!,3,FALSE)),FALSE)),VLOOKUP($A55,#REF!,3,FALSE),IF(AND($BV55="Y",IFERROR(ISNUMBER(VLOOKUP($A55,'Manual adjustments'!$A:$O,12,FALSE)),FALSE)),VLOOKUP($A55,'Manual adjustments'!$A:$O,12,FALSE),BQ55)))</f>
        <v>229.73237683895294</v>
      </c>
      <c r="BX55" s="384">
        <f>IF($BV55="",BR55,IF(AND($BV55="BPT",IFERROR(ISNUMBER(VLOOKUP($A55,#REF!,4,FALSE)),FALSE)),VLOOKUP($A55,#REF!,4,FALSE),IF(AND($BV55="Y",IFERROR(ISNUMBER(VLOOKUP($A55,'Manual adjustments'!$A:$O,13,FALSE)),FALSE)),VLOOKUP($A55,'Manual adjustments'!$A:$O,13,FALSE),BR55)))</f>
        <v>302.68364860939977</v>
      </c>
      <c r="BY55" s="384">
        <f>IF($BV55="",BS55,IF(AND($BV55="BPT",IFERROR(ISNUMBER(VLOOKUP($A55,#REF!,5,FALSE)),FALSE)),VLOOKUP($A55,#REF!,5,FALSE),IF(AND($BV55="Y",IFERROR(ISNUMBER(VLOOKUP($A55,'Manual adjustments'!$A:$O,14,FALSE)),FALSE)),VLOOKUP($A55,'Manual adjustments'!$A:$O,14,FALSE),BS55)))</f>
        <v>107.23294081476385</v>
      </c>
      <c r="BZ55" s="384">
        <f>IF($BV55="",BT55,IF(AND($BV55="BPT",IFERROR(ISNUMBER(VLOOKUP($A55,#REF!,6,FALSE)),FALSE)),VLOOKUP($A55,#REF!,6,FALSE),IF(AND($BV55="Y",IFERROR(ISNUMBER(VLOOKUP($A55,'Manual adjustments'!$A:$O,15,FALSE)),FALSE)),VLOOKUP($A55,'Manual adjustments'!$A:$O,15,FALSE),BT55)))</f>
        <v>144.71891797902319</v>
      </c>
      <c r="CA55" s="386">
        <f>'Post manual recon'!$N$70</f>
        <v>0</v>
      </c>
      <c r="CB55" s="384">
        <f>IF(VLOOKUP($A55,'Post manual recon'!$A:$U,18,FALSE)=0,BW55,BW55*(1+$CA55))</f>
        <v>229.73237683895294</v>
      </c>
      <c r="CC55" s="384">
        <f>IF(VLOOKUP($A55,'Post manual recon'!$A:$U,19,FALSE)=0,BX55,BX55*(1+$CA55))</f>
        <v>302.68364860939977</v>
      </c>
      <c r="CD55" s="384">
        <f>IF(VLOOKUP($A55,'Post manual recon'!$A:$U,20,FALSE)=0,BY55,BY55*(1+$CA55))</f>
        <v>107.23294081476385</v>
      </c>
      <c r="CE55" s="384">
        <f>IF(VLOOKUP($A55,'Post manual recon'!$A:$U,21,FALSE)=0,BZ55,BZ55*(1+$CA55))</f>
        <v>144.71891797902319</v>
      </c>
      <c r="CF55" s="383">
        <f t="shared" ref="CF55" si="190">IF(ISERROR(CB55/BW55-1),0,CB55/BW55-1)</f>
        <v>0</v>
      </c>
      <c r="CG55" s="383">
        <f t="shared" ref="CG55" si="191">IF(ISERROR(CC55/BX55-1),0,CC55/BX55-1)</f>
        <v>0</v>
      </c>
      <c r="CH55" s="383">
        <f t="shared" ref="CH55" si="192">IF(ISERROR(CD55/BY55-1),0,CD55/BY55-1)</f>
        <v>0</v>
      </c>
      <c r="CI55" s="383">
        <f t="shared" ref="CI55" si="193">IF(ISERROR(CE55/BZ55-1),0,CE55/BZ55-1)</f>
        <v>0</v>
      </c>
      <c r="CJ55" s="369"/>
      <c r="CK55" s="383">
        <f>'Price Adjustments'!$F$6</f>
        <v>0</v>
      </c>
      <c r="CL55" s="384">
        <f t="shared" ref="CL55" si="194">CB55*(1+$CK55)</f>
        <v>229.73237683895294</v>
      </c>
      <c r="CM55" s="384">
        <f t="shared" ref="CM55" si="195">CC55*(1+$CK55)</f>
        <v>302.68364860939977</v>
      </c>
      <c r="CN55" s="384">
        <f t="shared" ref="CN55" si="196">CD55*(1+$CK55)</f>
        <v>107.23294081476385</v>
      </c>
      <c r="CO55" s="384">
        <f t="shared" ref="CO55" si="197">CE55*(1+$CK55)</f>
        <v>144.71891797902319</v>
      </c>
      <c r="CP55" s="369"/>
      <c r="CQ55" s="384">
        <f t="shared" ref="CQ55" si="198">ROUND(CL55,0)</f>
        <v>230</v>
      </c>
      <c r="CR55" s="384">
        <f t="shared" ref="CR55" si="199">ROUND(CM55,0)</f>
        <v>303</v>
      </c>
      <c r="CS55" s="384">
        <f t="shared" ref="CS55" si="200">ROUND(CN55,0)</f>
        <v>107</v>
      </c>
      <c r="CT55" s="384">
        <f t="shared" ref="CT55" si="201">ROUND(CO55,0)</f>
        <v>145</v>
      </c>
    </row>
    <row r="56" spans="1:98">
      <c r="A56" s="367">
        <v>370</v>
      </c>
      <c r="B56" s="367" t="str">
        <f>INDEX('201314 RC list'!B:B,MATCH(A56,'201314 RC list'!A:A,0))</f>
        <v>Medical Oncology</v>
      </c>
      <c r="C56" s="368">
        <f>IF(ISERROR(VLOOKUP($A56,'Allocate OPROC cost'!A:M,11,FALSE)),"-",VLOOKUP($A56,'Allocate OPROC cost'!A:M,11,FALSE))</f>
        <v>164.74262835733009</v>
      </c>
      <c r="D56" s="368">
        <f>IF(ISERROR(VLOOKUP($A56,'Allocate OPROC cost'!A:M,10,FALSE)),"-",VLOOKUP($A56,'Allocate OPROC cost'!A:M,10,FALSE))</f>
        <v>192.44117553587455</v>
      </c>
      <c r="E56" s="368">
        <f>IF(ISERROR(VLOOKUP($A56,'Allocate OPROC cost'!A:M,13,FALSE)),"-",VLOOKUP($A56,'Allocate OPROC cost'!A:M,13,FALSE))</f>
        <v>129.25586912984951</v>
      </c>
      <c r="F56" s="368">
        <f>IF(ISERROR(VLOOKUP($A56,'Allocate OPROC cost'!A:M,12,FALSE)),"-",VLOOKUP($A56,'Allocate OPROC cost'!A:M,12,FALSE))</f>
        <v>169.40294491906056</v>
      </c>
      <c r="G56" s="369"/>
      <c r="H56" s="370">
        <f>IF(ISERROR(VLOOKUP($A56,'Allocate OPROC cost'!A:AO,39,FALSE)),"-",VLOOKUP($A56,'Allocate OPROC cost'!A:AO,39,FALSE))</f>
        <v>164.44412843720264</v>
      </c>
      <c r="I56" s="370">
        <f>IF(ISERROR(VLOOKUP($A56,'Allocate OPROC cost'!A:AO,38,FALSE)),"-",VLOOKUP($A56,'Allocate OPROC cost'!A:AO,38,FALSE))</f>
        <v>192.36893499241418</v>
      </c>
      <c r="J56" s="370">
        <f>IF(ISERROR(VLOOKUP($A56,'Allocate OPROC cost'!A:AO,41,FALSE)),"-",VLOOKUP($A56,'Allocate OPROC cost'!A:AO,41,FALSE))</f>
        <v>128.89645952884308</v>
      </c>
      <c r="K56" s="370">
        <f>IF(ISERROR(VLOOKUP($A56,'Allocate OPROC cost'!A:AO,40,FALSE)),"-",VLOOKUP($A56,'Allocate OPROC cost'!A:AO,40,FALSE))</f>
        <v>169.09975145541912</v>
      </c>
      <c r="L56" s="371">
        <f t="shared" si="130"/>
        <v>-1.8119167036718675E-3</v>
      </c>
      <c r="M56" s="371">
        <f t="shared" si="131"/>
        <v>-3.7539026281252497E-4</v>
      </c>
      <c r="N56" s="371">
        <f t="shared" si="132"/>
        <v>-2.7806056578009164E-3</v>
      </c>
      <c r="O56" s="371">
        <f t="shared" si="133"/>
        <v>-1.7897768175535456E-3</v>
      </c>
      <c r="P56" s="369"/>
      <c r="Q56" s="372">
        <f>IF(ISERROR(VLOOKUP($A56,'Front-loading'!$A:$AG,27,FALSE)),"-",VLOOKUP($A56,'Front-loading'!$A:$AG,27,FALSE))</f>
        <v>246.66619265580394</v>
      </c>
      <c r="R56" s="372">
        <f>IF(ISERROR(VLOOKUP($A56,'Front-loading'!$A:$AG,26,FALSE)),"-",VLOOKUP($A56,'Front-loading'!$A:$AG,26,FALSE))</f>
        <v>288.55340248862126</v>
      </c>
      <c r="S56" s="372">
        <f>IF(ISERROR(VLOOKUP($A56,'Front-loading'!$A:$AG,29,FALSE)),"-",VLOOKUP($A56,'Front-loading'!$A:$AG,29,FALSE))</f>
        <v>116.00681357595879</v>
      </c>
      <c r="T56" s="372">
        <f>IF(ISERROR(VLOOKUP($A56,'Front-loading'!$A:$AG,28,FALSE)),"-",VLOOKUP($A56,'Front-loading'!$A:$AG,28,FALSE))</f>
        <v>152.1897763098772</v>
      </c>
      <c r="U56" s="373">
        <f t="shared" si="134"/>
        <v>0.5</v>
      </c>
      <c r="V56" s="373">
        <f t="shared" si="135"/>
        <v>0.5</v>
      </c>
      <c r="W56" s="373">
        <f t="shared" si="136"/>
        <v>-9.9999999999999867E-2</v>
      </c>
      <c r="X56" s="373">
        <f t="shared" si="137"/>
        <v>-0.10000000000000009</v>
      </c>
      <c r="Y56" s="369"/>
      <c r="Z56" s="374">
        <f>IF(ISERROR(VLOOKUP($A56,'Further adjustment'!$A:$BC,53,FALSE)),"-",VLOOKUP($A56,'Further adjustment'!$A:$BC,53,FALSE))</f>
        <v>246.66619265580394</v>
      </c>
      <c r="AA56" s="374">
        <f>IF(ISERROR(VLOOKUP($A56,'Further adjustment'!$A:$BC,52,FALSE)),"-",VLOOKUP($A56,'Further adjustment'!$A:$BC,52,FALSE))</f>
        <v>288.55340248862126</v>
      </c>
      <c r="AB56" s="374">
        <f>IF(ISERROR(VLOOKUP($A56,'Further adjustment'!$A:$BC,55,FALSE)),"-",VLOOKUP($A56,'Further adjustment'!$A:$BC,55,FALSE))</f>
        <v>116.00681357595879</v>
      </c>
      <c r="AC56" s="374">
        <f>IF(ISERROR(VLOOKUP($A56,'Further adjustment'!$A:$BC,54,FALSE)),"-",VLOOKUP($A56,'Further adjustment'!$A:$BC,54,FALSE))</f>
        <v>152.1897763098772</v>
      </c>
      <c r="AD56" s="375">
        <f t="shared" si="138"/>
        <v>0</v>
      </c>
      <c r="AE56" s="375">
        <f t="shared" si="139"/>
        <v>0</v>
      </c>
      <c r="AF56" s="375">
        <f t="shared" si="140"/>
        <v>0</v>
      </c>
      <c r="AG56" s="375">
        <f t="shared" si="141"/>
        <v>0</v>
      </c>
      <c r="AH56" s="369"/>
      <c r="AI56" s="376">
        <f>'Price Adjustments'!$G$6</f>
        <v>-3.1174571652793026E-2</v>
      </c>
      <c r="AJ56" s="376">
        <v>0</v>
      </c>
      <c r="AK56" s="377">
        <f t="shared" si="31"/>
        <v>238.97647975853394</v>
      </c>
      <c r="AL56" s="377">
        <f t="shared" si="32"/>
        <v>279.55787376708253</v>
      </c>
      <c r="AM56" s="377">
        <f t="shared" si="33"/>
        <v>112.39035085392285</v>
      </c>
      <c r="AN56" s="377">
        <f t="shared" si="34"/>
        <v>147.4453252234824</v>
      </c>
      <c r="AO56" s="378">
        <f t="shared" si="142"/>
        <v>-3.1174571652793026E-2</v>
      </c>
      <c r="AP56" s="378">
        <f t="shared" si="143"/>
        <v>-3.1174571652793026E-2</v>
      </c>
      <c r="AQ56" s="378">
        <f t="shared" si="144"/>
        <v>-3.1174571652793026E-2</v>
      </c>
      <c r="AR56" s="378">
        <f t="shared" si="145"/>
        <v>-3.1174571652793026E-2</v>
      </c>
      <c r="AS56" s="379">
        <f>'Price Adjustments'!$F$6</f>
        <v>0</v>
      </c>
      <c r="AT56" s="377">
        <f>IF(ISERROR(VLOOKUP($A56,'15-16 tariff'!$A:$F,3,FALSE)*(1+$AS$6)),"-",VLOOKUP($A56,'15-16 tariff'!$A:$F,3,FALSE)*(1+$AS$6))</f>
        <v>206.38609434978764</v>
      </c>
      <c r="AU56" s="377">
        <f>IF(ISERROR(VLOOKUP($A56,'15-16 tariff'!$A:$F,4,FALSE)*(1+$AS$6)),"-",VLOOKUP($A56,'15-16 tariff'!$A:$F,4,FALSE)*(1+$AS$6))</f>
        <v>212.56308125364137</v>
      </c>
      <c r="AV56" s="377">
        <f>IF(ISERROR(VLOOKUP($A56,'15-16 tariff'!$A:$F,5,FALSE)*(1+$AS$6)),"-",VLOOKUP($A56,'15-16 tariff'!$A:$F,5,FALSE)*(1+$AS$6))</f>
        <v>92.087156709831817</v>
      </c>
      <c r="AW56" s="377">
        <f>IF(ISERROR(VLOOKUP($A56,'15-16 tariff'!$A:$F,6,FALSE)*(1+$AS$6)),"-",VLOOKUP($A56,'15-16 tariff'!$A:$F,6,FALSE)*(1+$AS$6))</f>
        <v>101.07911872390315</v>
      </c>
      <c r="AX56" s="369"/>
      <c r="AY56" s="380" t="s">
        <v>307</v>
      </c>
      <c r="AZ56" s="380" t="s">
        <v>307</v>
      </c>
      <c r="BA56" s="380" t="s">
        <v>307</v>
      </c>
      <c r="BB56" s="381" t="s">
        <v>307</v>
      </c>
      <c r="BC56" s="381">
        <f t="shared" si="146"/>
        <v>238.97647975853394</v>
      </c>
      <c r="BD56" s="381">
        <f t="shared" si="147"/>
        <v>279.55787376708253</v>
      </c>
      <c r="BE56" s="381">
        <f t="shared" si="148"/>
        <v>112.39035085392285</v>
      </c>
      <c r="BF56" s="381">
        <f t="shared" si="149"/>
        <v>147.4453252234824</v>
      </c>
      <c r="BG56" s="381">
        <f>IFERROR(VLOOKUP($A56,'Further adjustment'!$A:$Q,7,FALSE),0)</f>
        <v>88223</v>
      </c>
      <c r="BH56" s="381">
        <f>IFERROR(VLOOKUP($A56,'Further adjustment'!$A:$Q,6,FALSE),0)</f>
        <v>6719</v>
      </c>
      <c r="BI56" s="381">
        <f>IFERROR(VLOOKUP($A56,'Further adjustment'!$A:$Q,9,FALSE),0)</f>
        <v>692420</v>
      </c>
      <c r="BJ56" s="381">
        <f>IFERROR(VLOOKUP($A56,'Further adjustment'!$A:$Q,8,FALSE),0)</f>
        <v>43661</v>
      </c>
      <c r="BK56" s="382">
        <f t="shared" si="150"/>
        <v>-3.1174571652793026E-2</v>
      </c>
      <c r="BL56" s="382">
        <f t="shared" si="151"/>
        <v>-3.1174571652793026E-2</v>
      </c>
      <c r="BM56" s="382">
        <f t="shared" si="152"/>
        <v>-3.1174571652793026E-2</v>
      </c>
      <c r="BN56" s="382">
        <f t="shared" si="153"/>
        <v>-3.1174571652793026E-2</v>
      </c>
      <c r="BO56" s="369"/>
      <c r="BP56" s="383">
        <f>'Price Adjustments'!$D$90</f>
        <v>-6.8529657693413348E-2</v>
      </c>
      <c r="BQ56" s="384">
        <f t="shared" si="154"/>
        <v>222.59950340390469</v>
      </c>
      <c r="BR56" s="384">
        <f t="shared" si="155"/>
        <v>260.3998683723259</v>
      </c>
      <c r="BS56" s="384">
        <f t="shared" si="156"/>
        <v>104.6882785818609</v>
      </c>
      <c r="BT56" s="384">
        <f t="shared" si="157"/>
        <v>137.34094755742314</v>
      </c>
      <c r="BU56" s="369"/>
      <c r="BV56" s="385" t="str">
        <f>IF(COUNTIF('Manual adjustments'!$A:$A,A56)=1,"Y",IF(COUNTIF(#REF!,A56)=1,"BPT",""))</f>
        <v>Y</v>
      </c>
      <c r="BW56" s="384">
        <f>IF($BV56="",BQ56,IF(AND($BV56="BPT",IFERROR(ISNUMBER(VLOOKUP($A56,#REF!,3,FALSE)),FALSE)),VLOOKUP($A56,#REF!,3,FALSE),IF(AND($BV56="Y",IFERROR(ISNUMBER(VLOOKUP($A56,'Manual adjustments'!$A:$O,12,FALSE)),FALSE)),VLOOKUP($A56,'Manual adjustments'!$A:$O,12,FALSE),BQ56)))</f>
        <v>222.59950340390469</v>
      </c>
      <c r="BX56" s="384">
        <f>IF($BV56="",BR56,IF(AND($BV56="BPT",IFERROR(ISNUMBER(VLOOKUP($A56,#REF!,4,FALSE)),FALSE)),VLOOKUP($A56,#REF!,4,FALSE),IF(AND($BV56="Y",IFERROR(ISNUMBER(VLOOKUP($A56,'Manual adjustments'!$A:$O,13,FALSE)),FALSE)),VLOOKUP($A56,'Manual adjustments'!$A:$O,13,FALSE),BR56)))</f>
        <v>260.3998683723259</v>
      </c>
      <c r="BY56" s="384">
        <f>IF($BV56="",BS56,IF(AND($BV56="BPT",IFERROR(ISNUMBER(VLOOKUP($A56,#REF!,5,FALSE)),FALSE)),VLOOKUP($A56,#REF!,5,FALSE),IF(AND($BV56="Y",IFERROR(ISNUMBER(VLOOKUP($A56,'Manual adjustments'!$A:$O,14,FALSE)),FALSE)),VLOOKUP($A56,'Manual adjustments'!$A:$O,14,FALSE),BS56)))</f>
        <v>104.6882785818609</v>
      </c>
      <c r="BZ56" s="384">
        <f>IF($BV56="",BT56,IF(AND($BV56="BPT",IFERROR(ISNUMBER(VLOOKUP($A56,#REF!,6,FALSE)),FALSE)),VLOOKUP($A56,#REF!,6,FALSE),IF(AND($BV56="Y",IFERROR(ISNUMBER(VLOOKUP($A56,'Manual adjustments'!$A:$O,15,FALSE)),FALSE)),VLOOKUP($A56,'Manual adjustments'!$A:$O,15,FALSE),BT56)))</f>
        <v>137.34094755742314</v>
      </c>
      <c r="CA56" s="386">
        <f>'Post manual recon'!$N$70</f>
        <v>0</v>
      </c>
      <c r="CB56" s="384">
        <f>IF(VLOOKUP($A56,'Post manual recon'!$A:$U,18,FALSE)=0,BW56,BW56*(1+$CA56))</f>
        <v>222.59950340390469</v>
      </c>
      <c r="CC56" s="384">
        <f>IF(VLOOKUP($A56,'Post manual recon'!$A:$U,19,FALSE)=0,BX56,BX56*(1+$CA56))</f>
        <v>260.3998683723259</v>
      </c>
      <c r="CD56" s="384">
        <f>IF(VLOOKUP($A56,'Post manual recon'!$A:$U,20,FALSE)=0,BY56,BY56*(1+$CA56))</f>
        <v>104.6882785818609</v>
      </c>
      <c r="CE56" s="384">
        <f>IF(VLOOKUP($A56,'Post manual recon'!$A:$U,21,FALSE)=0,BZ56,BZ56*(1+$CA56))</f>
        <v>137.34094755742314</v>
      </c>
      <c r="CF56" s="383">
        <f t="shared" si="35"/>
        <v>0</v>
      </c>
      <c r="CG56" s="383">
        <f t="shared" si="36"/>
        <v>0</v>
      </c>
      <c r="CH56" s="383">
        <f t="shared" si="37"/>
        <v>0</v>
      </c>
      <c r="CI56" s="383">
        <f t="shared" si="38"/>
        <v>0</v>
      </c>
      <c r="CJ56" s="369"/>
      <c r="CK56" s="383">
        <f>'Price Adjustments'!$F$6</f>
        <v>0</v>
      </c>
      <c r="CL56" s="384">
        <f t="shared" si="39"/>
        <v>222.59950340390469</v>
      </c>
      <c r="CM56" s="384">
        <f t="shared" si="40"/>
        <v>260.3998683723259</v>
      </c>
      <c r="CN56" s="384">
        <f t="shared" si="41"/>
        <v>104.6882785818609</v>
      </c>
      <c r="CO56" s="384">
        <f t="shared" si="42"/>
        <v>137.34094755742314</v>
      </c>
      <c r="CP56" s="369"/>
      <c r="CQ56" s="384">
        <f t="shared" si="43"/>
        <v>223</v>
      </c>
      <c r="CR56" s="384">
        <f t="shared" si="44"/>
        <v>260</v>
      </c>
      <c r="CS56" s="384">
        <f t="shared" si="45"/>
        <v>105</v>
      </c>
      <c r="CT56" s="384">
        <f t="shared" si="46"/>
        <v>137</v>
      </c>
    </row>
    <row r="57" spans="1:98">
      <c r="A57" s="367">
        <v>400</v>
      </c>
      <c r="B57" s="367" t="str">
        <f>INDEX('201314 RC list'!B:B,MATCH(A57,'201314 RC list'!A:A,0))</f>
        <v>Neurology</v>
      </c>
      <c r="C57" s="368">
        <f>IF(ISERROR(VLOOKUP($A57,'Allocate OPROC cost'!A:M,11,FALSE)),"-",VLOOKUP($A57,'Allocate OPROC cost'!A:M,11,FALSE))</f>
        <v>188.340361826567</v>
      </c>
      <c r="D57" s="368">
        <f>IF(ISERROR(VLOOKUP($A57,'Allocate OPROC cost'!A:M,10,FALSE)),"-",VLOOKUP($A57,'Allocate OPROC cost'!A:M,10,FALSE))</f>
        <v>243.89386133958993</v>
      </c>
      <c r="E57" s="368">
        <f>IF(ISERROR(VLOOKUP($A57,'Allocate OPROC cost'!A:M,13,FALSE)),"-",VLOOKUP($A57,'Allocate OPROC cost'!A:M,13,FALSE))</f>
        <v>141.66549278198829</v>
      </c>
      <c r="F57" s="368">
        <f>IF(ISERROR(VLOOKUP($A57,'Allocate OPROC cost'!A:M,12,FALSE)),"-",VLOOKUP($A57,'Allocate OPROC cost'!A:M,12,FALSE))</f>
        <v>221.41985446052459</v>
      </c>
      <c r="G57" s="369"/>
      <c r="H57" s="370">
        <f>IF(ISERROR(VLOOKUP($A57,'Allocate OPROC cost'!A:AO,39,FALSE)),"-",VLOOKUP($A57,'Allocate OPROC cost'!A:AO,39,FALSE))</f>
        <v>187.98606877063233</v>
      </c>
      <c r="I57" s="370">
        <f>IF(ISERROR(VLOOKUP($A57,'Allocate OPROC cost'!A:AO,38,FALSE)),"-",VLOOKUP($A57,'Allocate OPROC cost'!A:AO,38,FALSE))</f>
        <v>242.70249004890346</v>
      </c>
      <c r="J57" s="370">
        <f>IF(ISERROR(VLOOKUP($A57,'Allocate OPROC cost'!A:AO,41,FALSE)),"-",VLOOKUP($A57,'Allocate OPROC cost'!A:AO,41,FALSE))</f>
        <v>141.62147916416521</v>
      </c>
      <c r="K57" s="370">
        <f>IF(ISERROR(VLOOKUP($A57,'Allocate OPROC cost'!A:AO,40,FALSE)),"-",VLOOKUP($A57,'Allocate OPROC cost'!A:AO,40,FALSE))</f>
        <v>221.04599585328089</v>
      </c>
      <c r="L57" s="371">
        <f t="shared" si="130"/>
        <v>-1.8811318641350772E-3</v>
      </c>
      <c r="M57" s="371">
        <f t="shared" si="131"/>
        <v>-4.8847940827327907E-3</v>
      </c>
      <c r="N57" s="371">
        <f t="shared" si="132"/>
        <v>-3.1068693553215621E-4</v>
      </c>
      <c r="O57" s="371">
        <f t="shared" si="133"/>
        <v>-1.6884601796645082E-3</v>
      </c>
      <c r="P57" s="369"/>
      <c r="Q57" s="372">
        <f>IF(ISERROR(VLOOKUP($A57,'Front-loading'!$A:$AG,27,FALSE)),"-",VLOOKUP($A57,'Front-loading'!$A:$AG,27,FALSE))</f>
        <v>209.18921169341635</v>
      </c>
      <c r="R57" s="372">
        <f>IF(ISERROR(VLOOKUP($A57,'Front-loading'!$A:$AG,26,FALSE)),"-",VLOOKUP($A57,'Front-loading'!$A:$AG,26,FALSE))</f>
        <v>296.09134021014438</v>
      </c>
      <c r="S57" s="372">
        <f>IF(ISERROR(VLOOKUP($A57,'Front-loading'!$A:$AG,29,FALSE)),"-",VLOOKUP($A57,'Front-loading'!$A:$AG,29,FALSE))</f>
        <v>127.45933124774868</v>
      </c>
      <c r="T57" s="372">
        <f>IF(ISERROR(VLOOKUP($A57,'Front-loading'!$A:$AG,28,FALSE)),"-",VLOOKUP($A57,'Front-loading'!$A:$AG,28,FALSE))</f>
        <v>198.9413962679528</v>
      </c>
      <c r="U57" s="373">
        <f t="shared" si="134"/>
        <v>0.11279103319435135</v>
      </c>
      <c r="V57" s="373">
        <f t="shared" si="135"/>
        <v>0.21997652414066016</v>
      </c>
      <c r="W57" s="373">
        <f t="shared" si="136"/>
        <v>-0.10000000000000009</v>
      </c>
      <c r="X57" s="373">
        <f t="shared" si="137"/>
        <v>-9.9999999999999978E-2</v>
      </c>
      <c r="Y57" s="369"/>
      <c r="Z57" s="374">
        <f>IF(ISERROR(VLOOKUP($A57,'Further adjustment'!$A:$BC,53,FALSE)),"-",VLOOKUP($A57,'Further adjustment'!$A:$BC,53,FALSE))</f>
        <v>209.18921169341635</v>
      </c>
      <c r="AA57" s="374">
        <f>IF(ISERROR(VLOOKUP($A57,'Further adjustment'!$A:$BC,52,FALSE)),"-",VLOOKUP($A57,'Further adjustment'!$A:$BC,52,FALSE))</f>
        <v>296.09134021014438</v>
      </c>
      <c r="AB57" s="374">
        <f>IF(ISERROR(VLOOKUP($A57,'Further adjustment'!$A:$BC,55,FALSE)),"-",VLOOKUP($A57,'Further adjustment'!$A:$BC,55,FALSE))</f>
        <v>127.45933124774868</v>
      </c>
      <c r="AC57" s="374">
        <f>IF(ISERROR(VLOOKUP($A57,'Further adjustment'!$A:$BC,54,FALSE)),"-",VLOOKUP($A57,'Further adjustment'!$A:$BC,54,FALSE))</f>
        <v>198.9413962679528</v>
      </c>
      <c r="AD57" s="375">
        <f t="shared" si="138"/>
        <v>0</v>
      </c>
      <c r="AE57" s="375">
        <f t="shared" si="139"/>
        <v>0</v>
      </c>
      <c r="AF57" s="375">
        <f t="shared" si="140"/>
        <v>0</v>
      </c>
      <c r="AG57" s="375">
        <f t="shared" si="141"/>
        <v>0</v>
      </c>
      <c r="AH57" s="369"/>
      <c r="AI57" s="376">
        <f>'Price Adjustments'!$G$6</f>
        <v>-3.1174571652793026E-2</v>
      </c>
      <c r="AJ57" s="376">
        <v>0</v>
      </c>
      <c r="AK57" s="377">
        <f t="shared" si="31"/>
        <v>202.66782762448867</v>
      </c>
      <c r="AL57" s="377">
        <f t="shared" si="32"/>
        <v>286.86081950899171</v>
      </c>
      <c r="AM57" s="377">
        <f t="shared" si="33"/>
        <v>123.48584119294866</v>
      </c>
      <c r="AN57" s="377">
        <f t="shared" si="34"/>
        <v>192.73948345529081</v>
      </c>
      <c r="AO57" s="378">
        <f t="shared" si="142"/>
        <v>-3.1174571652793026E-2</v>
      </c>
      <c r="AP57" s="378">
        <f t="shared" si="143"/>
        <v>-3.1174571652793026E-2</v>
      </c>
      <c r="AQ57" s="378">
        <f t="shared" si="144"/>
        <v>-3.1174571652793026E-2</v>
      </c>
      <c r="AR57" s="378">
        <f t="shared" si="145"/>
        <v>-3.1174571652793026E-2</v>
      </c>
      <c r="AS57" s="379">
        <f>'Price Adjustments'!$F$6</f>
        <v>0</v>
      </c>
      <c r="AT57" s="377" t="str">
        <f>IF(ISERROR(VLOOKUP($A57,'15-16 tariff'!$A:$F,3,FALSE)*(1+$AS$6)),"-",VLOOKUP($A57,'15-16 tariff'!$A:$F,3,FALSE)*(1+$AS$6))</f>
        <v>-</v>
      </c>
      <c r="AU57" s="377" t="str">
        <f>IF(ISERROR(VLOOKUP($A57,'15-16 tariff'!$A:$F,4,FALSE)*(1+$AS$6)),"-",VLOOKUP($A57,'15-16 tariff'!$A:$F,4,FALSE)*(1+$AS$6))</f>
        <v>-</v>
      </c>
      <c r="AV57" s="377" t="str">
        <f>IF(ISERROR(VLOOKUP($A57,'15-16 tariff'!$A:$F,5,FALSE)*(1+$AS$6)),"-",VLOOKUP($A57,'15-16 tariff'!$A:$F,5,FALSE)*(1+$AS$6))</f>
        <v>-</v>
      </c>
      <c r="AW57" s="377" t="str">
        <f>IF(ISERROR(VLOOKUP($A57,'15-16 tariff'!$A:$F,6,FALSE)*(1+$AS$6)),"-",VLOOKUP($A57,'15-16 tariff'!$A:$F,6,FALSE)*(1+$AS$6))</f>
        <v>-</v>
      </c>
      <c r="AX57" s="369"/>
      <c r="AY57" s="380" t="s">
        <v>307</v>
      </c>
      <c r="AZ57" s="380" t="s">
        <v>307</v>
      </c>
      <c r="BA57" s="380" t="s">
        <v>307</v>
      </c>
      <c r="BB57" s="381" t="s">
        <v>307</v>
      </c>
      <c r="BC57" s="381">
        <f t="shared" si="146"/>
        <v>202.66782762448867</v>
      </c>
      <c r="BD57" s="381">
        <f t="shared" si="147"/>
        <v>286.86081950899171</v>
      </c>
      <c r="BE57" s="381">
        <f t="shared" si="148"/>
        <v>123.48584119294866</v>
      </c>
      <c r="BF57" s="381">
        <f t="shared" si="149"/>
        <v>192.73948345529081</v>
      </c>
      <c r="BG57" s="381">
        <f>IFERROR(VLOOKUP($A57,'Further adjustment'!$A:$Q,7,FALSE),0)</f>
        <v>421554</v>
      </c>
      <c r="BH57" s="381">
        <f>IFERROR(VLOOKUP($A57,'Further adjustment'!$A:$Q,6,FALSE),0)</f>
        <v>3311</v>
      </c>
      <c r="BI57" s="381">
        <f>IFERROR(VLOOKUP($A57,'Further adjustment'!$A:$Q,9,FALSE),0)</f>
        <v>631138</v>
      </c>
      <c r="BJ57" s="381">
        <f>IFERROR(VLOOKUP($A57,'Further adjustment'!$A:$Q,8,FALSE),0)</f>
        <v>7997</v>
      </c>
      <c r="BK57" s="382">
        <f t="shared" si="150"/>
        <v>-3.1174571652793026E-2</v>
      </c>
      <c r="BL57" s="382">
        <f t="shared" si="151"/>
        <v>-3.1174571652793026E-2</v>
      </c>
      <c r="BM57" s="382">
        <f t="shared" si="152"/>
        <v>-3.1174571652793026E-2</v>
      </c>
      <c r="BN57" s="382">
        <f t="shared" si="153"/>
        <v>-3.1174571652793026E-2</v>
      </c>
      <c r="BO57" s="369"/>
      <c r="BP57" s="383">
        <f>'Price Adjustments'!$D$90</f>
        <v>-6.8529657693413348E-2</v>
      </c>
      <c r="BQ57" s="384">
        <f t="shared" si="154"/>
        <v>188.77907077191475</v>
      </c>
      <c r="BR57" s="384">
        <f t="shared" si="155"/>
        <v>267.2023457423885</v>
      </c>
      <c r="BS57" s="384">
        <f t="shared" si="156"/>
        <v>115.02339876601268</v>
      </c>
      <c r="BT57" s="384">
        <f t="shared" si="157"/>
        <v>179.53111263009441</v>
      </c>
      <c r="BU57" s="369"/>
      <c r="BV57" s="385" t="str">
        <f>IF(COUNTIF('Manual adjustments'!$A:$A,A57)=1,"Y",IF(COUNTIF(#REF!,A57)=1,"BPT",""))</f>
        <v>Y</v>
      </c>
      <c r="BW57" s="384">
        <f>IF($BV57="",BQ57,IF(AND($BV57="BPT",IFERROR(ISNUMBER(VLOOKUP($A57,#REF!,3,FALSE)),FALSE)),VLOOKUP($A57,#REF!,3,FALSE),IF(AND($BV57="Y",IFERROR(ISNUMBER(VLOOKUP($A57,'Manual adjustments'!$A:$O,12,FALSE)),FALSE)),VLOOKUP($A57,'Manual adjustments'!$A:$O,12,FALSE),BQ57)))</f>
        <v>188.77907077191475</v>
      </c>
      <c r="BX57" s="384">
        <f>IF($BV57="",BR57,IF(AND($BV57="BPT",IFERROR(ISNUMBER(VLOOKUP($A57,#REF!,4,FALSE)),FALSE)),VLOOKUP($A57,#REF!,4,FALSE),IF(AND($BV57="Y",IFERROR(ISNUMBER(VLOOKUP($A57,'Manual adjustments'!$A:$O,13,FALSE)),FALSE)),VLOOKUP($A57,'Manual adjustments'!$A:$O,13,FALSE),BR57)))</f>
        <v>267.2023457423885</v>
      </c>
      <c r="BY57" s="384">
        <f>IF($BV57="",BS57,IF(AND($BV57="BPT",IFERROR(ISNUMBER(VLOOKUP($A57,#REF!,5,FALSE)),FALSE)),VLOOKUP($A57,#REF!,5,FALSE),IF(AND($BV57="Y",IFERROR(ISNUMBER(VLOOKUP($A57,'Manual adjustments'!$A:$O,14,FALSE)),FALSE)),VLOOKUP($A57,'Manual adjustments'!$A:$O,14,FALSE),BS57)))</f>
        <v>115.02339876601268</v>
      </c>
      <c r="BZ57" s="384">
        <f>IF($BV57="",BT57,IF(AND($BV57="BPT",IFERROR(ISNUMBER(VLOOKUP($A57,#REF!,6,FALSE)),FALSE)),VLOOKUP($A57,#REF!,6,FALSE),IF(AND($BV57="Y",IFERROR(ISNUMBER(VLOOKUP($A57,'Manual adjustments'!$A:$O,15,FALSE)),FALSE)),VLOOKUP($A57,'Manual adjustments'!$A:$O,15,FALSE),BT57)))</f>
        <v>179.53111263009441</v>
      </c>
      <c r="CA57" s="386">
        <f>'Post manual recon'!$N$70</f>
        <v>0</v>
      </c>
      <c r="CB57" s="384">
        <f>IF(VLOOKUP($A57,'Post manual recon'!$A:$U,18,FALSE)=0,BW57,BW57*(1+$CA57))</f>
        <v>188.77907077191475</v>
      </c>
      <c r="CC57" s="384">
        <f>IF(VLOOKUP($A57,'Post manual recon'!$A:$U,19,FALSE)=0,BX57,BX57*(1+$CA57))</f>
        <v>267.2023457423885</v>
      </c>
      <c r="CD57" s="384">
        <f>IF(VLOOKUP($A57,'Post manual recon'!$A:$U,20,FALSE)=0,BY57,BY57*(1+$CA57))</f>
        <v>115.02339876601268</v>
      </c>
      <c r="CE57" s="384">
        <f>IF(VLOOKUP($A57,'Post manual recon'!$A:$U,21,FALSE)=0,BZ57,BZ57*(1+$CA57))</f>
        <v>179.53111263009441</v>
      </c>
      <c r="CF57" s="383">
        <f t="shared" si="35"/>
        <v>0</v>
      </c>
      <c r="CG57" s="383">
        <f t="shared" si="36"/>
        <v>0</v>
      </c>
      <c r="CH57" s="383">
        <f t="shared" si="37"/>
        <v>0</v>
      </c>
      <c r="CI57" s="383">
        <f t="shared" si="38"/>
        <v>0</v>
      </c>
      <c r="CJ57" s="369"/>
      <c r="CK57" s="383">
        <f>'Price Adjustments'!$F$6</f>
        <v>0</v>
      </c>
      <c r="CL57" s="384">
        <f t="shared" si="39"/>
        <v>188.77907077191475</v>
      </c>
      <c r="CM57" s="384">
        <f t="shared" si="40"/>
        <v>267.2023457423885</v>
      </c>
      <c r="CN57" s="384">
        <f t="shared" si="41"/>
        <v>115.02339876601268</v>
      </c>
      <c r="CO57" s="384">
        <f t="shared" si="42"/>
        <v>179.53111263009441</v>
      </c>
      <c r="CP57" s="369"/>
      <c r="CQ57" s="384">
        <f t="shared" si="43"/>
        <v>189</v>
      </c>
      <c r="CR57" s="384">
        <f t="shared" si="44"/>
        <v>267</v>
      </c>
      <c r="CS57" s="384">
        <f t="shared" si="45"/>
        <v>115</v>
      </c>
      <c r="CT57" s="384">
        <f t="shared" si="46"/>
        <v>180</v>
      </c>
    </row>
    <row r="58" spans="1:98">
      <c r="A58" s="367">
        <v>410</v>
      </c>
      <c r="B58" s="367" t="str">
        <f>INDEX('201314 RC list'!B:B,MATCH(A58,'201314 RC list'!A:A,0))</f>
        <v>Rheumatology</v>
      </c>
      <c r="C58" s="368">
        <f>IF(ISERROR(VLOOKUP($A58,'Allocate OPROC cost'!A:M,11,FALSE)),"-",VLOOKUP($A58,'Allocate OPROC cost'!A:M,11,FALSE))</f>
        <v>172.01237938288122</v>
      </c>
      <c r="D58" s="368">
        <f>IF(ISERROR(VLOOKUP($A58,'Allocate OPROC cost'!A:M,10,FALSE)),"-",VLOOKUP($A58,'Allocate OPROC cost'!A:M,10,FALSE))</f>
        <v>191.76299124630145</v>
      </c>
      <c r="E58" s="368">
        <f>IF(ISERROR(VLOOKUP($A58,'Allocate OPROC cost'!A:M,13,FALSE)),"-",VLOOKUP($A58,'Allocate OPROC cost'!A:M,13,FALSE))</f>
        <v>116.75643448503868</v>
      </c>
      <c r="F58" s="368">
        <f>IF(ISERROR(VLOOKUP($A58,'Allocate OPROC cost'!A:M,12,FALSE)),"-",VLOOKUP($A58,'Allocate OPROC cost'!A:M,12,FALSE))</f>
        <v>126.79643835905723</v>
      </c>
      <c r="G58" s="369"/>
      <c r="H58" s="370">
        <f>IF(ISERROR(VLOOKUP($A58,'Allocate OPROC cost'!A:AO,39,FALSE)),"-",VLOOKUP($A58,'Allocate OPROC cost'!A:AO,39,FALSE))</f>
        <v>171.86517926102206</v>
      </c>
      <c r="I58" s="370">
        <f>IF(ISERROR(VLOOKUP($A58,'Allocate OPROC cost'!A:AO,38,FALSE)),"-",VLOOKUP($A58,'Allocate OPROC cost'!A:AO,38,FALSE))</f>
        <v>191.47392453503491</v>
      </c>
      <c r="J58" s="370">
        <f>IF(ISERROR(VLOOKUP($A58,'Allocate OPROC cost'!A:AO,41,FALSE)),"-",VLOOKUP($A58,'Allocate OPROC cost'!A:AO,41,FALSE))</f>
        <v>116.75669471181079</v>
      </c>
      <c r="K58" s="370">
        <f>IF(ISERROR(VLOOKUP($A58,'Allocate OPROC cost'!A:AO,40,FALSE)),"-",VLOOKUP($A58,'Allocate OPROC cost'!A:AO,40,FALSE))</f>
        <v>126.73764655636577</v>
      </c>
      <c r="L58" s="371">
        <f t="shared" ref="L58" si="202">IF(ISERROR(H58/C58-1),"-",H58/C58-1)</f>
        <v>-8.5575307072238704E-4</v>
      </c>
      <c r="M58" s="371">
        <f t="shared" ref="M58" si="203">IF(ISERROR(I58/D58-1),"-",I58/D58-1)</f>
        <v>-1.507416573906406E-3</v>
      </c>
      <c r="N58" s="371">
        <f t="shared" ref="N58" si="204">IF(ISERROR(J58/E58-1),"-",J58/E58-1)</f>
        <v>2.2288002650139305E-6</v>
      </c>
      <c r="O58" s="371">
        <f t="shared" ref="O58" si="205">IF(ISERROR(K58/F58-1),"-",K58/F58-1)</f>
        <v>-4.6367077381914701E-4</v>
      </c>
      <c r="P58" s="369"/>
      <c r="Q58" s="372">
        <f>IF(ISERROR(VLOOKUP($A58,'Front-loading'!$A:$AG,27,FALSE)),"-",VLOOKUP($A58,'Front-loading'!$A:$AG,27,FALSE))</f>
        <v>212.85261450106253</v>
      </c>
      <c r="R58" s="372">
        <f>IF(ISERROR(VLOOKUP($A58,'Front-loading'!$A:$AG,26,FALSE)),"-",VLOOKUP($A58,'Front-loading'!$A:$AG,26,FALSE))</f>
        <v>221.12337706482077</v>
      </c>
      <c r="S58" s="372">
        <f>IF(ISERROR(VLOOKUP($A58,'Front-loading'!$A:$AG,29,FALSE)),"-",VLOOKUP($A58,'Front-loading'!$A:$AG,29,FALSE))</f>
        <v>105.08102524062973</v>
      </c>
      <c r="T58" s="372">
        <f>IF(ISERROR(VLOOKUP($A58,'Front-loading'!$A:$AG,28,FALSE)),"-",VLOOKUP($A58,'Front-loading'!$A:$AG,28,FALSE))</f>
        <v>114.06388190072919</v>
      </c>
      <c r="U58" s="373">
        <f t="shared" ref="U58" si="206">IF(ISERROR(Q58/H58-1),"-",Q58/H58-1)</f>
        <v>0.23848597730079102</v>
      </c>
      <c r="V58" s="373">
        <f t="shared" ref="V58" si="207">IF(ISERROR(R58/I58-1),"-",R58/I58-1)</f>
        <v>0.15484851319460335</v>
      </c>
      <c r="W58" s="373">
        <f t="shared" ref="W58" si="208">IF(ISERROR(S58/J58-1),"-",S58/J58-1)</f>
        <v>-9.9999999999999867E-2</v>
      </c>
      <c r="X58" s="373">
        <f t="shared" ref="X58" si="209">IF(ISERROR(T58/K58-1),"-",T58/K58-1)</f>
        <v>-0.10000000000000009</v>
      </c>
      <c r="Y58" s="369"/>
      <c r="Z58" s="374">
        <f>IF(ISERROR(VLOOKUP($A58,'Further adjustment'!$A:$BC,53,FALSE)),"-",VLOOKUP($A58,'Further adjustment'!$A:$BC,53,FALSE))</f>
        <v>212.85261450106253</v>
      </c>
      <c r="AA58" s="374">
        <f>IF(ISERROR(VLOOKUP($A58,'Further adjustment'!$A:$BC,52,FALSE)),"-",VLOOKUP($A58,'Further adjustment'!$A:$BC,52,FALSE))</f>
        <v>221.12337706482077</v>
      </c>
      <c r="AB58" s="374">
        <f>IF(ISERROR(VLOOKUP($A58,'Further adjustment'!$A:$BC,55,FALSE)),"-",VLOOKUP($A58,'Further adjustment'!$A:$BC,55,FALSE))</f>
        <v>105.08102524062973</v>
      </c>
      <c r="AC58" s="374">
        <f>IF(ISERROR(VLOOKUP($A58,'Further adjustment'!$A:$BC,54,FALSE)),"-",VLOOKUP($A58,'Further adjustment'!$A:$BC,54,FALSE))</f>
        <v>114.06388190072919</v>
      </c>
      <c r="AD58" s="375">
        <f t="shared" ref="AD58" si="210">IF(ISERROR(Z58/Q58-1),"-",Z58/Q58-1)</f>
        <v>0</v>
      </c>
      <c r="AE58" s="375">
        <f t="shared" ref="AE58" si="211">IF(ISERROR(AA58/R58-1),"-",AA58/R58-1)</f>
        <v>0</v>
      </c>
      <c r="AF58" s="375">
        <f t="shared" ref="AF58" si="212">IF(ISERROR(AB58/S58-1),"-",AB58/S58-1)</f>
        <v>0</v>
      </c>
      <c r="AG58" s="375">
        <f t="shared" ref="AG58" si="213">IF(ISERROR(AC58/T58-1),"-",AC58/T58-1)</f>
        <v>0</v>
      </c>
      <c r="AH58" s="369"/>
      <c r="AI58" s="376">
        <f>'Price Adjustments'!$G$6</f>
        <v>-3.1174571652793026E-2</v>
      </c>
      <c r="AJ58" s="376">
        <v>0</v>
      </c>
      <c r="AK58" s="377">
        <f t="shared" ref="AK58" si="214">IF(ISERROR(Z58*(1+$AI58)*(1+$AJ58)),"-",Z58*(1+$AI58)*(1+$AJ58))</f>
        <v>206.21702541881481</v>
      </c>
      <c r="AL58" s="377">
        <f t="shared" ref="AL58" si="215">IF(ISERROR(AA58*(1+$AI58)*(1+$AJ58)),"-",AA58*(1+$AI58)*(1+$AJ58))</f>
        <v>214.22995050240596</v>
      </c>
      <c r="AM58" s="377">
        <f t="shared" ref="AM58" si="216">IF(ISERROR(AB58*(1+$AI58)*(1+$AJ58)),"-",AB58*(1+$AI58)*(1+$AJ58))</f>
        <v>101.80516928991676</v>
      </c>
      <c r="AN58" s="377">
        <f t="shared" ref="AN58" si="217">IF(ISERROR(AC58*(1+$AI58)*(1+$AJ58)),"-",AC58*(1+$AI58)*(1+$AJ58))</f>
        <v>110.50798924141918</v>
      </c>
      <c r="AO58" s="378">
        <f t="shared" ref="AO58" si="218">IF(ISERROR(AK58/Z58-1),"-",AK58/Z58-1)</f>
        <v>-3.1174571652793137E-2</v>
      </c>
      <c r="AP58" s="378">
        <f t="shared" ref="AP58" si="219">IF(ISERROR(AL58/AA58-1),"-",AL58/AA58-1)</f>
        <v>-3.1174571652793026E-2</v>
      </c>
      <c r="AQ58" s="378">
        <f t="shared" ref="AQ58" si="220">IF(ISERROR(AM58/AB58-1),"-",AM58/AB58-1)</f>
        <v>-3.1174571652793026E-2</v>
      </c>
      <c r="AR58" s="378">
        <f t="shared" ref="AR58" si="221">IF(ISERROR(AN58/AC58-1),"-",AN58/AC58-1)</f>
        <v>-3.1174571652793026E-2</v>
      </c>
      <c r="AS58" s="379">
        <f>'Price Adjustments'!$F$6</f>
        <v>0</v>
      </c>
      <c r="AT58" s="377">
        <f>IF(ISERROR(VLOOKUP($A58,'15-16 tariff'!$A:$F,3,FALSE)*(1+$AS$6)),"-",VLOOKUP($A58,'15-16 tariff'!$A:$F,3,FALSE)*(1+$AS$6))</f>
        <v>222.46033554889169</v>
      </c>
      <c r="AU58" s="377">
        <f>IF(ISERROR(VLOOKUP($A58,'15-16 tariff'!$A:$F,4,FALSE)*(1+$AS$6)),"-",VLOOKUP($A58,'15-16 tariff'!$A:$F,4,FALSE)*(1+$AS$6))</f>
        <v>242.52718371842172</v>
      </c>
      <c r="AV58" s="377">
        <f>IF(ISERROR(VLOOKUP($A58,'15-16 tariff'!$A:$F,5,FALSE)*(1+$AS$6)),"-",VLOOKUP($A58,'15-16 tariff'!$A:$F,5,FALSE)*(1+$AS$6))</f>
        <v>102.0822106650581</v>
      </c>
      <c r="AW58" s="377">
        <f>IF(ISERROR(VLOOKUP($A58,'15-16 tariff'!$A:$F,6,FALSE)*(1+$AS$6)),"-",VLOOKUP($A58,'15-16 tariff'!$A:$F,6,FALSE)*(1+$AS$6))</f>
        <v>162.56069013404988</v>
      </c>
      <c r="AX58" s="369"/>
      <c r="AY58" s="380" t="s">
        <v>307</v>
      </c>
      <c r="AZ58" s="380" t="s">
        <v>307</v>
      </c>
      <c r="BA58" s="380" t="s">
        <v>307</v>
      </c>
      <c r="BB58" s="381" t="s">
        <v>307</v>
      </c>
      <c r="BC58" s="381">
        <f t="shared" ref="BC58" si="222">IF(AY58="Modelled",AK58,IF(AY58="Roll-over",AT58,"Error"))</f>
        <v>206.21702541881481</v>
      </c>
      <c r="BD58" s="381">
        <f t="shared" ref="BD58" si="223">IF(AZ58="Modelled",AL58,IF(AZ58="Roll-over",AU58,"Error"))</f>
        <v>214.22995050240596</v>
      </c>
      <c r="BE58" s="381">
        <f t="shared" ref="BE58" si="224">IF(BA58="Modelled",AM58,IF(BA58="Roll-over",AV58,"Error"))</f>
        <v>101.80516928991676</v>
      </c>
      <c r="BF58" s="381">
        <f t="shared" ref="BF58" si="225">IF(BB58="Modelled",AN58,IF(BB58="Roll-over",AW58,"Error"))</f>
        <v>110.50798924141918</v>
      </c>
      <c r="BG58" s="381">
        <f>IFERROR(VLOOKUP($A58,'Further adjustment'!$A:$Q,7,FALSE),0)</f>
        <v>368674</v>
      </c>
      <c r="BH58" s="381">
        <f>IFERROR(VLOOKUP($A58,'Further adjustment'!$A:$Q,6,FALSE),0)</f>
        <v>3223</v>
      </c>
      <c r="BI58" s="381">
        <f>IFERROR(VLOOKUP($A58,'Further adjustment'!$A:$Q,9,FALSE),0)</f>
        <v>1294230</v>
      </c>
      <c r="BJ58" s="381">
        <f>IFERROR(VLOOKUP($A58,'Further adjustment'!$A:$Q,8,FALSE),0)</f>
        <v>7540</v>
      </c>
      <c r="BK58" s="382">
        <f t="shared" ref="BK58" si="226">IF(ISERROR(BC58/Z58-1),"-",BC58/Z58-1)</f>
        <v>-3.1174571652793137E-2</v>
      </c>
      <c r="BL58" s="382">
        <f t="shared" ref="BL58" si="227">IF(ISERROR(BD58/AA58-1),"-",BD58/AA58-1)</f>
        <v>-3.1174571652793026E-2</v>
      </c>
      <c r="BM58" s="382">
        <f t="shared" ref="BM58" si="228">IF(ISERROR(BE58/AB58-1),"-",BE58/AB58-1)</f>
        <v>-3.1174571652793026E-2</v>
      </c>
      <c r="BN58" s="382">
        <f t="shared" ref="BN58" si="229">IF(ISERROR(BF58/AC58-1),"-",BF58/AC58-1)</f>
        <v>-3.1174571652793026E-2</v>
      </c>
      <c r="BO58" s="369"/>
      <c r="BP58" s="383">
        <f>'Price Adjustments'!$D$90</f>
        <v>-6.8529657693413348E-2</v>
      </c>
      <c r="BQ58" s="384">
        <f t="shared" ref="BQ58" si="230">BC58*(1+$BP58)</f>
        <v>192.08504325630952</v>
      </c>
      <c r="BR58" s="384">
        <f t="shared" ref="BR58" si="231">BD58*(1+$BP58)</f>
        <v>199.54884532679918</v>
      </c>
      <c r="BS58" s="384">
        <f t="shared" ref="BS58" si="232">BE58*(1+$BP58)</f>
        <v>94.828495887058764</v>
      </c>
      <c r="BT58" s="384">
        <f t="shared" ref="BT58" si="233">BF58*(1+$BP58)</f>
        <v>102.93491456631732</v>
      </c>
      <c r="BU58" s="369"/>
      <c r="BV58" s="385" t="str">
        <f>IF(COUNTIF('Manual adjustments'!$A:$A,A58)=1,"Y",IF(COUNTIF(#REF!,A58)=1,"BPT",""))</f>
        <v>Y</v>
      </c>
      <c r="BW58" s="384">
        <f>IF($BV58="",BQ58,IF(AND($BV58="BPT",IFERROR(ISNUMBER(VLOOKUP($A58,#REF!,3,FALSE)),FALSE)),VLOOKUP($A58,#REF!,3,FALSE),IF(AND($BV58="Y",IFERROR(ISNUMBER(VLOOKUP($A58,'Manual adjustments'!$A:$O,12,FALSE)),FALSE)),VLOOKUP($A58,'Manual adjustments'!$A:$O,12,FALSE),BQ58)))</f>
        <v>192.08504325630952</v>
      </c>
      <c r="BX58" s="384">
        <f>IF($BV58="",BR58,IF(AND($BV58="BPT",IFERROR(ISNUMBER(VLOOKUP($A58,#REF!,4,FALSE)),FALSE)),VLOOKUP($A58,#REF!,4,FALSE),IF(AND($BV58="Y",IFERROR(ISNUMBER(VLOOKUP($A58,'Manual adjustments'!$A:$O,13,FALSE)),FALSE)),VLOOKUP($A58,'Manual adjustments'!$A:$O,13,FALSE),BR58)))</f>
        <v>199.54884532679918</v>
      </c>
      <c r="BY58" s="384">
        <f>IF($BV58="",BS58,IF(AND($BV58="BPT",IFERROR(ISNUMBER(VLOOKUP($A58,#REF!,5,FALSE)),FALSE)),VLOOKUP($A58,#REF!,5,FALSE),IF(AND($BV58="Y",IFERROR(ISNUMBER(VLOOKUP($A58,'Manual adjustments'!$A:$O,14,FALSE)),FALSE)),VLOOKUP($A58,'Manual adjustments'!$A:$O,14,FALSE),BS58)))</f>
        <v>94.828495887058764</v>
      </c>
      <c r="BZ58" s="384">
        <f>IF($BV58="",BT58,IF(AND($BV58="BPT",IFERROR(ISNUMBER(VLOOKUP($A58,#REF!,6,FALSE)),FALSE)),VLOOKUP($A58,#REF!,6,FALSE),IF(AND($BV58="Y",IFERROR(ISNUMBER(VLOOKUP($A58,'Manual adjustments'!$A:$O,15,FALSE)),FALSE)),VLOOKUP($A58,'Manual adjustments'!$A:$O,15,FALSE),BT58)))</f>
        <v>102.93491456631732</v>
      </c>
      <c r="CA58" s="386">
        <f>'Post manual recon'!$N$70</f>
        <v>0</v>
      </c>
      <c r="CB58" s="384">
        <f>IF(VLOOKUP($A58,'Post manual recon'!$A:$U,18,FALSE)=0,BW58,BW58*(1+$CA58))</f>
        <v>192.08504325630952</v>
      </c>
      <c r="CC58" s="384">
        <f>IF(VLOOKUP($A58,'Post manual recon'!$A:$U,19,FALSE)=0,BX58,BX58*(1+$CA58))</f>
        <v>199.54884532679918</v>
      </c>
      <c r="CD58" s="384">
        <f>IF(VLOOKUP($A58,'Post manual recon'!$A:$U,20,FALSE)=0,BY58,BY58*(1+$CA58))</f>
        <v>94.828495887058764</v>
      </c>
      <c r="CE58" s="384">
        <f>IF(VLOOKUP($A58,'Post manual recon'!$A:$U,21,FALSE)=0,BZ58,BZ58*(1+$CA58))</f>
        <v>102.93491456631732</v>
      </c>
      <c r="CF58" s="383">
        <f t="shared" ref="CF58" si="234">IF(ISERROR(CB58/BW58-1),0,CB58/BW58-1)</f>
        <v>0</v>
      </c>
      <c r="CG58" s="383">
        <f t="shared" ref="CG58" si="235">IF(ISERROR(CC58/BX58-1),0,CC58/BX58-1)</f>
        <v>0</v>
      </c>
      <c r="CH58" s="383">
        <f t="shared" ref="CH58" si="236">IF(ISERROR(CD58/BY58-1),0,CD58/BY58-1)</f>
        <v>0</v>
      </c>
      <c r="CI58" s="383">
        <f t="shared" ref="CI58" si="237">IF(ISERROR(CE58/BZ58-1),0,CE58/BZ58-1)</f>
        <v>0</v>
      </c>
      <c r="CJ58" s="369"/>
      <c r="CK58" s="383">
        <f>'Price Adjustments'!$F$6</f>
        <v>0</v>
      </c>
      <c r="CL58" s="384">
        <f t="shared" ref="CL58" si="238">CB58*(1+$CK58)</f>
        <v>192.08504325630952</v>
      </c>
      <c r="CM58" s="384">
        <f t="shared" ref="CM58" si="239">CC58*(1+$CK58)</f>
        <v>199.54884532679918</v>
      </c>
      <c r="CN58" s="384">
        <f t="shared" ref="CN58" si="240">CD58*(1+$CK58)</f>
        <v>94.828495887058764</v>
      </c>
      <c r="CO58" s="384">
        <f t="shared" ref="CO58" si="241">CE58*(1+$CK58)</f>
        <v>102.93491456631732</v>
      </c>
      <c r="CP58" s="369"/>
      <c r="CQ58" s="384">
        <f t="shared" ref="CQ58" si="242">ROUND(CL58,0)</f>
        <v>192</v>
      </c>
      <c r="CR58" s="384">
        <f t="shared" ref="CR58" si="243">ROUND(CM58,0)</f>
        <v>200</v>
      </c>
      <c r="CS58" s="384">
        <f t="shared" ref="CS58" si="244">ROUND(CN58,0)</f>
        <v>95</v>
      </c>
      <c r="CT58" s="384">
        <f t="shared" ref="CT58" si="245">ROUND(CO58,0)</f>
        <v>103</v>
      </c>
    </row>
    <row r="59" spans="1:98">
      <c r="A59" s="367">
        <v>420</v>
      </c>
      <c r="B59" s="367" t="str">
        <f>INDEX('201314 RC list'!B:B,MATCH(A59,'201314 RC list'!A:A,0))</f>
        <v>Paediatrics</v>
      </c>
      <c r="C59" s="368">
        <f>IF(ISERROR(VLOOKUP($A59,'Allocate OPROC cost'!A:M,11,FALSE)),"-",VLOOKUP($A59,'Allocate OPROC cost'!A:M,11,FALSE))</f>
        <v>217.18535625525581</v>
      </c>
      <c r="D59" s="368">
        <f>IF(ISERROR(VLOOKUP($A59,'Allocate OPROC cost'!A:M,10,FALSE)),"-",VLOOKUP($A59,'Allocate OPROC cost'!A:M,10,FALSE))</f>
        <v>243.63603255959799</v>
      </c>
      <c r="E59" s="368">
        <f>IF(ISERROR(VLOOKUP($A59,'Allocate OPROC cost'!A:M,13,FALSE)),"-",VLOOKUP($A59,'Allocate OPROC cost'!A:M,13,FALSE))</f>
        <v>162.37379637093662</v>
      </c>
      <c r="F59" s="368">
        <f>IF(ISERROR(VLOOKUP($A59,'Allocate OPROC cost'!A:M,12,FALSE)),"-",VLOOKUP($A59,'Allocate OPROC cost'!A:M,12,FALSE))</f>
        <v>186.54499451711749</v>
      </c>
      <c r="G59" s="369"/>
      <c r="H59" s="370">
        <f>IF(ISERROR(VLOOKUP($A59,'Allocate OPROC cost'!A:AO,39,FALSE)),"-",VLOOKUP($A59,'Allocate OPROC cost'!A:AO,39,FALSE))</f>
        <v>216.75704710450299</v>
      </c>
      <c r="I59" s="370">
        <f>IF(ISERROR(VLOOKUP($A59,'Allocate OPROC cost'!A:AO,38,FALSE)),"-",VLOOKUP($A59,'Allocate OPROC cost'!A:AO,38,FALSE))</f>
        <v>241.08488077103809</v>
      </c>
      <c r="J59" s="370">
        <f>IF(ISERROR(VLOOKUP($A59,'Allocate OPROC cost'!A:AO,41,FALSE)),"-",VLOOKUP($A59,'Allocate OPROC cost'!A:AO,41,FALSE))</f>
        <v>162.24219926129041</v>
      </c>
      <c r="K59" s="370">
        <f>IF(ISERROR(VLOOKUP($A59,'Allocate OPROC cost'!A:AO,40,FALSE)),"-",VLOOKUP($A59,'Allocate OPROC cost'!A:AO,40,FALSE))</f>
        <v>185.70975310065919</v>
      </c>
      <c r="L59" s="371">
        <f t="shared" si="130"/>
        <v>-1.972090375418456E-3</v>
      </c>
      <c r="M59" s="371">
        <f t="shared" si="131"/>
        <v>-1.0471159630034754E-2</v>
      </c>
      <c r="N59" s="371">
        <f t="shared" si="132"/>
        <v>-8.1045779914867833E-4</v>
      </c>
      <c r="O59" s="371">
        <f t="shared" si="133"/>
        <v>-4.4774260420139544E-3</v>
      </c>
      <c r="P59" s="369"/>
      <c r="Q59" s="372">
        <f>IF(ISERROR(VLOOKUP($A59,'Front-loading'!$A:$AG,27,FALSE)),"-",VLOOKUP($A59,'Front-loading'!$A:$AG,27,FALSE))</f>
        <v>239.05616826722141</v>
      </c>
      <c r="R59" s="372">
        <f>IF(ISERROR(VLOOKUP($A59,'Front-loading'!$A:$AG,26,FALSE)),"-",VLOOKUP($A59,'Front-loading'!$A:$AG,26,FALSE))</f>
        <v>287.82642873335482</v>
      </c>
      <c r="S59" s="372">
        <f>IF(ISERROR(VLOOKUP($A59,'Front-loading'!$A:$AG,29,FALSE)),"-",VLOOKUP($A59,'Front-loading'!$A:$AG,29,FALSE))</f>
        <v>146.01797933516136</v>
      </c>
      <c r="T59" s="372">
        <f>IF(ISERROR(VLOOKUP($A59,'Front-loading'!$A:$AG,28,FALSE)),"-",VLOOKUP($A59,'Front-loading'!$A:$AG,28,FALSE))</f>
        <v>167.13877779059325</v>
      </c>
      <c r="U59" s="373">
        <f t="shared" si="134"/>
        <v>0.10287610696213045</v>
      </c>
      <c r="V59" s="373">
        <f t="shared" si="135"/>
        <v>0.19388004678197923</v>
      </c>
      <c r="W59" s="373">
        <f t="shared" si="136"/>
        <v>-0.10000000000000009</v>
      </c>
      <c r="X59" s="373">
        <f t="shared" si="137"/>
        <v>-0.10000000000000009</v>
      </c>
      <c r="Y59" s="369"/>
      <c r="Z59" s="374">
        <f>IF(ISERROR(VLOOKUP($A59,'Further adjustment'!$A:$BC,53,FALSE)),"-",VLOOKUP($A59,'Further adjustment'!$A:$BC,53,FALSE))</f>
        <v>239.05616826722141</v>
      </c>
      <c r="AA59" s="374">
        <f>IF(ISERROR(VLOOKUP($A59,'Further adjustment'!$A:$BC,52,FALSE)),"-",VLOOKUP($A59,'Further adjustment'!$A:$BC,52,FALSE))</f>
        <v>287.82642873335482</v>
      </c>
      <c r="AB59" s="374">
        <f>IF(ISERROR(VLOOKUP($A59,'Further adjustment'!$A:$BC,55,FALSE)),"-",VLOOKUP($A59,'Further adjustment'!$A:$BC,55,FALSE))</f>
        <v>146.01797933516136</v>
      </c>
      <c r="AC59" s="374">
        <f>IF(ISERROR(VLOOKUP($A59,'Further adjustment'!$A:$BC,54,FALSE)),"-",VLOOKUP($A59,'Further adjustment'!$A:$BC,54,FALSE))</f>
        <v>167.13877779059325</v>
      </c>
      <c r="AD59" s="375">
        <f t="shared" si="138"/>
        <v>0</v>
      </c>
      <c r="AE59" s="375">
        <f t="shared" si="139"/>
        <v>0</v>
      </c>
      <c r="AF59" s="375">
        <f t="shared" si="140"/>
        <v>0</v>
      </c>
      <c r="AG59" s="375">
        <f t="shared" si="141"/>
        <v>0</v>
      </c>
      <c r="AH59" s="369"/>
      <c r="AI59" s="376">
        <f>'Price Adjustments'!$G$6</f>
        <v>-3.1174571652793026E-2</v>
      </c>
      <c r="AJ59" s="376">
        <v>0</v>
      </c>
      <c r="AK59" s="377">
        <f t="shared" si="31"/>
        <v>231.60369462053276</v>
      </c>
      <c r="AL59" s="377">
        <f t="shared" si="32"/>
        <v>278.85356310723932</v>
      </c>
      <c r="AM59" s="377">
        <f t="shared" si="33"/>
        <v>141.46593137578131</v>
      </c>
      <c r="AN59" s="377">
        <f t="shared" si="34"/>
        <v>161.92829798640014</v>
      </c>
      <c r="AO59" s="378">
        <f t="shared" si="142"/>
        <v>-3.1174571652793026E-2</v>
      </c>
      <c r="AP59" s="378">
        <f t="shared" si="143"/>
        <v>-3.1174571652793026E-2</v>
      </c>
      <c r="AQ59" s="378">
        <f t="shared" si="144"/>
        <v>-3.1174571652793137E-2</v>
      </c>
      <c r="AR59" s="378">
        <f t="shared" si="145"/>
        <v>-3.1174571652793137E-2</v>
      </c>
      <c r="AS59" s="379">
        <f>'Price Adjustments'!$F$6</f>
        <v>0</v>
      </c>
      <c r="AT59" s="377">
        <f>IF(ISERROR(VLOOKUP($A59,'15-16 tariff'!$A:$F,3,FALSE)*(1+$AS$6)),"-",VLOOKUP($A59,'15-16 tariff'!$A:$F,3,FALSE)*(1+$AS$6))</f>
        <v>218.97678794297926</v>
      </c>
      <c r="AU59" s="377">
        <f>IF(ISERROR(VLOOKUP($A59,'15-16 tariff'!$A:$F,4,FALSE)*(1+$AS$6)),"-",VLOOKUP($A59,'15-16 tariff'!$A:$F,4,FALSE)*(1+$AS$6))</f>
        <v>232.14836075459402</v>
      </c>
      <c r="AV59" s="377">
        <f>IF(ISERROR(VLOOKUP($A59,'15-16 tariff'!$A:$F,5,FALSE)*(1+$AS$6)),"-",VLOOKUP($A59,'15-16 tariff'!$A:$F,5,FALSE)*(1+$AS$6))</f>
        <v>133.18895279836445</v>
      </c>
      <c r="AW59" s="377">
        <f>IF(ISERROR(VLOOKUP($A59,'15-16 tariff'!$A:$F,6,FALSE)*(1+$AS$6)),"-",VLOOKUP($A59,'15-16 tariff'!$A:$F,6,FALSE)*(1+$AS$6))</f>
        <v>154.00748123285911</v>
      </c>
      <c r="AX59" s="369"/>
      <c r="AY59" s="380" t="s">
        <v>307</v>
      </c>
      <c r="AZ59" s="380" t="s">
        <v>307</v>
      </c>
      <c r="BA59" s="380" t="s">
        <v>307</v>
      </c>
      <c r="BB59" s="381" t="s">
        <v>307</v>
      </c>
      <c r="BC59" s="381">
        <f t="shared" si="146"/>
        <v>231.60369462053276</v>
      </c>
      <c r="BD59" s="381">
        <f t="shared" si="147"/>
        <v>278.85356310723932</v>
      </c>
      <c r="BE59" s="381">
        <f t="shared" si="148"/>
        <v>141.46593137578131</v>
      </c>
      <c r="BF59" s="381">
        <f t="shared" si="149"/>
        <v>161.92829798640014</v>
      </c>
      <c r="BG59" s="381">
        <f>IFERROR(VLOOKUP($A59,'Further adjustment'!$A:$Q,7,FALSE),0)</f>
        <v>577402</v>
      </c>
      <c r="BH59" s="381">
        <f>IFERROR(VLOOKUP($A59,'Further adjustment'!$A:$Q,6,FALSE),0)</f>
        <v>9164</v>
      </c>
      <c r="BI59" s="381">
        <f>IFERROR(VLOOKUP($A59,'Further adjustment'!$A:$Q,9,FALSE),0)</f>
        <v>793601</v>
      </c>
      <c r="BJ59" s="381">
        <f>IFERROR(VLOOKUP($A59,'Further adjustment'!$A:$Q,8,FALSE),0)</f>
        <v>23065</v>
      </c>
      <c r="BK59" s="382">
        <f t="shared" si="150"/>
        <v>-3.1174571652793026E-2</v>
      </c>
      <c r="BL59" s="382">
        <f t="shared" si="151"/>
        <v>-3.1174571652793026E-2</v>
      </c>
      <c r="BM59" s="382">
        <f t="shared" si="152"/>
        <v>-3.1174571652793137E-2</v>
      </c>
      <c r="BN59" s="382">
        <f t="shared" si="153"/>
        <v>-3.1174571652793137E-2</v>
      </c>
      <c r="BO59" s="369"/>
      <c r="BP59" s="383">
        <f>'Price Adjustments'!$D$90</f>
        <v>-6.8529657693413348E-2</v>
      </c>
      <c r="BQ59" s="384">
        <f t="shared" si="154"/>
        <v>215.7319727076578</v>
      </c>
      <c r="BR59" s="384">
        <f t="shared" si="155"/>
        <v>259.74382388091158</v>
      </c>
      <c r="BS59" s="384">
        <f t="shared" si="156"/>
        <v>131.77131952331911</v>
      </c>
      <c r="BT59" s="384">
        <f t="shared" si="157"/>
        <v>150.83140715451509</v>
      </c>
      <c r="BU59" s="369"/>
      <c r="BV59" s="385" t="str">
        <f>IF(COUNTIF('Manual adjustments'!$A:$A,A59)=1,"Y",IF(COUNTIF(#REF!,A59)=1,"BPT",""))</f>
        <v>Y</v>
      </c>
      <c r="BW59" s="384">
        <f>IF($BV59="",BQ59,IF(AND($BV59="BPT",IFERROR(ISNUMBER(VLOOKUP($A59,#REF!,3,FALSE)),FALSE)),VLOOKUP($A59,#REF!,3,FALSE),IF(AND($BV59="Y",IFERROR(ISNUMBER(VLOOKUP($A59,'Manual adjustments'!$A:$O,12,FALSE)),FALSE)),VLOOKUP($A59,'Manual adjustments'!$A:$O,12,FALSE),BQ59)))</f>
        <v>215.7319727076578</v>
      </c>
      <c r="BX59" s="384">
        <f>IF($BV59="",BR59,IF(AND($BV59="BPT",IFERROR(ISNUMBER(VLOOKUP($A59,#REF!,4,FALSE)),FALSE)),VLOOKUP($A59,#REF!,4,FALSE),IF(AND($BV59="Y",IFERROR(ISNUMBER(VLOOKUP($A59,'Manual adjustments'!$A:$O,13,FALSE)),FALSE)),VLOOKUP($A59,'Manual adjustments'!$A:$O,13,FALSE),BR59)))</f>
        <v>259.74382388091158</v>
      </c>
      <c r="BY59" s="384">
        <f>IF($BV59="",BS59,IF(AND($BV59="BPT",IFERROR(ISNUMBER(VLOOKUP($A59,#REF!,5,FALSE)),FALSE)),VLOOKUP($A59,#REF!,5,FALSE),IF(AND($BV59="Y",IFERROR(ISNUMBER(VLOOKUP($A59,'Manual adjustments'!$A:$O,14,FALSE)),FALSE)),VLOOKUP($A59,'Manual adjustments'!$A:$O,14,FALSE),BS59)))</f>
        <v>131.77131952331911</v>
      </c>
      <c r="BZ59" s="384">
        <f>IF($BV59="",BT59,IF(AND($BV59="BPT",IFERROR(ISNUMBER(VLOOKUP($A59,#REF!,6,FALSE)),FALSE)),VLOOKUP($A59,#REF!,6,FALSE),IF(AND($BV59="Y",IFERROR(ISNUMBER(VLOOKUP($A59,'Manual adjustments'!$A:$O,15,FALSE)),FALSE)),VLOOKUP($A59,'Manual adjustments'!$A:$O,15,FALSE),BT59)))</f>
        <v>150.83140715451509</v>
      </c>
      <c r="CA59" s="386">
        <f>'Post manual recon'!$N$70</f>
        <v>0</v>
      </c>
      <c r="CB59" s="384">
        <f>IF(VLOOKUP($A59,'Post manual recon'!$A:$U,18,FALSE)=0,BW59,BW59*(1+$CA59))</f>
        <v>215.7319727076578</v>
      </c>
      <c r="CC59" s="384">
        <f>IF(VLOOKUP($A59,'Post manual recon'!$A:$U,19,FALSE)=0,BX59,BX59*(1+$CA59))</f>
        <v>259.74382388091158</v>
      </c>
      <c r="CD59" s="384">
        <f>IF(VLOOKUP($A59,'Post manual recon'!$A:$U,20,FALSE)=0,BY59,BY59*(1+$CA59))</f>
        <v>131.77131952331911</v>
      </c>
      <c r="CE59" s="384">
        <f>IF(VLOOKUP($A59,'Post manual recon'!$A:$U,21,FALSE)=0,BZ59,BZ59*(1+$CA59))</f>
        <v>150.83140715451509</v>
      </c>
      <c r="CF59" s="383">
        <f t="shared" si="35"/>
        <v>0</v>
      </c>
      <c r="CG59" s="383">
        <f t="shared" si="36"/>
        <v>0</v>
      </c>
      <c r="CH59" s="383">
        <f t="shared" si="37"/>
        <v>0</v>
      </c>
      <c r="CI59" s="383">
        <f t="shared" si="38"/>
        <v>0</v>
      </c>
      <c r="CJ59" s="369"/>
      <c r="CK59" s="383">
        <f>'Price Adjustments'!$F$6</f>
        <v>0</v>
      </c>
      <c r="CL59" s="384">
        <f t="shared" si="39"/>
        <v>215.7319727076578</v>
      </c>
      <c r="CM59" s="384">
        <f t="shared" si="40"/>
        <v>259.74382388091158</v>
      </c>
      <c r="CN59" s="384">
        <f t="shared" si="41"/>
        <v>131.77131952331911</v>
      </c>
      <c r="CO59" s="384">
        <f t="shared" si="42"/>
        <v>150.83140715451509</v>
      </c>
      <c r="CP59" s="369"/>
      <c r="CQ59" s="384">
        <f t="shared" si="43"/>
        <v>216</v>
      </c>
      <c r="CR59" s="384">
        <f t="shared" si="44"/>
        <v>260</v>
      </c>
      <c r="CS59" s="384">
        <f t="shared" si="45"/>
        <v>132</v>
      </c>
      <c r="CT59" s="384">
        <f t="shared" si="46"/>
        <v>151</v>
      </c>
    </row>
    <row r="60" spans="1:98">
      <c r="A60" s="367">
        <v>421</v>
      </c>
      <c r="B60" s="367" t="str">
        <f>INDEX('201314 RC list'!B:B,MATCH(A60,'201314 RC list'!A:A,0))</f>
        <v>Paediatric Neurology</v>
      </c>
      <c r="C60" s="368">
        <f>IF(ISERROR(VLOOKUP($A60,'Allocate OPROC cost'!A:M,11,FALSE)),"-",VLOOKUP($A60,'Allocate OPROC cost'!A:M,11,FALSE))</f>
        <v>302.25368677549591</v>
      </c>
      <c r="D60" s="368">
        <f>IF(ISERROR(VLOOKUP($A60,'Allocate OPROC cost'!A:M,10,FALSE)),"-",VLOOKUP($A60,'Allocate OPROC cost'!A:M,10,FALSE))</f>
        <v>366.33544302883536</v>
      </c>
      <c r="E60" s="368">
        <f>IF(ISERROR(VLOOKUP($A60,'Allocate OPROC cost'!A:M,13,FALSE)),"-",VLOOKUP($A60,'Allocate OPROC cost'!A:M,13,FALSE))</f>
        <v>252.02165438439306</v>
      </c>
      <c r="F60" s="368">
        <f>IF(ISERROR(VLOOKUP($A60,'Allocate OPROC cost'!A:M,12,FALSE)),"-",VLOOKUP($A60,'Allocate OPROC cost'!A:M,12,FALSE))</f>
        <v>260.61191049396365</v>
      </c>
      <c r="G60" s="369"/>
      <c r="H60" s="370">
        <f>IF(ISERROR(VLOOKUP($A60,'Allocate OPROC cost'!A:AO,39,FALSE)),"-",VLOOKUP($A60,'Allocate OPROC cost'!A:AO,39,FALSE))</f>
        <v>301.91087432909188</v>
      </c>
      <c r="I60" s="370">
        <f>IF(ISERROR(VLOOKUP($A60,'Allocate OPROC cost'!A:AO,38,FALSE)),"-",VLOOKUP($A60,'Allocate OPROC cost'!A:AO,38,FALSE))</f>
        <v>366.16327145212188</v>
      </c>
      <c r="J60" s="370">
        <f>IF(ISERROR(VLOOKUP($A60,'Allocate OPROC cost'!A:AO,41,FALSE)),"-",VLOOKUP($A60,'Allocate OPROC cost'!A:AO,41,FALSE))</f>
        <v>251.97314051217882</v>
      </c>
      <c r="K60" s="370">
        <f>IF(ISERROR(VLOOKUP($A60,'Allocate OPROC cost'!A:AO,40,FALSE)),"-",VLOOKUP($A60,'Allocate OPROC cost'!A:AO,40,FALSE))</f>
        <v>260.44282142373709</v>
      </c>
      <c r="L60" s="371">
        <f t="shared" si="130"/>
        <v>-1.1341878078021672E-3</v>
      </c>
      <c r="M60" s="371">
        <f t="shared" si="131"/>
        <v>-4.6998339906723086E-4</v>
      </c>
      <c r="N60" s="371">
        <f t="shared" si="132"/>
        <v>-1.9249882448690858E-4</v>
      </c>
      <c r="O60" s="371">
        <f t="shared" si="133"/>
        <v>-6.4881558907292636E-4</v>
      </c>
      <c r="P60" s="369"/>
      <c r="Q60" s="372">
        <f>IF(ISERROR(VLOOKUP($A60,'Front-loading'!$A:$AG,27,FALSE)),"-",VLOOKUP($A60,'Front-loading'!$A:$AG,27,FALSE))</f>
        <v>354.46397255552841</v>
      </c>
      <c r="R60" s="372">
        <f>IF(ISERROR(VLOOKUP($A60,'Front-loading'!$A:$AG,26,FALSE)),"-",VLOOKUP($A60,'Front-loading'!$A:$AG,26,FALSE))</f>
        <v>440.58153630950414</v>
      </c>
      <c r="S60" s="372">
        <f>IF(ISERROR(VLOOKUP($A60,'Front-loading'!$A:$AG,29,FALSE)),"-",VLOOKUP($A60,'Front-loading'!$A:$AG,29,FALSE))</f>
        <v>226.77582646096096</v>
      </c>
      <c r="T60" s="372">
        <f>IF(ISERROR(VLOOKUP($A60,'Front-loading'!$A:$AG,28,FALSE)),"-",VLOOKUP($A60,'Front-loading'!$A:$AG,28,FALSE))</f>
        <v>234.39853928136338</v>
      </c>
      <c r="U60" s="373">
        <f t="shared" si="134"/>
        <v>0.17406825223907663</v>
      </c>
      <c r="V60" s="373">
        <f t="shared" si="135"/>
        <v>0.20323792870392499</v>
      </c>
      <c r="W60" s="373">
        <f t="shared" si="136"/>
        <v>-9.9999999999999867E-2</v>
      </c>
      <c r="X60" s="373">
        <f t="shared" si="137"/>
        <v>-9.9999999999999978E-2</v>
      </c>
      <c r="Y60" s="369"/>
      <c r="Z60" s="374">
        <f>IF(ISERROR(VLOOKUP($A60,'Further adjustment'!$A:$BC,53,FALSE)),"-",VLOOKUP($A60,'Further adjustment'!$A:$BC,53,FALSE))</f>
        <v>354.46397255552841</v>
      </c>
      <c r="AA60" s="374">
        <f>IF(ISERROR(VLOOKUP($A60,'Further adjustment'!$A:$BC,52,FALSE)),"-",VLOOKUP($A60,'Further adjustment'!$A:$BC,52,FALSE))</f>
        <v>440.58153630950414</v>
      </c>
      <c r="AB60" s="374">
        <f>IF(ISERROR(VLOOKUP($A60,'Further adjustment'!$A:$BC,55,FALSE)),"-",VLOOKUP($A60,'Further adjustment'!$A:$BC,55,FALSE))</f>
        <v>226.77582646096096</v>
      </c>
      <c r="AC60" s="374">
        <f>IF(ISERROR(VLOOKUP($A60,'Further adjustment'!$A:$BC,54,FALSE)),"-",VLOOKUP($A60,'Further adjustment'!$A:$BC,54,FALSE))</f>
        <v>234.39853928136338</v>
      </c>
      <c r="AD60" s="375">
        <f t="shared" si="138"/>
        <v>0</v>
      </c>
      <c r="AE60" s="375">
        <f t="shared" si="139"/>
        <v>0</v>
      </c>
      <c r="AF60" s="375">
        <f t="shared" si="140"/>
        <v>0</v>
      </c>
      <c r="AG60" s="375">
        <f t="shared" si="141"/>
        <v>0</v>
      </c>
      <c r="AH60" s="369"/>
      <c r="AI60" s="376">
        <f>'Price Adjustments'!$G$6</f>
        <v>-3.1174571652793026E-2</v>
      </c>
      <c r="AJ60" s="376">
        <v>0</v>
      </c>
      <c r="AK60" s="377">
        <f t="shared" si="31"/>
        <v>343.41371004476241</v>
      </c>
      <c r="AL60" s="377">
        <f t="shared" si="32"/>
        <v>426.84659563692588</v>
      </c>
      <c r="AM60" s="377">
        <f t="shared" si="33"/>
        <v>219.70618720983236</v>
      </c>
      <c r="AN60" s="377">
        <f t="shared" si="34"/>
        <v>227.09126522322649</v>
      </c>
      <c r="AO60" s="378">
        <f t="shared" si="142"/>
        <v>-3.1174571652793137E-2</v>
      </c>
      <c r="AP60" s="378">
        <f t="shared" si="143"/>
        <v>-3.1174571652793026E-2</v>
      </c>
      <c r="AQ60" s="378">
        <f t="shared" si="144"/>
        <v>-3.1174571652793026E-2</v>
      </c>
      <c r="AR60" s="378">
        <f t="shared" si="145"/>
        <v>-3.1174571652793137E-2</v>
      </c>
      <c r="AS60" s="379">
        <f>'Price Adjustments'!$F$6</f>
        <v>0</v>
      </c>
      <c r="AT60" s="377" t="str">
        <f>IF(ISERROR(VLOOKUP($A60,'15-16 tariff'!$A:$F,3,FALSE)*(1+$AS$6)),"-",VLOOKUP($A60,'15-16 tariff'!$A:$F,3,FALSE)*(1+$AS$6))</f>
        <v>-</v>
      </c>
      <c r="AU60" s="377" t="str">
        <f>IF(ISERROR(VLOOKUP($A60,'15-16 tariff'!$A:$F,4,FALSE)*(1+$AS$6)),"-",VLOOKUP($A60,'15-16 tariff'!$A:$F,4,FALSE)*(1+$AS$6))</f>
        <v>-</v>
      </c>
      <c r="AV60" s="377" t="str">
        <f>IF(ISERROR(VLOOKUP($A60,'15-16 tariff'!$A:$F,5,FALSE)*(1+$AS$6)),"-",VLOOKUP($A60,'15-16 tariff'!$A:$F,5,FALSE)*(1+$AS$6))</f>
        <v>-</v>
      </c>
      <c r="AW60" s="377" t="str">
        <f>IF(ISERROR(VLOOKUP($A60,'15-16 tariff'!$A:$F,6,FALSE)*(1+$AS$6)),"-",VLOOKUP($A60,'15-16 tariff'!$A:$F,6,FALSE)*(1+$AS$6))</f>
        <v>-</v>
      </c>
      <c r="AX60" s="369"/>
      <c r="AY60" s="380" t="s">
        <v>307</v>
      </c>
      <c r="AZ60" s="380" t="s">
        <v>307</v>
      </c>
      <c r="BA60" s="380" t="s">
        <v>307</v>
      </c>
      <c r="BB60" s="381" t="s">
        <v>307</v>
      </c>
      <c r="BC60" s="381">
        <f t="shared" si="146"/>
        <v>343.41371004476241</v>
      </c>
      <c r="BD60" s="381">
        <f t="shared" si="147"/>
        <v>426.84659563692588</v>
      </c>
      <c r="BE60" s="381">
        <f t="shared" si="148"/>
        <v>219.70618720983236</v>
      </c>
      <c r="BF60" s="381">
        <f t="shared" si="149"/>
        <v>227.09126522322649</v>
      </c>
      <c r="BG60" s="381">
        <f>IFERROR(VLOOKUP($A60,'Further adjustment'!$A:$Q,7,FALSE),0)</f>
        <v>17172</v>
      </c>
      <c r="BH60" s="381">
        <f>IFERROR(VLOOKUP($A60,'Further adjustment'!$A:$Q,6,FALSE),0)</f>
        <v>1234</v>
      </c>
      <c r="BI60" s="381">
        <f>IFERROR(VLOOKUP($A60,'Further adjustment'!$A:$Q,9,FALSE),0)</f>
        <v>35815</v>
      </c>
      <c r="BJ60" s="381">
        <f>IFERROR(VLOOKUP($A60,'Further adjustment'!$A:$Q,8,FALSE),0)</f>
        <v>3526</v>
      </c>
      <c r="BK60" s="382">
        <f t="shared" si="150"/>
        <v>-3.1174571652793137E-2</v>
      </c>
      <c r="BL60" s="382">
        <f t="shared" si="151"/>
        <v>-3.1174571652793026E-2</v>
      </c>
      <c r="BM60" s="382">
        <f t="shared" si="152"/>
        <v>-3.1174571652793026E-2</v>
      </c>
      <c r="BN60" s="382">
        <f t="shared" si="153"/>
        <v>-3.1174571652793137E-2</v>
      </c>
      <c r="BO60" s="369"/>
      <c r="BP60" s="383">
        <f>'Price Adjustments'!$D$90</f>
        <v>-6.8529657693413348E-2</v>
      </c>
      <c r="BQ60" s="384">
        <f t="shared" si="154"/>
        <v>319.87968604816973</v>
      </c>
      <c r="BR60" s="384">
        <f t="shared" si="155"/>
        <v>397.59494455032853</v>
      </c>
      <c r="BS60" s="384">
        <f t="shared" si="156"/>
        <v>204.64979740721756</v>
      </c>
      <c r="BT60" s="384">
        <f t="shared" si="157"/>
        <v>211.52877855231463</v>
      </c>
      <c r="BU60" s="369"/>
      <c r="BV60" s="385" t="str">
        <f>IF(COUNTIF('Manual adjustments'!$A:$A,A60)=1,"Y",IF(COUNTIF(#REF!,A60)=1,"BPT",""))</f>
        <v>Y</v>
      </c>
      <c r="BW60" s="384">
        <f>IF($BV60="",BQ60,IF(AND($BV60="BPT",IFERROR(ISNUMBER(VLOOKUP($A60,#REF!,3,FALSE)),FALSE)),VLOOKUP($A60,#REF!,3,FALSE),IF(AND($BV60="Y",IFERROR(ISNUMBER(VLOOKUP($A60,'Manual adjustments'!$A:$O,12,FALSE)),FALSE)),VLOOKUP($A60,'Manual adjustments'!$A:$O,12,FALSE),BQ60)))</f>
        <v>319.87968604816973</v>
      </c>
      <c r="BX60" s="384">
        <f>IF($BV60="",BR60,IF(AND($BV60="BPT",IFERROR(ISNUMBER(VLOOKUP($A60,#REF!,4,FALSE)),FALSE)),VLOOKUP($A60,#REF!,4,FALSE),IF(AND($BV60="Y",IFERROR(ISNUMBER(VLOOKUP($A60,'Manual adjustments'!$A:$O,13,FALSE)),FALSE)),VLOOKUP($A60,'Manual adjustments'!$A:$O,13,FALSE),BR60)))</f>
        <v>397.59494455032853</v>
      </c>
      <c r="BY60" s="384">
        <f>IF($BV60="",BS60,IF(AND($BV60="BPT",IFERROR(ISNUMBER(VLOOKUP($A60,#REF!,5,FALSE)),FALSE)),VLOOKUP($A60,#REF!,5,FALSE),IF(AND($BV60="Y",IFERROR(ISNUMBER(VLOOKUP($A60,'Manual adjustments'!$A:$O,14,FALSE)),FALSE)),VLOOKUP($A60,'Manual adjustments'!$A:$O,14,FALSE),BS60)))</f>
        <v>204.64979740721756</v>
      </c>
      <c r="BZ60" s="384">
        <f>IF($BV60="",BT60,IF(AND($BV60="BPT",IFERROR(ISNUMBER(VLOOKUP($A60,#REF!,6,FALSE)),FALSE)),VLOOKUP($A60,#REF!,6,FALSE),IF(AND($BV60="Y",IFERROR(ISNUMBER(VLOOKUP($A60,'Manual adjustments'!$A:$O,15,FALSE)),FALSE)),VLOOKUP($A60,'Manual adjustments'!$A:$O,15,FALSE),BT60)))</f>
        <v>211.52877855231463</v>
      </c>
      <c r="CA60" s="386">
        <f>'Post manual recon'!$N$70</f>
        <v>0</v>
      </c>
      <c r="CB60" s="384">
        <f>IF(VLOOKUP($A60,'Post manual recon'!$A:$U,18,FALSE)=0,BW60,BW60*(1+$CA60))</f>
        <v>319.87968604816973</v>
      </c>
      <c r="CC60" s="384">
        <f>IF(VLOOKUP($A60,'Post manual recon'!$A:$U,19,FALSE)=0,BX60,BX60*(1+$CA60))</f>
        <v>397.59494455032853</v>
      </c>
      <c r="CD60" s="384">
        <f>IF(VLOOKUP($A60,'Post manual recon'!$A:$U,20,FALSE)=0,BY60,BY60*(1+$CA60))</f>
        <v>204.64979740721756</v>
      </c>
      <c r="CE60" s="384">
        <f>IF(VLOOKUP($A60,'Post manual recon'!$A:$U,21,FALSE)=0,BZ60,BZ60*(1+$CA60))</f>
        <v>211.52877855231463</v>
      </c>
      <c r="CF60" s="383">
        <f t="shared" si="35"/>
        <v>0</v>
      </c>
      <c r="CG60" s="383">
        <f t="shared" si="36"/>
        <v>0</v>
      </c>
      <c r="CH60" s="383">
        <f t="shared" si="37"/>
        <v>0</v>
      </c>
      <c r="CI60" s="383">
        <f t="shared" si="38"/>
        <v>0</v>
      </c>
      <c r="CJ60" s="369"/>
      <c r="CK60" s="383">
        <f>'Price Adjustments'!$F$6</f>
        <v>0</v>
      </c>
      <c r="CL60" s="384">
        <f t="shared" si="39"/>
        <v>319.87968604816973</v>
      </c>
      <c r="CM60" s="384">
        <f t="shared" si="40"/>
        <v>397.59494455032853</v>
      </c>
      <c r="CN60" s="384">
        <f t="shared" si="41"/>
        <v>204.64979740721756</v>
      </c>
      <c r="CO60" s="384">
        <f t="shared" si="42"/>
        <v>211.52877855231463</v>
      </c>
      <c r="CP60" s="369"/>
      <c r="CQ60" s="384">
        <f t="shared" si="43"/>
        <v>320</v>
      </c>
      <c r="CR60" s="384">
        <f t="shared" si="44"/>
        <v>398</v>
      </c>
      <c r="CS60" s="384">
        <f t="shared" si="45"/>
        <v>205</v>
      </c>
      <c r="CT60" s="384">
        <f t="shared" si="46"/>
        <v>212</v>
      </c>
    </row>
    <row r="61" spans="1:98">
      <c r="A61" s="367">
        <v>430</v>
      </c>
      <c r="B61" s="367" t="str">
        <f>INDEX('201314 RC list'!B:B,MATCH(A61,'201314 RC list'!A:A,0))</f>
        <v>Geriatric Medicine</v>
      </c>
      <c r="C61" s="368">
        <f>IF(ISERROR(VLOOKUP($A61,'Allocate OPROC cost'!A:M,11,FALSE)),"-",VLOOKUP($A61,'Allocate OPROC cost'!A:M,11,FALSE))</f>
        <v>231.83002366239867</v>
      </c>
      <c r="D61" s="368">
        <f>IF(ISERROR(VLOOKUP($A61,'Allocate OPROC cost'!A:M,10,FALSE)),"-",VLOOKUP($A61,'Allocate OPROC cost'!A:M,10,FALSE))</f>
        <v>207.6222516876847</v>
      </c>
      <c r="E61" s="368">
        <f>IF(ISERROR(VLOOKUP($A61,'Allocate OPROC cost'!A:M,13,FALSE)),"-",VLOOKUP($A61,'Allocate OPROC cost'!A:M,13,FALSE))</f>
        <v>164.82149443238714</v>
      </c>
      <c r="F61" s="368">
        <f>IF(ISERROR(VLOOKUP($A61,'Allocate OPROC cost'!A:M,12,FALSE)),"-",VLOOKUP($A61,'Allocate OPROC cost'!A:M,12,FALSE))</f>
        <v>145.05965935925886</v>
      </c>
      <c r="G61" s="369"/>
      <c r="H61" s="370">
        <f>IF(ISERROR(VLOOKUP($A61,'Allocate OPROC cost'!A:AO,39,FALSE)),"-",VLOOKUP($A61,'Allocate OPROC cost'!A:AO,39,FALSE))</f>
        <v>231.17140824828175</v>
      </c>
      <c r="I61" s="370">
        <f>IF(ISERROR(VLOOKUP($A61,'Allocate OPROC cost'!A:AO,38,FALSE)),"-",VLOOKUP($A61,'Allocate OPROC cost'!A:AO,38,FALSE))</f>
        <v>205.87569910572051</v>
      </c>
      <c r="J61" s="370">
        <f>IF(ISERROR(VLOOKUP($A61,'Allocate OPROC cost'!A:AO,41,FALSE)),"-",VLOOKUP($A61,'Allocate OPROC cost'!A:AO,41,FALSE))</f>
        <v>164.7308558131009</v>
      </c>
      <c r="K61" s="370">
        <f>IF(ISERROR(VLOOKUP($A61,'Allocate OPROC cost'!A:AO,40,FALSE)),"-",VLOOKUP($A61,'Allocate OPROC cost'!A:AO,40,FALSE))</f>
        <v>145.02959900954264</v>
      </c>
      <c r="L61" s="371">
        <f t="shared" ref="L61" si="246">IF(ISERROR(H61/C61-1),"-",H61/C61-1)</f>
        <v>-2.8409409778434869E-3</v>
      </c>
      <c r="M61" s="371">
        <f t="shared" ref="M61" si="247">IF(ISERROR(I61/D61-1),"-",I61/D61-1)</f>
        <v>-8.4121647259246535E-3</v>
      </c>
      <c r="N61" s="371">
        <f t="shared" ref="N61" si="248">IF(ISERROR(J61/E61-1),"-",J61/E61-1)</f>
        <v>-5.4991989727060098E-4</v>
      </c>
      <c r="O61" s="371">
        <f t="shared" ref="O61" si="249">IF(ISERROR(K61/F61-1),"-",K61/F61-1)</f>
        <v>-2.0722749418411457E-4</v>
      </c>
      <c r="P61" s="369"/>
      <c r="Q61" s="372">
        <f>IF(ISERROR(VLOOKUP($A61,'Front-loading'!$A:$AG,27,FALSE)),"-",VLOOKUP($A61,'Front-loading'!$A:$AG,27,FALSE))</f>
        <v>254.46118754855422</v>
      </c>
      <c r="R61" s="372">
        <f>IF(ISERROR(VLOOKUP($A61,'Front-loading'!$A:$AG,26,FALSE)),"-",VLOOKUP($A61,'Front-loading'!$A:$AG,26,FALSE))</f>
        <v>220.80091001106976</v>
      </c>
      <c r="S61" s="372">
        <f>IF(ISERROR(VLOOKUP($A61,'Front-loading'!$A:$AG,29,FALSE)),"-",VLOOKUP($A61,'Front-loading'!$A:$AG,29,FALSE))</f>
        <v>148.2577702317908</v>
      </c>
      <c r="T61" s="372">
        <f>IF(ISERROR(VLOOKUP($A61,'Front-loading'!$A:$AG,28,FALSE)),"-",VLOOKUP($A61,'Front-loading'!$A:$AG,28,FALSE))</f>
        <v>130.52663910858837</v>
      </c>
      <c r="U61" s="373">
        <f t="shared" ref="U61" si="250">IF(ISERROR(Q61/H61-1),"-",Q61/H61-1)</f>
        <v>0.10074679856281743</v>
      </c>
      <c r="V61" s="373">
        <f t="shared" ref="V61" si="251">IF(ISERROR(R61/I61-1),"-",R61/I61-1)</f>
        <v>7.2496224518877828E-2</v>
      </c>
      <c r="W61" s="373">
        <f t="shared" ref="W61" si="252">IF(ISERROR(S61/J61-1),"-",S61/J61-1)</f>
        <v>-0.10000000000000009</v>
      </c>
      <c r="X61" s="373">
        <f t="shared" ref="X61" si="253">IF(ISERROR(T61/K61-1),"-",T61/K61-1)</f>
        <v>-9.9999999999999978E-2</v>
      </c>
      <c r="Y61" s="369"/>
      <c r="Z61" s="374">
        <f>IF(ISERROR(VLOOKUP($A61,'Further adjustment'!$A:$BC,53,FALSE)),"-",VLOOKUP($A61,'Further adjustment'!$A:$BC,53,FALSE))</f>
        <v>253.62539613603624</v>
      </c>
      <c r="AA61" s="374">
        <f>IF(ISERROR(VLOOKUP($A61,'Further adjustment'!$A:$BC,52,FALSE)),"-",VLOOKUP($A61,'Further adjustment'!$A:$BC,52,FALSE))</f>
        <v>253.62539613603624</v>
      </c>
      <c r="AB61" s="374">
        <f>IF(ISERROR(VLOOKUP($A61,'Further adjustment'!$A:$BC,55,FALSE)),"-",VLOOKUP($A61,'Further adjustment'!$A:$BC,55,FALSE))</f>
        <v>147.93511834084362</v>
      </c>
      <c r="AC61" s="374">
        <f>IF(ISERROR(VLOOKUP($A61,'Further adjustment'!$A:$BC,54,FALSE)),"-",VLOOKUP($A61,'Further adjustment'!$A:$BC,54,FALSE))</f>
        <v>147.93511834084362</v>
      </c>
      <c r="AD61" s="375">
        <f t="shared" ref="AD61" si="254">IF(ISERROR(Z61/Q61-1),"-",Z61/Q61-1)</f>
        <v>-3.284553611377361E-3</v>
      </c>
      <c r="AE61" s="375">
        <f t="shared" ref="AE61" si="255">IF(ISERROR(AA61/R61-1),"-",AA61/R61-1)</f>
        <v>0.14866100924729353</v>
      </c>
      <c r="AF61" s="375">
        <f t="shared" ref="AF61" si="256">IF(ISERROR(AB61/S61-1),"-",AB61/S61-1)</f>
        <v>-2.1762899202028008E-3</v>
      </c>
      <c r="AG61" s="375">
        <f t="shared" ref="AG61" si="257">IF(ISERROR(AC61/T61-1),"-",AC61/T61-1)</f>
        <v>0.13337108310720147</v>
      </c>
      <c r="AH61" s="369"/>
      <c r="AI61" s="376">
        <f>'Price Adjustments'!$G$6</f>
        <v>-3.1174571652793026E-2</v>
      </c>
      <c r="AJ61" s="376">
        <v>0</v>
      </c>
      <c r="AK61" s="377">
        <f t="shared" ref="AK61" si="258">IF(ISERROR(Z61*(1+$AI61)*(1+$AJ61)),"-",Z61*(1+$AI61)*(1+$AJ61))</f>
        <v>245.71873305122537</v>
      </c>
      <c r="AL61" s="377">
        <f t="shared" ref="AL61" si="259">IF(ISERROR(AA61*(1+$AI61)*(1+$AJ61)),"-",AA61*(1+$AI61)*(1+$AJ61))</f>
        <v>245.71873305122537</v>
      </c>
      <c r="AM61" s="377">
        <f t="shared" ref="AM61" si="260">IF(ISERROR(AB61*(1+$AI61)*(1+$AJ61)),"-",AB61*(1+$AI61)*(1+$AJ61))</f>
        <v>143.32330439416256</v>
      </c>
      <c r="AN61" s="377">
        <f t="shared" ref="AN61" si="261">IF(ISERROR(AC61*(1+$AI61)*(1+$AJ61)),"-",AC61*(1+$AI61)*(1+$AJ61))</f>
        <v>143.32330439416256</v>
      </c>
      <c r="AO61" s="378">
        <f t="shared" ref="AO61" si="262">IF(ISERROR(AK61/Z61-1),"-",AK61/Z61-1)</f>
        <v>-3.1174571652793026E-2</v>
      </c>
      <c r="AP61" s="378">
        <f t="shared" ref="AP61" si="263">IF(ISERROR(AL61/AA61-1),"-",AL61/AA61-1)</f>
        <v>-3.1174571652793026E-2</v>
      </c>
      <c r="AQ61" s="378">
        <f t="shared" ref="AQ61" si="264">IF(ISERROR(AM61/AB61-1),"-",AM61/AB61-1)</f>
        <v>-3.1174571652793026E-2</v>
      </c>
      <c r="AR61" s="378">
        <f t="shared" ref="AR61" si="265">IF(ISERROR(AN61/AC61-1),"-",AN61/AC61-1)</f>
        <v>-3.1174571652793026E-2</v>
      </c>
      <c r="AS61" s="379">
        <f>'Price Adjustments'!$F$6</f>
        <v>0</v>
      </c>
      <c r="AT61" s="377">
        <f>IF(ISERROR(VLOOKUP($A61,'15-16 tariff'!$A:$F,3,FALSE)*(1+$AS$6)),"-",VLOOKUP($A61,'15-16 tariff'!$A:$F,3,FALSE)*(1+$AS$6))</f>
        <v>241.23203318906411</v>
      </c>
      <c r="AU61" s="377">
        <f>IF(ISERROR(VLOOKUP($A61,'15-16 tariff'!$A:$F,4,FALSE)*(1+$AS$6)),"-",VLOOKUP($A61,'15-16 tariff'!$A:$F,4,FALSE)*(1+$AS$6))</f>
        <v>241.23203318906411</v>
      </c>
      <c r="AV61" s="377">
        <f>IF(ISERROR(VLOOKUP($A61,'15-16 tariff'!$A:$F,5,FALSE)*(1+$AS$6)),"-",VLOOKUP($A61,'15-16 tariff'!$A:$F,5,FALSE)*(1+$AS$6))</f>
        <v>135.66166572337823</v>
      </c>
      <c r="AW61" s="377">
        <f>IF(ISERROR(VLOOKUP($A61,'15-16 tariff'!$A:$F,6,FALSE)*(1+$AS$6)),"-",VLOOKUP($A61,'15-16 tariff'!$A:$F,6,FALSE)*(1+$AS$6))</f>
        <v>135.66166572337823</v>
      </c>
      <c r="AX61" s="369"/>
      <c r="AY61" s="380" t="s">
        <v>307</v>
      </c>
      <c r="AZ61" s="380" t="s">
        <v>307</v>
      </c>
      <c r="BA61" s="380" t="s">
        <v>307</v>
      </c>
      <c r="BB61" s="381" t="s">
        <v>307</v>
      </c>
      <c r="BC61" s="381">
        <f t="shared" ref="BC61" si="266">IF(AY61="Modelled",AK61,IF(AY61="Roll-over",AT61,"Error"))</f>
        <v>245.71873305122537</v>
      </c>
      <c r="BD61" s="381">
        <f t="shared" ref="BD61" si="267">IF(AZ61="Modelled",AL61,IF(AZ61="Roll-over",AU61,"Error"))</f>
        <v>245.71873305122537</v>
      </c>
      <c r="BE61" s="381">
        <f t="shared" ref="BE61" si="268">IF(BA61="Modelled",AM61,IF(BA61="Roll-over",AV61,"Error"))</f>
        <v>143.32330439416256</v>
      </c>
      <c r="BF61" s="381">
        <f t="shared" ref="BF61" si="269">IF(BB61="Modelled",AN61,IF(BB61="Roll-over",AW61,"Error"))</f>
        <v>143.32330439416256</v>
      </c>
      <c r="BG61" s="381">
        <f>IFERROR(VLOOKUP($A61,'Further adjustment'!$A:$Q,7,FALSE),0)</f>
        <v>167266</v>
      </c>
      <c r="BH61" s="381">
        <f>IFERROR(VLOOKUP($A61,'Further adjustment'!$A:$Q,6,FALSE),0)</f>
        <v>4259</v>
      </c>
      <c r="BI61" s="381">
        <f>IFERROR(VLOOKUP($A61,'Further adjustment'!$A:$Q,9,FALSE),0)</f>
        <v>236482</v>
      </c>
      <c r="BJ61" s="381">
        <f>IFERROR(VLOOKUP($A61,'Further adjustment'!$A:$Q,8,FALSE),0)</f>
        <v>4383</v>
      </c>
      <c r="BK61" s="382">
        <f t="shared" ref="BK61" si="270">IF(ISERROR(BC61/Z61-1),"-",BC61/Z61-1)</f>
        <v>-3.1174571652793026E-2</v>
      </c>
      <c r="BL61" s="382">
        <f t="shared" ref="BL61" si="271">IF(ISERROR(BD61/AA61-1),"-",BD61/AA61-1)</f>
        <v>-3.1174571652793026E-2</v>
      </c>
      <c r="BM61" s="382">
        <f t="shared" ref="BM61" si="272">IF(ISERROR(BE61/AB61-1),"-",BE61/AB61-1)</f>
        <v>-3.1174571652793026E-2</v>
      </c>
      <c r="BN61" s="382">
        <f t="shared" ref="BN61" si="273">IF(ISERROR(BF61/AC61-1),"-",BF61/AC61-1)</f>
        <v>-3.1174571652793026E-2</v>
      </c>
      <c r="BO61" s="369"/>
      <c r="BP61" s="383">
        <f>'Price Adjustments'!$D$90</f>
        <v>-6.8529657693413348E-2</v>
      </c>
      <c r="BQ61" s="384">
        <f t="shared" ref="BQ61" si="274">BC61*(1+$BP61)</f>
        <v>228.8797123863657</v>
      </c>
      <c r="BR61" s="384">
        <f t="shared" ref="BR61" si="275">BD61*(1+$BP61)</f>
        <v>228.8797123863657</v>
      </c>
      <c r="BS61" s="384">
        <f t="shared" ref="BS61" si="276">BE61*(1+$BP61)</f>
        <v>133.50140740454171</v>
      </c>
      <c r="BT61" s="384">
        <f t="shared" ref="BT61" si="277">BF61*(1+$BP61)</f>
        <v>133.50140740454171</v>
      </c>
      <c r="BU61" s="369"/>
      <c r="BV61" s="385" t="str">
        <f>IF(COUNTIF('Manual adjustments'!$A:$A,A61)=1,"Y",IF(COUNTIF(#REF!,A61)=1,"BPT",""))</f>
        <v>Y</v>
      </c>
      <c r="BW61" s="384">
        <f>IF($BV61="",BQ61,IF(AND($BV61="BPT",IFERROR(ISNUMBER(VLOOKUP($A61,#REF!,3,FALSE)),FALSE)),VLOOKUP($A61,#REF!,3,FALSE),IF(AND($BV61="Y",IFERROR(ISNUMBER(VLOOKUP($A61,'Manual adjustments'!$A:$O,12,FALSE)),FALSE)),VLOOKUP($A61,'Manual adjustments'!$A:$O,12,FALSE),BQ61)))</f>
        <v>228.8797123863657</v>
      </c>
      <c r="BX61" s="384">
        <f>IF($BV61="",BR61,IF(AND($BV61="BPT",IFERROR(ISNUMBER(VLOOKUP($A61,#REF!,4,FALSE)),FALSE)),VLOOKUP($A61,#REF!,4,FALSE),IF(AND($BV61="Y",IFERROR(ISNUMBER(VLOOKUP($A61,'Manual adjustments'!$A:$O,13,FALSE)),FALSE)),VLOOKUP($A61,'Manual adjustments'!$A:$O,13,FALSE),BR61)))</f>
        <v>228.8797123863657</v>
      </c>
      <c r="BY61" s="384">
        <f>IF($BV61="",BS61,IF(AND($BV61="BPT",IFERROR(ISNUMBER(VLOOKUP($A61,#REF!,5,FALSE)),FALSE)),VLOOKUP($A61,#REF!,5,FALSE),IF(AND($BV61="Y",IFERROR(ISNUMBER(VLOOKUP($A61,'Manual adjustments'!$A:$O,14,FALSE)),FALSE)),VLOOKUP($A61,'Manual adjustments'!$A:$O,14,FALSE),BS61)))</f>
        <v>133.50140740454171</v>
      </c>
      <c r="BZ61" s="384">
        <f>IF($BV61="",BT61,IF(AND($BV61="BPT",IFERROR(ISNUMBER(VLOOKUP($A61,#REF!,6,FALSE)),FALSE)),VLOOKUP($A61,#REF!,6,FALSE),IF(AND($BV61="Y",IFERROR(ISNUMBER(VLOOKUP($A61,'Manual adjustments'!$A:$O,15,FALSE)),FALSE)),VLOOKUP($A61,'Manual adjustments'!$A:$O,15,FALSE),BT61)))</f>
        <v>133.50140740454171</v>
      </c>
      <c r="CA61" s="386">
        <f>'Post manual recon'!$N$70</f>
        <v>0</v>
      </c>
      <c r="CB61" s="384">
        <f>IF(VLOOKUP($A61,'Post manual recon'!$A:$U,18,FALSE)=0,BW61,BW61*(1+$CA61))</f>
        <v>228.8797123863657</v>
      </c>
      <c r="CC61" s="384">
        <f>IF(VLOOKUP($A61,'Post manual recon'!$A:$U,19,FALSE)=0,BX61,BX61*(1+$CA61))</f>
        <v>228.8797123863657</v>
      </c>
      <c r="CD61" s="384">
        <f>IF(VLOOKUP($A61,'Post manual recon'!$A:$U,20,FALSE)=0,BY61,BY61*(1+$CA61))</f>
        <v>133.50140740454171</v>
      </c>
      <c r="CE61" s="384">
        <f>IF(VLOOKUP($A61,'Post manual recon'!$A:$U,21,FALSE)=0,BZ61,BZ61*(1+$CA61))</f>
        <v>133.50140740454171</v>
      </c>
      <c r="CF61" s="383">
        <f t="shared" ref="CF61" si="278">IF(ISERROR(CB61/BW61-1),0,CB61/BW61-1)</f>
        <v>0</v>
      </c>
      <c r="CG61" s="383">
        <f t="shared" ref="CG61" si="279">IF(ISERROR(CC61/BX61-1),0,CC61/BX61-1)</f>
        <v>0</v>
      </c>
      <c r="CH61" s="383">
        <f t="shared" ref="CH61" si="280">IF(ISERROR(CD61/BY61-1),0,CD61/BY61-1)</f>
        <v>0</v>
      </c>
      <c r="CI61" s="383">
        <f t="shared" ref="CI61" si="281">IF(ISERROR(CE61/BZ61-1),0,CE61/BZ61-1)</f>
        <v>0</v>
      </c>
      <c r="CJ61" s="369"/>
      <c r="CK61" s="383">
        <f>'Price Adjustments'!$F$6</f>
        <v>0</v>
      </c>
      <c r="CL61" s="384">
        <f t="shared" ref="CL61" si="282">CB61*(1+$CK61)</f>
        <v>228.8797123863657</v>
      </c>
      <c r="CM61" s="384">
        <f t="shared" ref="CM61" si="283">CC61*(1+$CK61)</f>
        <v>228.8797123863657</v>
      </c>
      <c r="CN61" s="384">
        <f t="shared" ref="CN61" si="284">CD61*(1+$CK61)</f>
        <v>133.50140740454171</v>
      </c>
      <c r="CO61" s="384">
        <f t="shared" ref="CO61" si="285">CE61*(1+$CK61)</f>
        <v>133.50140740454171</v>
      </c>
      <c r="CP61" s="369"/>
      <c r="CQ61" s="384">
        <f t="shared" ref="CQ61" si="286">ROUND(CL61,0)</f>
        <v>229</v>
      </c>
      <c r="CR61" s="384">
        <f t="shared" ref="CR61" si="287">ROUND(CM61,0)</f>
        <v>229</v>
      </c>
      <c r="CS61" s="384">
        <f t="shared" ref="CS61" si="288">ROUND(CN61,0)</f>
        <v>134</v>
      </c>
      <c r="CT61" s="384">
        <f t="shared" ref="CT61" si="289">ROUND(CO61,0)</f>
        <v>134</v>
      </c>
    </row>
    <row r="62" spans="1:98">
      <c r="A62" s="367">
        <v>502</v>
      </c>
      <c r="B62" s="367" t="str">
        <f>INDEX('201314 RC list'!B:B,MATCH(A62,'201314 RC list'!A:A,0))</f>
        <v>Gynaecology</v>
      </c>
      <c r="C62" s="368">
        <f>IF(ISERROR(VLOOKUP($A62,'Allocate OPROC cost'!A:M,11,FALSE)),"-",VLOOKUP($A62,'Allocate OPROC cost'!A:M,11,FALSE))</f>
        <v>138.37699977463518</v>
      </c>
      <c r="D62" s="368">
        <f>IF(ISERROR(VLOOKUP($A62,'Allocate OPROC cost'!A:M,10,FALSE)),"-",VLOOKUP($A62,'Allocate OPROC cost'!A:M,10,FALSE))</f>
        <v>162.14738436795727</v>
      </c>
      <c r="E62" s="368">
        <f>IF(ISERROR(VLOOKUP($A62,'Allocate OPROC cost'!A:M,13,FALSE)),"-",VLOOKUP($A62,'Allocate OPROC cost'!A:M,13,FALSE))</f>
        <v>109.0824029041808</v>
      </c>
      <c r="F62" s="368">
        <f>IF(ISERROR(VLOOKUP($A62,'Allocate OPROC cost'!A:M,12,FALSE)),"-",VLOOKUP($A62,'Allocate OPROC cost'!A:M,12,FALSE))</f>
        <v>150.81359887204263</v>
      </c>
      <c r="G62" s="369"/>
      <c r="H62" s="370">
        <f>IF(ISERROR(VLOOKUP($A62,'Allocate OPROC cost'!A:AO,39,FALSE)),"-",VLOOKUP($A62,'Allocate OPROC cost'!A:AO,39,FALSE))</f>
        <v>136.70815010749132</v>
      </c>
      <c r="I62" s="370">
        <f>IF(ISERROR(VLOOKUP($A62,'Allocate OPROC cost'!A:AO,38,FALSE)),"-",VLOOKUP($A62,'Allocate OPROC cost'!A:AO,38,FALSE))</f>
        <v>157.47708570667686</v>
      </c>
      <c r="J62" s="370">
        <f>IF(ISERROR(VLOOKUP($A62,'Allocate OPROC cost'!A:AO,41,FALSE)),"-",VLOOKUP($A62,'Allocate OPROC cost'!A:AO,41,FALSE))</f>
        <v>109.46043233576948</v>
      </c>
      <c r="K62" s="370">
        <f>IF(ISERROR(VLOOKUP($A62,'Allocate OPROC cost'!A:AO,40,FALSE)),"-",VLOOKUP($A62,'Allocate OPROC cost'!A:AO,40,FALSE))</f>
        <v>147.98507229135035</v>
      </c>
      <c r="L62" s="371">
        <f t="shared" si="130"/>
        <v>-1.2060166572926079E-2</v>
      </c>
      <c r="M62" s="371">
        <f t="shared" si="131"/>
        <v>-2.8802799869298013E-2</v>
      </c>
      <c r="N62" s="371">
        <f t="shared" si="132"/>
        <v>3.4655400094252276E-3</v>
      </c>
      <c r="O62" s="371">
        <f t="shared" si="133"/>
        <v>-1.8755116261711557E-2</v>
      </c>
      <c r="P62" s="369"/>
      <c r="Q62" s="372">
        <f>IF(ISERROR(VLOOKUP($A62,'Front-loading'!$A:$AG,27,FALSE)),"-",VLOOKUP($A62,'Front-loading'!$A:$AG,27,FALSE))</f>
        <v>149.92905028123917</v>
      </c>
      <c r="R62" s="372">
        <f>IF(ISERROR(VLOOKUP($A62,'Front-loading'!$A:$AG,26,FALSE)),"-",VLOOKUP($A62,'Front-loading'!$A:$AG,26,FALSE))</f>
        <v>170.95120367617162</v>
      </c>
      <c r="S62" s="372">
        <f>IF(ISERROR(VLOOKUP($A62,'Front-loading'!$A:$AG,29,FALSE)),"-",VLOOKUP($A62,'Front-loading'!$A:$AG,29,FALSE))</f>
        <v>98.514389102192524</v>
      </c>
      <c r="T62" s="372">
        <f>IF(ISERROR(VLOOKUP($A62,'Front-loading'!$A:$AG,28,FALSE)),"-",VLOOKUP($A62,'Front-loading'!$A:$AG,28,FALSE))</f>
        <v>133.18656506221532</v>
      </c>
      <c r="U62" s="373">
        <f t="shared" si="134"/>
        <v>9.6708939177016617E-2</v>
      </c>
      <c r="V62" s="373">
        <f t="shared" si="135"/>
        <v>8.5562403628628214E-2</v>
      </c>
      <c r="W62" s="373">
        <f t="shared" si="136"/>
        <v>-0.10000000000000009</v>
      </c>
      <c r="X62" s="373">
        <f t="shared" si="137"/>
        <v>-9.9999999999999978E-2</v>
      </c>
      <c r="Y62" s="369"/>
      <c r="Z62" s="374">
        <f>IF(ISERROR(VLOOKUP($A62,'Further adjustment'!$A:$BC,53,FALSE)),"-",VLOOKUP($A62,'Further adjustment'!$A:$BC,53,FALSE))</f>
        <v>149.92905028123917</v>
      </c>
      <c r="AA62" s="374">
        <f>IF(ISERROR(VLOOKUP($A62,'Further adjustment'!$A:$BC,52,FALSE)),"-",VLOOKUP($A62,'Further adjustment'!$A:$BC,52,FALSE))</f>
        <v>170.95120367617162</v>
      </c>
      <c r="AB62" s="374">
        <f>IF(ISERROR(VLOOKUP($A62,'Further adjustment'!$A:$BC,55,FALSE)),"-",VLOOKUP($A62,'Further adjustment'!$A:$BC,55,FALSE))</f>
        <v>98.514389102192524</v>
      </c>
      <c r="AC62" s="374">
        <f>IF(ISERROR(VLOOKUP($A62,'Further adjustment'!$A:$BC,54,FALSE)),"-",VLOOKUP($A62,'Further adjustment'!$A:$BC,54,FALSE))</f>
        <v>133.18656506221532</v>
      </c>
      <c r="AD62" s="375">
        <f t="shared" si="138"/>
        <v>0</v>
      </c>
      <c r="AE62" s="375">
        <f t="shared" si="139"/>
        <v>0</v>
      </c>
      <c r="AF62" s="375">
        <f t="shared" si="140"/>
        <v>0</v>
      </c>
      <c r="AG62" s="375">
        <f t="shared" si="141"/>
        <v>0</v>
      </c>
      <c r="AH62" s="369"/>
      <c r="AI62" s="376">
        <f>'Price Adjustments'!$G$6</f>
        <v>-3.1174571652793026E-2</v>
      </c>
      <c r="AJ62" s="376">
        <v>0</v>
      </c>
      <c r="AK62" s="377">
        <f t="shared" si="31"/>
        <v>145.25507636041146</v>
      </c>
      <c r="AL62" s="377">
        <f t="shared" si="32"/>
        <v>165.62187312803758</v>
      </c>
      <c r="AM62" s="377">
        <f t="shared" si="33"/>
        <v>95.443245220295097</v>
      </c>
      <c r="AN62" s="377">
        <f t="shared" si="34"/>
        <v>129.0345309464939</v>
      </c>
      <c r="AO62" s="378">
        <f t="shared" si="142"/>
        <v>-3.1174571652793026E-2</v>
      </c>
      <c r="AP62" s="378">
        <f t="shared" si="143"/>
        <v>-3.1174571652793137E-2</v>
      </c>
      <c r="AQ62" s="378">
        <f t="shared" si="144"/>
        <v>-3.1174571652792915E-2</v>
      </c>
      <c r="AR62" s="378">
        <f t="shared" si="145"/>
        <v>-3.1174571652793137E-2</v>
      </c>
      <c r="AS62" s="379">
        <f>'Price Adjustments'!$F$6</f>
        <v>0</v>
      </c>
      <c r="AT62" s="377">
        <f>IF(ISERROR(VLOOKUP($A62,'15-16 tariff'!$A:$F,3,FALSE)*(1+$AS$6)),"-",VLOOKUP($A62,'15-16 tariff'!$A:$F,3,FALSE)*(1+$AS$6))</f>
        <v>136.25979364623063</v>
      </c>
      <c r="AU62" s="377">
        <f>IF(ISERROR(VLOOKUP($A62,'15-16 tariff'!$A:$F,4,FALSE)*(1+$AS$6)),"-",VLOOKUP($A62,'15-16 tariff'!$A:$F,4,FALSE)*(1+$AS$6))</f>
        <v>148.48240525245265</v>
      </c>
      <c r="AV62" s="377">
        <f>IF(ISERROR(VLOOKUP($A62,'15-16 tariff'!$A:$F,5,FALSE)*(1+$AS$6)),"-",VLOOKUP($A62,'15-16 tariff'!$A:$F,5,FALSE)*(1+$AS$6))</f>
        <v>87.949369991044534</v>
      </c>
      <c r="AW62" s="377">
        <f>IF(ISERROR(VLOOKUP($A62,'15-16 tariff'!$A:$F,6,FALSE)*(1+$AS$6)),"-",VLOOKUP($A62,'15-16 tariff'!$A:$F,6,FALSE)*(1+$AS$6))</f>
        <v>103.96053920273418</v>
      </c>
      <c r="AX62" s="369"/>
      <c r="AY62" s="380" t="s">
        <v>307</v>
      </c>
      <c r="AZ62" s="380" t="s">
        <v>307</v>
      </c>
      <c r="BA62" s="380" t="s">
        <v>307</v>
      </c>
      <c r="BB62" s="381" t="s">
        <v>307</v>
      </c>
      <c r="BC62" s="381">
        <f t="shared" si="146"/>
        <v>145.25507636041146</v>
      </c>
      <c r="BD62" s="381">
        <f t="shared" si="147"/>
        <v>165.62187312803758</v>
      </c>
      <c r="BE62" s="381">
        <f t="shared" si="148"/>
        <v>95.443245220295097</v>
      </c>
      <c r="BF62" s="381">
        <f t="shared" si="149"/>
        <v>129.0345309464939</v>
      </c>
      <c r="BG62" s="381">
        <f>IFERROR(VLOOKUP($A62,'Further adjustment'!$A:$Q,7,FALSE),0)</f>
        <v>855866</v>
      </c>
      <c r="BH62" s="381">
        <f>IFERROR(VLOOKUP($A62,'Further adjustment'!$A:$Q,6,FALSE),0)</f>
        <v>37410</v>
      </c>
      <c r="BI62" s="381">
        <f>IFERROR(VLOOKUP($A62,'Further adjustment'!$A:$Q,9,FALSE),0)</f>
        <v>1033736</v>
      </c>
      <c r="BJ62" s="381">
        <f>IFERROR(VLOOKUP($A62,'Further adjustment'!$A:$Q,8,FALSE),0)</f>
        <v>34062</v>
      </c>
      <c r="BK62" s="382">
        <f t="shared" si="150"/>
        <v>-3.1174571652793026E-2</v>
      </c>
      <c r="BL62" s="382">
        <f t="shared" si="151"/>
        <v>-3.1174571652793137E-2</v>
      </c>
      <c r="BM62" s="382">
        <f t="shared" si="152"/>
        <v>-3.1174571652792915E-2</v>
      </c>
      <c r="BN62" s="382">
        <f t="shared" si="153"/>
        <v>-3.1174571652793137E-2</v>
      </c>
      <c r="BO62" s="369"/>
      <c r="BP62" s="383">
        <f>'Price Adjustments'!$D$90</f>
        <v>-6.8529657693413348E-2</v>
      </c>
      <c r="BQ62" s="384">
        <f t="shared" si="154"/>
        <v>135.30079569920184</v>
      </c>
      <c r="BR62" s="384">
        <f t="shared" si="155"/>
        <v>154.27186285603122</v>
      </c>
      <c r="BS62" s="384">
        <f t="shared" si="156"/>
        <v>88.902552296199758</v>
      </c>
      <c r="BT62" s="384">
        <f t="shared" si="157"/>
        <v>120.19183871010053</v>
      </c>
      <c r="BU62" s="369"/>
      <c r="BV62" s="385" t="str">
        <f>IF(COUNTIF('Manual adjustments'!$A:$A,A62)=1,"Y",IF(COUNTIF(#REF!,A62)=1,"BPT",""))</f>
        <v>Y</v>
      </c>
      <c r="BW62" s="384">
        <f>IF($BV62="",BQ62,IF(AND($BV62="BPT",IFERROR(ISNUMBER(VLOOKUP($A62,#REF!,3,FALSE)),FALSE)),VLOOKUP($A62,#REF!,3,FALSE),IF(AND($BV62="Y",IFERROR(ISNUMBER(VLOOKUP($A62,'Manual adjustments'!$A:$O,12,FALSE)),FALSE)),VLOOKUP($A62,'Manual adjustments'!$A:$O,12,FALSE),BQ62)))</f>
        <v>135.30079569920184</v>
      </c>
      <c r="BX62" s="384">
        <f>IF($BV62="",BR62,IF(AND($BV62="BPT",IFERROR(ISNUMBER(VLOOKUP($A62,#REF!,4,FALSE)),FALSE)),VLOOKUP($A62,#REF!,4,FALSE),IF(AND($BV62="Y",IFERROR(ISNUMBER(VLOOKUP($A62,'Manual adjustments'!$A:$O,13,FALSE)),FALSE)),VLOOKUP($A62,'Manual adjustments'!$A:$O,13,FALSE),BR62)))</f>
        <v>154.27186285603122</v>
      </c>
      <c r="BY62" s="384">
        <f>IF($BV62="",BS62,IF(AND($BV62="BPT",IFERROR(ISNUMBER(VLOOKUP($A62,#REF!,5,FALSE)),FALSE)),VLOOKUP($A62,#REF!,5,FALSE),IF(AND($BV62="Y",IFERROR(ISNUMBER(VLOOKUP($A62,'Manual adjustments'!$A:$O,14,FALSE)),FALSE)),VLOOKUP($A62,'Manual adjustments'!$A:$O,14,FALSE),BS62)))</f>
        <v>88.902552296199758</v>
      </c>
      <c r="BZ62" s="384">
        <f>IF($BV62="",BT62,IF(AND($BV62="BPT",IFERROR(ISNUMBER(VLOOKUP($A62,#REF!,6,FALSE)),FALSE)),VLOOKUP($A62,#REF!,6,FALSE),IF(AND($BV62="Y",IFERROR(ISNUMBER(VLOOKUP($A62,'Manual adjustments'!$A:$O,15,FALSE)),FALSE)),VLOOKUP($A62,'Manual adjustments'!$A:$O,15,FALSE),BT62)))</f>
        <v>120.19183871010053</v>
      </c>
      <c r="CA62" s="386">
        <f>'Post manual recon'!$N$70</f>
        <v>0</v>
      </c>
      <c r="CB62" s="384">
        <f>IF(VLOOKUP($A62,'Post manual recon'!$A:$U,18,FALSE)=0,BW62,BW62*(1+$CA62))</f>
        <v>135.30079569920184</v>
      </c>
      <c r="CC62" s="384">
        <f>IF(VLOOKUP($A62,'Post manual recon'!$A:$U,19,FALSE)=0,BX62,BX62*(1+$CA62))</f>
        <v>154.27186285603122</v>
      </c>
      <c r="CD62" s="384">
        <f>IF(VLOOKUP($A62,'Post manual recon'!$A:$U,20,FALSE)=0,BY62,BY62*(1+$CA62))</f>
        <v>88.902552296199758</v>
      </c>
      <c r="CE62" s="384">
        <f>IF(VLOOKUP($A62,'Post manual recon'!$A:$U,21,FALSE)=0,BZ62,BZ62*(1+$CA62))</f>
        <v>120.19183871010053</v>
      </c>
      <c r="CF62" s="383">
        <f t="shared" si="35"/>
        <v>0</v>
      </c>
      <c r="CG62" s="383">
        <f t="shared" si="36"/>
        <v>0</v>
      </c>
      <c r="CH62" s="383">
        <f t="shared" si="37"/>
        <v>0</v>
      </c>
      <c r="CI62" s="383">
        <f t="shared" si="38"/>
        <v>0</v>
      </c>
      <c r="CJ62" s="369"/>
      <c r="CK62" s="383">
        <f>'Price Adjustments'!$F$6</f>
        <v>0</v>
      </c>
      <c r="CL62" s="384">
        <f t="shared" si="39"/>
        <v>135.30079569920184</v>
      </c>
      <c r="CM62" s="384">
        <f t="shared" si="40"/>
        <v>154.27186285603122</v>
      </c>
      <c r="CN62" s="384">
        <f t="shared" si="41"/>
        <v>88.902552296199758</v>
      </c>
      <c r="CO62" s="384">
        <f t="shared" si="42"/>
        <v>120.19183871010053</v>
      </c>
      <c r="CP62" s="369"/>
      <c r="CQ62" s="384">
        <f t="shared" si="43"/>
        <v>135</v>
      </c>
      <c r="CR62" s="384">
        <f t="shared" si="44"/>
        <v>154</v>
      </c>
      <c r="CS62" s="384">
        <f t="shared" si="45"/>
        <v>89</v>
      </c>
      <c r="CT62" s="384">
        <f t="shared" si="46"/>
        <v>120</v>
      </c>
    </row>
    <row r="63" spans="1:98">
      <c r="A63" s="367">
        <v>503</v>
      </c>
      <c r="B63" s="367" t="str">
        <f>INDEX('201314 RC list'!B:B,MATCH(A63,'201314 RC list'!A:A,0))</f>
        <v>Gynaecological Oncology</v>
      </c>
      <c r="C63" s="368">
        <f>IF(ISERROR(VLOOKUP($A63,'Allocate OPROC cost'!A:M,11,FALSE)),"-",VLOOKUP($A63,'Allocate OPROC cost'!A:M,11,FALSE))</f>
        <v>144.38735039709377</v>
      </c>
      <c r="D63" s="368">
        <f>IF(ISERROR(VLOOKUP($A63,'Allocate OPROC cost'!A:M,10,FALSE)),"-",VLOOKUP($A63,'Allocate OPROC cost'!A:M,10,FALSE))</f>
        <v>207.08801582454433</v>
      </c>
      <c r="E63" s="368">
        <f>IF(ISERROR(VLOOKUP($A63,'Allocate OPROC cost'!A:M,13,FALSE)),"-",VLOOKUP($A63,'Allocate OPROC cost'!A:M,13,FALSE))</f>
        <v>111.11973511655633</v>
      </c>
      <c r="F63" s="368">
        <f>IF(ISERROR(VLOOKUP($A63,'Allocate OPROC cost'!A:M,12,FALSE)),"-",VLOOKUP($A63,'Allocate OPROC cost'!A:M,12,FALSE))</f>
        <v>195.76144019398993</v>
      </c>
      <c r="G63" s="369"/>
      <c r="H63" s="370">
        <f>IF(ISERROR(VLOOKUP($A63,'Allocate OPROC cost'!A:AO,39,FALSE)),"-",VLOOKUP($A63,'Allocate OPROC cost'!A:AO,39,FALSE))</f>
        <v>141.14560075229554</v>
      </c>
      <c r="I63" s="370">
        <f>IF(ISERROR(VLOOKUP($A63,'Allocate OPROC cost'!A:AO,38,FALSE)),"-",VLOOKUP($A63,'Allocate OPROC cost'!A:AO,38,FALSE))</f>
        <v>197.63053753488597</v>
      </c>
      <c r="J63" s="370">
        <f>IF(ISERROR(VLOOKUP($A63,'Allocate OPROC cost'!A:AO,41,FALSE)),"-",VLOOKUP($A63,'Allocate OPROC cost'!A:AO,41,FALSE))</f>
        <v>111.33670628564948</v>
      </c>
      <c r="K63" s="370">
        <f>IF(ISERROR(VLOOKUP($A63,'Allocate OPROC cost'!A:AO,40,FALSE)),"-",VLOOKUP($A63,'Allocate OPROC cost'!A:AO,40,FALSE))</f>
        <v>193.93438555039978</v>
      </c>
      <c r="L63" s="371">
        <f t="shared" si="130"/>
        <v>-2.2451756583127147E-2</v>
      </c>
      <c r="M63" s="371">
        <f t="shared" si="131"/>
        <v>-4.5668882634286367E-2</v>
      </c>
      <c r="N63" s="371">
        <f t="shared" si="132"/>
        <v>1.9525889695972687E-3</v>
      </c>
      <c r="O63" s="371">
        <f t="shared" si="133"/>
        <v>-9.3330670318916287E-3</v>
      </c>
      <c r="P63" s="369"/>
      <c r="Q63" s="372">
        <f>IF(ISERROR(VLOOKUP($A63,'Front-loading'!$A:$AG,27,FALSE)),"-",VLOOKUP($A63,'Front-loading'!$A:$AG,27,FALSE))</f>
        <v>163.59080826351877</v>
      </c>
      <c r="R63" s="372">
        <f>IF(ISERROR(VLOOKUP($A63,'Front-loading'!$A:$AG,26,FALSE)),"-",VLOOKUP($A63,'Front-loading'!$A:$AG,26,FALSE))</f>
        <v>264.71242084348012</v>
      </c>
      <c r="S63" s="372">
        <f>IF(ISERROR(VLOOKUP($A63,'Front-loading'!$A:$AG,29,FALSE)),"-",VLOOKUP($A63,'Front-loading'!$A:$AG,29,FALSE))</f>
        <v>100.20303565708454</v>
      </c>
      <c r="T63" s="372">
        <f>IF(ISERROR(VLOOKUP($A63,'Front-loading'!$A:$AG,28,FALSE)),"-",VLOOKUP($A63,'Front-loading'!$A:$AG,28,FALSE))</f>
        <v>174.5409469953598</v>
      </c>
      <c r="U63" s="373">
        <f t="shared" si="134"/>
        <v>0.1590216584264188</v>
      </c>
      <c r="V63" s="373">
        <f t="shared" si="135"/>
        <v>0.33943075875484463</v>
      </c>
      <c r="W63" s="373">
        <f t="shared" si="136"/>
        <v>-9.9999999999999978E-2</v>
      </c>
      <c r="X63" s="373">
        <f t="shared" si="137"/>
        <v>-9.9999999999999978E-2</v>
      </c>
      <c r="Y63" s="369"/>
      <c r="Z63" s="374">
        <f>IF(ISERROR(VLOOKUP($A63,'Further adjustment'!$A:$BC,53,FALSE)),"-",VLOOKUP($A63,'Further adjustment'!$A:$BC,53,FALSE))</f>
        <v>163.59080826351877</v>
      </c>
      <c r="AA63" s="374">
        <f>IF(ISERROR(VLOOKUP($A63,'Further adjustment'!$A:$BC,52,FALSE)),"-",VLOOKUP($A63,'Further adjustment'!$A:$BC,52,FALSE))</f>
        <v>264.71242084348012</v>
      </c>
      <c r="AB63" s="374">
        <f>IF(ISERROR(VLOOKUP($A63,'Further adjustment'!$A:$BC,55,FALSE)),"-",VLOOKUP($A63,'Further adjustment'!$A:$BC,55,FALSE))</f>
        <v>100.20303565708454</v>
      </c>
      <c r="AC63" s="374">
        <f>IF(ISERROR(VLOOKUP($A63,'Further adjustment'!$A:$BC,54,FALSE)),"-",VLOOKUP($A63,'Further adjustment'!$A:$BC,54,FALSE))</f>
        <v>174.5409469953598</v>
      </c>
      <c r="AD63" s="375">
        <f t="shared" si="138"/>
        <v>0</v>
      </c>
      <c r="AE63" s="375">
        <f t="shared" si="139"/>
        <v>0</v>
      </c>
      <c r="AF63" s="375">
        <f t="shared" si="140"/>
        <v>0</v>
      </c>
      <c r="AG63" s="375">
        <f t="shared" si="141"/>
        <v>0</v>
      </c>
      <c r="AH63" s="369"/>
      <c r="AI63" s="376">
        <f>'Price Adjustments'!$G$6</f>
        <v>-3.1174571652793026E-2</v>
      </c>
      <c r="AJ63" s="376">
        <v>0</v>
      </c>
      <c r="AK63" s="377">
        <f t="shared" si="31"/>
        <v>158.49093488956939</v>
      </c>
      <c r="AL63" s="377">
        <f t="shared" si="32"/>
        <v>256.46012451251073</v>
      </c>
      <c r="AM63" s="377">
        <f t="shared" si="33"/>
        <v>97.079248942165378</v>
      </c>
      <c r="AN63" s="377">
        <f t="shared" si="34"/>
        <v>169.09970773690662</v>
      </c>
      <c r="AO63" s="378">
        <f t="shared" si="142"/>
        <v>-3.1174571652792915E-2</v>
      </c>
      <c r="AP63" s="378">
        <f t="shared" si="143"/>
        <v>-3.1174571652793026E-2</v>
      </c>
      <c r="AQ63" s="378">
        <f t="shared" si="144"/>
        <v>-3.1174571652793137E-2</v>
      </c>
      <c r="AR63" s="378">
        <f t="shared" si="145"/>
        <v>-3.1174571652792915E-2</v>
      </c>
      <c r="AS63" s="379">
        <f>'Price Adjustments'!$F$6</f>
        <v>0</v>
      </c>
      <c r="AT63" s="377">
        <f>IF(ISERROR(VLOOKUP($A63,'15-16 tariff'!$A:$F,3,FALSE)*(1+$AS$6)),"-",VLOOKUP($A63,'15-16 tariff'!$A:$F,3,FALSE)*(1+$AS$6))</f>
        <v>157.79951240570455</v>
      </c>
      <c r="AU63" s="377">
        <f>IF(ISERROR(VLOOKUP($A63,'15-16 tariff'!$A:$F,4,FALSE)*(1+$AS$6)),"-",VLOOKUP($A63,'15-16 tariff'!$A:$F,4,FALSE)*(1+$AS$6))</f>
        <v>200.1092678811969</v>
      </c>
      <c r="AV63" s="377">
        <f>IF(ISERROR(VLOOKUP($A63,'15-16 tariff'!$A:$F,5,FALSE)*(1+$AS$6)),"-",VLOOKUP($A63,'15-16 tariff'!$A:$F,5,FALSE)*(1+$AS$6))</f>
        <v>94.235090741805791</v>
      </c>
      <c r="AW63" s="377">
        <f>IF(ISERROR(VLOOKUP($A63,'15-16 tariff'!$A:$F,6,FALSE)*(1+$AS$6)),"-",VLOOKUP($A63,'15-16 tariff'!$A:$F,6,FALSE)*(1+$AS$6))</f>
        <v>106.90083808031201</v>
      </c>
      <c r="AX63" s="369"/>
      <c r="AY63" s="380" t="s">
        <v>307</v>
      </c>
      <c r="AZ63" s="380" t="s">
        <v>307</v>
      </c>
      <c r="BA63" s="380" t="s">
        <v>307</v>
      </c>
      <c r="BB63" s="381" t="s">
        <v>307</v>
      </c>
      <c r="BC63" s="381">
        <f t="shared" si="146"/>
        <v>158.49093488956939</v>
      </c>
      <c r="BD63" s="381">
        <f t="shared" si="147"/>
        <v>256.46012451251073</v>
      </c>
      <c r="BE63" s="381">
        <f t="shared" si="148"/>
        <v>97.079248942165378</v>
      </c>
      <c r="BF63" s="381">
        <f t="shared" si="149"/>
        <v>169.09970773690662</v>
      </c>
      <c r="BG63" s="381">
        <f>IFERROR(VLOOKUP($A63,'Further adjustment'!$A:$Q,7,FALSE),0)</f>
        <v>32362</v>
      </c>
      <c r="BH63" s="381">
        <f>IFERROR(VLOOKUP($A63,'Further adjustment'!$A:$Q,6,FALSE),0)</f>
        <v>1878</v>
      </c>
      <c r="BI63" s="381">
        <f>IFERROR(VLOOKUP($A63,'Further adjustment'!$A:$Q,9,FALSE),0)</f>
        <v>65241</v>
      </c>
      <c r="BJ63" s="381">
        <f>IFERROR(VLOOKUP($A63,'Further adjustment'!$A:$Q,8,FALSE),0)</f>
        <v>6496</v>
      </c>
      <c r="BK63" s="382">
        <f t="shared" si="150"/>
        <v>-3.1174571652792915E-2</v>
      </c>
      <c r="BL63" s="382">
        <f t="shared" si="151"/>
        <v>-3.1174571652793026E-2</v>
      </c>
      <c r="BM63" s="382">
        <f t="shared" si="152"/>
        <v>-3.1174571652793137E-2</v>
      </c>
      <c r="BN63" s="382">
        <f t="shared" si="153"/>
        <v>-3.1174571652792915E-2</v>
      </c>
      <c r="BO63" s="369"/>
      <c r="BP63" s="383">
        <f>'Price Adjustments'!$D$90</f>
        <v>-6.8529657693413348E-2</v>
      </c>
      <c r="BQ63" s="384">
        <f t="shared" si="154"/>
        <v>147.62960537407812</v>
      </c>
      <c r="BR63" s="384">
        <f t="shared" si="155"/>
        <v>238.88499996765822</v>
      </c>
      <c r="BS63" s="384">
        <f t="shared" si="156"/>
        <v>90.426441243025124</v>
      </c>
      <c r="BT63" s="384">
        <f t="shared" si="157"/>
        <v>157.51136264964018</v>
      </c>
      <c r="BU63" s="369"/>
      <c r="BV63" s="385" t="str">
        <f>IF(COUNTIF('Manual adjustments'!$A:$A,A63)=1,"Y",IF(COUNTIF(#REF!,A63)=1,"BPT",""))</f>
        <v>Y</v>
      </c>
      <c r="BW63" s="384">
        <f>IF($BV63="",BQ63,IF(AND($BV63="BPT",IFERROR(ISNUMBER(VLOOKUP($A63,#REF!,3,FALSE)),FALSE)),VLOOKUP($A63,#REF!,3,FALSE),IF(AND($BV63="Y",IFERROR(ISNUMBER(VLOOKUP($A63,'Manual adjustments'!$A:$O,12,FALSE)),FALSE)),VLOOKUP($A63,'Manual adjustments'!$A:$O,12,FALSE),BQ63)))</f>
        <v>147.62960537407812</v>
      </c>
      <c r="BX63" s="384">
        <f>IF($BV63="",BR63,IF(AND($BV63="BPT",IFERROR(ISNUMBER(VLOOKUP($A63,#REF!,4,FALSE)),FALSE)),VLOOKUP($A63,#REF!,4,FALSE),IF(AND($BV63="Y",IFERROR(ISNUMBER(VLOOKUP($A63,'Manual adjustments'!$A:$O,13,FALSE)),FALSE)),VLOOKUP($A63,'Manual adjustments'!$A:$O,13,FALSE),BR63)))</f>
        <v>238.88499996765822</v>
      </c>
      <c r="BY63" s="384">
        <f>IF($BV63="",BS63,IF(AND($BV63="BPT",IFERROR(ISNUMBER(VLOOKUP($A63,#REF!,5,FALSE)),FALSE)),VLOOKUP($A63,#REF!,5,FALSE),IF(AND($BV63="Y",IFERROR(ISNUMBER(VLOOKUP($A63,'Manual adjustments'!$A:$O,14,FALSE)),FALSE)),VLOOKUP($A63,'Manual adjustments'!$A:$O,14,FALSE),BS63)))</f>
        <v>90.426441243025124</v>
      </c>
      <c r="BZ63" s="384">
        <f>IF($BV63="",BT63,IF(AND($BV63="BPT",IFERROR(ISNUMBER(VLOOKUP($A63,#REF!,6,FALSE)),FALSE)),VLOOKUP($A63,#REF!,6,FALSE),IF(AND($BV63="Y",IFERROR(ISNUMBER(VLOOKUP($A63,'Manual adjustments'!$A:$O,15,FALSE)),FALSE)),VLOOKUP($A63,'Manual adjustments'!$A:$O,15,FALSE),BT63)))</f>
        <v>157.51136264964018</v>
      </c>
      <c r="CA63" s="386">
        <f>'Post manual recon'!$N$70</f>
        <v>0</v>
      </c>
      <c r="CB63" s="384">
        <f>IF(VLOOKUP($A63,'Post manual recon'!$A:$U,18,FALSE)=0,BW63,BW63*(1+$CA63))</f>
        <v>147.62960537407812</v>
      </c>
      <c r="CC63" s="384">
        <f>IF(VLOOKUP($A63,'Post manual recon'!$A:$U,19,FALSE)=0,BX63,BX63*(1+$CA63))</f>
        <v>238.88499996765822</v>
      </c>
      <c r="CD63" s="384">
        <f>IF(VLOOKUP($A63,'Post manual recon'!$A:$U,20,FALSE)=0,BY63,BY63*(1+$CA63))</f>
        <v>90.426441243025124</v>
      </c>
      <c r="CE63" s="384">
        <f>IF(VLOOKUP($A63,'Post manual recon'!$A:$U,21,FALSE)=0,BZ63,BZ63*(1+$CA63))</f>
        <v>157.51136264964018</v>
      </c>
      <c r="CF63" s="383">
        <f t="shared" si="35"/>
        <v>0</v>
      </c>
      <c r="CG63" s="383">
        <f t="shared" si="36"/>
        <v>0</v>
      </c>
      <c r="CH63" s="383">
        <f t="shared" si="37"/>
        <v>0</v>
      </c>
      <c r="CI63" s="383">
        <f t="shared" si="38"/>
        <v>0</v>
      </c>
      <c r="CJ63" s="369"/>
      <c r="CK63" s="383">
        <f>'Price Adjustments'!$F$6</f>
        <v>0</v>
      </c>
      <c r="CL63" s="384">
        <f t="shared" si="39"/>
        <v>147.62960537407812</v>
      </c>
      <c r="CM63" s="384">
        <f t="shared" si="40"/>
        <v>238.88499996765822</v>
      </c>
      <c r="CN63" s="384">
        <f t="shared" si="41"/>
        <v>90.426441243025124</v>
      </c>
      <c r="CO63" s="384">
        <f t="shared" si="42"/>
        <v>157.51136264964018</v>
      </c>
      <c r="CP63" s="369"/>
      <c r="CQ63" s="384">
        <f t="shared" si="43"/>
        <v>148</v>
      </c>
      <c r="CR63" s="384">
        <f t="shared" si="44"/>
        <v>239</v>
      </c>
      <c r="CS63" s="384">
        <f t="shared" si="45"/>
        <v>90</v>
      </c>
      <c r="CT63" s="384">
        <f t="shared" si="46"/>
        <v>158</v>
      </c>
    </row>
    <row r="64" spans="1:98">
      <c r="A64" s="367">
        <v>800</v>
      </c>
      <c r="B64" s="367" t="str">
        <f>INDEX('201314 RC list'!B:B,MATCH(A64,'201314 RC list'!A:A,0))</f>
        <v>Clinical Oncology (previously Radiotherapy)</v>
      </c>
      <c r="C64" s="368">
        <f>IF(ISERROR(VLOOKUP($A64,'Allocate OPROC cost'!A:M,11,FALSE)),"-",VLOOKUP($A64,'Allocate OPROC cost'!A:M,11,FALSE))</f>
        <v>151.69005837364421</v>
      </c>
      <c r="D64" s="368">
        <f>IF(ISERROR(VLOOKUP($A64,'Allocate OPROC cost'!A:M,10,FALSE)),"-",VLOOKUP($A64,'Allocate OPROC cost'!A:M,10,FALSE))</f>
        <v>167.62816025433196</v>
      </c>
      <c r="E64" s="368">
        <f>IF(ISERROR(VLOOKUP($A64,'Allocate OPROC cost'!A:M,13,FALSE)),"-",VLOOKUP($A64,'Allocate OPROC cost'!A:M,13,FALSE))</f>
        <v>115.14935702568543</v>
      </c>
      <c r="F64" s="368">
        <f>IF(ISERROR(VLOOKUP($A64,'Allocate OPROC cost'!A:M,12,FALSE)),"-",VLOOKUP($A64,'Allocate OPROC cost'!A:M,12,FALSE))</f>
        <v>145.27817678957967</v>
      </c>
      <c r="G64" s="369"/>
      <c r="H64" s="370">
        <f>IF(ISERROR(VLOOKUP($A64,'Allocate OPROC cost'!A:AO,39,FALSE)),"-",VLOOKUP($A64,'Allocate OPROC cost'!A:AO,39,FALSE))</f>
        <v>150.94373706928872</v>
      </c>
      <c r="I64" s="370">
        <f>IF(ISERROR(VLOOKUP($A64,'Allocate OPROC cost'!A:AO,38,FALSE)),"-",VLOOKUP($A64,'Allocate OPROC cost'!A:AO,38,FALSE))</f>
        <v>167.54528526179107</v>
      </c>
      <c r="J64" s="370">
        <f>IF(ISERROR(VLOOKUP($A64,'Allocate OPROC cost'!A:AO,41,FALSE)),"-",VLOOKUP($A64,'Allocate OPROC cost'!A:AO,41,FALSE))</f>
        <v>115.33011602132798</v>
      </c>
      <c r="K64" s="370">
        <f>IF(ISERROR(VLOOKUP($A64,'Allocate OPROC cost'!A:AO,40,FALSE)),"-",VLOOKUP($A64,'Allocate OPROC cost'!A:AO,40,FALSE))</f>
        <v>144.95729384313589</v>
      </c>
      <c r="L64" s="371">
        <f t="shared" si="130"/>
        <v>-4.9200409859236904E-3</v>
      </c>
      <c r="M64" s="371">
        <f t="shared" si="131"/>
        <v>-4.9439779339677248E-4</v>
      </c>
      <c r="N64" s="371">
        <f t="shared" si="132"/>
        <v>1.5697785928776575E-3</v>
      </c>
      <c r="O64" s="371">
        <f t="shared" si="133"/>
        <v>-2.2087484406453362E-3</v>
      </c>
      <c r="P64" s="369"/>
      <c r="Q64" s="372">
        <f>IF(ISERROR(VLOOKUP($A64,'Front-loading'!$A:$AG,27,FALSE)),"-",VLOOKUP($A64,'Front-loading'!$A:$AG,27,FALSE))</f>
        <v>223.50795921484055</v>
      </c>
      <c r="R64" s="372">
        <f>IF(ISERROR(VLOOKUP($A64,'Front-loading'!$A:$AG,26,FALSE)),"-",VLOOKUP($A64,'Front-loading'!$A:$AG,26,FALSE))</f>
        <v>242.54521682169766</v>
      </c>
      <c r="S64" s="372">
        <f>IF(ISERROR(VLOOKUP($A64,'Front-loading'!$A:$AG,29,FALSE)),"-",VLOOKUP($A64,'Front-loading'!$A:$AG,29,FALSE))</f>
        <v>103.79710441919519</v>
      </c>
      <c r="T64" s="372">
        <f>IF(ISERROR(VLOOKUP($A64,'Front-loading'!$A:$AG,28,FALSE)),"-",VLOOKUP($A64,'Front-loading'!$A:$AG,28,FALSE))</f>
        <v>130.46156445882229</v>
      </c>
      <c r="U64" s="373">
        <f t="shared" si="134"/>
        <v>0.48073688616999188</v>
      </c>
      <c r="V64" s="373">
        <f t="shared" si="135"/>
        <v>0.44763976164843133</v>
      </c>
      <c r="W64" s="373">
        <f t="shared" si="136"/>
        <v>-9.9999999999999867E-2</v>
      </c>
      <c r="X64" s="373">
        <f t="shared" si="137"/>
        <v>-9.9999999999999978E-2</v>
      </c>
      <c r="Y64" s="369"/>
      <c r="Z64" s="374">
        <f>IF(ISERROR(VLOOKUP($A64,'Further adjustment'!$A:$BC,53,FALSE)),"-",VLOOKUP($A64,'Further adjustment'!$A:$BC,53,FALSE))</f>
        <v>223.50795921484055</v>
      </c>
      <c r="AA64" s="374">
        <f>IF(ISERROR(VLOOKUP($A64,'Further adjustment'!$A:$BC,52,FALSE)),"-",VLOOKUP($A64,'Further adjustment'!$A:$BC,52,FALSE))</f>
        <v>242.54521682169766</v>
      </c>
      <c r="AB64" s="374">
        <f>IF(ISERROR(VLOOKUP($A64,'Further adjustment'!$A:$BC,55,FALSE)),"-",VLOOKUP($A64,'Further adjustment'!$A:$BC,55,FALSE))</f>
        <v>103.79710441919519</v>
      </c>
      <c r="AC64" s="374">
        <f>IF(ISERROR(VLOOKUP($A64,'Further adjustment'!$A:$BC,54,FALSE)),"-",VLOOKUP($A64,'Further adjustment'!$A:$BC,54,FALSE))</f>
        <v>130.46156445882229</v>
      </c>
      <c r="AD64" s="375">
        <f t="shared" si="138"/>
        <v>0</v>
      </c>
      <c r="AE64" s="375">
        <f t="shared" si="139"/>
        <v>0</v>
      </c>
      <c r="AF64" s="375">
        <f t="shared" si="140"/>
        <v>0</v>
      </c>
      <c r="AG64" s="375">
        <f t="shared" si="141"/>
        <v>0</v>
      </c>
      <c r="AH64" s="369"/>
      <c r="AI64" s="376">
        <f>'Price Adjustments'!$G$6</f>
        <v>-3.1174571652793026E-2</v>
      </c>
      <c r="AJ64" s="376">
        <v>0</v>
      </c>
      <c r="AK64" s="377">
        <f t="shared" si="31"/>
        <v>216.54019432532797</v>
      </c>
      <c r="AL64" s="377">
        <f t="shared" si="32"/>
        <v>234.98397358084742</v>
      </c>
      <c r="AM64" s="377">
        <f t="shared" si="33"/>
        <v>100.56127415012655</v>
      </c>
      <c r="AN64" s="377">
        <f t="shared" si="34"/>
        <v>126.39448106966526</v>
      </c>
      <c r="AO64" s="378">
        <f t="shared" si="142"/>
        <v>-3.1174571652793026E-2</v>
      </c>
      <c r="AP64" s="378">
        <f t="shared" si="143"/>
        <v>-3.1174571652793026E-2</v>
      </c>
      <c r="AQ64" s="378">
        <f t="shared" si="144"/>
        <v>-3.1174571652793026E-2</v>
      </c>
      <c r="AR64" s="378">
        <f t="shared" si="145"/>
        <v>-3.1174571652793026E-2</v>
      </c>
      <c r="AS64" s="379">
        <f>'Price Adjustments'!$F$6</f>
        <v>0</v>
      </c>
      <c r="AT64" s="377">
        <f>IF(ISERROR(VLOOKUP($A64,'15-16 tariff'!$A:$F,3,FALSE)*(1+$AS$6)),"-",VLOOKUP($A64,'15-16 tariff'!$A:$F,3,FALSE)*(1+$AS$6))</f>
        <v>206.38609434978764</v>
      </c>
      <c r="AU64" s="377">
        <f>IF(ISERROR(VLOOKUP($A64,'15-16 tariff'!$A:$F,4,FALSE)*(1+$AS$6)),"-",VLOOKUP($A64,'15-16 tariff'!$A:$F,4,FALSE)*(1+$AS$6))</f>
        <v>212.56308125364137</v>
      </c>
      <c r="AV64" s="377">
        <f>IF(ISERROR(VLOOKUP($A64,'15-16 tariff'!$A:$F,5,FALSE)*(1+$AS$6)),"-",VLOOKUP($A64,'15-16 tariff'!$A:$F,5,FALSE)*(1+$AS$6))</f>
        <v>92.087156709831817</v>
      </c>
      <c r="AW64" s="377">
        <f>IF(ISERROR(VLOOKUP($A64,'15-16 tariff'!$A:$F,6,FALSE)*(1+$AS$6)),"-",VLOOKUP($A64,'15-16 tariff'!$A:$F,6,FALSE)*(1+$AS$6))</f>
        <v>101.07911872390315</v>
      </c>
      <c r="AX64" s="369"/>
      <c r="AY64" s="380" t="s">
        <v>307</v>
      </c>
      <c r="AZ64" s="380" t="s">
        <v>307</v>
      </c>
      <c r="BA64" s="380" t="s">
        <v>307</v>
      </c>
      <c r="BB64" s="381" t="s">
        <v>307</v>
      </c>
      <c r="BC64" s="381">
        <f t="shared" si="146"/>
        <v>216.54019432532797</v>
      </c>
      <c r="BD64" s="381">
        <f t="shared" si="147"/>
        <v>234.98397358084742</v>
      </c>
      <c r="BE64" s="381">
        <f t="shared" si="148"/>
        <v>100.56127415012655</v>
      </c>
      <c r="BF64" s="381">
        <f t="shared" si="149"/>
        <v>126.39448106966526</v>
      </c>
      <c r="BG64" s="381">
        <f>IFERROR(VLOOKUP($A64,'Further adjustment'!$A:$Q,7,FALSE),0)</f>
        <v>156343</v>
      </c>
      <c r="BH64" s="381">
        <f>IFERROR(VLOOKUP($A64,'Further adjustment'!$A:$Q,6,FALSE),0)</f>
        <v>13120</v>
      </c>
      <c r="BI64" s="381">
        <f>IFERROR(VLOOKUP($A64,'Further adjustment'!$A:$Q,9,FALSE),0)</f>
        <v>983690</v>
      </c>
      <c r="BJ64" s="381">
        <f>IFERROR(VLOOKUP($A64,'Further adjustment'!$A:$Q,8,FALSE),0)</f>
        <v>67882</v>
      </c>
      <c r="BK64" s="382">
        <f t="shared" si="150"/>
        <v>-3.1174571652793026E-2</v>
      </c>
      <c r="BL64" s="382">
        <f t="shared" si="151"/>
        <v>-3.1174571652793026E-2</v>
      </c>
      <c r="BM64" s="382">
        <f t="shared" si="152"/>
        <v>-3.1174571652793026E-2</v>
      </c>
      <c r="BN64" s="382">
        <f t="shared" si="153"/>
        <v>-3.1174571652793026E-2</v>
      </c>
      <c r="BO64" s="369"/>
      <c r="BP64" s="383">
        <f>'Price Adjustments'!$D$90</f>
        <v>-6.8529657693413348E-2</v>
      </c>
      <c r="BQ64" s="384">
        <f t="shared" si="154"/>
        <v>201.70076893134805</v>
      </c>
      <c r="BR64" s="384">
        <f t="shared" si="155"/>
        <v>218.88060230791385</v>
      </c>
      <c r="BS64" s="384">
        <f t="shared" si="156"/>
        <v>93.669844455404885</v>
      </c>
      <c r="BT64" s="384">
        <f t="shared" si="157"/>
        <v>117.73271054762449</v>
      </c>
      <c r="BU64" s="369"/>
      <c r="BV64" s="385" t="str">
        <f>IF(COUNTIF('Manual adjustments'!$A:$A,A64)=1,"Y",IF(COUNTIF(#REF!,A64)=1,"BPT",""))</f>
        <v>Y</v>
      </c>
      <c r="BW64" s="384">
        <f>IF($BV64="",BQ64,IF(AND($BV64="BPT",IFERROR(ISNUMBER(VLOOKUP($A64,#REF!,3,FALSE)),FALSE)),VLOOKUP($A64,#REF!,3,FALSE),IF(AND($BV64="Y",IFERROR(ISNUMBER(VLOOKUP($A64,'Manual adjustments'!$A:$O,12,FALSE)),FALSE)),VLOOKUP($A64,'Manual adjustments'!$A:$O,12,FALSE),BQ64)))</f>
        <v>201.70076893134805</v>
      </c>
      <c r="BX64" s="384">
        <f>IF($BV64="",BR64,IF(AND($BV64="BPT",IFERROR(ISNUMBER(VLOOKUP($A64,#REF!,4,FALSE)),FALSE)),VLOOKUP($A64,#REF!,4,FALSE),IF(AND($BV64="Y",IFERROR(ISNUMBER(VLOOKUP($A64,'Manual adjustments'!$A:$O,13,FALSE)),FALSE)),VLOOKUP($A64,'Manual adjustments'!$A:$O,13,FALSE),BR64)))</f>
        <v>218.88060230791385</v>
      </c>
      <c r="BY64" s="384">
        <f>IF($BV64="",BS64,IF(AND($BV64="BPT",IFERROR(ISNUMBER(VLOOKUP($A64,#REF!,5,FALSE)),FALSE)),VLOOKUP($A64,#REF!,5,FALSE),IF(AND($BV64="Y",IFERROR(ISNUMBER(VLOOKUP($A64,'Manual adjustments'!$A:$O,14,FALSE)),FALSE)),VLOOKUP($A64,'Manual adjustments'!$A:$O,14,FALSE),BS64)))</f>
        <v>93.669844455404885</v>
      </c>
      <c r="BZ64" s="384">
        <f>IF($BV64="",BT64,IF(AND($BV64="BPT",IFERROR(ISNUMBER(VLOOKUP($A64,#REF!,6,FALSE)),FALSE)),VLOOKUP($A64,#REF!,6,FALSE),IF(AND($BV64="Y",IFERROR(ISNUMBER(VLOOKUP($A64,'Manual adjustments'!$A:$O,15,FALSE)),FALSE)),VLOOKUP($A64,'Manual adjustments'!$A:$O,15,FALSE),BT64)))</f>
        <v>117.73271054762449</v>
      </c>
      <c r="CA64" s="386">
        <f>'Post manual recon'!$N$70</f>
        <v>0</v>
      </c>
      <c r="CB64" s="384">
        <f>IF(VLOOKUP($A64,'Post manual recon'!$A:$U,18,FALSE)=0,BW64,BW64*(1+$CA64))</f>
        <v>201.70076893134805</v>
      </c>
      <c r="CC64" s="384">
        <f>IF(VLOOKUP($A64,'Post manual recon'!$A:$U,19,FALSE)=0,BX64,BX64*(1+$CA64))</f>
        <v>218.88060230791385</v>
      </c>
      <c r="CD64" s="384">
        <f>IF(VLOOKUP($A64,'Post manual recon'!$A:$U,20,FALSE)=0,BY64,BY64*(1+$CA64))</f>
        <v>93.669844455404885</v>
      </c>
      <c r="CE64" s="384">
        <f>IF(VLOOKUP($A64,'Post manual recon'!$A:$U,21,FALSE)=0,BZ64,BZ64*(1+$CA64))</f>
        <v>117.73271054762449</v>
      </c>
      <c r="CF64" s="383">
        <f t="shared" si="35"/>
        <v>0</v>
      </c>
      <c r="CG64" s="383">
        <f t="shared" si="36"/>
        <v>0</v>
      </c>
      <c r="CH64" s="383">
        <f t="shared" si="37"/>
        <v>0</v>
      </c>
      <c r="CI64" s="383">
        <f t="shared" si="38"/>
        <v>0</v>
      </c>
      <c r="CJ64" s="369"/>
      <c r="CK64" s="383">
        <f>'Price Adjustments'!$F$6</f>
        <v>0</v>
      </c>
      <c r="CL64" s="384">
        <f t="shared" si="39"/>
        <v>201.70076893134805</v>
      </c>
      <c r="CM64" s="384">
        <f t="shared" si="40"/>
        <v>218.88060230791385</v>
      </c>
      <c r="CN64" s="384">
        <f t="shared" si="41"/>
        <v>93.669844455404885</v>
      </c>
      <c r="CO64" s="384">
        <f t="shared" si="42"/>
        <v>117.73271054762449</v>
      </c>
      <c r="CP64" s="369"/>
      <c r="CQ64" s="384">
        <f t="shared" si="43"/>
        <v>202</v>
      </c>
      <c r="CR64" s="384">
        <f t="shared" si="44"/>
        <v>219</v>
      </c>
      <c r="CS64" s="384">
        <f t="shared" si="45"/>
        <v>94</v>
      </c>
      <c r="CT64" s="384">
        <f t="shared" si="46"/>
        <v>118</v>
      </c>
    </row>
    <row r="65" spans="1:98">
      <c r="A65" s="367">
        <v>812</v>
      </c>
      <c r="B65" s="367" t="str">
        <f>INDEX('201314 RC list'!B:B,MATCH(A65,'201314 RC list'!A:A,0))</f>
        <v>Diagnostic Imaging</v>
      </c>
      <c r="C65" s="368">
        <f>IF(ISERROR(VLOOKUP($A65,'Allocate OPROC cost'!A:M,11,FALSE)),"-",VLOOKUP($A65,'Allocate OPROC cost'!A:M,11,FALSE))</f>
        <v>31.717302397128833</v>
      </c>
      <c r="D65" s="368">
        <f>IF(ISERROR(VLOOKUP($A65,'Allocate OPROC cost'!A:M,10,FALSE)),"-",VLOOKUP($A65,'Allocate OPROC cost'!A:M,10,FALSE))</f>
        <v>10.317206840784518</v>
      </c>
      <c r="E65" s="368">
        <f>IF(ISERROR(VLOOKUP($A65,'Allocate OPROC cost'!A:M,13,FALSE)),"-",VLOOKUP($A65,'Allocate OPROC cost'!A:M,13,FALSE))</f>
        <v>34.72025489466327</v>
      </c>
      <c r="F65" s="368">
        <f>IF(ISERROR(VLOOKUP($A65,'Allocate OPROC cost'!A:M,12,FALSE)),"-",VLOOKUP($A65,'Allocate OPROC cost'!A:M,12,FALSE))</f>
        <v>31.288699417954099</v>
      </c>
      <c r="G65" s="369"/>
      <c r="H65" s="370">
        <f>IF(ISERROR(VLOOKUP($A65,'Allocate OPROC cost'!A:AO,39,FALSE)),"-",VLOOKUP($A65,'Allocate OPROC cost'!A:AO,39,FALSE))</f>
        <v>37.230898645534452</v>
      </c>
      <c r="I65" s="370">
        <f>IF(ISERROR(VLOOKUP($A65,'Allocate OPROC cost'!A:AO,38,FALSE)),"-",VLOOKUP($A65,'Allocate OPROC cost'!A:AO,38,FALSE))</f>
        <v>35.833686326482045</v>
      </c>
      <c r="J65" s="370">
        <f>IF(ISERROR(VLOOKUP($A65,'Allocate OPROC cost'!A:AO,41,FALSE)),"-",VLOOKUP($A65,'Allocate OPROC cost'!A:AO,41,FALSE))</f>
        <v>57.707532162509814</v>
      </c>
      <c r="K65" s="370">
        <f>IF(ISERROR(VLOOKUP($A65,'Allocate OPROC cost'!A:AO,40,FALSE)),"-",VLOOKUP($A65,'Allocate OPROC cost'!A:AO,40,FALSE))</f>
        <v>46.676271154398215</v>
      </c>
      <c r="L65" s="371">
        <f t="shared" si="130"/>
        <v>0.173835598607047</v>
      </c>
      <c r="M65" s="371">
        <f t="shared" si="131"/>
        <v>2.4731964648444773</v>
      </c>
      <c r="N65" s="371">
        <f t="shared" si="132"/>
        <v>0.66207109762261096</v>
      </c>
      <c r="O65" s="371">
        <f t="shared" si="133"/>
        <v>0.49179326794307121</v>
      </c>
      <c r="P65" s="369"/>
      <c r="Q65" s="372">
        <f>IF(ISERROR(VLOOKUP($A65,'Front-loading'!$A:$AG,27,FALSE)),"-",VLOOKUP($A65,'Front-loading'!$A:$AG,27,FALSE))</f>
        <v>38.659501139104044</v>
      </c>
      <c r="R65" s="372">
        <f>IF(ISERROR(VLOOKUP($A65,'Front-loading'!$A:$AG,26,FALSE)),"-",VLOOKUP($A65,'Front-loading'!$A:$AG,26,FALSE))</f>
        <v>35.859908950726087</v>
      </c>
      <c r="S65" s="372">
        <f>IF(ISERROR(VLOOKUP($A65,'Front-loading'!$A:$AG,29,FALSE)),"-",VLOOKUP($A65,'Front-loading'!$A:$AG,29,FALSE))</f>
        <v>51.936778946258833</v>
      </c>
      <c r="T65" s="372">
        <f>IF(ISERROR(VLOOKUP($A65,'Front-loading'!$A:$AG,28,FALSE)),"-",VLOOKUP($A65,'Front-loading'!$A:$AG,28,FALSE))</f>
        <v>42.008644038958394</v>
      </c>
      <c r="U65" s="373">
        <f t="shared" si="134"/>
        <v>3.8371421199658418E-2</v>
      </c>
      <c r="V65" s="373">
        <f t="shared" si="135"/>
        <v>7.3178695613740352E-4</v>
      </c>
      <c r="W65" s="373">
        <f t="shared" si="136"/>
        <v>-9.9999999999999978E-2</v>
      </c>
      <c r="X65" s="373">
        <f t="shared" si="137"/>
        <v>-9.9999999999999978E-2</v>
      </c>
      <c r="Y65" s="369"/>
      <c r="Z65" s="374">
        <f>IF(ISERROR(VLOOKUP($A65,'Further adjustment'!$A:$BC,53,FALSE)),"-",VLOOKUP($A65,'Further adjustment'!$A:$BC,53,FALSE))</f>
        <v>41.28869540179614</v>
      </c>
      <c r="AA65" s="374">
        <f>IF(ISERROR(VLOOKUP($A65,'Further adjustment'!$A:$BC,52,FALSE)),"-",VLOOKUP($A65,'Further adjustment'!$A:$BC,52,FALSE))</f>
        <v>41.28869540179614</v>
      </c>
      <c r="AB65" s="374">
        <f>IF(ISERROR(VLOOKUP($A65,'Further adjustment'!$A:$BC,55,FALSE)),"-",VLOOKUP($A65,'Further adjustment'!$A:$BC,55,FALSE))</f>
        <v>41.289757987389734</v>
      </c>
      <c r="AC65" s="374">
        <f>IF(ISERROR(VLOOKUP($A65,'Further adjustment'!$A:$BC,54,FALSE)),"-",VLOOKUP($A65,'Further adjustment'!$A:$BC,54,FALSE))</f>
        <v>41.288725317079482</v>
      </c>
      <c r="AD65" s="375">
        <f t="shared" si="138"/>
        <v>6.8009006459544441E-2</v>
      </c>
      <c r="AE65" s="375">
        <f t="shared" si="139"/>
        <v>0.15138874051603324</v>
      </c>
      <c r="AF65" s="375">
        <f t="shared" si="140"/>
        <v>-0.2049996394633179</v>
      </c>
      <c r="AG65" s="375">
        <f t="shared" si="141"/>
        <v>-1.7137394894519042E-2</v>
      </c>
      <c r="AH65" s="369"/>
      <c r="AI65" s="376">
        <f>'Price Adjustments'!$G$6</f>
        <v>-3.1174571652793026E-2</v>
      </c>
      <c r="AJ65" s="376">
        <v>0</v>
      </c>
      <c r="AK65" s="377">
        <f t="shared" si="31"/>
        <v>40.001538008542504</v>
      </c>
      <c r="AL65" s="377">
        <f t="shared" si="32"/>
        <v>40.001538008542504</v>
      </c>
      <c r="AM65" s="377">
        <f t="shared" si="33"/>
        <v>40.002567468485367</v>
      </c>
      <c r="AN65" s="377">
        <f t="shared" si="34"/>
        <v>40.001566991229701</v>
      </c>
      <c r="AO65" s="378">
        <f t="shared" si="142"/>
        <v>-3.1174571652792915E-2</v>
      </c>
      <c r="AP65" s="378">
        <f t="shared" si="143"/>
        <v>-3.1174571652792915E-2</v>
      </c>
      <c r="AQ65" s="378">
        <f t="shared" si="144"/>
        <v>-3.1174571652793137E-2</v>
      </c>
      <c r="AR65" s="378">
        <f t="shared" si="145"/>
        <v>-3.1174571652792915E-2</v>
      </c>
      <c r="AS65" s="379">
        <f>'Price Adjustments'!$F$6</f>
        <v>0</v>
      </c>
      <c r="AT65" s="377">
        <f>IF(ISERROR(VLOOKUP($A65,'15-16 tariff'!$A:$F,3,FALSE)*(1+$AS$6)),"-",VLOOKUP($A65,'15-16 tariff'!$A:$F,3,FALSE)*(1+$AS$6))</f>
        <v>0</v>
      </c>
      <c r="AU65" s="377">
        <f>IF(ISERROR(VLOOKUP($A65,'15-16 tariff'!$A:$F,4,FALSE)*(1+$AS$6)),"-",VLOOKUP($A65,'15-16 tariff'!$A:$F,4,FALSE)*(1+$AS$6))</f>
        <v>0</v>
      </c>
      <c r="AV65" s="377">
        <f>IF(ISERROR(VLOOKUP($A65,'15-16 tariff'!$A:$F,5,FALSE)*(1+$AS$6)),"-",VLOOKUP($A65,'15-16 tariff'!$A:$F,5,FALSE)*(1+$AS$6))</f>
        <v>0</v>
      </c>
      <c r="AW65" s="377">
        <f>IF(ISERROR(VLOOKUP($A65,'15-16 tariff'!$A:$F,6,FALSE)*(1+$AS$6)),"-",VLOOKUP($A65,'15-16 tariff'!$A:$F,6,FALSE)*(1+$AS$6))</f>
        <v>0</v>
      </c>
      <c r="AX65" s="369"/>
      <c r="AY65" s="380" t="s">
        <v>443</v>
      </c>
      <c r="AZ65" s="380" t="s">
        <v>443</v>
      </c>
      <c r="BA65" s="380" t="s">
        <v>443</v>
      </c>
      <c r="BB65" s="380" t="s">
        <v>443</v>
      </c>
      <c r="BC65" s="381">
        <f t="shared" si="146"/>
        <v>0</v>
      </c>
      <c r="BD65" s="381">
        <f t="shared" si="147"/>
        <v>0</v>
      </c>
      <c r="BE65" s="381">
        <f t="shared" si="148"/>
        <v>0</v>
      </c>
      <c r="BF65" s="381">
        <f t="shared" si="149"/>
        <v>0</v>
      </c>
      <c r="BG65" s="381">
        <f>IFERROR(VLOOKUP($A65,'Further adjustment'!$A:$Q,7,FALSE),0)</f>
        <v>175243</v>
      </c>
      <c r="BH65" s="381">
        <f>IFERROR(VLOOKUP($A65,'Further adjustment'!$A:$Q,6,FALSE),0)</f>
        <v>178</v>
      </c>
      <c r="BI65" s="381">
        <f>IFERROR(VLOOKUP($A65,'Further adjustment'!$A:$Q,9,FALSE),0)</f>
        <v>43383</v>
      </c>
      <c r="BJ65" s="381">
        <f>IFERROR(VLOOKUP($A65,'Further adjustment'!$A:$Q,8,FALSE),0)</f>
        <v>1</v>
      </c>
      <c r="BK65" s="382">
        <f t="shared" si="150"/>
        <v>-1</v>
      </c>
      <c r="BL65" s="382">
        <f t="shared" si="151"/>
        <v>-1</v>
      </c>
      <c r="BM65" s="382">
        <f t="shared" si="152"/>
        <v>-1</v>
      </c>
      <c r="BN65" s="382">
        <f t="shared" si="153"/>
        <v>-1</v>
      </c>
      <c r="BO65" s="369"/>
      <c r="BP65" s="383">
        <f>'Price Adjustments'!$D$90</f>
        <v>-6.8529657693413348E-2</v>
      </c>
      <c r="BQ65" s="384">
        <f t="shared" si="154"/>
        <v>0</v>
      </c>
      <c r="BR65" s="384">
        <f t="shared" si="155"/>
        <v>0</v>
      </c>
      <c r="BS65" s="384">
        <f t="shared" si="156"/>
        <v>0</v>
      </c>
      <c r="BT65" s="384">
        <f t="shared" si="157"/>
        <v>0</v>
      </c>
      <c r="BU65" s="369"/>
      <c r="BV65" s="385" t="str">
        <f>IF(COUNTIF('Manual adjustments'!$A:$A,A65)=1,"Y",IF(COUNTIF(#REF!,A65)=1,"BPT",""))</f>
        <v>Y</v>
      </c>
      <c r="BW65" s="384">
        <f>IF($BV65="",BQ65,IF(AND($BV65="BPT",IFERROR(ISNUMBER(VLOOKUP($A65,#REF!,3,FALSE)),FALSE)),VLOOKUP($A65,#REF!,3,FALSE),IF(AND($BV65="Y",IFERROR(ISNUMBER(VLOOKUP($A65,'Manual adjustments'!$A:$O,12,FALSE)),FALSE)),VLOOKUP($A65,'Manual adjustments'!$A:$O,12,FALSE),BQ65)))</f>
        <v>0</v>
      </c>
      <c r="BX65" s="384">
        <f>IF($BV65="",BR65,IF(AND($BV65="BPT",IFERROR(ISNUMBER(VLOOKUP($A65,#REF!,4,FALSE)),FALSE)),VLOOKUP($A65,#REF!,4,FALSE),IF(AND($BV65="Y",IFERROR(ISNUMBER(VLOOKUP($A65,'Manual adjustments'!$A:$O,13,FALSE)),FALSE)),VLOOKUP($A65,'Manual adjustments'!$A:$O,13,FALSE),BR65)))</f>
        <v>0</v>
      </c>
      <c r="BY65" s="384">
        <f>IF($BV65="",BS65,IF(AND($BV65="BPT",IFERROR(ISNUMBER(VLOOKUP($A65,#REF!,5,FALSE)),FALSE)),VLOOKUP($A65,#REF!,5,FALSE),IF(AND($BV65="Y",IFERROR(ISNUMBER(VLOOKUP($A65,'Manual adjustments'!$A:$O,14,FALSE)),FALSE)),VLOOKUP($A65,'Manual adjustments'!$A:$O,14,FALSE),BS65)))</f>
        <v>0</v>
      </c>
      <c r="BZ65" s="384">
        <f>IF($BV65="",BT65,IF(AND($BV65="BPT",IFERROR(ISNUMBER(VLOOKUP($A65,#REF!,6,FALSE)),FALSE)),VLOOKUP($A65,#REF!,6,FALSE),IF(AND($BV65="Y",IFERROR(ISNUMBER(VLOOKUP($A65,'Manual adjustments'!$A:$O,15,FALSE)),FALSE)),VLOOKUP($A65,'Manual adjustments'!$A:$O,15,FALSE),BT65)))</f>
        <v>0</v>
      </c>
      <c r="CA65" s="386">
        <f>'Post manual recon'!$N$70</f>
        <v>0</v>
      </c>
      <c r="CB65" s="384">
        <f>IF(VLOOKUP($A65,'Post manual recon'!$A:$U,18,FALSE)=0,BW65,BW65*(1+$CA65))</f>
        <v>0</v>
      </c>
      <c r="CC65" s="384">
        <f>IF(VLOOKUP($A65,'Post manual recon'!$A:$U,19,FALSE)=0,BX65,BX65*(1+$CA65))</f>
        <v>0</v>
      </c>
      <c r="CD65" s="384">
        <f>IF(VLOOKUP($A65,'Post manual recon'!$A:$U,20,FALSE)=0,BY65,BY65*(1+$CA65))</f>
        <v>0</v>
      </c>
      <c r="CE65" s="384">
        <f>IF(VLOOKUP($A65,'Post manual recon'!$A:$U,21,FALSE)=0,BZ65,BZ65*(1+$CA65))</f>
        <v>0</v>
      </c>
      <c r="CF65" s="383">
        <f t="shared" si="35"/>
        <v>0</v>
      </c>
      <c r="CG65" s="383">
        <f t="shared" si="36"/>
        <v>0</v>
      </c>
      <c r="CH65" s="383">
        <f t="shared" si="37"/>
        <v>0</v>
      </c>
      <c r="CI65" s="383">
        <f t="shared" si="38"/>
        <v>0</v>
      </c>
      <c r="CJ65" s="369"/>
      <c r="CK65" s="383">
        <f>'Price Adjustments'!$F$6</f>
        <v>0</v>
      </c>
      <c r="CL65" s="384">
        <f t="shared" si="39"/>
        <v>0</v>
      </c>
      <c r="CM65" s="384">
        <f t="shared" si="40"/>
        <v>0</v>
      </c>
      <c r="CN65" s="384">
        <f t="shared" si="41"/>
        <v>0</v>
      </c>
      <c r="CO65" s="384">
        <f t="shared" si="42"/>
        <v>0</v>
      </c>
      <c r="CP65" s="369"/>
      <c r="CQ65" s="384">
        <f t="shared" si="43"/>
        <v>0</v>
      </c>
      <c r="CR65" s="384">
        <f t="shared" si="44"/>
        <v>0</v>
      </c>
      <c r="CS65" s="384">
        <f t="shared" si="45"/>
        <v>0</v>
      </c>
      <c r="CT65" s="384">
        <f t="shared" si="46"/>
        <v>0</v>
      </c>
    </row>
    <row r="66" spans="1:98" ht="13.5" thickBot="1"/>
    <row r="67" spans="1:98" ht="26.25" customHeight="1" thickBot="1">
      <c r="BC67" s="482" t="s">
        <v>1622</v>
      </c>
      <c r="BW67" s="484" t="s">
        <v>1622</v>
      </c>
    </row>
    <row r="68" spans="1:98" ht="13.5" thickBot="1">
      <c r="BC68" s="483">
        <f>+SUMPRODUCT(BC6:BC65,BG6:BG65)+SUMPRODUCT(BD6:BD65,BH6:BH65)+SUMPRODUCT(BE6:BE65,BI6:BI65)+SUMPRODUCT(BF6:BF65,BJ6:BJ65)</f>
        <v>4825031614.2286701</v>
      </c>
      <c r="BW68" s="485">
        <f>+SUMPRODUCT(BW6:BW65,BG6:BG65)+SUMPRODUCT(BX6:BX65,BH6:BH65)+SUMPRODUCT(BY6:BY65,BI6:BI65)+SUMPRODUCT(BZ6:BZ65,BJ6:BJ65)</f>
        <v>4494373849.3456802</v>
      </c>
    </row>
    <row r="69" spans="1:98">
      <c r="C69" s="301"/>
    </row>
    <row r="71" spans="1:98">
      <c r="C71" s="301"/>
      <c r="D71" s="301"/>
      <c r="E71" s="301"/>
      <c r="F71" s="301"/>
    </row>
    <row r="72" spans="1:98">
      <c r="C72" s="301"/>
      <c r="D72" s="301"/>
      <c r="E72" s="301"/>
      <c r="F72" s="301"/>
    </row>
    <row r="73" spans="1:98">
      <c r="C73" s="301"/>
      <c r="D73" s="301"/>
      <c r="E73" s="301"/>
      <c r="F73" s="301"/>
    </row>
  </sheetData>
  <autoFilter ref="A5:CT5"/>
  <mergeCells count="38">
    <mergeCell ref="AD3:AG4"/>
    <mergeCell ref="CF4:CI4"/>
    <mergeCell ref="CA4:CE4"/>
    <mergeCell ref="CA2:CI2"/>
    <mergeCell ref="C3:F3"/>
    <mergeCell ref="L3:O3"/>
    <mergeCell ref="AS3:AW3"/>
    <mergeCell ref="C2:F2"/>
    <mergeCell ref="H2:O2"/>
    <mergeCell ref="AI2:AW2"/>
    <mergeCell ref="AI3:AR3"/>
    <mergeCell ref="Q2:X2"/>
    <mergeCell ref="Z2:AG2"/>
    <mergeCell ref="H3:K3"/>
    <mergeCell ref="Q3:T3"/>
    <mergeCell ref="U3:X3"/>
    <mergeCell ref="Z3:AC3"/>
    <mergeCell ref="BP2:BT2"/>
    <mergeCell ref="BP4:BT4"/>
    <mergeCell ref="BP3:BT3"/>
    <mergeCell ref="BV4:BZ4"/>
    <mergeCell ref="BV2:BZ2"/>
    <mergeCell ref="BV3:BZ3"/>
    <mergeCell ref="AY2:BN2"/>
    <mergeCell ref="AI4:AN4"/>
    <mergeCell ref="AO4:AR4"/>
    <mergeCell ref="AS4:AW4"/>
    <mergeCell ref="BK4:BN4"/>
    <mergeCell ref="AY3:BN3"/>
    <mergeCell ref="BC4:BF4"/>
    <mergeCell ref="AY4:BB4"/>
    <mergeCell ref="BG4:BJ4"/>
    <mergeCell ref="CK2:CO2"/>
    <mergeCell ref="CK4:CO4"/>
    <mergeCell ref="CK3:CO3"/>
    <mergeCell ref="CQ2:CT2"/>
    <mergeCell ref="CQ3:CT3"/>
    <mergeCell ref="CQ4:CT4"/>
  </mergeCells>
  <hyperlinks>
    <hyperlink ref="A2" location="Navigation!A1" display="Home"/>
  </hyperlinks>
  <pageMargins left="0.70866141732283472" right="0.70866141732283472" top="0.74803149606299213" bottom="0.74803149606299213" header="0.31496062992125984" footer="0.31496062992125984"/>
  <pageSetup paperSize="9" orientation="portrait" cellComments="atEnd"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X70"/>
  <sheetViews>
    <sheetView workbookViewId="0"/>
  </sheetViews>
  <sheetFormatPr defaultColWidth="9.140625" defaultRowHeight="11.25"/>
  <cols>
    <col min="1" max="1" width="8.42578125" style="13" customWidth="1"/>
    <col min="2" max="2" width="26" style="13" customWidth="1"/>
    <col min="3" max="3" width="12.85546875" style="13" customWidth="1"/>
    <col min="4" max="6" width="10.7109375" style="13" customWidth="1"/>
    <col min="7" max="10" width="13.140625" style="13" bestFit="1" customWidth="1"/>
    <col min="11" max="11" width="9.140625" style="13"/>
    <col min="12" max="12" width="8.42578125" style="13" customWidth="1"/>
    <col min="13" max="13" width="25.85546875" style="13" customWidth="1"/>
    <col min="14" max="14" width="12.85546875" style="13" customWidth="1"/>
    <col min="15" max="17" width="10.7109375" style="13" customWidth="1"/>
    <col min="18" max="18" width="9.140625" style="13"/>
    <col min="19" max="19" width="8.42578125" style="13" customWidth="1"/>
    <col min="20" max="20" width="25.85546875" style="13" customWidth="1"/>
    <col min="21" max="21" width="12.85546875" style="13" customWidth="1"/>
    <col min="22" max="24" width="10.7109375" style="13" customWidth="1"/>
    <col min="25" max="16384" width="9.140625" style="13"/>
  </cols>
  <sheetData>
    <row r="1" spans="1:24" s="262" customFormat="1" ht="12.75" customHeight="1">
      <c r="A1" s="261" t="s">
        <v>600</v>
      </c>
      <c r="L1" s="261" t="s">
        <v>1123</v>
      </c>
      <c r="S1" s="261" t="s">
        <v>1124</v>
      </c>
    </row>
    <row r="2" spans="1:24" ht="11.25" customHeight="1" thickBot="1">
      <c r="A2" s="141" t="s">
        <v>545</v>
      </c>
      <c r="L2" s="263"/>
      <c r="S2" s="263"/>
    </row>
    <row r="3" spans="1:24" ht="12" customHeight="1" thickBot="1">
      <c r="C3" s="653" t="s">
        <v>49</v>
      </c>
      <c r="D3" s="654"/>
      <c r="E3" s="654"/>
      <c r="F3" s="654"/>
      <c r="G3" s="654"/>
      <c r="H3" s="654"/>
      <c r="I3" s="654"/>
      <c r="J3" s="655"/>
    </row>
    <row r="4" spans="1:24" ht="57" thickBot="1">
      <c r="A4" s="31" t="s">
        <v>50</v>
      </c>
      <c r="B4" s="33" t="s">
        <v>51</v>
      </c>
      <c r="C4" s="31" t="s">
        <v>52</v>
      </c>
      <c r="D4" s="32" t="s">
        <v>53</v>
      </c>
      <c r="E4" s="32" t="s">
        <v>54</v>
      </c>
      <c r="F4" s="33" t="s">
        <v>55</v>
      </c>
      <c r="G4" s="31" t="s">
        <v>449</v>
      </c>
      <c r="H4" s="32" t="s">
        <v>450</v>
      </c>
      <c r="I4" s="32" t="s">
        <v>451</v>
      </c>
      <c r="J4" s="33" t="s">
        <v>452</v>
      </c>
      <c r="L4" s="31" t="s">
        <v>50</v>
      </c>
      <c r="M4" s="33" t="s">
        <v>51</v>
      </c>
      <c r="N4" s="31" t="s">
        <v>52</v>
      </c>
      <c r="O4" s="32" t="s">
        <v>53</v>
      </c>
      <c r="P4" s="32" t="s">
        <v>54</v>
      </c>
      <c r="Q4" s="33" t="s">
        <v>55</v>
      </c>
      <c r="S4" s="31" t="s">
        <v>50</v>
      </c>
      <c r="T4" s="33" t="s">
        <v>51</v>
      </c>
      <c r="U4" s="31" t="s">
        <v>52</v>
      </c>
      <c r="V4" s="32" t="s">
        <v>53</v>
      </c>
      <c r="W4" s="32" t="s">
        <v>54</v>
      </c>
      <c r="X4" s="33" t="s">
        <v>55</v>
      </c>
    </row>
    <row r="5" spans="1:24">
      <c r="A5" s="264">
        <f>Mandatory!A3</f>
        <v>100</v>
      </c>
      <c r="B5" s="265" t="str">
        <f>INDEX('201314 RC list'!B:B,MATCH(A5,'201314 RC list'!A:A,0))</f>
        <v>General Surgery</v>
      </c>
      <c r="C5" s="266">
        <f>VLOOKUP($A5,PRICES!$A:$CT,90,FALSE)</f>
        <v>137.65403054037597</v>
      </c>
      <c r="D5" s="267">
        <f>VLOOKUP($A5,PRICES!$A:$CT,91,FALSE)</f>
        <v>171.32716248991088</v>
      </c>
      <c r="E5" s="267">
        <f>VLOOKUP($A5,PRICES!$A:$CT,92,FALSE)</f>
        <v>84.299600346291157</v>
      </c>
      <c r="F5" s="265">
        <f>VLOOKUP($A5,PRICES!$A:$CT,93,FALSE)</f>
        <v>130.35318110510772</v>
      </c>
      <c r="G5" s="553" t="str">
        <f>IF(VLOOKUP($A5,PRICES!$A:$CT,80,FALSE)=VLOOKUP($A5,PRICES!$A:$CT,75,FALSE),"Modelled","Manually adjusted")</f>
        <v>Modelled</v>
      </c>
      <c r="H5" s="554" t="str">
        <f>IF(VLOOKUP($A5,PRICES!$A:$CT,81,FALSE)=VLOOKUP($A5,PRICES!$A:$CT,76,FALSE),"Modelled","Manually adjusted")</f>
        <v>Modelled</v>
      </c>
      <c r="I5" s="554" t="str">
        <f>IF(VLOOKUP($A5,PRICES!$A:$CT,82,FALSE)=VLOOKUP($A5,PRICES!$A:$CT,77,FALSE),"Modelled","Manually adjusted")</f>
        <v>Modelled</v>
      </c>
      <c r="J5" s="554" t="str">
        <f>IF(VLOOKUP($A5,PRICES!$A:$CT,83,FALSE)=VLOOKUP($A5,PRICES!$A:$CT,78,FALSE),"Modelled","Manually adjusted")</f>
        <v>Modelled</v>
      </c>
      <c r="K5" s="555"/>
      <c r="L5" s="264">
        <f>A5</f>
        <v>100</v>
      </c>
      <c r="M5" s="265" t="str">
        <f>B5</f>
        <v>General Surgery</v>
      </c>
      <c r="N5" s="266">
        <f>IF(ISERROR(VLOOKUP($L5,'15-16 tariff'!$A:$F,3,FALSE)),"-",VLOOKUP($L5,'15-16 tariff'!$A:$F,3,FALSE))</f>
        <v>142.13721259790117</v>
      </c>
      <c r="O5" s="267">
        <f>IF(ISERROR(VLOOKUP($L5,'15-16 tariff'!$A:$F,4,FALSE)),"-",VLOOKUP($L5,'15-16 tariff'!$A:$F,4,FALSE))</f>
        <v>221.25579263013145</v>
      </c>
      <c r="P5" s="267">
        <f>IF(ISERROR(VLOOKUP($L5,'15-16 tariff'!$A:$F,5,FALSE)),"-",VLOOKUP($L5,'15-16 tariff'!$A:$F,5,FALSE))</f>
        <v>87.262244578609668</v>
      </c>
      <c r="Q5" s="265">
        <f>IF(ISERROR(VLOOKUP($L5,'15-16 tariff'!$A:$F,6,FALSE)),"-",VLOOKUP($L5,'15-16 tariff'!$A:$F,6,FALSE))</f>
        <v>126.84477526724348</v>
      </c>
      <c r="S5" s="264">
        <f>A5</f>
        <v>100</v>
      </c>
      <c r="T5" s="265" t="str">
        <f>M5</f>
        <v>General Surgery</v>
      </c>
      <c r="U5" s="268">
        <f>IFERROR(C5/N5-1,"")</f>
        <v>-3.1541226787722976E-2</v>
      </c>
      <c r="V5" s="269">
        <f>IFERROR(D5/O5-1,"")</f>
        <v>-0.22566021683186033</v>
      </c>
      <c r="W5" s="269">
        <f>IFERROR(E5/P5-1,"")</f>
        <v>-3.395104316448827E-2</v>
      </c>
      <c r="X5" s="270">
        <f>IFERROR(F5/Q5-1,"")</f>
        <v>2.7659048868765357E-2</v>
      </c>
    </row>
    <row r="6" spans="1:24">
      <c r="A6" s="271">
        <f>Mandatory!A4</f>
        <v>101</v>
      </c>
      <c r="B6" s="272" t="str">
        <f>INDEX('201314 RC list'!B:B,MATCH(A6,'201314 RC list'!A:A,0))</f>
        <v>Urology</v>
      </c>
      <c r="C6" s="273">
        <f>VLOOKUP($A6,PRICES!$A:$CT,90,FALSE)</f>
        <v>113.5602240150768</v>
      </c>
      <c r="D6" s="274">
        <f>VLOOKUP($A6,PRICES!$A:$CT,91,FALSE)</f>
        <v>179.2280126861549</v>
      </c>
      <c r="E6" s="274">
        <f>VLOOKUP($A6,PRICES!$A:$CT,92,FALSE)</f>
        <v>69.712743857061653</v>
      </c>
      <c r="F6" s="272">
        <f>VLOOKUP($A6,PRICES!$A:$CT,93,FALSE)</f>
        <v>112.72405176857377</v>
      </c>
      <c r="G6" s="255" t="str">
        <f>IF(VLOOKUP($A6,PRICES!$A:$CT,80,FALSE)=VLOOKUP($A6,PRICES!$A:$CT,75,FALSE),"Modelled","Manually adjusted")</f>
        <v>Modelled</v>
      </c>
      <c r="H6" s="256" t="str">
        <f>IF(VLOOKUP($A6,PRICES!$A:$CT,81,FALSE)=VLOOKUP($A6,PRICES!$A:$CT,76,FALSE),"Modelled","Manually adjusted")</f>
        <v>Modelled</v>
      </c>
      <c r="I6" s="256" t="str">
        <f>IF(VLOOKUP($A6,PRICES!$A:$CT,82,FALSE)=VLOOKUP($A6,PRICES!$A:$CT,77,FALSE),"Modelled","Manually adjusted")</f>
        <v>Modelled</v>
      </c>
      <c r="J6" s="257" t="str">
        <f>IF(VLOOKUP($A6,PRICES!$A:$CT,83,FALSE)=VLOOKUP($A6,PRICES!$A:$CT,78,FALSE),"Modelled","Manually adjusted")</f>
        <v>Modelled</v>
      </c>
      <c r="L6" s="271">
        <f t="shared" ref="L6:L64" si="0">A6</f>
        <v>101</v>
      </c>
      <c r="M6" s="272" t="str">
        <f t="shared" ref="M6:M64" si="1">B6</f>
        <v>Urology</v>
      </c>
      <c r="N6" s="273">
        <f>IF(ISERROR(VLOOKUP($L6,'15-16 tariff'!$A:$F,3,FALSE)),"-",VLOOKUP($L6,'15-16 tariff'!$A:$F,3,FALSE))</f>
        <v>131.00911897744473</v>
      </c>
      <c r="O6" s="274">
        <f>IF(ISERROR(VLOOKUP($L6,'15-16 tariff'!$A:$F,4,FALSE)),"-",VLOOKUP($L6,'15-16 tariff'!$A:$F,4,FALSE))</f>
        <v>200.76404429671214</v>
      </c>
      <c r="P6" s="274">
        <f>IF(ISERROR(VLOOKUP($L6,'15-16 tariff'!$A:$F,5,FALSE)),"-",VLOOKUP($L6,'15-16 tariff'!$A:$F,5,FALSE))</f>
        <v>74.736332523606606</v>
      </c>
      <c r="Q6" s="272">
        <f>IF(ISERROR(VLOOKUP($L6,'15-16 tariff'!$A:$F,6,FALSE)),"-",VLOOKUP($L6,'15-16 tariff'!$A:$F,6,FALSE))</f>
        <v>103.93260220729132</v>
      </c>
      <c r="S6" s="271">
        <f t="shared" ref="S6:S64" si="2">A6</f>
        <v>101</v>
      </c>
      <c r="T6" s="272" t="str">
        <f t="shared" ref="T6:T64" si="3">M6</f>
        <v>Urology</v>
      </c>
      <c r="U6" s="275">
        <f t="shared" ref="U6:U64" si="4">IFERROR(C6/N6-1,"")</f>
        <v>-0.13318840015535127</v>
      </c>
      <c r="V6" s="276">
        <f t="shared" ref="V6:V64" si="5">IFERROR(D6/O6-1,"")</f>
        <v>-0.10727036151318425</v>
      </c>
      <c r="W6" s="276">
        <f t="shared" ref="W6:W64" si="6">IFERROR(E6/P6-1,"")</f>
        <v>-6.7217489765880267E-2</v>
      </c>
      <c r="X6" s="277">
        <f t="shared" ref="X6:X64" si="7">IFERROR(F6/Q6-1,"")</f>
        <v>8.4587986585269004E-2</v>
      </c>
    </row>
    <row r="7" spans="1:24">
      <c r="A7" s="271">
        <f>Mandatory!A5</f>
        <v>103</v>
      </c>
      <c r="B7" s="272" t="str">
        <f>INDEX('201314 RC list'!B:B,MATCH(A7,'201314 RC list'!A:A,0))</f>
        <v>Breast Surgery</v>
      </c>
      <c r="C7" s="273">
        <f>VLOOKUP($A7,PRICES!$A:$CT,90,FALSE)</f>
        <v>152.5277344334134</v>
      </c>
      <c r="D7" s="274">
        <f>VLOOKUP($A7,PRICES!$A:$CT,91,FALSE)</f>
        <v>163.88147003290931</v>
      </c>
      <c r="E7" s="274">
        <f>VLOOKUP($A7,PRICES!$A:$CT,92,FALSE)</f>
        <v>89.265338148243842</v>
      </c>
      <c r="F7" s="272">
        <f>VLOOKUP($A7,PRICES!$A:$CT,93,FALSE)</f>
        <v>108.4500475401785</v>
      </c>
      <c r="G7" s="255" t="str">
        <f>IF(VLOOKUP($A7,PRICES!$A:$CT,80,FALSE)=VLOOKUP($A7,PRICES!$A:$CT,75,FALSE),"Modelled","Manually adjusted")</f>
        <v>Modelled</v>
      </c>
      <c r="H7" s="256" t="str">
        <f>IF(VLOOKUP($A7,PRICES!$A:$CT,81,FALSE)=VLOOKUP($A7,PRICES!$A:$CT,76,FALSE),"Modelled","Manually adjusted")</f>
        <v>Modelled</v>
      </c>
      <c r="I7" s="256" t="str">
        <f>IF(VLOOKUP($A7,PRICES!$A:$CT,82,FALSE)=VLOOKUP($A7,PRICES!$A:$CT,77,FALSE),"Modelled","Manually adjusted")</f>
        <v>Modelled</v>
      </c>
      <c r="J7" s="257" t="str">
        <f>IF(VLOOKUP($A7,PRICES!$A:$CT,83,FALSE)=VLOOKUP($A7,PRICES!$A:$CT,78,FALSE),"Modelled","Manually adjusted")</f>
        <v>Modelled</v>
      </c>
      <c r="L7" s="271">
        <f t="shared" si="0"/>
        <v>103</v>
      </c>
      <c r="M7" s="272" t="str">
        <f t="shared" si="1"/>
        <v>Breast Surgery</v>
      </c>
      <c r="N7" s="273">
        <f>IF(ISERROR(VLOOKUP($L7,'15-16 tariff'!$A:$F,3,FALSE)),"-",VLOOKUP($L7,'15-16 tariff'!$A:$F,3,FALSE))</f>
        <v>165.54197211409431</v>
      </c>
      <c r="O7" s="274">
        <f>IF(ISERROR(VLOOKUP($L7,'15-16 tariff'!$A:$F,4,FALSE)),"-",VLOOKUP($L7,'15-16 tariff'!$A:$F,4,FALSE))</f>
        <v>165.54197211409431</v>
      </c>
      <c r="P7" s="274">
        <f>IF(ISERROR(VLOOKUP($L7,'15-16 tariff'!$A:$F,5,FALSE)),"-",VLOOKUP($L7,'15-16 tariff'!$A:$F,5,FALSE))</f>
        <v>94.853729439538526</v>
      </c>
      <c r="Q7" s="272">
        <f>IF(ISERROR(VLOOKUP($L7,'15-16 tariff'!$A:$F,6,FALSE)),"-",VLOOKUP($L7,'15-16 tariff'!$A:$F,6,FALSE))</f>
        <v>94.853729439538526</v>
      </c>
      <c r="S7" s="271">
        <f t="shared" si="2"/>
        <v>103</v>
      </c>
      <c r="T7" s="272" t="str">
        <f t="shared" si="3"/>
        <v>Breast Surgery</v>
      </c>
      <c r="U7" s="275">
        <f t="shared" si="4"/>
        <v>-7.8615939598153828E-2</v>
      </c>
      <c r="V7" s="276">
        <f t="shared" si="5"/>
        <v>-1.003070133803019E-2</v>
      </c>
      <c r="W7" s="276">
        <f t="shared" si="6"/>
        <v>-5.8915883690760174E-2</v>
      </c>
      <c r="X7" s="277">
        <f t="shared" si="7"/>
        <v>0.14333983683062779</v>
      </c>
    </row>
    <row r="8" spans="1:24">
      <c r="A8" s="271">
        <f>Mandatory!A6</f>
        <v>104</v>
      </c>
      <c r="B8" s="272" t="str">
        <f>INDEX('201314 RC list'!B:B,MATCH(A8,'201314 RC list'!A:A,0))</f>
        <v>Colorectal Surgery</v>
      </c>
      <c r="C8" s="273">
        <f>VLOOKUP($A8,PRICES!$A:$CT,90,FALSE)</f>
        <v>119.28310636873965</v>
      </c>
      <c r="D8" s="274">
        <f>VLOOKUP($A8,PRICES!$A:$CT,91,FALSE)</f>
        <v>219.46503432853004</v>
      </c>
      <c r="E8" s="274">
        <f>VLOOKUP($A8,PRICES!$A:$CT,92,FALSE)</f>
        <v>80.343757145115475</v>
      </c>
      <c r="F8" s="272">
        <f>VLOOKUP($A8,PRICES!$A:$CT,93,FALSE)</f>
        <v>160.68751429023095</v>
      </c>
      <c r="G8" s="255" t="str">
        <f>IF(VLOOKUP($A8,PRICES!$A:$CT,80,FALSE)=VLOOKUP($A8,PRICES!$A:$CT,75,FALSE),"Modelled","Manually adjusted")</f>
        <v>Modelled</v>
      </c>
      <c r="H8" s="256" t="str">
        <f>IF(VLOOKUP($A8,PRICES!$A:$CT,81,FALSE)=VLOOKUP($A8,PRICES!$A:$CT,76,FALSE),"Modelled","Manually adjusted")</f>
        <v>Modelled</v>
      </c>
      <c r="I8" s="256" t="str">
        <f>IF(VLOOKUP($A8,PRICES!$A:$CT,82,FALSE)=VLOOKUP($A8,PRICES!$A:$CT,77,FALSE),"Modelled","Manually adjusted")</f>
        <v>Modelled</v>
      </c>
      <c r="J8" s="257" t="str">
        <f>IF(VLOOKUP($A8,PRICES!$A:$CT,83,FALSE)=VLOOKUP($A8,PRICES!$A:$CT,78,FALSE),"Modelled","Manually adjusted")</f>
        <v>Modelled</v>
      </c>
      <c r="L8" s="271">
        <f t="shared" si="0"/>
        <v>104</v>
      </c>
      <c r="M8" s="272" t="str">
        <f t="shared" si="1"/>
        <v>Colorectal Surgery</v>
      </c>
      <c r="N8" s="273">
        <f>IF(ISERROR(VLOOKUP($L8,'15-16 tariff'!$A:$F,3,FALSE)),"-",VLOOKUP($L8,'15-16 tariff'!$A:$F,3,FALSE))</f>
        <v>119.13122995459804</v>
      </c>
      <c r="O8" s="274">
        <f>IF(ISERROR(VLOOKUP($L8,'15-16 tariff'!$A:$F,4,FALSE)),"-",VLOOKUP($L8,'15-16 tariff'!$A:$F,4,FALSE))</f>
        <v>127.40909014730801</v>
      </c>
      <c r="P8" s="274">
        <f>IF(ISERROR(VLOOKUP($L8,'15-16 tariff'!$A:$F,5,FALSE)),"-",VLOOKUP($L8,'15-16 tariff'!$A:$F,5,FALSE))</f>
        <v>74.31427968125513</v>
      </c>
      <c r="Q8" s="272">
        <f>IF(ISERROR(VLOOKUP($L8,'15-16 tariff'!$A:$F,6,FALSE)),"-",VLOOKUP($L8,'15-16 tariff'!$A:$F,6,FALSE))</f>
        <v>100.27517215378803</v>
      </c>
      <c r="S8" s="271">
        <f t="shared" si="2"/>
        <v>104</v>
      </c>
      <c r="T8" s="272" t="str">
        <f t="shared" si="3"/>
        <v>Colorectal Surgery</v>
      </c>
      <c r="U8" s="275">
        <f t="shared" si="4"/>
        <v>1.2748664997372927E-3</v>
      </c>
      <c r="V8" s="276">
        <f t="shared" si="5"/>
        <v>0.72252257727285141</v>
      </c>
      <c r="W8" s="276">
        <f t="shared" si="6"/>
        <v>8.1134843662909129E-2</v>
      </c>
      <c r="X8" s="277">
        <f t="shared" si="7"/>
        <v>0.60246560378665737</v>
      </c>
    </row>
    <row r="9" spans="1:24">
      <c r="A9" s="271">
        <f>Mandatory!A7</f>
        <v>105</v>
      </c>
      <c r="B9" s="272" t="str">
        <f>INDEX('201314 RC list'!B:B,MATCH(A9,'201314 RC list'!A:A,0))</f>
        <v>Hepatobiliary &amp; Pancreatic Surgery</v>
      </c>
      <c r="C9" s="273">
        <f>VLOOKUP($A9,PRICES!$A:$CT,90,FALSE)</f>
        <v>158.34815904926745</v>
      </c>
      <c r="D9" s="274">
        <f>VLOOKUP($A9,PRICES!$A:$CT,91,FALSE)</f>
        <v>233.89364027657237</v>
      </c>
      <c r="E9" s="274">
        <f>VLOOKUP($A9,PRICES!$A:$CT,92,FALSE)</f>
        <v>106.60115119204995</v>
      </c>
      <c r="F9" s="272">
        <f>VLOOKUP($A9,PRICES!$A:$CT,93,FALSE)</f>
        <v>164.51488655310146</v>
      </c>
      <c r="G9" s="255" t="str">
        <f>IF(VLOOKUP($A9,PRICES!$A:$CT,80,FALSE)=VLOOKUP($A9,PRICES!$A:$CT,75,FALSE),"Modelled","Manually adjusted")</f>
        <v>Modelled</v>
      </c>
      <c r="H9" s="256" t="str">
        <f>IF(VLOOKUP($A9,PRICES!$A:$CT,81,FALSE)=VLOOKUP($A9,PRICES!$A:$CT,76,FALSE),"Modelled","Manually adjusted")</f>
        <v>Modelled</v>
      </c>
      <c r="I9" s="256" t="str">
        <f>IF(VLOOKUP($A9,PRICES!$A:$CT,82,FALSE)=VLOOKUP($A9,PRICES!$A:$CT,77,FALSE),"Modelled","Manually adjusted")</f>
        <v>Modelled</v>
      </c>
      <c r="J9" s="257" t="str">
        <f>IF(VLOOKUP($A9,PRICES!$A:$CT,83,FALSE)=VLOOKUP($A9,PRICES!$A:$CT,78,FALSE),"Modelled","Manually adjusted")</f>
        <v>Modelled</v>
      </c>
      <c r="L9" s="271">
        <f t="shared" si="0"/>
        <v>105</v>
      </c>
      <c r="M9" s="272" t="str">
        <f t="shared" si="1"/>
        <v>Hepatobiliary &amp; Pancreatic Surgery</v>
      </c>
      <c r="N9" s="273">
        <f>IF(ISERROR(VLOOKUP($L9,'15-16 tariff'!$A:$F,3,FALSE)),"-",VLOOKUP($L9,'15-16 tariff'!$A:$F,3,FALSE))</f>
        <v>184.94509598026326</v>
      </c>
      <c r="O9" s="274">
        <f>IF(ISERROR(VLOOKUP($L9,'15-16 tariff'!$A:$F,4,FALSE)),"-",VLOOKUP($L9,'15-16 tariff'!$A:$F,4,FALSE))</f>
        <v>205.40735742345004</v>
      </c>
      <c r="P9" s="274">
        <f>IF(ISERROR(VLOOKUP($L9,'15-16 tariff'!$A:$F,5,FALSE)),"-",VLOOKUP($L9,'15-16 tariff'!$A:$F,5,FALSE))</f>
        <v>118.60646743116072</v>
      </c>
      <c r="Q9" s="272">
        <f>IF(ISERROR(VLOOKUP($L9,'15-16 tariff'!$A:$F,6,FALSE)),"-",VLOOKUP($L9,'15-16 tariff'!$A:$F,6,FALSE))</f>
        <v>139.09334812496974</v>
      </c>
      <c r="S9" s="271">
        <f t="shared" si="2"/>
        <v>105</v>
      </c>
      <c r="T9" s="272" t="str">
        <f t="shared" si="3"/>
        <v>Hepatobiliary &amp; Pancreatic Surgery</v>
      </c>
      <c r="U9" s="275">
        <f t="shared" si="4"/>
        <v>-0.14380990634017221</v>
      </c>
      <c r="V9" s="276">
        <f t="shared" si="5"/>
        <v>0.13868190122517121</v>
      </c>
      <c r="W9" s="276">
        <f t="shared" si="6"/>
        <v>-0.1012197437384994</v>
      </c>
      <c r="X9" s="277">
        <f t="shared" si="7"/>
        <v>0.1827660256282817</v>
      </c>
    </row>
    <row r="10" spans="1:24">
      <c r="A10" s="271">
        <f>Mandatory!A8</f>
        <v>106</v>
      </c>
      <c r="B10" s="272" t="str">
        <f>INDEX('201314 RC list'!B:B,MATCH(A10,'201314 RC list'!A:A,0))</f>
        <v>Upper Gastrointestinal Surgery</v>
      </c>
      <c r="C10" s="273">
        <f>VLOOKUP($A10,PRICES!$A:$CT,90,FALSE)</f>
        <v>136.70959556771825</v>
      </c>
      <c r="D10" s="274">
        <f>VLOOKUP($A10,PRICES!$A:$CT,91,FALSE)</f>
        <v>225.2225048237016</v>
      </c>
      <c r="E10" s="274">
        <f>VLOOKUP($A10,PRICES!$A:$CT,92,FALSE)</f>
        <v>89.244587616768058</v>
      </c>
      <c r="F10" s="272">
        <f>VLOOKUP($A10,PRICES!$A:$CT,93,FALSE)</f>
        <v>126.15270071124384</v>
      </c>
      <c r="G10" s="255" t="str">
        <f>IF(VLOOKUP($A10,PRICES!$A:$CT,80,FALSE)=VLOOKUP($A10,PRICES!$A:$CT,75,FALSE),"Modelled","Manually adjusted")</f>
        <v>Modelled</v>
      </c>
      <c r="H10" s="256" t="str">
        <f>IF(VLOOKUP($A10,PRICES!$A:$CT,81,FALSE)=VLOOKUP($A10,PRICES!$A:$CT,76,FALSE),"Modelled","Manually adjusted")</f>
        <v>Modelled</v>
      </c>
      <c r="I10" s="256" t="str">
        <f>IF(VLOOKUP($A10,PRICES!$A:$CT,82,FALSE)=VLOOKUP($A10,PRICES!$A:$CT,77,FALSE),"Modelled","Manually adjusted")</f>
        <v>Modelled</v>
      </c>
      <c r="J10" s="257" t="str">
        <f>IF(VLOOKUP($A10,PRICES!$A:$CT,83,FALSE)=VLOOKUP($A10,PRICES!$A:$CT,78,FALSE),"Modelled","Manually adjusted")</f>
        <v>Modelled</v>
      </c>
      <c r="L10" s="271">
        <f t="shared" si="0"/>
        <v>106</v>
      </c>
      <c r="M10" s="272" t="str">
        <f t="shared" si="1"/>
        <v>Upper Gastrointestinal Surgery</v>
      </c>
      <c r="N10" s="273">
        <f>IF(ISERROR(VLOOKUP($L10,'15-16 tariff'!$A:$F,3,FALSE)),"-",VLOOKUP($L10,'15-16 tariff'!$A:$F,3,FALSE))</f>
        <v>112.05820421770494</v>
      </c>
      <c r="O10" s="274">
        <f>IF(ISERROR(VLOOKUP($L10,'15-16 tariff'!$A:$F,4,FALSE)),"-",VLOOKUP($L10,'15-16 tariff'!$A:$F,4,FALSE))</f>
        <v>142.53198958318177</v>
      </c>
      <c r="P10" s="274">
        <f>IF(ISERROR(VLOOKUP($L10,'15-16 tariff'!$A:$F,5,FALSE)),"-",VLOOKUP($L10,'15-16 tariff'!$A:$F,5,FALSE))</f>
        <v>79.894043135639947</v>
      </c>
      <c r="Q10" s="272">
        <f>IF(ISERROR(VLOOKUP($L10,'15-16 tariff'!$A:$F,6,FALSE)),"-",VLOOKUP($L10,'15-16 tariff'!$A:$F,6,FALSE))</f>
        <v>99.348685922667286</v>
      </c>
      <c r="S10" s="271">
        <f t="shared" si="2"/>
        <v>106</v>
      </c>
      <c r="T10" s="272" t="str">
        <f t="shared" si="3"/>
        <v>Upper Gastrointestinal Surgery</v>
      </c>
      <c r="U10" s="275">
        <f t="shared" si="4"/>
        <v>0.21998738532451378</v>
      </c>
      <c r="V10" s="276">
        <f t="shared" si="5"/>
        <v>0.58015407967249044</v>
      </c>
      <c r="W10" s="276">
        <f t="shared" si="6"/>
        <v>0.11703681669049137</v>
      </c>
      <c r="X10" s="277">
        <f t="shared" si="7"/>
        <v>0.26979737617708111</v>
      </c>
    </row>
    <row r="11" spans="1:24">
      <c r="A11" s="271">
        <f>Mandatory!A9</f>
        <v>107</v>
      </c>
      <c r="B11" s="272" t="str">
        <f>INDEX('201314 RC list'!B:B,MATCH(A11,'201314 RC list'!A:A,0))</f>
        <v>Vascular Surgery</v>
      </c>
      <c r="C11" s="278">
        <f>VLOOKUP($A11,PRICES!$A:$CT,90,FALSE)</f>
        <v>155.7736083522941</v>
      </c>
      <c r="D11" s="279">
        <f>VLOOKUP($A11,PRICES!$A:$CT,91,FALSE)</f>
        <v>243.42973284357078</v>
      </c>
      <c r="E11" s="279">
        <f>VLOOKUP($A11,PRICES!$A:$CT,92,FALSE)</f>
        <v>105.68520757061287</v>
      </c>
      <c r="F11" s="280">
        <f>VLOOKUP($A11,PRICES!$A:$CT,93,FALSE)</f>
        <v>170.81431822783577</v>
      </c>
      <c r="G11" s="255" t="str">
        <f>IF(VLOOKUP($A11,PRICES!$A:$CT,80,FALSE)=VLOOKUP($A11,PRICES!$A:$CT,75,FALSE),"Modelled","Manually adjusted")</f>
        <v>Modelled</v>
      </c>
      <c r="H11" s="256" t="str">
        <f>IF(VLOOKUP($A11,PRICES!$A:$CT,81,FALSE)=VLOOKUP($A11,PRICES!$A:$CT,76,FALSE),"Modelled","Manually adjusted")</f>
        <v>Modelled</v>
      </c>
      <c r="I11" s="256" t="str">
        <f>IF(VLOOKUP($A11,PRICES!$A:$CT,82,FALSE)=VLOOKUP($A11,PRICES!$A:$CT,77,FALSE),"Modelled","Manually adjusted")</f>
        <v>Modelled</v>
      </c>
      <c r="J11" s="257" t="str">
        <f>IF(VLOOKUP($A11,PRICES!$A:$CT,83,FALSE)=VLOOKUP($A11,PRICES!$A:$CT,78,FALSE),"Modelled","Manually adjusted")</f>
        <v>Modelled</v>
      </c>
      <c r="L11" s="271">
        <f t="shared" si="0"/>
        <v>107</v>
      </c>
      <c r="M11" s="272" t="str">
        <f t="shared" si="1"/>
        <v>Vascular Surgery</v>
      </c>
      <c r="N11" s="278">
        <f>IF(ISERROR(VLOOKUP($L11,'15-16 tariff'!$A:$F,3,FALSE)),"-",VLOOKUP($L11,'15-16 tariff'!$A:$F,3,FALSE))</f>
        <v>163.00387962312047</v>
      </c>
      <c r="O11" s="279">
        <f>IF(ISERROR(VLOOKUP($L11,'15-16 tariff'!$A:$F,4,FALSE)),"-",VLOOKUP($L11,'15-16 tariff'!$A:$F,4,FALSE))</f>
        <v>174.83448777067187</v>
      </c>
      <c r="P11" s="279">
        <f>IF(ISERROR(VLOOKUP($L11,'15-16 tariff'!$A:$F,5,FALSE)),"-",VLOOKUP($L11,'15-16 tariff'!$A:$F,5,FALSE))</f>
        <v>103.31191497615302</v>
      </c>
      <c r="Q11" s="280">
        <f>IF(ISERROR(VLOOKUP($L11,'15-16 tariff'!$A:$F,6,FALSE)),"-",VLOOKUP($L11,'15-16 tariff'!$A:$F,6,FALSE))</f>
        <v>117.99397029839876</v>
      </c>
      <c r="S11" s="271">
        <f t="shared" si="2"/>
        <v>107</v>
      </c>
      <c r="T11" s="272" t="str">
        <f t="shared" si="3"/>
        <v>Vascular Surgery</v>
      </c>
      <c r="U11" s="275">
        <f t="shared" si="4"/>
        <v>-4.4356436715146885E-2</v>
      </c>
      <c r="V11" s="276">
        <f t="shared" si="5"/>
        <v>0.39234390163841359</v>
      </c>
      <c r="W11" s="276">
        <f t="shared" si="6"/>
        <v>2.2972109219035142E-2</v>
      </c>
      <c r="X11" s="277">
        <f t="shared" si="7"/>
        <v>0.44765294189065696</v>
      </c>
    </row>
    <row r="12" spans="1:24">
      <c r="A12" s="271">
        <f>Mandatory!A10</f>
        <v>108</v>
      </c>
      <c r="B12" s="272" t="str">
        <f>INDEX('201314 RC list'!B:B,MATCH(A12,'201314 RC list'!A:A,0))</f>
        <v>Spinal Surgery Service</v>
      </c>
      <c r="C12" s="278">
        <f>VLOOKUP($A12,PRICES!$A:$CT,90,FALSE)</f>
        <v>166.72823004593124</v>
      </c>
      <c r="D12" s="279">
        <f>VLOOKUP($A12,PRICES!$A:$CT,91,FALSE)</f>
        <v>166.72823004593124</v>
      </c>
      <c r="E12" s="279">
        <f>VLOOKUP($A12,PRICES!$A:$CT,92,FALSE)</f>
        <v>103.0838930269433</v>
      </c>
      <c r="F12" s="280">
        <f>VLOOKUP($A12,PRICES!$A:$CT,93,FALSE)</f>
        <v>103.0838930269433</v>
      </c>
      <c r="G12" s="255" t="str">
        <f>IF(VLOOKUP($A12,PRICES!$A:$CT,80,FALSE)=VLOOKUP($A12,PRICES!$A:$CT,75,FALSE),"Modelled","Manually adjusted")</f>
        <v>Modelled</v>
      </c>
      <c r="H12" s="256" t="str">
        <f>IF(VLOOKUP($A12,PRICES!$A:$CT,81,FALSE)=VLOOKUP($A12,PRICES!$A:$CT,76,FALSE),"Modelled","Manually adjusted")</f>
        <v>Modelled</v>
      </c>
      <c r="I12" s="256" t="str">
        <f>IF(VLOOKUP($A12,PRICES!$A:$CT,82,FALSE)=VLOOKUP($A12,PRICES!$A:$CT,77,FALSE),"Modelled","Manually adjusted")</f>
        <v>Modelled</v>
      </c>
      <c r="J12" s="257" t="str">
        <f>IF(VLOOKUP($A12,PRICES!$A:$CT,83,FALSE)=VLOOKUP($A12,PRICES!$A:$CT,78,FALSE),"Modelled","Manually adjusted")</f>
        <v>Modelled</v>
      </c>
      <c r="L12" s="271">
        <f t="shared" si="0"/>
        <v>108</v>
      </c>
      <c r="M12" s="272" t="str">
        <f t="shared" si="1"/>
        <v>Spinal Surgery Service</v>
      </c>
      <c r="N12" s="278">
        <f>IF(ISERROR(VLOOKUP($L12,'15-16 tariff'!$A:$F,3,FALSE)),"-",VLOOKUP($L12,'15-16 tariff'!$A:$F,3,FALSE))</f>
        <v>159.805945687964</v>
      </c>
      <c r="O12" s="279">
        <f>IF(ISERROR(VLOOKUP($L12,'15-16 tariff'!$A:$F,4,FALSE)),"-",VLOOKUP($L12,'15-16 tariff'!$A:$F,4,FALSE))</f>
        <v>159.805945687964</v>
      </c>
      <c r="P12" s="279">
        <f>IF(ISERROR(VLOOKUP($L12,'15-16 tariff'!$A:$F,5,FALSE)),"-",VLOOKUP($L12,'15-16 tariff'!$A:$F,5,FALSE))</f>
        <v>97.273184331804174</v>
      </c>
      <c r="Q12" s="280">
        <f>IF(ISERROR(VLOOKUP($L12,'15-16 tariff'!$A:$F,6,FALSE)),"-",VLOOKUP($L12,'15-16 tariff'!$A:$F,6,FALSE))</f>
        <v>97.273184331804174</v>
      </c>
      <c r="S12" s="271">
        <f t="shared" si="2"/>
        <v>108</v>
      </c>
      <c r="T12" s="272" t="str">
        <f t="shared" si="3"/>
        <v>Spinal Surgery Service</v>
      </c>
      <c r="U12" s="275">
        <f t="shared" si="4"/>
        <v>4.3316813577660263E-2</v>
      </c>
      <c r="V12" s="276">
        <f t="shared" si="5"/>
        <v>4.3316813577660263E-2</v>
      </c>
      <c r="W12" s="276">
        <f t="shared" si="6"/>
        <v>5.9735976929864654E-2</v>
      </c>
      <c r="X12" s="277">
        <f t="shared" si="7"/>
        <v>5.9735976929864654E-2</v>
      </c>
    </row>
    <row r="13" spans="1:24">
      <c r="A13" s="271">
        <f>Mandatory!A11</f>
        <v>110</v>
      </c>
      <c r="B13" s="272" t="str">
        <f>INDEX('201314 RC list'!B:B,MATCH(A13,'201314 RC list'!A:A,0))</f>
        <v>Trauma &amp; Orthopaedics</v>
      </c>
      <c r="C13" s="273">
        <f>VLOOKUP($A13,PRICES!$A:$CT,90,FALSE)</f>
        <v>126.06545864241775</v>
      </c>
      <c r="D13" s="274">
        <f>VLOOKUP($A13,PRICES!$A:$CT,91,FALSE)</f>
        <v>135.3918246038883</v>
      </c>
      <c r="E13" s="274">
        <f>VLOOKUP($A13,PRICES!$A:$CT,92,FALSE)</f>
        <v>79.285631123580103</v>
      </c>
      <c r="F13" s="272">
        <f>VLOOKUP($A13,PRICES!$A:$CT,93,FALSE)</f>
        <v>83.625035998850521</v>
      </c>
      <c r="G13" s="255" t="str">
        <f>IF(VLOOKUP($A13,PRICES!$A:$CT,80,FALSE)=VLOOKUP($A13,PRICES!$A:$CT,75,FALSE),"Modelled","Manually adjusted")</f>
        <v>Modelled</v>
      </c>
      <c r="H13" s="256" t="str">
        <f>IF(VLOOKUP($A13,PRICES!$A:$CT,81,FALSE)=VLOOKUP($A13,PRICES!$A:$CT,76,FALSE),"Modelled","Manually adjusted")</f>
        <v>Modelled</v>
      </c>
      <c r="I13" s="256" t="str">
        <f>IF(VLOOKUP($A13,PRICES!$A:$CT,82,FALSE)=VLOOKUP($A13,PRICES!$A:$CT,77,FALSE),"Modelled","Manually adjusted")</f>
        <v>Modelled</v>
      </c>
      <c r="J13" s="257" t="str">
        <f>IF(VLOOKUP($A13,PRICES!$A:$CT,83,FALSE)=VLOOKUP($A13,PRICES!$A:$CT,78,FALSE),"Modelled","Manually adjusted")</f>
        <v>Modelled</v>
      </c>
      <c r="L13" s="271">
        <f t="shared" si="0"/>
        <v>110</v>
      </c>
      <c r="M13" s="272" t="str">
        <f t="shared" si="1"/>
        <v>Trauma &amp; Orthopaedics</v>
      </c>
      <c r="N13" s="273">
        <f>IF(ISERROR(VLOOKUP($L13,'15-16 tariff'!$A:$F,3,FALSE)),"-",VLOOKUP($L13,'15-16 tariff'!$A:$F,3,FALSE))</f>
        <v>127.91380148798578</v>
      </c>
      <c r="O13" s="274">
        <f>IF(ISERROR(VLOOKUP($L13,'15-16 tariff'!$A:$F,4,FALSE)),"-",VLOOKUP($L13,'15-16 tariff'!$A:$F,4,FALSE))</f>
        <v>129.46247085650671</v>
      </c>
      <c r="P13" s="274">
        <f>IF(ISERROR(VLOOKUP($L13,'15-16 tariff'!$A:$F,5,FALSE)),"-",VLOOKUP($L13,'15-16 tariff'!$A:$F,5,FALSE))</f>
        <v>75.343238386070013</v>
      </c>
      <c r="Q13" s="272">
        <f>IF(ISERROR(VLOOKUP($L13,'15-16 tariff'!$A:$F,6,FALSE)),"-",VLOOKUP($L13,'15-16 tariff'!$A:$F,6,FALSE))</f>
        <v>84.414700798698192</v>
      </c>
      <c r="S13" s="271">
        <f t="shared" si="2"/>
        <v>110</v>
      </c>
      <c r="T13" s="272" t="str">
        <f t="shared" si="3"/>
        <v>Trauma &amp; Orthopaedics</v>
      </c>
      <c r="U13" s="275">
        <f t="shared" si="4"/>
        <v>-1.4449909423899232E-2</v>
      </c>
      <c r="V13" s="276">
        <f t="shared" si="5"/>
        <v>4.5799788217803616E-2</v>
      </c>
      <c r="W13" s="276">
        <f t="shared" si="6"/>
        <v>5.2325767009226309E-2</v>
      </c>
      <c r="X13" s="277">
        <f t="shared" si="7"/>
        <v>-9.3545886246847454E-3</v>
      </c>
    </row>
    <row r="14" spans="1:24">
      <c r="A14" s="271">
        <f>Mandatory!A12</f>
        <v>120</v>
      </c>
      <c r="B14" s="272" t="str">
        <f>INDEX('201314 RC list'!B:B,MATCH(A14,'201314 RC list'!A:A,0))</f>
        <v>ENT</v>
      </c>
      <c r="C14" s="273">
        <f>VLOOKUP($A14,PRICES!$A:$CT,90,FALSE)</f>
        <v>101.10354322096782</v>
      </c>
      <c r="D14" s="274">
        <f>VLOOKUP($A14,PRICES!$A:$CT,91,FALSE)</f>
        <v>138.11457382366746</v>
      </c>
      <c r="E14" s="274">
        <f>VLOOKUP($A14,PRICES!$A:$CT,92,FALSE)</f>
        <v>64.795903797893828</v>
      </c>
      <c r="F14" s="272">
        <f>VLOOKUP($A14,PRICES!$A:$CT,93,FALSE)</f>
        <v>93.968703065219415</v>
      </c>
      <c r="G14" s="255" t="str">
        <f>IF(VLOOKUP($A14,PRICES!$A:$CT,80,FALSE)=VLOOKUP($A14,PRICES!$A:$CT,75,FALSE),"Modelled","Manually adjusted")</f>
        <v>Modelled</v>
      </c>
      <c r="H14" s="256" t="str">
        <f>IF(VLOOKUP($A14,PRICES!$A:$CT,81,FALSE)=VLOOKUP($A14,PRICES!$A:$CT,76,FALSE),"Modelled","Manually adjusted")</f>
        <v>Modelled</v>
      </c>
      <c r="I14" s="256" t="str">
        <f>IF(VLOOKUP($A14,PRICES!$A:$CT,82,FALSE)=VLOOKUP($A14,PRICES!$A:$CT,77,FALSE),"Modelled","Manually adjusted")</f>
        <v>Modelled</v>
      </c>
      <c r="J14" s="257" t="str">
        <f>IF(VLOOKUP($A14,PRICES!$A:$CT,83,FALSE)=VLOOKUP($A14,PRICES!$A:$CT,78,FALSE),"Modelled","Manually adjusted")</f>
        <v>Modelled</v>
      </c>
      <c r="L14" s="271">
        <f t="shared" si="0"/>
        <v>120</v>
      </c>
      <c r="M14" s="272" t="str">
        <f t="shared" si="1"/>
        <v>ENT</v>
      </c>
      <c r="N14" s="273">
        <f>IF(ISERROR(VLOOKUP($L14,'15-16 tariff'!$A:$F,3,FALSE)),"-",VLOOKUP($L14,'15-16 tariff'!$A:$F,3,FALSE))</f>
        <v>105.88554271684976</v>
      </c>
      <c r="O14" s="274">
        <f>IF(ISERROR(VLOOKUP($L14,'15-16 tariff'!$A:$F,4,FALSE)),"-",VLOOKUP($L14,'15-16 tariff'!$A:$F,4,FALSE))</f>
        <v>165.32800386763492</v>
      </c>
      <c r="P14" s="274">
        <f>IF(ISERROR(VLOOKUP($L14,'15-16 tariff'!$A:$F,5,FALSE)),"-",VLOOKUP($L14,'15-16 tariff'!$A:$F,5,FALSE))</f>
        <v>65.290580208896841</v>
      </c>
      <c r="Q14" s="272">
        <f>IF(ISERROR(VLOOKUP($L14,'15-16 tariff'!$A:$F,6,FALSE)),"-",VLOOKUP($L14,'15-16 tariff'!$A:$F,6,FALSE))</f>
        <v>90.510990015854375</v>
      </c>
      <c r="S14" s="271">
        <f t="shared" si="2"/>
        <v>120</v>
      </c>
      <c r="T14" s="272" t="str">
        <f t="shared" si="3"/>
        <v>ENT</v>
      </c>
      <c r="U14" s="275">
        <f t="shared" si="4"/>
        <v>-4.5161968038163192E-2</v>
      </c>
      <c r="V14" s="276">
        <f t="shared" si="5"/>
        <v>-0.1646026650497463</v>
      </c>
      <c r="W14" s="276">
        <f t="shared" si="6"/>
        <v>-7.5765356873885858E-3</v>
      </c>
      <c r="X14" s="277">
        <f t="shared" si="7"/>
        <v>3.8202134887259209E-2</v>
      </c>
    </row>
    <row r="15" spans="1:24">
      <c r="A15" s="271">
        <f>Mandatory!A13</f>
        <v>130</v>
      </c>
      <c r="B15" s="272" t="str">
        <f>INDEX('201314 RC list'!B:B,MATCH(A15,'201314 RC list'!A:A,0))</f>
        <v>Ophthalmology</v>
      </c>
      <c r="C15" s="273">
        <f>VLOOKUP($A15,PRICES!$A:$CT,90,FALSE)</f>
        <v>105.16656659360872</v>
      </c>
      <c r="D15" s="274">
        <f>VLOOKUP($A15,PRICES!$A:$CT,91,FALSE)</f>
        <v>137.25301855901805</v>
      </c>
      <c r="E15" s="274">
        <f>VLOOKUP($A15,PRICES!$A:$CT,92,FALSE)</f>
        <v>62.455878074526559</v>
      </c>
      <c r="F15" s="272">
        <f>VLOOKUP($A15,PRICES!$A:$CT,93,FALSE)</f>
        <v>81.966653523413328</v>
      </c>
      <c r="G15" s="255" t="str">
        <f>IF(VLOOKUP($A15,PRICES!$A:$CT,80,FALSE)=VLOOKUP($A15,PRICES!$A:$CT,75,FALSE),"Modelled","Manually adjusted")</f>
        <v>Modelled</v>
      </c>
      <c r="H15" s="256" t="str">
        <f>IF(VLOOKUP($A15,PRICES!$A:$CT,81,FALSE)=VLOOKUP($A15,PRICES!$A:$CT,76,FALSE),"Modelled","Manually adjusted")</f>
        <v>Modelled</v>
      </c>
      <c r="I15" s="256" t="str">
        <f>IF(VLOOKUP($A15,PRICES!$A:$CT,82,FALSE)=VLOOKUP($A15,PRICES!$A:$CT,77,FALSE),"Modelled","Manually adjusted")</f>
        <v>Modelled</v>
      </c>
      <c r="J15" s="257" t="str">
        <f>IF(VLOOKUP($A15,PRICES!$A:$CT,83,FALSE)=VLOOKUP($A15,PRICES!$A:$CT,78,FALSE),"Modelled","Manually adjusted")</f>
        <v>Modelled</v>
      </c>
      <c r="L15" s="271">
        <f t="shared" si="0"/>
        <v>130</v>
      </c>
      <c r="M15" s="272" t="str">
        <f t="shared" si="1"/>
        <v>Ophthalmology</v>
      </c>
      <c r="N15" s="273">
        <f>IF(ISERROR(VLOOKUP($L15,'15-16 tariff'!$A:$F,3,FALSE)),"-",VLOOKUP($L15,'15-16 tariff'!$A:$F,3,FALSE))</f>
        <v>111.3687943959391</v>
      </c>
      <c r="O15" s="274">
        <f>IF(ISERROR(VLOOKUP($L15,'15-16 tariff'!$A:$F,4,FALSE)),"-",VLOOKUP($L15,'15-16 tariff'!$A:$F,4,FALSE))</f>
        <v>124.01140095469607</v>
      </c>
      <c r="P15" s="274">
        <f>IF(ISERROR(VLOOKUP($L15,'15-16 tariff'!$A:$F,5,FALSE)),"-",VLOOKUP($L15,'15-16 tariff'!$A:$F,5,FALSE))</f>
        <v>62.959257556396366</v>
      </c>
      <c r="Q15" s="272">
        <f>IF(ISERROR(VLOOKUP($L15,'15-16 tariff'!$A:$F,6,FALSE)),"-",VLOOKUP($L15,'15-16 tariff'!$A:$F,6,FALSE))</f>
        <v>93.15196438077345</v>
      </c>
      <c r="S15" s="271">
        <f t="shared" si="2"/>
        <v>130</v>
      </c>
      <c r="T15" s="272" t="str">
        <f t="shared" si="3"/>
        <v>Ophthalmology</v>
      </c>
      <c r="U15" s="275">
        <f t="shared" si="4"/>
        <v>-5.5690894706825866E-2</v>
      </c>
      <c r="V15" s="276">
        <f t="shared" si="5"/>
        <v>0.10677742128854284</v>
      </c>
      <c r="W15" s="276">
        <f t="shared" si="6"/>
        <v>-7.9953211236473143E-3</v>
      </c>
      <c r="X15" s="277">
        <f t="shared" si="7"/>
        <v>-0.1200759525761409</v>
      </c>
    </row>
    <row r="16" spans="1:24">
      <c r="A16" s="271">
        <f>Mandatory!A14</f>
        <v>140</v>
      </c>
      <c r="B16" s="272" t="str">
        <f>INDEX('201314 RC list'!B:B,MATCH(A16,'201314 RC list'!A:A,0))</f>
        <v>Oral Surgery</v>
      </c>
      <c r="C16" s="273">
        <f>VLOOKUP($A16,PRICES!$A:$CT,90,FALSE)</f>
        <v>116.80530271950623</v>
      </c>
      <c r="D16" s="274">
        <f>VLOOKUP($A16,PRICES!$A:$CT,91,FALSE)</f>
        <v>188.47446271962946</v>
      </c>
      <c r="E16" s="274">
        <f>VLOOKUP($A16,PRICES!$A:$CT,92,FALSE)</f>
        <v>75.727360600333682</v>
      </c>
      <c r="F16" s="272">
        <f>VLOOKUP($A16,PRICES!$A:$CT,93,FALSE)</f>
        <v>128.16525647214468</v>
      </c>
      <c r="G16" s="255" t="str">
        <f>IF(VLOOKUP($A16,PRICES!$A:$CT,80,FALSE)=VLOOKUP($A16,PRICES!$A:$CT,75,FALSE),"Modelled","Manually adjusted")</f>
        <v>Modelled</v>
      </c>
      <c r="H16" s="256" t="str">
        <f>IF(VLOOKUP($A16,PRICES!$A:$CT,81,FALSE)=VLOOKUP($A16,PRICES!$A:$CT,76,FALSE),"Modelled","Manually adjusted")</f>
        <v>Modelled</v>
      </c>
      <c r="I16" s="256" t="str">
        <f>IF(VLOOKUP($A16,PRICES!$A:$CT,82,FALSE)=VLOOKUP($A16,PRICES!$A:$CT,77,FALSE),"Modelled","Manually adjusted")</f>
        <v>Modelled</v>
      </c>
      <c r="J16" s="257" t="str">
        <f>IF(VLOOKUP($A16,PRICES!$A:$CT,83,FALSE)=VLOOKUP($A16,PRICES!$A:$CT,78,FALSE),"Modelled","Manually adjusted")</f>
        <v>Modelled</v>
      </c>
      <c r="L16" s="271">
        <f t="shared" si="0"/>
        <v>140</v>
      </c>
      <c r="M16" s="272" t="str">
        <f t="shared" si="1"/>
        <v>Oral Surgery</v>
      </c>
      <c r="N16" s="273">
        <f>IF(ISERROR(VLOOKUP($L16,'15-16 tariff'!$A:$F,3,FALSE)),"-",VLOOKUP($L16,'15-16 tariff'!$A:$F,3,FALSE))</f>
        <v>117.48402580162389</v>
      </c>
      <c r="O16" s="274">
        <f>IF(ISERROR(VLOOKUP($L16,'15-16 tariff'!$A:$F,4,FALSE)),"-",VLOOKUP($L16,'15-16 tariff'!$A:$F,4,FALSE))</f>
        <v>182.48697479218325</v>
      </c>
      <c r="P16" s="274">
        <f>IF(ISERROR(VLOOKUP($L16,'15-16 tariff'!$A:$F,5,FALSE)),"-",VLOOKUP($L16,'15-16 tariff'!$A:$F,5,FALSE))</f>
        <v>73.330768391520806</v>
      </c>
      <c r="Q16" s="272">
        <f>IF(ISERROR(VLOOKUP($L16,'15-16 tariff'!$A:$F,6,FALSE)),"-",VLOOKUP($L16,'15-16 tariff'!$A:$F,6,FALSE))</f>
        <v>126.60635151682185</v>
      </c>
      <c r="S16" s="271">
        <f t="shared" si="2"/>
        <v>140</v>
      </c>
      <c r="T16" s="272" t="str">
        <f t="shared" si="3"/>
        <v>Oral Surgery</v>
      </c>
      <c r="U16" s="275">
        <f t="shared" si="4"/>
        <v>-5.7771520637512896E-3</v>
      </c>
      <c r="V16" s="276">
        <f t="shared" si="5"/>
        <v>3.2810494744979879E-2</v>
      </c>
      <c r="W16" s="276">
        <f t="shared" si="6"/>
        <v>3.268194594685303E-2</v>
      </c>
      <c r="X16" s="277">
        <f t="shared" si="7"/>
        <v>1.2313007496434381E-2</v>
      </c>
    </row>
    <row r="17" spans="1:24">
      <c r="A17" s="271">
        <f>Mandatory!A15</f>
        <v>143</v>
      </c>
      <c r="B17" s="272" t="str">
        <f>INDEX('201314 RC list'!B:B,MATCH(A17,'201314 RC list'!A:A,0))</f>
        <v>Orthodontics</v>
      </c>
      <c r="C17" s="273">
        <f>VLOOKUP($A17,PRICES!$A:$CT,90,FALSE)</f>
        <v>148.5458143614452</v>
      </c>
      <c r="D17" s="274">
        <f>VLOOKUP($A17,PRICES!$A:$CT,91,FALSE)</f>
        <v>167.36616126756869</v>
      </c>
      <c r="E17" s="274">
        <f>VLOOKUP($A17,PRICES!$A:$CT,92,FALSE)</f>
        <v>77.324162376421711</v>
      </c>
      <c r="F17" s="272">
        <f>VLOOKUP($A17,PRICES!$A:$CT,93,FALSE)</f>
        <v>94.00692742234223</v>
      </c>
      <c r="G17" s="255" t="str">
        <f>IF(VLOOKUP($A17,PRICES!$A:$CT,80,FALSE)=VLOOKUP($A17,PRICES!$A:$CT,75,FALSE),"Modelled","Manually adjusted")</f>
        <v>Modelled</v>
      </c>
      <c r="H17" s="256" t="str">
        <f>IF(VLOOKUP($A17,PRICES!$A:$CT,81,FALSE)=VLOOKUP($A17,PRICES!$A:$CT,76,FALSE),"Modelled","Manually adjusted")</f>
        <v>Modelled</v>
      </c>
      <c r="I17" s="256" t="str">
        <f>IF(VLOOKUP($A17,PRICES!$A:$CT,82,FALSE)=VLOOKUP($A17,PRICES!$A:$CT,77,FALSE),"Modelled","Manually adjusted")</f>
        <v>Modelled</v>
      </c>
      <c r="J17" s="257" t="str">
        <f>IF(VLOOKUP($A17,PRICES!$A:$CT,83,FALSE)=VLOOKUP($A17,PRICES!$A:$CT,78,FALSE),"Modelled","Manually adjusted")</f>
        <v>Modelled</v>
      </c>
      <c r="L17" s="271">
        <f t="shared" si="0"/>
        <v>143</v>
      </c>
      <c r="M17" s="272" t="str">
        <f t="shared" si="1"/>
        <v>Orthodontics</v>
      </c>
      <c r="N17" s="273">
        <f>IF(ISERROR(VLOOKUP($L17,'15-16 tariff'!$A:$F,3,FALSE)),"-",VLOOKUP($L17,'15-16 tariff'!$A:$F,3,FALSE))</f>
        <v>152.95223084304277</v>
      </c>
      <c r="O17" s="274">
        <f>IF(ISERROR(VLOOKUP($L17,'15-16 tariff'!$A:$F,4,FALSE)),"-",VLOOKUP($L17,'15-16 tariff'!$A:$F,4,FALSE))</f>
        <v>204.06478274953756</v>
      </c>
      <c r="P17" s="274">
        <f>IF(ISERROR(VLOOKUP($L17,'15-16 tariff'!$A:$F,5,FALSE)),"-",VLOOKUP($L17,'15-16 tariff'!$A:$F,5,FALSE))</f>
        <v>77.093928194378137</v>
      </c>
      <c r="Q17" s="272">
        <f>IF(ISERROR(VLOOKUP($L17,'15-16 tariff'!$A:$F,6,FALSE)),"-",VLOOKUP($L17,'15-16 tariff'!$A:$F,6,FALSE))</f>
        <v>105.42935010113213</v>
      </c>
      <c r="S17" s="271">
        <f t="shared" si="2"/>
        <v>143</v>
      </c>
      <c r="T17" s="272" t="str">
        <f t="shared" si="3"/>
        <v>Orthodontics</v>
      </c>
      <c r="U17" s="275">
        <f t="shared" si="4"/>
        <v>-2.8809102406092912E-2</v>
      </c>
      <c r="V17" s="276">
        <f t="shared" si="5"/>
        <v>-0.17983809350882241</v>
      </c>
      <c r="W17" s="276">
        <f t="shared" si="6"/>
        <v>2.9864113482851451E-3</v>
      </c>
      <c r="X17" s="277">
        <f t="shared" si="7"/>
        <v>-0.10834196234571347</v>
      </c>
    </row>
    <row r="18" spans="1:24">
      <c r="A18" s="271">
        <f>Mandatory!A16</f>
        <v>144</v>
      </c>
      <c r="B18" s="272" t="str">
        <f>INDEX('201314 RC list'!B:B,MATCH(A18,'201314 RC list'!A:A,0))</f>
        <v>Maxillo-Facial Surgery</v>
      </c>
      <c r="C18" s="273">
        <f>VLOOKUP($A18,PRICES!$A:$CT,90,FALSE)</f>
        <v>109.19418552640656</v>
      </c>
      <c r="D18" s="274">
        <f>VLOOKUP($A18,PRICES!$A:$CT,91,FALSE)</f>
        <v>140.04323485393812</v>
      </c>
      <c r="E18" s="274">
        <f>VLOOKUP($A18,PRICES!$A:$CT,92,FALSE)</f>
        <v>78.434922526973438</v>
      </c>
      <c r="F18" s="272">
        <f>VLOOKUP($A18,PRICES!$A:$CT,93,FALSE)</f>
        <v>78.434922526973438</v>
      </c>
      <c r="G18" s="255" t="str">
        <f>IF(VLOOKUP($A18,PRICES!$A:$CT,80,FALSE)=VLOOKUP($A18,PRICES!$A:$CT,75,FALSE),"Modelled","Manually adjusted")</f>
        <v>Modelled</v>
      </c>
      <c r="H18" s="256" t="str">
        <f>IF(VLOOKUP($A18,PRICES!$A:$CT,81,FALSE)=VLOOKUP($A18,PRICES!$A:$CT,76,FALSE),"Modelled","Manually adjusted")</f>
        <v>Modelled</v>
      </c>
      <c r="I18" s="256" t="str">
        <f>IF(VLOOKUP($A18,PRICES!$A:$CT,82,FALSE)=VLOOKUP($A18,PRICES!$A:$CT,77,FALSE),"Modelled","Manually adjusted")</f>
        <v>Modelled</v>
      </c>
      <c r="J18" s="257" t="str">
        <f>IF(VLOOKUP($A18,PRICES!$A:$CT,83,FALSE)=VLOOKUP($A18,PRICES!$A:$CT,78,FALSE),"Modelled","Manually adjusted")</f>
        <v>Modelled</v>
      </c>
      <c r="L18" s="271">
        <f t="shared" si="0"/>
        <v>144</v>
      </c>
      <c r="M18" s="272" t="str">
        <f t="shared" si="1"/>
        <v>Maxillo-Facial Surgery</v>
      </c>
      <c r="N18" s="273">
        <f>IF(ISERROR(VLOOKUP($L18,'15-16 tariff'!$A:$F,3,FALSE)),"-",VLOOKUP($L18,'15-16 tariff'!$A:$F,3,FALSE))</f>
        <v>106.85508951442804</v>
      </c>
      <c r="O18" s="274">
        <f>IF(ISERROR(VLOOKUP($L18,'15-16 tariff'!$A:$F,4,FALSE)),"-",VLOOKUP($L18,'15-16 tariff'!$A:$F,4,FALSE))</f>
        <v>172.7037579102624</v>
      </c>
      <c r="P18" s="274">
        <f>IF(ISERROR(VLOOKUP($L18,'15-16 tariff'!$A:$F,5,FALSE)),"-",VLOOKUP($L18,'15-16 tariff'!$A:$F,5,FALSE))</f>
        <v>72.63316299132795</v>
      </c>
      <c r="Q18" s="272">
        <f>IF(ISERROR(VLOOKUP($L18,'15-16 tariff'!$A:$F,6,FALSE)),"-",VLOOKUP($L18,'15-16 tariff'!$A:$F,6,FALSE))</f>
        <v>81.759369239255307</v>
      </c>
      <c r="S18" s="271">
        <f t="shared" si="2"/>
        <v>144</v>
      </c>
      <c r="T18" s="272" t="str">
        <f t="shared" si="3"/>
        <v>Maxillo-Facial Surgery</v>
      </c>
      <c r="U18" s="275">
        <f t="shared" si="4"/>
        <v>2.1890356581121706E-2</v>
      </c>
      <c r="V18" s="276">
        <f t="shared" si="5"/>
        <v>-0.18911298428893963</v>
      </c>
      <c r="W18" s="276">
        <f t="shared" si="6"/>
        <v>7.9877555880888629E-2</v>
      </c>
      <c r="X18" s="277">
        <f t="shared" si="7"/>
        <v>-4.0661354695061602E-2</v>
      </c>
    </row>
    <row r="19" spans="1:24">
      <c r="A19" s="271">
        <f>Mandatory!A17</f>
        <v>150</v>
      </c>
      <c r="B19" s="272" t="str">
        <f>INDEX('201314 RC list'!B:B,MATCH(A19,'201314 RC list'!A:A,0))</f>
        <v>Neurosurgery</v>
      </c>
      <c r="C19" s="273">
        <f>VLOOKUP($A19,PRICES!$A:$CT,90,FALSE)</f>
        <v>183.89557235404652</v>
      </c>
      <c r="D19" s="274">
        <f>VLOOKUP($A19,PRICES!$A:$CT,91,FALSE)</f>
        <v>226.78134031413373</v>
      </c>
      <c r="E19" s="274">
        <f>VLOOKUP($A19,PRICES!$A:$CT,92,FALSE)</f>
        <v>125.14764923771139</v>
      </c>
      <c r="F19" s="272">
        <f>VLOOKUP($A19,PRICES!$A:$CT,93,FALSE)</f>
        <v>164.48648787116974</v>
      </c>
      <c r="G19" s="255" t="str">
        <f>IF(VLOOKUP($A19,PRICES!$A:$CT,80,FALSE)=VLOOKUP($A19,PRICES!$A:$CT,75,FALSE),"Modelled","Manually adjusted")</f>
        <v>Modelled</v>
      </c>
      <c r="H19" s="256" t="str">
        <f>IF(VLOOKUP($A19,PRICES!$A:$CT,81,FALSE)=VLOOKUP($A19,PRICES!$A:$CT,76,FALSE),"Modelled","Manually adjusted")</f>
        <v>Modelled</v>
      </c>
      <c r="I19" s="256" t="str">
        <f>IF(VLOOKUP($A19,PRICES!$A:$CT,82,FALSE)=VLOOKUP($A19,PRICES!$A:$CT,77,FALSE),"Modelled","Manually adjusted")</f>
        <v>Modelled</v>
      </c>
      <c r="J19" s="257" t="str">
        <f>IF(VLOOKUP($A19,PRICES!$A:$CT,83,FALSE)=VLOOKUP($A19,PRICES!$A:$CT,78,FALSE),"Modelled","Manually adjusted")</f>
        <v>Modelled</v>
      </c>
      <c r="L19" s="271">
        <f t="shared" si="0"/>
        <v>150</v>
      </c>
      <c r="M19" s="272" t="str">
        <f t="shared" si="1"/>
        <v>Neurosurgery</v>
      </c>
      <c r="N19" s="273" t="str">
        <f>IF(ISERROR(VLOOKUP($L19,'15-16 tariff'!$A:$F,3,FALSE)),"-",VLOOKUP($L19,'15-16 tariff'!$A:$F,3,FALSE))</f>
        <v>-</v>
      </c>
      <c r="O19" s="274" t="str">
        <f>IF(ISERROR(VLOOKUP($L19,'15-16 tariff'!$A:$F,4,FALSE)),"-",VLOOKUP($L19,'15-16 tariff'!$A:$F,4,FALSE))</f>
        <v>-</v>
      </c>
      <c r="P19" s="274" t="str">
        <f>IF(ISERROR(VLOOKUP($L19,'15-16 tariff'!$A:$F,5,FALSE)),"-",VLOOKUP($L19,'15-16 tariff'!$A:$F,5,FALSE))</f>
        <v>-</v>
      </c>
      <c r="Q19" s="272" t="str">
        <f>IF(ISERROR(VLOOKUP($L19,'15-16 tariff'!$A:$F,6,FALSE)),"-",VLOOKUP($L19,'15-16 tariff'!$A:$F,6,FALSE))</f>
        <v>-</v>
      </c>
      <c r="S19" s="271">
        <f t="shared" si="2"/>
        <v>150</v>
      </c>
      <c r="T19" s="272" t="str">
        <f t="shared" si="3"/>
        <v>Neurosurgery</v>
      </c>
      <c r="U19" s="275" t="str">
        <f t="shared" si="4"/>
        <v/>
      </c>
      <c r="V19" s="276" t="str">
        <f t="shared" si="5"/>
        <v/>
      </c>
      <c r="W19" s="276" t="str">
        <f t="shared" si="6"/>
        <v/>
      </c>
      <c r="X19" s="277" t="str">
        <f t="shared" si="7"/>
        <v/>
      </c>
    </row>
    <row r="20" spans="1:24">
      <c r="A20" s="271">
        <f>Mandatory!A18</f>
        <v>160</v>
      </c>
      <c r="B20" s="272" t="str">
        <f>INDEX('201314 RC list'!B:B,MATCH(A20,'201314 RC list'!A:A,0))</f>
        <v>Plastic Surgery</v>
      </c>
      <c r="C20" s="273">
        <f>VLOOKUP($A20,PRICES!$A:$CT,90,FALSE)</f>
        <v>104.43133111258076</v>
      </c>
      <c r="D20" s="274">
        <f>VLOOKUP($A20,PRICES!$A:$CT,91,FALSE)</f>
        <v>153.25003947348156</v>
      </c>
      <c r="E20" s="274">
        <f>VLOOKUP($A20,PRICES!$A:$CT,92,FALSE)</f>
        <v>64.429389942718657</v>
      </c>
      <c r="F20" s="272">
        <f>VLOOKUP($A20,PRICES!$A:$CT,93,FALSE)</f>
        <v>111.90880974679708</v>
      </c>
      <c r="G20" s="255" t="str">
        <f>IF(VLOOKUP($A20,PRICES!$A:$CT,80,FALSE)=VLOOKUP($A20,PRICES!$A:$CT,75,FALSE),"Modelled","Manually adjusted")</f>
        <v>Modelled</v>
      </c>
      <c r="H20" s="256" t="str">
        <f>IF(VLOOKUP($A20,PRICES!$A:$CT,81,FALSE)=VLOOKUP($A20,PRICES!$A:$CT,76,FALSE),"Modelled","Manually adjusted")</f>
        <v>Modelled</v>
      </c>
      <c r="I20" s="256" t="str">
        <f>IF(VLOOKUP($A20,PRICES!$A:$CT,82,FALSE)=VLOOKUP($A20,PRICES!$A:$CT,77,FALSE),"Modelled","Manually adjusted")</f>
        <v>Modelled</v>
      </c>
      <c r="J20" s="257" t="str">
        <f>IF(VLOOKUP($A20,PRICES!$A:$CT,83,FALSE)=VLOOKUP($A20,PRICES!$A:$CT,78,FALSE),"Modelled","Manually adjusted")</f>
        <v>Modelled</v>
      </c>
      <c r="L20" s="271">
        <f t="shared" si="0"/>
        <v>160</v>
      </c>
      <c r="M20" s="272" t="str">
        <f t="shared" si="1"/>
        <v>Plastic Surgery</v>
      </c>
      <c r="N20" s="273">
        <f>IF(ISERROR(VLOOKUP($L20,'15-16 tariff'!$A:$F,3,FALSE)),"-",VLOOKUP($L20,'15-16 tariff'!$A:$F,3,FALSE))</f>
        <v>112.85890498720801</v>
      </c>
      <c r="O20" s="274">
        <f>IF(ISERROR(VLOOKUP($L20,'15-16 tariff'!$A:$F,4,FALSE)),"-",VLOOKUP($L20,'15-16 tariff'!$A:$F,4,FALSE))</f>
        <v>150.02166519174483</v>
      </c>
      <c r="P20" s="274">
        <f>IF(ISERROR(VLOOKUP($L20,'15-16 tariff'!$A:$F,5,FALSE)),"-",VLOOKUP($L20,'15-16 tariff'!$A:$F,5,FALSE))</f>
        <v>65.14259674194733</v>
      </c>
      <c r="Q20" s="272">
        <f>IF(ISERROR(VLOOKUP($L20,'15-16 tariff'!$A:$F,6,FALSE)),"-",VLOOKUP($L20,'15-16 tariff'!$A:$F,6,FALSE))</f>
        <v>99.626884384809401</v>
      </c>
      <c r="S20" s="271">
        <f t="shared" si="2"/>
        <v>160</v>
      </c>
      <c r="T20" s="272" t="str">
        <f t="shared" si="3"/>
        <v>Plastic Surgery</v>
      </c>
      <c r="U20" s="275">
        <f t="shared" ref="U20" si="8">IFERROR(C20/N20-1,"")</f>
        <v>-7.4673539279709211E-2</v>
      </c>
      <c r="V20" s="276">
        <f t="shared" ref="V20" si="9">IFERROR(D20/O20-1,"")</f>
        <v>2.1519387067264528E-2</v>
      </c>
      <c r="W20" s="276">
        <f t="shared" ref="W20" si="10">IFERROR(E20/P20-1,"")</f>
        <v>-1.0948393753075769E-2</v>
      </c>
      <c r="X20" s="277">
        <f t="shared" ref="X20" si="11">IFERROR(F20/Q20-1,"")</f>
        <v>0.12327922766859456</v>
      </c>
    </row>
    <row r="21" spans="1:24">
      <c r="A21" s="271">
        <f>Mandatory!A19</f>
        <v>170</v>
      </c>
      <c r="B21" s="272" t="str">
        <f>INDEX('201314 RC list'!B:B,MATCH(A21,'201314 RC list'!A:A,0))</f>
        <v>Cardiothoracic Surgery</v>
      </c>
      <c r="C21" s="273">
        <f>VLOOKUP($A21,PRICES!$A:$CT,90,FALSE)</f>
        <v>260.24230968900321</v>
      </c>
      <c r="D21" s="274">
        <f>VLOOKUP($A21,PRICES!$A:$CT,91,FALSE)</f>
        <v>520.48461937800641</v>
      </c>
      <c r="E21" s="274">
        <f>VLOOKUP($A21,PRICES!$A:$CT,92,FALSE)</f>
        <v>204.53744132828871</v>
      </c>
      <c r="F21" s="272">
        <f>VLOOKUP($A21,PRICES!$A:$CT,93,FALSE)</f>
        <v>409.07488265657742</v>
      </c>
      <c r="G21" s="255" t="str">
        <f>IF(VLOOKUP($A21,PRICES!$A:$CT,80,FALSE)=VLOOKUP($A21,PRICES!$A:$CT,75,FALSE),"Modelled","Manually adjusted")</f>
        <v>Modelled</v>
      </c>
      <c r="H21" s="256" t="str">
        <f>IF(VLOOKUP($A21,PRICES!$A:$CT,81,FALSE)=VLOOKUP($A21,PRICES!$A:$CT,76,FALSE),"Modelled","Manually adjusted")</f>
        <v>Modelled</v>
      </c>
      <c r="I21" s="256" t="str">
        <f>IF(VLOOKUP($A21,PRICES!$A:$CT,82,FALSE)=VLOOKUP($A21,PRICES!$A:$CT,77,FALSE),"Modelled","Manually adjusted")</f>
        <v>Modelled</v>
      </c>
      <c r="J21" s="257" t="str">
        <f>IF(VLOOKUP($A21,PRICES!$A:$CT,83,FALSE)=VLOOKUP($A21,PRICES!$A:$CT,78,FALSE),"Modelled","Manually adjusted")</f>
        <v>Modelled</v>
      </c>
      <c r="L21" s="271">
        <f t="shared" si="0"/>
        <v>170</v>
      </c>
      <c r="M21" s="272" t="str">
        <f t="shared" si="1"/>
        <v>Cardiothoracic Surgery</v>
      </c>
      <c r="N21" s="273">
        <f>IF(ISERROR(VLOOKUP($L21,'15-16 tariff'!$A:$F,3,FALSE)),"-",VLOOKUP($L21,'15-16 tariff'!$A:$F,3,FALSE))</f>
        <v>257.05432676502005</v>
      </c>
      <c r="O21" s="274">
        <f>IF(ISERROR(VLOOKUP($L21,'15-16 tariff'!$A:$F,4,FALSE)),"-",VLOOKUP($L21,'15-16 tariff'!$A:$F,4,FALSE))</f>
        <v>257.05432676502005</v>
      </c>
      <c r="P21" s="274">
        <f>IF(ISERROR(VLOOKUP($L21,'15-16 tariff'!$A:$F,5,FALSE)),"-",VLOOKUP($L21,'15-16 tariff'!$A:$F,5,FALSE))</f>
        <v>175.43729216549639</v>
      </c>
      <c r="Q21" s="272">
        <f>IF(ISERROR(VLOOKUP($L21,'15-16 tariff'!$A:$F,6,FALSE)),"-",VLOOKUP($L21,'15-16 tariff'!$A:$F,6,FALSE))</f>
        <v>178.23150196791855</v>
      </c>
      <c r="S21" s="271">
        <f t="shared" si="2"/>
        <v>170</v>
      </c>
      <c r="T21" s="272" t="str">
        <f t="shared" si="3"/>
        <v>Cardiothoracic Surgery</v>
      </c>
      <c r="U21" s="275">
        <f t="shared" si="4"/>
        <v>1.2401981184690936E-2</v>
      </c>
      <c r="V21" s="276">
        <f t="shared" si="5"/>
        <v>1.0248039623693819</v>
      </c>
      <c r="W21" s="276">
        <f t="shared" si="6"/>
        <v>0.16587208342990767</v>
      </c>
      <c r="X21" s="277">
        <f t="shared" si="7"/>
        <v>1.2951884382942045</v>
      </c>
    </row>
    <row r="22" spans="1:24">
      <c r="A22" s="271">
        <f>Mandatory!A20</f>
        <v>171</v>
      </c>
      <c r="B22" s="272" t="str">
        <f>INDEX('201314 RC list'!B:B,MATCH(A22,'201314 RC list'!A:A,0))</f>
        <v>Paediatric Surgery</v>
      </c>
      <c r="C22" s="273">
        <f>VLOOKUP($A22,PRICES!$A:$CT,90,FALSE)</f>
        <v>151.31419495327381</v>
      </c>
      <c r="D22" s="274">
        <f>VLOOKUP($A22,PRICES!$A:$CT,91,FALSE)</f>
        <v>170.89079286655041</v>
      </c>
      <c r="E22" s="274">
        <f>VLOOKUP($A22,PRICES!$A:$CT,92,FALSE)</f>
        <v>103.59659066174052</v>
      </c>
      <c r="F22" s="272">
        <f>VLOOKUP($A22,PRICES!$A:$CT,93,FALSE)</f>
        <v>136.65388630805941</v>
      </c>
      <c r="G22" s="255" t="str">
        <f>IF(VLOOKUP($A22,PRICES!$A:$CT,80,FALSE)=VLOOKUP($A22,PRICES!$A:$CT,75,FALSE),"Modelled","Manually adjusted")</f>
        <v>Modelled</v>
      </c>
      <c r="H22" s="256" t="str">
        <f>IF(VLOOKUP($A22,PRICES!$A:$CT,81,FALSE)=VLOOKUP($A22,PRICES!$A:$CT,76,FALSE),"Modelled","Manually adjusted")</f>
        <v>Modelled</v>
      </c>
      <c r="I22" s="256" t="str">
        <f>IF(VLOOKUP($A22,PRICES!$A:$CT,82,FALSE)=VLOOKUP($A22,PRICES!$A:$CT,77,FALSE),"Modelled","Manually adjusted")</f>
        <v>Modelled</v>
      </c>
      <c r="J22" s="257" t="str">
        <f>IF(VLOOKUP($A22,PRICES!$A:$CT,83,FALSE)=VLOOKUP($A22,PRICES!$A:$CT,78,FALSE),"Modelled","Manually adjusted")</f>
        <v>Modelled</v>
      </c>
      <c r="L22" s="271">
        <f t="shared" si="0"/>
        <v>171</v>
      </c>
      <c r="M22" s="272" t="str">
        <f t="shared" si="1"/>
        <v>Paediatric Surgery</v>
      </c>
      <c r="N22" s="273">
        <f>IF(ISERROR(VLOOKUP($L22,'15-16 tariff'!$A:$F,3,FALSE)),"-",VLOOKUP($L22,'15-16 tariff'!$A:$F,3,FALSE))</f>
        <v>167.30007292772615</v>
      </c>
      <c r="O22" s="274">
        <f>IF(ISERROR(VLOOKUP($L22,'15-16 tariff'!$A:$F,4,FALSE)),"-",VLOOKUP($L22,'15-16 tariff'!$A:$F,4,FALSE))</f>
        <v>167.30007292772615</v>
      </c>
      <c r="P22" s="274">
        <f>IF(ISERROR(VLOOKUP($L22,'15-16 tariff'!$A:$F,5,FALSE)),"-",VLOOKUP($L22,'15-16 tariff'!$A:$F,5,FALSE))</f>
        <v>109.12570681591005</v>
      </c>
      <c r="Q22" s="272">
        <f>IF(ISERROR(VLOOKUP($L22,'15-16 tariff'!$A:$F,6,FALSE)),"-",VLOOKUP($L22,'15-16 tariff'!$A:$F,6,FALSE))</f>
        <v>111.25569300431189</v>
      </c>
      <c r="S22" s="271">
        <f t="shared" si="2"/>
        <v>171</v>
      </c>
      <c r="T22" s="272" t="str">
        <f t="shared" si="3"/>
        <v>Paediatric Surgery</v>
      </c>
      <c r="U22" s="275">
        <f t="shared" si="4"/>
        <v>-9.5552127950107035E-2</v>
      </c>
      <c r="V22" s="276">
        <f t="shared" si="5"/>
        <v>2.1462751784785405E-2</v>
      </c>
      <c r="W22" s="276">
        <f t="shared" si="6"/>
        <v>-5.066740290165439E-2</v>
      </c>
      <c r="X22" s="277">
        <f t="shared" si="7"/>
        <v>0.22828668464420221</v>
      </c>
    </row>
    <row r="23" spans="1:24">
      <c r="A23" s="271">
        <f>Mandatory!A21</f>
        <v>172</v>
      </c>
      <c r="B23" s="272" t="str">
        <f>INDEX('201314 RC list'!B:B,MATCH(A23,'201314 RC list'!A:A,0))</f>
        <v>Cardiac Surgery</v>
      </c>
      <c r="C23" s="273">
        <f>VLOOKUP($A23,PRICES!$A:$CT,90,FALSE)</f>
        <v>286.21823194022642</v>
      </c>
      <c r="D23" s="274">
        <f>VLOOKUP($A23,PRICES!$A:$CT,91,FALSE)</f>
        <v>286.21823194022642</v>
      </c>
      <c r="E23" s="274">
        <f>VLOOKUP($A23,PRICES!$A:$CT,92,FALSE)</f>
        <v>202.19550910194545</v>
      </c>
      <c r="F23" s="272">
        <f>VLOOKUP($A23,PRICES!$A:$CT,93,FALSE)</f>
        <v>202.19550910194545</v>
      </c>
      <c r="G23" s="255" t="str">
        <f>IF(VLOOKUP($A23,PRICES!$A:$CT,80,FALSE)=VLOOKUP($A23,PRICES!$A:$CT,75,FALSE),"Modelled","Manually adjusted")</f>
        <v>Modelled</v>
      </c>
      <c r="H23" s="256" t="str">
        <f>IF(VLOOKUP($A23,PRICES!$A:$CT,81,FALSE)=VLOOKUP($A23,PRICES!$A:$CT,76,FALSE),"Modelled","Manually adjusted")</f>
        <v>Modelled</v>
      </c>
      <c r="I23" s="256" t="str">
        <f>IF(VLOOKUP($A23,PRICES!$A:$CT,82,FALSE)=VLOOKUP($A23,PRICES!$A:$CT,77,FALSE),"Modelled","Manually adjusted")</f>
        <v>Modelled</v>
      </c>
      <c r="J23" s="257" t="str">
        <f>IF(VLOOKUP($A23,PRICES!$A:$CT,83,FALSE)=VLOOKUP($A23,PRICES!$A:$CT,78,FALSE),"Modelled","Manually adjusted")</f>
        <v>Modelled</v>
      </c>
      <c r="L23" s="271">
        <f t="shared" si="0"/>
        <v>172</v>
      </c>
      <c r="M23" s="272" t="str">
        <f t="shared" si="1"/>
        <v>Cardiac Surgery</v>
      </c>
      <c r="N23" s="273">
        <f>IF(ISERROR(VLOOKUP($L23,'15-16 tariff'!$A:$F,3,FALSE)),"-",VLOOKUP($L23,'15-16 tariff'!$A:$F,3,FALSE))</f>
        <v>276.58709582852185</v>
      </c>
      <c r="O23" s="274">
        <f>IF(ISERROR(VLOOKUP($L23,'15-16 tariff'!$A:$F,4,FALSE)),"-",VLOOKUP($L23,'15-16 tariff'!$A:$F,4,FALSE))</f>
        <v>276.58709582852185</v>
      </c>
      <c r="P23" s="274">
        <f>IF(ISERROR(VLOOKUP($L23,'15-16 tariff'!$A:$F,5,FALSE)),"-",VLOOKUP($L23,'15-16 tariff'!$A:$F,5,FALSE))</f>
        <v>180.10750425684625</v>
      </c>
      <c r="Q23" s="272">
        <f>IF(ISERROR(VLOOKUP($L23,'15-16 tariff'!$A:$F,6,FALSE)),"-",VLOOKUP($L23,'15-16 tariff'!$A:$F,6,FALSE))</f>
        <v>180.10750425684625</v>
      </c>
      <c r="S23" s="271">
        <f t="shared" si="2"/>
        <v>172</v>
      </c>
      <c r="T23" s="272" t="str">
        <f t="shared" si="3"/>
        <v>Cardiac Surgery</v>
      </c>
      <c r="U23" s="275">
        <f t="shared" si="4"/>
        <v>3.482135015321064E-2</v>
      </c>
      <c r="V23" s="276">
        <f t="shared" si="5"/>
        <v>3.482135015321064E-2</v>
      </c>
      <c r="W23" s="276">
        <f t="shared" si="6"/>
        <v>0.12263789305302963</v>
      </c>
      <c r="X23" s="277">
        <f t="shared" si="7"/>
        <v>0.12263789305302963</v>
      </c>
    </row>
    <row r="24" spans="1:24">
      <c r="A24" s="271">
        <f>Mandatory!A22</f>
        <v>173</v>
      </c>
      <c r="B24" s="272" t="str">
        <f>INDEX('201314 RC list'!B:B,MATCH(A24,'201314 RC list'!A:A,0))</f>
        <v>Thoracic Surgery</v>
      </c>
      <c r="C24" s="273">
        <f>VLOOKUP($A24,PRICES!$A:$CT,90,FALSE)</f>
        <v>230.60337263095258</v>
      </c>
      <c r="D24" s="274">
        <f>VLOOKUP($A24,PRICES!$A:$CT,91,FALSE)</f>
        <v>231.68318822590211</v>
      </c>
      <c r="E24" s="274">
        <f>VLOOKUP($A24,PRICES!$A:$CT,92,FALSE)</f>
        <v>150.20372887210135</v>
      </c>
      <c r="F24" s="272">
        <f>VLOOKUP($A24,PRICES!$A:$CT,93,FALSE)</f>
        <v>150.92523099953422</v>
      </c>
      <c r="G24" s="255" t="str">
        <f>IF(VLOOKUP($A24,PRICES!$A:$CT,80,FALSE)=VLOOKUP($A24,PRICES!$A:$CT,75,FALSE),"Modelled","Manually adjusted")</f>
        <v>Modelled</v>
      </c>
      <c r="H24" s="256" t="str">
        <f>IF(VLOOKUP($A24,PRICES!$A:$CT,81,FALSE)=VLOOKUP($A24,PRICES!$A:$CT,76,FALSE),"Modelled","Manually adjusted")</f>
        <v>Modelled</v>
      </c>
      <c r="I24" s="256" t="str">
        <f>IF(VLOOKUP($A24,PRICES!$A:$CT,82,FALSE)=VLOOKUP($A24,PRICES!$A:$CT,77,FALSE),"Modelled","Manually adjusted")</f>
        <v>Modelled</v>
      </c>
      <c r="J24" s="257" t="str">
        <f>IF(VLOOKUP($A24,PRICES!$A:$CT,83,FALSE)=VLOOKUP($A24,PRICES!$A:$CT,78,FALSE),"Modelled","Manually adjusted")</f>
        <v>Modelled</v>
      </c>
      <c r="L24" s="271">
        <f t="shared" si="0"/>
        <v>173</v>
      </c>
      <c r="M24" s="272" t="str">
        <f t="shared" si="1"/>
        <v>Thoracic Surgery</v>
      </c>
      <c r="N24" s="273">
        <f>IF(ISERROR(VLOOKUP($L24,'15-16 tariff'!$A:$F,3,FALSE)),"-",VLOOKUP($L24,'15-16 tariff'!$A:$F,3,FALSE))</f>
        <v>271.5433037152502</v>
      </c>
      <c r="O24" s="274">
        <f>IF(ISERROR(VLOOKUP($L24,'15-16 tariff'!$A:$F,4,FALSE)),"-",VLOOKUP($L24,'15-16 tariff'!$A:$F,4,FALSE))</f>
        <v>273.60470150244106</v>
      </c>
      <c r="P24" s="274">
        <f>IF(ISERROR(VLOOKUP($L24,'15-16 tariff'!$A:$F,5,FALSE)),"-",VLOOKUP($L24,'15-16 tariff'!$A:$F,5,FALSE))</f>
        <v>166.99185646460316</v>
      </c>
      <c r="Q24" s="272">
        <f>IF(ISERROR(VLOOKUP($L24,'15-16 tariff'!$A:$F,6,FALSE)),"-",VLOOKUP($L24,'15-16 tariff'!$A:$F,6,FALSE))</f>
        <v>167.96300849699213</v>
      </c>
      <c r="S24" s="271">
        <f t="shared" si="2"/>
        <v>173</v>
      </c>
      <c r="T24" s="272" t="str">
        <f t="shared" si="3"/>
        <v>Thoracic Surgery</v>
      </c>
      <c r="U24" s="275">
        <f t="shared" si="4"/>
        <v>-0.15076759590149447</v>
      </c>
      <c r="V24" s="276">
        <f t="shared" si="5"/>
        <v>-0.15321927235290922</v>
      </c>
      <c r="W24" s="276">
        <f t="shared" si="6"/>
        <v>-0.10053261247538947</v>
      </c>
      <c r="X24" s="277">
        <f t="shared" si="7"/>
        <v>-0.10143767755721655</v>
      </c>
    </row>
    <row r="25" spans="1:24">
      <c r="A25" s="271">
        <f>Mandatory!A23</f>
        <v>190</v>
      </c>
      <c r="B25" s="272" t="str">
        <f>INDEX('201314 RC list'!B:B,MATCH(A25,'201314 RC list'!A:A,0))</f>
        <v>Anaesthetics</v>
      </c>
      <c r="C25" s="273">
        <f>VLOOKUP($A25,PRICES!$A:$CT,90,FALSE)</f>
        <v>117.26660424869779</v>
      </c>
      <c r="D25" s="274">
        <f>VLOOKUP($A25,PRICES!$A:$CT,91,FALSE)</f>
        <v>219.22160951645816</v>
      </c>
      <c r="E25" s="274">
        <f>VLOOKUP($A25,PRICES!$A:$CT,92,FALSE)</f>
        <v>67.698791299930079</v>
      </c>
      <c r="F25" s="272">
        <f>VLOOKUP($A25,PRICES!$A:$CT,93,FALSE)</f>
        <v>92.547968039257654</v>
      </c>
      <c r="G25" s="255" t="str">
        <f>IF(VLOOKUP($A25,PRICES!$A:$CT,80,FALSE)=VLOOKUP($A25,PRICES!$A:$CT,75,FALSE),"Modelled","Manually adjusted")</f>
        <v>Modelled</v>
      </c>
      <c r="H25" s="256" t="str">
        <f>IF(VLOOKUP($A25,PRICES!$A:$CT,81,FALSE)=VLOOKUP($A25,PRICES!$A:$CT,76,FALSE),"Modelled","Manually adjusted")</f>
        <v>Modelled</v>
      </c>
      <c r="I25" s="256" t="str">
        <f>IF(VLOOKUP($A25,PRICES!$A:$CT,82,FALSE)=VLOOKUP($A25,PRICES!$A:$CT,77,FALSE),"Modelled","Manually adjusted")</f>
        <v>Modelled</v>
      </c>
      <c r="J25" s="257" t="str">
        <f>IF(VLOOKUP($A25,PRICES!$A:$CT,83,FALSE)=VLOOKUP($A25,PRICES!$A:$CT,78,FALSE),"Modelled","Manually adjusted")</f>
        <v>Modelled</v>
      </c>
      <c r="L25" s="271">
        <f t="shared" si="0"/>
        <v>190</v>
      </c>
      <c r="M25" s="272" t="str">
        <f t="shared" si="1"/>
        <v>Anaesthetics</v>
      </c>
      <c r="N25" s="273">
        <f>IF(ISERROR(VLOOKUP($L25,'15-16 tariff'!$A:$F,3,FALSE)),"-",VLOOKUP($L25,'15-16 tariff'!$A:$F,3,FALSE))</f>
        <v>93.352886484870595</v>
      </c>
      <c r="O25" s="274">
        <f>IF(ISERROR(VLOOKUP($L25,'15-16 tariff'!$A:$F,4,FALSE)),"-",VLOOKUP($L25,'15-16 tariff'!$A:$F,4,FALSE))</f>
        <v>93.352886484870595</v>
      </c>
      <c r="P25" s="274">
        <f>IF(ISERROR(VLOOKUP($L25,'15-16 tariff'!$A:$F,5,FALSE)),"-",VLOOKUP($L25,'15-16 tariff'!$A:$F,5,FALSE))</f>
        <v>59.991031778081421</v>
      </c>
      <c r="Q25" s="272">
        <f>IF(ISERROR(VLOOKUP($L25,'15-16 tariff'!$A:$F,6,FALSE)),"-",VLOOKUP($L25,'15-16 tariff'!$A:$F,6,FALSE))</f>
        <v>83.186269790423978</v>
      </c>
      <c r="S25" s="271">
        <f t="shared" si="2"/>
        <v>190</v>
      </c>
      <c r="T25" s="272" t="str">
        <f t="shared" si="3"/>
        <v>Anaesthetics</v>
      </c>
      <c r="U25" s="275">
        <f t="shared" si="4"/>
        <v>0.2561647385986594</v>
      </c>
      <c r="V25" s="276">
        <f t="shared" si="5"/>
        <v>1.3483109925260504</v>
      </c>
      <c r="W25" s="276">
        <f t="shared" si="6"/>
        <v>0.1284818629284652</v>
      </c>
      <c r="X25" s="277">
        <f t="shared" si="7"/>
        <v>0.11253898356566716</v>
      </c>
    </row>
    <row r="26" spans="1:24">
      <c r="A26" s="271">
        <f>Mandatory!A24</f>
        <v>191</v>
      </c>
      <c r="B26" s="272" t="str">
        <f>INDEX('201314 RC list'!B:B,MATCH(A26,'201314 RC list'!A:A,0))</f>
        <v>Pain Management</v>
      </c>
      <c r="C26" s="273">
        <f>VLOOKUP($A26,PRICES!$A:$CT,90,FALSE)</f>
        <v>157.49247230382991</v>
      </c>
      <c r="D26" s="274">
        <f>VLOOKUP($A26,PRICES!$A:$CT,91,FALSE)</f>
        <v>166.06856575736936</v>
      </c>
      <c r="E26" s="274">
        <f>VLOOKUP($A26,PRICES!$A:$CT,92,FALSE)</f>
        <v>91.879095860175312</v>
      </c>
      <c r="F26" s="272">
        <f>VLOOKUP($A26,PRICES!$A:$CT,93,FALSE)</f>
        <v>118.93710587472907</v>
      </c>
      <c r="G26" s="255" t="str">
        <f>IF(VLOOKUP($A26,PRICES!$A:$CT,80,FALSE)=VLOOKUP($A26,PRICES!$A:$CT,75,FALSE),"Modelled","Manually adjusted")</f>
        <v>Modelled</v>
      </c>
      <c r="H26" s="256" t="str">
        <f>IF(VLOOKUP($A26,PRICES!$A:$CT,81,FALSE)=VLOOKUP($A26,PRICES!$A:$CT,76,FALSE),"Modelled","Manually adjusted")</f>
        <v>Modelled</v>
      </c>
      <c r="I26" s="256" t="str">
        <f>IF(VLOOKUP($A26,PRICES!$A:$CT,82,FALSE)=VLOOKUP($A26,PRICES!$A:$CT,77,FALSE),"Modelled","Manually adjusted")</f>
        <v>Modelled</v>
      </c>
      <c r="J26" s="257" t="str">
        <f>IF(VLOOKUP($A26,PRICES!$A:$CT,83,FALSE)=VLOOKUP($A26,PRICES!$A:$CT,78,FALSE),"Modelled","Manually adjusted")</f>
        <v>Modelled</v>
      </c>
      <c r="L26" s="271">
        <f t="shared" si="0"/>
        <v>191</v>
      </c>
      <c r="M26" s="272" t="str">
        <f t="shared" si="1"/>
        <v>Pain Management</v>
      </c>
      <c r="N26" s="273">
        <f>IF(ISERROR(VLOOKUP($L26,'15-16 tariff'!$A:$F,3,FALSE)),"-",VLOOKUP($L26,'15-16 tariff'!$A:$F,3,FALSE))</f>
        <v>162.45640728742131</v>
      </c>
      <c r="O26" s="274">
        <f>IF(ISERROR(VLOOKUP($L26,'15-16 tariff'!$A:$F,4,FALSE)),"-",VLOOKUP($L26,'15-16 tariff'!$A:$F,4,FALSE))</f>
        <v>162.45640728742131</v>
      </c>
      <c r="P26" s="274">
        <f>IF(ISERROR(VLOOKUP($L26,'15-16 tariff'!$A:$F,5,FALSE)),"-",VLOOKUP($L26,'15-16 tariff'!$A:$F,5,FALSE))</f>
        <v>91.213684933267288</v>
      </c>
      <c r="Q26" s="272">
        <f>IF(ISERROR(VLOOKUP($L26,'15-16 tariff'!$A:$F,6,FALSE)),"-",VLOOKUP($L26,'15-16 tariff'!$A:$F,6,FALSE))</f>
        <v>91.213684933267288</v>
      </c>
      <c r="S26" s="271">
        <f t="shared" si="2"/>
        <v>191</v>
      </c>
      <c r="T26" s="272" t="str">
        <f t="shared" si="3"/>
        <v>Pain Management</v>
      </c>
      <c r="U26" s="275">
        <f t="shared" si="4"/>
        <v>-3.0555489109205136E-2</v>
      </c>
      <c r="V26" s="276">
        <f t="shared" si="5"/>
        <v>2.2234632233109286E-2</v>
      </c>
      <c r="W26" s="276">
        <f t="shared" si="6"/>
        <v>7.2950777878872941E-3</v>
      </c>
      <c r="X26" s="277">
        <f t="shared" si="7"/>
        <v>0.30393927141244736</v>
      </c>
    </row>
    <row r="27" spans="1:24">
      <c r="A27" s="271">
        <f>Mandatory!A25</f>
        <v>211</v>
      </c>
      <c r="B27" s="272" t="str">
        <f>INDEX('201314 RC list'!B:B,MATCH(A27,'201314 RC list'!A:A,0))</f>
        <v>Paediatric Urology</v>
      </c>
      <c r="C27" s="273">
        <f>VLOOKUP($A27,PRICES!$A:$CT,90,FALSE)</f>
        <v>142.90146319221569</v>
      </c>
      <c r="D27" s="274">
        <f>VLOOKUP($A27,PRICES!$A:$CT,91,FALSE)</f>
        <v>179.2280126861549</v>
      </c>
      <c r="E27" s="274">
        <f>VLOOKUP($A27,PRICES!$A:$CT,92,FALSE)</f>
        <v>91.595419642209322</v>
      </c>
      <c r="F27" s="272">
        <f>VLOOKUP($A27,PRICES!$A:$CT,93,FALSE)</f>
        <v>112.72405176857377</v>
      </c>
      <c r="G27" s="255" t="str">
        <f>IF(VLOOKUP($A27,PRICES!$A:$CT,80,FALSE)=VLOOKUP($A27,PRICES!$A:$CT,75,FALSE),"Modelled","Manually adjusted")</f>
        <v>Modelled</v>
      </c>
      <c r="H27" s="256" t="str">
        <f>IF(VLOOKUP($A27,PRICES!$A:$CT,81,FALSE)=VLOOKUP($A27,PRICES!$A:$CT,76,FALSE),"Modelled","Manually adjusted")</f>
        <v>Modelled</v>
      </c>
      <c r="I27" s="256" t="str">
        <f>IF(VLOOKUP($A27,PRICES!$A:$CT,82,FALSE)=VLOOKUP($A27,PRICES!$A:$CT,77,FALSE),"Modelled","Manually adjusted")</f>
        <v>Modelled</v>
      </c>
      <c r="J27" s="257" t="str">
        <f>IF(VLOOKUP($A27,PRICES!$A:$CT,83,FALSE)=VLOOKUP($A27,PRICES!$A:$CT,78,FALSE),"Modelled","Manually adjusted")</f>
        <v>Modelled</v>
      </c>
      <c r="L27" s="271">
        <f t="shared" si="0"/>
        <v>211</v>
      </c>
      <c r="M27" s="272" t="str">
        <f t="shared" si="1"/>
        <v>Paediatric Urology</v>
      </c>
      <c r="N27" s="273">
        <f>IF(ISERROR(VLOOKUP($L27,'15-16 tariff'!$A:$F,3,FALSE)),"-",VLOOKUP($L27,'15-16 tariff'!$A:$F,3,FALSE))</f>
        <v>170.8902902595903</v>
      </c>
      <c r="O27" s="274">
        <f>IF(ISERROR(VLOOKUP($L27,'15-16 tariff'!$A:$F,4,FALSE)),"-",VLOOKUP($L27,'15-16 tariff'!$A:$F,4,FALSE))</f>
        <v>299.97278285998857</v>
      </c>
      <c r="P27" s="274">
        <f>IF(ISERROR(VLOOKUP($L27,'15-16 tariff'!$A:$F,5,FALSE)),"-",VLOOKUP($L27,'15-16 tariff'!$A:$F,5,FALSE))</f>
        <v>142.06684611357159</v>
      </c>
      <c r="Q27" s="272">
        <f>IF(ISERROR(VLOOKUP($L27,'15-16 tariff'!$A:$F,6,FALSE)),"-",VLOOKUP($L27,'15-16 tariff'!$A:$F,6,FALSE))</f>
        <v>204.71980593849548</v>
      </c>
      <c r="S27" s="271">
        <f t="shared" si="2"/>
        <v>211</v>
      </c>
      <c r="T27" s="272" t="str">
        <f t="shared" si="3"/>
        <v>Paediatric Urology</v>
      </c>
      <c r="U27" s="275">
        <f t="shared" si="4"/>
        <v>-0.16378243038184492</v>
      </c>
      <c r="V27" s="276">
        <f t="shared" si="5"/>
        <v>-0.40251908530711911</v>
      </c>
      <c r="W27" s="276">
        <f t="shared" si="6"/>
        <v>-0.3552653405919507</v>
      </c>
      <c r="X27" s="277">
        <f t="shared" si="7"/>
        <v>-0.44937398093060055</v>
      </c>
    </row>
    <row r="28" spans="1:24">
      <c r="A28" s="271">
        <f>Mandatory!A26</f>
        <v>214</v>
      </c>
      <c r="B28" s="272" t="str">
        <f>INDEX('201314 RC list'!B:B,MATCH(A28,'201314 RC list'!A:A,0))</f>
        <v>Paediatric Trauma and Orthopaedics</v>
      </c>
      <c r="C28" s="273">
        <f>VLOOKUP($A28,PRICES!$A:$CT,90,FALSE)</f>
        <v>143.79408182388079</v>
      </c>
      <c r="D28" s="274">
        <f>VLOOKUP($A28,PRICES!$A:$CT,91,FALSE)</f>
        <v>210.71434061736619</v>
      </c>
      <c r="E28" s="274">
        <f>VLOOKUP($A28,PRICES!$A:$CT,92,FALSE)</f>
        <v>101.20699483437907</v>
      </c>
      <c r="F28" s="272">
        <f>VLOOKUP($A28,PRICES!$A:$CT,93,FALSE)</f>
        <v>172.87798651756981</v>
      </c>
      <c r="G28" s="255" t="str">
        <f>IF(VLOOKUP($A28,PRICES!$A:$CT,80,FALSE)=VLOOKUP($A28,PRICES!$A:$CT,75,FALSE),"Modelled","Manually adjusted")</f>
        <v>Modelled</v>
      </c>
      <c r="H28" s="256" t="str">
        <f>IF(VLOOKUP($A28,PRICES!$A:$CT,81,FALSE)=VLOOKUP($A28,PRICES!$A:$CT,76,FALSE),"Modelled","Manually adjusted")</f>
        <v>Modelled</v>
      </c>
      <c r="I28" s="256" t="str">
        <f>IF(VLOOKUP($A28,PRICES!$A:$CT,82,FALSE)=VLOOKUP($A28,PRICES!$A:$CT,77,FALSE),"Modelled","Manually adjusted")</f>
        <v>Modelled</v>
      </c>
      <c r="J28" s="257" t="str">
        <f>IF(VLOOKUP($A28,PRICES!$A:$CT,83,FALSE)=VLOOKUP($A28,PRICES!$A:$CT,78,FALSE),"Modelled","Manually adjusted")</f>
        <v>Modelled</v>
      </c>
      <c r="L28" s="271">
        <f t="shared" si="0"/>
        <v>214</v>
      </c>
      <c r="M28" s="272" t="str">
        <f t="shared" si="1"/>
        <v>Paediatric Trauma and Orthopaedics</v>
      </c>
      <c r="N28" s="273">
        <f>IF(ISERROR(VLOOKUP($L28,'15-16 tariff'!$A:$F,3,FALSE)),"-",VLOOKUP($L28,'15-16 tariff'!$A:$F,3,FALSE))</f>
        <v>144.01728251064748</v>
      </c>
      <c r="O28" s="274">
        <f>IF(ISERROR(VLOOKUP($L28,'15-16 tariff'!$A:$F,4,FALSE)),"-",VLOOKUP($L28,'15-16 tariff'!$A:$F,4,FALSE))</f>
        <v>144.01728251064748</v>
      </c>
      <c r="P28" s="274">
        <f>IF(ISERROR(VLOOKUP($L28,'15-16 tariff'!$A:$F,5,FALSE)),"-",VLOOKUP($L28,'15-16 tariff'!$A:$F,5,FALSE))</f>
        <v>92.488314240729693</v>
      </c>
      <c r="Q28" s="272">
        <f>IF(ISERROR(VLOOKUP($L28,'15-16 tariff'!$A:$F,6,FALSE)),"-",VLOOKUP($L28,'15-16 tariff'!$A:$F,6,FALSE))</f>
        <v>107.82378758052576</v>
      </c>
      <c r="S28" s="271">
        <f t="shared" si="2"/>
        <v>214</v>
      </c>
      <c r="T28" s="272" t="str">
        <f t="shared" si="3"/>
        <v>Paediatric Trauma and Orthopaedics</v>
      </c>
      <c r="U28" s="275">
        <f t="shared" si="4"/>
        <v>-1.549818763940225E-3</v>
      </c>
      <c r="V28" s="276">
        <f t="shared" si="5"/>
        <v>0.46311843234361594</v>
      </c>
      <c r="W28" s="276">
        <f t="shared" si="6"/>
        <v>9.4267915522346923E-2</v>
      </c>
      <c r="X28" s="277">
        <f t="shared" si="7"/>
        <v>0.60333809817671069</v>
      </c>
    </row>
    <row r="29" spans="1:24">
      <c r="A29" s="271">
        <f>Mandatory!A27</f>
        <v>215</v>
      </c>
      <c r="B29" s="272" t="str">
        <f>INDEX('201314 RC list'!B:B,MATCH(A29,'201314 RC list'!A:A,0))</f>
        <v>Paediatric Ear Nose and Throat</v>
      </c>
      <c r="C29" s="278">
        <f>VLOOKUP($A29,PRICES!$A:$CT,90,FALSE)</f>
        <v>117.66385384940904</v>
      </c>
      <c r="D29" s="279">
        <f>VLOOKUP($A29,PRICES!$A:$CT,91,FALSE)</f>
        <v>138.11457382366746</v>
      </c>
      <c r="E29" s="279">
        <f>VLOOKUP($A29,PRICES!$A:$CT,92,FALSE)</f>
        <v>74.853845213095596</v>
      </c>
      <c r="F29" s="280">
        <f>VLOOKUP($A29,PRICES!$A:$CT,93,FALSE)</f>
        <v>93.968703065219415</v>
      </c>
      <c r="G29" s="255" t="str">
        <f>IF(VLOOKUP($A29,PRICES!$A:$CT,80,FALSE)=VLOOKUP($A29,PRICES!$A:$CT,75,FALSE),"Modelled","Manually adjusted")</f>
        <v>Modelled</v>
      </c>
      <c r="H29" s="256" t="str">
        <f>IF(VLOOKUP($A29,PRICES!$A:$CT,81,FALSE)=VLOOKUP($A29,PRICES!$A:$CT,76,FALSE),"Modelled","Manually adjusted")</f>
        <v>Modelled</v>
      </c>
      <c r="I29" s="256" t="str">
        <f>IF(VLOOKUP($A29,PRICES!$A:$CT,82,FALSE)=VLOOKUP($A29,PRICES!$A:$CT,77,FALSE),"Modelled","Manually adjusted")</f>
        <v>Modelled</v>
      </c>
      <c r="J29" s="257" t="str">
        <f>IF(VLOOKUP($A29,PRICES!$A:$CT,83,FALSE)=VLOOKUP($A29,PRICES!$A:$CT,78,FALSE),"Modelled","Manually adjusted")</f>
        <v>Modelled</v>
      </c>
      <c r="L29" s="271">
        <f t="shared" si="0"/>
        <v>215</v>
      </c>
      <c r="M29" s="272" t="str">
        <f t="shared" si="1"/>
        <v>Paediatric Ear Nose and Throat</v>
      </c>
      <c r="N29" s="278">
        <f>IF(ISERROR(VLOOKUP($L29,'15-16 tariff'!$A:$F,3,FALSE)),"-",VLOOKUP($L29,'15-16 tariff'!$A:$F,3,FALSE))</f>
        <v>105.88554271684976</v>
      </c>
      <c r="O29" s="279">
        <f>IF(ISERROR(VLOOKUP($L29,'15-16 tariff'!$A:$F,4,FALSE)),"-",VLOOKUP($L29,'15-16 tariff'!$A:$F,4,FALSE))</f>
        <v>165.32800386763492</v>
      </c>
      <c r="P29" s="279">
        <f>IF(ISERROR(VLOOKUP($L29,'15-16 tariff'!$A:$F,5,FALSE)),"-",VLOOKUP($L29,'15-16 tariff'!$A:$F,5,FALSE))</f>
        <v>65.290580208896841</v>
      </c>
      <c r="Q29" s="280">
        <f>IF(ISERROR(VLOOKUP($L29,'15-16 tariff'!$A:$F,6,FALSE)),"-",VLOOKUP($L29,'15-16 tariff'!$A:$F,6,FALSE))</f>
        <v>90.510990015854375</v>
      </c>
      <c r="S29" s="271">
        <f t="shared" si="2"/>
        <v>215</v>
      </c>
      <c r="T29" s="272" t="str">
        <f t="shared" si="3"/>
        <v>Paediatric Ear Nose and Throat</v>
      </c>
      <c r="U29" s="275">
        <f t="shared" si="4"/>
        <v>0.11123625407536375</v>
      </c>
      <c r="V29" s="276">
        <f t="shared" si="5"/>
        <v>-0.1646026650497463</v>
      </c>
      <c r="W29" s="276">
        <f t="shared" si="6"/>
        <v>0.14647235441316564</v>
      </c>
      <c r="X29" s="277">
        <f t="shared" si="7"/>
        <v>3.8202134887259209E-2</v>
      </c>
    </row>
    <row r="30" spans="1:24">
      <c r="A30" s="271">
        <f>Mandatory!A28</f>
        <v>216</v>
      </c>
      <c r="B30" s="272" t="str">
        <f>INDEX('201314 RC list'!B:B,MATCH(A30,'201314 RC list'!A:A,0))</f>
        <v>Paediatric Ophthalmology</v>
      </c>
      <c r="C30" s="278">
        <f>VLOOKUP($A30,PRICES!$A:$CT,90,FALSE)</f>
        <v>118.6899056600854</v>
      </c>
      <c r="D30" s="279">
        <f>VLOOKUP($A30,PRICES!$A:$CT,91,FALSE)</f>
        <v>137.25301855901805</v>
      </c>
      <c r="E30" s="279">
        <f>VLOOKUP($A30,PRICES!$A:$CT,92,FALSE)</f>
        <v>81.858684888923094</v>
      </c>
      <c r="F30" s="280">
        <f>VLOOKUP($A30,PRICES!$A:$CT,93,FALSE)</f>
        <v>86.857506809991136</v>
      </c>
      <c r="G30" s="255" t="str">
        <f>IF(VLOOKUP($A30,PRICES!$A:$CT,80,FALSE)=VLOOKUP($A30,PRICES!$A:$CT,75,FALSE),"Modelled","Manually adjusted")</f>
        <v>Modelled</v>
      </c>
      <c r="H30" s="256" t="str">
        <f>IF(VLOOKUP($A30,PRICES!$A:$CT,81,FALSE)=VLOOKUP($A30,PRICES!$A:$CT,76,FALSE),"Modelled","Manually adjusted")</f>
        <v>Modelled</v>
      </c>
      <c r="I30" s="256" t="str">
        <f>IF(VLOOKUP($A30,PRICES!$A:$CT,82,FALSE)=VLOOKUP($A30,PRICES!$A:$CT,77,FALSE),"Modelled","Manually adjusted")</f>
        <v>Modelled</v>
      </c>
      <c r="J30" s="257" t="str">
        <f>IF(VLOOKUP($A30,PRICES!$A:$CT,83,FALSE)=VLOOKUP($A30,PRICES!$A:$CT,78,FALSE),"Modelled","Manually adjusted")</f>
        <v>Modelled</v>
      </c>
      <c r="L30" s="271">
        <f t="shared" si="0"/>
        <v>216</v>
      </c>
      <c r="M30" s="272" t="str">
        <f t="shared" si="1"/>
        <v>Paediatric Ophthalmology</v>
      </c>
      <c r="N30" s="278">
        <f>IF(ISERROR(VLOOKUP($L30,'15-16 tariff'!$A:$F,3,FALSE)),"-",VLOOKUP($L30,'15-16 tariff'!$A:$F,3,FALSE))</f>
        <v>134.11275840262138</v>
      </c>
      <c r="O30" s="279">
        <f>IF(ISERROR(VLOOKUP($L30,'15-16 tariff'!$A:$F,4,FALSE)),"-",VLOOKUP($L30,'15-16 tariff'!$A:$F,4,FALSE))</f>
        <v>163.53522167468603</v>
      </c>
      <c r="P30" s="279">
        <f>IF(ISERROR(VLOOKUP($L30,'15-16 tariff'!$A:$F,5,FALSE)),"-",VLOOKUP($L30,'15-16 tariff'!$A:$F,5,FALSE))</f>
        <v>80.586110844261711</v>
      </c>
      <c r="Q30" s="280">
        <f>IF(ISERROR(VLOOKUP($L30,'15-16 tariff'!$A:$F,6,FALSE)),"-",VLOOKUP($L30,'15-16 tariff'!$A:$F,6,FALSE))</f>
        <v>133.77184682374534</v>
      </c>
      <c r="S30" s="271">
        <f t="shared" si="2"/>
        <v>216</v>
      </c>
      <c r="T30" s="272" t="str">
        <f t="shared" si="3"/>
        <v>Paediatric Ophthalmology</v>
      </c>
      <c r="U30" s="275">
        <f t="shared" si="4"/>
        <v>-0.11499914643642528</v>
      </c>
      <c r="V30" s="276">
        <f t="shared" si="5"/>
        <v>-0.16071279842057573</v>
      </c>
      <c r="W30" s="276">
        <f t="shared" si="6"/>
        <v>1.5791481079422187E-2</v>
      </c>
      <c r="X30" s="277">
        <f t="shared" si="7"/>
        <v>-0.35070413639102582</v>
      </c>
    </row>
    <row r="31" spans="1:24">
      <c r="A31" s="271">
        <f>Mandatory!A29</f>
        <v>217</v>
      </c>
      <c r="B31" s="272" t="str">
        <f>INDEX('201314 RC list'!B:B,MATCH(A31,'201314 RC list'!A:A,0))</f>
        <v>Paediatric Maxillo-Facial Surgery</v>
      </c>
      <c r="C31" s="278">
        <f>VLOOKUP($A31,PRICES!$A:$CT,90,FALSE)</f>
        <v>109.19418552640656</v>
      </c>
      <c r="D31" s="279">
        <f>VLOOKUP($A31,PRICES!$A:$CT,91,FALSE)</f>
        <v>217.77313557705392</v>
      </c>
      <c r="E31" s="279">
        <f>VLOOKUP($A31,PRICES!$A:$CT,92,FALSE)</f>
        <v>106.22789387065517</v>
      </c>
      <c r="F31" s="280">
        <f>VLOOKUP($A31,PRICES!$A:$CT,93,FALSE)</f>
        <v>212.45578774131033</v>
      </c>
      <c r="G31" s="255" t="str">
        <f>IF(VLOOKUP($A31,PRICES!$A:$CT,80,FALSE)=VLOOKUP($A31,PRICES!$A:$CT,75,FALSE),"Modelled","Manually adjusted")</f>
        <v>Modelled</v>
      </c>
      <c r="H31" s="256" t="str">
        <f>IF(VLOOKUP($A31,PRICES!$A:$CT,81,FALSE)=VLOOKUP($A31,PRICES!$A:$CT,76,FALSE),"Modelled","Manually adjusted")</f>
        <v>Modelled</v>
      </c>
      <c r="I31" s="256" t="str">
        <f>IF(VLOOKUP($A31,PRICES!$A:$CT,82,FALSE)=VLOOKUP($A31,PRICES!$A:$CT,77,FALSE),"Modelled","Manually adjusted")</f>
        <v>Modelled</v>
      </c>
      <c r="J31" s="257" t="str">
        <f>IF(VLOOKUP($A31,PRICES!$A:$CT,83,FALSE)=VLOOKUP($A31,PRICES!$A:$CT,78,FALSE),"Modelled","Manually adjusted")</f>
        <v>Modelled</v>
      </c>
      <c r="L31" s="271">
        <f t="shared" si="0"/>
        <v>217</v>
      </c>
      <c r="M31" s="272" t="str">
        <f t="shared" si="1"/>
        <v>Paediatric Maxillo-Facial Surgery</v>
      </c>
      <c r="N31" s="278">
        <f>IF(ISERROR(VLOOKUP($L31,'15-16 tariff'!$A:$F,3,FALSE)),"-",VLOOKUP($L31,'15-16 tariff'!$A:$F,3,FALSE))</f>
        <v>126.82598732288648</v>
      </c>
      <c r="O31" s="279">
        <f>IF(ISERROR(VLOOKUP($L31,'15-16 tariff'!$A:$F,4,FALSE)),"-",VLOOKUP($L31,'15-16 tariff'!$A:$F,4,FALSE))</f>
        <v>209.66579321959395</v>
      </c>
      <c r="P31" s="279">
        <f>IF(ISERROR(VLOOKUP($L31,'15-16 tariff'!$A:$F,5,FALSE)),"-",VLOOKUP($L31,'15-16 tariff'!$A:$F,5,FALSE))</f>
        <v>126.82598732288648</v>
      </c>
      <c r="Q31" s="280">
        <f>IF(ISERROR(VLOOKUP($L31,'15-16 tariff'!$A:$F,6,FALSE)),"-",VLOOKUP($L31,'15-16 tariff'!$A:$F,6,FALSE))</f>
        <v>185.53206535979029</v>
      </c>
      <c r="S31" s="271">
        <f t="shared" si="2"/>
        <v>217</v>
      </c>
      <c r="T31" s="272" t="str">
        <f t="shared" si="3"/>
        <v>Paediatric Maxillo-Facial Surgery</v>
      </c>
      <c r="U31" s="275">
        <f t="shared" si="4"/>
        <v>-0.13902357212951233</v>
      </c>
      <c r="V31" s="276">
        <f t="shared" si="5"/>
        <v>3.8667930676554052E-2</v>
      </c>
      <c r="W31" s="276">
        <f t="shared" si="6"/>
        <v>-0.16241224599963566</v>
      </c>
      <c r="X31" s="277">
        <f t="shared" si="7"/>
        <v>0.14511627588098386</v>
      </c>
    </row>
    <row r="32" spans="1:24">
      <c r="A32" s="271">
        <f>Mandatory!A30</f>
        <v>218</v>
      </c>
      <c r="B32" s="272" t="str">
        <f>INDEX('201314 RC list'!B:B,MATCH(A32,'201314 RC list'!A:A,0))</f>
        <v>Paediatric Neurosurgery</v>
      </c>
      <c r="C32" s="278">
        <f>VLOOKUP($A32,PRICES!$A:$CT,90,FALSE)</f>
        <v>274.83310934748772</v>
      </c>
      <c r="D32" s="279">
        <f>VLOOKUP($A32,PRICES!$A:$CT,91,FALSE)</f>
        <v>274.83310934748772</v>
      </c>
      <c r="E32" s="279">
        <f>VLOOKUP($A32,PRICES!$A:$CT,92,FALSE)</f>
        <v>145.81602674933578</v>
      </c>
      <c r="F32" s="280">
        <f>VLOOKUP($A32,PRICES!$A:$CT,93,FALSE)</f>
        <v>164.48648787116974</v>
      </c>
      <c r="G32" s="255" t="str">
        <f>IF(VLOOKUP($A32,PRICES!$A:$CT,80,FALSE)=VLOOKUP($A32,PRICES!$A:$CT,75,FALSE),"Modelled","Manually adjusted")</f>
        <v>Modelled</v>
      </c>
      <c r="H32" s="256" t="str">
        <f>IF(VLOOKUP($A32,PRICES!$A:$CT,81,FALSE)=VLOOKUP($A32,PRICES!$A:$CT,76,FALSE),"Modelled","Manually adjusted")</f>
        <v>Modelled</v>
      </c>
      <c r="I32" s="256" t="str">
        <f>IF(VLOOKUP($A32,PRICES!$A:$CT,82,FALSE)=VLOOKUP($A32,PRICES!$A:$CT,77,FALSE),"Modelled","Manually adjusted")</f>
        <v>Modelled</v>
      </c>
      <c r="J32" s="257" t="str">
        <f>IF(VLOOKUP($A32,PRICES!$A:$CT,83,FALSE)=VLOOKUP($A32,PRICES!$A:$CT,78,FALSE),"Modelled","Manually adjusted")</f>
        <v>Modelled</v>
      </c>
      <c r="L32" s="271">
        <f t="shared" si="0"/>
        <v>218</v>
      </c>
      <c r="M32" s="272" t="str">
        <f t="shared" si="1"/>
        <v>Paediatric Neurosurgery</v>
      </c>
      <c r="N32" s="278" t="str">
        <f>IF(ISERROR(VLOOKUP($L32,'15-16 tariff'!$A:$F,3,FALSE)),"-",VLOOKUP($L32,'15-16 tariff'!$A:$F,3,FALSE))</f>
        <v>-</v>
      </c>
      <c r="O32" s="279" t="str">
        <f>IF(ISERROR(VLOOKUP($L32,'15-16 tariff'!$A:$F,4,FALSE)),"-",VLOOKUP($L32,'15-16 tariff'!$A:$F,4,FALSE))</f>
        <v>-</v>
      </c>
      <c r="P32" s="279" t="str">
        <f>IF(ISERROR(VLOOKUP($L32,'15-16 tariff'!$A:$F,5,FALSE)),"-",VLOOKUP($L32,'15-16 tariff'!$A:$F,5,FALSE))</f>
        <v>-</v>
      </c>
      <c r="Q32" s="280" t="str">
        <f>IF(ISERROR(VLOOKUP($L32,'15-16 tariff'!$A:$F,6,FALSE)),"-",VLOOKUP($L32,'15-16 tariff'!$A:$F,6,FALSE))</f>
        <v>-</v>
      </c>
      <c r="S32" s="271">
        <f t="shared" si="2"/>
        <v>218</v>
      </c>
      <c r="T32" s="272" t="str">
        <f t="shared" si="3"/>
        <v>Paediatric Neurosurgery</v>
      </c>
      <c r="U32" s="275" t="str">
        <f t="shared" ref="U32" si="12">IFERROR(C32/N32-1,"")</f>
        <v/>
      </c>
      <c r="V32" s="276" t="str">
        <f t="shared" ref="V32" si="13">IFERROR(D32/O32-1,"")</f>
        <v/>
      </c>
      <c r="W32" s="276" t="str">
        <f t="shared" ref="W32" si="14">IFERROR(E32/P32-1,"")</f>
        <v/>
      </c>
      <c r="X32" s="277" t="str">
        <f t="shared" ref="X32" si="15">IFERROR(F32/Q32-1,"")</f>
        <v/>
      </c>
    </row>
    <row r="33" spans="1:24">
      <c r="A33" s="271">
        <f>Mandatory!A31</f>
        <v>219</v>
      </c>
      <c r="B33" s="272" t="str">
        <f>INDEX('201314 RC list'!B:B,MATCH(A33,'201314 RC list'!A:A,0))</f>
        <v>Paediatric Plastic Surgery</v>
      </c>
      <c r="C33" s="278">
        <f>VLOOKUP($A33,PRICES!$A:$CT,90,FALSE)</f>
        <v>170.60070516180392</v>
      </c>
      <c r="D33" s="279">
        <f>VLOOKUP($A33,PRICES!$A:$CT,91,FALSE)</f>
        <v>252.69175363542283</v>
      </c>
      <c r="E33" s="279">
        <f>VLOOKUP($A33,PRICES!$A:$CT,92,FALSE)</f>
        <v>111.53654864217725</v>
      </c>
      <c r="F33" s="280">
        <f>VLOOKUP($A33,PRICES!$A:$CT,93,FALSE)</f>
        <v>113.72581536349293</v>
      </c>
      <c r="G33" s="255" t="str">
        <f>IF(VLOOKUP($A33,PRICES!$A:$CT,80,FALSE)=VLOOKUP($A33,PRICES!$A:$CT,75,FALSE),"Modelled","Manually adjusted")</f>
        <v>Modelled</v>
      </c>
      <c r="H33" s="256" t="str">
        <f>IF(VLOOKUP($A33,PRICES!$A:$CT,81,FALSE)=VLOOKUP($A33,PRICES!$A:$CT,76,FALSE),"Modelled","Manually adjusted")</f>
        <v>Modelled</v>
      </c>
      <c r="I33" s="256" t="str">
        <f>IF(VLOOKUP($A33,PRICES!$A:$CT,82,FALSE)=VLOOKUP($A33,PRICES!$A:$CT,77,FALSE),"Modelled","Manually adjusted")</f>
        <v>Modelled</v>
      </c>
      <c r="J33" s="257" t="str">
        <f>IF(VLOOKUP($A33,PRICES!$A:$CT,83,FALSE)=VLOOKUP($A33,PRICES!$A:$CT,78,FALSE),"Modelled","Manually adjusted")</f>
        <v>Modelled</v>
      </c>
      <c r="L33" s="271">
        <f t="shared" si="0"/>
        <v>219</v>
      </c>
      <c r="M33" s="272" t="str">
        <f t="shared" si="1"/>
        <v>Paediatric Plastic Surgery</v>
      </c>
      <c r="N33" s="278">
        <f>IF(ISERROR(VLOOKUP($L33,'15-16 tariff'!$A:$F,3,FALSE)),"-",VLOOKUP($L33,'15-16 tariff'!$A:$F,3,FALSE))</f>
        <v>135.79455719430786</v>
      </c>
      <c r="O33" s="279">
        <f>IF(ISERROR(VLOOKUP($L33,'15-16 tariff'!$A:$F,4,FALSE)),"-",VLOOKUP($L33,'15-16 tariff'!$A:$F,4,FALSE))</f>
        <v>191.19149417717065</v>
      </c>
      <c r="P33" s="279">
        <f>IF(ISERROR(VLOOKUP($L33,'15-16 tariff'!$A:$F,5,FALSE)),"-",VLOOKUP($L33,'15-16 tariff'!$A:$F,5,FALSE))</f>
        <v>103.54392175147757</v>
      </c>
      <c r="Q33" s="280">
        <f>IF(ISERROR(VLOOKUP($L33,'15-16 tariff'!$A:$F,6,FALSE)),"-",VLOOKUP($L33,'15-16 tariff'!$A:$F,6,FALSE))</f>
        <v>103.54392175147757</v>
      </c>
      <c r="S33" s="271">
        <f t="shared" si="2"/>
        <v>219</v>
      </c>
      <c r="T33" s="272" t="str">
        <f t="shared" si="3"/>
        <v>Paediatric Plastic Surgery</v>
      </c>
      <c r="U33" s="275">
        <f t="shared" si="4"/>
        <v>0.25631474991808467</v>
      </c>
      <c r="V33" s="276">
        <f t="shared" si="5"/>
        <v>0.32166838657195695</v>
      </c>
      <c r="W33" s="276">
        <f t="shared" si="6"/>
        <v>7.7190691211052487E-2</v>
      </c>
      <c r="X33" s="277">
        <f t="shared" si="7"/>
        <v>9.8334054184789021E-2</v>
      </c>
    </row>
    <row r="34" spans="1:24">
      <c r="A34" s="271">
        <f>Mandatory!A32</f>
        <v>223</v>
      </c>
      <c r="B34" s="272" t="str">
        <f>INDEX('201314 RC list'!B:B,MATCH(A34,'201314 RC list'!A:A,0))</f>
        <v>Paediatric Epilepsy</v>
      </c>
      <c r="C34" s="278">
        <f>VLOOKUP($A34,PRICES!$A:$CT,90,FALSE)</f>
        <v>281.55409058673774</v>
      </c>
      <c r="D34" s="279">
        <f>VLOOKUP($A34,PRICES!$A:$CT,91,FALSE)</f>
        <v>281.55409058673774</v>
      </c>
      <c r="E34" s="279">
        <f>VLOOKUP($A34,PRICES!$A:$CT,92,FALSE)</f>
        <v>132.63920914646988</v>
      </c>
      <c r="F34" s="280">
        <f>VLOOKUP($A34,PRICES!$A:$CT,93,FALSE)</f>
        <v>132.63920914646988</v>
      </c>
      <c r="G34" s="255" t="str">
        <f>IF(VLOOKUP($A34,PRICES!$A:$CT,80,FALSE)=VLOOKUP($A34,PRICES!$A:$CT,75,FALSE),"Modelled","Manually adjusted")</f>
        <v>Modelled</v>
      </c>
      <c r="H34" s="256" t="str">
        <f>IF(VLOOKUP($A34,PRICES!$A:$CT,81,FALSE)=VLOOKUP($A34,PRICES!$A:$CT,76,FALSE),"Modelled","Manually adjusted")</f>
        <v>Modelled</v>
      </c>
      <c r="I34" s="256" t="str">
        <f>IF(VLOOKUP($A34,PRICES!$A:$CT,82,FALSE)=VLOOKUP($A34,PRICES!$A:$CT,77,FALSE),"Modelled","Manually adjusted")</f>
        <v>Modelled</v>
      </c>
      <c r="J34" s="257" t="str">
        <f>IF(VLOOKUP($A34,PRICES!$A:$CT,83,FALSE)=VLOOKUP($A34,PRICES!$A:$CT,78,FALSE),"Modelled","Manually adjusted")</f>
        <v>Modelled</v>
      </c>
      <c r="L34" s="271">
        <f t="shared" si="0"/>
        <v>223</v>
      </c>
      <c r="M34" s="272" t="str">
        <f t="shared" si="1"/>
        <v>Paediatric Epilepsy</v>
      </c>
      <c r="N34" s="278">
        <f>IF(ISERROR(VLOOKUP($L34,'15-16 tariff'!$A:$F,3,FALSE)),"-",VLOOKUP($L34,'15-16 tariff'!$A:$F,3,FALSE))</f>
        <v>210.42770488104574</v>
      </c>
      <c r="O34" s="279">
        <f>IF(ISERROR(VLOOKUP($L34,'15-16 tariff'!$A:$F,4,FALSE)),"-",VLOOKUP($L34,'15-16 tariff'!$A:$F,4,FALSE))</f>
        <v>210.42770488104574</v>
      </c>
      <c r="P34" s="279">
        <f>IF(ISERROR(VLOOKUP($L34,'15-16 tariff'!$A:$F,5,FALSE)),"-",VLOOKUP($L34,'15-16 tariff'!$A:$F,5,FALSE))</f>
        <v>167</v>
      </c>
      <c r="Q34" s="280">
        <f>IF(ISERROR(VLOOKUP($L34,'15-16 tariff'!$A:$F,6,FALSE)),"-",VLOOKUP($L34,'15-16 tariff'!$A:$F,6,FALSE))</f>
        <v>167</v>
      </c>
      <c r="S34" s="271">
        <f t="shared" si="2"/>
        <v>223</v>
      </c>
      <c r="T34" s="272" t="str">
        <f t="shared" si="3"/>
        <v>Paediatric Epilepsy</v>
      </c>
      <c r="U34" s="275">
        <f t="shared" si="4"/>
        <v>0.33800865596999019</v>
      </c>
      <c r="V34" s="276">
        <f t="shared" si="5"/>
        <v>0.33800865596999019</v>
      </c>
      <c r="W34" s="276">
        <f t="shared" si="6"/>
        <v>-0.20575323864389294</v>
      </c>
      <c r="X34" s="277">
        <f t="shared" si="7"/>
        <v>-0.20575323864389294</v>
      </c>
    </row>
    <row r="35" spans="1:24">
      <c r="A35" s="271">
        <f>Mandatory!A33</f>
        <v>251</v>
      </c>
      <c r="B35" s="272" t="str">
        <f>INDEX('201314 RC list'!B:B,MATCH(A35,'201314 RC list'!A:A,0))</f>
        <v>Paediatric Gastroenterology</v>
      </c>
      <c r="C35" s="278">
        <f>VLOOKUP($A35,PRICES!$A:$CT,90,FALSE)</f>
        <v>245.37567994096503</v>
      </c>
      <c r="D35" s="279">
        <f>VLOOKUP($A35,PRICES!$A:$CT,91,FALSE)</f>
        <v>245.37567994096503</v>
      </c>
      <c r="E35" s="279">
        <f>VLOOKUP($A35,PRICES!$A:$CT,92,FALSE)</f>
        <v>160.794675806968</v>
      </c>
      <c r="F35" s="280">
        <f>VLOOKUP($A35,PRICES!$A:$CT,93,FALSE)</f>
        <v>160.794675806968</v>
      </c>
      <c r="G35" s="255" t="str">
        <f>IF(VLOOKUP($A35,PRICES!$A:$CT,80,FALSE)=VLOOKUP($A35,PRICES!$A:$CT,75,FALSE),"Modelled","Manually adjusted")</f>
        <v>Modelled</v>
      </c>
      <c r="H35" s="256" t="str">
        <f>IF(VLOOKUP($A35,PRICES!$A:$CT,81,FALSE)=VLOOKUP($A35,PRICES!$A:$CT,76,FALSE),"Modelled","Manually adjusted")</f>
        <v>Modelled</v>
      </c>
      <c r="I35" s="256" t="str">
        <f>IF(VLOOKUP($A35,PRICES!$A:$CT,82,FALSE)=VLOOKUP($A35,PRICES!$A:$CT,77,FALSE),"Modelled","Manually adjusted")</f>
        <v>Modelled</v>
      </c>
      <c r="J35" s="257" t="str">
        <f>IF(VLOOKUP($A35,PRICES!$A:$CT,83,FALSE)=VLOOKUP($A35,PRICES!$A:$CT,78,FALSE),"Modelled","Manually adjusted")</f>
        <v>Modelled</v>
      </c>
      <c r="L35" s="271">
        <f t="shared" si="0"/>
        <v>251</v>
      </c>
      <c r="M35" s="272" t="str">
        <f t="shared" si="1"/>
        <v>Paediatric Gastroenterology</v>
      </c>
      <c r="N35" s="278">
        <f>IF(ISERROR(VLOOKUP($L35,'15-16 tariff'!$A:$F,3,FALSE)),"-",VLOOKUP($L35,'15-16 tariff'!$A:$F,3,FALSE))</f>
        <v>253.15944325564755</v>
      </c>
      <c r="O35" s="279">
        <f>IF(ISERROR(VLOOKUP($L35,'15-16 tariff'!$A:$F,4,FALSE)),"-",VLOOKUP($L35,'15-16 tariff'!$A:$F,4,FALSE))</f>
        <v>253.15944325564755</v>
      </c>
      <c r="P35" s="279">
        <f>IF(ISERROR(VLOOKUP($L35,'15-16 tariff'!$A:$F,5,FALSE)),"-",VLOOKUP($L35,'15-16 tariff'!$A:$F,5,FALSE))</f>
        <v>147.10018272844619</v>
      </c>
      <c r="Q35" s="280">
        <f>IF(ISERROR(VLOOKUP($L35,'15-16 tariff'!$A:$F,6,FALSE)),"-",VLOOKUP($L35,'15-16 tariff'!$A:$F,6,FALSE))</f>
        <v>147.10018272844619</v>
      </c>
      <c r="S35" s="271">
        <f t="shared" si="2"/>
        <v>251</v>
      </c>
      <c r="T35" s="272" t="str">
        <f t="shared" si="3"/>
        <v>Paediatric Gastroenterology</v>
      </c>
      <c r="U35" s="275">
        <f t="shared" si="4"/>
        <v>-3.0746486145580065E-2</v>
      </c>
      <c r="V35" s="276">
        <f t="shared" si="5"/>
        <v>-3.0746486145580065E-2</v>
      </c>
      <c r="W35" s="276">
        <f t="shared" si="6"/>
        <v>9.3096370273057394E-2</v>
      </c>
      <c r="X35" s="277">
        <f t="shared" si="7"/>
        <v>9.3096370273057394E-2</v>
      </c>
    </row>
    <row r="36" spans="1:24">
      <c r="A36" s="271">
        <f>Mandatory!A34</f>
        <v>252</v>
      </c>
      <c r="B36" s="272" t="str">
        <f>INDEX('201314 RC list'!B:B,MATCH(A36,'201314 RC list'!A:A,0))</f>
        <v>Paediatric Endocrinology</v>
      </c>
      <c r="C36" s="278">
        <f>VLOOKUP($A36,PRICES!$A:$CT,90,FALSE)</f>
        <v>329.43664554845651</v>
      </c>
      <c r="D36" s="279">
        <f>VLOOKUP($A36,PRICES!$A:$CT,91,FALSE)</f>
        <v>329.43664554845651</v>
      </c>
      <c r="E36" s="279">
        <f>VLOOKUP($A36,PRICES!$A:$CT,92,FALSE)</f>
        <v>156.04512139651365</v>
      </c>
      <c r="F36" s="280">
        <f>VLOOKUP($A36,PRICES!$A:$CT,93,FALSE)</f>
        <v>163.3476358971553</v>
      </c>
      <c r="G36" s="255" t="str">
        <f>IF(VLOOKUP($A36,PRICES!$A:$CT,80,FALSE)=VLOOKUP($A36,PRICES!$A:$CT,75,FALSE),"Modelled","Manually adjusted")</f>
        <v>Modelled</v>
      </c>
      <c r="H36" s="256" t="str">
        <f>IF(VLOOKUP($A36,PRICES!$A:$CT,81,FALSE)=VLOOKUP($A36,PRICES!$A:$CT,76,FALSE),"Modelled","Manually adjusted")</f>
        <v>Modelled</v>
      </c>
      <c r="I36" s="256" t="str">
        <f>IF(VLOOKUP($A36,PRICES!$A:$CT,82,FALSE)=VLOOKUP($A36,PRICES!$A:$CT,77,FALSE),"Modelled","Manually adjusted")</f>
        <v>Modelled</v>
      </c>
      <c r="J36" s="257" t="str">
        <f>IF(VLOOKUP($A36,PRICES!$A:$CT,83,FALSE)=VLOOKUP($A36,PRICES!$A:$CT,78,FALSE),"Modelled","Manually adjusted")</f>
        <v>Modelled</v>
      </c>
      <c r="L36" s="271">
        <f t="shared" si="0"/>
        <v>252</v>
      </c>
      <c r="M36" s="272" t="str">
        <f t="shared" si="1"/>
        <v>Paediatric Endocrinology</v>
      </c>
      <c r="N36" s="278">
        <f>IF(ISERROR(VLOOKUP($L36,'15-16 tariff'!$A:$F,3,FALSE)),"-",VLOOKUP($L36,'15-16 tariff'!$A:$F,3,FALSE))</f>
        <v>380.08943460751425</v>
      </c>
      <c r="O36" s="279">
        <f>IF(ISERROR(VLOOKUP($L36,'15-16 tariff'!$A:$F,4,FALSE)),"-",VLOOKUP($L36,'15-16 tariff'!$A:$F,4,FALSE))</f>
        <v>380.08943460751425</v>
      </c>
      <c r="P36" s="279">
        <f>IF(ISERROR(VLOOKUP($L36,'15-16 tariff'!$A:$F,5,FALSE)),"-",VLOOKUP($L36,'15-16 tariff'!$A:$F,5,FALSE))</f>
        <v>183.49583390393013</v>
      </c>
      <c r="Q36" s="280">
        <f>IF(ISERROR(VLOOKUP($L36,'15-16 tariff'!$A:$F,6,FALSE)),"-",VLOOKUP($L36,'15-16 tariff'!$A:$F,6,FALSE))</f>
        <v>197.38483284429159</v>
      </c>
      <c r="S36" s="271">
        <f t="shared" si="2"/>
        <v>252</v>
      </c>
      <c r="T36" s="272" t="str">
        <f t="shared" si="3"/>
        <v>Paediatric Endocrinology</v>
      </c>
      <c r="U36" s="275">
        <f t="shared" si="4"/>
        <v>-0.13326544872619916</v>
      </c>
      <c r="V36" s="276">
        <f t="shared" si="5"/>
        <v>-0.13326544872619916</v>
      </c>
      <c r="W36" s="276">
        <f t="shared" si="6"/>
        <v>-0.14959855994217497</v>
      </c>
      <c r="X36" s="277">
        <f t="shared" si="7"/>
        <v>-0.17244079221622244</v>
      </c>
    </row>
    <row r="37" spans="1:24">
      <c r="A37" s="271">
        <f>Mandatory!A35</f>
        <v>253</v>
      </c>
      <c r="B37" s="272" t="str">
        <f>INDEX('201314 RC list'!B:B,MATCH(A37,'201314 RC list'!A:A,0))</f>
        <v>Paediatric Clinical Haematology</v>
      </c>
      <c r="C37" s="278">
        <f>VLOOKUP($A37,PRICES!$A:$CT,90,FALSE)</f>
        <v>378.27537944370931</v>
      </c>
      <c r="D37" s="279">
        <f>VLOOKUP($A37,PRICES!$A:$CT,91,FALSE)</f>
        <v>419.00484544679773</v>
      </c>
      <c r="E37" s="279">
        <f>VLOOKUP($A37,PRICES!$A:$CT,92,FALSE)</f>
        <v>187.80867457056428</v>
      </c>
      <c r="F37" s="280">
        <f>VLOOKUP($A37,PRICES!$A:$CT,93,FALSE)</f>
        <v>199.99782233315855</v>
      </c>
      <c r="G37" s="255" t="str">
        <f>IF(VLOOKUP($A37,PRICES!$A:$CT,80,FALSE)=VLOOKUP($A37,PRICES!$A:$CT,75,FALSE),"Modelled","Manually adjusted")</f>
        <v>Modelled</v>
      </c>
      <c r="H37" s="256" t="str">
        <f>IF(VLOOKUP($A37,PRICES!$A:$CT,81,FALSE)=VLOOKUP($A37,PRICES!$A:$CT,76,FALSE),"Modelled","Manually adjusted")</f>
        <v>Modelled</v>
      </c>
      <c r="I37" s="256" t="str">
        <f>IF(VLOOKUP($A37,PRICES!$A:$CT,82,FALSE)=VLOOKUP($A37,PRICES!$A:$CT,77,FALSE),"Modelled","Manually adjusted")</f>
        <v>Modelled</v>
      </c>
      <c r="J37" s="257" t="str">
        <f>IF(VLOOKUP($A37,PRICES!$A:$CT,83,FALSE)=VLOOKUP($A37,PRICES!$A:$CT,78,FALSE),"Modelled","Manually adjusted")</f>
        <v>Modelled</v>
      </c>
      <c r="L37" s="271">
        <f t="shared" si="0"/>
        <v>253</v>
      </c>
      <c r="M37" s="272" t="str">
        <f t="shared" si="1"/>
        <v>Paediatric Clinical Haematology</v>
      </c>
      <c r="N37" s="278">
        <f>IF(ISERROR(VLOOKUP($L37,'15-16 tariff'!$A:$F,3,FALSE)),"-",VLOOKUP($L37,'15-16 tariff'!$A:$F,3,FALSE))</f>
        <v>418.59281267838236</v>
      </c>
      <c r="O37" s="279">
        <f>IF(ISERROR(VLOOKUP($L37,'15-16 tariff'!$A:$F,4,FALSE)),"-",VLOOKUP($L37,'15-16 tariff'!$A:$F,4,FALSE))</f>
        <v>456.11103869113566</v>
      </c>
      <c r="P37" s="279">
        <f>IF(ISERROR(VLOOKUP($L37,'15-16 tariff'!$A:$F,5,FALSE)),"-",VLOOKUP($L37,'15-16 tariff'!$A:$F,5,FALSE))</f>
        <v>203.63524591108279</v>
      </c>
      <c r="Q37" s="280">
        <f>IF(ISERROR(VLOOKUP($L37,'15-16 tariff'!$A:$F,6,FALSE)),"-",VLOOKUP($L37,'15-16 tariff'!$A:$F,6,FALSE))</f>
        <v>212.98627951299147</v>
      </c>
      <c r="S37" s="271">
        <f t="shared" si="2"/>
        <v>253</v>
      </c>
      <c r="T37" s="272" t="str">
        <f t="shared" si="3"/>
        <v>Paediatric Clinical Haematology</v>
      </c>
      <c r="U37" s="275">
        <f t="shared" si="4"/>
        <v>-9.6316592195409112E-2</v>
      </c>
      <c r="V37" s="276">
        <f t="shared" si="5"/>
        <v>-8.1353420760915007E-2</v>
      </c>
      <c r="W37" s="276">
        <f t="shared" si="6"/>
        <v>-7.7720196568668576E-2</v>
      </c>
      <c r="X37" s="277">
        <f t="shared" si="7"/>
        <v>-6.0982600426337186E-2</v>
      </c>
    </row>
    <row r="38" spans="1:24">
      <c r="A38" s="271">
        <f>Mandatory!A36</f>
        <v>257</v>
      </c>
      <c r="B38" s="272" t="str">
        <f>INDEX('201314 RC list'!B:B,MATCH(A38,'201314 RC list'!A:A,0))</f>
        <v>Paediatric Dermatology</v>
      </c>
      <c r="C38" s="278">
        <f>VLOOKUP($A38,PRICES!$A:$CT,90,FALSE)</f>
        <v>151.60892179097345</v>
      </c>
      <c r="D38" s="279">
        <f>VLOOKUP($A38,PRICES!$A:$CT,91,FALSE)</f>
        <v>151.60892179097345</v>
      </c>
      <c r="E38" s="279">
        <f>VLOOKUP($A38,PRICES!$A:$CT,92,FALSE)</f>
        <v>97.694015840586857</v>
      </c>
      <c r="F38" s="280">
        <f>VLOOKUP($A38,PRICES!$A:$CT,93,FALSE)</f>
        <v>110.60295332312306</v>
      </c>
      <c r="G38" s="255" t="str">
        <f>IF(VLOOKUP($A38,PRICES!$A:$CT,80,FALSE)=VLOOKUP($A38,PRICES!$A:$CT,75,FALSE),"Modelled","Manually adjusted")</f>
        <v>Modelled</v>
      </c>
      <c r="H38" s="256" t="str">
        <f>IF(VLOOKUP($A38,PRICES!$A:$CT,81,FALSE)=VLOOKUP($A38,PRICES!$A:$CT,76,FALSE),"Modelled","Manually adjusted")</f>
        <v>Modelled</v>
      </c>
      <c r="I38" s="256" t="str">
        <f>IF(VLOOKUP($A38,PRICES!$A:$CT,82,FALSE)=VLOOKUP($A38,PRICES!$A:$CT,77,FALSE),"Modelled","Manually adjusted")</f>
        <v>Modelled</v>
      </c>
      <c r="J38" s="257" t="str">
        <f>IF(VLOOKUP($A38,PRICES!$A:$CT,83,FALSE)=VLOOKUP($A38,PRICES!$A:$CT,78,FALSE),"Modelled","Manually adjusted")</f>
        <v>Modelled</v>
      </c>
      <c r="L38" s="271">
        <f t="shared" si="0"/>
        <v>257</v>
      </c>
      <c r="M38" s="272" t="str">
        <f t="shared" si="1"/>
        <v>Paediatric Dermatology</v>
      </c>
      <c r="N38" s="278">
        <f>IF(ISERROR(VLOOKUP($L38,'15-16 tariff'!$A:$F,3,FALSE)),"-",VLOOKUP($L38,'15-16 tariff'!$A:$F,3,FALSE))</f>
        <v>128.17509408472185</v>
      </c>
      <c r="O38" s="279">
        <f>IF(ISERROR(VLOOKUP($L38,'15-16 tariff'!$A:$F,4,FALSE)),"-",VLOOKUP($L38,'15-16 tariff'!$A:$F,4,FALSE))</f>
        <v>198.29872545724365</v>
      </c>
      <c r="P38" s="279">
        <f>IF(ISERROR(VLOOKUP($L38,'15-16 tariff'!$A:$F,5,FALSE)),"-",VLOOKUP($L38,'15-16 tariff'!$A:$F,5,FALSE))</f>
        <v>92.873762010498027</v>
      </c>
      <c r="Q38" s="280">
        <f>IF(ISERROR(VLOOKUP($L38,'15-16 tariff'!$A:$F,6,FALSE)),"-",VLOOKUP($L38,'15-16 tariff'!$A:$F,6,FALSE))</f>
        <v>162.06743640494037</v>
      </c>
      <c r="S38" s="271">
        <f t="shared" si="2"/>
        <v>257</v>
      </c>
      <c r="T38" s="272" t="str">
        <f t="shared" si="3"/>
        <v>Paediatric Dermatology</v>
      </c>
      <c r="U38" s="275">
        <f t="shared" si="4"/>
        <v>0.18282668621067821</v>
      </c>
      <c r="V38" s="276">
        <f t="shared" si="5"/>
        <v>-0.23545185960530668</v>
      </c>
      <c r="W38" s="276">
        <f t="shared" si="6"/>
        <v>5.1901136830701189E-2</v>
      </c>
      <c r="X38" s="277">
        <f t="shared" si="7"/>
        <v>-0.31754980657081888</v>
      </c>
    </row>
    <row r="39" spans="1:24">
      <c r="A39" s="271">
        <f>Mandatory!A37</f>
        <v>258</v>
      </c>
      <c r="B39" s="272" t="str">
        <f>INDEX('201314 RC list'!B:B,MATCH(A39,'201314 RC list'!A:A,0))</f>
        <v>Paediatric Respiratory Medicine</v>
      </c>
      <c r="C39" s="278">
        <f>VLOOKUP($A39,PRICES!$A:$CT,90,FALSE)</f>
        <v>291.16088115179463</v>
      </c>
      <c r="D39" s="279">
        <f>VLOOKUP($A39,PRICES!$A:$CT,91,FALSE)</f>
        <v>292.06636084544647</v>
      </c>
      <c r="E39" s="279">
        <f>VLOOKUP($A39,PRICES!$A:$CT,92,FALSE)</f>
        <v>154.75265378371361</v>
      </c>
      <c r="F39" s="280">
        <f>VLOOKUP($A39,PRICES!$A:$CT,93,FALSE)</f>
        <v>154.75265378371361</v>
      </c>
      <c r="G39" s="255" t="str">
        <f>IF(VLOOKUP($A39,PRICES!$A:$CT,80,FALSE)=VLOOKUP($A39,PRICES!$A:$CT,75,FALSE),"Modelled","Manually adjusted")</f>
        <v>Modelled</v>
      </c>
      <c r="H39" s="256" t="str">
        <f>IF(VLOOKUP($A39,PRICES!$A:$CT,81,FALSE)=VLOOKUP($A39,PRICES!$A:$CT,76,FALSE),"Modelled","Manually adjusted")</f>
        <v>Modelled</v>
      </c>
      <c r="I39" s="256" t="str">
        <f>IF(VLOOKUP($A39,PRICES!$A:$CT,82,FALSE)=VLOOKUP($A39,PRICES!$A:$CT,77,FALSE),"Modelled","Manually adjusted")</f>
        <v>Modelled</v>
      </c>
      <c r="J39" s="257" t="str">
        <f>IF(VLOOKUP($A39,PRICES!$A:$CT,83,FALSE)=VLOOKUP($A39,PRICES!$A:$CT,78,FALSE),"Modelled","Manually adjusted")</f>
        <v>Modelled</v>
      </c>
      <c r="L39" s="271">
        <f t="shared" si="0"/>
        <v>258</v>
      </c>
      <c r="M39" s="272" t="str">
        <f t="shared" si="1"/>
        <v>Paediatric Respiratory Medicine</v>
      </c>
      <c r="N39" s="278">
        <f>IF(ISERROR(VLOOKUP($L39,'15-16 tariff'!$A:$F,3,FALSE)),"-",VLOOKUP($L39,'15-16 tariff'!$A:$F,3,FALSE))</f>
        <v>280.76603300229306</v>
      </c>
      <c r="O39" s="279">
        <f>IF(ISERROR(VLOOKUP($L39,'15-16 tariff'!$A:$F,4,FALSE)),"-",VLOOKUP($L39,'15-16 tariff'!$A:$F,4,FALSE))</f>
        <v>290.12165169212847</v>
      </c>
      <c r="P39" s="279">
        <f>IF(ISERROR(VLOOKUP($L39,'15-16 tariff'!$A:$F,5,FALSE)),"-",VLOOKUP($L39,'15-16 tariff'!$A:$F,5,FALSE))</f>
        <v>148.4398244600136</v>
      </c>
      <c r="Q39" s="280">
        <f>IF(ISERROR(VLOOKUP($L39,'15-16 tariff'!$A:$F,6,FALSE)),"-",VLOOKUP($L39,'15-16 tariff'!$A:$F,6,FALSE))</f>
        <v>171.16034224827675</v>
      </c>
      <c r="S39" s="271">
        <f t="shared" si="2"/>
        <v>258</v>
      </c>
      <c r="T39" s="272" t="str">
        <f t="shared" si="3"/>
        <v>Paediatric Respiratory Medicine</v>
      </c>
      <c r="U39" s="275">
        <f t="shared" si="4"/>
        <v>3.7023168502069659E-2</v>
      </c>
      <c r="V39" s="276">
        <f t="shared" si="5"/>
        <v>6.7030817657887098E-3</v>
      </c>
      <c r="W39" s="276">
        <f t="shared" si="6"/>
        <v>4.2527868425232151E-2</v>
      </c>
      <c r="X39" s="277">
        <f t="shared" si="7"/>
        <v>-9.5861507689456227E-2</v>
      </c>
    </row>
    <row r="40" spans="1:24">
      <c r="A40" s="271">
        <f>Mandatory!A38</f>
        <v>263</v>
      </c>
      <c r="B40" s="272" t="str">
        <f>INDEX('201314 RC list'!B:B,MATCH(A40,'201314 RC list'!A:A,0))</f>
        <v>Paediatric Diabetic Medicine</v>
      </c>
      <c r="C40" s="278">
        <f>VLOOKUP($A40,PRICES!$A:$CT,90,FALSE)</f>
        <v>194.87042806595824</v>
      </c>
      <c r="D40" s="279">
        <f>VLOOKUP($A40,PRICES!$A:$CT,91,FALSE)</f>
        <v>245.82353356132933</v>
      </c>
      <c r="E40" s="279">
        <f>VLOOKUP($A40,PRICES!$A:$CT,92,FALSE)</f>
        <v>93.957238182218504</v>
      </c>
      <c r="F40" s="280">
        <f>VLOOKUP($A40,PRICES!$A:$CT,93,FALSE)</f>
        <v>110.89756987745422</v>
      </c>
      <c r="G40" s="255" t="str">
        <f>IF(VLOOKUP($A40,PRICES!$A:$CT,80,FALSE)=VLOOKUP($A40,PRICES!$A:$CT,75,FALSE),"Modelled","Manually adjusted")</f>
        <v>Modelled</v>
      </c>
      <c r="H40" s="256" t="str">
        <f>IF(VLOOKUP($A40,PRICES!$A:$CT,81,FALSE)=VLOOKUP($A40,PRICES!$A:$CT,76,FALSE),"Modelled","Manually adjusted")</f>
        <v>Modelled</v>
      </c>
      <c r="I40" s="256" t="str">
        <f>IF(VLOOKUP($A40,PRICES!$A:$CT,82,FALSE)=VLOOKUP($A40,PRICES!$A:$CT,77,FALSE),"Modelled","Manually adjusted")</f>
        <v>Modelled</v>
      </c>
      <c r="J40" s="257" t="str">
        <f>IF(VLOOKUP($A40,PRICES!$A:$CT,83,FALSE)=VLOOKUP($A40,PRICES!$A:$CT,78,FALSE),"Modelled","Manually adjusted")</f>
        <v>Modelled</v>
      </c>
      <c r="L40" s="271">
        <f t="shared" si="0"/>
        <v>263</v>
      </c>
      <c r="M40" s="272" t="str">
        <f t="shared" si="1"/>
        <v>Paediatric Diabetic Medicine</v>
      </c>
      <c r="N40" s="278">
        <f>IF(ISERROR(VLOOKUP($L40,'15-16 tariff'!$A:$F,3,FALSE)),"-",VLOOKUP($L40,'15-16 tariff'!$A:$F,3,FALSE))</f>
        <v>200.51370545538029</v>
      </c>
      <c r="O40" s="279">
        <f>IF(ISERROR(VLOOKUP($L40,'15-16 tariff'!$A:$F,4,FALSE)),"-",VLOOKUP($L40,'15-16 tariff'!$A:$F,4,FALSE))</f>
        <v>204.36355049009515</v>
      </c>
      <c r="P40" s="279">
        <f>IF(ISERROR(VLOOKUP($L40,'15-16 tariff'!$A:$F,5,FALSE)),"-",VLOOKUP($L40,'15-16 tariff'!$A:$F,5,FALSE))</f>
        <v>93.30837892031191</v>
      </c>
      <c r="Q40" s="280">
        <f>IF(ISERROR(VLOOKUP($L40,'15-16 tariff'!$A:$F,6,FALSE)),"-",VLOOKUP($L40,'15-16 tariff'!$A:$F,6,FALSE))</f>
        <v>109.48176806898577</v>
      </c>
      <c r="S40" s="271">
        <f t="shared" si="2"/>
        <v>263</v>
      </c>
      <c r="T40" s="272" t="str">
        <f t="shared" si="3"/>
        <v>Paediatric Diabetic Medicine</v>
      </c>
      <c r="U40" s="275">
        <f t="shared" si="4"/>
        <v>-2.8144098063550227E-2</v>
      </c>
      <c r="V40" s="276">
        <f t="shared" si="5"/>
        <v>0.20287366789139627</v>
      </c>
      <c r="W40" s="276">
        <f t="shared" si="6"/>
        <v>6.953922781798072E-3</v>
      </c>
      <c r="X40" s="277">
        <f t="shared" si="7"/>
        <v>1.2931850055402094E-2</v>
      </c>
    </row>
    <row r="41" spans="1:24">
      <c r="A41" s="271">
        <f>Mandatory!A39</f>
        <v>300</v>
      </c>
      <c r="B41" s="272" t="str">
        <f>INDEX('201314 RC list'!B:B,MATCH(A41,'201314 RC list'!A:A,0))</f>
        <v>General Medicine</v>
      </c>
      <c r="C41" s="278">
        <f>VLOOKUP($A41,PRICES!$A:$CT,90,FALSE)</f>
        <v>184.41301801331772</v>
      </c>
      <c r="D41" s="279">
        <f>VLOOKUP($A41,PRICES!$A:$CT,91,FALSE)</f>
        <v>238.06502720645597</v>
      </c>
      <c r="E41" s="279">
        <f>VLOOKUP($A41,PRICES!$A:$CT,92,FALSE)</f>
        <v>107.62543344664786</v>
      </c>
      <c r="F41" s="280">
        <f>VLOOKUP($A41,PRICES!$A:$CT,93,FALSE)</f>
        <v>147.58534726129741</v>
      </c>
      <c r="G41" s="255" t="str">
        <f>IF(VLOOKUP($A41,PRICES!$A:$CT,80,FALSE)=VLOOKUP($A41,PRICES!$A:$CT,75,FALSE),"Modelled","Manually adjusted")</f>
        <v>Modelled</v>
      </c>
      <c r="H41" s="256" t="str">
        <f>IF(VLOOKUP($A41,PRICES!$A:$CT,81,FALSE)=VLOOKUP($A41,PRICES!$A:$CT,76,FALSE),"Modelled","Manually adjusted")</f>
        <v>Modelled</v>
      </c>
      <c r="I41" s="256" t="str">
        <f>IF(VLOOKUP($A41,PRICES!$A:$CT,82,FALSE)=VLOOKUP($A41,PRICES!$A:$CT,77,FALSE),"Modelled","Manually adjusted")</f>
        <v>Modelled</v>
      </c>
      <c r="J41" s="257" t="str">
        <f>IF(VLOOKUP($A41,PRICES!$A:$CT,83,FALSE)=VLOOKUP($A41,PRICES!$A:$CT,78,FALSE),"Modelled","Manually adjusted")</f>
        <v>Modelled</v>
      </c>
      <c r="L41" s="271">
        <f t="shared" si="0"/>
        <v>300</v>
      </c>
      <c r="M41" s="272" t="str">
        <f t="shared" si="1"/>
        <v>General Medicine</v>
      </c>
      <c r="N41" s="278">
        <f>IF(ISERROR(VLOOKUP($L41,'15-16 tariff'!$A:$F,3,FALSE)),"-",VLOOKUP($L41,'15-16 tariff'!$A:$F,3,FALSE))</f>
        <v>180.25354504904192</v>
      </c>
      <c r="O41" s="279">
        <f>IF(ISERROR(VLOOKUP($L41,'15-16 tariff'!$A:$F,4,FALSE)),"-",VLOOKUP($L41,'15-16 tariff'!$A:$F,4,FALSE))</f>
        <v>255.33165714951829</v>
      </c>
      <c r="P41" s="279">
        <f>IF(ISERROR(VLOOKUP($L41,'15-16 tariff'!$A:$F,5,FALSE)),"-",VLOOKUP($L41,'15-16 tariff'!$A:$F,5,FALSE))</f>
        <v>106.48736623293232</v>
      </c>
      <c r="Q41" s="280">
        <f>IF(ISERROR(VLOOKUP($L41,'15-16 tariff'!$A:$F,6,FALSE)),"-",VLOOKUP($L41,'15-16 tariff'!$A:$F,6,FALSE))</f>
        <v>137.74083212237301</v>
      </c>
      <c r="S41" s="271">
        <f t="shared" si="2"/>
        <v>300</v>
      </c>
      <c r="T41" s="272" t="str">
        <f t="shared" si="3"/>
        <v>General Medicine</v>
      </c>
      <c r="U41" s="275">
        <f t="shared" si="4"/>
        <v>2.3075679111576486E-2</v>
      </c>
      <c r="V41" s="276">
        <f t="shared" si="5"/>
        <v>-6.7624320994208897E-2</v>
      </c>
      <c r="W41" s="276">
        <f t="shared" si="6"/>
        <v>1.0687344930910614E-2</v>
      </c>
      <c r="X41" s="277">
        <f t="shared" si="7"/>
        <v>7.1471291317437791E-2</v>
      </c>
    </row>
    <row r="42" spans="1:24">
      <c r="A42" s="271">
        <f>Mandatory!A40</f>
        <v>301</v>
      </c>
      <c r="B42" s="272" t="str">
        <f>INDEX('201314 RC list'!B:B,MATCH(A42,'201314 RC list'!A:A,0))</f>
        <v>Gastroenterology</v>
      </c>
      <c r="C42" s="278">
        <f>VLOOKUP($A42,PRICES!$A:$CT,90,FALSE)</f>
        <v>152.47060112770473</v>
      </c>
      <c r="D42" s="279">
        <f>VLOOKUP($A42,PRICES!$A:$CT,91,FALSE)</f>
        <v>198.73349423710494</v>
      </c>
      <c r="E42" s="279">
        <f>VLOOKUP($A42,PRICES!$A:$CT,92,FALSE)</f>
        <v>88.634242359429493</v>
      </c>
      <c r="F42" s="280">
        <f>VLOOKUP($A42,PRICES!$A:$CT,93,FALSE)</f>
        <v>128.8315557661731</v>
      </c>
      <c r="G42" s="255" t="str">
        <f>IF(VLOOKUP($A42,PRICES!$A:$CT,80,FALSE)=VLOOKUP($A42,PRICES!$A:$CT,75,FALSE),"Modelled","Manually adjusted")</f>
        <v>Modelled</v>
      </c>
      <c r="H42" s="256" t="str">
        <f>IF(VLOOKUP($A42,PRICES!$A:$CT,81,FALSE)=VLOOKUP($A42,PRICES!$A:$CT,76,FALSE),"Modelled","Manually adjusted")</f>
        <v>Modelled</v>
      </c>
      <c r="I42" s="256" t="str">
        <f>IF(VLOOKUP($A42,PRICES!$A:$CT,82,FALSE)=VLOOKUP($A42,PRICES!$A:$CT,77,FALSE),"Modelled","Manually adjusted")</f>
        <v>Modelled</v>
      </c>
      <c r="J42" s="257" t="str">
        <f>IF(VLOOKUP($A42,PRICES!$A:$CT,83,FALSE)=VLOOKUP($A42,PRICES!$A:$CT,78,FALSE),"Modelled","Manually adjusted")</f>
        <v>Modelled</v>
      </c>
      <c r="L42" s="271">
        <f t="shared" si="0"/>
        <v>301</v>
      </c>
      <c r="M42" s="272" t="str">
        <f t="shared" si="1"/>
        <v>Gastroenterology</v>
      </c>
      <c r="N42" s="278">
        <f>IF(ISERROR(VLOOKUP($L42,'15-16 tariff'!$A:$F,3,FALSE)),"-",VLOOKUP($L42,'15-16 tariff'!$A:$F,3,FALSE))</f>
        <v>180.25354504904192</v>
      </c>
      <c r="O42" s="279">
        <f>IF(ISERROR(VLOOKUP($L42,'15-16 tariff'!$A:$F,4,FALSE)),"-",VLOOKUP($L42,'15-16 tariff'!$A:$F,4,FALSE))</f>
        <v>255.33165714951829</v>
      </c>
      <c r="P42" s="279">
        <f>IF(ISERROR(VLOOKUP($L42,'15-16 tariff'!$A:$F,5,FALSE)),"-",VLOOKUP($L42,'15-16 tariff'!$A:$F,5,FALSE))</f>
        <v>106.48736623293232</v>
      </c>
      <c r="Q42" s="280">
        <f>IF(ISERROR(VLOOKUP($L42,'15-16 tariff'!$A:$F,6,FALSE)),"-",VLOOKUP($L42,'15-16 tariff'!$A:$F,6,FALSE))</f>
        <v>137.74083212237301</v>
      </c>
      <c r="S42" s="271">
        <f t="shared" si="2"/>
        <v>301</v>
      </c>
      <c r="T42" s="272" t="str">
        <f t="shared" si="3"/>
        <v>Gastroenterology</v>
      </c>
      <c r="U42" s="275">
        <f t="shared" si="4"/>
        <v>-0.15413257982681139</v>
      </c>
      <c r="V42" s="276">
        <f t="shared" si="5"/>
        <v>-0.22166527858028329</v>
      </c>
      <c r="W42" s="276">
        <f t="shared" si="6"/>
        <v>-0.16765485432751326</v>
      </c>
      <c r="X42" s="277">
        <f t="shared" si="7"/>
        <v>-6.468144717090607E-2</v>
      </c>
    </row>
    <row r="43" spans="1:24">
      <c r="A43" s="271">
        <f>Mandatory!A41</f>
        <v>302</v>
      </c>
      <c r="B43" s="272" t="str">
        <f>INDEX('201314 RC list'!B:B,MATCH(A43,'201314 RC list'!A:A,0))</f>
        <v>Endocrinology</v>
      </c>
      <c r="C43" s="278">
        <f>VLOOKUP($A43,PRICES!$A:$CT,90,FALSE)</f>
        <v>187.32139991599436</v>
      </c>
      <c r="D43" s="279">
        <f>VLOOKUP($A43,PRICES!$A:$CT,91,FALSE)</f>
        <v>216.09875833062887</v>
      </c>
      <c r="E43" s="279">
        <f>VLOOKUP($A43,PRICES!$A:$CT,92,FALSE)</f>
        <v>97.948202546327153</v>
      </c>
      <c r="F43" s="280">
        <f>VLOOKUP($A43,PRICES!$A:$CT,93,FALSE)</f>
        <v>126.71733541393121</v>
      </c>
      <c r="G43" s="255" t="str">
        <f>IF(VLOOKUP($A43,PRICES!$A:$CT,80,FALSE)=VLOOKUP($A43,PRICES!$A:$CT,75,FALSE),"Modelled","Manually adjusted")</f>
        <v>Modelled</v>
      </c>
      <c r="H43" s="256" t="str">
        <f>IF(VLOOKUP($A43,PRICES!$A:$CT,81,FALSE)=VLOOKUP($A43,PRICES!$A:$CT,76,FALSE),"Modelled","Manually adjusted")</f>
        <v>Modelled</v>
      </c>
      <c r="I43" s="256" t="str">
        <f>IF(VLOOKUP($A43,PRICES!$A:$CT,82,FALSE)=VLOOKUP($A43,PRICES!$A:$CT,77,FALSE),"Modelled","Manually adjusted")</f>
        <v>Modelled</v>
      </c>
      <c r="J43" s="257" t="str">
        <f>IF(VLOOKUP($A43,PRICES!$A:$CT,83,FALSE)=VLOOKUP($A43,PRICES!$A:$CT,78,FALSE),"Modelled","Manually adjusted")</f>
        <v>Modelled</v>
      </c>
      <c r="L43" s="271">
        <f t="shared" si="0"/>
        <v>302</v>
      </c>
      <c r="M43" s="272" t="str">
        <f t="shared" si="1"/>
        <v>Endocrinology</v>
      </c>
      <c r="N43" s="278">
        <f>IF(ISERROR(VLOOKUP($L43,'15-16 tariff'!$A:$F,3,FALSE)),"-",VLOOKUP($L43,'15-16 tariff'!$A:$F,3,FALSE))</f>
        <v>186.89353989489726</v>
      </c>
      <c r="O43" s="279">
        <f>IF(ISERROR(VLOOKUP($L43,'15-16 tariff'!$A:$F,4,FALSE)),"-",VLOOKUP($L43,'15-16 tariff'!$A:$F,4,FALSE))</f>
        <v>186.89353989489726</v>
      </c>
      <c r="P43" s="279">
        <f>IF(ISERROR(VLOOKUP($L43,'15-16 tariff'!$A:$F,5,FALSE)),"-",VLOOKUP($L43,'15-16 tariff'!$A:$F,5,FALSE))</f>
        <v>94.722516710909403</v>
      </c>
      <c r="Q43" s="280">
        <f>IF(ISERROR(VLOOKUP($L43,'15-16 tariff'!$A:$F,6,FALSE)),"-",VLOOKUP($L43,'15-16 tariff'!$A:$F,6,FALSE))</f>
        <v>104.59753474249229</v>
      </c>
      <c r="S43" s="271">
        <f t="shared" si="2"/>
        <v>302</v>
      </c>
      <c r="T43" s="272" t="str">
        <f t="shared" si="3"/>
        <v>Endocrinology</v>
      </c>
      <c r="U43" s="275">
        <f t="shared" si="4"/>
        <v>2.2893248281226075E-3</v>
      </c>
      <c r="V43" s="276">
        <f t="shared" si="5"/>
        <v>0.15626660211024768</v>
      </c>
      <c r="W43" s="276">
        <f t="shared" si="6"/>
        <v>3.4054055439241004E-2</v>
      </c>
      <c r="X43" s="277">
        <f t="shared" si="7"/>
        <v>0.21147535384935656</v>
      </c>
    </row>
    <row r="44" spans="1:24">
      <c r="A44" s="271">
        <f>Mandatory!A42</f>
        <v>303</v>
      </c>
      <c r="B44" s="272" t="str">
        <f>INDEX('201314 RC list'!B:B,MATCH(A44,'201314 RC list'!A:A,0))</f>
        <v>Clinical Haematology</v>
      </c>
      <c r="C44" s="278">
        <f>VLOOKUP($A44,PRICES!$A:$CT,90,FALSE)</f>
        <v>255.70399934938632</v>
      </c>
      <c r="D44" s="279">
        <f>VLOOKUP($A44,PRICES!$A:$CT,91,FALSE)</f>
        <v>419.00484544679773</v>
      </c>
      <c r="E44" s="279">
        <f>VLOOKUP($A44,PRICES!$A:$CT,92,FALSE)</f>
        <v>115.47132521261173</v>
      </c>
      <c r="F44" s="280">
        <f>VLOOKUP($A44,PRICES!$A:$CT,93,FALSE)</f>
        <v>199.99782233315855</v>
      </c>
      <c r="G44" s="255" t="str">
        <f>IF(VLOOKUP($A44,PRICES!$A:$CT,80,FALSE)=VLOOKUP($A44,PRICES!$A:$CT,75,FALSE),"Modelled","Manually adjusted")</f>
        <v>Modelled</v>
      </c>
      <c r="H44" s="256" t="str">
        <f>IF(VLOOKUP($A44,PRICES!$A:$CT,81,FALSE)=VLOOKUP($A44,PRICES!$A:$CT,76,FALSE),"Modelled","Manually adjusted")</f>
        <v>Modelled</v>
      </c>
      <c r="I44" s="256" t="str">
        <f>IF(VLOOKUP($A44,PRICES!$A:$CT,82,FALSE)=VLOOKUP($A44,PRICES!$A:$CT,77,FALSE),"Modelled","Manually adjusted")</f>
        <v>Modelled</v>
      </c>
      <c r="J44" s="257" t="str">
        <f>IF(VLOOKUP($A44,PRICES!$A:$CT,83,FALSE)=VLOOKUP($A44,PRICES!$A:$CT,78,FALSE),"Modelled","Manually adjusted")</f>
        <v>Modelled</v>
      </c>
      <c r="L44" s="271">
        <f t="shared" si="0"/>
        <v>303</v>
      </c>
      <c r="M44" s="272" t="str">
        <f t="shared" si="1"/>
        <v>Clinical Haematology</v>
      </c>
      <c r="N44" s="278">
        <f>IF(ISERROR(VLOOKUP($L44,'15-16 tariff'!$A:$F,3,FALSE)),"-",VLOOKUP($L44,'15-16 tariff'!$A:$F,3,FALSE))</f>
        <v>284.15984692212743</v>
      </c>
      <c r="O44" s="279">
        <f>IF(ISERROR(VLOOKUP($L44,'15-16 tariff'!$A:$F,4,FALSE)),"-",VLOOKUP($L44,'15-16 tariff'!$A:$F,4,FALSE))</f>
        <v>456.11103869113566</v>
      </c>
      <c r="P44" s="279">
        <f>IF(ISERROR(VLOOKUP($L44,'15-16 tariff'!$A:$F,5,FALSE)),"-",VLOOKUP($L44,'15-16 tariff'!$A:$F,5,FALSE))</f>
        <v>118.90969423352311</v>
      </c>
      <c r="Q44" s="280">
        <f>IF(ISERROR(VLOOKUP($L44,'15-16 tariff'!$A:$F,6,FALSE)),"-",VLOOKUP($L44,'15-16 tariff'!$A:$F,6,FALSE))</f>
        <v>212.98627951299147</v>
      </c>
      <c r="S44" s="271">
        <f t="shared" si="2"/>
        <v>303</v>
      </c>
      <c r="T44" s="272" t="str">
        <f t="shared" si="3"/>
        <v>Clinical Haematology</v>
      </c>
      <c r="U44" s="275">
        <f t="shared" si="4"/>
        <v>-0.10014028329815117</v>
      </c>
      <c r="V44" s="276">
        <f t="shared" si="5"/>
        <v>-8.1353420760915007E-2</v>
      </c>
      <c r="W44" s="276">
        <f t="shared" si="6"/>
        <v>-2.89158007097291E-2</v>
      </c>
      <c r="X44" s="277">
        <f t="shared" si="7"/>
        <v>-6.0982600426337186E-2</v>
      </c>
    </row>
    <row r="45" spans="1:24">
      <c r="A45" s="271">
        <f>Mandatory!A43</f>
        <v>306</v>
      </c>
      <c r="B45" s="272" t="str">
        <f>INDEX('201314 RC list'!B:B,MATCH(A45,'201314 RC list'!A:A,0))</f>
        <v>Hepatology</v>
      </c>
      <c r="C45" s="278">
        <f>VLOOKUP($A45,PRICES!$A:$CT,90,FALSE)</f>
        <v>232.82266997256258</v>
      </c>
      <c r="D45" s="279">
        <f>VLOOKUP($A45,PRICES!$A:$CT,91,FALSE)</f>
        <v>361.59786018281727</v>
      </c>
      <c r="E45" s="279">
        <f>VLOOKUP($A45,PRICES!$A:$CT,92,FALSE)</f>
        <v>128.73385927314317</v>
      </c>
      <c r="F45" s="280">
        <f>VLOOKUP($A45,PRICES!$A:$CT,93,FALSE)</f>
        <v>172.62365206578784</v>
      </c>
      <c r="G45" s="255" t="str">
        <f>IF(VLOOKUP($A45,PRICES!$A:$CT,80,FALSE)=VLOOKUP($A45,PRICES!$A:$CT,75,FALSE),"Modelled","Manually adjusted")</f>
        <v>Modelled</v>
      </c>
      <c r="H45" s="256" t="str">
        <f>IF(VLOOKUP($A45,PRICES!$A:$CT,81,FALSE)=VLOOKUP($A45,PRICES!$A:$CT,76,FALSE),"Modelled","Manually adjusted")</f>
        <v>Modelled</v>
      </c>
      <c r="I45" s="256" t="str">
        <f>IF(VLOOKUP($A45,PRICES!$A:$CT,82,FALSE)=VLOOKUP($A45,PRICES!$A:$CT,77,FALSE),"Modelled","Manually adjusted")</f>
        <v>Modelled</v>
      </c>
      <c r="J45" s="257" t="str">
        <f>IF(VLOOKUP($A45,PRICES!$A:$CT,83,FALSE)=VLOOKUP($A45,PRICES!$A:$CT,78,FALSE),"Modelled","Manually adjusted")</f>
        <v>Modelled</v>
      </c>
      <c r="L45" s="271">
        <f t="shared" si="0"/>
        <v>306</v>
      </c>
      <c r="M45" s="272" t="str">
        <f t="shared" si="1"/>
        <v>Hepatology</v>
      </c>
      <c r="N45" s="278">
        <f>IF(ISERROR(VLOOKUP($L45,'15-16 tariff'!$A:$F,3,FALSE)),"-",VLOOKUP($L45,'15-16 tariff'!$A:$F,3,FALSE))</f>
        <v>180.25354504904192</v>
      </c>
      <c r="O45" s="279">
        <f>IF(ISERROR(VLOOKUP($L45,'15-16 tariff'!$A:$F,4,FALSE)),"-",VLOOKUP($L45,'15-16 tariff'!$A:$F,4,FALSE))</f>
        <v>255.33165714951829</v>
      </c>
      <c r="P45" s="279">
        <f>IF(ISERROR(VLOOKUP($L45,'15-16 tariff'!$A:$F,5,FALSE)),"-",VLOOKUP($L45,'15-16 tariff'!$A:$F,5,FALSE))</f>
        <v>106.48736623293232</v>
      </c>
      <c r="Q45" s="280">
        <f>IF(ISERROR(VLOOKUP($L45,'15-16 tariff'!$A:$F,6,FALSE)),"-",VLOOKUP($L45,'15-16 tariff'!$A:$F,6,FALSE))</f>
        <v>137.74083212237301</v>
      </c>
      <c r="S45" s="271">
        <f t="shared" si="2"/>
        <v>306</v>
      </c>
      <c r="T45" s="272" t="str">
        <f t="shared" si="3"/>
        <v>Hepatology</v>
      </c>
      <c r="U45" s="275">
        <f t="shared" si="4"/>
        <v>0.29163989484488684</v>
      </c>
      <c r="V45" s="276">
        <f t="shared" si="5"/>
        <v>0.4161889059102104</v>
      </c>
      <c r="W45" s="276">
        <f t="shared" si="6"/>
        <v>0.20891204118569795</v>
      </c>
      <c r="X45" s="277">
        <f t="shared" si="7"/>
        <v>0.253249667552639</v>
      </c>
    </row>
    <row r="46" spans="1:24">
      <c r="A46" s="271">
        <f>Mandatory!A44</f>
        <v>307</v>
      </c>
      <c r="B46" s="272" t="str">
        <f>INDEX('201314 RC list'!B:B,MATCH(A46,'201314 RC list'!A:A,0))</f>
        <v>Diabetic Medicine</v>
      </c>
      <c r="C46" s="278">
        <f>VLOOKUP($A46,PRICES!$A:$CT,90,FALSE)</f>
        <v>194.87042806595824</v>
      </c>
      <c r="D46" s="279">
        <f>VLOOKUP($A46,PRICES!$A:$CT,91,FALSE)</f>
        <v>245.82353356132933</v>
      </c>
      <c r="E46" s="279">
        <f>VLOOKUP($A46,PRICES!$A:$CT,92,FALSE)</f>
        <v>93.957238182218504</v>
      </c>
      <c r="F46" s="280">
        <f>VLOOKUP($A46,PRICES!$A:$CT,93,FALSE)</f>
        <v>110.89756987745422</v>
      </c>
      <c r="G46" s="255" t="str">
        <f>IF(VLOOKUP($A46,PRICES!$A:$CT,80,FALSE)=VLOOKUP($A46,PRICES!$A:$CT,75,FALSE),"Modelled","Manually adjusted")</f>
        <v>Modelled</v>
      </c>
      <c r="H46" s="256" t="str">
        <f>IF(VLOOKUP($A46,PRICES!$A:$CT,81,FALSE)=VLOOKUP($A46,PRICES!$A:$CT,76,FALSE),"Modelled","Manually adjusted")</f>
        <v>Modelled</v>
      </c>
      <c r="I46" s="256" t="str">
        <f>IF(VLOOKUP($A46,PRICES!$A:$CT,82,FALSE)=VLOOKUP($A46,PRICES!$A:$CT,77,FALSE),"Modelled","Manually adjusted")</f>
        <v>Modelled</v>
      </c>
      <c r="J46" s="257" t="str">
        <f>IF(VLOOKUP($A46,PRICES!$A:$CT,83,FALSE)=VLOOKUP($A46,PRICES!$A:$CT,78,FALSE),"Modelled","Manually adjusted")</f>
        <v>Modelled</v>
      </c>
      <c r="L46" s="271">
        <f t="shared" si="0"/>
        <v>307</v>
      </c>
      <c r="M46" s="272" t="str">
        <f t="shared" si="1"/>
        <v>Diabetic Medicine</v>
      </c>
      <c r="N46" s="278">
        <f>IF(ISERROR(VLOOKUP($L46,'15-16 tariff'!$A:$F,3,FALSE)),"-",VLOOKUP($L46,'15-16 tariff'!$A:$F,3,FALSE))</f>
        <v>200.51370545538029</v>
      </c>
      <c r="O46" s="279">
        <f>IF(ISERROR(VLOOKUP($L46,'15-16 tariff'!$A:$F,4,FALSE)),"-",VLOOKUP($L46,'15-16 tariff'!$A:$F,4,FALSE))</f>
        <v>204.36355049009515</v>
      </c>
      <c r="P46" s="279">
        <f>IF(ISERROR(VLOOKUP($L46,'15-16 tariff'!$A:$F,5,FALSE)),"-",VLOOKUP($L46,'15-16 tariff'!$A:$F,5,FALSE))</f>
        <v>93.30837892031191</v>
      </c>
      <c r="Q46" s="280">
        <f>IF(ISERROR(VLOOKUP($L46,'15-16 tariff'!$A:$F,6,FALSE)),"-",VLOOKUP($L46,'15-16 tariff'!$A:$F,6,FALSE))</f>
        <v>109.48176806898577</v>
      </c>
      <c r="S46" s="271">
        <f t="shared" si="2"/>
        <v>307</v>
      </c>
      <c r="T46" s="272" t="str">
        <f t="shared" si="3"/>
        <v>Diabetic Medicine</v>
      </c>
      <c r="U46" s="275">
        <f t="shared" si="4"/>
        <v>-2.8144098063550227E-2</v>
      </c>
      <c r="V46" s="276">
        <f t="shared" si="5"/>
        <v>0.20287366789139627</v>
      </c>
      <c r="W46" s="276">
        <f t="shared" si="6"/>
        <v>6.953922781798072E-3</v>
      </c>
      <c r="X46" s="277">
        <f t="shared" si="7"/>
        <v>1.2931850055402094E-2</v>
      </c>
    </row>
    <row r="47" spans="1:24">
      <c r="A47" s="271">
        <f>Mandatory!A45</f>
        <v>320</v>
      </c>
      <c r="B47" s="272" t="str">
        <f>INDEX('201314 RC list'!B:B,MATCH(A47,'201314 RC list'!A:A,0))</f>
        <v>Cardiology</v>
      </c>
      <c r="C47" s="278">
        <f>VLOOKUP($A47,PRICES!$A:$CT,90,FALSE)</f>
        <v>145.52626008117355</v>
      </c>
      <c r="D47" s="279">
        <f>VLOOKUP($A47,PRICES!$A:$CT,91,FALSE)</f>
        <v>216.38284339831881</v>
      </c>
      <c r="E47" s="279">
        <f>VLOOKUP($A47,PRICES!$A:$CT,92,FALSE)</f>
        <v>91.644354542475895</v>
      </c>
      <c r="F47" s="280">
        <f>VLOOKUP($A47,PRICES!$A:$CT,93,FALSE)</f>
        <v>125.1551306784786</v>
      </c>
      <c r="G47" s="255" t="str">
        <f>IF(VLOOKUP($A47,PRICES!$A:$CT,80,FALSE)=VLOOKUP($A47,PRICES!$A:$CT,75,FALSE),"Modelled","Manually adjusted")</f>
        <v>Modelled</v>
      </c>
      <c r="H47" s="256" t="str">
        <f>IF(VLOOKUP($A47,PRICES!$A:$CT,81,FALSE)=VLOOKUP($A47,PRICES!$A:$CT,76,FALSE),"Modelled","Manually adjusted")</f>
        <v>Modelled</v>
      </c>
      <c r="I47" s="256" t="str">
        <f>IF(VLOOKUP($A47,PRICES!$A:$CT,82,FALSE)=VLOOKUP($A47,PRICES!$A:$CT,77,FALSE),"Modelled","Manually adjusted")</f>
        <v>Modelled</v>
      </c>
      <c r="J47" s="257" t="str">
        <f>IF(VLOOKUP($A47,PRICES!$A:$CT,83,FALSE)=VLOOKUP($A47,PRICES!$A:$CT,78,FALSE),"Modelled","Manually adjusted")</f>
        <v>Modelled</v>
      </c>
      <c r="L47" s="271">
        <f t="shared" si="0"/>
        <v>320</v>
      </c>
      <c r="M47" s="272" t="str">
        <f t="shared" si="1"/>
        <v>Cardiology</v>
      </c>
      <c r="N47" s="278">
        <f>IF(ISERROR(VLOOKUP($L47,'15-16 tariff'!$A:$F,3,FALSE)),"-",VLOOKUP($L47,'15-16 tariff'!$A:$F,3,FALSE))</f>
        <v>163.77308690542904</v>
      </c>
      <c r="O47" s="279">
        <f>IF(ISERROR(VLOOKUP($L47,'15-16 tariff'!$A:$F,4,FALSE)),"-",VLOOKUP($L47,'15-16 tariff'!$A:$F,4,FALSE))</f>
        <v>227.2121416078767</v>
      </c>
      <c r="P47" s="279">
        <f>IF(ISERROR(VLOOKUP($L47,'15-16 tariff'!$A:$F,5,FALSE)),"-",VLOOKUP($L47,'15-16 tariff'!$A:$F,5,FALSE))</f>
        <v>95.039933837925645</v>
      </c>
      <c r="Q47" s="280">
        <f>IF(ISERROR(VLOOKUP($L47,'15-16 tariff'!$A:$F,6,FALSE)),"-",VLOOKUP($L47,'15-16 tariff'!$A:$F,6,FALSE))</f>
        <v>146.0246689188977</v>
      </c>
      <c r="S47" s="271">
        <f t="shared" si="2"/>
        <v>320</v>
      </c>
      <c r="T47" s="272" t="str">
        <f t="shared" si="3"/>
        <v>Cardiology</v>
      </c>
      <c r="U47" s="275">
        <f t="shared" si="4"/>
        <v>-0.11141529520532356</v>
      </c>
      <c r="V47" s="276">
        <f t="shared" si="5"/>
        <v>-4.7661617609533913E-2</v>
      </c>
      <c r="W47" s="276">
        <f t="shared" si="6"/>
        <v>-3.5727921499191351E-2</v>
      </c>
      <c r="X47" s="277">
        <f t="shared" si="7"/>
        <v>-0.14291789459224913</v>
      </c>
    </row>
    <row r="48" spans="1:24">
      <c r="A48" s="271">
        <f>Mandatory!A46</f>
        <v>321</v>
      </c>
      <c r="B48" s="272" t="str">
        <f>INDEX('201314 RC list'!B:B,MATCH(A48,'201314 RC list'!A:A,0))</f>
        <v>Paediatric Cardiology</v>
      </c>
      <c r="C48" s="278">
        <f>VLOOKUP($A48,PRICES!$A:$CT,90,FALSE)</f>
        <v>217.12575290445835</v>
      </c>
      <c r="D48" s="279">
        <f>VLOOKUP($A48,PRICES!$A:$CT,91,FALSE)</f>
        <v>217.12575290445835</v>
      </c>
      <c r="E48" s="279">
        <f>VLOOKUP($A48,PRICES!$A:$CT,92,FALSE)</f>
        <v>118.66676524791544</v>
      </c>
      <c r="F48" s="280">
        <f>VLOOKUP($A48,PRICES!$A:$CT,93,FALSE)</f>
        <v>154.99543363066013</v>
      </c>
      <c r="G48" s="255" t="str">
        <f>IF(VLOOKUP($A48,PRICES!$A:$CT,80,FALSE)=VLOOKUP($A48,PRICES!$A:$CT,75,FALSE),"Modelled","Manually adjusted")</f>
        <v>Modelled</v>
      </c>
      <c r="H48" s="256" t="str">
        <f>IF(VLOOKUP($A48,PRICES!$A:$CT,81,FALSE)=VLOOKUP($A48,PRICES!$A:$CT,76,FALSE),"Modelled","Manually adjusted")</f>
        <v>Modelled</v>
      </c>
      <c r="I48" s="256" t="str">
        <f>IF(VLOOKUP($A48,PRICES!$A:$CT,82,FALSE)=VLOOKUP($A48,PRICES!$A:$CT,77,FALSE),"Modelled","Manually adjusted")</f>
        <v>Modelled</v>
      </c>
      <c r="J48" s="257" t="str">
        <f>IF(VLOOKUP($A48,PRICES!$A:$CT,83,FALSE)=VLOOKUP($A48,PRICES!$A:$CT,78,FALSE),"Modelled","Manually adjusted")</f>
        <v>Modelled</v>
      </c>
      <c r="L48" s="271">
        <f t="shared" si="0"/>
        <v>321</v>
      </c>
      <c r="M48" s="272" t="str">
        <f t="shared" si="1"/>
        <v>Paediatric Cardiology</v>
      </c>
      <c r="N48" s="278">
        <f>IF(ISERROR(VLOOKUP($L48,'15-16 tariff'!$A:$F,3,FALSE)),"-",VLOOKUP($L48,'15-16 tariff'!$A:$F,3,FALSE))</f>
        <v>225.93492014909421</v>
      </c>
      <c r="O48" s="279">
        <f>IF(ISERROR(VLOOKUP($L48,'15-16 tariff'!$A:$F,4,FALSE)),"-",VLOOKUP($L48,'15-16 tariff'!$A:$F,4,FALSE))</f>
        <v>228.84377818418469</v>
      </c>
      <c r="P48" s="279">
        <f>IF(ISERROR(VLOOKUP($L48,'15-16 tariff'!$A:$F,5,FALSE)),"-",VLOOKUP($L48,'15-16 tariff'!$A:$F,5,FALSE))</f>
        <v>123.37164157584282</v>
      </c>
      <c r="Q48" s="280">
        <f>IF(ISERROR(VLOOKUP($L48,'15-16 tariff'!$A:$F,6,FALSE)),"-",VLOOKUP($L48,'15-16 tariff'!$A:$F,6,FALSE))</f>
        <v>164.42487332601181</v>
      </c>
      <c r="S48" s="271">
        <f t="shared" si="2"/>
        <v>321</v>
      </c>
      <c r="T48" s="272" t="str">
        <f t="shared" si="3"/>
        <v>Paediatric Cardiology</v>
      </c>
      <c r="U48" s="275">
        <f t="shared" si="4"/>
        <v>-3.898984379582715E-2</v>
      </c>
      <c r="V48" s="276">
        <f t="shared" si="5"/>
        <v>-5.120534791334852E-2</v>
      </c>
      <c r="W48" s="276">
        <f t="shared" si="6"/>
        <v>-3.8135800641309059E-2</v>
      </c>
      <c r="X48" s="277">
        <f t="shared" si="7"/>
        <v>-5.7348012527615233E-2</v>
      </c>
    </row>
    <row r="49" spans="1:24">
      <c r="A49" s="271">
        <f>Mandatory!A47</f>
        <v>329</v>
      </c>
      <c r="B49" s="272" t="str">
        <f>INDEX('201314 RC list'!B:B,MATCH(A49,'201314 RC list'!A:A,0))</f>
        <v>Transient Ischaemic Attack</v>
      </c>
      <c r="C49" s="278">
        <f>VLOOKUP($A49,PRICES!$A:$CT,90,FALSE)</f>
        <v>167.62071693040625</v>
      </c>
      <c r="D49" s="279">
        <f>VLOOKUP($A49,PRICES!$A:$CT,91,FALSE)</f>
        <v>204.35456111872625</v>
      </c>
      <c r="E49" s="281">
        <f>VLOOKUP($A49,PRICES!$A:$CT,92,FALSE)</f>
        <v>90.100201151558053</v>
      </c>
      <c r="F49" s="282">
        <f>VLOOKUP($A49,PRICES!$A:$CT,93,FALSE)</f>
        <v>105.91930627242296</v>
      </c>
      <c r="G49" s="255" t="str">
        <f>IF(VLOOKUP($A49,PRICES!$A:$CT,80,FALSE)=VLOOKUP($A49,PRICES!$A:$CT,75,FALSE),"Modelled","Manually adjusted")</f>
        <v>Modelled</v>
      </c>
      <c r="H49" s="256" t="str">
        <f>IF(VLOOKUP($A49,PRICES!$A:$CT,81,FALSE)=VLOOKUP($A49,PRICES!$A:$CT,76,FALSE),"Modelled","Manually adjusted")</f>
        <v>Modelled</v>
      </c>
      <c r="I49" s="256" t="str">
        <f>IF(VLOOKUP($A49,PRICES!$A:$CT,82,FALSE)=VLOOKUP($A49,PRICES!$A:$CT,77,FALSE),"Modelled","Manually adjusted")</f>
        <v>Modelled</v>
      </c>
      <c r="J49" s="257" t="str">
        <f>IF(VLOOKUP($A49,PRICES!$A:$CT,83,FALSE)=VLOOKUP($A49,PRICES!$A:$CT,78,FALSE),"Modelled","Manually adjusted")</f>
        <v>Modelled</v>
      </c>
      <c r="L49" s="271">
        <f t="shared" si="0"/>
        <v>329</v>
      </c>
      <c r="M49" s="272" t="str">
        <f t="shared" si="1"/>
        <v>Transient Ischaemic Attack</v>
      </c>
      <c r="N49" s="278">
        <f>IF(ISERROR(VLOOKUP($L49,'15-16 tariff'!$A:$F,3,FALSE)),"-",VLOOKUP($L49,'15-16 tariff'!$A:$F,3,FALSE))</f>
        <v>302</v>
      </c>
      <c r="O49" s="279">
        <f>IF(ISERROR(VLOOKUP($L49,'15-16 tariff'!$A:$F,4,FALSE)),"-",VLOOKUP($L49,'15-16 tariff'!$A:$F,4,FALSE))</f>
        <v>302</v>
      </c>
      <c r="P49" s="281">
        <f>IF(ISERROR(VLOOKUP($L49,'15-16 tariff'!$A:$F,5,FALSE)),"-",VLOOKUP($L49,'15-16 tariff'!$A:$F,5,FALSE))</f>
        <v>143.63212653181637</v>
      </c>
      <c r="Q49" s="282">
        <f>IF(ISERROR(VLOOKUP($L49,'15-16 tariff'!$A:$F,6,FALSE)),"-",VLOOKUP($L49,'15-16 tariff'!$A:$F,6,FALSE))</f>
        <v>287.26425306363274</v>
      </c>
      <c r="S49" s="271">
        <f t="shared" si="2"/>
        <v>329</v>
      </c>
      <c r="T49" s="272" t="str">
        <f t="shared" si="3"/>
        <v>Transient Ischaemic Attack</v>
      </c>
      <c r="U49" s="275">
        <f t="shared" si="4"/>
        <v>-0.44496451347547605</v>
      </c>
      <c r="V49" s="276">
        <f t="shared" si="5"/>
        <v>-0.32332926781878724</v>
      </c>
      <c r="W49" s="276">
        <f t="shared" si="6"/>
        <v>-0.37270161399720214</v>
      </c>
      <c r="X49" s="277">
        <f t="shared" si="7"/>
        <v>-0.63128267738568755</v>
      </c>
    </row>
    <row r="50" spans="1:24">
      <c r="A50" s="271">
        <f>Mandatory!A48</f>
        <v>330</v>
      </c>
      <c r="B50" s="272" t="str">
        <f>INDEX('201314 RC list'!B:B,MATCH(A50,'201314 RC list'!A:A,0))</f>
        <v>Dermatology</v>
      </c>
      <c r="C50" s="278">
        <f>VLOOKUP($A50,PRICES!$A:$CT,90,FALSE)</f>
        <v>105.24520820450327</v>
      </c>
      <c r="D50" s="279">
        <f>VLOOKUP($A50,PRICES!$A:$CT,91,FALSE)</f>
        <v>125.69109284131483</v>
      </c>
      <c r="E50" s="279">
        <f>VLOOKUP($A50,PRICES!$A:$CT,92,FALSE)</f>
        <v>71.370032020810484</v>
      </c>
      <c r="F50" s="280">
        <f>VLOOKUP($A50,PRICES!$A:$CT,93,FALSE)</f>
        <v>83.42389918767762</v>
      </c>
      <c r="G50" s="255" t="str">
        <f>IF(VLOOKUP($A50,PRICES!$A:$CT,80,FALSE)=VLOOKUP($A50,PRICES!$A:$CT,75,FALSE),"Modelled","Manually adjusted")</f>
        <v>Modelled</v>
      </c>
      <c r="H50" s="256" t="str">
        <f>IF(VLOOKUP($A50,PRICES!$A:$CT,81,FALSE)=VLOOKUP($A50,PRICES!$A:$CT,76,FALSE),"Modelled","Manually adjusted")</f>
        <v>Modelled</v>
      </c>
      <c r="I50" s="256" t="str">
        <f>IF(VLOOKUP($A50,PRICES!$A:$CT,82,FALSE)=VLOOKUP($A50,PRICES!$A:$CT,77,FALSE),"Modelled","Manually adjusted")</f>
        <v>Modelled</v>
      </c>
      <c r="J50" s="257" t="str">
        <f>IF(VLOOKUP($A50,PRICES!$A:$CT,83,FALSE)=VLOOKUP($A50,PRICES!$A:$CT,78,FALSE),"Modelled","Manually adjusted")</f>
        <v>Modelled</v>
      </c>
      <c r="L50" s="271">
        <f t="shared" si="0"/>
        <v>330</v>
      </c>
      <c r="M50" s="272" t="str">
        <f t="shared" si="1"/>
        <v>Dermatology</v>
      </c>
      <c r="N50" s="278">
        <f>IF(ISERROR(VLOOKUP($L50,'15-16 tariff'!$A:$F,3,FALSE)),"-",VLOOKUP($L50,'15-16 tariff'!$A:$F,3,FALSE))</f>
        <v>106.09932185848382</v>
      </c>
      <c r="O50" s="279">
        <f>IF(ISERROR(VLOOKUP($L50,'15-16 tariff'!$A:$F,4,FALSE)),"-",VLOOKUP($L50,'15-16 tariff'!$A:$F,4,FALSE))</f>
        <v>121.36916930558991</v>
      </c>
      <c r="P50" s="279">
        <f>IF(ISERROR(VLOOKUP($L50,'15-16 tariff'!$A:$F,5,FALSE)),"-",VLOOKUP($L50,'15-16 tariff'!$A:$F,5,FALSE))</f>
        <v>69.086528099491787</v>
      </c>
      <c r="Q50" s="280">
        <f>IF(ISERROR(VLOOKUP($L50,'15-16 tariff'!$A:$F,6,FALSE)),"-",VLOOKUP($L50,'15-16 tariff'!$A:$F,6,FALSE))</f>
        <v>75.929964032700454</v>
      </c>
      <c r="S50" s="271">
        <f t="shared" si="2"/>
        <v>330</v>
      </c>
      <c r="T50" s="272" t="str">
        <f t="shared" si="3"/>
        <v>Dermatology</v>
      </c>
      <c r="U50" s="275">
        <f t="shared" si="4"/>
        <v>-8.0501330170589247E-3</v>
      </c>
      <c r="V50" s="276">
        <f t="shared" si="5"/>
        <v>3.5609731536045519E-2</v>
      </c>
      <c r="W50" s="276">
        <f t="shared" si="6"/>
        <v>3.3052810499178964E-2</v>
      </c>
      <c r="X50" s="277">
        <f t="shared" si="7"/>
        <v>9.8695360263173271E-2</v>
      </c>
    </row>
    <row r="51" spans="1:24">
      <c r="A51" s="271">
        <f>Mandatory!A49</f>
        <v>340</v>
      </c>
      <c r="B51" s="272" t="str">
        <f>INDEX('201314 RC list'!B:B,MATCH(A51,'201314 RC list'!A:A,0))</f>
        <v>Respiratory Medicine</v>
      </c>
      <c r="C51" s="278">
        <f>VLOOKUP($A51,PRICES!$A:$CT,90,FALSE)</f>
        <v>176.89021521737206</v>
      </c>
      <c r="D51" s="279">
        <f>VLOOKUP($A51,PRICES!$A:$CT,91,FALSE)</f>
        <v>234.81538206121036</v>
      </c>
      <c r="E51" s="279">
        <f>VLOOKUP($A51,PRICES!$A:$CT,92,FALSE)</f>
        <v>100.57085771103016</v>
      </c>
      <c r="F51" s="280">
        <f>VLOOKUP($A51,PRICES!$A:$CT,93,FALSE)</f>
        <v>144.14582207724501</v>
      </c>
      <c r="G51" s="255" t="str">
        <f>IF(VLOOKUP($A51,PRICES!$A:$CT,80,FALSE)=VLOOKUP($A51,PRICES!$A:$CT,75,FALSE),"Modelled","Manually adjusted")</f>
        <v>Modelled</v>
      </c>
      <c r="H51" s="256" t="str">
        <f>IF(VLOOKUP($A51,PRICES!$A:$CT,81,FALSE)=VLOOKUP($A51,PRICES!$A:$CT,76,FALSE),"Modelled","Manually adjusted")</f>
        <v>Modelled</v>
      </c>
      <c r="I51" s="256" t="str">
        <f>IF(VLOOKUP($A51,PRICES!$A:$CT,82,FALSE)=VLOOKUP($A51,PRICES!$A:$CT,77,FALSE),"Modelled","Manually adjusted")</f>
        <v>Modelled</v>
      </c>
      <c r="J51" s="257" t="str">
        <f>IF(VLOOKUP($A51,PRICES!$A:$CT,83,FALSE)=VLOOKUP($A51,PRICES!$A:$CT,78,FALSE),"Modelled","Manually adjusted")</f>
        <v>Modelled</v>
      </c>
      <c r="L51" s="271">
        <f t="shared" si="0"/>
        <v>340</v>
      </c>
      <c r="M51" s="272" t="str">
        <f t="shared" si="1"/>
        <v>Respiratory Medicine</v>
      </c>
      <c r="N51" s="278">
        <f>IF(ISERROR(VLOOKUP($L51,'15-16 tariff'!$A:$F,3,FALSE)),"-",VLOOKUP($L51,'15-16 tariff'!$A:$F,3,FALSE))</f>
        <v>179.5264567405186</v>
      </c>
      <c r="O51" s="279">
        <f>IF(ISERROR(VLOOKUP($L51,'15-16 tariff'!$A:$F,4,FALSE)),"-",VLOOKUP($L51,'15-16 tariff'!$A:$F,4,FALSE))</f>
        <v>273.6658041548323</v>
      </c>
      <c r="P51" s="279">
        <f>IF(ISERROR(VLOOKUP($L51,'15-16 tariff'!$A:$F,5,FALSE)),"-",VLOOKUP($L51,'15-16 tariff'!$A:$F,5,FALSE))</f>
        <v>104.11550081812261</v>
      </c>
      <c r="Q51" s="280">
        <f>IF(ISERROR(VLOOKUP($L51,'15-16 tariff'!$A:$F,6,FALSE)),"-",VLOOKUP($L51,'15-16 tariff'!$A:$F,6,FALSE))</f>
        <v>171.16034224827675</v>
      </c>
      <c r="S51" s="271">
        <f t="shared" si="2"/>
        <v>340</v>
      </c>
      <c r="T51" s="272" t="str">
        <f t="shared" si="3"/>
        <v>Respiratory Medicine</v>
      </c>
      <c r="U51" s="275">
        <f t="shared" si="4"/>
        <v>-1.468441794602382E-2</v>
      </c>
      <c r="V51" s="276">
        <f t="shared" si="5"/>
        <v>-0.14196301292960034</v>
      </c>
      <c r="W51" s="276">
        <f t="shared" si="6"/>
        <v>-3.4045296610391573E-2</v>
      </c>
      <c r="X51" s="277">
        <f t="shared" si="7"/>
        <v>-0.1578316554885465</v>
      </c>
    </row>
    <row r="52" spans="1:24">
      <c r="A52" s="271">
        <f>Mandatory!A50</f>
        <v>341</v>
      </c>
      <c r="B52" s="272" t="str">
        <f>INDEX('201314 RC list'!B:B,MATCH(A52,'201314 RC list'!A:A,0))</f>
        <v>Respiratory Physiology</v>
      </c>
      <c r="C52" s="278">
        <f>VLOOKUP($A52,PRICES!$A:$CT,90,FALSE)</f>
        <v>132.80901455491801</v>
      </c>
      <c r="D52" s="279">
        <f>VLOOKUP($A52,PRICES!$A:$CT,91,FALSE)</f>
        <v>132.80901455491801</v>
      </c>
      <c r="E52" s="279">
        <f>VLOOKUP($A52,PRICES!$A:$CT,92,FALSE)</f>
        <v>106.16038046048436</v>
      </c>
      <c r="F52" s="280">
        <f>VLOOKUP($A52,PRICES!$A:$CT,93,FALSE)</f>
        <v>106.16038046048436</v>
      </c>
      <c r="G52" s="255" t="str">
        <f>IF(VLOOKUP($A52,PRICES!$A:$CT,80,FALSE)=VLOOKUP($A52,PRICES!$A:$CT,75,FALSE),"Modelled","Manually adjusted")</f>
        <v>Modelled</v>
      </c>
      <c r="H52" s="256" t="str">
        <f>IF(VLOOKUP($A52,PRICES!$A:$CT,81,FALSE)=VLOOKUP($A52,PRICES!$A:$CT,76,FALSE),"Modelled","Manually adjusted")</f>
        <v>Modelled</v>
      </c>
      <c r="I52" s="256" t="str">
        <f>IF(VLOOKUP($A52,PRICES!$A:$CT,82,FALSE)=VLOOKUP($A52,PRICES!$A:$CT,77,FALSE),"Modelled","Manually adjusted")</f>
        <v>Modelled</v>
      </c>
      <c r="J52" s="257" t="str">
        <f>IF(VLOOKUP($A52,PRICES!$A:$CT,83,FALSE)=VLOOKUP($A52,PRICES!$A:$CT,78,FALSE),"Modelled","Manually adjusted")</f>
        <v>Modelled</v>
      </c>
      <c r="L52" s="271">
        <f t="shared" si="0"/>
        <v>341</v>
      </c>
      <c r="M52" s="272" t="str">
        <f t="shared" si="1"/>
        <v>Respiratory Physiology</v>
      </c>
      <c r="N52" s="278">
        <f>IF(ISERROR(VLOOKUP($L52,'15-16 tariff'!$A:$F,3,FALSE)),"-",VLOOKUP($L52,'15-16 tariff'!$A:$F,3,FALSE))</f>
        <v>164.73113070785851</v>
      </c>
      <c r="O52" s="279">
        <f>IF(ISERROR(VLOOKUP($L52,'15-16 tariff'!$A:$F,4,FALSE)),"-",VLOOKUP($L52,'15-16 tariff'!$A:$F,4,FALSE))</f>
        <v>329.46226141571702</v>
      </c>
      <c r="P52" s="279">
        <f>IF(ISERROR(VLOOKUP($L52,'15-16 tariff'!$A:$F,5,FALSE)),"-",VLOOKUP($L52,'15-16 tariff'!$A:$F,5,FALSE))</f>
        <v>134.9387086665669</v>
      </c>
      <c r="Q52" s="280">
        <f>IF(ISERROR(VLOOKUP($L52,'15-16 tariff'!$A:$F,6,FALSE)),"-",VLOOKUP($L52,'15-16 tariff'!$A:$F,6,FALSE))</f>
        <v>269.87741733313379</v>
      </c>
      <c r="S52" s="271">
        <f t="shared" si="2"/>
        <v>341</v>
      </c>
      <c r="T52" s="272" t="str">
        <f t="shared" si="3"/>
        <v>Respiratory Physiology</v>
      </c>
      <c r="U52" s="275">
        <f t="shared" si="4"/>
        <v>-0.19378314235912453</v>
      </c>
      <c r="V52" s="276">
        <f t="shared" si="5"/>
        <v>-0.59689157117956226</v>
      </c>
      <c r="W52" s="276">
        <f t="shared" si="6"/>
        <v>-0.21326962804419369</v>
      </c>
      <c r="X52" s="277">
        <f t="shared" si="7"/>
        <v>-0.60663481402209685</v>
      </c>
    </row>
    <row r="53" spans="1:24">
      <c r="A53" s="271">
        <f>Mandatory!A51</f>
        <v>350</v>
      </c>
      <c r="B53" s="272" t="str">
        <f>INDEX('201314 RC list'!B:B,MATCH(A53,'201314 RC list'!A:A,0))</f>
        <v>Infectious Diseases</v>
      </c>
      <c r="C53" s="278">
        <f>VLOOKUP($A53,PRICES!$A:$CT,90,FALSE)</f>
        <v>272.46014082417759</v>
      </c>
      <c r="D53" s="279">
        <f>VLOOKUP($A53,PRICES!$A:$CT,91,FALSE)</f>
        <v>272.46014082417759</v>
      </c>
      <c r="E53" s="279">
        <f>VLOOKUP($A53,PRICES!$A:$CT,92,FALSE)</f>
        <v>167.15701880554462</v>
      </c>
      <c r="F53" s="280">
        <f>VLOOKUP($A53,PRICES!$A:$CT,93,FALSE)</f>
        <v>167.15701880554462</v>
      </c>
      <c r="G53" s="255" t="str">
        <f>IF(VLOOKUP($A53,PRICES!$A:$CT,80,FALSE)=VLOOKUP($A53,PRICES!$A:$CT,75,FALSE),"Modelled","Manually adjusted")</f>
        <v>Modelled</v>
      </c>
      <c r="H53" s="256" t="str">
        <f>IF(VLOOKUP($A53,PRICES!$A:$CT,81,FALSE)=VLOOKUP($A53,PRICES!$A:$CT,76,FALSE),"Modelled","Manually adjusted")</f>
        <v>Modelled</v>
      </c>
      <c r="I53" s="256" t="str">
        <f>IF(VLOOKUP($A53,PRICES!$A:$CT,82,FALSE)=VLOOKUP($A53,PRICES!$A:$CT,77,FALSE),"Modelled","Manually adjusted")</f>
        <v>Modelled</v>
      </c>
      <c r="J53" s="257" t="str">
        <f>IF(VLOOKUP($A53,PRICES!$A:$CT,83,FALSE)=VLOOKUP($A53,PRICES!$A:$CT,78,FALSE),"Modelled","Manually adjusted")</f>
        <v>Modelled</v>
      </c>
      <c r="L53" s="271">
        <f t="shared" si="0"/>
        <v>350</v>
      </c>
      <c r="M53" s="272" t="str">
        <f t="shared" si="1"/>
        <v>Infectious Diseases</v>
      </c>
      <c r="N53" s="278">
        <f>IF(ISERROR(VLOOKUP($L53,'15-16 tariff'!$A:$F,3,FALSE)),"-",VLOOKUP($L53,'15-16 tariff'!$A:$F,3,FALSE))</f>
        <v>318.25292797346424</v>
      </c>
      <c r="O53" s="279">
        <f>IF(ISERROR(VLOOKUP($L53,'15-16 tariff'!$A:$F,4,FALSE)),"-",VLOOKUP($L53,'15-16 tariff'!$A:$F,4,FALSE))</f>
        <v>322.65423795980325</v>
      </c>
      <c r="P53" s="279">
        <f>IF(ISERROR(VLOOKUP($L53,'15-16 tariff'!$A:$F,5,FALSE)),"-",VLOOKUP($L53,'15-16 tariff'!$A:$F,5,FALSE))</f>
        <v>206.03648059749133</v>
      </c>
      <c r="Q53" s="280">
        <f>IF(ISERROR(VLOOKUP($L53,'15-16 tariff'!$A:$F,6,FALSE)),"-",VLOOKUP($L53,'15-16 tariff'!$A:$F,6,FALSE))</f>
        <v>206.03648059749133</v>
      </c>
      <c r="S53" s="271">
        <f t="shared" si="2"/>
        <v>350</v>
      </c>
      <c r="T53" s="272" t="str">
        <f t="shared" si="3"/>
        <v>Infectious Diseases</v>
      </c>
      <c r="U53" s="275">
        <f t="shared" si="4"/>
        <v>-0.14388803094721203</v>
      </c>
      <c r="V53" s="276">
        <f t="shared" si="5"/>
        <v>-0.15556621060678244</v>
      </c>
      <c r="W53" s="276">
        <f t="shared" si="6"/>
        <v>-0.18870183415674258</v>
      </c>
      <c r="X53" s="277">
        <f t="shared" si="7"/>
        <v>-0.18870183415674258</v>
      </c>
    </row>
    <row r="54" spans="1:24">
      <c r="A54" s="271">
        <f>Mandatory!A52</f>
        <v>361</v>
      </c>
      <c r="B54" s="272" t="str">
        <f>INDEX('201314 RC list'!B:B,MATCH(A54,'201314 RC list'!A:A,0))</f>
        <v>Nephrology</v>
      </c>
      <c r="C54" s="278">
        <f>VLOOKUP($A54,PRICES!$A:$CT,90,FALSE)</f>
        <v>229.73237683895294</v>
      </c>
      <c r="D54" s="279">
        <f>VLOOKUP($A54,PRICES!$A:$CT,91,FALSE)</f>
        <v>302.68364860939977</v>
      </c>
      <c r="E54" s="279">
        <f>VLOOKUP($A54,PRICES!$A:$CT,92,FALSE)</f>
        <v>107.23294081476385</v>
      </c>
      <c r="F54" s="280">
        <f>VLOOKUP($A54,PRICES!$A:$CT,93,FALSE)</f>
        <v>144.71891797902319</v>
      </c>
      <c r="G54" s="255" t="str">
        <f>IF(VLOOKUP($A54,PRICES!$A:$CT,80,FALSE)=VLOOKUP($A54,PRICES!$A:$CT,75,FALSE),"Modelled","Manually adjusted")</f>
        <v>Modelled</v>
      </c>
      <c r="H54" s="256" t="str">
        <f>IF(VLOOKUP($A54,PRICES!$A:$CT,81,FALSE)=VLOOKUP($A54,PRICES!$A:$CT,76,FALSE),"Modelled","Manually adjusted")</f>
        <v>Modelled</v>
      </c>
      <c r="I54" s="256" t="str">
        <f>IF(VLOOKUP($A54,PRICES!$A:$CT,82,FALSE)=VLOOKUP($A54,PRICES!$A:$CT,77,FALSE),"Modelled","Manually adjusted")</f>
        <v>Modelled</v>
      </c>
      <c r="J54" s="257" t="str">
        <f>IF(VLOOKUP($A54,PRICES!$A:$CT,83,FALSE)=VLOOKUP($A54,PRICES!$A:$CT,78,FALSE),"Modelled","Manually adjusted")</f>
        <v>Modelled</v>
      </c>
      <c r="L54" s="271">
        <f t="shared" si="0"/>
        <v>361</v>
      </c>
      <c r="M54" s="272" t="str">
        <f t="shared" si="1"/>
        <v>Nephrology</v>
      </c>
      <c r="N54" s="278">
        <f>IF(ISERROR(VLOOKUP($L54,'15-16 tariff'!$A:$F,3,FALSE)),"-",VLOOKUP($L54,'15-16 tariff'!$A:$F,3,FALSE))</f>
        <v>265.54974657818212</v>
      </c>
      <c r="O54" s="279">
        <f>IF(ISERROR(VLOOKUP($L54,'15-16 tariff'!$A:$F,4,FALSE)),"-",VLOOKUP($L54,'15-16 tariff'!$A:$F,4,FALSE))</f>
        <v>309.08927352476786</v>
      </c>
      <c r="P54" s="279">
        <f>IF(ISERROR(VLOOKUP($L54,'15-16 tariff'!$A:$F,5,FALSE)),"-",VLOOKUP($L54,'15-16 tariff'!$A:$F,5,FALSE))</f>
        <v>127.03040023826152</v>
      </c>
      <c r="Q54" s="280">
        <f>IF(ISERROR(VLOOKUP($L54,'15-16 tariff'!$A:$F,6,FALSE)),"-",VLOOKUP($L54,'15-16 tariff'!$A:$F,6,FALSE))</f>
        <v>238.14290221006664</v>
      </c>
      <c r="S54" s="271">
        <f t="shared" si="2"/>
        <v>361</v>
      </c>
      <c r="T54" s="272" t="str">
        <f t="shared" si="3"/>
        <v>Nephrology</v>
      </c>
      <c r="U54" s="275">
        <f t="shared" ref="U54" si="16">IFERROR(C54/N54-1,"")</f>
        <v>-0.13488007501707022</v>
      </c>
      <c r="V54" s="276">
        <f t="shared" ref="V54" si="17">IFERROR(D54/O54-1,"")</f>
        <v>-2.0724190271374177E-2</v>
      </c>
      <c r="W54" s="276">
        <f t="shared" ref="W54" si="18">IFERROR(E54/P54-1,"")</f>
        <v>-0.15584820158296786</v>
      </c>
      <c r="X54" s="277">
        <f t="shared" ref="X54" si="19">IFERROR(F54/Q54-1,"")</f>
        <v>-0.39230219907471287</v>
      </c>
    </row>
    <row r="55" spans="1:24">
      <c r="A55" s="271">
        <f>Mandatory!A53</f>
        <v>370</v>
      </c>
      <c r="B55" s="272" t="str">
        <f>INDEX('201314 RC list'!B:B,MATCH(A55,'201314 RC list'!A:A,0))</f>
        <v>Medical Oncology</v>
      </c>
      <c r="C55" s="278">
        <f>VLOOKUP($A55,PRICES!$A:$CT,90,FALSE)</f>
        <v>222.59950340390469</v>
      </c>
      <c r="D55" s="279">
        <f>VLOOKUP($A55,PRICES!$A:$CT,91,FALSE)</f>
        <v>260.3998683723259</v>
      </c>
      <c r="E55" s="279">
        <f>VLOOKUP($A55,PRICES!$A:$CT,92,FALSE)</f>
        <v>104.6882785818609</v>
      </c>
      <c r="F55" s="280">
        <f>VLOOKUP($A55,PRICES!$A:$CT,93,FALSE)</f>
        <v>137.34094755742314</v>
      </c>
      <c r="G55" s="255" t="str">
        <f>IF(VLOOKUP($A55,PRICES!$A:$CT,80,FALSE)=VLOOKUP($A55,PRICES!$A:$CT,75,FALSE),"Modelled","Manually adjusted")</f>
        <v>Modelled</v>
      </c>
      <c r="H55" s="256" t="str">
        <f>IF(VLOOKUP($A55,PRICES!$A:$CT,81,FALSE)=VLOOKUP($A55,PRICES!$A:$CT,76,FALSE),"Modelled","Manually adjusted")</f>
        <v>Modelled</v>
      </c>
      <c r="I55" s="256" t="str">
        <f>IF(VLOOKUP($A55,PRICES!$A:$CT,82,FALSE)=VLOOKUP($A55,PRICES!$A:$CT,77,FALSE),"Modelled","Manually adjusted")</f>
        <v>Modelled</v>
      </c>
      <c r="J55" s="257" t="str">
        <f>IF(VLOOKUP($A55,PRICES!$A:$CT,83,FALSE)=VLOOKUP($A55,PRICES!$A:$CT,78,FALSE),"Modelled","Manually adjusted")</f>
        <v>Modelled</v>
      </c>
      <c r="L55" s="271">
        <f t="shared" si="0"/>
        <v>370</v>
      </c>
      <c r="M55" s="272" t="str">
        <f t="shared" si="1"/>
        <v>Medical Oncology</v>
      </c>
      <c r="N55" s="278">
        <f>IF(ISERROR(VLOOKUP($L55,'15-16 tariff'!$A:$F,3,FALSE)),"-",VLOOKUP($L55,'15-16 tariff'!$A:$F,3,FALSE))</f>
        <v>206.38609434978764</v>
      </c>
      <c r="O55" s="279">
        <f>IF(ISERROR(VLOOKUP($L55,'15-16 tariff'!$A:$F,4,FALSE)),"-",VLOOKUP($L55,'15-16 tariff'!$A:$F,4,FALSE))</f>
        <v>212.56308125364137</v>
      </c>
      <c r="P55" s="279">
        <f>IF(ISERROR(VLOOKUP($L55,'15-16 tariff'!$A:$F,5,FALSE)),"-",VLOOKUP($L55,'15-16 tariff'!$A:$F,5,FALSE))</f>
        <v>92.087156709831817</v>
      </c>
      <c r="Q55" s="280">
        <f>IF(ISERROR(VLOOKUP($L55,'15-16 tariff'!$A:$F,6,FALSE)),"-",VLOOKUP($L55,'15-16 tariff'!$A:$F,6,FALSE))</f>
        <v>101.07911872390315</v>
      </c>
      <c r="S55" s="271">
        <f t="shared" si="2"/>
        <v>370</v>
      </c>
      <c r="T55" s="272" t="str">
        <f t="shared" si="3"/>
        <v>Medical Oncology</v>
      </c>
      <c r="U55" s="275">
        <f t="shared" si="4"/>
        <v>7.8558631119004518E-2</v>
      </c>
      <c r="V55" s="276">
        <f t="shared" si="5"/>
        <v>0.22504748631114913</v>
      </c>
      <c r="W55" s="276">
        <f t="shared" si="6"/>
        <v>0.13683908073886375</v>
      </c>
      <c r="X55" s="277">
        <f t="shared" si="7"/>
        <v>0.35874698247586534</v>
      </c>
    </row>
    <row r="56" spans="1:24">
      <c r="A56" s="271">
        <f>Mandatory!A54</f>
        <v>400</v>
      </c>
      <c r="B56" s="272" t="str">
        <f>INDEX('201314 RC list'!B:B,MATCH(A56,'201314 RC list'!A:A,0))</f>
        <v>Neurology</v>
      </c>
      <c r="C56" s="278">
        <f>VLOOKUP($A56,PRICES!$A:$CT,90,FALSE)</f>
        <v>188.77907077191475</v>
      </c>
      <c r="D56" s="279">
        <f>VLOOKUP($A56,PRICES!$A:$CT,91,FALSE)</f>
        <v>267.2023457423885</v>
      </c>
      <c r="E56" s="279">
        <f>VLOOKUP($A56,PRICES!$A:$CT,92,FALSE)</f>
        <v>115.02339876601268</v>
      </c>
      <c r="F56" s="280">
        <f>VLOOKUP($A56,PRICES!$A:$CT,93,FALSE)</f>
        <v>179.53111263009441</v>
      </c>
      <c r="G56" s="255" t="str">
        <f>IF(VLOOKUP($A56,PRICES!$A:$CT,80,FALSE)=VLOOKUP($A56,PRICES!$A:$CT,75,FALSE),"Modelled","Manually adjusted")</f>
        <v>Modelled</v>
      </c>
      <c r="H56" s="256" t="str">
        <f>IF(VLOOKUP($A56,PRICES!$A:$CT,81,FALSE)=VLOOKUP($A56,PRICES!$A:$CT,76,FALSE),"Modelled","Manually adjusted")</f>
        <v>Modelled</v>
      </c>
      <c r="I56" s="256" t="str">
        <f>IF(VLOOKUP($A56,PRICES!$A:$CT,82,FALSE)=VLOOKUP($A56,PRICES!$A:$CT,77,FALSE),"Modelled","Manually adjusted")</f>
        <v>Modelled</v>
      </c>
      <c r="J56" s="257" t="str">
        <f>IF(VLOOKUP($A56,PRICES!$A:$CT,83,FALSE)=VLOOKUP($A56,PRICES!$A:$CT,78,FALSE),"Modelled","Manually adjusted")</f>
        <v>Modelled</v>
      </c>
      <c r="L56" s="271">
        <f t="shared" si="0"/>
        <v>400</v>
      </c>
      <c r="M56" s="272" t="str">
        <f t="shared" si="1"/>
        <v>Neurology</v>
      </c>
      <c r="N56" s="278" t="str">
        <f>IF(ISERROR(VLOOKUP($L56,'15-16 tariff'!$A:$F,3,FALSE)),"-",VLOOKUP($L56,'15-16 tariff'!$A:$F,3,FALSE))</f>
        <v>-</v>
      </c>
      <c r="O56" s="279" t="str">
        <f>IF(ISERROR(VLOOKUP($L56,'15-16 tariff'!$A:$F,4,FALSE)),"-",VLOOKUP($L56,'15-16 tariff'!$A:$F,4,FALSE))</f>
        <v>-</v>
      </c>
      <c r="P56" s="279" t="str">
        <f>IF(ISERROR(VLOOKUP($L56,'15-16 tariff'!$A:$F,5,FALSE)),"-",VLOOKUP($L56,'15-16 tariff'!$A:$F,5,FALSE))</f>
        <v>-</v>
      </c>
      <c r="Q56" s="280" t="str">
        <f>IF(ISERROR(VLOOKUP($L56,'15-16 tariff'!$A:$F,6,FALSE)),"-",VLOOKUP($L56,'15-16 tariff'!$A:$F,6,FALSE))</f>
        <v>-</v>
      </c>
      <c r="S56" s="271">
        <f t="shared" si="2"/>
        <v>400</v>
      </c>
      <c r="T56" s="272" t="str">
        <f t="shared" si="3"/>
        <v>Neurology</v>
      </c>
      <c r="U56" s="275" t="str">
        <f t="shared" si="4"/>
        <v/>
      </c>
      <c r="V56" s="276" t="str">
        <f t="shared" si="5"/>
        <v/>
      </c>
      <c r="W56" s="276" t="str">
        <f t="shared" si="6"/>
        <v/>
      </c>
      <c r="X56" s="277" t="str">
        <f t="shared" si="7"/>
        <v/>
      </c>
    </row>
    <row r="57" spans="1:24">
      <c r="A57" s="271">
        <f>Mandatory!A55</f>
        <v>410</v>
      </c>
      <c r="B57" s="272" t="str">
        <f>INDEX('201314 RC list'!B:B,MATCH(A57,'201314 RC list'!A:A,0))</f>
        <v>Rheumatology</v>
      </c>
      <c r="C57" s="278">
        <f>VLOOKUP($A57,PRICES!$A:$CT,90,FALSE)</f>
        <v>192.08504325630952</v>
      </c>
      <c r="D57" s="279">
        <f>VLOOKUP($A57,PRICES!$A:$CT,91,FALSE)</f>
        <v>199.54884532679918</v>
      </c>
      <c r="E57" s="279">
        <f>VLOOKUP($A57,PRICES!$A:$CT,92,FALSE)</f>
        <v>94.828495887058764</v>
      </c>
      <c r="F57" s="280">
        <f>VLOOKUP($A57,PRICES!$A:$CT,93,FALSE)</f>
        <v>102.93491456631732</v>
      </c>
      <c r="G57" s="255" t="str">
        <f>IF(VLOOKUP($A57,PRICES!$A:$CT,80,FALSE)=VLOOKUP($A57,PRICES!$A:$CT,75,FALSE),"Modelled","Manually adjusted")</f>
        <v>Modelled</v>
      </c>
      <c r="H57" s="256" t="str">
        <f>IF(VLOOKUP($A57,PRICES!$A:$CT,81,FALSE)=VLOOKUP($A57,PRICES!$A:$CT,76,FALSE),"Modelled","Manually adjusted")</f>
        <v>Modelled</v>
      </c>
      <c r="I57" s="256" t="str">
        <f>IF(VLOOKUP($A57,PRICES!$A:$CT,82,FALSE)=VLOOKUP($A57,PRICES!$A:$CT,77,FALSE),"Modelled","Manually adjusted")</f>
        <v>Modelled</v>
      </c>
      <c r="J57" s="257" t="str">
        <f>IF(VLOOKUP($A57,PRICES!$A:$CT,83,FALSE)=VLOOKUP($A57,PRICES!$A:$CT,78,FALSE),"Modelled","Manually adjusted")</f>
        <v>Modelled</v>
      </c>
      <c r="L57" s="271">
        <f t="shared" si="0"/>
        <v>410</v>
      </c>
      <c r="M57" s="272" t="str">
        <f t="shared" si="1"/>
        <v>Rheumatology</v>
      </c>
      <c r="N57" s="278">
        <f>IF(ISERROR(VLOOKUP($L57,'15-16 tariff'!$A:$F,3,FALSE)),"-",VLOOKUP($L57,'15-16 tariff'!$A:$F,3,FALSE))</f>
        <v>222.46033554889169</v>
      </c>
      <c r="O57" s="279">
        <f>IF(ISERROR(VLOOKUP($L57,'15-16 tariff'!$A:$F,4,FALSE)),"-",VLOOKUP($L57,'15-16 tariff'!$A:$F,4,FALSE))</f>
        <v>242.52718371842172</v>
      </c>
      <c r="P57" s="279">
        <f>IF(ISERROR(VLOOKUP($L57,'15-16 tariff'!$A:$F,5,FALSE)),"-",VLOOKUP($L57,'15-16 tariff'!$A:$F,5,FALSE))</f>
        <v>102.0822106650581</v>
      </c>
      <c r="Q57" s="280">
        <f>IF(ISERROR(VLOOKUP($L57,'15-16 tariff'!$A:$F,6,FALSE)),"-",VLOOKUP($L57,'15-16 tariff'!$A:$F,6,FALSE))</f>
        <v>162.56069013404988</v>
      </c>
      <c r="S57" s="271">
        <f t="shared" si="2"/>
        <v>410</v>
      </c>
      <c r="T57" s="272" t="str">
        <f t="shared" si="3"/>
        <v>Rheumatology</v>
      </c>
      <c r="U57" s="275">
        <f t="shared" ref="U57" si="20">IFERROR(C57/N57-1,"")</f>
        <v>-0.13654250865726303</v>
      </c>
      <c r="V57" s="276">
        <f t="shared" ref="V57" si="21">IFERROR(D57/O57-1,"")</f>
        <v>-0.17721039651176229</v>
      </c>
      <c r="W57" s="276">
        <f t="shared" ref="W57" si="22">IFERROR(E57/P57-1,"")</f>
        <v>-7.1057579285772832E-2</v>
      </c>
      <c r="X57" s="277">
        <f t="shared" ref="X57" si="23">IFERROR(F57/Q57-1,"")</f>
        <v>-0.36679086142267414</v>
      </c>
    </row>
    <row r="58" spans="1:24">
      <c r="A58" s="271">
        <f>Mandatory!A56</f>
        <v>420</v>
      </c>
      <c r="B58" s="272" t="str">
        <f>INDEX('201314 RC list'!B:B,MATCH(A58,'201314 RC list'!A:A,0))</f>
        <v>Paediatrics</v>
      </c>
      <c r="C58" s="278">
        <f>VLOOKUP($A58,PRICES!$A:$CT,90,FALSE)</f>
        <v>215.7319727076578</v>
      </c>
      <c r="D58" s="279">
        <f>VLOOKUP($A58,PRICES!$A:$CT,91,FALSE)</f>
        <v>259.74382388091158</v>
      </c>
      <c r="E58" s="279">
        <f>VLOOKUP($A58,PRICES!$A:$CT,92,FALSE)</f>
        <v>131.77131952331911</v>
      </c>
      <c r="F58" s="280">
        <f>VLOOKUP($A58,PRICES!$A:$CT,93,FALSE)</f>
        <v>150.83140715451509</v>
      </c>
      <c r="G58" s="255" t="str">
        <f>IF(VLOOKUP($A58,PRICES!$A:$CT,80,FALSE)=VLOOKUP($A58,PRICES!$A:$CT,75,FALSE),"Modelled","Manually adjusted")</f>
        <v>Modelled</v>
      </c>
      <c r="H58" s="256" t="str">
        <f>IF(VLOOKUP($A58,PRICES!$A:$CT,81,FALSE)=VLOOKUP($A58,PRICES!$A:$CT,76,FALSE),"Modelled","Manually adjusted")</f>
        <v>Modelled</v>
      </c>
      <c r="I58" s="256" t="str">
        <f>IF(VLOOKUP($A58,PRICES!$A:$CT,82,FALSE)=VLOOKUP($A58,PRICES!$A:$CT,77,FALSE),"Modelled","Manually adjusted")</f>
        <v>Modelled</v>
      </c>
      <c r="J58" s="257" t="str">
        <f>IF(VLOOKUP($A58,PRICES!$A:$CT,83,FALSE)=VLOOKUP($A58,PRICES!$A:$CT,78,FALSE),"Modelled","Manually adjusted")</f>
        <v>Modelled</v>
      </c>
      <c r="L58" s="271">
        <f t="shared" si="0"/>
        <v>420</v>
      </c>
      <c r="M58" s="272" t="str">
        <f t="shared" si="1"/>
        <v>Paediatrics</v>
      </c>
      <c r="N58" s="278">
        <f>IF(ISERROR(VLOOKUP($L58,'15-16 tariff'!$A:$F,3,FALSE)),"-",VLOOKUP($L58,'15-16 tariff'!$A:$F,3,FALSE))</f>
        <v>218.97678794297926</v>
      </c>
      <c r="O58" s="279">
        <f>IF(ISERROR(VLOOKUP($L58,'15-16 tariff'!$A:$F,4,FALSE)),"-",VLOOKUP($L58,'15-16 tariff'!$A:$F,4,FALSE))</f>
        <v>232.14836075459402</v>
      </c>
      <c r="P58" s="279">
        <f>IF(ISERROR(VLOOKUP($L58,'15-16 tariff'!$A:$F,5,FALSE)),"-",VLOOKUP($L58,'15-16 tariff'!$A:$F,5,FALSE))</f>
        <v>133.18895279836445</v>
      </c>
      <c r="Q58" s="280">
        <f>IF(ISERROR(VLOOKUP($L58,'15-16 tariff'!$A:$F,6,FALSE)),"-",VLOOKUP($L58,'15-16 tariff'!$A:$F,6,FALSE))</f>
        <v>154.00748123285911</v>
      </c>
      <c r="S58" s="271">
        <f t="shared" si="2"/>
        <v>420</v>
      </c>
      <c r="T58" s="272" t="str">
        <f t="shared" si="3"/>
        <v>Paediatrics</v>
      </c>
      <c r="U58" s="275">
        <f t="shared" si="4"/>
        <v>-1.481807850869743E-2</v>
      </c>
      <c r="V58" s="276">
        <f t="shared" si="5"/>
        <v>0.11886994608369839</v>
      </c>
      <c r="W58" s="276">
        <f t="shared" si="6"/>
        <v>-1.0643775217540119E-2</v>
      </c>
      <c r="X58" s="277">
        <f t="shared" si="7"/>
        <v>-2.062285580491896E-2</v>
      </c>
    </row>
    <row r="59" spans="1:24">
      <c r="A59" s="271">
        <f>Mandatory!A57</f>
        <v>421</v>
      </c>
      <c r="B59" s="272" t="str">
        <f>INDEX('201314 RC list'!B:B,MATCH(A59,'201314 RC list'!A:A,0))</f>
        <v>Paediatric Neurology</v>
      </c>
      <c r="C59" s="278">
        <f>VLOOKUP($A59,PRICES!$A:$CT,90,FALSE)</f>
        <v>319.87968604816973</v>
      </c>
      <c r="D59" s="279">
        <f>VLOOKUP($A59,PRICES!$A:$CT,91,FALSE)</f>
        <v>397.59494455032853</v>
      </c>
      <c r="E59" s="279">
        <f>VLOOKUP($A59,PRICES!$A:$CT,92,FALSE)</f>
        <v>204.64979740721756</v>
      </c>
      <c r="F59" s="280">
        <f>VLOOKUP($A59,PRICES!$A:$CT,93,FALSE)</f>
        <v>211.52877855231463</v>
      </c>
      <c r="G59" s="255" t="str">
        <f>IF(VLOOKUP($A59,PRICES!$A:$CT,80,FALSE)=VLOOKUP($A59,PRICES!$A:$CT,75,FALSE),"Modelled","Manually adjusted")</f>
        <v>Modelled</v>
      </c>
      <c r="H59" s="256" t="str">
        <f>IF(VLOOKUP($A59,PRICES!$A:$CT,81,FALSE)=VLOOKUP($A59,PRICES!$A:$CT,76,FALSE),"Modelled","Manually adjusted")</f>
        <v>Modelled</v>
      </c>
      <c r="I59" s="256" t="str">
        <f>IF(VLOOKUP($A59,PRICES!$A:$CT,82,FALSE)=VLOOKUP($A59,PRICES!$A:$CT,77,FALSE),"Modelled","Manually adjusted")</f>
        <v>Modelled</v>
      </c>
      <c r="J59" s="257" t="str">
        <f>IF(VLOOKUP($A59,PRICES!$A:$CT,83,FALSE)=VLOOKUP($A59,PRICES!$A:$CT,78,FALSE),"Modelled","Manually adjusted")</f>
        <v>Modelled</v>
      </c>
      <c r="L59" s="271">
        <f t="shared" si="0"/>
        <v>421</v>
      </c>
      <c r="M59" s="272" t="str">
        <f t="shared" si="1"/>
        <v>Paediatric Neurology</v>
      </c>
      <c r="N59" s="278" t="str">
        <f>IF(ISERROR(VLOOKUP($L59,'15-16 tariff'!$A:$F,3,FALSE)),"-",VLOOKUP($L59,'15-16 tariff'!$A:$F,3,FALSE))</f>
        <v>-</v>
      </c>
      <c r="O59" s="279" t="str">
        <f>IF(ISERROR(VLOOKUP($L59,'15-16 tariff'!$A:$F,4,FALSE)),"-",VLOOKUP($L59,'15-16 tariff'!$A:$F,4,FALSE))</f>
        <v>-</v>
      </c>
      <c r="P59" s="279" t="str">
        <f>IF(ISERROR(VLOOKUP($L59,'15-16 tariff'!$A:$F,5,FALSE)),"-",VLOOKUP($L59,'15-16 tariff'!$A:$F,5,FALSE))</f>
        <v>-</v>
      </c>
      <c r="Q59" s="280" t="str">
        <f>IF(ISERROR(VLOOKUP($L59,'15-16 tariff'!$A:$F,6,FALSE)),"-",VLOOKUP($L59,'15-16 tariff'!$A:$F,6,FALSE))</f>
        <v>-</v>
      </c>
      <c r="S59" s="271">
        <f t="shared" si="2"/>
        <v>421</v>
      </c>
      <c r="T59" s="272" t="str">
        <f t="shared" si="3"/>
        <v>Paediatric Neurology</v>
      </c>
      <c r="U59" s="275" t="str">
        <f t="shared" si="4"/>
        <v/>
      </c>
      <c r="V59" s="276" t="str">
        <f t="shared" si="5"/>
        <v/>
      </c>
      <c r="W59" s="276" t="str">
        <f t="shared" si="6"/>
        <v/>
      </c>
      <c r="X59" s="277" t="str">
        <f t="shared" si="7"/>
        <v/>
      </c>
    </row>
    <row r="60" spans="1:24">
      <c r="A60" s="271">
        <f>Mandatory!A58</f>
        <v>430</v>
      </c>
      <c r="B60" s="272" t="str">
        <f>INDEX('201314 RC list'!B:B,MATCH(A60,'201314 RC list'!A:A,0))</f>
        <v>Geriatric Medicine</v>
      </c>
      <c r="C60" s="278">
        <f>VLOOKUP($A60,PRICES!$A:$CT,90,FALSE)</f>
        <v>228.8797123863657</v>
      </c>
      <c r="D60" s="279">
        <f>VLOOKUP($A60,PRICES!$A:$CT,91,FALSE)</f>
        <v>228.8797123863657</v>
      </c>
      <c r="E60" s="279">
        <f>VLOOKUP($A60,PRICES!$A:$CT,92,FALSE)</f>
        <v>133.50140740454171</v>
      </c>
      <c r="F60" s="280">
        <f>VLOOKUP($A60,PRICES!$A:$CT,93,FALSE)</f>
        <v>133.50140740454171</v>
      </c>
      <c r="G60" s="255" t="str">
        <f>IF(VLOOKUP($A60,PRICES!$A:$CT,80,FALSE)=VLOOKUP($A60,PRICES!$A:$CT,75,FALSE),"Modelled","Manually adjusted")</f>
        <v>Modelled</v>
      </c>
      <c r="H60" s="256" t="str">
        <f>IF(VLOOKUP($A60,PRICES!$A:$CT,81,FALSE)=VLOOKUP($A60,PRICES!$A:$CT,76,FALSE),"Modelled","Manually adjusted")</f>
        <v>Modelled</v>
      </c>
      <c r="I60" s="256" t="str">
        <f>IF(VLOOKUP($A60,PRICES!$A:$CT,82,FALSE)=VLOOKUP($A60,PRICES!$A:$CT,77,FALSE),"Modelled","Manually adjusted")</f>
        <v>Modelled</v>
      </c>
      <c r="J60" s="257" t="str">
        <f>IF(VLOOKUP($A60,PRICES!$A:$CT,83,FALSE)=VLOOKUP($A60,PRICES!$A:$CT,78,FALSE),"Modelled","Manually adjusted")</f>
        <v>Modelled</v>
      </c>
      <c r="L60" s="271">
        <f t="shared" si="0"/>
        <v>430</v>
      </c>
      <c r="M60" s="272" t="str">
        <f t="shared" si="1"/>
        <v>Geriatric Medicine</v>
      </c>
      <c r="N60" s="278">
        <f>IF(ISERROR(VLOOKUP($L60,'15-16 tariff'!$A:$F,3,FALSE)),"-",VLOOKUP($L60,'15-16 tariff'!$A:$F,3,FALSE))</f>
        <v>241.23203318906411</v>
      </c>
      <c r="O60" s="279">
        <f>IF(ISERROR(VLOOKUP($L60,'15-16 tariff'!$A:$F,4,FALSE)),"-",VLOOKUP($L60,'15-16 tariff'!$A:$F,4,FALSE))</f>
        <v>241.23203318906411</v>
      </c>
      <c r="P60" s="279">
        <f>IF(ISERROR(VLOOKUP($L60,'15-16 tariff'!$A:$F,5,FALSE)),"-",VLOOKUP($L60,'15-16 tariff'!$A:$F,5,FALSE))</f>
        <v>135.66166572337823</v>
      </c>
      <c r="Q60" s="280">
        <f>IF(ISERROR(VLOOKUP($L60,'15-16 tariff'!$A:$F,6,FALSE)),"-",VLOOKUP($L60,'15-16 tariff'!$A:$F,6,FALSE))</f>
        <v>135.66166572337823</v>
      </c>
      <c r="S60" s="271">
        <f t="shared" si="2"/>
        <v>430</v>
      </c>
      <c r="T60" s="272" t="str">
        <f t="shared" si="3"/>
        <v>Geriatric Medicine</v>
      </c>
      <c r="U60" s="275">
        <f t="shared" ref="U60" si="24">IFERROR(C60/N60-1,"")</f>
        <v>-5.1205143195130143E-2</v>
      </c>
      <c r="V60" s="276">
        <f t="shared" ref="V60" si="25">IFERROR(D60/O60-1,"")</f>
        <v>-5.1205143195130143E-2</v>
      </c>
      <c r="W60" s="276">
        <f t="shared" ref="W60" si="26">IFERROR(E60/P60-1,"")</f>
        <v>-1.5923866976846779E-2</v>
      </c>
      <c r="X60" s="277">
        <f t="shared" ref="X60" si="27">IFERROR(F60/Q60-1,"")</f>
        <v>-1.5923866976846779E-2</v>
      </c>
    </row>
    <row r="61" spans="1:24">
      <c r="A61" s="271">
        <f>Mandatory!A59</f>
        <v>502</v>
      </c>
      <c r="B61" s="272" t="str">
        <f>INDEX('201314 RC list'!B:B,MATCH(A61,'201314 RC list'!A:A,0))</f>
        <v>Gynaecology</v>
      </c>
      <c r="C61" s="278">
        <f>VLOOKUP($A61,PRICES!$A:$CT,90,FALSE)</f>
        <v>135.30079569920184</v>
      </c>
      <c r="D61" s="279">
        <f>VLOOKUP($A61,PRICES!$A:$CT,91,FALSE)</f>
        <v>154.27186285603122</v>
      </c>
      <c r="E61" s="279">
        <f>VLOOKUP($A61,PRICES!$A:$CT,92,FALSE)</f>
        <v>88.902552296199758</v>
      </c>
      <c r="F61" s="280">
        <f>VLOOKUP($A61,PRICES!$A:$CT,93,FALSE)</f>
        <v>120.19183871010053</v>
      </c>
      <c r="G61" s="255" t="str">
        <f>IF(VLOOKUP($A61,PRICES!$A:$CT,80,FALSE)=VLOOKUP($A61,PRICES!$A:$CT,75,FALSE),"Modelled","Manually adjusted")</f>
        <v>Modelled</v>
      </c>
      <c r="H61" s="256" t="str">
        <f>IF(VLOOKUP($A61,PRICES!$A:$CT,81,FALSE)=VLOOKUP($A61,PRICES!$A:$CT,76,FALSE),"Modelled","Manually adjusted")</f>
        <v>Modelled</v>
      </c>
      <c r="I61" s="256" t="str">
        <f>IF(VLOOKUP($A61,PRICES!$A:$CT,82,FALSE)=VLOOKUP($A61,PRICES!$A:$CT,77,FALSE),"Modelled","Manually adjusted")</f>
        <v>Modelled</v>
      </c>
      <c r="J61" s="257" t="str">
        <f>IF(VLOOKUP($A61,PRICES!$A:$CT,83,FALSE)=VLOOKUP($A61,PRICES!$A:$CT,78,FALSE),"Modelled","Manually adjusted")</f>
        <v>Modelled</v>
      </c>
      <c r="L61" s="271">
        <f t="shared" si="0"/>
        <v>502</v>
      </c>
      <c r="M61" s="272" t="str">
        <f t="shared" si="1"/>
        <v>Gynaecology</v>
      </c>
      <c r="N61" s="278">
        <f>IF(ISERROR(VLOOKUP($L61,'15-16 tariff'!$A:$F,3,FALSE)),"-",VLOOKUP($L61,'15-16 tariff'!$A:$F,3,FALSE))</f>
        <v>136.25979364623063</v>
      </c>
      <c r="O61" s="279">
        <f>IF(ISERROR(VLOOKUP($L61,'15-16 tariff'!$A:$F,4,FALSE)),"-",VLOOKUP($L61,'15-16 tariff'!$A:$F,4,FALSE))</f>
        <v>148.48240525245265</v>
      </c>
      <c r="P61" s="279">
        <f>IF(ISERROR(VLOOKUP($L61,'15-16 tariff'!$A:$F,5,FALSE)),"-",VLOOKUP($L61,'15-16 tariff'!$A:$F,5,FALSE))</f>
        <v>87.949369991044534</v>
      </c>
      <c r="Q61" s="280">
        <f>IF(ISERROR(VLOOKUP($L61,'15-16 tariff'!$A:$F,6,FALSE)),"-",VLOOKUP($L61,'15-16 tariff'!$A:$F,6,FALSE))</f>
        <v>103.96053920273418</v>
      </c>
      <c r="S61" s="271">
        <f t="shared" si="2"/>
        <v>502</v>
      </c>
      <c r="T61" s="272" t="str">
        <f t="shared" si="3"/>
        <v>Gynaecology</v>
      </c>
      <c r="U61" s="275">
        <f t="shared" si="4"/>
        <v>-7.0380111503663967E-3</v>
      </c>
      <c r="V61" s="276">
        <f t="shared" si="5"/>
        <v>3.8990866249339229E-2</v>
      </c>
      <c r="W61" s="276">
        <f t="shared" si="6"/>
        <v>1.0837852565086958E-2</v>
      </c>
      <c r="X61" s="277">
        <f t="shared" si="7"/>
        <v>0.15612942787564399</v>
      </c>
    </row>
    <row r="62" spans="1:24">
      <c r="A62" s="271">
        <f>Mandatory!A60</f>
        <v>503</v>
      </c>
      <c r="B62" s="272" t="str">
        <f>INDEX('201314 RC list'!B:B,MATCH(A62,'201314 RC list'!A:A,0))</f>
        <v>Gynaecological Oncology</v>
      </c>
      <c r="C62" s="278">
        <f>VLOOKUP($A62,PRICES!$A:$CT,90,FALSE)</f>
        <v>147.62960537407812</v>
      </c>
      <c r="D62" s="279">
        <f>VLOOKUP($A62,PRICES!$A:$CT,91,FALSE)</f>
        <v>238.88499996765822</v>
      </c>
      <c r="E62" s="279">
        <f>VLOOKUP($A62,PRICES!$A:$CT,92,FALSE)</f>
        <v>90.426441243025124</v>
      </c>
      <c r="F62" s="280">
        <f>VLOOKUP($A62,PRICES!$A:$CT,93,FALSE)</f>
        <v>157.51136264964018</v>
      </c>
      <c r="G62" s="255" t="str">
        <f>IF(VLOOKUP($A62,PRICES!$A:$CT,80,FALSE)=VLOOKUP($A62,PRICES!$A:$CT,75,FALSE),"Modelled","Manually adjusted")</f>
        <v>Modelled</v>
      </c>
      <c r="H62" s="256" t="str">
        <f>IF(VLOOKUP($A62,PRICES!$A:$CT,81,FALSE)=VLOOKUP($A62,PRICES!$A:$CT,76,FALSE),"Modelled","Manually adjusted")</f>
        <v>Modelled</v>
      </c>
      <c r="I62" s="256" t="str">
        <f>IF(VLOOKUP($A62,PRICES!$A:$CT,82,FALSE)=VLOOKUP($A62,PRICES!$A:$CT,77,FALSE),"Modelled","Manually adjusted")</f>
        <v>Modelled</v>
      </c>
      <c r="J62" s="257" t="str">
        <f>IF(VLOOKUP($A62,PRICES!$A:$CT,83,FALSE)=VLOOKUP($A62,PRICES!$A:$CT,78,FALSE),"Modelled","Manually adjusted")</f>
        <v>Modelled</v>
      </c>
      <c r="L62" s="271">
        <f t="shared" si="0"/>
        <v>503</v>
      </c>
      <c r="M62" s="272" t="str">
        <f t="shared" si="1"/>
        <v>Gynaecological Oncology</v>
      </c>
      <c r="N62" s="278">
        <f>IF(ISERROR(VLOOKUP($L62,'15-16 tariff'!$A:$F,3,FALSE)),"-",VLOOKUP($L62,'15-16 tariff'!$A:$F,3,FALSE))</f>
        <v>157.79951240570455</v>
      </c>
      <c r="O62" s="279">
        <f>IF(ISERROR(VLOOKUP($L62,'15-16 tariff'!$A:$F,4,FALSE)),"-",VLOOKUP($L62,'15-16 tariff'!$A:$F,4,FALSE))</f>
        <v>200.1092678811969</v>
      </c>
      <c r="P62" s="279">
        <f>IF(ISERROR(VLOOKUP($L62,'15-16 tariff'!$A:$F,5,FALSE)),"-",VLOOKUP($L62,'15-16 tariff'!$A:$F,5,FALSE))</f>
        <v>94.235090741805791</v>
      </c>
      <c r="Q62" s="280">
        <f>IF(ISERROR(VLOOKUP($L62,'15-16 tariff'!$A:$F,6,FALSE)),"-",VLOOKUP($L62,'15-16 tariff'!$A:$F,6,FALSE))</f>
        <v>106.90083808031201</v>
      </c>
      <c r="S62" s="271">
        <f t="shared" si="2"/>
        <v>503</v>
      </c>
      <c r="T62" s="272" t="str">
        <f t="shared" si="3"/>
        <v>Gynaecological Oncology</v>
      </c>
      <c r="U62" s="275">
        <f t="shared" si="4"/>
        <v>-6.4448279190365665E-2</v>
      </c>
      <c r="V62" s="276">
        <f t="shared" si="5"/>
        <v>0.19377279471874398</v>
      </c>
      <c r="W62" s="276">
        <f t="shared" si="6"/>
        <v>-4.0416467674615708E-2</v>
      </c>
      <c r="X62" s="277">
        <f t="shared" si="7"/>
        <v>0.47343431050845175</v>
      </c>
    </row>
    <row r="63" spans="1:24">
      <c r="A63" s="271">
        <f>Mandatory!A61</f>
        <v>800</v>
      </c>
      <c r="B63" s="272" t="str">
        <f>INDEX('201314 RC list'!B:B,MATCH(A63,'201314 RC list'!A:A,0))</f>
        <v>Clinical Oncology (previously Radiotherapy)</v>
      </c>
      <c r="C63" s="278">
        <f>VLOOKUP($A63,PRICES!$A:$CT,90,FALSE)</f>
        <v>201.70076893134805</v>
      </c>
      <c r="D63" s="279">
        <f>VLOOKUP($A63,PRICES!$A:$CT,91,FALSE)</f>
        <v>218.88060230791385</v>
      </c>
      <c r="E63" s="279">
        <f>VLOOKUP($A63,PRICES!$A:$CT,92,FALSE)</f>
        <v>93.669844455404885</v>
      </c>
      <c r="F63" s="280">
        <f>VLOOKUP($A63,PRICES!$A:$CT,93,FALSE)</f>
        <v>117.73271054762449</v>
      </c>
      <c r="G63" s="255" t="str">
        <f>IF(VLOOKUP($A63,PRICES!$A:$CT,80,FALSE)=VLOOKUP($A63,PRICES!$A:$CT,75,FALSE),"Modelled","Manually adjusted")</f>
        <v>Modelled</v>
      </c>
      <c r="H63" s="256" t="str">
        <f>IF(VLOOKUP($A63,PRICES!$A:$CT,81,FALSE)=VLOOKUP($A63,PRICES!$A:$CT,76,FALSE),"Modelled","Manually adjusted")</f>
        <v>Modelled</v>
      </c>
      <c r="I63" s="256" t="str">
        <f>IF(VLOOKUP($A63,PRICES!$A:$CT,82,FALSE)=VLOOKUP($A63,PRICES!$A:$CT,77,FALSE),"Modelled","Manually adjusted")</f>
        <v>Modelled</v>
      </c>
      <c r="J63" s="257" t="str">
        <f>IF(VLOOKUP($A63,PRICES!$A:$CT,83,FALSE)=VLOOKUP($A63,PRICES!$A:$CT,78,FALSE),"Modelled","Manually adjusted")</f>
        <v>Modelled</v>
      </c>
      <c r="L63" s="271">
        <f t="shared" si="0"/>
        <v>800</v>
      </c>
      <c r="M63" s="272" t="str">
        <f t="shared" si="1"/>
        <v>Clinical Oncology (previously Radiotherapy)</v>
      </c>
      <c r="N63" s="278">
        <f>IF(ISERROR(VLOOKUP($L63,'15-16 tariff'!$A:$F,3,FALSE)),"-",VLOOKUP($L63,'15-16 tariff'!$A:$F,3,FALSE))</f>
        <v>206.38609434978764</v>
      </c>
      <c r="O63" s="279">
        <f>IF(ISERROR(VLOOKUP($L63,'15-16 tariff'!$A:$F,4,FALSE)),"-",VLOOKUP($L63,'15-16 tariff'!$A:$F,4,FALSE))</f>
        <v>212.56308125364137</v>
      </c>
      <c r="P63" s="279">
        <f>IF(ISERROR(VLOOKUP($L63,'15-16 tariff'!$A:$F,5,FALSE)),"-",VLOOKUP($L63,'15-16 tariff'!$A:$F,5,FALSE))</f>
        <v>92.087156709831817</v>
      </c>
      <c r="Q63" s="280">
        <f>IF(ISERROR(VLOOKUP($L63,'15-16 tariff'!$A:$F,6,FALSE)),"-",VLOOKUP($L63,'15-16 tariff'!$A:$F,6,FALSE))</f>
        <v>101.07911872390315</v>
      </c>
      <c r="S63" s="271">
        <f t="shared" si="2"/>
        <v>800</v>
      </c>
      <c r="T63" s="272" t="str">
        <f t="shared" si="3"/>
        <v>Clinical Oncology (previously Radiotherapy)</v>
      </c>
      <c r="U63" s="275">
        <f t="shared" si="4"/>
        <v>-2.270174952048265E-2</v>
      </c>
      <c r="V63" s="276">
        <f t="shared" si="5"/>
        <v>2.9720688169428966E-2</v>
      </c>
      <c r="W63" s="276">
        <f t="shared" si="6"/>
        <v>1.7186845615834834E-2</v>
      </c>
      <c r="X63" s="277">
        <f t="shared" si="7"/>
        <v>0.16475798398292829</v>
      </c>
    </row>
    <row r="64" spans="1:24" ht="12" thickBot="1">
      <c r="A64" s="283">
        <f>Mandatory!A62</f>
        <v>812</v>
      </c>
      <c r="B64" s="284" t="str">
        <f>INDEX('201314 RC list'!B:B,MATCH(A64,'201314 RC list'!A:A,0))</f>
        <v>Diagnostic Imaging</v>
      </c>
      <c r="C64" s="285">
        <f>VLOOKUP($A64,PRICES!$A:$CT,90,FALSE)</f>
        <v>0</v>
      </c>
      <c r="D64" s="286">
        <f>VLOOKUP($A64,PRICES!$A:$CT,91,FALSE)</f>
        <v>0</v>
      </c>
      <c r="E64" s="286">
        <f>VLOOKUP($A64,PRICES!$A:$CT,92,FALSE)</f>
        <v>0</v>
      </c>
      <c r="F64" s="287">
        <f>VLOOKUP($A64,PRICES!$A:$CT,93,FALSE)</f>
        <v>0</v>
      </c>
      <c r="G64" s="258" t="str">
        <f>IF(VLOOKUP($A64,PRICES!$A:$CT,80,FALSE)=VLOOKUP($A64,PRICES!$A:$CT,75,FALSE),"Modelled","Manually adjusted")</f>
        <v>Modelled</v>
      </c>
      <c r="H64" s="259" t="str">
        <f>IF(VLOOKUP($A64,PRICES!$A:$CT,81,FALSE)=VLOOKUP($A64,PRICES!$A:$CT,76,FALSE),"Modelled","Manually adjusted")</f>
        <v>Modelled</v>
      </c>
      <c r="I64" s="259" t="str">
        <f>IF(VLOOKUP($A64,PRICES!$A:$CT,82,FALSE)=VLOOKUP($A64,PRICES!$A:$CT,77,FALSE),"Modelled","Manually adjusted")</f>
        <v>Modelled</v>
      </c>
      <c r="J64" s="260" t="str">
        <f>IF(VLOOKUP($A64,PRICES!$A:$CT,83,FALSE)=VLOOKUP($A64,PRICES!$A:$CT,78,FALSE),"Modelled","Manually adjusted")</f>
        <v>Modelled</v>
      </c>
      <c r="L64" s="283">
        <f t="shared" si="0"/>
        <v>812</v>
      </c>
      <c r="M64" s="284" t="str">
        <f t="shared" si="1"/>
        <v>Diagnostic Imaging</v>
      </c>
      <c r="N64" s="285">
        <f>IF(ISERROR(VLOOKUP($L64,'15-16 tariff'!$A:$F,3,FALSE)),"-",VLOOKUP($L64,'15-16 tariff'!$A:$F,3,FALSE))</f>
        <v>0</v>
      </c>
      <c r="O64" s="286">
        <f>IF(ISERROR(VLOOKUP($L64,'15-16 tariff'!$A:$F,4,FALSE)),"-",VLOOKUP($L64,'15-16 tariff'!$A:$F,4,FALSE))</f>
        <v>0</v>
      </c>
      <c r="P64" s="286">
        <f>IF(ISERROR(VLOOKUP($L64,'15-16 tariff'!$A:$F,5,FALSE)),"-",VLOOKUP($L64,'15-16 tariff'!$A:$F,5,FALSE))</f>
        <v>0</v>
      </c>
      <c r="Q64" s="287">
        <f>IF(ISERROR(VLOOKUP($L64,'15-16 tariff'!$A:$F,6,FALSE)),"-",VLOOKUP($L64,'15-16 tariff'!$A:$F,6,FALSE))</f>
        <v>0</v>
      </c>
      <c r="S64" s="283">
        <f t="shared" si="2"/>
        <v>812</v>
      </c>
      <c r="T64" s="284" t="str">
        <f t="shared" si="3"/>
        <v>Diagnostic Imaging</v>
      </c>
      <c r="U64" s="288" t="str">
        <f t="shared" si="4"/>
        <v/>
      </c>
      <c r="V64" s="289" t="str">
        <f t="shared" si="5"/>
        <v/>
      </c>
      <c r="W64" s="289" t="str">
        <f t="shared" si="6"/>
        <v/>
      </c>
      <c r="X64" s="290" t="str">
        <f t="shared" si="7"/>
        <v/>
      </c>
    </row>
    <row r="69" s="291" customFormat="1"/>
    <row r="70" s="291" customFormat="1"/>
  </sheetData>
  <autoFilter ref="A4:X64"/>
  <mergeCells count="1">
    <mergeCell ref="C3:J3"/>
  </mergeCells>
  <conditionalFormatting sqref="U5:X64">
    <cfRule type="cellIs" dxfId="3" priority="1" operator="between">
      <formula>-0.05</formula>
      <formula>0.05</formula>
    </cfRule>
    <cfRule type="cellIs" dxfId="2" priority="2" operator="between">
      <formula>-0.1</formula>
      <formula>0.1</formula>
    </cfRule>
    <cfRule type="cellIs" dxfId="1" priority="3" operator="greaterThan">
      <formula>0.1</formula>
    </cfRule>
    <cfRule type="cellIs" dxfId="0" priority="4" operator="lessThan">
      <formula>-0.1</formula>
    </cfRule>
  </conditionalFormatting>
  <hyperlinks>
    <hyperlink ref="A2" location="Navigation!A1" display="Home"/>
  </hyperlinks>
  <pageMargins left="0.70866141732283472" right="0.70866141732283472" top="0.74803149606299213" bottom="0.74803149606299213" header="0.31496062992125984" footer="0.31496062992125984"/>
  <pageSetup paperSize="9" fitToHeight="0" orientation="portrait" cellComments="atEnd"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sheetPr>
  <dimension ref="A1:AB72"/>
  <sheetViews>
    <sheetView workbookViewId="0"/>
  </sheetViews>
  <sheetFormatPr defaultColWidth="9.140625" defaultRowHeight="11.25"/>
  <cols>
    <col min="1" max="1" width="8.42578125" style="30" customWidth="1"/>
    <col min="2" max="2" width="26" style="30" customWidth="1"/>
    <col min="3" max="3" width="12.85546875" style="30" customWidth="1"/>
    <col min="4" max="10" width="10.7109375" style="30" customWidth="1"/>
    <col min="11" max="11" width="9.140625" style="30"/>
    <col min="12" max="12" width="8.42578125" style="10" customWidth="1"/>
    <col min="13" max="13" width="25.85546875" style="10" customWidth="1"/>
    <col min="14" max="14" width="12.85546875" style="10" customWidth="1"/>
    <col min="15" max="17" width="10.7109375" style="10" customWidth="1"/>
    <col min="18" max="21" width="10.7109375" style="30" customWidth="1"/>
    <col min="22" max="22" width="8.5703125" style="10" customWidth="1"/>
    <col min="23" max="23" width="9.140625" style="10"/>
    <col min="24" max="24" width="25.5703125" style="10" customWidth="1"/>
    <col min="25" max="25" width="11.28515625" style="10" customWidth="1"/>
    <col min="26" max="26" width="11.7109375" style="10" customWidth="1"/>
    <col min="27" max="27" width="11.85546875" style="10" customWidth="1"/>
    <col min="28" max="28" width="10.5703125" style="10" customWidth="1"/>
    <col min="29" max="16384" width="9.140625" style="10"/>
  </cols>
  <sheetData>
    <row r="1" spans="1:28" s="8" customFormat="1" ht="12.75" customHeight="1">
      <c r="A1" s="24" t="s">
        <v>1631</v>
      </c>
      <c r="B1" s="29"/>
      <c r="C1" s="29"/>
      <c r="D1" s="29"/>
      <c r="E1" s="29"/>
      <c r="F1" s="29"/>
      <c r="G1" s="29"/>
      <c r="H1" s="29"/>
      <c r="I1" s="29"/>
      <c r="J1" s="29"/>
      <c r="K1" s="29"/>
      <c r="L1" s="7" t="s">
        <v>1632</v>
      </c>
      <c r="R1" s="29"/>
      <c r="S1" s="29"/>
      <c r="T1" s="29"/>
      <c r="U1" s="29"/>
    </row>
    <row r="2" spans="1:28" ht="11.25" customHeight="1" thickBot="1">
      <c r="A2" s="64" t="s">
        <v>545</v>
      </c>
      <c r="L2" s="9"/>
      <c r="R2" s="83" t="s">
        <v>564</v>
      </c>
      <c r="S2" s="83"/>
      <c r="T2" s="83"/>
      <c r="U2" s="83"/>
      <c r="Z2" s="30"/>
    </row>
    <row r="3" spans="1:28" ht="12" customHeight="1" thickBot="1">
      <c r="C3" s="659" t="s">
        <v>49</v>
      </c>
      <c r="D3" s="659"/>
      <c r="E3" s="659"/>
      <c r="F3" s="659"/>
      <c r="G3" s="659"/>
      <c r="H3" s="659"/>
      <c r="I3" s="659"/>
      <c r="J3" s="659"/>
      <c r="N3" s="656" t="s">
        <v>49</v>
      </c>
      <c r="O3" s="657"/>
      <c r="P3" s="657"/>
      <c r="Q3" s="658"/>
      <c r="R3" s="656" t="s">
        <v>556</v>
      </c>
      <c r="S3" s="657"/>
      <c r="T3" s="657"/>
      <c r="U3" s="658"/>
      <c r="Y3" s="656" t="s">
        <v>1106</v>
      </c>
      <c r="Z3" s="657"/>
      <c r="AA3" s="657"/>
      <c r="AB3" s="658"/>
    </row>
    <row r="4" spans="1:28" s="13" customFormat="1" ht="57" thickBot="1">
      <c r="A4" s="31" t="s">
        <v>50</v>
      </c>
      <c r="B4" s="33" t="s">
        <v>51</v>
      </c>
      <c r="C4" s="292" t="s">
        <v>52</v>
      </c>
      <c r="D4" s="293" t="s">
        <v>53</v>
      </c>
      <c r="E4" s="293" t="s">
        <v>54</v>
      </c>
      <c r="F4" s="294" t="s">
        <v>55</v>
      </c>
      <c r="G4" s="292" t="s">
        <v>449</v>
      </c>
      <c r="H4" s="293" t="s">
        <v>450</v>
      </c>
      <c r="I4" s="293" t="s">
        <v>451</v>
      </c>
      <c r="J4" s="294" t="s">
        <v>452</v>
      </c>
      <c r="L4" s="11" t="s">
        <v>50</v>
      </c>
      <c r="M4" s="12" t="s">
        <v>51</v>
      </c>
      <c r="N4" s="31" t="s">
        <v>52</v>
      </c>
      <c r="O4" s="32" t="s">
        <v>53</v>
      </c>
      <c r="P4" s="32" t="s">
        <v>54</v>
      </c>
      <c r="Q4" s="33" t="s">
        <v>55</v>
      </c>
      <c r="R4" s="31" t="s">
        <v>52</v>
      </c>
      <c r="S4" s="32" t="s">
        <v>53</v>
      </c>
      <c r="T4" s="32" t="s">
        <v>54</v>
      </c>
      <c r="U4" s="33" t="s">
        <v>55</v>
      </c>
      <c r="W4" s="31" t="s">
        <v>50</v>
      </c>
      <c r="X4" s="33" t="s">
        <v>51</v>
      </c>
      <c r="Y4" s="31" t="s">
        <v>52</v>
      </c>
      <c r="Z4" s="32" t="s">
        <v>53</v>
      </c>
      <c r="AA4" s="32" t="s">
        <v>54</v>
      </c>
      <c r="AB4" s="33" t="s">
        <v>55</v>
      </c>
    </row>
    <row r="5" spans="1:28">
      <c r="A5" s="14">
        <f>Mandatory!A3</f>
        <v>100</v>
      </c>
      <c r="B5" s="15" t="str">
        <f>INDEX('201314 RC list'!B:B,MATCH(A5,'201314 RC list'!A:A,0))</f>
        <v>General Surgery</v>
      </c>
      <c r="C5" s="16">
        <f>VLOOKUP($L5,PRICES!$A:$CN,80,FALSE)</f>
        <v>137.65403054037597</v>
      </c>
      <c r="D5" s="17">
        <f>VLOOKUP($L5,PRICES!$A:$CN,81,FALSE)</f>
        <v>171.32716248991088</v>
      </c>
      <c r="E5" s="17">
        <f>VLOOKUP($L5,PRICES!$A:$CN,82,FALSE)</f>
        <v>84.299600346291157</v>
      </c>
      <c r="F5" s="15">
        <f>VLOOKUP($L5,PRICES!$A:$CN,83,FALSE)</f>
        <v>130.35318110510772</v>
      </c>
      <c r="G5" s="14" t="str">
        <f>IF(VLOOKUP($A5,PRICES!$A:$CN,70,FALSE)="Y","Manual Adjusted",IF(VLOOKUP($A5,PRICES!$A:$CN,51,FALSE)="Roll-over","Roll-Over","Modelled"))</f>
        <v>Modelled</v>
      </c>
      <c r="H5" s="41" t="str">
        <f>IF(VLOOKUP($A5,PRICES!$A:$CN,70,FALSE)="Y","Manual Adjusted",IF(VLOOKUP($A5,PRICES!$A:$CN,52,FALSE)="Roll-over","Roll-Over","Modelled"))</f>
        <v>Modelled</v>
      </c>
      <c r="I5" s="41" t="str">
        <f>IF(VLOOKUP($A5,PRICES!$A:$CN,70,FALSE)="Y","Manual Adjusted",IF(VLOOKUP($A5,PRICES!$A:$CN,53,FALSE)="Roll-over","Roll-Over","Modelled"))</f>
        <v>Modelled</v>
      </c>
      <c r="J5" s="42" t="str">
        <f>IF(VLOOKUP($A5,PRICES!$A:$CN,70,FALSE)="Y","Manual Adjusted",IF(VLOOKUP($A5,PRICES!$A:$CN,54,FALSE)="Roll-over","Roll-Over","Modelled"))</f>
        <v>Modelled</v>
      </c>
      <c r="L5" s="14">
        <f>A5</f>
        <v>100</v>
      </c>
      <c r="M5" s="15" t="str">
        <f>B5</f>
        <v>General Surgery</v>
      </c>
      <c r="N5" s="16">
        <f>VLOOKUP($L5,PRICES!$A:$CN,75,FALSE)</f>
        <v>137.65403054037597</v>
      </c>
      <c r="O5" s="17">
        <f>VLOOKUP($L5,PRICES!$A:$CN,76,FALSE)</f>
        <v>171.32716248991088</v>
      </c>
      <c r="P5" s="17">
        <f>VLOOKUP($L5,PRICES!$A:$CN,77,FALSE)</f>
        <v>84.299600346291157</v>
      </c>
      <c r="Q5" s="15">
        <f>VLOOKUP($L5,PRICES!$A:$CN,78,FALSE)</f>
        <v>130.35318110510772</v>
      </c>
      <c r="R5" s="77">
        <f>IF(ISNUMBER(VLOOKUP(A5,#REF!,3,FALSE)),0,IF(ISNA(VLOOKUP(A5,'Manual adjustments'!$A:$S,16,FALSE)),1,1-VLOOKUP(A5,'Manual adjustments'!$A:$S,16,FALSE)))</f>
        <v>1</v>
      </c>
      <c r="S5" s="77">
        <f>IF(ISNUMBER(VLOOKUP(A5,#REF!,4,FALSE)),0,IF(ISNA(VLOOKUP(A5,'Manual adjustments'!$A:$S,17,FALSE)),1,1-VLOOKUP(A5,'Manual adjustments'!$A:$S,17,FALSE)))</f>
        <v>1</v>
      </c>
      <c r="T5" s="77">
        <f>IF(ISNUMBER(VLOOKUP(A5,#REF!,5,FALSE)),0,IF(ISNA(VLOOKUP(A5,'Manual adjustments'!$A:$S,18,FALSE)),1,1-VLOOKUP(A5,'Manual adjustments'!$A:$S,18,FALSE)))</f>
        <v>1</v>
      </c>
      <c r="U5" s="84">
        <f>IF(ISNUMBER(VLOOKUP(A5,#REF!,6,FALSE)),0,IF(ISNA(VLOOKUP(A5,'Manual adjustments'!$A:$S,19,FALSE)),1,1-VLOOKUP(A5,'Manual adjustments'!$A:$S,19,FALSE)))</f>
        <v>1</v>
      </c>
      <c r="W5" s="14">
        <f>A5</f>
        <v>100</v>
      </c>
      <c r="X5" s="15" t="str">
        <f>B5</f>
        <v>General Surgery</v>
      </c>
      <c r="Y5" s="16">
        <f>IFERROR(VLOOKUP($W5,'Further adjustment'!$A:$Q,7,FALSE),0)</f>
        <v>657468</v>
      </c>
      <c r="Z5" s="17">
        <f>IFERROR(VLOOKUP($W5,'Further adjustment'!$A:$Q,6,FALSE),0)</f>
        <v>9575</v>
      </c>
      <c r="AA5" s="17">
        <f>IFERROR(VLOOKUP($W5,'Further adjustment'!$A:$Q,9,FALSE),0)</f>
        <v>908710</v>
      </c>
      <c r="AB5" s="15">
        <f>IFERROR(VLOOKUP($W5,'Further adjustment'!$A:$Q,8,FALSE),0)</f>
        <v>12498</v>
      </c>
    </row>
    <row r="6" spans="1:28">
      <c r="A6" s="25">
        <f>Mandatory!A4</f>
        <v>101</v>
      </c>
      <c r="B6" s="18" t="str">
        <f>INDEX('201314 RC list'!B:B,MATCH(A6,'201314 RC list'!A:A,0))</f>
        <v>Urology</v>
      </c>
      <c r="C6" s="34">
        <f>VLOOKUP($L6,PRICES!$A:$CN,80,FALSE)</f>
        <v>113.5602240150768</v>
      </c>
      <c r="D6" s="36">
        <f>VLOOKUP($L6,PRICES!$A:$CN,81,FALSE)</f>
        <v>179.2280126861549</v>
      </c>
      <c r="E6" s="36">
        <f>VLOOKUP($L6,PRICES!$A:$CN,82,FALSE)</f>
        <v>69.712743857061653</v>
      </c>
      <c r="F6" s="18">
        <f>VLOOKUP($L6,PRICES!$A:$CN,83,FALSE)</f>
        <v>112.72405176857377</v>
      </c>
      <c r="G6" s="25" t="str">
        <f>IF(VLOOKUP($A6,PRICES!$A:$CN,70,FALSE)="Y","Manual Adjusted",IF(VLOOKUP($A6,PRICES!$A:$CN,51,FALSE)="Roll-over","Roll-Over","Modelled"))</f>
        <v>Modelled</v>
      </c>
      <c r="H6" s="43" t="str">
        <f>IF(VLOOKUP($A6,PRICES!$A:$CN,70,FALSE)="Y","Manual Adjusted",IF(VLOOKUP($A6,PRICES!$A:$CN,52,FALSE)="Roll-over","Roll-Over","Modelled"))</f>
        <v>Modelled</v>
      </c>
      <c r="I6" s="43" t="str">
        <f>IF(VLOOKUP($A6,PRICES!$A:$CN,70,FALSE)="Y","Manual Adjusted",IF(VLOOKUP($A6,PRICES!$A:$CN,53,FALSE)="Roll-over","Roll-Over","Modelled"))</f>
        <v>Modelled</v>
      </c>
      <c r="J6" s="44" t="str">
        <f>IF(VLOOKUP($A6,PRICES!$A:$CN,70,FALSE)="Y","Manual Adjusted",IF(VLOOKUP($A6,PRICES!$A:$CN,54,FALSE)="Roll-over","Roll-Over","Modelled"))</f>
        <v>Modelled</v>
      </c>
      <c r="L6" s="25">
        <f t="shared" ref="L6:L64" si="0">A6</f>
        <v>101</v>
      </c>
      <c r="M6" s="18" t="str">
        <f t="shared" ref="M6:M64" si="1">B6</f>
        <v>Urology</v>
      </c>
      <c r="N6" s="34">
        <f>VLOOKUP($L6,PRICES!$A:$CN,75,FALSE)</f>
        <v>113.5602240150768</v>
      </c>
      <c r="O6" s="36">
        <f>VLOOKUP($L6,PRICES!$A:$CN,76,FALSE)</f>
        <v>179.2280126861549</v>
      </c>
      <c r="P6" s="36">
        <f>VLOOKUP($L6,PRICES!$A:$CN,77,FALSE)</f>
        <v>69.712743857061653</v>
      </c>
      <c r="Q6" s="18">
        <f>VLOOKUP($L6,PRICES!$A:$CN,78,FALSE)</f>
        <v>112.72405176857377</v>
      </c>
      <c r="R6" s="77">
        <f>IF(ISNUMBER(VLOOKUP(A6,#REF!,3,FALSE)),0,IF(ISNA(VLOOKUP(A6,'Manual adjustments'!$A:$S,16,FALSE)),1,1-VLOOKUP(A6,'Manual adjustments'!$A:$S,16,FALSE)))</f>
        <v>1</v>
      </c>
      <c r="S6" s="77">
        <f>IF(ISNUMBER(VLOOKUP(A6,#REF!,4,FALSE)),0,IF(ISNA(VLOOKUP(A6,'Manual adjustments'!$A:$S,17,FALSE)),1,1-VLOOKUP(A6,'Manual adjustments'!$A:$S,17,FALSE)))</f>
        <v>1</v>
      </c>
      <c r="T6" s="77">
        <f>IF(ISNUMBER(VLOOKUP(A6,#REF!,5,FALSE)),0,IF(ISNA(VLOOKUP(A6,'Manual adjustments'!$A:$S,18,FALSE)),1,1-VLOOKUP(A6,'Manual adjustments'!$A:$S,18,FALSE)))</f>
        <v>1</v>
      </c>
      <c r="U6" s="84">
        <f>IF(ISNUMBER(VLOOKUP(A6,#REF!,6,FALSE)),0,IF(ISNA(VLOOKUP(A6,'Manual adjustments'!$A:$S,19,FALSE)),1,1-VLOOKUP(A6,'Manual adjustments'!$A:$S,19,FALSE)))</f>
        <v>1</v>
      </c>
      <c r="W6" s="25">
        <f t="shared" ref="W6:W64" si="2">A6</f>
        <v>101</v>
      </c>
      <c r="X6" s="18" t="str">
        <f t="shared" ref="X6:X64" si="3">B6</f>
        <v>Urology</v>
      </c>
      <c r="Y6" s="34">
        <f>IFERROR(VLOOKUP($W6,'Further adjustment'!$A:$Q,7,FALSE),0)</f>
        <v>551537</v>
      </c>
      <c r="Z6" s="36">
        <f>IFERROR(VLOOKUP($W6,'Further adjustment'!$A:$Q,6,FALSE),0)</f>
        <v>6807</v>
      </c>
      <c r="AA6" s="36">
        <f>IFERROR(VLOOKUP($W6,'Further adjustment'!$A:$Q,9,FALSE),0)</f>
        <v>1092671</v>
      </c>
      <c r="AB6" s="18">
        <f>IFERROR(VLOOKUP($W6,'Further adjustment'!$A:$Q,8,FALSE),0)</f>
        <v>20413</v>
      </c>
    </row>
    <row r="7" spans="1:28">
      <c r="A7" s="25">
        <f>Mandatory!A5</f>
        <v>103</v>
      </c>
      <c r="B7" s="18" t="str">
        <f>INDEX('201314 RC list'!B:B,MATCH(A7,'201314 RC list'!A:A,0))</f>
        <v>Breast Surgery</v>
      </c>
      <c r="C7" s="34">
        <f>VLOOKUP($L7,PRICES!$A:$CN,80,FALSE)</f>
        <v>152.5277344334134</v>
      </c>
      <c r="D7" s="36">
        <f>VLOOKUP($L7,PRICES!$A:$CN,81,FALSE)</f>
        <v>163.88147003290931</v>
      </c>
      <c r="E7" s="36">
        <f>VLOOKUP($L7,PRICES!$A:$CN,82,FALSE)</f>
        <v>89.265338148243842</v>
      </c>
      <c r="F7" s="18">
        <f>VLOOKUP($L7,PRICES!$A:$CN,83,FALSE)</f>
        <v>108.4500475401785</v>
      </c>
      <c r="G7" s="25" t="str">
        <f>IF(VLOOKUP($A7,PRICES!$A:$CN,70,FALSE)="Y","Manual Adjusted",IF(VLOOKUP($A7,PRICES!$A:$CN,51,FALSE)="Roll-over","Roll-Over","Modelled"))</f>
        <v>Modelled</v>
      </c>
      <c r="H7" s="43" t="str">
        <f>IF(VLOOKUP($A7,PRICES!$A:$CN,70,FALSE)="Y","Manual Adjusted",IF(VLOOKUP($A7,PRICES!$A:$CN,52,FALSE)="Roll-over","Roll-Over","Modelled"))</f>
        <v>Modelled</v>
      </c>
      <c r="I7" s="43" t="str">
        <f>IF(VLOOKUP($A7,PRICES!$A:$CN,70,FALSE)="Y","Manual Adjusted",IF(VLOOKUP($A7,PRICES!$A:$CN,53,FALSE)="Roll-over","Roll-Over","Modelled"))</f>
        <v>Modelled</v>
      </c>
      <c r="J7" s="44" t="str">
        <f>IF(VLOOKUP($A7,PRICES!$A:$CN,70,FALSE)="Y","Manual Adjusted",IF(VLOOKUP($A7,PRICES!$A:$CN,54,FALSE)="Roll-over","Roll-Over","Modelled"))</f>
        <v>Modelled</v>
      </c>
      <c r="L7" s="25">
        <f t="shared" si="0"/>
        <v>103</v>
      </c>
      <c r="M7" s="18" t="str">
        <f t="shared" si="1"/>
        <v>Breast Surgery</v>
      </c>
      <c r="N7" s="34">
        <f>VLOOKUP($L7,PRICES!$A:$CN,75,FALSE)</f>
        <v>152.5277344334134</v>
      </c>
      <c r="O7" s="36">
        <f>VLOOKUP($L7,PRICES!$A:$CN,76,FALSE)</f>
        <v>163.88147003290931</v>
      </c>
      <c r="P7" s="36">
        <f>VLOOKUP($L7,PRICES!$A:$CN,77,FALSE)</f>
        <v>89.265338148243842</v>
      </c>
      <c r="Q7" s="18">
        <f>VLOOKUP($L7,PRICES!$A:$CN,78,FALSE)</f>
        <v>108.4500475401785</v>
      </c>
      <c r="R7" s="77">
        <f>IF(ISNUMBER(VLOOKUP(A7,#REF!,3,FALSE)),0,IF(ISNA(VLOOKUP(A7,'Manual adjustments'!$A:$S,16,FALSE)),1,1-VLOOKUP(A7,'Manual adjustments'!$A:$S,16,FALSE)))</f>
        <v>1</v>
      </c>
      <c r="S7" s="77">
        <f>IF(ISNUMBER(VLOOKUP(A7,#REF!,4,FALSE)),0,IF(ISNA(VLOOKUP(A7,'Manual adjustments'!$A:$S,17,FALSE)),1,1-VLOOKUP(A7,'Manual adjustments'!$A:$S,17,FALSE)))</f>
        <v>1</v>
      </c>
      <c r="T7" s="77">
        <f>IF(ISNUMBER(VLOOKUP(A7,#REF!,5,FALSE)),0,IF(ISNA(VLOOKUP(A7,'Manual adjustments'!$A:$S,18,FALSE)),1,1-VLOOKUP(A7,'Manual adjustments'!$A:$S,18,FALSE)))</f>
        <v>1</v>
      </c>
      <c r="U7" s="84">
        <f>IF(ISNUMBER(VLOOKUP(A7,#REF!,6,FALSE)),0,IF(ISNA(VLOOKUP(A7,'Manual adjustments'!$A:$S,19,FALSE)),1,1-VLOOKUP(A7,'Manual adjustments'!$A:$S,19,FALSE)))</f>
        <v>1</v>
      </c>
      <c r="W7" s="25">
        <f t="shared" si="2"/>
        <v>103</v>
      </c>
      <c r="X7" s="18" t="str">
        <f t="shared" si="3"/>
        <v>Breast Surgery</v>
      </c>
      <c r="Y7" s="34">
        <f>IFERROR(VLOOKUP($W7,'Further adjustment'!$A:$Q,7,FALSE),0)</f>
        <v>351185</v>
      </c>
      <c r="Z7" s="36">
        <f>IFERROR(VLOOKUP($W7,'Further adjustment'!$A:$Q,6,FALSE),0)</f>
        <v>59739</v>
      </c>
      <c r="AA7" s="36">
        <f>IFERROR(VLOOKUP($W7,'Further adjustment'!$A:$Q,9,FALSE),0)</f>
        <v>449529</v>
      </c>
      <c r="AB7" s="18">
        <f>IFERROR(VLOOKUP($W7,'Further adjustment'!$A:$Q,8,FALSE),0)</f>
        <v>37980</v>
      </c>
    </row>
    <row r="8" spans="1:28">
      <c r="A8" s="25">
        <f>Mandatory!A6</f>
        <v>104</v>
      </c>
      <c r="B8" s="18" t="str">
        <f>INDEX('201314 RC list'!B:B,MATCH(A8,'201314 RC list'!A:A,0))</f>
        <v>Colorectal Surgery</v>
      </c>
      <c r="C8" s="34">
        <f>VLOOKUP($L8,PRICES!$A:$CN,80,FALSE)</f>
        <v>119.28310636873965</v>
      </c>
      <c r="D8" s="36">
        <f>VLOOKUP($L8,PRICES!$A:$CN,81,FALSE)</f>
        <v>219.46503432853004</v>
      </c>
      <c r="E8" s="36">
        <f>VLOOKUP($L8,PRICES!$A:$CN,82,FALSE)</f>
        <v>80.343757145115475</v>
      </c>
      <c r="F8" s="18">
        <f>VLOOKUP($L8,PRICES!$A:$CN,83,FALSE)</f>
        <v>160.68751429023095</v>
      </c>
      <c r="G8" s="25" t="str">
        <f>IF(VLOOKUP($A8,PRICES!$A:$CN,70,FALSE)="Y","Manual Adjusted",IF(VLOOKUP($A8,PRICES!$A:$CN,51,FALSE)="Roll-over","Roll-Over","Modelled"))</f>
        <v>Modelled</v>
      </c>
      <c r="H8" s="43" t="str">
        <f>IF(VLOOKUP($A8,PRICES!$A:$CN,70,FALSE)="Y","Manual Adjusted",IF(VLOOKUP($A8,PRICES!$A:$CN,52,FALSE)="Roll-over","Roll-Over","Modelled"))</f>
        <v>Modelled</v>
      </c>
      <c r="I8" s="43" t="str">
        <f>IF(VLOOKUP($A8,PRICES!$A:$CN,70,FALSE)="Y","Manual Adjusted",IF(VLOOKUP($A8,PRICES!$A:$CN,53,FALSE)="Roll-over","Roll-Over","Modelled"))</f>
        <v>Modelled</v>
      </c>
      <c r="J8" s="44" t="str">
        <f>IF(VLOOKUP($A8,PRICES!$A:$CN,70,FALSE)="Y","Manual Adjusted",IF(VLOOKUP($A8,PRICES!$A:$CN,54,FALSE)="Roll-over","Roll-Over","Modelled"))</f>
        <v>Modelled</v>
      </c>
      <c r="L8" s="25">
        <f t="shared" si="0"/>
        <v>104</v>
      </c>
      <c r="M8" s="18" t="str">
        <f t="shared" si="1"/>
        <v>Colorectal Surgery</v>
      </c>
      <c r="N8" s="34">
        <f>VLOOKUP($L8,PRICES!$A:$CN,75,FALSE)</f>
        <v>119.28310636873965</v>
      </c>
      <c r="O8" s="36">
        <f>VLOOKUP($L8,PRICES!$A:$CN,76,FALSE)</f>
        <v>219.46503432853004</v>
      </c>
      <c r="P8" s="36">
        <f>VLOOKUP($L8,PRICES!$A:$CN,77,FALSE)</f>
        <v>80.343757145115475</v>
      </c>
      <c r="Q8" s="18">
        <f>VLOOKUP($L8,PRICES!$A:$CN,78,FALSE)</f>
        <v>160.68751429023095</v>
      </c>
      <c r="R8" s="77">
        <f>IF(ISNUMBER(VLOOKUP(A8,#REF!,3,FALSE)),0,IF(ISNA(VLOOKUP(A8,'Manual adjustments'!$A:$S,16,FALSE)),1,1-VLOOKUP(A8,'Manual adjustments'!$A:$S,16,FALSE)))</f>
        <v>1</v>
      </c>
      <c r="S8" s="77">
        <f>IF(ISNUMBER(VLOOKUP(A8,#REF!,4,FALSE)),0,IF(ISNA(VLOOKUP(A8,'Manual adjustments'!$A:$S,17,FALSE)),1,1-VLOOKUP(A8,'Manual adjustments'!$A:$S,17,FALSE)))</f>
        <v>1</v>
      </c>
      <c r="T8" s="77">
        <f>IF(ISNUMBER(VLOOKUP(A8,#REF!,5,FALSE)),0,IF(ISNA(VLOOKUP(A8,'Manual adjustments'!$A:$S,18,FALSE)),1,1-VLOOKUP(A8,'Manual adjustments'!$A:$S,18,FALSE)))</f>
        <v>1</v>
      </c>
      <c r="U8" s="84">
        <f>IF(ISNUMBER(VLOOKUP(A8,#REF!,6,FALSE)),0,IF(ISNA(VLOOKUP(A8,'Manual adjustments'!$A:$S,19,FALSE)),1,1-VLOOKUP(A8,'Manual adjustments'!$A:$S,19,FALSE)))</f>
        <v>1</v>
      </c>
      <c r="W8" s="25">
        <f t="shared" si="2"/>
        <v>104</v>
      </c>
      <c r="X8" s="18" t="str">
        <f t="shared" si="3"/>
        <v>Colorectal Surgery</v>
      </c>
      <c r="Y8" s="34">
        <f>IFERROR(VLOOKUP($W8,'Further adjustment'!$A:$Q,7,FALSE),0)</f>
        <v>195049</v>
      </c>
      <c r="Z8" s="36">
        <f>IFERROR(VLOOKUP($W8,'Further adjustment'!$A:$Q,6,FALSE),0)</f>
        <v>3058</v>
      </c>
      <c r="AA8" s="36">
        <f>IFERROR(VLOOKUP($W8,'Further adjustment'!$A:$Q,9,FALSE),0)</f>
        <v>261043</v>
      </c>
      <c r="AB8" s="18">
        <f>IFERROR(VLOOKUP($W8,'Further adjustment'!$A:$Q,8,FALSE),0)</f>
        <v>9234</v>
      </c>
    </row>
    <row r="9" spans="1:28">
      <c r="A9" s="25">
        <f>Mandatory!A7</f>
        <v>105</v>
      </c>
      <c r="B9" s="18" t="str">
        <f>INDEX('201314 RC list'!B:B,MATCH(A9,'201314 RC list'!A:A,0))</f>
        <v>Hepatobiliary &amp; Pancreatic Surgery</v>
      </c>
      <c r="C9" s="34">
        <f>VLOOKUP($L9,PRICES!$A:$CN,80,FALSE)</f>
        <v>158.34815904926745</v>
      </c>
      <c r="D9" s="36">
        <f>VLOOKUP($L9,PRICES!$A:$CN,81,FALSE)</f>
        <v>233.89364027657237</v>
      </c>
      <c r="E9" s="36">
        <f>VLOOKUP($L9,PRICES!$A:$CN,82,FALSE)</f>
        <v>106.60115119204995</v>
      </c>
      <c r="F9" s="18">
        <f>VLOOKUP($L9,PRICES!$A:$CN,83,FALSE)</f>
        <v>164.51488655310146</v>
      </c>
      <c r="G9" s="25" t="str">
        <f>IF(VLOOKUP($A9,PRICES!$A:$CN,70,FALSE)="Y","Manual Adjusted",IF(VLOOKUP($A9,PRICES!$A:$CN,51,FALSE)="Roll-over","Roll-Over","Modelled"))</f>
        <v>Modelled</v>
      </c>
      <c r="H9" s="43" t="str">
        <f>IF(VLOOKUP($A9,PRICES!$A:$CN,70,FALSE)="Y","Manual Adjusted",IF(VLOOKUP($A9,PRICES!$A:$CN,52,FALSE)="Roll-over","Roll-Over","Modelled"))</f>
        <v>Modelled</v>
      </c>
      <c r="I9" s="43" t="str">
        <f>IF(VLOOKUP($A9,PRICES!$A:$CN,70,FALSE)="Y","Manual Adjusted",IF(VLOOKUP($A9,PRICES!$A:$CN,53,FALSE)="Roll-over","Roll-Over","Modelled"))</f>
        <v>Modelled</v>
      </c>
      <c r="J9" s="44" t="str">
        <f>IF(VLOOKUP($A9,PRICES!$A:$CN,70,FALSE)="Y","Manual Adjusted",IF(VLOOKUP($A9,PRICES!$A:$CN,54,FALSE)="Roll-over","Roll-Over","Modelled"))</f>
        <v>Modelled</v>
      </c>
      <c r="L9" s="25">
        <f t="shared" si="0"/>
        <v>105</v>
      </c>
      <c r="M9" s="18" t="str">
        <f t="shared" si="1"/>
        <v>Hepatobiliary &amp; Pancreatic Surgery</v>
      </c>
      <c r="N9" s="34">
        <f>VLOOKUP($L9,PRICES!$A:$CN,75,FALSE)</f>
        <v>158.34815904926745</v>
      </c>
      <c r="O9" s="36">
        <f>VLOOKUP($L9,PRICES!$A:$CN,76,FALSE)</f>
        <v>233.89364027657237</v>
      </c>
      <c r="P9" s="36">
        <f>VLOOKUP($L9,PRICES!$A:$CN,77,FALSE)</f>
        <v>106.60115119204995</v>
      </c>
      <c r="Q9" s="18">
        <f>VLOOKUP($L9,PRICES!$A:$CN,78,FALSE)</f>
        <v>164.51488655310146</v>
      </c>
      <c r="R9" s="77">
        <f>IF(ISNUMBER(VLOOKUP(A9,#REF!,3,FALSE)),0,IF(ISNA(VLOOKUP(A9,'Manual adjustments'!$A:$S,16,FALSE)),1,1-VLOOKUP(A9,'Manual adjustments'!$A:$S,16,FALSE)))</f>
        <v>1</v>
      </c>
      <c r="S9" s="77">
        <f>IF(ISNUMBER(VLOOKUP(A9,#REF!,4,FALSE)),0,IF(ISNA(VLOOKUP(A9,'Manual adjustments'!$A:$S,17,FALSE)),1,1-VLOOKUP(A9,'Manual adjustments'!$A:$S,17,FALSE)))</f>
        <v>1</v>
      </c>
      <c r="T9" s="77">
        <f>IF(ISNUMBER(VLOOKUP(A9,#REF!,5,FALSE)),0,IF(ISNA(VLOOKUP(A9,'Manual adjustments'!$A:$S,18,FALSE)),1,1-VLOOKUP(A9,'Manual adjustments'!$A:$S,18,FALSE)))</f>
        <v>1</v>
      </c>
      <c r="U9" s="84">
        <f>IF(ISNUMBER(VLOOKUP(A9,#REF!,6,FALSE)),0,IF(ISNA(VLOOKUP(A9,'Manual adjustments'!$A:$S,19,FALSE)),1,1-VLOOKUP(A9,'Manual adjustments'!$A:$S,19,FALSE)))</f>
        <v>1</v>
      </c>
      <c r="W9" s="25">
        <f t="shared" si="2"/>
        <v>105</v>
      </c>
      <c r="X9" s="18" t="str">
        <f t="shared" si="3"/>
        <v>Hepatobiliary &amp; Pancreatic Surgery</v>
      </c>
      <c r="Y9" s="34">
        <f>IFERROR(VLOOKUP($W9,'Further adjustment'!$A:$Q,7,FALSE),0)</f>
        <v>12389</v>
      </c>
      <c r="Z9" s="36">
        <f>IFERROR(VLOOKUP($W9,'Further adjustment'!$A:$Q,6,FALSE),0)</f>
        <v>1595</v>
      </c>
      <c r="AA9" s="36">
        <f>IFERROR(VLOOKUP($W9,'Further adjustment'!$A:$Q,9,FALSE),0)</f>
        <v>28799</v>
      </c>
      <c r="AB9" s="18">
        <f>IFERROR(VLOOKUP($W9,'Further adjustment'!$A:$Q,8,FALSE),0)</f>
        <v>4088</v>
      </c>
    </row>
    <row r="10" spans="1:28">
      <c r="A10" s="25">
        <f>Mandatory!A8</f>
        <v>106</v>
      </c>
      <c r="B10" s="18" t="str">
        <f>INDEX('201314 RC list'!B:B,MATCH(A10,'201314 RC list'!A:A,0))</f>
        <v>Upper Gastrointestinal Surgery</v>
      </c>
      <c r="C10" s="34">
        <f>VLOOKUP($L10,PRICES!$A:$CN,80,FALSE)</f>
        <v>136.70959556771825</v>
      </c>
      <c r="D10" s="36">
        <f>VLOOKUP($L10,PRICES!$A:$CN,81,FALSE)</f>
        <v>225.2225048237016</v>
      </c>
      <c r="E10" s="36">
        <f>VLOOKUP($L10,PRICES!$A:$CN,82,FALSE)</f>
        <v>89.244587616768058</v>
      </c>
      <c r="F10" s="18">
        <f>VLOOKUP($L10,PRICES!$A:$CN,83,FALSE)</f>
        <v>126.15270071124384</v>
      </c>
      <c r="G10" s="25" t="str">
        <f>IF(VLOOKUP($A10,PRICES!$A:$CN,70,FALSE)="Y","Manual Adjusted",IF(VLOOKUP($A10,PRICES!$A:$CN,51,FALSE)="Roll-over","Roll-Over","Modelled"))</f>
        <v>Modelled</v>
      </c>
      <c r="H10" s="43" t="str">
        <f>IF(VLOOKUP($A10,PRICES!$A:$CN,70,FALSE)="Y","Manual Adjusted",IF(VLOOKUP($A10,PRICES!$A:$CN,52,FALSE)="Roll-over","Roll-Over","Modelled"))</f>
        <v>Modelled</v>
      </c>
      <c r="I10" s="43" t="str">
        <f>IF(VLOOKUP($A10,PRICES!$A:$CN,70,FALSE)="Y","Manual Adjusted",IF(VLOOKUP($A10,PRICES!$A:$CN,53,FALSE)="Roll-over","Roll-Over","Modelled"))</f>
        <v>Modelled</v>
      </c>
      <c r="J10" s="44" t="str">
        <f>IF(VLOOKUP($A10,PRICES!$A:$CN,70,FALSE)="Y","Manual Adjusted",IF(VLOOKUP($A10,PRICES!$A:$CN,54,FALSE)="Roll-over","Roll-Over","Modelled"))</f>
        <v>Modelled</v>
      </c>
      <c r="L10" s="25">
        <f t="shared" si="0"/>
        <v>106</v>
      </c>
      <c r="M10" s="18" t="str">
        <f t="shared" si="1"/>
        <v>Upper Gastrointestinal Surgery</v>
      </c>
      <c r="N10" s="34">
        <f>VLOOKUP($L10,PRICES!$A:$CN,75,FALSE)</f>
        <v>136.70959556771825</v>
      </c>
      <c r="O10" s="36">
        <f>VLOOKUP($L10,PRICES!$A:$CN,76,FALSE)</f>
        <v>225.2225048237016</v>
      </c>
      <c r="P10" s="36">
        <f>VLOOKUP($L10,PRICES!$A:$CN,77,FALSE)</f>
        <v>89.244587616768058</v>
      </c>
      <c r="Q10" s="18">
        <f>VLOOKUP($L10,PRICES!$A:$CN,78,FALSE)</f>
        <v>126.15270071124384</v>
      </c>
      <c r="R10" s="77">
        <f>IF(ISNUMBER(VLOOKUP(A10,#REF!,3,FALSE)),0,IF(ISNA(VLOOKUP(A10,'Manual adjustments'!$A:$S,16,FALSE)),1,1-VLOOKUP(A10,'Manual adjustments'!$A:$S,16,FALSE)))</f>
        <v>1</v>
      </c>
      <c r="S10" s="77">
        <f>IF(ISNUMBER(VLOOKUP(A10,#REF!,4,FALSE)),0,IF(ISNA(VLOOKUP(A10,'Manual adjustments'!$A:$S,17,FALSE)),1,1-VLOOKUP(A10,'Manual adjustments'!$A:$S,17,FALSE)))</f>
        <v>1</v>
      </c>
      <c r="T10" s="77">
        <f>IF(ISNUMBER(VLOOKUP(A10,#REF!,5,FALSE)),0,IF(ISNA(VLOOKUP(A10,'Manual adjustments'!$A:$S,18,FALSE)),1,1-VLOOKUP(A10,'Manual adjustments'!$A:$S,18,FALSE)))</f>
        <v>1</v>
      </c>
      <c r="U10" s="84">
        <f>IF(ISNUMBER(VLOOKUP(A10,#REF!,6,FALSE)),0,IF(ISNA(VLOOKUP(A10,'Manual adjustments'!$A:$S,19,FALSE)),1,1-VLOOKUP(A10,'Manual adjustments'!$A:$S,19,FALSE)))</f>
        <v>1</v>
      </c>
      <c r="W10" s="25">
        <f t="shared" si="2"/>
        <v>106</v>
      </c>
      <c r="X10" s="18" t="str">
        <f t="shared" si="3"/>
        <v>Upper Gastrointestinal Surgery</v>
      </c>
      <c r="Y10" s="34">
        <f>IFERROR(VLOOKUP($W10,'Further adjustment'!$A:$Q,7,FALSE),0)</f>
        <v>56998</v>
      </c>
      <c r="Z10" s="36">
        <f>IFERROR(VLOOKUP($W10,'Further adjustment'!$A:$Q,6,FALSE),0)</f>
        <v>869</v>
      </c>
      <c r="AA10" s="36">
        <f>IFERROR(VLOOKUP($W10,'Further adjustment'!$A:$Q,9,FALSE),0)</f>
        <v>71619</v>
      </c>
      <c r="AB10" s="18">
        <f>IFERROR(VLOOKUP($W10,'Further adjustment'!$A:$Q,8,FALSE),0)</f>
        <v>2028</v>
      </c>
    </row>
    <row r="11" spans="1:28">
      <c r="A11" s="25">
        <f>Mandatory!A9</f>
        <v>107</v>
      </c>
      <c r="B11" s="18" t="str">
        <f>INDEX('201314 RC list'!B:B,MATCH(A11,'201314 RC list'!A:A,0))</f>
        <v>Vascular Surgery</v>
      </c>
      <c r="C11" s="37">
        <f>VLOOKUP($L11,PRICES!$A:$CN,80,FALSE)</f>
        <v>155.7736083522941</v>
      </c>
      <c r="D11" s="35">
        <f>VLOOKUP($L11,PRICES!$A:$CN,81,FALSE)</f>
        <v>243.42973284357078</v>
      </c>
      <c r="E11" s="35">
        <f>VLOOKUP($L11,PRICES!$A:$CN,82,FALSE)</f>
        <v>105.68520757061287</v>
      </c>
      <c r="F11" s="19">
        <f>VLOOKUP($L11,PRICES!$A:$CN,83,FALSE)</f>
        <v>170.81431822783577</v>
      </c>
      <c r="G11" s="25" t="str">
        <f>IF(VLOOKUP($A11,PRICES!$A:$CN,70,FALSE)="Y","Manual Adjusted",IF(VLOOKUP($A11,PRICES!$A:$CN,51,FALSE)="Roll-over","Roll-Over","Modelled"))</f>
        <v>Modelled</v>
      </c>
      <c r="H11" s="43" t="str">
        <f>IF(VLOOKUP($A11,PRICES!$A:$CN,70,FALSE)="Y","Manual Adjusted",IF(VLOOKUP($A11,PRICES!$A:$CN,52,FALSE)="Roll-over","Roll-Over","Modelled"))</f>
        <v>Modelled</v>
      </c>
      <c r="I11" s="43" t="str">
        <f>IF(VLOOKUP($A11,PRICES!$A:$CN,70,FALSE)="Y","Manual Adjusted",IF(VLOOKUP($A11,PRICES!$A:$CN,53,FALSE)="Roll-over","Roll-Over","Modelled"))</f>
        <v>Modelled</v>
      </c>
      <c r="J11" s="44" t="str">
        <f>IF(VLOOKUP($A11,PRICES!$A:$CN,70,FALSE)="Y","Manual Adjusted",IF(VLOOKUP($A11,PRICES!$A:$CN,54,FALSE)="Roll-over","Roll-Over","Modelled"))</f>
        <v>Modelled</v>
      </c>
      <c r="L11" s="25">
        <f t="shared" si="0"/>
        <v>107</v>
      </c>
      <c r="M11" s="18" t="str">
        <f t="shared" si="1"/>
        <v>Vascular Surgery</v>
      </c>
      <c r="N11" s="37">
        <f>VLOOKUP($L11,PRICES!$A:$CN,75,FALSE)</f>
        <v>155.7736083522941</v>
      </c>
      <c r="O11" s="35">
        <f>VLOOKUP($L11,PRICES!$A:$CN,76,FALSE)</f>
        <v>243.42973284357078</v>
      </c>
      <c r="P11" s="35">
        <f>VLOOKUP($L11,PRICES!$A:$CN,77,FALSE)</f>
        <v>105.68520757061287</v>
      </c>
      <c r="Q11" s="19">
        <f>VLOOKUP($L11,PRICES!$A:$CN,78,FALSE)</f>
        <v>170.81431822783577</v>
      </c>
      <c r="R11" s="77">
        <f>IF(ISNUMBER(VLOOKUP(A11,#REF!,3,FALSE)),0,IF(ISNA(VLOOKUP(A11,'Manual adjustments'!$A:$S,16,FALSE)),1,1-VLOOKUP(A11,'Manual adjustments'!$A:$S,16,FALSE)))</f>
        <v>1</v>
      </c>
      <c r="S11" s="77">
        <f>IF(ISNUMBER(VLOOKUP(A11,#REF!,4,FALSE)),0,IF(ISNA(VLOOKUP(A11,'Manual adjustments'!$A:$S,17,FALSE)),1,1-VLOOKUP(A11,'Manual adjustments'!$A:$S,17,FALSE)))</f>
        <v>1</v>
      </c>
      <c r="T11" s="77">
        <f>IF(ISNUMBER(VLOOKUP(A11,#REF!,5,FALSE)),0,IF(ISNA(VLOOKUP(A11,'Manual adjustments'!$A:$S,18,FALSE)),1,1-VLOOKUP(A11,'Manual adjustments'!$A:$S,18,FALSE)))</f>
        <v>1</v>
      </c>
      <c r="U11" s="84">
        <f>IF(ISNUMBER(VLOOKUP(A11,#REF!,6,FALSE)),0,IF(ISNA(VLOOKUP(A11,'Manual adjustments'!$A:$S,19,FALSE)),1,1-VLOOKUP(A11,'Manual adjustments'!$A:$S,19,FALSE)))</f>
        <v>1</v>
      </c>
      <c r="W11" s="25">
        <f t="shared" si="2"/>
        <v>107</v>
      </c>
      <c r="X11" s="18" t="str">
        <f t="shared" si="3"/>
        <v>Vascular Surgery</v>
      </c>
      <c r="Y11" s="34">
        <f>IFERROR(VLOOKUP($W11,'Further adjustment'!$A:$Q,7,FALSE),0)</f>
        <v>161188</v>
      </c>
      <c r="Z11" s="36">
        <f>IFERROR(VLOOKUP($W11,'Further adjustment'!$A:$Q,6,FALSE),0)</f>
        <v>3277</v>
      </c>
      <c r="AA11" s="36">
        <f>IFERROR(VLOOKUP($W11,'Further adjustment'!$A:$Q,9,FALSE),0)</f>
        <v>204153</v>
      </c>
      <c r="AB11" s="18">
        <f>IFERROR(VLOOKUP($W11,'Further adjustment'!$A:$Q,8,FALSE),0)</f>
        <v>5003</v>
      </c>
    </row>
    <row r="12" spans="1:28">
      <c r="A12" s="25">
        <f>Mandatory!A10</f>
        <v>108</v>
      </c>
      <c r="B12" s="18" t="str">
        <f>INDEX('201314 RC list'!B:B,MATCH(A12,'201314 RC list'!A:A,0))</f>
        <v>Spinal Surgery Service</v>
      </c>
      <c r="C12" s="37">
        <f>VLOOKUP($L12,PRICES!$A:$CN,80,FALSE)</f>
        <v>166.72823004593124</v>
      </c>
      <c r="D12" s="35">
        <f>VLOOKUP($L12,PRICES!$A:$CN,81,FALSE)</f>
        <v>166.72823004593124</v>
      </c>
      <c r="E12" s="35">
        <f>VLOOKUP($L12,PRICES!$A:$CN,82,FALSE)</f>
        <v>103.0838930269433</v>
      </c>
      <c r="F12" s="19">
        <f>VLOOKUP($L12,PRICES!$A:$CN,83,FALSE)</f>
        <v>103.0838930269433</v>
      </c>
      <c r="G12" s="25" t="str">
        <f>IF(VLOOKUP($A12,PRICES!$A:$CN,70,FALSE)="Y","Manual Adjusted",IF(VLOOKUP($A12,PRICES!$A:$CN,51,FALSE)="Roll-over","Roll-Over","Modelled"))</f>
        <v>Modelled</v>
      </c>
      <c r="H12" s="43" t="str">
        <f>IF(VLOOKUP($A12,PRICES!$A:$CN,70,FALSE)="Y","Manual Adjusted",IF(VLOOKUP($A12,PRICES!$A:$CN,52,FALSE)="Roll-over","Roll-Over","Modelled"))</f>
        <v>Modelled</v>
      </c>
      <c r="I12" s="43" t="str">
        <f>IF(VLOOKUP($A12,PRICES!$A:$CN,70,FALSE)="Y","Manual Adjusted",IF(VLOOKUP($A12,PRICES!$A:$CN,53,FALSE)="Roll-over","Roll-Over","Modelled"))</f>
        <v>Modelled</v>
      </c>
      <c r="J12" s="44" t="str">
        <f>IF(VLOOKUP($A12,PRICES!$A:$CN,70,FALSE)="Y","Manual Adjusted",IF(VLOOKUP($A12,PRICES!$A:$CN,54,FALSE)="Roll-over","Roll-Over","Modelled"))</f>
        <v>Modelled</v>
      </c>
      <c r="L12" s="25">
        <f t="shared" si="0"/>
        <v>108</v>
      </c>
      <c r="M12" s="18" t="str">
        <f t="shared" si="1"/>
        <v>Spinal Surgery Service</v>
      </c>
      <c r="N12" s="37">
        <f>VLOOKUP($L12,PRICES!$A:$CN,75,FALSE)</f>
        <v>166.72823004593124</v>
      </c>
      <c r="O12" s="35">
        <f>VLOOKUP($L12,PRICES!$A:$CN,76,FALSE)</f>
        <v>166.72823004593124</v>
      </c>
      <c r="P12" s="35">
        <f>VLOOKUP($L12,PRICES!$A:$CN,77,FALSE)</f>
        <v>103.0838930269433</v>
      </c>
      <c r="Q12" s="19">
        <f>VLOOKUP($L12,PRICES!$A:$CN,78,FALSE)</f>
        <v>103.0838930269433</v>
      </c>
      <c r="R12" s="77">
        <f>IF(ISNUMBER(VLOOKUP(A12,#REF!,3,FALSE)),0,IF(ISNA(VLOOKUP(A12,'Manual adjustments'!$A:$S,16,FALSE)),1,1-VLOOKUP(A12,'Manual adjustments'!$A:$S,16,FALSE)))</f>
        <v>1</v>
      </c>
      <c r="S12" s="77">
        <f>IF(ISNUMBER(VLOOKUP(A12,#REF!,4,FALSE)),0,IF(ISNA(VLOOKUP(A12,'Manual adjustments'!$A:$S,17,FALSE)),1,1-VLOOKUP(A12,'Manual adjustments'!$A:$S,17,FALSE)))</f>
        <v>1</v>
      </c>
      <c r="T12" s="77">
        <f>IF(ISNUMBER(VLOOKUP(A12,#REF!,5,FALSE)),0,IF(ISNA(VLOOKUP(A12,'Manual adjustments'!$A:$S,18,FALSE)),1,1-VLOOKUP(A12,'Manual adjustments'!$A:$S,18,FALSE)))</f>
        <v>1</v>
      </c>
      <c r="U12" s="84">
        <f>IF(ISNUMBER(VLOOKUP(A12,#REF!,6,FALSE)),0,IF(ISNA(VLOOKUP(A12,'Manual adjustments'!$A:$S,19,FALSE)),1,1-VLOOKUP(A12,'Manual adjustments'!$A:$S,19,FALSE)))</f>
        <v>1</v>
      </c>
      <c r="W12" s="25">
        <f t="shared" si="2"/>
        <v>108</v>
      </c>
      <c r="X12" s="18" t="str">
        <f t="shared" si="3"/>
        <v>Spinal Surgery Service</v>
      </c>
      <c r="Y12" s="34">
        <f>IFERROR(VLOOKUP($W12,'Further adjustment'!$A:$Q,7,FALSE),0)</f>
        <v>14517</v>
      </c>
      <c r="Z12" s="36">
        <f>IFERROR(VLOOKUP($W12,'Further adjustment'!$A:$Q,6,FALSE),0)</f>
        <v>258</v>
      </c>
      <c r="AA12" s="36">
        <f>IFERROR(VLOOKUP($W12,'Further adjustment'!$A:$Q,9,FALSE),0)</f>
        <v>33756</v>
      </c>
      <c r="AB12" s="18">
        <f>IFERROR(VLOOKUP($W12,'Further adjustment'!$A:$Q,8,FALSE),0)</f>
        <v>872</v>
      </c>
    </row>
    <row r="13" spans="1:28">
      <c r="A13" s="25">
        <f>Mandatory!A11</f>
        <v>110</v>
      </c>
      <c r="B13" s="18" t="str">
        <f>INDEX('201314 RC list'!B:B,MATCH(A13,'201314 RC list'!A:A,0))</f>
        <v>Trauma &amp; Orthopaedics</v>
      </c>
      <c r="C13" s="34">
        <f>VLOOKUP($L13,PRICES!$A:$CN,80,FALSE)</f>
        <v>126.06545864241775</v>
      </c>
      <c r="D13" s="36">
        <f>VLOOKUP($L13,PRICES!$A:$CN,81,FALSE)</f>
        <v>135.3918246038883</v>
      </c>
      <c r="E13" s="36">
        <f>VLOOKUP($L13,PRICES!$A:$CN,82,FALSE)</f>
        <v>79.285631123580103</v>
      </c>
      <c r="F13" s="18">
        <f>VLOOKUP($L13,PRICES!$A:$CN,83,FALSE)</f>
        <v>83.625035998850521</v>
      </c>
      <c r="G13" s="25" t="str">
        <f>IF(VLOOKUP($A13,PRICES!$A:$CN,70,FALSE)="Y","Manual Adjusted",IF(VLOOKUP($A13,PRICES!$A:$CN,51,FALSE)="Roll-over","Roll-Over","Modelled"))</f>
        <v>Modelled</v>
      </c>
      <c r="H13" s="43" t="str">
        <f>IF(VLOOKUP($A13,PRICES!$A:$CN,70,FALSE)="Y","Manual Adjusted",IF(VLOOKUP($A13,PRICES!$A:$CN,52,FALSE)="Roll-over","Roll-Over","Modelled"))</f>
        <v>Modelled</v>
      </c>
      <c r="I13" s="43" t="str">
        <f>IF(VLOOKUP($A13,PRICES!$A:$CN,70,FALSE)="Y","Manual Adjusted",IF(VLOOKUP($A13,PRICES!$A:$CN,53,FALSE)="Roll-over","Roll-Over","Modelled"))</f>
        <v>Modelled</v>
      </c>
      <c r="J13" s="44" t="str">
        <f>IF(VLOOKUP($A13,PRICES!$A:$CN,70,FALSE)="Y","Manual Adjusted",IF(VLOOKUP($A13,PRICES!$A:$CN,54,FALSE)="Roll-over","Roll-Over","Modelled"))</f>
        <v>Modelled</v>
      </c>
      <c r="L13" s="25">
        <f t="shared" si="0"/>
        <v>110</v>
      </c>
      <c r="M13" s="18" t="str">
        <f t="shared" si="1"/>
        <v>Trauma &amp; Orthopaedics</v>
      </c>
      <c r="N13" s="34">
        <f>VLOOKUP($L13,PRICES!$A:$CN,75,FALSE)</f>
        <v>126.06545864241775</v>
      </c>
      <c r="O13" s="36">
        <f>VLOOKUP($L13,PRICES!$A:$CN,76,FALSE)</f>
        <v>135.3918246038883</v>
      </c>
      <c r="P13" s="36">
        <f>VLOOKUP($L13,PRICES!$A:$CN,77,FALSE)</f>
        <v>79.285631123580103</v>
      </c>
      <c r="Q13" s="18">
        <f>VLOOKUP($L13,PRICES!$A:$CN,78,FALSE)</f>
        <v>83.625035998850521</v>
      </c>
      <c r="R13" s="77">
        <f>IF(ISNUMBER(VLOOKUP(A13,#REF!,3,FALSE)),0,IF(ISNA(VLOOKUP(A13,'Manual adjustments'!$A:$S,16,FALSE)),1,1-VLOOKUP(A13,'Manual adjustments'!$A:$S,16,FALSE)))</f>
        <v>1</v>
      </c>
      <c r="S13" s="77">
        <f>IF(ISNUMBER(VLOOKUP(A13,#REF!,4,FALSE)),0,IF(ISNA(VLOOKUP(A13,'Manual adjustments'!$A:$S,17,FALSE)),1,1-VLOOKUP(A13,'Manual adjustments'!$A:$S,17,FALSE)))</f>
        <v>1</v>
      </c>
      <c r="T13" s="77">
        <f>IF(ISNUMBER(VLOOKUP(A13,#REF!,5,FALSE)),0,IF(ISNA(VLOOKUP(A13,'Manual adjustments'!$A:$S,18,FALSE)),1,1-VLOOKUP(A13,'Manual adjustments'!$A:$S,18,FALSE)))</f>
        <v>1</v>
      </c>
      <c r="U13" s="84">
        <f>IF(ISNUMBER(VLOOKUP(A13,#REF!,6,FALSE)),0,IF(ISNA(VLOOKUP(A13,'Manual adjustments'!$A:$S,19,FALSE)),1,1-VLOOKUP(A13,'Manual adjustments'!$A:$S,19,FALSE)))</f>
        <v>1</v>
      </c>
      <c r="W13" s="25">
        <f t="shared" si="2"/>
        <v>110</v>
      </c>
      <c r="X13" s="18" t="str">
        <f t="shared" si="3"/>
        <v>Trauma &amp; Orthopaedics</v>
      </c>
      <c r="Y13" s="34">
        <f>IFERROR(VLOOKUP($W13,'Further adjustment'!$A:$Q,7,FALSE),0)</f>
        <v>2077780</v>
      </c>
      <c r="Z13" s="36">
        <f>IFERROR(VLOOKUP($W13,'Further adjustment'!$A:$Q,6,FALSE),0)</f>
        <v>43770</v>
      </c>
      <c r="AA13" s="36">
        <f>IFERROR(VLOOKUP($W13,'Further adjustment'!$A:$Q,9,FALSE),0)</f>
        <v>3655213</v>
      </c>
      <c r="AB13" s="18">
        <f>IFERROR(VLOOKUP($W13,'Further adjustment'!$A:$Q,8,FALSE),0)</f>
        <v>78786</v>
      </c>
    </row>
    <row r="14" spans="1:28">
      <c r="A14" s="25">
        <f>Mandatory!A12</f>
        <v>120</v>
      </c>
      <c r="B14" s="18" t="str">
        <f>INDEX('201314 RC list'!B:B,MATCH(A14,'201314 RC list'!A:A,0))</f>
        <v>ENT</v>
      </c>
      <c r="C14" s="34">
        <f>VLOOKUP($L14,PRICES!$A:$CN,80,FALSE)</f>
        <v>101.10354322096782</v>
      </c>
      <c r="D14" s="36">
        <f>VLOOKUP($L14,PRICES!$A:$CN,81,FALSE)</f>
        <v>138.11457382366746</v>
      </c>
      <c r="E14" s="36">
        <f>VLOOKUP($L14,PRICES!$A:$CN,82,FALSE)</f>
        <v>64.795903797893828</v>
      </c>
      <c r="F14" s="18">
        <f>VLOOKUP($L14,PRICES!$A:$CN,83,FALSE)</f>
        <v>93.968703065219415</v>
      </c>
      <c r="G14" s="25" t="str">
        <f>IF(VLOOKUP($A14,PRICES!$A:$CN,70,FALSE)="Y","Manual Adjusted",IF(VLOOKUP($A14,PRICES!$A:$CN,51,FALSE)="Roll-over","Roll-Over","Modelled"))</f>
        <v>Modelled</v>
      </c>
      <c r="H14" s="43" t="str">
        <f>IF(VLOOKUP($A14,PRICES!$A:$CN,70,FALSE)="Y","Manual Adjusted",IF(VLOOKUP($A14,PRICES!$A:$CN,52,FALSE)="Roll-over","Roll-Over","Modelled"))</f>
        <v>Modelled</v>
      </c>
      <c r="I14" s="43" t="str">
        <f>IF(VLOOKUP($A14,PRICES!$A:$CN,70,FALSE)="Y","Manual Adjusted",IF(VLOOKUP($A14,PRICES!$A:$CN,53,FALSE)="Roll-over","Roll-Over","Modelled"))</f>
        <v>Modelled</v>
      </c>
      <c r="J14" s="44" t="str">
        <f>IF(VLOOKUP($A14,PRICES!$A:$CN,70,FALSE)="Y","Manual Adjusted",IF(VLOOKUP($A14,PRICES!$A:$CN,54,FALSE)="Roll-over","Roll-Over","Modelled"))</f>
        <v>Modelled</v>
      </c>
      <c r="L14" s="25">
        <f t="shared" si="0"/>
        <v>120</v>
      </c>
      <c r="M14" s="18" t="str">
        <f t="shared" si="1"/>
        <v>ENT</v>
      </c>
      <c r="N14" s="34">
        <f>VLOOKUP($L14,PRICES!$A:$CN,75,FALSE)</f>
        <v>101.10354322096782</v>
      </c>
      <c r="O14" s="36">
        <f>VLOOKUP($L14,PRICES!$A:$CN,76,FALSE)</f>
        <v>138.11457382366746</v>
      </c>
      <c r="P14" s="36">
        <f>VLOOKUP($L14,PRICES!$A:$CN,77,FALSE)</f>
        <v>64.795903797893828</v>
      </c>
      <c r="Q14" s="18">
        <f>VLOOKUP($L14,PRICES!$A:$CN,78,FALSE)</f>
        <v>93.968703065219415</v>
      </c>
      <c r="R14" s="77">
        <f>IF(ISNUMBER(VLOOKUP(A14,#REF!,3,FALSE)),0,IF(ISNA(VLOOKUP(A14,'Manual adjustments'!$A:$S,16,FALSE)),1,1-VLOOKUP(A14,'Manual adjustments'!$A:$S,16,FALSE)))</f>
        <v>1</v>
      </c>
      <c r="S14" s="77">
        <f>IF(ISNUMBER(VLOOKUP(A14,#REF!,4,FALSE)),0,IF(ISNA(VLOOKUP(A14,'Manual adjustments'!$A:$S,17,FALSE)),1,1-VLOOKUP(A14,'Manual adjustments'!$A:$S,17,FALSE)))</f>
        <v>1</v>
      </c>
      <c r="T14" s="77">
        <f>IF(ISNUMBER(VLOOKUP(A14,#REF!,5,FALSE)),0,IF(ISNA(VLOOKUP(A14,'Manual adjustments'!$A:$S,18,FALSE)),1,1-VLOOKUP(A14,'Manual adjustments'!$A:$S,18,FALSE)))</f>
        <v>1</v>
      </c>
      <c r="U14" s="84">
        <f>IF(ISNUMBER(VLOOKUP(A14,#REF!,6,FALSE)),0,IF(ISNA(VLOOKUP(A14,'Manual adjustments'!$A:$S,19,FALSE)),1,1-VLOOKUP(A14,'Manual adjustments'!$A:$S,19,FALSE)))</f>
        <v>1</v>
      </c>
      <c r="W14" s="25">
        <f t="shared" si="2"/>
        <v>120</v>
      </c>
      <c r="X14" s="18" t="str">
        <f t="shared" si="3"/>
        <v>ENT</v>
      </c>
      <c r="Y14" s="34">
        <f>IFERROR(VLOOKUP($W14,'Further adjustment'!$A:$Q,7,FALSE),0)</f>
        <v>621493</v>
      </c>
      <c r="Z14" s="36">
        <f>IFERROR(VLOOKUP($W14,'Further adjustment'!$A:$Q,6,FALSE),0)</f>
        <v>8832</v>
      </c>
      <c r="AA14" s="36">
        <f>IFERROR(VLOOKUP($W14,'Further adjustment'!$A:$Q,9,FALSE),0)</f>
        <v>899844</v>
      </c>
      <c r="AB14" s="18">
        <f>IFERROR(VLOOKUP($W14,'Further adjustment'!$A:$Q,8,FALSE),0)</f>
        <v>19259</v>
      </c>
    </row>
    <row r="15" spans="1:28">
      <c r="A15" s="25">
        <f>Mandatory!A13</f>
        <v>130</v>
      </c>
      <c r="B15" s="18" t="str">
        <f>INDEX('201314 RC list'!B:B,MATCH(A15,'201314 RC list'!A:A,0))</f>
        <v>Ophthalmology</v>
      </c>
      <c r="C15" s="34">
        <f>VLOOKUP($L15,PRICES!$A:$CN,80,FALSE)</f>
        <v>105.16656659360872</v>
      </c>
      <c r="D15" s="36">
        <f>VLOOKUP($L15,PRICES!$A:$CN,81,FALSE)</f>
        <v>137.25301855901805</v>
      </c>
      <c r="E15" s="36">
        <f>VLOOKUP($L15,PRICES!$A:$CN,82,FALSE)</f>
        <v>62.455878074526559</v>
      </c>
      <c r="F15" s="18">
        <f>VLOOKUP($L15,PRICES!$A:$CN,83,FALSE)</f>
        <v>81.966653523413328</v>
      </c>
      <c r="G15" s="25" t="str">
        <f>IF(VLOOKUP($A15,PRICES!$A:$CN,70,FALSE)="Y","Manual Adjusted",IF(VLOOKUP($A15,PRICES!$A:$CN,51,FALSE)="Roll-over","Roll-Over","Modelled"))</f>
        <v>Modelled</v>
      </c>
      <c r="H15" s="43" t="str">
        <f>IF(VLOOKUP($A15,PRICES!$A:$CN,70,FALSE)="Y","Manual Adjusted",IF(VLOOKUP($A15,PRICES!$A:$CN,52,FALSE)="Roll-over","Roll-Over","Modelled"))</f>
        <v>Modelled</v>
      </c>
      <c r="I15" s="43" t="str">
        <f>IF(VLOOKUP($A15,PRICES!$A:$CN,70,FALSE)="Y","Manual Adjusted",IF(VLOOKUP($A15,PRICES!$A:$CN,53,FALSE)="Roll-over","Roll-Over","Modelled"))</f>
        <v>Modelled</v>
      </c>
      <c r="J15" s="44" t="str">
        <f>IF(VLOOKUP($A15,PRICES!$A:$CN,70,FALSE)="Y","Manual Adjusted",IF(VLOOKUP($A15,PRICES!$A:$CN,54,FALSE)="Roll-over","Roll-Over","Modelled"))</f>
        <v>Modelled</v>
      </c>
      <c r="L15" s="25">
        <f t="shared" si="0"/>
        <v>130</v>
      </c>
      <c r="M15" s="18" t="str">
        <f t="shared" si="1"/>
        <v>Ophthalmology</v>
      </c>
      <c r="N15" s="34">
        <f>VLOOKUP($L15,PRICES!$A:$CN,75,FALSE)</f>
        <v>105.16656659360872</v>
      </c>
      <c r="O15" s="36">
        <f>VLOOKUP($L15,PRICES!$A:$CN,76,FALSE)</f>
        <v>137.25301855901805</v>
      </c>
      <c r="P15" s="36">
        <f>VLOOKUP($L15,PRICES!$A:$CN,77,FALSE)</f>
        <v>62.455878074526559</v>
      </c>
      <c r="Q15" s="18">
        <f>VLOOKUP($L15,PRICES!$A:$CN,78,FALSE)</f>
        <v>81.966653523413328</v>
      </c>
      <c r="R15" s="77">
        <f>IF(ISNUMBER(VLOOKUP(A15,#REF!,3,FALSE)),0,IF(ISNA(VLOOKUP(A15,'Manual adjustments'!$A:$S,16,FALSE)),1,1-VLOOKUP(A15,'Manual adjustments'!$A:$S,16,FALSE)))</f>
        <v>1</v>
      </c>
      <c r="S15" s="77">
        <f>IF(ISNUMBER(VLOOKUP(A15,#REF!,4,FALSE)),0,IF(ISNA(VLOOKUP(A15,'Manual adjustments'!$A:$S,17,FALSE)),1,1-VLOOKUP(A15,'Manual adjustments'!$A:$S,17,FALSE)))</f>
        <v>1</v>
      </c>
      <c r="T15" s="77">
        <f>IF(ISNUMBER(VLOOKUP(A15,#REF!,5,FALSE)),0,IF(ISNA(VLOOKUP(A15,'Manual adjustments'!$A:$S,18,FALSE)),1,1-VLOOKUP(A15,'Manual adjustments'!$A:$S,18,FALSE)))</f>
        <v>1</v>
      </c>
      <c r="U15" s="84">
        <f>IF(ISNUMBER(VLOOKUP(A15,#REF!,6,FALSE)),0,IF(ISNA(VLOOKUP(A15,'Manual adjustments'!$A:$S,19,FALSE)),1,1-VLOOKUP(A15,'Manual adjustments'!$A:$S,19,FALSE)))</f>
        <v>1</v>
      </c>
      <c r="W15" s="25">
        <f t="shared" si="2"/>
        <v>130</v>
      </c>
      <c r="X15" s="18" t="str">
        <f t="shared" si="3"/>
        <v>Ophthalmology</v>
      </c>
      <c r="Y15" s="34">
        <f>IFERROR(VLOOKUP($W15,'Further adjustment'!$A:$Q,7,FALSE),0)</f>
        <v>1321856</v>
      </c>
      <c r="Z15" s="36">
        <f>IFERROR(VLOOKUP($W15,'Further adjustment'!$A:$Q,6,FALSE),0)</f>
        <v>51082</v>
      </c>
      <c r="AA15" s="36">
        <f>IFERROR(VLOOKUP($W15,'Further adjustment'!$A:$Q,9,FALSE),0)</f>
        <v>3456443</v>
      </c>
      <c r="AB15" s="18">
        <f>IFERROR(VLOOKUP($W15,'Further adjustment'!$A:$Q,8,FALSE),0)</f>
        <v>158104</v>
      </c>
    </row>
    <row r="16" spans="1:28">
      <c r="A16" s="25">
        <f>Mandatory!A14</f>
        <v>140</v>
      </c>
      <c r="B16" s="18" t="str">
        <f>INDEX('201314 RC list'!B:B,MATCH(A16,'201314 RC list'!A:A,0))</f>
        <v>Oral Surgery</v>
      </c>
      <c r="C16" s="34">
        <f>VLOOKUP($L16,PRICES!$A:$CN,80,FALSE)</f>
        <v>116.80530271950623</v>
      </c>
      <c r="D16" s="36">
        <f>VLOOKUP($L16,PRICES!$A:$CN,81,FALSE)</f>
        <v>188.47446271962946</v>
      </c>
      <c r="E16" s="36">
        <f>VLOOKUP($L16,PRICES!$A:$CN,82,FALSE)</f>
        <v>75.727360600333682</v>
      </c>
      <c r="F16" s="18">
        <f>VLOOKUP($L16,PRICES!$A:$CN,83,FALSE)</f>
        <v>128.16525647214468</v>
      </c>
      <c r="G16" s="25" t="str">
        <f>IF(VLOOKUP($A16,PRICES!$A:$CN,70,FALSE)="Y","Manual Adjusted",IF(VLOOKUP($A16,PRICES!$A:$CN,51,FALSE)="Roll-over","Roll-Over","Modelled"))</f>
        <v>Modelled</v>
      </c>
      <c r="H16" s="43" t="str">
        <f>IF(VLOOKUP($A16,PRICES!$A:$CN,70,FALSE)="Y","Manual Adjusted",IF(VLOOKUP($A16,PRICES!$A:$CN,52,FALSE)="Roll-over","Roll-Over","Modelled"))</f>
        <v>Modelled</v>
      </c>
      <c r="I16" s="43" t="str">
        <f>IF(VLOOKUP($A16,PRICES!$A:$CN,70,FALSE)="Y","Manual Adjusted",IF(VLOOKUP($A16,PRICES!$A:$CN,53,FALSE)="Roll-over","Roll-Over","Modelled"))</f>
        <v>Modelled</v>
      </c>
      <c r="J16" s="44" t="str">
        <f>IF(VLOOKUP($A16,PRICES!$A:$CN,70,FALSE)="Y","Manual Adjusted",IF(VLOOKUP($A16,PRICES!$A:$CN,54,FALSE)="Roll-over","Roll-Over","Modelled"))</f>
        <v>Modelled</v>
      </c>
      <c r="L16" s="25">
        <f t="shared" si="0"/>
        <v>140</v>
      </c>
      <c r="M16" s="18" t="str">
        <f t="shared" si="1"/>
        <v>Oral Surgery</v>
      </c>
      <c r="N16" s="34">
        <f>VLOOKUP($L16,PRICES!$A:$CN,75,FALSE)</f>
        <v>116.80530271950623</v>
      </c>
      <c r="O16" s="36">
        <f>VLOOKUP($L16,PRICES!$A:$CN,76,FALSE)</f>
        <v>188.47446271962946</v>
      </c>
      <c r="P16" s="36">
        <f>VLOOKUP($L16,PRICES!$A:$CN,77,FALSE)</f>
        <v>75.727360600333682</v>
      </c>
      <c r="Q16" s="18">
        <f>VLOOKUP($L16,PRICES!$A:$CN,78,FALSE)</f>
        <v>128.16525647214468</v>
      </c>
      <c r="R16" s="77">
        <f>IF(ISNUMBER(VLOOKUP(A16,#REF!,3,FALSE)),0,IF(ISNA(VLOOKUP(A16,'Manual adjustments'!$A:$S,16,FALSE)),1,1-VLOOKUP(A16,'Manual adjustments'!$A:$S,16,FALSE)))</f>
        <v>1</v>
      </c>
      <c r="S16" s="77">
        <f>IF(ISNUMBER(VLOOKUP(A16,#REF!,4,FALSE)),0,IF(ISNA(VLOOKUP(A16,'Manual adjustments'!$A:$S,17,FALSE)),1,1-VLOOKUP(A16,'Manual adjustments'!$A:$S,17,FALSE)))</f>
        <v>1</v>
      </c>
      <c r="T16" s="77">
        <f>IF(ISNUMBER(VLOOKUP(A16,#REF!,5,FALSE)),0,IF(ISNA(VLOOKUP(A16,'Manual adjustments'!$A:$S,18,FALSE)),1,1-VLOOKUP(A16,'Manual adjustments'!$A:$S,18,FALSE)))</f>
        <v>1</v>
      </c>
      <c r="U16" s="84">
        <f>IF(ISNUMBER(VLOOKUP(A16,#REF!,6,FALSE)),0,IF(ISNA(VLOOKUP(A16,'Manual adjustments'!$A:$S,19,FALSE)),1,1-VLOOKUP(A16,'Manual adjustments'!$A:$S,19,FALSE)))</f>
        <v>1</v>
      </c>
      <c r="W16" s="25">
        <f t="shared" si="2"/>
        <v>140</v>
      </c>
      <c r="X16" s="18" t="str">
        <f t="shared" si="3"/>
        <v>Oral Surgery</v>
      </c>
      <c r="Y16" s="34">
        <f>IFERROR(VLOOKUP($W16,'Further adjustment'!$A:$Q,7,FALSE),0)</f>
        <v>373923</v>
      </c>
      <c r="Z16" s="36">
        <f>IFERROR(VLOOKUP($W16,'Further adjustment'!$A:$Q,6,FALSE),0)</f>
        <v>4792</v>
      </c>
      <c r="AA16" s="36">
        <f>IFERROR(VLOOKUP($W16,'Further adjustment'!$A:$Q,9,FALSE),0)</f>
        <v>396505</v>
      </c>
      <c r="AB16" s="18">
        <f>IFERROR(VLOOKUP($W16,'Further adjustment'!$A:$Q,8,FALSE),0)</f>
        <v>8705</v>
      </c>
    </row>
    <row r="17" spans="1:28">
      <c r="A17" s="25">
        <f>Mandatory!A15</f>
        <v>143</v>
      </c>
      <c r="B17" s="18" t="str">
        <f>INDEX('201314 RC list'!B:B,MATCH(A17,'201314 RC list'!A:A,0))</f>
        <v>Orthodontics</v>
      </c>
      <c r="C17" s="34">
        <f>VLOOKUP($L17,PRICES!$A:$CN,80,FALSE)</f>
        <v>148.5458143614452</v>
      </c>
      <c r="D17" s="36">
        <f>VLOOKUP($L17,PRICES!$A:$CN,81,FALSE)</f>
        <v>167.36616126756869</v>
      </c>
      <c r="E17" s="36">
        <f>VLOOKUP($L17,PRICES!$A:$CN,82,FALSE)</f>
        <v>77.324162376421711</v>
      </c>
      <c r="F17" s="18">
        <f>VLOOKUP($L17,PRICES!$A:$CN,83,FALSE)</f>
        <v>94.00692742234223</v>
      </c>
      <c r="G17" s="25" t="str">
        <f>IF(VLOOKUP($A17,PRICES!$A:$CN,70,FALSE)="Y","Manual Adjusted",IF(VLOOKUP($A17,PRICES!$A:$CN,51,FALSE)="Roll-over","Roll-Over","Modelled"))</f>
        <v>Modelled</v>
      </c>
      <c r="H17" s="43" t="str">
        <f>IF(VLOOKUP($A17,PRICES!$A:$CN,70,FALSE)="Y","Manual Adjusted",IF(VLOOKUP($A17,PRICES!$A:$CN,52,FALSE)="Roll-over","Roll-Over","Modelled"))</f>
        <v>Modelled</v>
      </c>
      <c r="I17" s="43" t="str">
        <f>IF(VLOOKUP($A17,PRICES!$A:$CN,70,FALSE)="Y","Manual Adjusted",IF(VLOOKUP($A17,PRICES!$A:$CN,53,FALSE)="Roll-over","Roll-Over","Modelled"))</f>
        <v>Modelled</v>
      </c>
      <c r="J17" s="44" t="str">
        <f>IF(VLOOKUP($A17,PRICES!$A:$CN,70,FALSE)="Y","Manual Adjusted",IF(VLOOKUP($A17,PRICES!$A:$CN,54,FALSE)="Roll-over","Roll-Over","Modelled"))</f>
        <v>Modelled</v>
      </c>
      <c r="L17" s="25">
        <f t="shared" si="0"/>
        <v>143</v>
      </c>
      <c r="M17" s="18" t="str">
        <f t="shared" si="1"/>
        <v>Orthodontics</v>
      </c>
      <c r="N17" s="34">
        <f>VLOOKUP($L17,PRICES!$A:$CN,75,FALSE)</f>
        <v>148.5458143614452</v>
      </c>
      <c r="O17" s="36">
        <f>VLOOKUP($L17,PRICES!$A:$CN,76,FALSE)</f>
        <v>167.36616126756869</v>
      </c>
      <c r="P17" s="36">
        <f>VLOOKUP($L17,PRICES!$A:$CN,77,FALSE)</f>
        <v>77.324162376421711</v>
      </c>
      <c r="Q17" s="18">
        <f>VLOOKUP($L17,PRICES!$A:$CN,78,FALSE)</f>
        <v>94.00692742234223</v>
      </c>
      <c r="R17" s="77">
        <f>IF(ISNUMBER(VLOOKUP(A17,#REF!,3,FALSE)),0,IF(ISNA(VLOOKUP(A17,'Manual adjustments'!$A:$S,16,FALSE)),1,1-VLOOKUP(A17,'Manual adjustments'!$A:$S,16,FALSE)))</f>
        <v>1</v>
      </c>
      <c r="S17" s="77">
        <f>IF(ISNUMBER(VLOOKUP(A17,#REF!,4,FALSE)),0,IF(ISNA(VLOOKUP(A17,'Manual adjustments'!$A:$S,17,FALSE)),1,1-VLOOKUP(A17,'Manual adjustments'!$A:$S,17,FALSE)))</f>
        <v>1</v>
      </c>
      <c r="T17" s="77">
        <f>IF(ISNUMBER(VLOOKUP(A17,#REF!,5,FALSE)),0,IF(ISNA(VLOOKUP(A17,'Manual adjustments'!$A:$S,18,FALSE)),1,1-VLOOKUP(A17,'Manual adjustments'!$A:$S,18,FALSE)))</f>
        <v>1</v>
      </c>
      <c r="U17" s="84">
        <f>IF(ISNUMBER(VLOOKUP(A17,#REF!,6,FALSE)),0,IF(ISNA(VLOOKUP(A17,'Manual adjustments'!$A:$S,19,FALSE)),1,1-VLOOKUP(A17,'Manual adjustments'!$A:$S,19,FALSE)))</f>
        <v>1</v>
      </c>
      <c r="W17" s="25">
        <f t="shared" si="2"/>
        <v>143</v>
      </c>
      <c r="X17" s="18" t="str">
        <f t="shared" si="3"/>
        <v>Orthodontics</v>
      </c>
      <c r="Y17" s="34">
        <f>IFERROR(VLOOKUP($W17,'Further adjustment'!$A:$Q,7,FALSE),0)</f>
        <v>59900</v>
      </c>
      <c r="Z17" s="36">
        <f>IFERROR(VLOOKUP($W17,'Further adjustment'!$A:$Q,6,FALSE),0)</f>
        <v>1601</v>
      </c>
      <c r="AA17" s="36">
        <f>IFERROR(VLOOKUP($W17,'Further adjustment'!$A:$Q,9,FALSE),0)</f>
        <v>264666</v>
      </c>
      <c r="AB17" s="18">
        <f>IFERROR(VLOOKUP($W17,'Further adjustment'!$A:$Q,8,FALSE),0)</f>
        <v>7363</v>
      </c>
    </row>
    <row r="18" spans="1:28">
      <c r="A18" s="25">
        <f>Mandatory!A16</f>
        <v>144</v>
      </c>
      <c r="B18" s="18" t="str">
        <f>INDEX('201314 RC list'!B:B,MATCH(A18,'201314 RC list'!A:A,0))</f>
        <v>Maxillo-Facial Surgery</v>
      </c>
      <c r="C18" s="34">
        <f>VLOOKUP($L18,PRICES!$A:$CN,80,FALSE)</f>
        <v>109.19418552640656</v>
      </c>
      <c r="D18" s="36">
        <f>VLOOKUP($L18,PRICES!$A:$CN,81,FALSE)</f>
        <v>140.04323485393812</v>
      </c>
      <c r="E18" s="36">
        <f>VLOOKUP($L18,PRICES!$A:$CN,82,FALSE)</f>
        <v>78.434922526973438</v>
      </c>
      <c r="F18" s="18">
        <f>VLOOKUP($L18,PRICES!$A:$CN,83,FALSE)</f>
        <v>78.434922526973438</v>
      </c>
      <c r="G18" s="25" t="str">
        <f>IF(VLOOKUP($A18,PRICES!$A:$CN,70,FALSE)="Y","Manual Adjusted",IF(VLOOKUP($A18,PRICES!$A:$CN,51,FALSE)="Roll-over","Roll-Over","Modelled"))</f>
        <v>Modelled</v>
      </c>
      <c r="H18" s="43" t="str">
        <f>IF(VLOOKUP($A18,PRICES!$A:$CN,70,FALSE)="Y","Manual Adjusted",IF(VLOOKUP($A18,PRICES!$A:$CN,52,FALSE)="Roll-over","Roll-Over","Modelled"))</f>
        <v>Modelled</v>
      </c>
      <c r="I18" s="43" t="str">
        <f>IF(VLOOKUP($A18,PRICES!$A:$CN,70,FALSE)="Y","Manual Adjusted",IF(VLOOKUP($A18,PRICES!$A:$CN,53,FALSE)="Roll-over","Roll-Over","Modelled"))</f>
        <v>Modelled</v>
      </c>
      <c r="J18" s="44" t="str">
        <f>IF(VLOOKUP($A18,PRICES!$A:$CN,70,FALSE)="Y","Manual Adjusted",IF(VLOOKUP($A18,PRICES!$A:$CN,54,FALSE)="Roll-over","Roll-Over","Modelled"))</f>
        <v>Modelled</v>
      </c>
      <c r="L18" s="25">
        <f t="shared" si="0"/>
        <v>144</v>
      </c>
      <c r="M18" s="18" t="str">
        <f t="shared" si="1"/>
        <v>Maxillo-Facial Surgery</v>
      </c>
      <c r="N18" s="34">
        <f>VLOOKUP($L18,PRICES!$A:$CN,75,FALSE)</f>
        <v>109.19418552640656</v>
      </c>
      <c r="O18" s="36">
        <f>VLOOKUP($L18,PRICES!$A:$CN,76,FALSE)</f>
        <v>140.04323485393812</v>
      </c>
      <c r="P18" s="36">
        <f>VLOOKUP($L18,PRICES!$A:$CN,77,FALSE)</f>
        <v>78.434922526973438</v>
      </c>
      <c r="Q18" s="18">
        <f>VLOOKUP($L18,PRICES!$A:$CN,78,FALSE)</f>
        <v>78.434922526973438</v>
      </c>
      <c r="R18" s="77">
        <f>IF(ISNUMBER(VLOOKUP(A18,#REF!,3,FALSE)),0,IF(ISNA(VLOOKUP(A18,'Manual adjustments'!$A:$S,16,FALSE)),1,1-VLOOKUP(A18,'Manual adjustments'!$A:$S,16,FALSE)))</f>
        <v>1</v>
      </c>
      <c r="S18" s="77">
        <f>IF(ISNUMBER(VLOOKUP(A18,#REF!,4,FALSE)),0,IF(ISNA(VLOOKUP(A18,'Manual adjustments'!$A:$S,17,FALSE)),1,1-VLOOKUP(A18,'Manual adjustments'!$A:$S,17,FALSE)))</f>
        <v>1</v>
      </c>
      <c r="T18" s="77">
        <f>IF(ISNUMBER(VLOOKUP(A18,#REF!,5,FALSE)),0,IF(ISNA(VLOOKUP(A18,'Manual adjustments'!$A:$S,18,FALSE)),1,1-VLOOKUP(A18,'Manual adjustments'!$A:$S,18,FALSE)))</f>
        <v>1</v>
      </c>
      <c r="U18" s="84">
        <f>IF(ISNUMBER(VLOOKUP(A18,#REF!,6,FALSE)),0,IF(ISNA(VLOOKUP(A18,'Manual adjustments'!$A:$S,19,FALSE)),1,1-VLOOKUP(A18,'Manual adjustments'!$A:$S,19,FALSE)))</f>
        <v>1</v>
      </c>
      <c r="W18" s="25">
        <f t="shared" si="2"/>
        <v>144</v>
      </c>
      <c r="X18" s="18" t="str">
        <f t="shared" si="3"/>
        <v>Maxillo-Facial Surgery</v>
      </c>
      <c r="Y18" s="34">
        <f>IFERROR(VLOOKUP($W18,'Further adjustment'!$A:$Q,7,FALSE),0)</f>
        <v>159842</v>
      </c>
      <c r="Z18" s="36">
        <f>IFERROR(VLOOKUP($W18,'Further adjustment'!$A:$Q,6,FALSE),0)</f>
        <v>1406</v>
      </c>
      <c r="AA18" s="36">
        <f>IFERROR(VLOOKUP($W18,'Further adjustment'!$A:$Q,9,FALSE),0)</f>
        <v>188376</v>
      </c>
      <c r="AB18" s="18">
        <f>IFERROR(VLOOKUP($W18,'Further adjustment'!$A:$Q,8,FALSE),0)</f>
        <v>5827</v>
      </c>
    </row>
    <row r="19" spans="1:28" s="30" customFormat="1">
      <c r="A19" s="25">
        <f>Mandatory!A17</f>
        <v>150</v>
      </c>
      <c r="B19" s="18" t="str">
        <f>INDEX('201314 RC list'!B:B,MATCH(A19,'201314 RC list'!A:A,0))</f>
        <v>Neurosurgery</v>
      </c>
      <c r="C19" s="34">
        <f>VLOOKUP($L19,PRICES!$A:$CN,80,FALSE)</f>
        <v>183.89557235404652</v>
      </c>
      <c r="D19" s="36">
        <f>VLOOKUP($L19,PRICES!$A:$CN,81,FALSE)</f>
        <v>226.78134031413373</v>
      </c>
      <c r="E19" s="36">
        <f>VLOOKUP($L19,PRICES!$A:$CN,82,FALSE)</f>
        <v>125.14764923771139</v>
      </c>
      <c r="F19" s="18">
        <f>VLOOKUP($L19,PRICES!$A:$CN,83,FALSE)</f>
        <v>164.48648787116974</v>
      </c>
      <c r="G19" s="25" t="str">
        <f>IF(VLOOKUP($A19,PRICES!$A:$CN,70,FALSE)="Y","Manual Adjusted",IF(VLOOKUP($A19,PRICES!$A:$CN,51,FALSE)="Roll-over","Roll-Over","Modelled"))</f>
        <v>Modelled</v>
      </c>
      <c r="H19" s="43" t="str">
        <f>IF(VLOOKUP($A19,PRICES!$A:$CN,70,FALSE)="Y","Manual Adjusted",IF(VLOOKUP($A19,PRICES!$A:$CN,52,FALSE)="Roll-over","Roll-Over","Modelled"))</f>
        <v>Modelled</v>
      </c>
      <c r="I19" s="43" t="str">
        <f>IF(VLOOKUP($A19,PRICES!$A:$CN,70,FALSE)="Y","Manual Adjusted",IF(VLOOKUP($A19,PRICES!$A:$CN,53,FALSE)="Roll-over","Roll-Over","Modelled"))</f>
        <v>Modelled</v>
      </c>
      <c r="J19" s="44" t="str">
        <f>IF(VLOOKUP($A19,PRICES!$A:$CN,70,FALSE)="Y","Manual Adjusted",IF(VLOOKUP($A19,PRICES!$A:$CN,54,FALSE)="Roll-over","Roll-Over","Modelled"))</f>
        <v>Modelled</v>
      </c>
      <c r="L19" s="25">
        <f t="shared" si="0"/>
        <v>150</v>
      </c>
      <c r="M19" s="18" t="str">
        <f t="shared" si="1"/>
        <v>Neurosurgery</v>
      </c>
      <c r="N19" s="34">
        <f>VLOOKUP($L19,PRICES!$A:$CN,75,FALSE)</f>
        <v>183.89557235404652</v>
      </c>
      <c r="O19" s="36">
        <f>VLOOKUP($L19,PRICES!$A:$CN,76,FALSE)</f>
        <v>226.78134031413373</v>
      </c>
      <c r="P19" s="36">
        <f>VLOOKUP($L19,PRICES!$A:$CN,77,FALSE)</f>
        <v>125.14764923771139</v>
      </c>
      <c r="Q19" s="18">
        <f>VLOOKUP($L19,PRICES!$A:$CN,78,FALSE)</f>
        <v>164.48648787116974</v>
      </c>
      <c r="R19" s="77">
        <f>IF(ISNUMBER(VLOOKUP(A19,#REF!,3,FALSE)),0,IF(ISNA(VLOOKUP(A19,'Manual adjustments'!$A:$S,16,FALSE)),1,1-VLOOKUP(A19,'Manual adjustments'!$A:$S,16,FALSE)))</f>
        <v>1</v>
      </c>
      <c r="S19" s="77">
        <f>IF(ISNUMBER(VLOOKUP(A19,#REF!,4,FALSE)),0,IF(ISNA(VLOOKUP(A19,'Manual adjustments'!$A:$S,17,FALSE)),1,1-VLOOKUP(A19,'Manual adjustments'!$A:$S,17,FALSE)))</f>
        <v>1</v>
      </c>
      <c r="T19" s="77">
        <f>IF(ISNUMBER(VLOOKUP(A19,#REF!,5,FALSE)),0,IF(ISNA(VLOOKUP(A19,'Manual adjustments'!$A:$S,18,FALSE)),1,1-VLOOKUP(A19,'Manual adjustments'!$A:$S,18,FALSE)))</f>
        <v>1</v>
      </c>
      <c r="U19" s="84">
        <f>IF(ISNUMBER(VLOOKUP(A19,#REF!,6,FALSE)),0,IF(ISNA(VLOOKUP(A19,'Manual adjustments'!$A:$S,19,FALSE)),1,1-VLOOKUP(A19,'Manual adjustments'!$A:$S,19,FALSE)))</f>
        <v>1</v>
      </c>
      <c r="W19" s="25">
        <f t="shared" si="2"/>
        <v>150</v>
      </c>
      <c r="X19" s="18" t="str">
        <f t="shared" si="3"/>
        <v>Neurosurgery</v>
      </c>
      <c r="Y19" s="34">
        <f>IFERROR(VLOOKUP($W19,'Further adjustment'!$A:$Q,7,FALSE),0)</f>
        <v>95890</v>
      </c>
      <c r="Z19" s="36">
        <f>IFERROR(VLOOKUP($W19,'Further adjustment'!$A:$Q,6,FALSE),0)</f>
        <v>4955</v>
      </c>
      <c r="AA19" s="36">
        <f>IFERROR(VLOOKUP($W19,'Further adjustment'!$A:$Q,9,FALSE),0)</f>
        <v>150093</v>
      </c>
      <c r="AB19" s="18">
        <f>IFERROR(VLOOKUP($W19,'Further adjustment'!$A:$Q,8,FALSE),0)</f>
        <v>4685</v>
      </c>
    </row>
    <row r="20" spans="1:28">
      <c r="A20" s="25">
        <f>Mandatory!A18</f>
        <v>160</v>
      </c>
      <c r="B20" s="18" t="str">
        <f>INDEX('201314 RC list'!B:B,MATCH(A20,'201314 RC list'!A:A,0))</f>
        <v>Plastic Surgery</v>
      </c>
      <c r="C20" s="34">
        <f>VLOOKUP($L20,PRICES!$A:$CN,80,FALSE)</f>
        <v>104.43133111258076</v>
      </c>
      <c r="D20" s="36">
        <f>VLOOKUP($L20,PRICES!$A:$CN,81,FALSE)</f>
        <v>153.25003947348156</v>
      </c>
      <c r="E20" s="36">
        <f>VLOOKUP($L20,PRICES!$A:$CN,82,FALSE)</f>
        <v>64.429389942718657</v>
      </c>
      <c r="F20" s="18">
        <f>VLOOKUP($L20,PRICES!$A:$CN,83,FALSE)</f>
        <v>111.90880974679708</v>
      </c>
      <c r="G20" s="25" t="str">
        <f>IF(VLOOKUP($A20,PRICES!$A:$CN,70,FALSE)="Y","Manual Adjusted",IF(VLOOKUP($A20,PRICES!$A:$CN,51,FALSE)="Roll-over","Roll-Over","Modelled"))</f>
        <v>Modelled</v>
      </c>
      <c r="H20" s="43" t="str">
        <f>IF(VLOOKUP($A20,PRICES!$A:$CN,70,FALSE)="Y","Manual Adjusted",IF(VLOOKUP($A20,PRICES!$A:$CN,52,FALSE)="Roll-over","Roll-Over","Modelled"))</f>
        <v>Modelled</v>
      </c>
      <c r="I20" s="43" t="str">
        <f>IF(VLOOKUP($A20,PRICES!$A:$CN,70,FALSE)="Y","Manual Adjusted",IF(VLOOKUP($A20,PRICES!$A:$CN,53,FALSE)="Roll-over","Roll-Over","Modelled"))</f>
        <v>Modelled</v>
      </c>
      <c r="J20" s="44" t="str">
        <f>IF(VLOOKUP($A20,PRICES!$A:$CN,70,FALSE)="Y","Manual Adjusted",IF(VLOOKUP($A20,PRICES!$A:$CN,54,FALSE)="Roll-over","Roll-Over","Modelled"))</f>
        <v>Modelled</v>
      </c>
      <c r="L20" s="25">
        <f t="shared" si="0"/>
        <v>160</v>
      </c>
      <c r="M20" s="18" t="str">
        <f t="shared" si="1"/>
        <v>Plastic Surgery</v>
      </c>
      <c r="N20" s="34">
        <f>VLOOKUP($L20,PRICES!$A:$CN,75,FALSE)</f>
        <v>104.43133111258076</v>
      </c>
      <c r="O20" s="36">
        <f>VLOOKUP($L20,PRICES!$A:$CN,76,FALSE)</f>
        <v>153.25003947348156</v>
      </c>
      <c r="P20" s="36">
        <f>VLOOKUP($L20,PRICES!$A:$CN,77,FALSE)</f>
        <v>64.429389942718657</v>
      </c>
      <c r="Q20" s="18">
        <f>VLOOKUP($L20,PRICES!$A:$CN,78,FALSE)</f>
        <v>111.90880974679708</v>
      </c>
      <c r="R20" s="77">
        <f>IF(ISNUMBER(VLOOKUP(A20,#REF!,3,FALSE)),0,IF(ISNA(VLOOKUP(A20,'Manual adjustments'!$A:$S,16,FALSE)),1,1-VLOOKUP(A20,'Manual adjustments'!$A:$S,16,FALSE)))</f>
        <v>1</v>
      </c>
      <c r="S20" s="77">
        <f>IF(ISNUMBER(VLOOKUP(A20,#REF!,4,FALSE)),0,IF(ISNA(VLOOKUP(A20,'Manual adjustments'!$A:$S,17,FALSE)),1,1-VLOOKUP(A20,'Manual adjustments'!$A:$S,17,FALSE)))</f>
        <v>1</v>
      </c>
      <c r="T20" s="77">
        <f>IF(ISNUMBER(VLOOKUP(A20,#REF!,5,FALSE)),0,IF(ISNA(VLOOKUP(A20,'Manual adjustments'!$A:$S,18,FALSE)),1,1-VLOOKUP(A20,'Manual adjustments'!$A:$S,18,FALSE)))</f>
        <v>1</v>
      </c>
      <c r="U20" s="84">
        <f>IF(ISNUMBER(VLOOKUP(A20,#REF!,6,FALSE)),0,IF(ISNA(VLOOKUP(A20,'Manual adjustments'!$A:$S,19,FALSE)),1,1-VLOOKUP(A20,'Manual adjustments'!$A:$S,19,FALSE)))</f>
        <v>1</v>
      </c>
      <c r="W20" s="25">
        <f t="shared" si="2"/>
        <v>160</v>
      </c>
      <c r="X20" s="18" t="str">
        <f t="shared" si="3"/>
        <v>Plastic Surgery</v>
      </c>
      <c r="Y20" s="34">
        <f>IFERROR(VLOOKUP($W20,'Further adjustment'!$A:$Q,7,FALSE),0)</f>
        <v>229186</v>
      </c>
      <c r="Z20" s="36">
        <f>IFERROR(VLOOKUP($W20,'Further adjustment'!$A:$Q,6,FALSE),0)</f>
        <v>12223</v>
      </c>
      <c r="AA20" s="36">
        <f>IFERROR(VLOOKUP($W20,'Further adjustment'!$A:$Q,9,FALSE),0)</f>
        <v>467890</v>
      </c>
      <c r="AB20" s="18">
        <f>IFERROR(VLOOKUP($W20,'Further adjustment'!$A:$Q,8,FALSE),0)</f>
        <v>15370</v>
      </c>
    </row>
    <row r="21" spans="1:28">
      <c r="A21" s="25">
        <f>Mandatory!A19</f>
        <v>170</v>
      </c>
      <c r="B21" s="18" t="str">
        <f>INDEX('201314 RC list'!B:B,MATCH(A21,'201314 RC list'!A:A,0))</f>
        <v>Cardiothoracic Surgery</v>
      </c>
      <c r="C21" s="34">
        <f>VLOOKUP($L21,PRICES!$A:$CN,80,FALSE)</f>
        <v>260.24230968900321</v>
      </c>
      <c r="D21" s="36">
        <f>VLOOKUP($L21,PRICES!$A:$CN,81,FALSE)</f>
        <v>520.48461937800641</v>
      </c>
      <c r="E21" s="36">
        <f>VLOOKUP($L21,PRICES!$A:$CN,82,FALSE)</f>
        <v>204.53744132828871</v>
      </c>
      <c r="F21" s="18">
        <f>VLOOKUP($L21,PRICES!$A:$CN,83,FALSE)</f>
        <v>409.07488265657742</v>
      </c>
      <c r="G21" s="25" t="str">
        <f>IF(VLOOKUP($A21,PRICES!$A:$CN,70,FALSE)="Y","Manual Adjusted",IF(VLOOKUP($A21,PRICES!$A:$CN,51,FALSE)="Roll-over","Roll-Over","Modelled"))</f>
        <v>Modelled</v>
      </c>
      <c r="H21" s="43" t="str">
        <f>IF(VLOOKUP($A21,PRICES!$A:$CN,70,FALSE)="Y","Manual Adjusted",IF(VLOOKUP($A21,PRICES!$A:$CN,52,FALSE)="Roll-over","Roll-Over","Modelled"))</f>
        <v>Modelled</v>
      </c>
      <c r="I21" s="43" t="str">
        <f>IF(VLOOKUP($A21,PRICES!$A:$CN,70,FALSE)="Y","Manual Adjusted",IF(VLOOKUP($A21,PRICES!$A:$CN,53,FALSE)="Roll-over","Roll-Over","Modelled"))</f>
        <v>Modelled</v>
      </c>
      <c r="J21" s="44" t="str">
        <f>IF(VLOOKUP($A21,PRICES!$A:$CN,70,FALSE)="Y","Manual Adjusted",IF(VLOOKUP($A21,PRICES!$A:$CN,54,FALSE)="Roll-over","Roll-Over","Modelled"))</f>
        <v>Modelled</v>
      </c>
      <c r="L21" s="25">
        <f t="shared" si="0"/>
        <v>170</v>
      </c>
      <c r="M21" s="18" t="str">
        <f t="shared" si="1"/>
        <v>Cardiothoracic Surgery</v>
      </c>
      <c r="N21" s="34">
        <f>VLOOKUP($L21,PRICES!$A:$CN,75,FALSE)</f>
        <v>260.24230968900321</v>
      </c>
      <c r="O21" s="36">
        <f>VLOOKUP($L21,PRICES!$A:$CN,76,FALSE)</f>
        <v>520.48461937800641</v>
      </c>
      <c r="P21" s="36">
        <f>VLOOKUP($L21,PRICES!$A:$CN,77,FALSE)</f>
        <v>204.53744132828871</v>
      </c>
      <c r="Q21" s="18">
        <f>VLOOKUP($L21,PRICES!$A:$CN,78,FALSE)</f>
        <v>409.07488265657742</v>
      </c>
      <c r="R21" s="77">
        <f>IF(ISNUMBER(VLOOKUP(A21,#REF!,3,FALSE)),0,IF(ISNA(VLOOKUP(A21,'Manual adjustments'!$A:$S,16,FALSE)),1,1-VLOOKUP(A21,'Manual adjustments'!$A:$S,16,FALSE)))</f>
        <v>1</v>
      </c>
      <c r="S21" s="77">
        <f>IF(ISNUMBER(VLOOKUP(A21,#REF!,4,FALSE)),0,IF(ISNA(VLOOKUP(A21,'Manual adjustments'!$A:$S,17,FALSE)),1,1-VLOOKUP(A21,'Manual adjustments'!$A:$S,17,FALSE)))</f>
        <v>1</v>
      </c>
      <c r="T21" s="77">
        <f>IF(ISNUMBER(VLOOKUP(A21,#REF!,5,FALSE)),0,IF(ISNA(VLOOKUP(A21,'Manual adjustments'!$A:$S,18,FALSE)),1,1-VLOOKUP(A21,'Manual adjustments'!$A:$S,18,FALSE)))</f>
        <v>1</v>
      </c>
      <c r="U21" s="84">
        <f>IF(ISNUMBER(VLOOKUP(A21,#REF!,6,FALSE)),0,IF(ISNA(VLOOKUP(A21,'Manual adjustments'!$A:$S,19,FALSE)),1,1-VLOOKUP(A21,'Manual adjustments'!$A:$S,19,FALSE)))</f>
        <v>1</v>
      </c>
      <c r="W21" s="25">
        <f t="shared" si="2"/>
        <v>170</v>
      </c>
      <c r="X21" s="18" t="str">
        <f t="shared" si="3"/>
        <v>Cardiothoracic Surgery</v>
      </c>
      <c r="Y21" s="34">
        <f>IFERROR(VLOOKUP($W21,'Further adjustment'!$A:$Q,7,FALSE),0)</f>
        <v>23738</v>
      </c>
      <c r="Z21" s="36">
        <f>IFERROR(VLOOKUP($W21,'Further adjustment'!$A:$Q,6,FALSE),0)</f>
        <v>243</v>
      </c>
      <c r="AA21" s="36">
        <f>IFERROR(VLOOKUP($W21,'Further adjustment'!$A:$Q,9,FALSE),0)</f>
        <v>37877</v>
      </c>
      <c r="AB21" s="18">
        <f>IFERROR(VLOOKUP($W21,'Further adjustment'!$A:$Q,8,FALSE),0)</f>
        <v>487</v>
      </c>
    </row>
    <row r="22" spans="1:28">
      <c r="A22" s="25">
        <f>Mandatory!A20</f>
        <v>171</v>
      </c>
      <c r="B22" s="18" t="str">
        <f>INDEX('201314 RC list'!B:B,MATCH(A22,'201314 RC list'!A:A,0))</f>
        <v>Paediatric Surgery</v>
      </c>
      <c r="C22" s="34">
        <f>VLOOKUP($L22,PRICES!$A:$CN,80,FALSE)</f>
        <v>151.31419495327381</v>
      </c>
      <c r="D22" s="36">
        <f>VLOOKUP($L22,PRICES!$A:$CN,81,FALSE)</f>
        <v>170.89079286655041</v>
      </c>
      <c r="E22" s="36">
        <f>VLOOKUP($L22,PRICES!$A:$CN,82,FALSE)</f>
        <v>103.59659066174052</v>
      </c>
      <c r="F22" s="18">
        <f>VLOOKUP($L22,PRICES!$A:$CN,83,FALSE)</f>
        <v>136.65388630805941</v>
      </c>
      <c r="G22" s="25" t="str">
        <f>IF(VLOOKUP($A22,PRICES!$A:$CN,70,FALSE)="Y","Manual Adjusted",IF(VLOOKUP($A22,PRICES!$A:$CN,51,FALSE)="Roll-over","Roll-Over","Modelled"))</f>
        <v>Modelled</v>
      </c>
      <c r="H22" s="43" t="str">
        <f>IF(VLOOKUP($A22,PRICES!$A:$CN,70,FALSE)="Y","Manual Adjusted",IF(VLOOKUP($A22,PRICES!$A:$CN,52,FALSE)="Roll-over","Roll-Over","Modelled"))</f>
        <v>Modelled</v>
      </c>
      <c r="I22" s="43" t="str">
        <f>IF(VLOOKUP($A22,PRICES!$A:$CN,70,FALSE)="Y","Manual Adjusted",IF(VLOOKUP($A22,PRICES!$A:$CN,53,FALSE)="Roll-over","Roll-Over","Modelled"))</f>
        <v>Modelled</v>
      </c>
      <c r="J22" s="44" t="str">
        <f>IF(VLOOKUP($A22,PRICES!$A:$CN,70,FALSE)="Y","Manual Adjusted",IF(VLOOKUP($A22,PRICES!$A:$CN,54,FALSE)="Roll-over","Roll-Over","Modelled"))</f>
        <v>Modelled</v>
      </c>
      <c r="L22" s="25">
        <f t="shared" si="0"/>
        <v>171</v>
      </c>
      <c r="M22" s="18" t="str">
        <f t="shared" si="1"/>
        <v>Paediatric Surgery</v>
      </c>
      <c r="N22" s="34">
        <f>VLOOKUP($L22,PRICES!$A:$CN,75,FALSE)</f>
        <v>151.31419495327381</v>
      </c>
      <c r="O22" s="36">
        <f>VLOOKUP($L22,PRICES!$A:$CN,76,FALSE)</f>
        <v>170.89079286655041</v>
      </c>
      <c r="P22" s="36">
        <f>VLOOKUP($L22,PRICES!$A:$CN,77,FALSE)</f>
        <v>103.59659066174052</v>
      </c>
      <c r="Q22" s="18">
        <f>VLOOKUP($L22,PRICES!$A:$CN,78,FALSE)</f>
        <v>136.65388630805941</v>
      </c>
      <c r="R22" s="77">
        <f>IF(ISNUMBER(VLOOKUP(A22,#REF!,3,FALSE)),0,IF(ISNA(VLOOKUP(A22,'Manual adjustments'!$A:$S,16,FALSE)),1,1-VLOOKUP(A22,'Manual adjustments'!$A:$S,16,FALSE)))</f>
        <v>1</v>
      </c>
      <c r="S22" s="77">
        <f>IF(ISNUMBER(VLOOKUP(A22,#REF!,4,FALSE)),0,IF(ISNA(VLOOKUP(A22,'Manual adjustments'!$A:$S,17,FALSE)),1,1-VLOOKUP(A22,'Manual adjustments'!$A:$S,17,FALSE)))</f>
        <v>1</v>
      </c>
      <c r="T22" s="77">
        <f>IF(ISNUMBER(VLOOKUP(A22,#REF!,5,FALSE)),0,IF(ISNA(VLOOKUP(A22,'Manual adjustments'!$A:$S,18,FALSE)),1,1-VLOOKUP(A22,'Manual adjustments'!$A:$S,18,FALSE)))</f>
        <v>1</v>
      </c>
      <c r="U22" s="84">
        <f>IF(ISNUMBER(VLOOKUP(A22,#REF!,6,FALSE)),0,IF(ISNA(VLOOKUP(A22,'Manual adjustments'!$A:$S,19,FALSE)),1,1-VLOOKUP(A22,'Manual adjustments'!$A:$S,19,FALSE)))</f>
        <v>1</v>
      </c>
      <c r="W22" s="25">
        <f t="shared" si="2"/>
        <v>171</v>
      </c>
      <c r="X22" s="18" t="str">
        <f t="shared" si="3"/>
        <v>Paediatric Surgery</v>
      </c>
      <c r="Y22" s="34">
        <f>IFERROR(VLOOKUP($W22,'Further adjustment'!$A:$Q,7,FALSE),0)</f>
        <v>53905</v>
      </c>
      <c r="Z22" s="36">
        <f>IFERROR(VLOOKUP($W22,'Further adjustment'!$A:$Q,6,FALSE),0)</f>
        <v>967</v>
      </c>
      <c r="AA22" s="36">
        <f>IFERROR(VLOOKUP($W22,'Further adjustment'!$A:$Q,9,FALSE),0)</f>
        <v>69188</v>
      </c>
      <c r="AB22" s="18">
        <f>IFERROR(VLOOKUP($W22,'Further adjustment'!$A:$Q,8,FALSE),0)</f>
        <v>1627</v>
      </c>
    </row>
    <row r="23" spans="1:28">
      <c r="A23" s="25">
        <f>Mandatory!A21</f>
        <v>172</v>
      </c>
      <c r="B23" s="18" t="str">
        <f>INDEX('201314 RC list'!B:B,MATCH(A23,'201314 RC list'!A:A,0))</f>
        <v>Cardiac Surgery</v>
      </c>
      <c r="C23" s="34">
        <f>VLOOKUP($L23,PRICES!$A:$CN,80,FALSE)</f>
        <v>286.21823194022642</v>
      </c>
      <c r="D23" s="36">
        <f>VLOOKUP($L23,PRICES!$A:$CN,81,FALSE)</f>
        <v>286.21823194022642</v>
      </c>
      <c r="E23" s="36">
        <f>VLOOKUP($L23,PRICES!$A:$CN,82,FALSE)</f>
        <v>202.19550910194545</v>
      </c>
      <c r="F23" s="18">
        <f>VLOOKUP($L23,PRICES!$A:$CN,83,FALSE)</f>
        <v>202.19550910194545</v>
      </c>
      <c r="G23" s="25" t="str">
        <f>IF(VLOOKUP($A23,PRICES!$A:$CN,70,FALSE)="Y","Manual Adjusted",IF(VLOOKUP($A23,PRICES!$A:$CN,51,FALSE)="Roll-over","Roll-Over","Modelled"))</f>
        <v>Modelled</v>
      </c>
      <c r="H23" s="43" t="str">
        <f>IF(VLOOKUP($A23,PRICES!$A:$CN,70,FALSE)="Y","Manual Adjusted",IF(VLOOKUP($A23,PRICES!$A:$CN,52,FALSE)="Roll-over","Roll-Over","Modelled"))</f>
        <v>Modelled</v>
      </c>
      <c r="I23" s="43" t="str">
        <f>IF(VLOOKUP($A23,PRICES!$A:$CN,70,FALSE)="Y","Manual Adjusted",IF(VLOOKUP($A23,PRICES!$A:$CN,53,FALSE)="Roll-over","Roll-Over","Modelled"))</f>
        <v>Modelled</v>
      </c>
      <c r="J23" s="44" t="str">
        <f>IF(VLOOKUP($A23,PRICES!$A:$CN,70,FALSE)="Y","Manual Adjusted",IF(VLOOKUP($A23,PRICES!$A:$CN,54,FALSE)="Roll-over","Roll-Over","Modelled"))</f>
        <v>Modelled</v>
      </c>
      <c r="L23" s="25">
        <f t="shared" si="0"/>
        <v>172</v>
      </c>
      <c r="M23" s="18" t="str">
        <f t="shared" si="1"/>
        <v>Cardiac Surgery</v>
      </c>
      <c r="N23" s="34">
        <f>VLOOKUP($L23,PRICES!$A:$CN,75,FALSE)</f>
        <v>286.21823194022642</v>
      </c>
      <c r="O23" s="36">
        <f>VLOOKUP($L23,PRICES!$A:$CN,76,FALSE)</f>
        <v>286.21823194022642</v>
      </c>
      <c r="P23" s="36">
        <f>VLOOKUP($L23,PRICES!$A:$CN,77,FALSE)</f>
        <v>202.19550910194545</v>
      </c>
      <c r="Q23" s="18">
        <f>VLOOKUP($L23,PRICES!$A:$CN,78,FALSE)</f>
        <v>202.19550910194545</v>
      </c>
      <c r="R23" s="77">
        <f>IF(ISNUMBER(VLOOKUP(A23,#REF!,3,FALSE)),0,IF(ISNA(VLOOKUP(A23,'Manual adjustments'!$A:$S,16,FALSE)),1,1-VLOOKUP(A23,'Manual adjustments'!$A:$S,16,FALSE)))</f>
        <v>1</v>
      </c>
      <c r="S23" s="77">
        <f>IF(ISNUMBER(VLOOKUP(A23,#REF!,4,FALSE)),0,IF(ISNA(VLOOKUP(A23,'Manual adjustments'!$A:$S,17,FALSE)),1,1-VLOOKUP(A23,'Manual adjustments'!$A:$S,17,FALSE)))</f>
        <v>1</v>
      </c>
      <c r="T23" s="77">
        <f>IF(ISNUMBER(VLOOKUP(A23,#REF!,5,FALSE)),0,IF(ISNA(VLOOKUP(A23,'Manual adjustments'!$A:$S,18,FALSE)),1,1-VLOOKUP(A23,'Manual adjustments'!$A:$S,18,FALSE)))</f>
        <v>1</v>
      </c>
      <c r="U23" s="84">
        <f>IF(ISNUMBER(VLOOKUP(A23,#REF!,6,FALSE)),0,IF(ISNA(VLOOKUP(A23,'Manual adjustments'!$A:$S,19,FALSE)),1,1-VLOOKUP(A23,'Manual adjustments'!$A:$S,19,FALSE)))</f>
        <v>1</v>
      </c>
      <c r="W23" s="25">
        <f t="shared" si="2"/>
        <v>172</v>
      </c>
      <c r="X23" s="18" t="str">
        <f t="shared" si="3"/>
        <v>Cardiac Surgery</v>
      </c>
      <c r="Y23" s="34">
        <f>IFERROR(VLOOKUP($W23,'Further adjustment'!$A:$Q,7,FALSE),0)</f>
        <v>15076</v>
      </c>
      <c r="Z23" s="36">
        <f>IFERROR(VLOOKUP($W23,'Further adjustment'!$A:$Q,6,FALSE),0)</f>
        <v>1245</v>
      </c>
      <c r="AA23" s="36">
        <f>IFERROR(VLOOKUP($W23,'Further adjustment'!$A:$Q,9,FALSE),0)</f>
        <v>24908</v>
      </c>
      <c r="AB23" s="18">
        <f>IFERROR(VLOOKUP($W23,'Further adjustment'!$A:$Q,8,FALSE),0)</f>
        <v>2704</v>
      </c>
    </row>
    <row r="24" spans="1:28">
      <c r="A24" s="25">
        <f>Mandatory!A22</f>
        <v>173</v>
      </c>
      <c r="B24" s="18" t="str">
        <f>INDEX('201314 RC list'!B:B,MATCH(A24,'201314 RC list'!A:A,0))</f>
        <v>Thoracic Surgery</v>
      </c>
      <c r="C24" s="34">
        <f>VLOOKUP($L24,PRICES!$A:$CN,80,FALSE)</f>
        <v>230.60337263095258</v>
      </c>
      <c r="D24" s="36">
        <f>VLOOKUP($L24,PRICES!$A:$CN,81,FALSE)</f>
        <v>231.68318822590211</v>
      </c>
      <c r="E24" s="36">
        <f>VLOOKUP($L24,PRICES!$A:$CN,82,FALSE)</f>
        <v>150.20372887210135</v>
      </c>
      <c r="F24" s="18">
        <f>VLOOKUP($L24,PRICES!$A:$CN,83,FALSE)</f>
        <v>150.92523099953422</v>
      </c>
      <c r="G24" s="25" t="str">
        <f>IF(VLOOKUP($A24,PRICES!$A:$CN,70,FALSE)="Y","Manual Adjusted",IF(VLOOKUP($A24,PRICES!$A:$CN,51,FALSE)="Roll-over","Roll-Over","Modelled"))</f>
        <v>Modelled</v>
      </c>
      <c r="H24" s="43" t="str">
        <f>IF(VLOOKUP($A24,PRICES!$A:$CN,70,FALSE)="Y","Manual Adjusted",IF(VLOOKUP($A24,PRICES!$A:$CN,52,FALSE)="Roll-over","Roll-Over","Modelled"))</f>
        <v>Modelled</v>
      </c>
      <c r="I24" s="43" t="str">
        <f>IF(VLOOKUP($A24,PRICES!$A:$CN,70,FALSE)="Y","Manual Adjusted",IF(VLOOKUP($A24,PRICES!$A:$CN,53,FALSE)="Roll-over","Roll-Over","Modelled"))</f>
        <v>Modelled</v>
      </c>
      <c r="J24" s="44" t="str">
        <f>IF(VLOOKUP($A24,PRICES!$A:$CN,70,FALSE)="Y","Manual Adjusted",IF(VLOOKUP($A24,PRICES!$A:$CN,54,FALSE)="Roll-over","Roll-Over","Modelled"))</f>
        <v>Modelled</v>
      </c>
      <c r="L24" s="25">
        <f t="shared" si="0"/>
        <v>173</v>
      </c>
      <c r="M24" s="18" t="str">
        <f t="shared" si="1"/>
        <v>Thoracic Surgery</v>
      </c>
      <c r="N24" s="34">
        <f>VLOOKUP($L24,PRICES!$A:$CN,75,FALSE)</f>
        <v>230.60337263095258</v>
      </c>
      <c r="O24" s="36">
        <f>VLOOKUP($L24,PRICES!$A:$CN,76,FALSE)</f>
        <v>231.68318822590211</v>
      </c>
      <c r="P24" s="36">
        <f>VLOOKUP($L24,PRICES!$A:$CN,77,FALSE)</f>
        <v>150.20372887210135</v>
      </c>
      <c r="Q24" s="18">
        <f>VLOOKUP($L24,PRICES!$A:$CN,78,FALSE)</f>
        <v>150.92523099953422</v>
      </c>
      <c r="R24" s="77">
        <f>IF(ISNUMBER(VLOOKUP(A24,#REF!,3,FALSE)),0,IF(ISNA(VLOOKUP(A24,'Manual adjustments'!$A:$S,16,FALSE)),1,1-VLOOKUP(A24,'Manual adjustments'!$A:$S,16,FALSE)))</f>
        <v>1</v>
      </c>
      <c r="S24" s="77">
        <f>IF(ISNUMBER(VLOOKUP(A24,#REF!,4,FALSE)),0,IF(ISNA(VLOOKUP(A24,'Manual adjustments'!$A:$S,17,FALSE)),1,1-VLOOKUP(A24,'Manual adjustments'!$A:$S,17,FALSE)))</f>
        <v>1</v>
      </c>
      <c r="T24" s="77">
        <f>IF(ISNUMBER(VLOOKUP(A24,#REF!,5,FALSE)),0,IF(ISNA(VLOOKUP(A24,'Manual adjustments'!$A:$S,18,FALSE)),1,1-VLOOKUP(A24,'Manual adjustments'!$A:$S,18,FALSE)))</f>
        <v>1</v>
      </c>
      <c r="U24" s="84">
        <f>IF(ISNUMBER(VLOOKUP(A24,#REF!,6,FALSE)),0,IF(ISNA(VLOOKUP(A24,'Manual adjustments'!$A:$S,19,FALSE)),1,1-VLOOKUP(A24,'Manual adjustments'!$A:$S,19,FALSE)))</f>
        <v>1</v>
      </c>
      <c r="W24" s="25">
        <f t="shared" si="2"/>
        <v>173</v>
      </c>
      <c r="X24" s="18" t="str">
        <f t="shared" si="3"/>
        <v>Thoracic Surgery</v>
      </c>
      <c r="Y24" s="34">
        <f>IFERROR(VLOOKUP($W24,'Further adjustment'!$A:$Q,7,FALSE),0)</f>
        <v>8947</v>
      </c>
      <c r="Z24" s="36">
        <f>IFERROR(VLOOKUP($W24,'Further adjustment'!$A:$Q,6,FALSE),0)</f>
        <v>219</v>
      </c>
      <c r="AA24" s="36">
        <f>IFERROR(VLOOKUP($W24,'Further adjustment'!$A:$Q,9,FALSE),0)</f>
        <v>20935</v>
      </c>
      <c r="AB24" s="18">
        <f>IFERROR(VLOOKUP($W24,'Further adjustment'!$A:$Q,8,FALSE),0)</f>
        <v>225</v>
      </c>
    </row>
    <row r="25" spans="1:28">
      <c r="A25" s="25">
        <f>Mandatory!A23</f>
        <v>190</v>
      </c>
      <c r="B25" s="18" t="str">
        <f>INDEX('201314 RC list'!B:B,MATCH(A25,'201314 RC list'!A:A,0))</f>
        <v>Anaesthetics</v>
      </c>
      <c r="C25" s="34">
        <f>VLOOKUP($L25,PRICES!$A:$CN,80,FALSE)</f>
        <v>117.26660424869779</v>
      </c>
      <c r="D25" s="36">
        <f>VLOOKUP($L25,PRICES!$A:$CN,81,FALSE)</f>
        <v>219.22160951645816</v>
      </c>
      <c r="E25" s="36">
        <f>VLOOKUP($L25,PRICES!$A:$CN,82,FALSE)</f>
        <v>67.698791299930079</v>
      </c>
      <c r="F25" s="18">
        <f>VLOOKUP($L25,PRICES!$A:$CN,83,FALSE)</f>
        <v>92.547968039257654</v>
      </c>
      <c r="G25" s="25" t="str">
        <f>IF(VLOOKUP($A25,PRICES!$A:$CN,70,FALSE)="Y","Manual Adjusted",IF(VLOOKUP($A25,PRICES!$A:$CN,51,FALSE)="Roll-over","Roll-Over","Modelled"))</f>
        <v>Modelled</v>
      </c>
      <c r="H25" s="43" t="str">
        <f>IF(VLOOKUP($A25,PRICES!$A:$CN,70,FALSE)="Y","Manual Adjusted",IF(VLOOKUP($A25,PRICES!$A:$CN,52,FALSE)="Roll-over","Roll-Over","Modelled"))</f>
        <v>Modelled</v>
      </c>
      <c r="I25" s="43" t="str">
        <f>IF(VLOOKUP($A25,PRICES!$A:$CN,70,FALSE)="Y","Manual Adjusted",IF(VLOOKUP($A25,PRICES!$A:$CN,53,FALSE)="Roll-over","Roll-Over","Modelled"))</f>
        <v>Modelled</v>
      </c>
      <c r="J25" s="44" t="str">
        <f>IF(VLOOKUP($A25,PRICES!$A:$CN,70,FALSE)="Y","Manual Adjusted",IF(VLOOKUP($A25,PRICES!$A:$CN,54,FALSE)="Roll-over","Roll-Over","Modelled"))</f>
        <v>Modelled</v>
      </c>
      <c r="L25" s="25">
        <f t="shared" si="0"/>
        <v>190</v>
      </c>
      <c r="M25" s="18" t="str">
        <f t="shared" si="1"/>
        <v>Anaesthetics</v>
      </c>
      <c r="N25" s="34">
        <f>VLOOKUP($L25,PRICES!$A:$CN,75,FALSE)</f>
        <v>117.26660424869779</v>
      </c>
      <c r="O25" s="36">
        <f>VLOOKUP($L25,PRICES!$A:$CN,76,FALSE)</f>
        <v>219.22160951645816</v>
      </c>
      <c r="P25" s="36">
        <f>VLOOKUP($L25,PRICES!$A:$CN,77,FALSE)</f>
        <v>67.698791299930079</v>
      </c>
      <c r="Q25" s="18">
        <f>VLOOKUP($L25,PRICES!$A:$CN,78,FALSE)</f>
        <v>92.547968039257654</v>
      </c>
      <c r="R25" s="77">
        <f>IF(ISNUMBER(VLOOKUP(A25,#REF!,3,FALSE)),0,IF(ISNA(VLOOKUP(A25,'Manual adjustments'!$A:$S,16,FALSE)),1,1-VLOOKUP(A25,'Manual adjustments'!$A:$S,16,FALSE)))</f>
        <v>1</v>
      </c>
      <c r="S25" s="77">
        <f>IF(ISNUMBER(VLOOKUP(A25,#REF!,4,FALSE)),0,IF(ISNA(VLOOKUP(A25,'Manual adjustments'!$A:$S,17,FALSE)),1,1-VLOOKUP(A25,'Manual adjustments'!$A:$S,17,FALSE)))</f>
        <v>1</v>
      </c>
      <c r="T25" s="77">
        <f>IF(ISNUMBER(VLOOKUP(A25,#REF!,5,FALSE)),0,IF(ISNA(VLOOKUP(A25,'Manual adjustments'!$A:$S,18,FALSE)),1,1-VLOOKUP(A25,'Manual adjustments'!$A:$S,18,FALSE)))</f>
        <v>1</v>
      </c>
      <c r="U25" s="84">
        <f>IF(ISNUMBER(VLOOKUP(A25,#REF!,6,FALSE)),0,IF(ISNA(VLOOKUP(A25,'Manual adjustments'!$A:$S,19,FALSE)),1,1-VLOOKUP(A25,'Manual adjustments'!$A:$S,19,FALSE)))</f>
        <v>1</v>
      </c>
      <c r="W25" s="25">
        <f t="shared" si="2"/>
        <v>190</v>
      </c>
      <c r="X25" s="18" t="str">
        <f t="shared" si="3"/>
        <v>Anaesthetics</v>
      </c>
      <c r="Y25" s="34">
        <f>IFERROR(VLOOKUP($W25,'Further adjustment'!$A:$Q,7,FALSE),0)</f>
        <v>87983</v>
      </c>
      <c r="Z25" s="36">
        <f>IFERROR(VLOOKUP($W25,'Further adjustment'!$A:$Q,6,FALSE),0)</f>
        <v>330</v>
      </c>
      <c r="AA25" s="36">
        <f>IFERROR(VLOOKUP($W25,'Further adjustment'!$A:$Q,9,FALSE),0)</f>
        <v>142753</v>
      </c>
      <c r="AB25" s="18">
        <f>IFERROR(VLOOKUP($W25,'Further adjustment'!$A:$Q,8,FALSE),0)</f>
        <v>2008</v>
      </c>
    </row>
    <row r="26" spans="1:28">
      <c r="A26" s="25">
        <f>Mandatory!A24</f>
        <v>191</v>
      </c>
      <c r="B26" s="18" t="str">
        <f>INDEX('201314 RC list'!B:B,MATCH(A26,'201314 RC list'!A:A,0))</f>
        <v>Pain Management</v>
      </c>
      <c r="C26" s="34">
        <f>VLOOKUP($L26,PRICES!$A:$CN,80,FALSE)</f>
        <v>157.49247230382991</v>
      </c>
      <c r="D26" s="36">
        <f>VLOOKUP($L26,PRICES!$A:$CN,81,FALSE)</f>
        <v>166.06856575736936</v>
      </c>
      <c r="E26" s="36">
        <f>VLOOKUP($L26,PRICES!$A:$CN,82,FALSE)</f>
        <v>91.879095860175312</v>
      </c>
      <c r="F26" s="18">
        <f>VLOOKUP($L26,PRICES!$A:$CN,83,FALSE)</f>
        <v>118.93710587472907</v>
      </c>
      <c r="G26" s="25" t="str">
        <f>IF(VLOOKUP($A26,PRICES!$A:$CN,70,FALSE)="Y","Manual Adjusted",IF(VLOOKUP($A26,PRICES!$A:$CN,51,FALSE)="Roll-over","Roll-Over","Modelled"))</f>
        <v>Modelled</v>
      </c>
      <c r="H26" s="43" t="str">
        <f>IF(VLOOKUP($A26,PRICES!$A:$CN,70,FALSE)="Y","Manual Adjusted",IF(VLOOKUP($A26,PRICES!$A:$CN,52,FALSE)="Roll-over","Roll-Over","Modelled"))</f>
        <v>Modelled</v>
      </c>
      <c r="I26" s="43" t="str">
        <f>IF(VLOOKUP($A26,PRICES!$A:$CN,70,FALSE)="Y","Manual Adjusted",IF(VLOOKUP($A26,PRICES!$A:$CN,53,FALSE)="Roll-over","Roll-Over","Modelled"))</f>
        <v>Modelled</v>
      </c>
      <c r="J26" s="44" t="str">
        <f>IF(VLOOKUP($A26,PRICES!$A:$CN,70,FALSE)="Y","Manual Adjusted",IF(VLOOKUP($A26,PRICES!$A:$CN,54,FALSE)="Roll-over","Roll-Over","Modelled"))</f>
        <v>Modelled</v>
      </c>
      <c r="L26" s="25">
        <f t="shared" si="0"/>
        <v>191</v>
      </c>
      <c r="M26" s="18" t="str">
        <f t="shared" si="1"/>
        <v>Pain Management</v>
      </c>
      <c r="N26" s="34">
        <f>VLOOKUP($L26,PRICES!$A:$CN,75,FALSE)</f>
        <v>157.49247230382991</v>
      </c>
      <c r="O26" s="36">
        <f>VLOOKUP($L26,PRICES!$A:$CN,76,FALSE)</f>
        <v>166.06856575736936</v>
      </c>
      <c r="P26" s="36">
        <f>VLOOKUP($L26,PRICES!$A:$CN,77,FALSE)</f>
        <v>91.879095860175312</v>
      </c>
      <c r="Q26" s="18">
        <f>VLOOKUP($L26,PRICES!$A:$CN,78,FALSE)</f>
        <v>118.93710587472907</v>
      </c>
      <c r="R26" s="77">
        <f>IF(ISNUMBER(VLOOKUP(A26,#REF!,3,FALSE)),0,IF(ISNA(VLOOKUP(A26,'Manual adjustments'!$A:$S,16,FALSE)),1,1-VLOOKUP(A26,'Manual adjustments'!$A:$S,16,FALSE)))</f>
        <v>1</v>
      </c>
      <c r="S26" s="77">
        <f>IF(ISNUMBER(VLOOKUP(A26,#REF!,4,FALSE)),0,IF(ISNA(VLOOKUP(A26,'Manual adjustments'!$A:$S,17,FALSE)),1,1-VLOOKUP(A26,'Manual adjustments'!$A:$S,17,FALSE)))</f>
        <v>1</v>
      </c>
      <c r="T26" s="77">
        <f>IF(ISNUMBER(VLOOKUP(A26,#REF!,5,FALSE)),0,IF(ISNA(VLOOKUP(A26,'Manual adjustments'!$A:$S,18,FALSE)),1,1-VLOOKUP(A26,'Manual adjustments'!$A:$S,18,FALSE)))</f>
        <v>1</v>
      </c>
      <c r="U26" s="84">
        <f>IF(ISNUMBER(VLOOKUP(A26,#REF!,6,FALSE)),0,IF(ISNA(VLOOKUP(A26,'Manual adjustments'!$A:$S,19,FALSE)),1,1-VLOOKUP(A26,'Manual adjustments'!$A:$S,19,FALSE)))</f>
        <v>1</v>
      </c>
      <c r="W26" s="25">
        <f t="shared" si="2"/>
        <v>191</v>
      </c>
      <c r="X26" s="18" t="str">
        <f t="shared" si="3"/>
        <v>Pain Management</v>
      </c>
      <c r="Y26" s="34">
        <f>IFERROR(VLOOKUP($W26,'Further adjustment'!$A:$Q,7,FALSE),0)</f>
        <v>191748</v>
      </c>
      <c r="Z26" s="36">
        <f>IFERROR(VLOOKUP($W26,'Further adjustment'!$A:$Q,6,FALSE),0)</f>
        <v>5677</v>
      </c>
      <c r="AA26" s="36">
        <f>IFERROR(VLOOKUP($W26,'Further adjustment'!$A:$Q,9,FALSE),0)</f>
        <v>345050</v>
      </c>
      <c r="AB26" s="18">
        <f>IFERROR(VLOOKUP($W26,'Further adjustment'!$A:$Q,8,FALSE),0)</f>
        <v>5322</v>
      </c>
    </row>
    <row r="27" spans="1:28">
      <c r="A27" s="25">
        <f>Mandatory!A25</f>
        <v>211</v>
      </c>
      <c r="B27" s="18" t="str">
        <f>INDEX('201314 RC list'!B:B,MATCH(A27,'201314 RC list'!A:A,0))</f>
        <v>Paediatric Urology</v>
      </c>
      <c r="C27" s="34">
        <f>VLOOKUP($L27,PRICES!$A:$CN,80,FALSE)</f>
        <v>142.90146319221569</v>
      </c>
      <c r="D27" s="36">
        <f>VLOOKUP($L27,PRICES!$A:$CN,81,FALSE)</f>
        <v>179.2280126861549</v>
      </c>
      <c r="E27" s="36">
        <f>VLOOKUP($L27,PRICES!$A:$CN,82,FALSE)</f>
        <v>91.595419642209322</v>
      </c>
      <c r="F27" s="18">
        <f>VLOOKUP($L27,PRICES!$A:$CN,83,FALSE)</f>
        <v>112.72405176857377</v>
      </c>
      <c r="G27" s="25" t="str">
        <f>IF(VLOOKUP($A27,PRICES!$A:$CN,70,FALSE)="Y","Manual Adjusted",IF(VLOOKUP($A27,PRICES!$A:$CN,51,FALSE)="Roll-over","Roll-Over","Modelled"))</f>
        <v>Modelled</v>
      </c>
      <c r="H27" s="43" t="str">
        <f>IF(VLOOKUP($A27,PRICES!$A:$CN,70,FALSE)="Y","Manual Adjusted",IF(VLOOKUP($A27,PRICES!$A:$CN,52,FALSE)="Roll-over","Roll-Over","Modelled"))</f>
        <v>Modelled</v>
      </c>
      <c r="I27" s="43" t="str">
        <f>IF(VLOOKUP($A27,PRICES!$A:$CN,70,FALSE)="Y","Manual Adjusted",IF(VLOOKUP($A27,PRICES!$A:$CN,53,FALSE)="Roll-over","Roll-Over","Modelled"))</f>
        <v>Modelled</v>
      </c>
      <c r="J27" s="44" t="str">
        <f>IF(VLOOKUP($A27,PRICES!$A:$CN,70,FALSE)="Y","Manual Adjusted",IF(VLOOKUP($A27,PRICES!$A:$CN,54,FALSE)="Roll-over","Roll-Over","Modelled"))</f>
        <v>Modelled</v>
      </c>
      <c r="L27" s="25">
        <f t="shared" si="0"/>
        <v>211</v>
      </c>
      <c r="M27" s="18" t="str">
        <f t="shared" si="1"/>
        <v>Paediatric Urology</v>
      </c>
      <c r="N27" s="34">
        <f>VLOOKUP($L27,PRICES!$A:$CN,75,FALSE)</f>
        <v>142.90146319221569</v>
      </c>
      <c r="O27" s="36">
        <f>VLOOKUP($L27,PRICES!$A:$CN,76,FALSE)</f>
        <v>179.2280126861549</v>
      </c>
      <c r="P27" s="36">
        <f>VLOOKUP($L27,PRICES!$A:$CN,77,FALSE)</f>
        <v>91.595419642209322</v>
      </c>
      <c r="Q27" s="18">
        <f>VLOOKUP($L27,PRICES!$A:$CN,78,FALSE)</f>
        <v>112.72405176857377</v>
      </c>
      <c r="R27" s="77">
        <f>IF(ISNUMBER(VLOOKUP(A27,#REF!,3,FALSE)),0,IF(ISNA(VLOOKUP(A27,'Manual adjustments'!$A:$S,16,FALSE)),1,1-VLOOKUP(A27,'Manual adjustments'!$A:$S,16,FALSE)))</f>
        <v>1</v>
      </c>
      <c r="S27" s="77">
        <f>IF(ISNUMBER(VLOOKUP(A27,#REF!,4,FALSE)),0,IF(ISNA(VLOOKUP(A27,'Manual adjustments'!$A:$S,17,FALSE)),1,1-VLOOKUP(A27,'Manual adjustments'!$A:$S,17,FALSE)))</f>
        <v>1</v>
      </c>
      <c r="T27" s="77">
        <f>IF(ISNUMBER(VLOOKUP(A27,#REF!,5,FALSE)),0,IF(ISNA(VLOOKUP(A27,'Manual adjustments'!$A:$S,18,FALSE)),1,1-VLOOKUP(A27,'Manual adjustments'!$A:$S,18,FALSE)))</f>
        <v>1</v>
      </c>
      <c r="U27" s="84">
        <f>IF(ISNUMBER(VLOOKUP(A27,#REF!,6,FALSE)),0,IF(ISNA(VLOOKUP(A27,'Manual adjustments'!$A:$S,19,FALSE)),1,1-VLOOKUP(A27,'Manual adjustments'!$A:$S,19,FALSE)))</f>
        <v>1</v>
      </c>
      <c r="W27" s="25">
        <f t="shared" si="2"/>
        <v>211</v>
      </c>
      <c r="X27" s="18" t="str">
        <f t="shared" si="3"/>
        <v>Paediatric Urology</v>
      </c>
      <c r="Y27" s="34">
        <f>IFERROR(VLOOKUP($W27,'Further adjustment'!$A:$Q,7,FALSE),0)</f>
        <v>17256</v>
      </c>
      <c r="Z27" s="36">
        <f>IFERROR(VLOOKUP($W27,'Further adjustment'!$A:$Q,6,FALSE),0)</f>
        <v>291</v>
      </c>
      <c r="AA27" s="36">
        <f>IFERROR(VLOOKUP($W27,'Further adjustment'!$A:$Q,9,FALSE),0)</f>
        <v>28440</v>
      </c>
      <c r="AB27" s="18">
        <f>IFERROR(VLOOKUP($W27,'Further adjustment'!$A:$Q,8,FALSE),0)</f>
        <v>630</v>
      </c>
    </row>
    <row r="28" spans="1:28">
      <c r="A28" s="25">
        <f>Mandatory!A26</f>
        <v>214</v>
      </c>
      <c r="B28" s="18" t="str">
        <f>INDEX('201314 RC list'!B:B,MATCH(A28,'201314 RC list'!A:A,0))</f>
        <v>Paediatric Trauma and Orthopaedics</v>
      </c>
      <c r="C28" s="34">
        <f>VLOOKUP($L28,PRICES!$A:$CN,80,FALSE)</f>
        <v>143.79408182388079</v>
      </c>
      <c r="D28" s="36">
        <f>VLOOKUP($L28,PRICES!$A:$CN,81,FALSE)</f>
        <v>210.71434061736619</v>
      </c>
      <c r="E28" s="36">
        <f>VLOOKUP($L28,PRICES!$A:$CN,82,FALSE)</f>
        <v>101.20699483437907</v>
      </c>
      <c r="F28" s="18">
        <f>VLOOKUP($L28,PRICES!$A:$CN,83,FALSE)</f>
        <v>172.87798651756981</v>
      </c>
      <c r="G28" s="25" t="str">
        <f>IF(VLOOKUP($A28,PRICES!$A:$CN,70,FALSE)="Y","Manual Adjusted",IF(VLOOKUP($A28,PRICES!$A:$CN,51,FALSE)="Roll-over","Roll-Over","Modelled"))</f>
        <v>Modelled</v>
      </c>
      <c r="H28" s="43" t="str">
        <f>IF(VLOOKUP($A28,PRICES!$A:$CN,70,FALSE)="Y","Manual Adjusted",IF(VLOOKUP($A28,PRICES!$A:$CN,52,FALSE)="Roll-over","Roll-Over","Modelled"))</f>
        <v>Modelled</v>
      </c>
      <c r="I28" s="43" t="str">
        <f>IF(VLOOKUP($A28,PRICES!$A:$CN,70,FALSE)="Y","Manual Adjusted",IF(VLOOKUP($A28,PRICES!$A:$CN,53,FALSE)="Roll-over","Roll-Over","Modelled"))</f>
        <v>Modelled</v>
      </c>
      <c r="J28" s="44" t="str">
        <f>IF(VLOOKUP($A28,PRICES!$A:$CN,70,FALSE)="Y","Manual Adjusted",IF(VLOOKUP($A28,PRICES!$A:$CN,54,FALSE)="Roll-over","Roll-Over","Modelled"))</f>
        <v>Modelled</v>
      </c>
      <c r="L28" s="25">
        <f t="shared" si="0"/>
        <v>214</v>
      </c>
      <c r="M28" s="18" t="str">
        <f t="shared" si="1"/>
        <v>Paediatric Trauma and Orthopaedics</v>
      </c>
      <c r="N28" s="34">
        <f>VLOOKUP($L28,PRICES!$A:$CN,75,FALSE)</f>
        <v>143.79408182388079</v>
      </c>
      <c r="O28" s="36">
        <f>VLOOKUP($L28,PRICES!$A:$CN,76,FALSE)</f>
        <v>210.71434061736619</v>
      </c>
      <c r="P28" s="36">
        <f>VLOOKUP($L28,PRICES!$A:$CN,77,FALSE)</f>
        <v>101.20699483437907</v>
      </c>
      <c r="Q28" s="18">
        <f>VLOOKUP($L28,PRICES!$A:$CN,78,FALSE)</f>
        <v>172.87798651756981</v>
      </c>
      <c r="R28" s="77">
        <f>IF(ISNUMBER(VLOOKUP(A28,#REF!,3,FALSE)),0,IF(ISNA(VLOOKUP(A28,'Manual adjustments'!$A:$S,16,FALSE)),1,1-VLOOKUP(A28,'Manual adjustments'!$A:$S,16,FALSE)))</f>
        <v>1</v>
      </c>
      <c r="S28" s="77">
        <f>IF(ISNUMBER(VLOOKUP(A28,#REF!,4,FALSE)),0,IF(ISNA(VLOOKUP(A28,'Manual adjustments'!$A:$S,17,FALSE)),1,1-VLOOKUP(A28,'Manual adjustments'!$A:$S,17,FALSE)))</f>
        <v>1</v>
      </c>
      <c r="T28" s="77">
        <f>IF(ISNUMBER(VLOOKUP(A28,#REF!,5,FALSE)),0,IF(ISNA(VLOOKUP(A28,'Manual adjustments'!$A:$S,18,FALSE)),1,1-VLOOKUP(A28,'Manual adjustments'!$A:$S,18,FALSE)))</f>
        <v>1</v>
      </c>
      <c r="U28" s="84">
        <f>IF(ISNUMBER(VLOOKUP(A28,#REF!,6,FALSE)),0,IF(ISNA(VLOOKUP(A28,'Manual adjustments'!$A:$S,19,FALSE)),1,1-VLOOKUP(A28,'Manual adjustments'!$A:$S,19,FALSE)))</f>
        <v>1</v>
      </c>
      <c r="W28" s="25">
        <f t="shared" si="2"/>
        <v>214</v>
      </c>
      <c r="X28" s="18" t="str">
        <f t="shared" si="3"/>
        <v>Paediatric Trauma and Orthopaedics</v>
      </c>
      <c r="Y28" s="34">
        <f>IFERROR(VLOOKUP($W28,'Further adjustment'!$A:$Q,7,FALSE),0)</f>
        <v>82660</v>
      </c>
      <c r="Z28" s="36">
        <f>IFERROR(VLOOKUP($W28,'Further adjustment'!$A:$Q,6,FALSE),0)</f>
        <v>1887</v>
      </c>
      <c r="AA28" s="36">
        <f>IFERROR(VLOOKUP($W28,'Further adjustment'!$A:$Q,9,FALSE),0)</f>
        <v>125104</v>
      </c>
      <c r="AB28" s="18">
        <f>IFERROR(VLOOKUP($W28,'Further adjustment'!$A:$Q,8,FALSE),0)</f>
        <v>2815</v>
      </c>
    </row>
    <row r="29" spans="1:28">
      <c r="A29" s="25">
        <f>Mandatory!A27</f>
        <v>215</v>
      </c>
      <c r="B29" s="18" t="str">
        <f>INDEX('201314 RC list'!B:B,MATCH(A29,'201314 RC list'!A:A,0))</f>
        <v>Paediatric Ear Nose and Throat</v>
      </c>
      <c r="C29" s="37">
        <f>VLOOKUP($L29,PRICES!$A:$CN,80,FALSE)</f>
        <v>117.66385384940904</v>
      </c>
      <c r="D29" s="35">
        <f>VLOOKUP($L29,PRICES!$A:$CN,81,FALSE)</f>
        <v>138.11457382366746</v>
      </c>
      <c r="E29" s="35">
        <f>VLOOKUP($L29,PRICES!$A:$CN,82,FALSE)</f>
        <v>74.853845213095596</v>
      </c>
      <c r="F29" s="19">
        <f>VLOOKUP($L29,PRICES!$A:$CN,83,FALSE)</f>
        <v>93.968703065219415</v>
      </c>
      <c r="G29" s="25" t="str">
        <f>IF(VLOOKUP($A29,PRICES!$A:$CN,70,FALSE)="Y","Manual Adjusted",IF(VLOOKUP($A29,PRICES!$A:$CN,51,FALSE)="Roll-over","Roll-Over","Modelled"))</f>
        <v>Modelled</v>
      </c>
      <c r="H29" s="43" t="str">
        <f>IF(VLOOKUP($A29,PRICES!$A:$CN,70,FALSE)="Y","Manual Adjusted",IF(VLOOKUP($A29,PRICES!$A:$CN,52,FALSE)="Roll-over","Roll-Over","Modelled"))</f>
        <v>Modelled</v>
      </c>
      <c r="I29" s="43" t="str">
        <f>IF(VLOOKUP($A29,PRICES!$A:$CN,70,FALSE)="Y","Manual Adjusted",IF(VLOOKUP($A29,PRICES!$A:$CN,53,FALSE)="Roll-over","Roll-Over","Modelled"))</f>
        <v>Modelled</v>
      </c>
      <c r="J29" s="44" t="str">
        <f>IF(VLOOKUP($A29,PRICES!$A:$CN,70,FALSE)="Y","Manual Adjusted",IF(VLOOKUP($A29,PRICES!$A:$CN,54,FALSE)="Roll-over","Roll-Over","Modelled"))</f>
        <v>Modelled</v>
      </c>
      <c r="L29" s="25">
        <f t="shared" si="0"/>
        <v>215</v>
      </c>
      <c r="M29" s="18" t="str">
        <f t="shared" si="1"/>
        <v>Paediatric Ear Nose and Throat</v>
      </c>
      <c r="N29" s="37">
        <f>VLOOKUP($L29,PRICES!$A:$CN,75,FALSE)</f>
        <v>117.66385384940904</v>
      </c>
      <c r="O29" s="35">
        <f>VLOOKUP($L29,PRICES!$A:$CN,76,FALSE)</f>
        <v>138.11457382366746</v>
      </c>
      <c r="P29" s="35">
        <f>VLOOKUP($L29,PRICES!$A:$CN,77,FALSE)</f>
        <v>74.853845213095596</v>
      </c>
      <c r="Q29" s="19">
        <f>VLOOKUP($L29,PRICES!$A:$CN,78,FALSE)</f>
        <v>93.968703065219415</v>
      </c>
      <c r="R29" s="77">
        <f>IF(ISNUMBER(VLOOKUP(A29,#REF!,3,FALSE)),0,IF(ISNA(VLOOKUP(A29,'Manual adjustments'!$A:$S,16,FALSE)),1,1-VLOOKUP(A29,'Manual adjustments'!$A:$S,16,FALSE)))</f>
        <v>1</v>
      </c>
      <c r="S29" s="77">
        <f>IF(ISNUMBER(VLOOKUP(A29,#REF!,4,FALSE)),0,IF(ISNA(VLOOKUP(A29,'Manual adjustments'!$A:$S,17,FALSE)),1,1-VLOOKUP(A29,'Manual adjustments'!$A:$S,17,FALSE)))</f>
        <v>1</v>
      </c>
      <c r="T29" s="77">
        <f>IF(ISNUMBER(VLOOKUP(A29,#REF!,5,FALSE)),0,IF(ISNA(VLOOKUP(A29,'Manual adjustments'!$A:$S,18,FALSE)),1,1-VLOOKUP(A29,'Manual adjustments'!$A:$S,18,FALSE)))</f>
        <v>1</v>
      </c>
      <c r="U29" s="84">
        <f>IF(ISNUMBER(VLOOKUP(A29,#REF!,6,FALSE)),0,IF(ISNA(VLOOKUP(A29,'Manual adjustments'!$A:$S,19,FALSE)),1,1-VLOOKUP(A29,'Manual adjustments'!$A:$S,19,FALSE)))</f>
        <v>1</v>
      </c>
      <c r="W29" s="25">
        <f t="shared" si="2"/>
        <v>215</v>
      </c>
      <c r="X29" s="18" t="str">
        <f t="shared" si="3"/>
        <v>Paediatric Ear Nose and Throat</v>
      </c>
      <c r="Y29" s="34">
        <f>IFERROR(VLOOKUP($W29,'Further adjustment'!$A:$Q,7,FALSE),0)</f>
        <v>40507</v>
      </c>
      <c r="Z29" s="36">
        <f>IFERROR(VLOOKUP($W29,'Further adjustment'!$A:$Q,6,FALSE),0)</f>
        <v>1946</v>
      </c>
      <c r="AA29" s="36">
        <f>IFERROR(VLOOKUP($W29,'Further adjustment'!$A:$Q,9,FALSE),0)</f>
        <v>57841</v>
      </c>
      <c r="AB29" s="18">
        <f>IFERROR(VLOOKUP($W29,'Further adjustment'!$A:$Q,8,FALSE),0)</f>
        <v>3093</v>
      </c>
    </row>
    <row r="30" spans="1:28">
      <c r="A30" s="25">
        <f>Mandatory!A28</f>
        <v>216</v>
      </c>
      <c r="B30" s="18" t="str">
        <f>INDEX('201314 RC list'!B:B,MATCH(A30,'201314 RC list'!A:A,0))</f>
        <v>Paediatric Ophthalmology</v>
      </c>
      <c r="C30" s="37">
        <f>VLOOKUP($L30,PRICES!$A:$CN,80,FALSE)</f>
        <v>118.6899056600854</v>
      </c>
      <c r="D30" s="35">
        <f>VLOOKUP($L30,PRICES!$A:$CN,81,FALSE)</f>
        <v>137.25301855901805</v>
      </c>
      <c r="E30" s="35">
        <f>VLOOKUP($L30,PRICES!$A:$CN,82,FALSE)</f>
        <v>81.858684888923094</v>
      </c>
      <c r="F30" s="19">
        <f>VLOOKUP($L30,PRICES!$A:$CN,83,FALSE)</f>
        <v>86.857506809991136</v>
      </c>
      <c r="G30" s="25" t="str">
        <f>IF(VLOOKUP($A30,PRICES!$A:$CN,70,FALSE)="Y","Manual Adjusted",IF(VLOOKUP($A30,PRICES!$A:$CN,51,FALSE)="Roll-over","Roll-Over","Modelled"))</f>
        <v>Modelled</v>
      </c>
      <c r="H30" s="43" t="str">
        <f>IF(VLOOKUP($A30,PRICES!$A:$CN,70,FALSE)="Y","Manual Adjusted",IF(VLOOKUP($A30,PRICES!$A:$CN,52,FALSE)="Roll-over","Roll-Over","Modelled"))</f>
        <v>Modelled</v>
      </c>
      <c r="I30" s="43" t="str">
        <f>IF(VLOOKUP($A30,PRICES!$A:$CN,70,FALSE)="Y","Manual Adjusted",IF(VLOOKUP($A30,PRICES!$A:$CN,53,FALSE)="Roll-over","Roll-Over","Modelled"))</f>
        <v>Modelled</v>
      </c>
      <c r="J30" s="44" t="str">
        <f>IF(VLOOKUP($A30,PRICES!$A:$CN,70,FALSE)="Y","Manual Adjusted",IF(VLOOKUP($A30,PRICES!$A:$CN,54,FALSE)="Roll-over","Roll-Over","Modelled"))</f>
        <v>Modelled</v>
      </c>
      <c r="L30" s="25">
        <f t="shared" si="0"/>
        <v>216</v>
      </c>
      <c r="M30" s="18" t="str">
        <f t="shared" si="1"/>
        <v>Paediatric Ophthalmology</v>
      </c>
      <c r="N30" s="37">
        <f>VLOOKUP($L30,PRICES!$A:$CN,75,FALSE)</f>
        <v>118.6899056600854</v>
      </c>
      <c r="O30" s="35">
        <f>VLOOKUP($L30,PRICES!$A:$CN,76,FALSE)</f>
        <v>137.25301855901805</v>
      </c>
      <c r="P30" s="35">
        <f>VLOOKUP($L30,PRICES!$A:$CN,77,FALSE)</f>
        <v>81.858684888923094</v>
      </c>
      <c r="Q30" s="19">
        <f>VLOOKUP($L30,PRICES!$A:$CN,78,FALSE)</f>
        <v>86.857506809991136</v>
      </c>
      <c r="R30" s="77">
        <f>IF(ISNUMBER(VLOOKUP(A30,#REF!,3,FALSE)),0,IF(ISNA(VLOOKUP(A30,'Manual adjustments'!$A:$S,16,FALSE)),1,1-VLOOKUP(A30,'Manual adjustments'!$A:$S,16,FALSE)))</f>
        <v>1</v>
      </c>
      <c r="S30" s="77">
        <f>IF(ISNUMBER(VLOOKUP(A30,#REF!,4,FALSE)),0,IF(ISNA(VLOOKUP(A30,'Manual adjustments'!$A:$S,17,FALSE)),1,1-VLOOKUP(A30,'Manual adjustments'!$A:$S,17,FALSE)))</f>
        <v>1</v>
      </c>
      <c r="T30" s="77">
        <f>IF(ISNUMBER(VLOOKUP(A30,#REF!,5,FALSE)),0,IF(ISNA(VLOOKUP(A30,'Manual adjustments'!$A:$S,18,FALSE)),1,1-VLOOKUP(A30,'Manual adjustments'!$A:$S,18,FALSE)))</f>
        <v>1</v>
      </c>
      <c r="U30" s="84">
        <f>IF(ISNUMBER(VLOOKUP(A30,#REF!,6,FALSE)),0,IF(ISNA(VLOOKUP(A30,'Manual adjustments'!$A:$S,19,FALSE)),1,1-VLOOKUP(A30,'Manual adjustments'!$A:$S,19,FALSE)))</f>
        <v>1</v>
      </c>
      <c r="W30" s="25">
        <f t="shared" si="2"/>
        <v>216</v>
      </c>
      <c r="X30" s="18" t="str">
        <f t="shared" si="3"/>
        <v>Paediatric Ophthalmology</v>
      </c>
      <c r="Y30" s="34">
        <f>IFERROR(VLOOKUP($W30,'Further adjustment'!$A:$Q,7,FALSE),0)</f>
        <v>54731</v>
      </c>
      <c r="Z30" s="36">
        <f>IFERROR(VLOOKUP($W30,'Further adjustment'!$A:$Q,6,FALSE),0)</f>
        <v>2317</v>
      </c>
      <c r="AA30" s="36">
        <f>IFERROR(VLOOKUP($W30,'Further adjustment'!$A:$Q,9,FALSE),0)</f>
        <v>138647</v>
      </c>
      <c r="AB30" s="18">
        <f>IFERROR(VLOOKUP($W30,'Further adjustment'!$A:$Q,8,FALSE),0)</f>
        <v>4763</v>
      </c>
    </row>
    <row r="31" spans="1:28">
      <c r="A31" s="25">
        <f>Mandatory!A29</f>
        <v>217</v>
      </c>
      <c r="B31" s="18" t="str">
        <f>INDEX('201314 RC list'!B:B,MATCH(A31,'201314 RC list'!A:A,0))</f>
        <v>Paediatric Maxillo-Facial Surgery</v>
      </c>
      <c r="C31" s="37">
        <f>VLOOKUP($L31,PRICES!$A:$CN,80,FALSE)</f>
        <v>109.19418552640656</v>
      </c>
      <c r="D31" s="35">
        <f>VLOOKUP($L31,PRICES!$A:$CN,81,FALSE)</f>
        <v>217.77313557705392</v>
      </c>
      <c r="E31" s="35">
        <f>VLOOKUP($L31,PRICES!$A:$CN,82,FALSE)</f>
        <v>106.22789387065517</v>
      </c>
      <c r="F31" s="19">
        <f>VLOOKUP($L31,PRICES!$A:$CN,83,FALSE)</f>
        <v>212.45578774131033</v>
      </c>
      <c r="G31" s="25" t="str">
        <f>IF(VLOOKUP($A31,PRICES!$A:$CN,70,FALSE)="Y","Manual Adjusted",IF(VLOOKUP($A31,PRICES!$A:$CN,51,FALSE)="Roll-over","Roll-Over","Modelled"))</f>
        <v>Modelled</v>
      </c>
      <c r="H31" s="43" t="str">
        <f>IF(VLOOKUP($A31,PRICES!$A:$CN,70,FALSE)="Y","Manual Adjusted",IF(VLOOKUP($A31,PRICES!$A:$CN,52,FALSE)="Roll-over","Roll-Over","Modelled"))</f>
        <v>Modelled</v>
      </c>
      <c r="I31" s="43" t="str">
        <f>IF(VLOOKUP($A31,PRICES!$A:$CN,70,FALSE)="Y","Manual Adjusted",IF(VLOOKUP($A31,PRICES!$A:$CN,53,FALSE)="Roll-over","Roll-Over","Modelled"))</f>
        <v>Modelled</v>
      </c>
      <c r="J31" s="44" t="str">
        <f>IF(VLOOKUP($A31,PRICES!$A:$CN,70,FALSE)="Y","Manual Adjusted",IF(VLOOKUP($A31,PRICES!$A:$CN,54,FALSE)="Roll-over","Roll-Over","Modelled"))</f>
        <v>Modelled</v>
      </c>
      <c r="L31" s="25">
        <f t="shared" si="0"/>
        <v>217</v>
      </c>
      <c r="M31" s="18" t="str">
        <f t="shared" si="1"/>
        <v>Paediatric Maxillo-Facial Surgery</v>
      </c>
      <c r="N31" s="37">
        <f>VLOOKUP($L31,PRICES!$A:$CN,75,FALSE)</f>
        <v>109.19418552640656</v>
      </c>
      <c r="O31" s="35">
        <f>VLOOKUP($L31,PRICES!$A:$CN,76,FALSE)</f>
        <v>217.77313557705392</v>
      </c>
      <c r="P31" s="35">
        <f>VLOOKUP($L31,PRICES!$A:$CN,77,FALSE)</f>
        <v>106.22789387065517</v>
      </c>
      <c r="Q31" s="19">
        <f>VLOOKUP($L31,PRICES!$A:$CN,78,FALSE)</f>
        <v>212.45578774131033</v>
      </c>
      <c r="R31" s="77">
        <f>IF(ISNUMBER(VLOOKUP(A31,#REF!,3,FALSE)),0,IF(ISNA(VLOOKUP(A31,'Manual adjustments'!$A:$S,16,FALSE)),1,1-VLOOKUP(A31,'Manual adjustments'!$A:$S,16,FALSE)))</f>
        <v>1</v>
      </c>
      <c r="S31" s="77">
        <f>IF(ISNUMBER(VLOOKUP(A31,#REF!,4,FALSE)),0,IF(ISNA(VLOOKUP(A31,'Manual adjustments'!$A:$S,17,FALSE)),1,1-VLOOKUP(A31,'Manual adjustments'!$A:$S,17,FALSE)))</f>
        <v>1</v>
      </c>
      <c r="T31" s="77">
        <f>IF(ISNUMBER(VLOOKUP(A31,#REF!,5,FALSE)),0,IF(ISNA(VLOOKUP(A31,'Manual adjustments'!$A:$S,18,FALSE)),1,1-VLOOKUP(A31,'Manual adjustments'!$A:$S,18,FALSE)))</f>
        <v>1</v>
      </c>
      <c r="U31" s="84">
        <f>IF(ISNUMBER(VLOOKUP(A31,#REF!,6,FALSE)),0,IF(ISNA(VLOOKUP(A31,'Manual adjustments'!$A:$S,19,FALSE)),1,1-VLOOKUP(A31,'Manual adjustments'!$A:$S,19,FALSE)))</f>
        <v>1</v>
      </c>
      <c r="W31" s="25">
        <f t="shared" si="2"/>
        <v>217</v>
      </c>
      <c r="X31" s="18" t="str">
        <f t="shared" si="3"/>
        <v>Paediatric Maxillo-Facial Surgery</v>
      </c>
      <c r="Y31" s="34">
        <f>IFERROR(VLOOKUP($W31,'Further adjustment'!$A:$Q,7,FALSE),0)</f>
        <v>3128</v>
      </c>
      <c r="Z31" s="36">
        <f>IFERROR(VLOOKUP($W31,'Further adjustment'!$A:$Q,6,FALSE),0)</f>
        <v>78</v>
      </c>
      <c r="AA31" s="36">
        <f>IFERROR(VLOOKUP($W31,'Further adjustment'!$A:$Q,9,FALSE),0)</f>
        <v>3531</v>
      </c>
      <c r="AB31" s="18">
        <f>IFERROR(VLOOKUP($W31,'Further adjustment'!$A:$Q,8,FALSE),0)</f>
        <v>252</v>
      </c>
    </row>
    <row r="32" spans="1:28" s="30" customFormat="1">
      <c r="A32" s="25">
        <f>Mandatory!A30</f>
        <v>218</v>
      </c>
      <c r="B32" s="18" t="str">
        <f>INDEX('201314 RC list'!B:B,MATCH(A32,'201314 RC list'!A:A,0))</f>
        <v>Paediatric Neurosurgery</v>
      </c>
      <c r="C32" s="37">
        <f>VLOOKUP($L32,PRICES!$A:$CN,80,FALSE)</f>
        <v>274.83310934748772</v>
      </c>
      <c r="D32" s="35">
        <f>VLOOKUP($L32,PRICES!$A:$CN,81,FALSE)</f>
        <v>274.83310934748772</v>
      </c>
      <c r="E32" s="35">
        <f>VLOOKUP($L32,PRICES!$A:$CN,82,FALSE)</f>
        <v>145.81602674933578</v>
      </c>
      <c r="F32" s="19">
        <f>VLOOKUP($L32,PRICES!$A:$CN,83,FALSE)</f>
        <v>164.48648787116974</v>
      </c>
      <c r="G32" s="25" t="str">
        <f>IF(VLOOKUP($A32,PRICES!$A:$CN,70,FALSE)="Y","Manual Adjusted",IF(VLOOKUP($A32,PRICES!$A:$CN,51,FALSE)="Roll-over","Roll-Over","Modelled"))</f>
        <v>Modelled</v>
      </c>
      <c r="H32" s="43" t="str">
        <f>IF(VLOOKUP($A32,PRICES!$A:$CN,70,FALSE)="Y","Manual Adjusted",IF(VLOOKUP($A32,PRICES!$A:$CN,52,FALSE)="Roll-over","Roll-Over","Modelled"))</f>
        <v>Modelled</v>
      </c>
      <c r="I32" s="43" t="str">
        <f>IF(VLOOKUP($A32,PRICES!$A:$CN,70,FALSE)="Y","Manual Adjusted",IF(VLOOKUP($A32,PRICES!$A:$CN,53,FALSE)="Roll-over","Roll-Over","Modelled"))</f>
        <v>Modelled</v>
      </c>
      <c r="J32" s="44" t="str">
        <f>IF(VLOOKUP($A32,PRICES!$A:$CN,70,FALSE)="Y","Manual Adjusted",IF(VLOOKUP($A32,PRICES!$A:$CN,54,FALSE)="Roll-over","Roll-Over","Modelled"))</f>
        <v>Modelled</v>
      </c>
      <c r="L32" s="25">
        <f t="shared" si="0"/>
        <v>218</v>
      </c>
      <c r="M32" s="18" t="str">
        <f t="shared" si="1"/>
        <v>Paediatric Neurosurgery</v>
      </c>
      <c r="N32" s="37">
        <f>VLOOKUP($L32,PRICES!$A:$CN,75,FALSE)</f>
        <v>274.83310934748772</v>
      </c>
      <c r="O32" s="35">
        <f>VLOOKUP($L32,PRICES!$A:$CN,76,FALSE)</f>
        <v>274.83310934748772</v>
      </c>
      <c r="P32" s="35">
        <f>VLOOKUP($L32,PRICES!$A:$CN,77,FALSE)</f>
        <v>145.81602674933578</v>
      </c>
      <c r="Q32" s="19">
        <f>VLOOKUP($L32,PRICES!$A:$CN,78,FALSE)</f>
        <v>164.48648787116974</v>
      </c>
      <c r="R32" s="77">
        <f>IF(ISNUMBER(VLOOKUP(A32,#REF!,3,FALSE)),0,IF(ISNA(VLOOKUP(A32,'Manual adjustments'!$A:$S,16,FALSE)),1,1-VLOOKUP(A32,'Manual adjustments'!$A:$S,16,FALSE)))</f>
        <v>1</v>
      </c>
      <c r="S32" s="77">
        <f>IF(ISNUMBER(VLOOKUP(A32,#REF!,4,FALSE)),0,IF(ISNA(VLOOKUP(A32,'Manual adjustments'!$A:$S,17,FALSE)),1,1-VLOOKUP(A32,'Manual adjustments'!$A:$S,17,FALSE)))</f>
        <v>1</v>
      </c>
      <c r="T32" s="77">
        <f>IF(ISNUMBER(VLOOKUP(A32,#REF!,5,FALSE)),0,IF(ISNA(VLOOKUP(A32,'Manual adjustments'!$A:$S,18,FALSE)),1,1-VLOOKUP(A32,'Manual adjustments'!$A:$S,18,FALSE)))</f>
        <v>1</v>
      </c>
      <c r="U32" s="84">
        <f>IF(ISNUMBER(VLOOKUP(A32,#REF!,6,FALSE)),0,IF(ISNA(VLOOKUP(A32,'Manual adjustments'!$A:$S,19,FALSE)),1,1-VLOOKUP(A32,'Manual adjustments'!$A:$S,19,FALSE)))</f>
        <v>1</v>
      </c>
      <c r="W32" s="25">
        <f t="shared" si="2"/>
        <v>218</v>
      </c>
      <c r="X32" s="18" t="str">
        <f t="shared" si="3"/>
        <v>Paediatric Neurosurgery</v>
      </c>
      <c r="Y32" s="34">
        <f>IFERROR(VLOOKUP($W32,'Further adjustment'!$A:$Q,7,FALSE),0)</f>
        <v>3482</v>
      </c>
      <c r="Z32" s="36">
        <f>IFERROR(VLOOKUP($W32,'Further adjustment'!$A:$Q,6,FALSE),0)</f>
        <v>54</v>
      </c>
      <c r="AA32" s="36">
        <f>IFERROR(VLOOKUP($W32,'Further adjustment'!$A:$Q,9,FALSE),0)</f>
        <v>12512</v>
      </c>
      <c r="AB32" s="18">
        <f>IFERROR(VLOOKUP($W32,'Further adjustment'!$A:$Q,8,FALSE),0)</f>
        <v>237</v>
      </c>
    </row>
    <row r="33" spans="1:28">
      <c r="A33" s="25">
        <f>Mandatory!A31</f>
        <v>219</v>
      </c>
      <c r="B33" s="18" t="str">
        <f>INDEX('201314 RC list'!B:B,MATCH(A33,'201314 RC list'!A:A,0))</f>
        <v>Paediatric Plastic Surgery</v>
      </c>
      <c r="C33" s="37">
        <f>VLOOKUP($L33,PRICES!$A:$CN,80,FALSE)</f>
        <v>170.60070516180392</v>
      </c>
      <c r="D33" s="35">
        <f>VLOOKUP($L33,PRICES!$A:$CN,81,FALSE)</f>
        <v>252.69175363542283</v>
      </c>
      <c r="E33" s="35">
        <f>VLOOKUP($L33,PRICES!$A:$CN,82,FALSE)</f>
        <v>111.53654864217725</v>
      </c>
      <c r="F33" s="19">
        <f>VLOOKUP($L33,PRICES!$A:$CN,83,FALSE)</f>
        <v>113.72581536349293</v>
      </c>
      <c r="G33" s="25" t="str">
        <f>IF(VLOOKUP($A33,PRICES!$A:$CN,70,FALSE)="Y","Manual Adjusted",IF(VLOOKUP($A33,PRICES!$A:$CN,51,FALSE)="Roll-over","Roll-Over","Modelled"))</f>
        <v>Modelled</v>
      </c>
      <c r="H33" s="43" t="str">
        <f>IF(VLOOKUP($A33,PRICES!$A:$CN,70,FALSE)="Y","Manual Adjusted",IF(VLOOKUP($A33,PRICES!$A:$CN,52,FALSE)="Roll-over","Roll-Over","Modelled"))</f>
        <v>Modelled</v>
      </c>
      <c r="I33" s="43" t="str">
        <f>IF(VLOOKUP($A33,PRICES!$A:$CN,70,FALSE)="Y","Manual Adjusted",IF(VLOOKUP($A33,PRICES!$A:$CN,53,FALSE)="Roll-over","Roll-Over","Modelled"))</f>
        <v>Modelled</v>
      </c>
      <c r="J33" s="44" t="str">
        <f>IF(VLOOKUP($A33,PRICES!$A:$CN,70,FALSE)="Y","Manual Adjusted",IF(VLOOKUP($A33,PRICES!$A:$CN,54,FALSE)="Roll-over","Roll-Over","Modelled"))</f>
        <v>Modelled</v>
      </c>
      <c r="L33" s="25">
        <f t="shared" si="0"/>
        <v>219</v>
      </c>
      <c r="M33" s="18" t="str">
        <f t="shared" si="1"/>
        <v>Paediatric Plastic Surgery</v>
      </c>
      <c r="N33" s="37">
        <f>VLOOKUP($L33,PRICES!$A:$CN,75,FALSE)</f>
        <v>170.60070516180392</v>
      </c>
      <c r="O33" s="35">
        <f>VLOOKUP($L33,PRICES!$A:$CN,76,FALSE)</f>
        <v>252.69175363542283</v>
      </c>
      <c r="P33" s="35">
        <f>VLOOKUP($L33,PRICES!$A:$CN,77,FALSE)</f>
        <v>111.53654864217725</v>
      </c>
      <c r="Q33" s="19">
        <f>VLOOKUP($L33,PRICES!$A:$CN,78,FALSE)</f>
        <v>113.72581536349293</v>
      </c>
      <c r="R33" s="77">
        <f>IF(ISNUMBER(VLOOKUP(A33,#REF!,3,FALSE)),0,IF(ISNA(VLOOKUP(A33,'Manual adjustments'!$A:$S,16,FALSE)),1,1-VLOOKUP(A33,'Manual adjustments'!$A:$S,16,FALSE)))</f>
        <v>1</v>
      </c>
      <c r="S33" s="77">
        <f>IF(ISNUMBER(VLOOKUP(A33,#REF!,4,FALSE)),0,IF(ISNA(VLOOKUP(A33,'Manual adjustments'!$A:$S,17,FALSE)),1,1-VLOOKUP(A33,'Manual adjustments'!$A:$S,17,FALSE)))</f>
        <v>1</v>
      </c>
      <c r="T33" s="77">
        <f>IF(ISNUMBER(VLOOKUP(A33,#REF!,5,FALSE)),0,IF(ISNA(VLOOKUP(A33,'Manual adjustments'!$A:$S,18,FALSE)),1,1-VLOOKUP(A33,'Manual adjustments'!$A:$S,18,FALSE)))</f>
        <v>1</v>
      </c>
      <c r="U33" s="84">
        <f>IF(ISNUMBER(VLOOKUP(A33,#REF!,6,FALSE)),0,IF(ISNA(VLOOKUP(A33,'Manual adjustments'!$A:$S,19,FALSE)),1,1-VLOOKUP(A33,'Manual adjustments'!$A:$S,19,FALSE)))</f>
        <v>1</v>
      </c>
      <c r="W33" s="25">
        <f t="shared" si="2"/>
        <v>219</v>
      </c>
      <c r="X33" s="18" t="str">
        <f t="shared" si="3"/>
        <v>Paediatric Plastic Surgery</v>
      </c>
      <c r="Y33" s="34">
        <f>IFERROR(VLOOKUP($W33,'Further adjustment'!$A:$Q,7,FALSE),0)</f>
        <v>14657</v>
      </c>
      <c r="Z33" s="36">
        <f>IFERROR(VLOOKUP($W33,'Further adjustment'!$A:$Q,6,FALSE),0)</f>
        <v>392</v>
      </c>
      <c r="AA33" s="36">
        <f>IFERROR(VLOOKUP($W33,'Further adjustment'!$A:$Q,9,FALSE),0)</f>
        <v>38224</v>
      </c>
      <c r="AB33" s="18">
        <f>IFERROR(VLOOKUP($W33,'Further adjustment'!$A:$Q,8,FALSE),0)</f>
        <v>1128</v>
      </c>
    </row>
    <row r="34" spans="1:28">
      <c r="A34" s="25">
        <f>Mandatory!A32</f>
        <v>223</v>
      </c>
      <c r="B34" s="18" t="str">
        <f>INDEX('201314 RC list'!B:B,MATCH(A34,'201314 RC list'!A:A,0))</f>
        <v>Paediatric Epilepsy</v>
      </c>
      <c r="C34" s="37">
        <f>VLOOKUP($L34,PRICES!$A:$CN,80,FALSE)</f>
        <v>281.55409058673774</v>
      </c>
      <c r="D34" s="35">
        <f>VLOOKUP($L34,PRICES!$A:$CN,81,FALSE)</f>
        <v>281.55409058673774</v>
      </c>
      <c r="E34" s="35">
        <f>VLOOKUP($L34,PRICES!$A:$CN,82,FALSE)</f>
        <v>132.63920914646988</v>
      </c>
      <c r="F34" s="19">
        <f>VLOOKUP($L34,PRICES!$A:$CN,83,FALSE)</f>
        <v>132.63920914646988</v>
      </c>
      <c r="G34" s="25" t="str">
        <f>IF(VLOOKUP($A34,PRICES!$A:$CN,70,FALSE)="Y","Manual Adjusted",IF(VLOOKUP($A34,PRICES!$A:$CN,51,FALSE)="Roll-over","Roll-Over","Modelled"))</f>
        <v>Modelled</v>
      </c>
      <c r="H34" s="43" t="str">
        <f>IF(VLOOKUP($A34,PRICES!$A:$CN,70,FALSE)="Y","Manual Adjusted",IF(VLOOKUP($A34,PRICES!$A:$CN,52,FALSE)="Roll-over","Roll-Over","Modelled"))</f>
        <v>Modelled</v>
      </c>
      <c r="I34" s="43" t="str">
        <f>IF(VLOOKUP($A34,PRICES!$A:$CN,70,FALSE)="Y","Manual Adjusted",IF(VLOOKUP($A34,PRICES!$A:$CN,53,FALSE)="Roll-over","Roll-Over","Modelled"))</f>
        <v>Modelled</v>
      </c>
      <c r="J34" s="44" t="str">
        <f>IF(VLOOKUP($A34,PRICES!$A:$CN,70,FALSE)="Y","Manual Adjusted",IF(VLOOKUP($A34,PRICES!$A:$CN,54,FALSE)="Roll-over","Roll-Over","Modelled"))</f>
        <v>Modelled</v>
      </c>
      <c r="L34" s="25">
        <f t="shared" si="0"/>
        <v>223</v>
      </c>
      <c r="M34" s="18" t="str">
        <f t="shared" si="1"/>
        <v>Paediatric Epilepsy</v>
      </c>
      <c r="N34" s="37">
        <f>VLOOKUP($L34,PRICES!$A:$CN,75,FALSE)</f>
        <v>281.55409058673774</v>
      </c>
      <c r="O34" s="35">
        <f>VLOOKUP($L34,PRICES!$A:$CN,76,FALSE)</f>
        <v>281.55409058673774</v>
      </c>
      <c r="P34" s="35">
        <f>VLOOKUP($L34,PRICES!$A:$CN,77,FALSE)</f>
        <v>132.63920914646988</v>
      </c>
      <c r="Q34" s="19">
        <f>VLOOKUP($L34,PRICES!$A:$CN,78,FALSE)</f>
        <v>132.63920914646988</v>
      </c>
      <c r="R34" s="77">
        <f>IF(ISNUMBER(VLOOKUP(A34,#REF!,3,FALSE)),0,IF(ISNA(VLOOKUP(A34,'Manual adjustments'!$A:$S,16,FALSE)),1,1-VLOOKUP(A34,'Manual adjustments'!$A:$S,16,FALSE)))</f>
        <v>1</v>
      </c>
      <c r="S34" s="77">
        <f>IF(ISNUMBER(VLOOKUP(A34,#REF!,4,FALSE)),0,IF(ISNA(VLOOKUP(A34,'Manual adjustments'!$A:$S,17,FALSE)),1,1-VLOOKUP(A34,'Manual adjustments'!$A:$S,17,FALSE)))</f>
        <v>1</v>
      </c>
      <c r="T34" s="77">
        <f>IF(ISNUMBER(VLOOKUP(A34,#REF!,5,FALSE)),0,IF(ISNA(VLOOKUP(A34,'Manual adjustments'!$A:$S,18,FALSE)),1,1-VLOOKUP(A34,'Manual adjustments'!$A:$S,18,FALSE)))</f>
        <v>1</v>
      </c>
      <c r="U34" s="84">
        <f>IF(ISNUMBER(VLOOKUP(A34,#REF!,6,FALSE)),0,IF(ISNA(VLOOKUP(A34,'Manual adjustments'!$A:$S,19,FALSE)),1,1-VLOOKUP(A34,'Manual adjustments'!$A:$S,19,FALSE)))</f>
        <v>1</v>
      </c>
      <c r="W34" s="25">
        <f t="shared" si="2"/>
        <v>223</v>
      </c>
      <c r="X34" s="18" t="str">
        <f t="shared" si="3"/>
        <v>Paediatric Epilepsy</v>
      </c>
      <c r="Y34" s="34">
        <f>IFERROR(VLOOKUP($W34,'Further adjustment'!$A:$Q,7,FALSE),0)</f>
        <v>638</v>
      </c>
      <c r="Z34" s="36">
        <f>IFERROR(VLOOKUP($W34,'Further adjustment'!$A:$Q,6,FALSE),0)</f>
        <v>36</v>
      </c>
      <c r="AA34" s="36">
        <f>IFERROR(VLOOKUP($W34,'Further adjustment'!$A:$Q,9,FALSE),0)</f>
        <v>2476</v>
      </c>
      <c r="AB34" s="18">
        <f>IFERROR(VLOOKUP($W34,'Further adjustment'!$A:$Q,8,FALSE),0)</f>
        <v>236</v>
      </c>
    </row>
    <row r="35" spans="1:28">
      <c r="A35" s="25">
        <f>Mandatory!A33</f>
        <v>251</v>
      </c>
      <c r="B35" s="18" t="str">
        <f>INDEX('201314 RC list'!B:B,MATCH(A35,'201314 RC list'!A:A,0))</f>
        <v>Paediatric Gastroenterology</v>
      </c>
      <c r="C35" s="37">
        <f>VLOOKUP($L35,PRICES!$A:$CN,80,FALSE)</f>
        <v>245.37567994096503</v>
      </c>
      <c r="D35" s="35">
        <f>VLOOKUP($L35,PRICES!$A:$CN,81,FALSE)</f>
        <v>245.37567994096503</v>
      </c>
      <c r="E35" s="35">
        <f>VLOOKUP($L35,PRICES!$A:$CN,82,FALSE)</f>
        <v>160.794675806968</v>
      </c>
      <c r="F35" s="19">
        <f>VLOOKUP($L35,PRICES!$A:$CN,83,FALSE)</f>
        <v>160.794675806968</v>
      </c>
      <c r="G35" s="25" t="str">
        <f>IF(VLOOKUP($A35,PRICES!$A:$CN,70,FALSE)="Y","Manual Adjusted",IF(VLOOKUP($A35,PRICES!$A:$CN,51,FALSE)="Roll-over","Roll-Over","Modelled"))</f>
        <v>Modelled</v>
      </c>
      <c r="H35" s="43" t="str">
        <f>IF(VLOOKUP($A35,PRICES!$A:$CN,70,FALSE)="Y","Manual Adjusted",IF(VLOOKUP($A35,PRICES!$A:$CN,52,FALSE)="Roll-over","Roll-Over","Modelled"))</f>
        <v>Modelled</v>
      </c>
      <c r="I35" s="43" t="str">
        <f>IF(VLOOKUP($A35,PRICES!$A:$CN,70,FALSE)="Y","Manual Adjusted",IF(VLOOKUP($A35,PRICES!$A:$CN,53,FALSE)="Roll-over","Roll-Over","Modelled"))</f>
        <v>Modelled</v>
      </c>
      <c r="J35" s="44" t="str">
        <f>IF(VLOOKUP($A35,PRICES!$A:$CN,70,FALSE)="Y","Manual Adjusted",IF(VLOOKUP($A35,PRICES!$A:$CN,54,FALSE)="Roll-over","Roll-Over","Modelled"))</f>
        <v>Modelled</v>
      </c>
      <c r="L35" s="25">
        <f t="shared" si="0"/>
        <v>251</v>
      </c>
      <c r="M35" s="18" t="str">
        <f t="shared" si="1"/>
        <v>Paediatric Gastroenterology</v>
      </c>
      <c r="N35" s="37">
        <f>VLOOKUP($L35,PRICES!$A:$CN,75,FALSE)</f>
        <v>245.37567994096503</v>
      </c>
      <c r="O35" s="35">
        <f>VLOOKUP($L35,PRICES!$A:$CN,76,FALSE)</f>
        <v>245.37567994096503</v>
      </c>
      <c r="P35" s="35">
        <f>VLOOKUP($L35,PRICES!$A:$CN,77,FALSE)</f>
        <v>160.794675806968</v>
      </c>
      <c r="Q35" s="19">
        <f>VLOOKUP($L35,PRICES!$A:$CN,78,FALSE)</f>
        <v>160.794675806968</v>
      </c>
      <c r="R35" s="77">
        <f>IF(ISNUMBER(VLOOKUP(A35,#REF!,3,FALSE)),0,IF(ISNA(VLOOKUP(A35,'Manual adjustments'!$A:$S,16,FALSE)),1,1-VLOOKUP(A35,'Manual adjustments'!$A:$S,16,FALSE)))</f>
        <v>1</v>
      </c>
      <c r="S35" s="77">
        <f>IF(ISNUMBER(VLOOKUP(A35,#REF!,4,FALSE)),0,IF(ISNA(VLOOKUP(A35,'Manual adjustments'!$A:$S,17,FALSE)),1,1-VLOOKUP(A35,'Manual adjustments'!$A:$S,17,FALSE)))</f>
        <v>1</v>
      </c>
      <c r="T35" s="77">
        <f>IF(ISNUMBER(VLOOKUP(A35,#REF!,5,FALSE)),0,IF(ISNA(VLOOKUP(A35,'Manual adjustments'!$A:$S,18,FALSE)),1,1-VLOOKUP(A35,'Manual adjustments'!$A:$S,18,FALSE)))</f>
        <v>1</v>
      </c>
      <c r="U35" s="84">
        <f>IF(ISNUMBER(VLOOKUP(A35,#REF!,6,FALSE)),0,IF(ISNA(VLOOKUP(A35,'Manual adjustments'!$A:$S,19,FALSE)),1,1-VLOOKUP(A35,'Manual adjustments'!$A:$S,19,FALSE)))</f>
        <v>1</v>
      </c>
      <c r="W35" s="25">
        <f t="shared" si="2"/>
        <v>251</v>
      </c>
      <c r="X35" s="18" t="str">
        <f t="shared" si="3"/>
        <v>Paediatric Gastroenterology</v>
      </c>
      <c r="Y35" s="34">
        <f>IFERROR(VLOOKUP($W35,'Further adjustment'!$A:$Q,7,FALSE),0)</f>
        <v>18341</v>
      </c>
      <c r="Z35" s="36">
        <f>IFERROR(VLOOKUP($W35,'Further adjustment'!$A:$Q,6,FALSE),0)</f>
        <v>1516</v>
      </c>
      <c r="AA35" s="36">
        <f>IFERROR(VLOOKUP($W35,'Further adjustment'!$A:$Q,9,FALSE),0)</f>
        <v>46186</v>
      </c>
      <c r="AB35" s="18">
        <f>IFERROR(VLOOKUP($W35,'Further adjustment'!$A:$Q,8,FALSE),0)</f>
        <v>5595</v>
      </c>
    </row>
    <row r="36" spans="1:28">
      <c r="A36" s="25">
        <f>Mandatory!A34</f>
        <v>252</v>
      </c>
      <c r="B36" s="18" t="str">
        <f>INDEX('201314 RC list'!B:B,MATCH(A36,'201314 RC list'!A:A,0))</f>
        <v>Paediatric Endocrinology</v>
      </c>
      <c r="C36" s="37">
        <f>VLOOKUP($L36,PRICES!$A:$CN,80,FALSE)</f>
        <v>329.43664554845651</v>
      </c>
      <c r="D36" s="35">
        <f>VLOOKUP($L36,PRICES!$A:$CN,81,FALSE)</f>
        <v>329.43664554845651</v>
      </c>
      <c r="E36" s="35">
        <f>VLOOKUP($L36,PRICES!$A:$CN,82,FALSE)</f>
        <v>156.04512139651365</v>
      </c>
      <c r="F36" s="19">
        <f>VLOOKUP($L36,PRICES!$A:$CN,83,FALSE)</f>
        <v>163.3476358971553</v>
      </c>
      <c r="G36" s="25" t="str">
        <f>IF(VLOOKUP($A36,PRICES!$A:$CN,70,FALSE)="Y","Manual Adjusted",IF(VLOOKUP($A36,PRICES!$A:$CN,51,FALSE)="Roll-over","Roll-Over","Modelled"))</f>
        <v>Modelled</v>
      </c>
      <c r="H36" s="43" t="str">
        <f>IF(VLOOKUP($A36,PRICES!$A:$CN,70,FALSE)="Y","Manual Adjusted",IF(VLOOKUP($A36,PRICES!$A:$CN,52,FALSE)="Roll-over","Roll-Over","Modelled"))</f>
        <v>Modelled</v>
      </c>
      <c r="I36" s="43" t="str">
        <f>IF(VLOOKUP($A36,PRICES!$A:$CN,70,FALSE)="Y","Manual Adjusted",IF(VLOOKUP($A36,PRICES!$A:$CN,53,FALSE)="Roll-over","Roll-Over","Modelled"))</f>
        <v>Modelled</v>
      </c>
      <c r="J36" s="44" t="str">
        <f>IF(VLOOKUP($A36,PRICES!$A:$CN,70,FALSE)="Y","Manual Adjusted",IF(VLOOKUP($A36,PRICES!$A:$CN,54,FALSE)="Roll-over","Roll-Over","Modelled"))</f>
        <v>Modelled</v>
      </c>
      <c r="L36" s="25">
        <f t="shared" si="0"/>
        <v>252</v>
      </c>
      <c r="M36" s="18" t="str">
        <f t="shared" si="1"/>
        <v>Paediatric Endocrinology</v>
      </c>
      <c r="N36" s="37">
        <f>VLOOKUP($L36,PRICES!$A:$CN,75,FALSE)</f>
        <v>329.43664554845651</v>
      </c>
      <c r="O36" s="35">
        <f>VLOOKUP($L36,PRICES!$A:$CN,76,FALSE)</f>
        <v>329.43664554845651</v>
      </c>
      <c r="P36" s="35">
        <f>VLOOKUP($L36,PRICES!$A:$CN,77,FALSE)</f>
        <v>156.04512139651365</v>
      </c>
      <c r="Q36" s="19">
        <f>VLOOKUP($L36,PRICES!$A:$CN,78,FALSE)</f>
        <v>163.3476358971553</v>
      </c>
      <c r="R36" s="77">
        <f>IF(ISNUMBER(VLOOKUP(A36,#REF!,3,FALSE)),0,IF(ISNA(VLOOKUP(A36,'Manual adjustments'!$A:$S,16,FALSE)),1,1-VLOOKUP(A36,'Manual adjustments'!$A:$S,16,FALSE)))</f>
        <v>1</v>
      </c>
      <c r="S36" s="77">
        <f>IF(ISNUMBER(VLOOKUP(A36,#REF!,4,FALSE)),0,IF(ISNA(VLOOKUP(A36,'Manual adjustments'!$A:$S,17,FALSE)),1,1-VLOOKUP(A36,'Manual adjustments'!$A:$S,17,FALSE)))</f>
        <v>1</v>
      </c>
      <c r="T36" s="77">
        <f>IF(ISNUMBER(VLOOKUP(A36,#REF!,5,FALSE)),0,IF(ISNA(VLOOKUP(A36,'Manual adjustments'!$A:$S,18,FALSE)),1,1-VLOOKUP(A36,'Manual adjustments'!$A:$S,18,FALSE)))</f>
        <v>1</v>
      </c>
      <c r="U36" s="84">
        <f>IF(ISNUMBER(VLOOKUP(A36,#REF!,6,FALSE)),0,IF(ISNA(VLOOKUP(A36,'Manual adjustments'!$A:$S,19,FALSE)),1,1-VLOOKUP(A36,'Manual adjustments'!$A:$S,19,FALSE)))</f>
        <v>1</v>
      </c>
      <c r="W36" s="25">
        <f t="shared" si="2"/>
        <v>252</v>
      </c>
      <c r="X36" s="18" t="str">
        <f t="shared" si="3"/>
        <v>Paediatric Endocrinology</v>
      </c>
      <c r="Y36" s="34">
        <f>IFERROR(VLOOKUP($W36,'Further adjustment'!$A:$Q,7,FALSE),0)</f>
        <v>9785</v>
      </c>
      <c r="Z36" s="36">
        <f>IFERROR(VLOOKUP($W36,'Further adjustment'!$A:$Q,6,FALSE),0)</f>
        <v>1261</v>
      </c>
      <c r="AA36" s="36">
        <f>IFERROR(VLOOKUP($W36,'Further adjustment'!$A:$Q,9,FALSE),0)</f>
        <v>37255</v>
      </c>
      <c r="AB36" s="18">
        <f>IFERROR(VLOOKUP($W36,'Further adjustment'!$A:$Q,8,FALSE),0)</f>
        <v>5278</v>
      </c>
    </row>
    <row r="37" spans="1:28">
      <c r="A37" s="25">
        <f>Mandatory!A35</f>
        <v>253</v>
      </c>
      <c r="B37" s="18" t="str">
        <f>INDEX('201314 RC list'!B:B,MATCH(A37,'201314 RC list'!A:A,0))</f>
        <v>Paediatric Clinical Haematology</v>
      </c>
      <c r="C37" s="37">
        <f>VLOOKUP($L37,PRICES!$A:$CN,80,FALSE)</f>
        <v>378.27537944370931</v>
      </c>
      <c r="D37" s="35">
        <f>VLOOKUP($L37,PRICES!$A:$CN,81,FALSE)</f>
        <v>419.00484544679773</v>
      </c>
      <c r="E37" s="35">
        <f>VLOOKUP($L37,PRICES!$A:$CN,82,FALSE)</f>
        <v>187.80867457056428</v>
      </c>
      <c r="F37" s="19">
        <f>VLOOKUP($L37,PRICES!$A:$CN,83,FALSE)</f>
        <v>199.99782233315855</v>
      </c>
      <c r="G37" s="25" t="str">
        <f>IF(VLOOKUP($A37,PRICES!$A:$CN,70,FALSE)="Y","Manual Adjusted",IF(VLOOKUP($A37,PRICES!$A:$CN,51,FALSE)="Roll-over","Roll-Over","Modelled"))</f>
        <v>Modelled</v>
      </c>
      <c r="H37" s="43" t="str">
        <f>IF(VLOOKUP($A37,PRICES!$A:$CN,70,FALSE)="Y","Manual Adjusted",IF(VLOOKUP($A37,PRICES!$A:$CN,52,FALSE)="Roll-over","Roll-Over","Modelled"))</f>
        <v>Modelled</v>
      </c>
      <c r="I37" s="43" t="str">
        <f>IF(VLOOKUP($A37,PRICES!$A:$CN,70,FALSE)="Y","Manual Adjusted",IF(VLOOKUP($A37,PRICES!$A:$CN,53,FALSE)="Roll-over","Roll-Over","Modelled"))</f>
        <v>Modelled</v>
      </c>
      <c r="J37" s="44" t="str">
        <f>IF(VLOOKUP($A37,PRICES!$A:$CN,70,FALSE)="Y","Manual Adjusted",IF(VLOOKUP($A37,PRICES!$A:$CN,54,FALSE)="Roll-over","Roll-Over","Modelled"))</f>
        <v>Modelled</v>
      </c>
      <c r="L37" s="25">
        <f t="shared" si="0"/>
        <v>253</v>
      </c>
      <c r="M37" s="18" t="str">
        <f t="shared" si="1"/>
        <v>Paediatric Clinical Haematology</v>
      </c>
      <c r="N37" s="37">
        <f>VLOOKUP($L37,PRICES!$A:$CN,75,FALSE)</f>
        <v>378.27537944370931</v>
      </c>
      <c r="O37" s="35">
        <f>VLOOKUP($L37,PRICES!$A:$CN,76,FALSE)</f>
        <v>419.00484544679773</v>
      </c>
      <c r="P37" s="35">
        <f>VLOOKUP($L37,PRICES!$A:$CN,77,FALSE)</f>
        <v>187.80867457056428</v>
      </c>
      <c r="Q37" s="19">
        <f>VLOOKUP($L37,PRICES!$A:$CN,78,FALSE)</f>
        <v>199.99782233315855</v>
      </c>
      <c r="R37" s="77">
        <f>IF(ISNUMBER(VLOOKUP(A37,#REF!,3,FALSE)),0,IF(ISNA(VLOOKUP(A37,'Manual adjustments'!$A:$S,16,FALSE)),1,1-VLOOKUP(A37,'Manual adjustments'!$A:$S,16,FALSE)))</f>
        <v>1</v>
      </c>
      <c r="S37" s="77">
        <f>IF(ISNUMBER(VLOOKUP(A37,#REF!,4,FALSE)),0,IF(ISNA(VLOOKUP(A37,'Manual adjustments'!$A:$S,17,FALSE)),1,1-VLOOKUP(A37,'Manual adjustments'!$A:$S,17,FALSE)))</f>
        <v>1</v>
      </c>
      <c r="T37" s="77">
        <f>IF(ISNUMBER(VLOOKUP(A37,#REF!,5,FALSE)),0,IF(ISNA(VLOOKUP(A37,'Manual adjustments'!$A:$S,18,FALSE)),1,1-VLOOKUP(A37,'Manual adjustments'!$A:$S,18,FALSE)))</f>
        <v>1</v>
      </c>
      <c r="U37" s="84">
        <f>IF(ISNUMBER(VLOOKUP(A37,#REF!,6,FALSE)),0,IF(ISNA(VLOOKUP(A37,'Manual adjustments'!$A:$S,19,FALSE)),1,1-VLOOKUP(A37,'Manual adjustments'!$A:$S,19,FALSE)))</f>
        <v>1</v>
      </c>
      <c r="W37" s="25">
        <f t="shared" si="2"/>
        <v>253</v>
      </c>
      <c r="X37" s="18" t="str">
        <f t="shared" si="3"/>
        <v>Paediatric Clinical Haematology</v>
      </c>
      <c r="Y37" s="34">
        <f>IFERROR(VLOOKUP($W37,'Further adjustment'!$A:$Q,7,FALSE),0)</f>
        <v>5342</v>
      </c>
      <c r="Z37" s="36">
        <f>IFERROR(VLOOKUP($W37,'Further adjustment'!$A:$Q,6,FALSE),0)</f>
        <v>409</v>
      </c>
      <c r="AA37" s="36">
        <f>IFERROR(VLOOKUP($W37,'Further adjustment'!$A:$Q,9,FALSE),0)</f>
        <v>33596</v>
      </c>
      <c r="AB37" s="18">
        <f>IFERROR(VLOOKUP($W37,'Further adjustment'!$A:$Q,8,FALSE),0)</f>
        <v>3026</v>
      </c>
    </row>
    <row r="38" spans="1:28">
      <c r="A38" s="25">
        <f>Mandatory!A36</f>
        <v>257</v>
      </c>
      <c r="B38" s="18" t="str">
        <f>INDEX('201314 RC list'!B:B,MATCH(A38,'201314 RC list'!A:A,0))</f>
        <v>Paediatric Dermatology</v>
      </c>
      <c r="C38" s="37">
        <f>VLOOKUP($L38,PRICES!$A:$CN,80,FALSE)</f>
        <v>151.60892179097345</v>
      </c>
      <c r="D38" s="35">
        <f>VLOOKUP($L38,PRICES!$A:$CN,81,FALSE)</f>
        <v>151.60892179097345</v>
      </c>
      <c r="E38" s="35">
        <f>VLOOKUP($L38,PRICES!$A:$CN,82,FALSE)</f>
        <v>97.694015840586857</v>
      </c>
      <c r="F38" s="19">
        <f>VLOOKUP($L38,PRICES!$A:$CN,83,FALSE)</f>
        <v>110.60295332312306</v>
      </c>
      <c r="G38" s="25" t="str">
        <f>IF(VLOOKUP($A38,PRICES!$A:$CN,70,FALSE)="Y","Manual Adjusted",IF(VLOOKUP($A38,PRICES!$A:$CN,51,FALSE)="Roll-over","Roll-Over","Modelled"))</f>
        <v>Modelled</v>
      </c>
      <c r="H38" s="43" t="str">
        <f>IF(VLOOKUP($A38,PRICES!$A:$CN,70,FALSE)="Y","Manual Adjusted",IF(VLOOKUP($A38,PRICES!$A:$CN,52,FALSE)="Roll-over","Roll-Over","Modelled"))</f>
        <v>Modelled</v>
      </c>
      <c r="I38" s="43" t="str">
        <f>IF(VLOOKUP($A38,PRICES!$A:$CN,70,FALSE)="Y","Manual Adjusted",IF(VLOOKUP($A38,PRICES!$A:$CN,53,FALSE)="Roll-over","Roll-Over","Modelled"))</f>
        <v>Modelled</v>
      </c>
      <c r="J38" s="44" t="str">
        <f>IF(VLOOKUP($A38,PRICES!$A:$CN,70,FALSE)="Y","Manual Adjusted",IF(VLOOKUP($A38,PRICES!$A:$CN,54,FALSE)="Roll-over","Roll-Over","Modelled"))</f>
        <v>Modelled</v>
      </c>
      <c r="L38" s="25">
        <f t="shared" si="0"/>
        <v>257</v>
      </c>
      <c r="M38" s="18" t="str">
        <f t="shared" si="1"/>
        <v>Paediatric Dermatology</v>
      </c>
      <c r="N38" s="37">
        <f>VLOOKUP($L38,PRICES!$A:$CN,75,FALSE)</f>
        <v>151.60892179097345</v>
      </c>
      <c r="O38" s="35">
        <f>VLOOKUP($L38,PRICES!$A:$CN,76,FALSE)</f>
        <v>151.60892179097345</v>
      </c>
      <c r="P38" s="35">
        <f>VLOOKUP($L38,PRICES!$A:$CN,77,FALSE)</f>
        <v>97.694015840586857</v>
      </c>
      <c r="Q38" s="19">
        <f>VLOOKUP($L38,PRICES!$A:$CN,78,FALSE)</f>
        <v>110.60295332312306</v>
      </c>
      <c r="R38" s="77">
        <f>IF(ISNUMBER(VLOOKUP(A38,#REF!,3,FALSE)),0,IF(ISNA(VLOOKUP(A38,'Manual adjustments'!$A:$S,16,FALSE)),1,1-VLOOKUP(A38,'Manual adjustments'!$A:$S,16,FALSE)))</f>
        <v>1</v>
      </c>
      <c r="S38" s="77">
        <f>IF(ISNUMBER(VLOOKUP(A38,#REF!,4,FALSE)),0,IF(ISNA(VLOOKUP(A38,'Manual adjustments'!$A:$S,17,FALSE)),1,1-VLOOKUP(A38,'Manual adjustments'!$A:$S,17,FALSE)))</f>
        <v>1</v>
      </c>
      <c r="T38" s="77">
        <f>IF(ISNUMBER(VLOOKUP(A38,#REF!,5,FALSE)),0,IF(ISNA(VLOOKUP(A38,'Manual adjustments'!$A:$S,18,FALSE)),1,1-VLOOKUP(A38,'Manual adjustments'!$A:$S,18,FALSE)))</f>
        <v>1</v>
      </c>
      <c r="U38" s="84">
        <f>IF(ISNUMBER(VLOOKUP(A38,#REF!,6,FALSE)),0,IF(ISNA(VLOOKUP(A38,'Manual adjustments'!$A:$S,19,FALSE)),1,1-VLOOKUP(A38,'Manual adjustments'!$A:$S,19,FALSE)))</f>
        <v>1</v>
      </c>
      <c r="W38" s="25">
        <f t="shared" si="2"/>
        <v>257</v>
      </c>
      <c r="X38" s="18" t="str">
        <f t="shared" si="3"/>
        <v>Paediatric Dermatology</v>
      </c>
      <c r="Y38" s="34">
        <f>IFERROR(VLOOKUP($W38,'Further adjustment'!$A:$Q,7,FALSE),0)</f>
        <v>24472</v>
      </c>
      <c r="Z38" s="36">
        <f>IFERROR(VLOOKUP($W38,'Further adjustment'!$A:$Q,6,FALSE),0)</f>
        <v>574</v>
      </c>
      <c r="AA38" s="36">
        <f>IFERROR(VLOOKUP($W38,'Further adjustment'!$A:$Q,9,FALSE),0)</f>
        <v>42237</v>
      </c>
      <c r="AB38" s="18">
        <f>IFERROR(VLOOKUP($W38,'Further adjustment'!$A:$Q,8,FALSE),0)</f>
        <v>758</v>
      </c>
    </row>
    <row r="39" spans="1:28">
      <c r="A39" s="25">
        <f>Mandatory!A37</f>
        <v>258</v>
      </c>
      <c r="B39" s="18" t="str">
        <f>INDEX('201314 RC list'!B:B,MATCH(A39,'201314 RC list'!A:A,0))</f>
        <v>Paediatric Respiratory Medicine</v>
      </c>
      <c r="C39" s="37">
        <f>VLOOKUP($L39,PRICES!$A:$CN,80,FALSE)</f>
        <v>291.16088115179463</v>
      </c>
      <c r="D39" s="35">
        <f>VLOOKUP($L39,PRICES!$A:$CN,81,FALSE)</f>
        <v>292.06636084544647</v>
      </c>
      <c r="E39" s="35">
        <f>VLOOKUP($L39,PRICES!$A:$CN,82,FALSE)</f>
        <v>154.75265378371361</v>
      </c>
      <c r="F39" s="19">
        <f>VLOOKUP($L39,PRICES!$A:$CN,83,FALSE)</f>
        <v>154.75265378371361</v>
      </c>
      <c r="G39" s="25" t="str">
        <f>IF(VLOOKUP($A39,PRICES!$A:$CN,70,FALSE)="Y","Manual Adjusted",IF(VLOOKUP($A39,PRICES!$A:$CN,51,FALSE)="Roll-over","Roll-Over","Modelled"))</f>
        <v>Modelled</v>
      </c>
      <c r="H39" s="43" t="str">
        <f>IF(VLOOKUP($A39,PRICES!$A:$CN,70,FALSE)="Y","Manual Adjusted",IF(VLOOKUP($A39,PRICES!$A:$CN,52,FALSE)="Roll-over","Roll-Over","Modelled"))</f>
        <v>Modelled</v>
      </c>
      <c r="I39" s="43" t="str">
        <f>IF(VLOOKUP($A39,PRICES!$A:$CN,70,FALSE)="Y","Manual Adjusted",IF(VLOOKUP($A39,PRICES!$A:$CN,53,FALSE)="Roll-over","Roll-Over","Modelled"))</f>
        <v>Modelled</v>
      </c>
      <c r="J39" s="44" t="str">
        <f>IF(VLOOKUP($A39,PRICES!$A:$CN,70,FALSE)="Y","Manual Adjusted",IF(VLOOKUP($A39,PRICES!$A:$CN,54,FALSE)="Roll-over","Roll-Over","Modelled"))</f>
        <v>Modelled</v>
      </c>
      <c r="L39" s="25">
        <f t="shared" si="0"/>
        <v>258</v>
      </c>
      <c r="M39" s="18" t="str">
        <f t="shared" si="1"/>
        <v>Paediatric Respiratory Medicine</v>
      </c>
      <c r="N39" s="37">
        <f>VLOOKUP($L39,PRICES!$A:$CN,75,FALSE)</f>
        <v>291.16088115179463</v>
      </c>
      <c r="O39" s="35">
        <f>VLOOKUP($L39,PRICES!$A:$CN,76,FALSE)</f>
        <v>292.06636084544647</v>
      </c>
      <c r="P39" s="35">
        <f>VLOOKUP($L39,PRICES!$A:$CN,77,FALSE)</f>
        <v>154.75265378371361</v>
      </c>
      <c r="Q39" s="19">
        <f>VLOOKUP($L39,PRICES!$A:$CN,78,FALSE)</f>
        <v>154.75265378371361</v>
      </c>
      <c r="R39" s="77">
        <f>IF(ISNUMBER(VLOOKUP(A39,#REF!,3,FALSE)),0,IF(ISNA(VLOOKUP(A39,'Manual adjustments'!$A:$S,16,FALSE)),1,1-VLOOKUP(A39,'Manual adjustments'!$A:$S,16,FALSE)))</f>
        <v>1</v>
      </c>
      <c r="S39" s="77">
        <f>IF(ISNUMBER(VLOOKUP(A39,#REF!,4,FALSE)),0,IF(ISNA(VLOOKUP(A39,'Manual adjustments'!$A:$S,17,FALSE)),1,1-VLOOKUP(A39,'Manual adjustments'!$A:$S,17,FALSE)))</f>
        <v>1</v>
      </c>
      <c r="T39" s="77">
        <f>IF(ISNUMBER(VLOOKUP(A39,#REF!,5,FALSE)),0,IF(ISNA(VLOOKUP(A39,'Manual adjustments'!$A:$S,18,FALSE)),1,1-VLOOKUP(A39,'Manual adjustments'!$A:$S,18,FALSE)))</f>
        <v>1</v>
      </c>
      <c r="U39" s="84">
        <f>IF(ISNUMBER(VLOOKUP(A39,#REF!,6,FALSE)),0,IF(ISNA(VLOOKUP(A39,'Manual adjustments'!$A:$S,19,FALSE)),1,1-VLOOKUP(A39,'Manual adjustments'!$A:$S,19,FALSE)))</f>
        <v>1</v>
      </c>
      <c r="W39" s="25">
        <f t="shared" si="2"/>
        <v>258</v>
      </c>
      <c r="X39" s="18" t="str">
        <f t="shared" si="3"/>
        <v>Paediatric Respiratory Medicine</v>
      </c>
      <c r="Y39" s="34">
        <f>IFERROR(VLOOKUP($W39,'Further adjustment'!$A:$Q,7,FALSE),0)</f>
        <v>11935</v>
      </c>
      <c r="Z39" s="36">
        <f>IFERROR(VLOOKUP($W39,'Further adjustment'!$A:$Q,6,FALSE),0)</f>
        <v>697</v>
      </c>
      <c r="AA39" s="36">
        <f>IFERROR(VLOOKUP($W39,'Further adjustment'!$A:$Q,9,FALSE),0)</f>
        <v>37066</v>
      </c>
      <c r="AB39" s="18">
        <f>IFERROR(VLOOKUP($W39,'Further adjustment'!$A:$Q,8,FALSE),0)</f>
        <v>2357</v>
      </c>
    </row>
    <row r="40" spans="1:28">
      <c r="A40" s="25">
        <f>Mandatory!A38</f>
        <v>263</v>
      </c>
      <c r="B40" s="18" t="str">
        <f>INDEX('201314 RC list'!B:B,MATCH(A40,'201314 RC list'!A:A,0))</f>
        <v>Paediatric Diabetic Medicine</v>
      </c>
      <c r="C40" s="37">
        <f>VLOOKUP($L40,PRICES!$A:$CN,80,FALSE)</f>
        <v>194.87042806595824</v>
      </c>
      <c r="D40" s="35">
        <f>VLOOKUP($L40,PRICES!$A:$CN,81,FALSE)</f>
        <v>245.82353356132933</v>
      </c>
      <c r="E40" s="35">
        <f>VLOOKUP($L40,PRICES!$A:$CN,82,FALSE)</f>
        <v>93.957238182218504</v>
      </c>
      <c r="F40" s="19">
        <f>VLOOKUP($L40,PRICES!$A:$CN,83,FALSE)</f>
        <v>110.89756987745422</v>
      </c>
      <c r="G40" s="25" t="str">
        <f>IF(VLOOKUP($A40,PRICES!$A:$CN,70,FALSE)="Y","Manual Adjusted",IF(VLOOKUP($A40,PRICES!$A:$CN,51,FALSE)="Roll-over","Roll-Over","Modelled"))</f>
        <v>Modelled</v>
      </c>
      <c r="H40" s="43" t="str">
        <f>IF(VLOOKUP($A40,PRICES!$A:$CN,70,FALSE)="Y","Manual Adjusted",IF(VLOOKUP($A40,PRICES!$A:$CN,52,FALSE)="Roll-over","Roll-Over","Modelled"))</f>
        <v>Modelled</v>
      </c>
      <c r="I40" s="43" t="str">
        <f>IF(VLOOKUP($A40,PRICES!$A:$CN,70,FALSE)="Y","Manual Adjusted",IF(VLOOKUP($A40,PRICES!$A:$CN,53,FALSE)="Roll-over","Roll-Over","Modelled"))</f>
        <v>Modelled</v>
      </c>
      <c r="J40" s="44" t="str">
        <f>IF(VLOOKUP($A40,PRICES!$A:$CN,70,FALSE)="Y","Manual Adjusted",IF(VLOOKUP($A40,PRICES!$A:$CN,54,FALSE)="Roll-over","Roll-Over","Modelled"))</f>
        <v>Modelled</v>
      </c>
      <c r="L40" s="25">
        <f t="shared" si="0"/>
        <v>263</v>
      </c>
      <c r="M40" s="18" t="str">
        <f t="shared" si="1"/>
        <v>Paediatric Diabetic Medicine</v>
      </c>
      <c r="N40" s="37">
        <f>VLOOKUP($L40,PRICES!$A:$CN,75,FALSE)</f>
        <v>194.87042806595824</v>
      </c>
      <c r="O40" s="35">
        <f>VLOOKUP($L40,PRICES!$A:$CN,76,FALSE)</f>
        <v>245.82353356132933</v>
      </c>
      <c r="P40" s="35">
        <f>VLOOKUP($L40,PRICES!$A:$CN,77,FALSE)</f>
        <v>93.957238182218504</v>
      </c>
      <c r="Q40" s="19">
        <f>VLOOKUP($L40,PRICES!$A:$CN,78,FALSE)</f>
        <v>110.89756987745422</v>
      </c>
      <c r="R40" s="77">
        <f>IF(ISNUMBER(VLOOKUP(A40,#REF!,3,FALSE)),0,IF(ISNA(VLOOKUP(A40,'Manual adjustments'!$A:$S,16,FALSE)),1,1-VLOOKUP(A40,'Manual adjustments'!$A:$S,16,FALSE)))</f>
        <v>1</v>
      </c>
      <c r="S40" s="77">
        <f>IF(ISNUMBER(VLOOKUP(A40,#REF!,4,FALSE)),0,IF(ISNA(VLOOKUP(A40,'Manual adjustments'!$A:$S,17,FALSE)),1,1-VLOOKUP(A40,'Manual adjustments'!$A:$S,17,FALSE)))</f>
        <v>1</v>
      </c>
      <c r="T40" s="77">
        <f>IF(ISNUMBER(VLOOKUP(A40,#REF!,5,FALSE)),0,IF(ISNA(VLOOKUP(A40,'Manual adjustments'!$A:$S,18,FALSE)),1,1-VLOOKUP(A40,'Manual adjustments'!$A:$S,18,FALSE)))</f>
        <v>1</v>
      </c>
      <c r="U40" s="84">
        <f>IF(ISNUMBER(VLOOKUP(A40,#REF!,6,FALSE)),0,IF(ISNA(VLOOKUP(A40,'Manual adjustments'!$A:$S,19,FALSE)),1,1-VLOOKUP(A40,'Manual adjustments'!$A:$S,19,FALSE)))</f>
        <v>1</v>
      </c>
      <c r="W40" s="25">
        <f t="shared" si="2"/>
        <v>263</v>
      </c>
      <c r="X40" s="18" t="str">
        <f t="shared" si="3"/>
        <v>Paediatric Diabetic Medicine</v>
      </c>
      <c r="Y40" s="34">
        <f>IFERROR(VLOOKUP($W40,'Further adjustment'!$A:$Q,7,FALSE),0)</f>
        <v>2216</v>
      </c>
      <c r="Z40" s="36">
        <f>IFERROR(VLOOKUP($W40,'Further adjustment'!$A:$Q,6,FALSE),0)</f>
        <v>334</v>
      </c>
      <c r="AA40" s="36">
        <f>IFERROR(VLOOKUP($W40,'Further adjustment'!$A:$Q,9,FALSE),0)</f>
        <v>42150</v>
      </c>
      <c r="AB40" s="18">
        <f>IFERROR(VLOOKUP($W40,'Further adjustment'!$A:$Q,8,FALSE),0)</f>
        <v>9782</v>
      </c>
    </row>
    <row r="41" spans="1:28">
      <c r="A41" s="25">
        <f>Mandatory!A39</f>
        <v>300</v>
      </c>
      <c r="B41" s="18" t="str">
        <f>INDEX('201314 RC list'!B:B,MATCH(A41,'201314 RC list'!A:A,0))</f>
        <v>General Medicine</v>
      </c>
      <c r="C41" s="37">
        <f>VLOOKUP($L41,PRICES!$A:$CN,80,FALSE)</f>
        <v>184.41301801331772</v>
      </c>
      <c r="D41" s="35">
        <f>VLOOKUP($L41,PRICES!$A:$CN,81,FALSE)</f>
        <v>238.06502720645597</v>
      </c>
      <c r="E41" s="35">
        <f>VLOOKUP($L41,PRICES!$A:$CN,82,FALSE)</f>
        <v>107.62543344664786</v>
      </c>
      <c r="F41" s="19">
        <f>VLOOKUP($L41,PRICES!$A:$CN,83,FALSE)</f>
        <v>147.58534726129741</v>
      </c>
      <c r="G41" s="25" t="str">
        <f>IF(VLOOKUP($A41,PRICES!$A:$CN,70,FALSE)="Y","Manual Adjusted",IF(VLOOKUP($A41,PRICES!$A:$CN,51,FALSE)="Roll-over","Roll-Over","Modelled"))</f>
        <v>Modelled</v>
      </c>
      <c r="H41" s="43" t="str">
        <f>IF(VLOOKUP($A41,PRICES!$A:$CN,70,FALSE)="Y","Manual Adjusted",IF(VLOOKUP($A41,PRICES!$A:$CN,52,FALSE)="Roll-over","Roll-Over","Modelled"))</f>
        <v>Modelled</v>
      </c>
      <c r="I41" s="43" t="str">
        <f>IF(VLOOKUP($A41,PRICES!$A:$CN,70,FALSE)="Y","Manual Adjusted",IF(VLOOKUP($A41,PRICES!$A:$CN,53,FALSE)="Roll-over","Roll-Over","Modelled"))</f>
        <v>Modelled</v>
      </c>
      <c r="J41" s="44" t="str">
        <f>IF(VLOOKUP($A41,PRICES!$A:$CN,70,FALSE)="Y","Manual Adjusted",IF(VLOOKUP($A41,PRICES!$A:$CN,54,FALSE)="Roll-over","Roll-Over","Modelled"))</f>
        <v>Modelled</v>
      </c>
      <c r="L41" s="25">
        <f t="shared" si="0"/>
        <v>300</v>
      </c>
      <c r="M41" s="18" t="str">
        <f t="shared" si="1"/>
        <v>General Medicine</v>
      </c>
      <c r="N41" s="37">
        <f>VLOOKUP($L41,PRICES!$A:$CN,75,FALSE)</f>
        <v>184.41301801331772</v>
      </c>
      <c r="O41" s="35">
        <f>VLOOKUP($L41,PRICES!$A:$CN,76,FALSE)</f>
        <v>238.06502720645597</v>
      </c>
      <c r="P41" s="35">
        <f>VLOOKUP($L41,PRICES!$A:$CN,77,FALSE)</f>
        <v>107.62543344664786</v>
      </c>
      <c r="Q41" s="19">
        <f>VLOOKUP($L41,PRICES!$A:$CN,78,FALSE)</f>
        <v>147.58534726129741</v>
      </c>
      <c r="R41" s="77">
        <f>IF(ISNUMBER(VLOOKUP(A41,#REF!,3,FALSE)),0,IF(ISNA(VLOOKUP(A41,'Manual adjustments'!$A:$S,16,FALSE)),1,1-VLOOKUP(A41,'Manual adjustments'!$A:$S,16,FALSE)))</f>
        <v>1</v>
      </c>
      <c r="S41" s="77">
        <f>IF(ISNUMBER(VLOOKUP(A41,#REF!,4,FALSE)),0,IF(ISNA(VLOOKUP(A41,'Manual adjustments'!$A:$S,17,FALSE)),1,1-VLOOKUP(A41,'Manual adjustments'!$A:$S,17,FALSE)))</f>
        <v>1</v>
      </c>
      <c r="T41" s="77">
        <f>IF(ISNUMBER(VLOOKUP(A41,#REF!,5,FALSE)),0,IF(ISNA(VLOOKUP(A41,'Manual adjustments'!$A:$S,18,FALSE)),1,1-VLOOKUP(A41,'Manual adjustments'!$A:$S,18,FALSE)))</f>
        <v>1</v>
      </c>
      <c r="U41" s="84">
        <f>IF(ISNUMBER(VLOOKUP(A41,#REF!,6,FALSE)),0,IF(ISNA(VLOOKUP(A41,'Manual adjustments'!$A:$S,19,FALSE)),1,1-VLOOKUP(A41,'Manual adjustments'!$A:$S,19,FALSE)))</f>
        <v>1</v>
      </c>
      <c r="W41" s="25">
        <f t="shared" si="2"/>
        <v>300</v>
      </c>
      <c r="X41" s="18" t="str">
        <f t="shared" si="3"/>
        <v>General Medicine</v>
      </c>
      <c r="Y41" s="34">
        <f>IFERROR(VLOOKUP($W41,'Further adjustment'!$A:$Q,7,FALSE),0)</f>
        <v>317480</v>
      </c>
      <c r="Z41" s="36">
        <f>IFERROR(VLOOKUP($W41,'Further adjustment'!$A:$Q,6,FALSE),0)</f>
        <v>8611</v>
      </c>
      <c r="AA41" s="36">
        <f>IFERROR(VLOOKUP($W41,'Further adjustment'!$A:$Q,9,FALSE),0)</f>
        <v>526950</v>
      </c>
      <c r="AB41" s="18">
        <f>IFERROR(VLOOKUP($W41,'Further adjustment'!$A:$Q,8,FALSE),0)</f>
        <v>10391</v>
      </c>
    </row>
    <row r="42" spans="1:28">
      <c r="A42" s="25">
        <f>Mandatory!A40</f>
        <v>301</v>
      </c>
      <c r="B42" s="18" t="str">
        <f>INDEX('201314 RC list'!B:B,MATCH(A42,'201314 RC list'!A:A,0))</f>
        <v>Gastroenterology</v>
      </c>
      <c r="C42" s="37">
        <f>VLOOKUP($L42,PRICES!$A:$CN,80,FALSE)</f>
        <v>152.47060112770473</v>
      </c>
      <c r="D42" s="35">
        <f>VLOOKUP($L42,PRICES!$A:$CN,81,FALSE)</f>
        <v>198.73349423710494</v>
      </c>
      <c r="E42" s="35">
        <f>VLOOKUP($L42,PRICES!$A:$CN,82,FALSE)</f>
        <v>88.634242359429493</v>
      </c>
      <c r="F42" s="19">
        <f>VLOOKUP($L42,PRICES!$A:$CN,83,FALSE)</f>
        <v>128.8315557661731</v>
      </c>
      <c r="G42" s="25" t="str">
        <f>IF(VLOOKUP($A42,PRICES!$A:$CN,70,FALSE)="Y","Manual Adjusted",IF(VLOOKUP($A42,PRICES!$A:$CN,51,FALSE)="Roll-over","Roll-Over","Modelled"))</f>
        <v>Modelled</v>
      </c>
      <c r="H42" s="43" t="str">
        <f>IF(VLOOKUP($A42,PRICES!$A:$CN,70,FALSE)="Y","Manual Adjusted",IF(VLOOKUP($A42,PRICES!$A:$CN,52,FALSE)="Roll-over","Roll-Over","Modelled"))</f>
        <v>Modelled</v>
      </c>
      <c r="I42" s="43" t="str">
        <f>IF(VLOOKUP($A42,PRICES!$A:$CN,70,FALSE)="Y","Manual Adjusted",IF(VLOOKUP($A42,PRICES!$A:$CN,53,FALSE)="Roll-over","Roll-Over","Modelled"))</f>
        <v>Modelled</v>
      </c>
      <c r="J42" s="44" t="str">
        <f>IF(VLOOKUP($A42,PRICES!$A:$CN,70,FALSE)="Y","Manual Adjusted",IF(VLOOKUP($A42,PRICES!$A:$CN,54,FALSE)="Roll-over","Roll-Over","Modelled"))</f>
        <v>Modelled</v>
      </c>
      <c r="L42" s="25">
        <f t="shared" si="0"/>
        <v>301</v>
      </c>
      <c r="M42" s="18" t="str">
        <f t="shared" si="1"/>
        <v>Gastroenterology</v>
      </c>
      <c r="N42" s="37">
        <f>VLOOKUP($L42,PRICES!$A:$CN,75,FALSE)</f>
        <v>152.47060112770473</v>
      </c>
      <c r="O42" s="35">
        <f>VLOOKUP($L42,PRICES!$A:$CN,76,FALSE)</f>
        <v>198.73349423710494</v>
      </c>
      <c r="P42" s="35">
        <f>VLOOKUP($L42,PRICES!$A:$CN,77,FALSE)</f>
        <v>88.634242359429493</v>
      </c>
      <c r="Q42" s="19">
        <f>VLOOKUP($L42,PRICES!$A:$CN,78,FALSE)</f>
        <v>128.8315557661731</v>
      </c>
      <c r="R42" s="77">
        <f>IF(ISNUMBER(VLOOKUP(A42,#REF!,3,FALSE)),0,IF(ISNA(VLOOKUP(A42,'Manual adjustments'!$A:$S,16,FALSE)),1,1-VLOOKUP(A42,'Manual adjustments'!$A:$S,16,FALSE)))</f>
        <v>1</v>
      </c>
      <c r="S42" s="77">
        <f>IF(ISNUMBER(VLOOKUP(A42,#REF!,4,FALSE)),0,IF(ISNA(VLOOKUP(A42,'Manual adjustments'!$A:$S,17,FALSE)),1,1-VLOOKUP(A42,'Manual adjustments'!$A:$S,17,FALSE)))</f>
        <v>1</v>
      </c>
      <c r="T42" s="77">
        <f>IF(ISNUMBER(VLOOKUP(A42,#REF!,5,FALSE)),0,IF(ISNA(VLOOKUP(A42,'Manual adjustments'!$A:$S,18,FALSE)),1,1-VLOOKUP(A42,'Manual adjustments'!$A:$S,18,FALSE)))</f>
        <v>1</v>
      </c>
      <c r="U42" s="84">
        <f>IF(ISNUMBER(VLOOKUP(A42,#REF!,6,FALSE)),0,IF(ISNA(VLOOKUP(A42,'Manual adjustments'!$A:$S,19,FALSE)),1,1-VLOOKUP(A42,'Manual adjustments'!$A:$S,19,FALSE)))</f>
        <v>1</v>
      </c>
      <c r="W42" s="25">
        <f t="shared" si="2"/>
        <v>301</v>
      </c>
      <c r="X42" s="18" t="str">
        <f t="shared" si="3"/>
        <v>Gastroenterology</v>
      </c>
      <c r="Y42" s="34">
        <f>IFERROR(VLOOKUP($W42,'Further adjustment'!$A:$Q,7,FALSE),0)</f>
        <v>407741</v>
      </c>
      <c r="Z42" s="36">
        <f>IFERROR(VLOOKUP($W42,'Further adjustment'!$A:$Q,6,FALSE),0)</f>
        <v>4167</v>
      </c>
      <c r="AA42" s="36">
        <f>IFERROR(VLOOKUP($W42,'Further adjustment'!$A:$Q,9,FALSE),0)</f>
        <v>730613</v>
      </c>
      <c r="AB42" s="18">
        <f>IFERROR(VLOOKUP($W42,'Further adjustment'!$A:$Q,8,FALSE),0)</f>
        <v>13158</v>
      </c>
    </row>
    <row r="43" spans="1:28">
      <c r="A43" s="25">
        <f>Mandatory!A41</f>
        <v>302</v>
      </c>
      <c r="B43" s="18" t="str">
        <f>INDEX('201314 RC list'!B:B,MATCH(A43,'201314 RC list'!A:A,0))</f>
        <v>Endocrinology</v>
      </c>
      <c r="C43" s="37">
        <f>VLOOKUP($L43,PRICES!$A:$CN,80,FALSE)</f>
        <v>187.32139991599436</v>
      </c>
      <c r="D43" s="35">
        <f>VLOOKUP($L43,PRICES!$A:$CN,81,FALSE)</f>
        <v>216.09875833062887</v>
      </c>
      <c r="E43" s="35">
        <f>VLOOKUP($L43,PRICES!$A:$CN,82,FALSE)</f>
        <v>97.948202546327153</v>
      </c>
      <c r="F43" s="19">
        <f>VLOOKUP($L43,PRICES!$A:$CN,83,FALSE)</f>
        <v>126.71733541393121</v>
      </c>
      <c r="G43" s="25" t="str">
        <f>IF(VLOOKUP($A43,PRICES!$A:$CN,70,FALSE)="Y","Manual Adjusted",IF(VLOOKUP($A43,PRICES!$A:$CN,51,FALSE)="Roll-over","Roll-Over","Modelled"))</f>
        <v>Modelled</v>
      </c>
      <c r="H43" s="43" t="str">
        <f>IF(VLOOKUP($A43,PRICES!$A:$CN,70,FALSE)="Y","Manual Adjusted",IF(VLOOKUP($A43,PRICES!$A:$CN,52,FALSE)="Roll-over","Roll-Over","Modelled"))</f>
        <v>Modelled</v>
      </c>
      <c r="I43" s="43" t="str">
        <f>IF(VLOOKUP($A43,PRICES!$A:$CN,70,FALSE)="Y","Manual Adjusted",IF(VLOOKUP($A43,PRICES!$A:$CN,53,FALSE)="Roll-over","Roll-Over","Modelled"))</f>
        <v>Modelled</v>
      </c>
      <c r="J43" s="44" t="str">
        <f>IF(VLOOKUP($A43,PRICES!$A:$CN,70,FALSE)="Y","Manual Adjusted",IF(VLOOKUP($A43,PRICES!$A:$CN,54,FALSE)="Roll-over","Roll-Over","Modelled"))</f>
        <v>Modelled</v>
      </c>
      <c r="L43" s="25">
        <f t="shared" si="0"/>
        <v>302</v>
      </c>
      <c r="M43" s="18" t="str">
        <f t="shared" si="1"/>
        <v>Endocrinology</v>
      </c>
      <c r="N43" s="37">
        <f>VLOOKUP($L43,PRICES!$A:$CN,75,FALSE)</f>
        <v>187.32139991599436</v>
      </c>
      <c r="O43" s="35">
        <f>VLOOKUP($L43,PRICES!$A:$CN,76,FALSE)</f>
        <v>216.09875833062887</v>
      </c>
      <c r="P43" s="35">
        <f>VLOOKUP($L43,PRICES!$A:$CN,77,FALSE)</f>
        <v>97.948202546327153</v>
      </c>
      <c r="Q43" s="19">
        <f>VLOOKUP($L43,PRICES!$A:$CN,78,FALSE)</f>
        <v>126.71733541393121</v>
      </c>
      <c r="R43" s="77">
        <f>IF(ISNUMBER(VLOOKUP(A43,#REF!,3,FALSE)),0,IF(ISNA(VLOOKUP(A43,'Manual adjustments'!$A:$S,16,FALSE)),1,1-VLOOKUP(A43,'Manual adjustments'!$A:$S,16,FALSE)))</f>
        <v>1</v>
      </c>
      <c r="S43" s="77">
        <f>IF(ISNUMBER(VLOOKUP(A43,#REF!,4,FALSE)),0,IF(ISNA(VLOOKUP(A43,'Manual adjustments'!$A:$S,17,FALSE)),1,1-VLOOKUP(A43,'Manual adjustments'!$A:$S,17,FALSE)))</f>
        <v>1</v>
      </c>
      <c r="T43" s="77">
        <f>IF(ISNUMBER(VLOOKUP(A43,#REF!,5,FALSE)),0,IF(ISNA(VLOOKUP(A43,'Manual adjustments'!$A:$S,18,FALSE)),1,1-VLOOKUP(A43,'Manual adjustments'!$A:$S,18,FALSE)))</f>
        <v>1</v>
      </c>
      <c r="U43" s="84">
        <f>IF(ISNUMBER(VLOOKUP(A43,#REF!,6,FALSE)),0,IF(ISNA(VLOOKUP(A43,'Manual adjustments'!$A:$S,19,FALSE)),1,1-VLOOKUP(A43,'Manual adjustments'!$A:$S,19,FALSE)))</f>
        <v>1</v>
      </c>
      <c r="W43" s="25">
        <f t="shared" si="2"/>
        <v>302</v>
      </c>
      <c r="X43" s="18" t="str">
        <f t="shared" si="3"/>
        <v>Endocrinology</v>
      </c>
      <c r="Y43" s="34">
        <f>IFERROR(VLOOKUP($W43,'Further adjustment'!$A:$Q,7,FALSE),0)</f>
        <v>109353</v>
      </c>
      <c r="Z43" s="36">
        <f>IFERROR(VLOOKUP($W43,'Further adjustment'!$A:$Q,6,FALSE),0)</f>
        <v>2862</v>
      </c>
      <c r="AA43" s="36">
        <f>IFERROR(VLOOKUP($W43,'Further adjustment'!$A:$Q,9,FALSE),0)</f>
        <v>353384</v>
      </c>
      <c r="AB43" s="18">
        <f>IFERROR(VLOOKUP($W43,'Further adjustment'!$A:$Q,8,FALSE),0)</f>
        <v>8880</v>
      </c>
    </row>
    <row r="44" spans="1:28">
      <c r="A44" s="25">
        <f>Mandatory!A42</f>
        <v>303</v>
      </c>
      <c r="B44" s="18" t="str">
        <f>INDEX('201314 RC list'!B:B,MATCH(A44,'201314 RC list'!A:A,0))</f>
        <v>Clinical Haematology</v>
      </c>
      <c r="C44" s="37">
        <f>VLOOKUP($L44,PRICES!$A:$CN,80,FALSE)</f>
        <v>255.70399934938632</v>
      </c>
      <c r="D44" s="35">
        <f>VLOOKUP($L44,PRICES!$A:$CN,81,FALSE)</f>
        <v>419.00484544679773</v>
      </c>
      <c r="E44" s="35">
        <f>VLOOKUP($L44,PRICES!$A:$CN,82,FALSE)</f>
        <v>115.47132521261173</v>
      </c>
      <c r="F44" s="19">
        <f>VLOOKUP($L44,PRICES!$A:$CN,83,FALSE)</f>
        <v>199.99782233315855</v>
      </c>
      <c r="G44" s="25" t="str">
        <f>IF(VLOOKUP($A44,PRICES!$A:$CN,70,FALSE)="Y","Manual Adjusted",IF(VLOOKUP($A44,PRICES!$A:$CN,51,FALSE)="Roll-over","Roll-Over","Modelled"))</f>
        <v>Modelled</v>
      </c>
      <c r="H44" s="43" t="str">
        <f>IF(VLOOKUP($A44,PRICES!$A:$CN,70,FALSE)="Y","Manual Adjusted",IF(VLOOKUP($A44,PRICES!$A:$CN,52,FALSE)="Roll-over","Roll-Over","Modelled"))</f>
        <v>Modelled</v>
      </c>
      <c r="I44" s="43" t="str">
        <f>IF(VLOOKUP($A44,PRICES!$A:$CN,70,FALSE)="Y","Manual Adjusted",IF(VLOOKUP($A44,PRICES!$A:$CN,53,FALSE)="Roll-over","Roll-Over","Modelled"))</f>
        <v>Modelled</v>
      </c>
      <c r="J44" s="44" t="str">
        <f>IF(VLOOKUP($A44,PRICES!$A:$CN,70,FALSE)="Y","Manual Adjusted",IF(VLOOKUP($A44,PRICES!$A:$CN,54,FALSE)="Roll-over","Roll-Over","Modelled"))</f>
        <v>Modelled</v>
      </c>
      <c r="L44" s="25">
        <f t="shared" si="0"/>
        <v>303</v>
      </c>
      <c r="M44" s="18" t="str">
        <f t="shared" si="1"/>
        <v>Clinical Haematology</v>
      </c>
      <c r="N44" s="37">
        <f>VLOOKUP($L44,PRICES!$A:$CN,75,FALSE)</f>
        <v>255.70399934938632</v>
      </c>
      <c r="O44" s="35">
        <f>VLOOKUP($L44,PRICES!$A:$CN,76,FALSE)</f>
        <v>419.00484544679773</v>
      </c>
      <c r="P44" s="35">
        <f>VLOOKUP($L44,PRICES!$A:$CN,77,FALSE)</f>
        <v>115.47132521261173</v>
      </c>
      <c r="Q44" s="19">
        <f>VLOOKUP($L44,PRICES!$A:$CN,78,FALSE)</f>
        <v>199.99782233315855</v>
      </c>
      <c r="R44" s="77">
        <f>IF(ISNUMBER(VLOOKUP(A44,#REF!,3,FALSE)),0,IF(ISNA(VLOOKUP(A44,'Manual adjustments'!$A:$S,16,FALSE)),1,1-VLOOKUP(A44,'Manual adjustments'!$A:$S,16,FALSE)))</f>
        <v>1</v>
      </c>
      <c r="S44" s="77">
        <f>IF(ISNUMBER(VLOOKUP(A44,#REF!,4,FALSE)),0,IF(ISNA(VLOOKUP(A44,'Manual adjustments'!$A:$S,17,FALSE)),1,1-VLOOKUP(A44,'Manual adjustments'!$A:$S,17,FALSE)))</f>
        <v>1</v>
      </c>
      <c r="T44" s="77">
        <f>IF(ISNUMBER(VLOOKUP(A44,#REF!,5,FALSE)),0,IF(ISNA(VLOOKUP(A44,'Manual adjustments'!$A:$S,18,FALSE)),1,1-VLOOKUP(A44,'Manual adjustments'!$A:$S,18,FALSE)))</f>
        <v>1</v>
      </c>
      <c r="U44" s="84">
        <f>IF(ISNUMBER(VLOOKUP(A44,#REF!,6,FALSE)),0,IF(ISNA(VLOOKUP(A44,'Manual adjustments'!$A:$S,19,FALSE)),1,1-VLOOKUP(A44,'Manual adjustments'!$A:$S,19,FALSE)))</f>
        <v>1</v>
      </c>
      <c r="W44" s="25">
        <f t="shared" si="2"/>
        <v>303</v>
      </c>
      <c r="X44" s="18" t="str">
        <f t="shared" si="3"/>
        <v>Clinical Haematology</v>
      </c>
      <c r="Y44" s="34">
        <f>IFERROR(VLOOKUP($W44,'Further adjustment'!$A:$Q,7,FALSE),0)</f>
        <v>169691</v>
      </c>
      <c r="Z44" s="36">
        <f>IFERROR(VLOOKUP($W44,'Further adjustment'!$A:$Q,6,FALSE),0)</f>
        <v>4882</v>
      </c>
      <c r="AA44" s="36">
        <f>IFERROR(VLOOKUP($W44,'Further adjustment'!$A:$Q,9,FALSE),0)</f>
        <v>1074499</v>
      </c>
      <c r="AB44" s="18">
        <f>IFERROR(VLOOKUP($W44,'Further adjustment'!$A:$Q,8,FALSE),0)</f>
        <v>43124</v>
      </c>
    </row>
    <row r="45" spans="1:28">
      <c r="A45" s="25">
        <f>Mandatory!A43</f>
        <v>306</v>
      </c>
      <c r="B45" s="18" t="str">
        <f>INDEX('201314 RC list'!B:B,MATCH(A45,'201314 RC list'!A:A,0))</f>
        <v>Hepatology</v>
      </c>
      <c r="C45" s="37">
        <f>VLOOKUP($L45,PRICES!$A:$CN,80,FALSE)</f>
        <v>232.82266997256258</v>
      </c>
      <c r="D45" s="35">
        <f>VLOOKUP($L45,PRICES!$A:$CN,81,FALSE)</f>
        <v>361.59786018281727</v>
      </c>
      <c r="E45" s="35">
        <f>VLOOKUP($L45,PRICES!$A:$CN,82,FALSE)</f>
        <v>128.73385927314317</v>
      </c>
      <c r="F45" s="19">
        <f>VLOOKUP($L45,PRICES!$A:$CN,83,FALSE)</f>
        <v>172.62365206578784</v>
      </c>
      <c r="G45" s="25" t="str">
        <f>IF(VLOOKUP($A45,PRICES!$A:$CN,70,FALSE)="Y","Manual Adjusted",IF(VLOOKUP($A45,PRICES!$A:$CN,51,FALSE)="Roll-over","Roll-Over","Modelled"))</f>
        <v>Modelled</v>
      </c>
      <c r="H45" s="43" t="str">
        <f>IF(VLOOKUP($A45,PRICES!$A:$CN,70,FALSE)="Y","Manual Adjusted",IF(VLOOKUP($A45,PRICES!$A:$CN,52,FALSE)="Roll-over","Roll-Over","Modelled"))</f>
        <v>Modelled</v>
      </c>
      <c r="I45" s="43" t="str">
        <f>IF(VLOOKUP($A45,PRICES!$A:$CN,70,FALSE)="Y","Manual Adjusted",IF(VLOOKUP($A45,PRICES!$A:$CN,53,FALSE)="Roll-over","Roll-Over","Modelled"))</f>
        <v>Modelled</v>
      </c>
      <c r="J45" s="44" t="str">
        <f>IF(VLOOKUP($A45,PRICES!$A:$CN,70,FALSE)="Y","Manual Adjusted",IF(VLOOKUP($A45,PRICES!$A:$CN,54,FALSE)="Roll-over","Roll-Over","Modelled"))</f>
        <v>Modelled</v>
      </c>
      <c r="L45" s="25">
        <f t="shared" si="0"/>
        <v>306</v>
      </c>
      <c r="M45" s="18" t="str">
        <f t="shared" si="1"/>
        <v>Hepatology</v>
      </c>
      <c r="N45" s="37">
        <f>VLOOKUP($L45,PRICES!$A:$CN,75,FALSE)</f>
        <v>232.82266997256258</v>
      </c>
      <c r="O45" s="35">
        <f>VLOOKUP($L45,PRICES!$A:$CN,76,FALSE)</f>
        <v>361.59786018281727</v>
      </c>
      <c r="P45" s="35">
        <f>VLOOKUP($L45,PRICES!$A:$CN,77,FALSE)</f>
        <v>128.73385927314317</v>
      </c>
      <c r="Q45" s="19">
        <f>VLOOKUP($L45,PRICES!$A:$CN,78,FALSE)</f>
        <v>172.62365206578784</v>
      </c>
      <c r="R45" s="77">
        <f>IF(ISNUMBER(VLOOKUP(A45,#REF!,3,FALSE)),0,IF(ISNA(VLOOKUP(A45,'Manual adjustments'!$A:$S,16,FALSE)),1,1-VLOOKUP(A45,'Manual adjustments'!$A:$S,16,FALSE)))</f>
        <v>1</v>
      </c>
      <c r="S45" s="77">
        <f>IF(ISNUMBER(VLOOKUP(A45,#REF!,4,FALSE)),0,IF(ISNA(VLOOKUP(A45,'Manual adjustments'!$A:$S,17,FALSE)),1,1-VLOOKUP(A45,'Manual adjustments'!$A:$S,17,FALSE)))</f>
        <v>1</v>
      </c>
      <c r="T45" s="77">
        <f>IF(ISNUMBER(VLOOKUP(A45,#REF!,5,FALSE)),0,IF(ISNA(VLOOKUP(A45,'Manual adjustments'!$A:$S,18,FALSE)),1,1-VLOOKUP(A45,'Manual adjustments'!$A:$S,18,FALSE)))</f>
        <v>1</v>
      </c>
      <c r="U45" s="84">
        <f>IF(ISNUMBER(VLOOKUP(A45,#REF!,6,FALSE)),0,IF(ISNA(VLOOKUP(A45,'Manual adjustments'!$A:$S,19,FALSE)),1,1-VLOOKUP(A45,'Manual adjustments'!$A:$S,19,FALSE)))</f>
        <v>1</v>
      </c>
      <c r="W45" s="25">
        <f t="shared" si="2"/>
        <v>306</v>
      </c>
      <c r="X45" s="18" t="str">
        <f t="shared" si="3"/>
        <v>Hepatology</v>
      </c>
      <c r="Y45" s="34">
        <f>IFERROR(VLOOKUP($W45,'Further adjustment'!$A:$Q,7,FALSE),0)</f>
        <v>31501</v>
      </c>
      <c r="Z45" s="36">
        <f>IFERROR(VLOOKUP($W45,'Further adjustment'!$A:$Q,6,FALSE),0)</f>
        <v>2609</v>
      </c>
      <c r="AA45" s="36">
        <f>IFERROR(VLOOKUP($W45,'Further adjustment'!$A:$Q,9,FALSE),0)</f>
        <v>130053</v>
      </c>
      <c r="AB45" s="18">
        <f>IFERROR(VLOOKUP($W45,'Further adjustment'!$A:$Q,8,FALSE),0)</f>
        <v>14735</v>
      </c>
    </row>
    <row r="46" spans="1:28">
      <c r="A46" s="25">
        <f>Mandatory!A44</f>
        <v>307</v>
      </c>
      <c r="B46" s="18" t="str">
        <f>INDEX('201314 RC list'!B:B,MATCH(A46,'201314 RC list'!A:A,0))</f>
        <v>Diabetic Medicine</v>
      </c>
      <c r="C46" s="37">
        <f>VLOOKUP($L46,PRICES!$A:$CN,80,FALSE)</f>
        <v>194.87042806595824</v>
      </c>
      <c r="D46" s="35">
        <f>VLOOKUP($L46,PRICES!$A:$CN,81,FALSE)</f>
        <v>245.82353356132933</v>
      </c>
      <c r="E46" s="35">
        <f>VLOOKUP($L46,PRICES!$A:$CN,82,FALSE)</f>
        <v>93.957238182218504</v>
      </c>
      <c r="F46" s="19">
        <f>VLOOKUP($L46,PRICES!$A:$CN,83,FALSE)</f>
        <v>110.89756987745422</v>
      </c>
      <c r="G46" s="25" t="str">
        <f>IF(VLOOKUP($A46,PRICES!$A:$CN,70,FALSE)="Y","Manual Adjusted",IF(VLOOKUP($A46,PRICES!$A:$CN,51,FALSE)="Roll-over","Roll-Over","Modelled"))</f>
        <v>Modelled</v>
      </c>
      <c r="H46" s="43" t="str">
        <f>IF(VLOOKUP($A46,PRICES!$A:$CN,70,FALSE)="Y","Manual Adjusted",IF(VLOOKUP($A46,PRICES!$A:$CN,52,FALSE)="Roll-over","Roll-Over","Modelled"))</f>
        <v>Modelled</v>
      </c>
      <c r="I46" s="43" t="str">
        <f>IF(VLOOKUP($A46,PRICES!$A:$CN,70,FALSE)="Y","Manual Adjusted",IF(VLOOKUP($A46,PRICES!$A:$CN,53,FALSE)="Roll-over","Roll-Over","Modelled"))</f>
        <v>Modelled</v>
      </c>
      <c r="J46" s="44" t="str">
        <f>IF(VLOOKUP($A46,PRICES!$A:$CN,70,FALSE)="Y","Manual Adjusted",IF(VLOOKUP($A46,PRICES!$A:$CN,54,FALSE)="Roll-over","Roll-Over","Modelled"))</f>
        <v>Modelled</v>
      </c>
      <c r="L46" s="25">
        <f t="shared" si="0"/>
        <v>307</v>
      </c>
      <c r="M46" s="18" t="str">
        <f t="shared" si="1"/>
        <v>Diabetic Medicine</v>
      </c>
      <c r="N46" s="37">
        <f>VLOOKUP($L46,PRICES!$A:$CN,75,FALSE)</f>
        <v>194.87042806595824</v>
      </c>
      <c r="O46" s="35">
        <f>VLOOKUP($L46,PRICES!$A:$CN,76,FALSE)</f>
        <v>245.82353356132933</v>
      </c>
      <c r="P46" s="35">
        <f>VLOOKUP($L46,PRICES!$A:$CN,77,FALSE)</f>
        <v>93.957238182218504</v>
      </c>
      <c r="Q46" s="19">
        <f>VLOOKUP($L46,PRICES!$A:$CN,78,FALSE)</f>
        <v>110.89756987745422</v>
      </c>
      <c r="R46" s="77">
        <f>IF(ISNUMBER(VLOOKUP(A46,#REF!,3,FALSE)),0,IF(ISNA(VLOOKUP(A46,'Manual adjustments'!$A:$S,16,FALSE)),1,1-VLOOKUP(A46,'Manual adjustments'!$A:$S,16,FALSE)))</f>
        <v>1</v>
      </c>
      <c r="S46" s="77">
        <f>IF(ISNUMBER(VLOOKUP(A46,#REF!,4,FALSE)),0,IF(ISNA(VLOOKUP(A46,'Manual adjustments'!$A:$S,17,FALSE)),1,1-VLOOKUP(A46,'Manual adjustments'!$A:$S,17,FALSE)))</f>
        <v>1</v>
      </c>
      <c r="T46" s="77">
        <f>IF(ISNUMBER(VLOOKUP(A46,#REF!,5,FALSE)),0,IF(ISNA(VLOOKUP(A46,'Manual adjustments'!$A:$S,18,FALSE)),1,1-VLOOKUP(A46,'Manual adjustments'!$A:$S,18,FALSE)))</f>
        <v>1</v>
      </c>
      <c r="U46" s="84">
        <f>IF(ISNUMBER(VLOOKUP(A46,#REF!,6,FALSE)),0,IF(ISNA(VLOOKUP(A46,'Manual adjustments'!$A:$S,19,FALSE)),1,1-VLOOKUP(A46,'Manual adjustments'!$A:$S,19,FALSE)))</f>
        <v>1</v>
      </c>
      <c r="W46" s="25">
        <f t="shared" si="2"/>
        <v>307</v>
      </c>
      <c r="X46" s="18" t="str">
        <f t="shared" si="3"/>
        <v>Diabetic Medicine</v>
      </c>
      <c r="Y46" s="34">
        <f>IFERROR(VLOOKUP($W46,'Further adjustment'!$A:$Q,7,FALSE),0)</f>
        <v>107398</v>
      </c>
      <c r="Z46" s="36">
        <f>IFERROR(VLOOKUP($W46,'Further adjustment'!$A:$Q,6,FALSE),0)</f>
        <v>11057</v>
      </c>
      <c r="AA46" s="36">
        <f>IFERROR(VLOOKUP($W46,'Further adjustment'!$A:$Q,9,FALSE),0)</f>
        <v>552027</v>
      </c>
      <c r="AB46" s="18">
        <f>IFERROR(VLOOKUP($W46,'Further adjustment'!$A:$Q,8,FALSE),0)</f>
        <v>63227</v>
      </c>
    </row>
    <row r="47" spans="1:28">
      <c r="A47" s="25">
        <f>Mandatory!A45</f>
        <v>320</v>
      </c>
      <c r="B47" s="18" t="str">
        <f>INDEX('201314 RC list'!B:B,MATCH(A47,'201314 RC list'!A:A,0))</f>
        <v>Cardiology</v>
      </c>
      <c r="C47" s="37">
        <f>VLOOKUP($L47,PRICES!$A:$CN,80,FALSE)</f>
        <v>145.52626008117355</v>
      </c>
      <c r="D47" s="35">
        <f>VLOOKUP($L47,PRICES!$A:$CN,81,FALSE)</f>
        <v>216.38284339831881</v>
      </c>
      <c r="E47" s="35">
        <f>VLOOKUP($L47,PRICES!$A:$CN,82,FALSE)</f>
        <v>91.644354542475895</v>
      </c>
      <c r="F47" s="19">
        <f>VLOOKUP($L47,PRICES!$A:$CN,83,FALSE)</f>
        <v>125.1551306784786</v>
      </c>
      <c r="G47" s="25" t="str">
        <f>IF(VLOOKUP($A47,PRICES!$A:$CN,70,FALSE)="Y","Manual Adjusted",IF(VLOOKUP($A47,PRICES!$A:$CN,51,FALSE)="Roll-over","Roll-Over","Modelled"))</f>
        <v>Modelled</v>
      </c>
      <c r="H47" s="43" t="str">
        <f>IF(VLOOKUP($A47,PRICES!$A:$CN,70,FALSE)="Y","Manual Adjusted",IF(VLOOKUP($A47,PRICES!$A:$CN,52,FALSE)="Roll-over","Roll-Over","Modelled"))</f>
        <v>Modelled</v>
      </c>
      <c r="I47" s="43" t="str">
        <f>IF(VLOOKUP($A47,PRICES!$A:$CN,70,FALSE)="Y","Manual Adjusted",IF(VLOOKUP($A47,PRICES!$A:$CN,53,FALSE)="Roll-over","Roll-Over","Modelled"))</f>
        <v>Modelled</v>
      </c>
      <c r="J47" s="44" t="str">
        <f>IF(VLOOKUP($A47,PRICES!$A:$CN,70,FALSE)="Y","Manual Adjusted",IF(VLOOKUP($A47,PRICES!$A:$CN,54,FALSE)="Roll-over","Roll-Over","Modelled"))</f>
        <v>Modelled</v>
      </c>
      <c r="L47" s="25">
        <f t="shared" si="0"/>
        <v>320</v>
      </c>
      <c r="M47" s="18" t="str">
        <f t="shared" si="1"/>
        <v>Cardiology</v>
      </c>
      <c r="N47" s="37">
        <f>VLOOKUP($L47,PRICES!$A:$CN,75,FALSE)</f>
        <v>145.52626008117355</v>
      </c>
      <c r="O47" s="35">
        <f>VLOOKUP($L47,PRICES!$A:$CN,76,FALSE)</f>
        <v>216.38284339831881</v>
      </c>
      <c r="P47" s="35">
        <f>VLOOKUP($L47,PRICES!$A:$CN,77,FALSE)</f>
        <v>91.644354542475895</v>
      </c>
      <c r="Q47" s="19">
        <f>VLOOKUP($L47,PRICES!$A:$CN,78,FALSE)</f>
        <v>125.1551306784786</v>
      </c>
      <c r="R47" s="77">
        <f>IF(ISNUMBER(VLOOKUP(A47,#REF!,3,FALSE)),0,IF(ISNA(VLOOKUP(A47,'Manual adjustments'!$A:$S,16,FALSE)),1,1-VLOOKUP(A47,'Manual adjustments'!$A:$S,16,FALSE)))</f>
        <v>1</v>
      </c>
      <c r="S47" s="77">
        <f>IF(ISNUMBER(VLOOKUP(A47,#REF!,4,FALSE)),0,IF(ISNA(VLOOKUP(A47,'Manual adjustments'!$A:$S,17,FALSE)),1,1-VLOOKUP(A47,'Manual adjustments'!$A:$S,17,FALSE)))</f>
        <v>1</v>
      </c>
      <c r="T47" s="77">
        <f>IF(ISNUMBER(VLOOKUP(A47,#REF!,5,FALSE)),0,IF(ISNA(VLOOKUP(A47,'Manual adjustments'!$A:$S,18,FALSE)),1,1-VLOOKUP(A47,'Manual adjustments'!$A:$S,18,FALSE)))</f>
        <v>1</v>
      </c>
      <c r="U47" s="84">
        <f>IF(ISNUMBER(VLOOKUP(A47,#REF!,6,FALSE)),0,IF(ISNA(VLOOKUP(A47,'Manual adjustments'!$A:$S,19,FALSE)),1,1-VLOOKUP(A47,'Manual adjustments'!$A:$S,19,FALSE)))</f>
        <v>1</v>
      </c>
      <c r="W47" s="25">
        <f t="shared" si="2"/>
        <v>320</v>
      </c>
      <c r="X47" s="18" t="str">
        <f t="shared" si="3"/>
        <v>Cardiology</v>
      </c>
      <c r="Y47" s="34">
        <f>IFERROR(VLOOKUP($W47,'Further adjustment'!$A:$Q,7,FALSE),0)</f>
        <v>733196</v>
      </c>
      <c r="Z47" s="36">
        <f>IFERROR(VLOOKUP($W47,'Further adjustment'!$A:$Q,6,FALSE),0)</f>
        <v>15319</v>
      </c>
      <c r="AA47" s="35">
        <f>IFERROR(VLOOKUP($W47,'Further adjustment'!$A:$Q,9,FALSE),0)</f>
        <v>1064036</v>
      </c>
      <c r="AB47" s="19">
        <f>IFERROR(VLOOKUP($W47,'Further adjustment'!$A:$Q,8,FALSE),0)</f>
        <v>33868</v>
      </c>
    </row>
    <row r="48" spans="1:28">
      <c r="A48" s="25">
        <f>Mandatory!A46</f>
        <v>321</v>
      </c>
      <c r="B48" s="18" t="str">
        <f>INDEX('201314 RC list'!B:B,MATCH(A48,'201314 RC list'!A:A,0))</f>
        <v>Paediatric Cardiology</v>
      </c>
      <c r="C48" s="37">
        <f>VLOOKUP($L48,PRICES!$A:$CN,80,FALSE)</f>
        <v>217.12575290445835</v>
      </c>
      <c r="D48" s="35">
        <f>VLOOKUP($L48,PRICES!$A:$CN,81,FALSE)</f>
        <v>217.12575290445835</v>
      </c>
      <c r="E48" s="35">
        <f>VLOOKUP($L48,PRICES!$A:$CN,82,FALSE)</f>
        <v>118.66676524791544</v>
      </c>
      <c r="F48" s="19">
        <f>VLOOKUP($L48,PRICES!$A:$CN,83,FALSE)</f>
        <v>154.99543363066013</v>
      </c>
      <c r="G48" s="25" t="str">
        <f>IF(VLOOKUP($A48,PRICES!$A:$CN,70,FALSE)="Y","Manual Adjusted",IF(VLOOKUP($A48,PRICES!$A:$CN,51,FALSE)="Roll-over","Roll-Over","Modelled"))</f>
        <v>Modelled</v>
      </c>
      <c r="H48" s="43" t="str">
        <f>IF(VLOOKUP($A48,PRICES!$A:$CN,70,FALSE)="Y","Manual Adjusted",IF(VLOOKUP($A48,PRICES!$A:$CN,52,FALSE)="Roll-over","Roll-Over","Modelled"))</f>
        <v>Modelled</v>
      </c>
      <c r="I48" s="43" t="str">
        <f>IF(VLOOKUP($A48,PRICES!$A:$CN,70,FALSE)="Y","Manual Adjusted",IF(VLOOKUP($A48,PRICES!$A:$CN,53,FALSE)="Roll-over","Roll-Over","Modelled"))</f>
        <v>Modelled</v>
      </c>
      <c r="J48" s="44" t="str">
        <f>IF(VLOOKUP($A48,PRICES!$A:$CN,70,FALSE)="Y","Manual Adjusted",IF(VLOOKUP($A48,PRICES!$A:$CN,54,FALSE)="Roll-over","Roll-Over","Modelled"))</f>
        <v>Modelled</v>
      </c>
      <c r="L48" s="25">
        <f t="shared" si="0"/>
        <v>321</v>
      </c>
      <c r="M48" s="18" t="str">
        <f t="shared" si="1"/>
        <v>Paediatric Cardiology</v>
      </c>
      <c r="N48" s="37">
        <f>VLOOKUP($L48,PRICES!$A:$CN,75,FALSE)</f>
        <v>217.12575290445835</v>
      </c>
      <c r="O48" s="35">
        <f>VLOOKUP($L48,PRICES!$A:$CN,76,FALSE)</f>
        <v>217.12575290445835</v>
      </c>
      <c r="P48" s="35">
        <f>VLOOKUP($L48,PRICES!$A:$CN,77,FALSE)</f>
        <v>118.66676524791544</v>
      </c>
      <c r="Q48" s="19">
        <f>VLOOKUP($L48,PRICES!$A:$CN,78,FALSE)</f>
        <v>154.99543363066013</v>
      </c>
      <c r="R48" s="77">
        <f>IF(ISNUMBER(VLOOKUP(A48,#REF!,3,FALSE)),0,IF(ISNA(VLOOKUP(A48,'Manual adjustments'!$A:$S,16,FALSE)),1,1-VLOOKUP(A48,'Manual adjustments'!$A:$S,16,FALSE)))</f>
        <v>1</v>
      </c>
      <c r="S48" s="77">
        <f>IF(ISNUMBER(VLOOKUP(A48,#REF!,4,FALSE)),0,IF(ISNA(VLOOKUP(A48,'Manual adjustments'!$A:$S,17,FALSE)),1,1-VLOOKUP(A48,'Manual adjustments'!$A:$S,17,FALSE)))</f>
        <v>1</v>
      </c>
      <c r="T48" s="77">
        <f>IF(ISNUMBER(VLOOKUP(A48,#REF!,5,FALSE)),0,IF(ISNA(VLOOKUP(A48,'Manual adjustments'!$A:$S,18,FALSE)),1,1-VLOOKUP(A48,'Manual adjustments'!$A:$S,18,FALSE)))</f>
        <v>1</v>
      </c>
      <c r="U48" s="84">
        <f>IF(ISNUMBER(VLOOKUP(A48,#REF!,6,FALSE)),0,IF(ISNA(VLOOKUP(A48,'Manual adjustments'!$A:$S,19,FALSE)),1,1-VLOOKUP(A48,'Manual adjustments'!$A:$S,19,FALSE)))</f>
        <v>1</v>
      </c>
      <c r="W48" s="25">
        <f t="shared" si="2"/>
        <v>321</v>
      </c>
      <c r="X48" s="18" t="str">
        <f t="shared" si="3"/>
        <v>Paediatric Cardiology</v>
      </c>
      <c r="Y48" s="34">
        <f>IFERROR(VLOOKUP($W48,'Further adjustment'!$A:$Q,7,FALSE),0)</f>
        <v>29219</v>
      </c>
      <c r="Z48" s="36">
        <f>IFERROR(VLOOKUP($W48,'Further adjustment'!$A:$Q,6,FALSE),0)</f>
        <v>1564</v>
      </c>
      <c r="AA48" s="36">
        <f>IFERROR(VLOOKUP($W48,'Further adjustment'!$A:$Q,9,FALSE),0)</f>
        <v>77767</v>
      </c>
      <c r="AB48" s="18">
        <f>IFERROR(VLOOKUP($W48,'Further adjustment'!$A:$Q,8,FALSE),0)</f>
        <v>3558</v>
      </c>
    </row>
    <row r="49" spans="1:28">
      <c r="A49" s="25">
        <f>Mandatory!A47</f>
        <v>329</v>
      </c>
      <c r="B49" s="18" t="str">
        <f>INDEX('201314 RC list'!B:B,MATCH(A49,'201314 RC list'!A:A,0))</f>
        <v>Transient Ischaemic Attack</v>
      </c>
      <c r="C49" s="37">
        <f>VLOOKUP($L49,PRICES!$A:$CN,80,FALSE)</f>
        <v>167.62071693040625</v>
      </c>
      <c r="D49" s="35">
        <f>VLOOKUP($L49,PRICES!$A:$CN,81,FALSE)</f>
        <v>204.35456111872625</v>
      </c>
      <c r="E49" s="38">
        <f>VLOOKUP($L49,PRICES!$A:$CN,82,FALSE)</f>
        <v>90.100201151558053</v>
      </c>
      <c r="F49" s="20">
        <f>VLOOKUP($L49,PRICES!$A:$CN,83,FALSE)</f>
        <v>105.91930627242296</v>
      </c>
      <c r="G49" s="25" t="str">
        <f>IF(VLOOKUP($A49,PRICES!$A:$CN,70,FALSE)="Y","Manual Adjusted",IF(VLOOKUP($A49,PRICES!$A:$CN,51,FALSE)="Roll-over","Roll-Over","Modelled"))</f>
        <v>Modelled</v>
      </c>
      <c r="H49" s="43" t="str">
        <f>IF(VLOOKUP($A49,PRICES!$A:$CN,70,FALSE)="Y","Manual Adjusted",IF(VLOOKUP($A49,PRICES!$A:$CN,52,FALSE)="Roll-over","Roll-Over","Modelled"))</f>
        <v>Modelled</v>
      </c>
      <c r="I49" s="43" t="str">
        <f>IF(VLOOKUP($A49,PRICES!$A:$CN,70,FALSE)="Y","Manual Adjusted",IF(VLOOKUP($A49,PRICES!$A:$CN,53,FALSE)="Roll-over","Roll-Over","Modelled"))</f>
        <v>Modelled</v>
      </c>
      <c r="J49" s="44" t="str">
        <f>IF(VLOOKUP($A49,PRICES!$A:$CN,70,FALSE)="Y","Manual Adjusted",IF(VLOOKUP($A49,PRICES!$A:$CN,54,FALSE)="Roll-over","Roll-Over","Modelled"))</f>
        <v>Modelled</v>
      </c>
      <c r="L49" s="25">
        <f t="shared" si="0"/>
        <v>329</v>
      </c>
      <c r="M49" s="18" t="str">
        <f t="shared" si="1"/>
        <v>Transient Ischaemic Attack</v>
      </c>
      <c r="N49" s="37">
        <f>VLOOKUP($L49,PRICES!$A:$CN,75,FALSE)</f>
        <v>167.62071693040625</v>
      </c>
      <c r="O49" s="35">
        <f>VLOOKUP($L49,PRICES!$A:$CN,76,FALSE)</f>
        <v>204.35456111872625</v>
      </c>
      <c r="P49" s="38">
        <f>VLOOKUP($L49,PRICES!$A:$CN,77,FALSE)</f>
        <v>90.100201151558053</v>
      </c>
      <c r="Q49" s="20">
        <f>VLOOKUP($L49,PRICES!$A:$CN,78,FALSE)</f>
        <v>105.91930627242296</v>
      </c>
      <c r="R49" s="77">
        <f>IF(ISNUMBER(VLOOKUP(A49,#REF!,3,FALSE)),0,IF(ISNA(VLOOKUP(A49,'Manual adjustments'!$A:$S,16,FALSE)),1,1-VLOOKUP(A49,'Manual adjustments'!$A:$S,16,FALSE)))</f>
        <v>1</v>
      </c>
      <c r="S49" s="77">
        <f>IF(ISNUMBER(VLOOKUP(A49,#REF!,4,FALSE)),0,IF(ISNA(VLOOKUP(A49,'Manual adjustments'!$A:$S,17,FALSE)),1,1-VLOOKUP(A49,'Manual adjustments'!$A:$S,17,FALSE)))</f>
        <v>1</v>
      </c>
      <c r="T49" s="77">
        <f>IF(ISNUMBER(VLOOKUP(A49,#REF!,5,FALSE)),0,IF(ISNA(VLOOKUP(A49,'Manual adjustments'!$A:$S,18,FALSE)),1,1-VLOOKUP(A49,'Manual adjustments'!$A:$S,18,FALSE)))</f>
        <v>1</v>
      </c>
      <c r="U49" s="84">
        <f>IF(ISNUMBER(VLOOKUP(A49,#REF!,6,FALSE)),0,IF(ISNA(VLOOKUP(A49,'Manual adjustments'!$A:$S,19,FALSE)),1,1-VLOOKUP(A49,'Manual adjustments'!$A:$S,19,FALSE)))</f>
        <v>1</v>
      </c>
      <c r="W49" s="25">
        <f t="shared" si="2"/>
        <v>329</v>
      </c>
      <c r="X49" s="18" t="str">
        <f t="shared" si="3"/>
        <v>Transient Ischaemic Attack</v>
      </c>
      <c r="Y49" s="37">
        <f>IFERROR(VLOOKUP($W49,'Further adjustment'!$A:$Q,7,FALSE),0)</f>
        <v>31858</v>
      </c>
      <c r="Z49" s="35">
        <f>IFERROR(VLOOKUP($W49,'Further adjustment'!$A:$Q,6,FALSE),0)</f>
        <v>2855</v>
      </c>
      <c r="AA49" s="38">
        <f>IFERROR(VLOOKUP($W49,'Further adjustment'!$A:$Q,9,FALSE),0)</f>
        <v>10818</v>
      </c>
      <c r="AB49" s="20">
        <f>IFERROR(VLOOKUP($W49,'Further adjustment'!$A:$Q,8,FALSE),0)</f>
        <v>116</v>
      </c>
    </row>
    <row r="50" spans="1:28">
      <c r="A50" s="25">
        <f>Mandatory!A48</f>
        <v>330</v>
      </c>
      <c r="B50" s="18" t="str">
        <f>INDEX('201314 RC list'!B:B,MATCH(A50,'201314 RC list'!A:A,0))</f>
        <v>Dermatology</v>
      </c>
      <c r="C50" s="37">
        <f>VLOOKUP($L50,PRICES!$A:$CN,80,FALSE)</f>
        <v>105.24520820450327</v>
      </c>
      <c r="D50" s="35">
        <f>VLOOKUP($L50,PRICES!$A:$CN,81,FALSE)</f>
        <v>125.69109284131483</v>
      </c>
      <c r="E50" s="35">
        <f>VLOOKUP($L50,PRICES!$A:$CN,82,FALSE)</f>
        <v>71.370032020810484</v>
      </c>
      <c r="F50" s="19">
        <f>VLOOKUP($L50,PRICES!$A:$CN,83,FALSE)</f>
        <v>83.42389918767762</v>
      </c>
      <c r="G50" s="25" t="str">
        <f>IF(VLOOKUP($A50,PRICES!$A:$CN,70,FALSE)="Y","Manual Adjusted",IF(VLOOKUP($A50,PRICES!$A:$CN,51,FALSE)="Roll-over","Roll-Over","Modelled"))</f>
        <v>Modelled</v>
      </c>
      <c r="H50" s="43" t="str">
        <f>IF(VLOOKUP($A50,PRICES!$A:$CN,70,FALSE)="Y","Manual Adjusted",IF(VLOOKUP($A50,PRICES!$A:$CN,52,FALSE)="Roll-over","Roll-Over","Modelled"))</f>
        <v>Modelled</v>
      </c>
      <c r="I50" s="43" t="str">
        <f>IF(VLOOKUP($A50,PRICES!$A:$CN,70,FALSE)="Y","Manual Adjusted",IF(VLOOKUP($A50,PRICES!$A:$CN,53,FALSE)="Roll-over","Roll-Over","Modelled"))</f>
        <v>Modelled</v>
      </c>
      <c r="J50" s="44" t="str">
        <f>IF(VLOOKUP($A50,PRICES!$A:$CN,70,FALSE)="Y","Manual Adjusted",IF(VLOOKUP($A50,PRICES!$A:$CN,54,FALSE)="Roll-over","Roll-Over","Modelled"))</f>
        <v>Modelled</v>
      </c>
      <c r="L50" s="25">
        <f t="shared" si="0"/>
        <v>330</v>
      </c>
      <c r="M50" s="18" t="str">
        <f t="shared" si="1"/>
        <v>Dermatology</v>
      </c>
      <c r="N50" s="37">
        <f>VLOOKUP($L50,PRICES!$A:$CN,75,FALSE)</f>
        <v>105.24520820450327</v>
      </c>
      <c r="O50" s="35">
        <f>VLOOKUP($L50,PRICES!$A:$CN,76,FALSE)</f>
        <v>125.69109284131483</v>
      </c>
      <c r="P50" s="35">
        <f>VLOOKUP($L50,PRICES!$A:$CN,77,FALSE)</f>
        <v>71.370032020810484</v>
      </c>
      <c r="Q50" s="19">
        <f>VLOOKUP($L50,PRICES!$A:$CN,78,FALSE)</f>
        <v>83.42389918767762</v>
      </c>
      <c r="R50" s="77">
        <f>IF(ISNUMBER(VLOOKUP(A50,#REF!,3,FALSE)),0,IF(ISNA(VLOOKUP(A50,'Manual adjustments'!$A:$S,16,FALSE)),1,1-VLOOKUP(A50,'Manual adjustments'!$A:$S,16,FALSE)))</f>
        <v>1</v>
      </c>
      <c r="S50" s="77">
        <f>IF(ISNUMBER(VLOOKUP(A50,#REF!,4,FALSE)),0,IF(ISNA(VLOOKUP(A50,'Manual adjustments'!$A:$S,17,FALSE)),1,1-VLOOKUP(A50,'Manual adjustments'!$A:$S,17,FALSE)))</f>
        <v>1</v>
      </c>
      <c r="T50" s="77">
        <f>IF(ISNUMBER(VLOOKUP(A50,#REF!,5,FALSE)),0,IF(ISNA(VLOOKUP(A50,'Manual adjustments'!$A:$S,18,FALSE)),1,1-VLOOKUP(A50,'Manual adjustments'!$A:$S,18,FALSE)))</f>
        <v>1</v>
      </c>
      <c r="U50" s="84">
        <f>IF(ISNUMBER(VLOOKUP(A50,#REF!,6,FALSE)),0,IF(ISNA(VLOOKUP(A50,'Manual adjustments'!$A:$S,19,FALSE)),1,1-VLOOKUP(A50,'Manual adjustments'!$A:$S,19,FALSE)))</f>
        <v>1</v>
      </c>
      <c r="W50" s="25">
        <f t="shared" si="2"/>
        <v>330</v>
      </c>
      <c r="X50" s="18" t="str">
        <f t="shared" si="3"/>
        <v>Dermatology</v>
      </c>
      <c r="Y50" s="34">
        <f>IFERROR(VLOOKUP($W50,'Further adjustment'!$A:$Q,7,FALSE),0)</f>
        <v>712861</v>
      </c>
      <c r="Z50" s="36">
        <f>IFERROR(VLOOKUP($W50,'Further adjustment'!$A:$Q,6,FALSE),0)</f>
        <v>8011</v>
      </c>
      <c r="AA50" s="36">
        <f>IFERROR(VLOOKUP($W50,'Further adjustment'!$A:$Q,9,FALSE),0)</f>
        <v>1324331</v>
      </c>
      <c r="AB50" s="18">
        <f>IFERROR(VLOOKUP($W50,'Further adjustment'!$A:$Q,8,FALSE),0)</f>
        <v>17182</v>
      </c>
    </row>
    <row r="51" spans="1:28">
      <c r="A51" s="25">
        <f>Mandatory!A49</f>
        <v>340</v>
      </c>
      <c r="B51" s="18" t="str">
        <f>INDEX('201314 RC list'!B:B,MATCH(A51,'201314 RC list'!A:A,0))</f>
        <v>Respiratory Medicine</v>
      </c>
      <c r="C51" s="37">
        <f>VLOOKUP($L51,PRICES!$A:$CN,80,FALSE)</f>
        <v>176.89021521737206</v>
      </c>
      <c r="D51" s="35">
        <f>VLOOKUP($L51,PRICES!$A:$CN,81,FALSE)</f>
        <v>234.81538206121036</v>
      </c>
      <c r="E51" s="35">
        <f>VLOOKUP($L51,PRICES!$A:$CN,82,FALSE)</f>
        <v>100.57085771103016</v>
      </c>
      <c r="F51" s="19">
        <f>VLOOKUP($L51,PRICES!$A:$CN,83,FALSE)</f>
        <v>144.14582207724501</v>
      </c>
      <c r="G51" s="25" t="str">
        <f>IF(VLOOKUP($A51,PRICES!$A:$CN,70,FALSE)="Y","Manual Adjusted",IF(VLOOKUP($A51,PRICES!$A:$CN,51,FALSE)="Roll-over","Roll-Over","Modelled"))</f>
        <v>Modelled</v>
      </c>
      <c r="H51" s="43" t="str">
        <f>IF(VLOOKUP($A51,PRICES!$A:$CN,70,FALSE)="Y","Manual Adjusted",IF(VLOOKUP($A51,PRICES!$A:$CN,52,FALSE)="Roll-over","Roll-Over","Modelled"))</f>
        <v>Modelled</v>
      </c>
      <c r="I51" s="43" t="str">
        <f>IF(VLOOKUP($A51,PRICES!$A:$CN,70,FALSE)="Y","Manual Adjusted",IF(VLOOKUP($A51,PRICES!$A:$CN,53,FALSE)="Roll-over","Roll-Over","Modelled"))</f>
        <v>Modelled</v>
      </c>
      <c r="J51" s="44" t="str">
        <f>IF(VLOOKUP($A51,PRICES!$A:$CN,70,FALSE)="Y","Manual Adjusted",IF(VLOOKUP($A51,PRICES!$A:$CN,54,FALSE)="Roll-over","Roll-Over","Modelled"))</f>
        <v>Modelled</v>
      </c>
      <c r="L51" s="25">
        <f t="shared" si="0"/>
        <v>340</v>
      </c>
      <c r="M51" s="18" t="str">
        <f t="shared" si="1"/>
        <v>Respiratory Medicine</v>
      </c>
      <c r="N51" s="37">
        <f>VLOOKUP($L51,PRICES!$A:$CN,75,FALSE)</f>
        <v>176.89021521737206</v>
      </c>
      <c r="O51" s="35">
        <f>VLOOKUP($L51,PRICES!$A:$CN,76,FALSE)</f>
        <v>234.81538206121036</v>
      </c>
      <c r="P51" s="35">
        <f>VLOOKUP($L51,PRICES!$A:$CN,77,FALSE)</f>
        <v>100.57085771103016</v>
      </c>
      <c r="Q51" s="19">
        <f>VLOOKUP($L51,PRICES!$A:$CN,78,FALSE)</f>
        <v>144.14582207724501</v>
      </c>
      <c r="R51" s="77">
        <f>IF(ISNUMBER(VLOOKUP(A51,#REF!,3,FALSE)),0,IF(ISNA(VLOOKUP(A51,'Manual adjustments'!$A:$S,16,FALSE)),1,1-VLOOKUP(A51,'Manual adjustments'!$A:$S,16,FALSE)))</f>
        <v>1</v>
      </c>
      <c r="S51" s="77">
        <f>IF(ISNUMBER(VLOOKUP(A51,#REF!,4,FALSE)),0,IF(ISNA(VLOOKUP(A51,'Manual adjustments'!$A:$S,17,FALSE)),1,1-VLOOKUP(A51,'Manual adjustments'!$A:$S,17,FALSE)))</f>
        <v>1</v>
      </c>
      <c r="T51" s="77">
        <f>IF(ISNUMBER(VLOOKUP(A51,#REF!,5,FALSE)),0,IF(ISNA(VLOOKUP(A51,'Manual adjustments'!$A:$S,18,FALSE)),1,1-VLOOKUP(A51,'Manual adjustments'!$A:$S,18,FALSE)))</f>
        <v>1</v>
      </c>
      <c r="U51" s="84">
        <f>IF(ISNUMBER(VLOOKUP(A51,#REF!,6,FALSE)),0,IF(ISNA(VLOOKUP(A51,'Manual adjustments'!$A:$S,19,FALSE)),1,1-VLOOKUP(A51,'Manual adjustments'!$A:$S,19,FALSE)))</f>
        <v>1</v>
      </c>
      <c r="W51" s="25">
        <f t="shared" si="2"/>
        <v>340</v>
      </c>
      <c r="X51" s="18" t="str">
        <f t="shared" si="3"/>
        <v>Respiratory Medicine</v>
      </c>
      <c r="Y51" s="34">
        <f>IFERROR(VLOOKUP($W51,'Further adjustment'!$A:$Q,7,FALSE),0)</f>
        <v>334650</v>
      </c>
      <c r="Z51" s="36">
        <f>IFERROR(VLOOKUP($W51,'Further adjustment'!$A:$Q,6,FALSE),0)</f>
        <v>13097</v>
      </c>
      <c r="AA51" s="36">
        <f>IFERROR(VLOOKUP($W51,'Further adjustment'!$A:$Q,9,FALSE),0)</f>
        <v>727250</v>
      </c>
      <c r="AB51" s="18">
        <f>IFERROR(VLOOKUP($W51,'Further adjustment'!$A:$Q,8,FALSE),0)</f>
        <v>34868</v>
      </c>
    </row>
    <row r="52" spans="1:28">
      <c r="A52" s="25">
        <f>Mandatory!A50</f>
        <v>341</v>
      </c>
      <c r="B52" s="18" t="str">
        <f>INDEX('201314 RC list'!B:B,MATCH(A52,'201314 RC list'!A:A,0))</f>
        <v>Respiratory Physiology</v>
      </c>
      <c r="C52" s="37">
        <f>VLOOKUP($L52,PRICES!$A:$CN,80,FALSE)</f>
        <v>132.80901455491801</v>
      </c>
      <c r="D52" s="35">
        <f>VLOOKUP($L52,PRICES!$A:$CN,81,FALSE)</f>
        <v>132.80901455491801</v>
      </c>
      <c r="E52" s="35">
        <f>VLOOKUP($L52,PRICES!$A:$CN,82,FALSE)</f>
        <v>106.16038046048436</v>
      </c>
      <c r="F52" s="19">
        <f>VLOOKUP($L52,PRICES!$A:$CN,83,FALSE)</f>
        <v>106.16038046048436</v>
      </c>
      <c r="G52" s="25" t="str">
        <f>IF(VLOOKUP($A52,PRICES!$A:$CN,70,FALSE)="Y","Manual Adjusted",IF(VLOOKUP($A52,PRICES!$A:$CN,51,FALSE)="Roll-over","Roll-Over","Modelled"))</f>
        <v>Modelled</v>
      </c>
      <c r="H52" s="43" t="str">
        <f>IF(VLOOKUP($A52,PRICES!$A:$CN,70,FALSE)="Y","Manual Adjusted",IF(VLOOKUP($A52,PRICES!$A:$CN,52,FALSE)="Roll-over","Roll-Over","Modelled"))</f>
        <v>Modelled</v>
      </c>
      <c r="I52" s="43" t="str">
        <f>IF(VLOOKUP($A52,PRICES!$A:$CN,70,FALSE)="Y","Manual Adjusted",IF(VLOOKUP($A52,PRICES!$A:$CN,53,FALSE)="Roll-over","Roll-Over","Modelled"))</f>
        <v>Modelled</v>
      </c>
      <c r="J52" s="44" t="str">
        <f>IF(VLOOKUP($A52,PRICES!$A:$CN,70,FALSE)="Y","Manual Adjusted",IF(VLOOKUP($A52,PRICES!$A:$CN,54,FALSE)="Roll-over","Roll-Over","Modelled"))</f>
        <v>Modelled</v>
      </c>
      <c r="L52" s="25">
        <f t="shared" si="0"/>
        <v>341</v>
      </c>
      <c r="M52" s="18" t="str">
        <f t="shared" si="1"/>
        <v>Respiratory Physiology</v>
      </c>
      <c r="N52" s="37">
        <f>VLOOKUP($L52,PRICES!$A:$CN,75,FALSE)</f>
        <v>132.80901455491801</v>
      </c>
      <c r="O52" s="35">
        <f>VLOOKUP($L52,PRICES!$A:$CN,76,FALSE)</f>
        <v>132.80901455491801</v>
      </c>
      <c r="P52" s="35">
        <f>VLOOKUP($L52,PRICES!$A:$CN,77,FALSE)</f>
        <v>106.16038046048436</v>
      </c>
      <c r="Q52" s="19">
        <f>VLOOKUP($L52,PRICES!$A:$CN,78,FALSE)</f>
        <v>106.16038046048436</v>
      </c>
      <c r="R52" s="77">
        <f>IF(ISNUMBER(VLOOKUP(A52,#REF!,3,FALSE)),0,IF(ISNA(VLOOKUP(A52,'Manual adjustments'!$A:$S,16,FALSE)),1,1-VLOOKUP(A52,'Manual adjustments'!$A:$S,16,FALSE)))</f>
        <v>1</v>
      </c>
      <c r="S52" s="77">
        <f>IF(ISNUMBER(VLOOKUP(A52,#REF!,4,FALSE)),0,IF(ISNA(VLOOKUP(A52,'Manual adjustments'!$A:$S,17,FALSE)),1,1-VLOOKUP(A52,'Manual adjustments'!$A:$S,17,FALSE)))</f>
        <v>1</v>
      </c>
      <c r="T52" s="77">
        <f>IF(ISNUMBER(VLOOKUP(A52,#REF!,5,FALSE)),0,IF(ISNA(VLOOKUP(A52,'Manual adjustments'!$A:$S,18,FALSE)),1,1-VLOOKUP(A52,'Manual adjustments'!$A:$S,18,FALSE)))</f>
        <v>1</v>
      </c>
      <c r="U52" s="84">
        <f>IF(ISNUMBER(VLOOKUP(A52,#REF!,6,FALSE)),0,IF(ISNA(VLOOKUP(A52,'Manual adjustments'!$A:$S,19,FALSE)),1,1-VLOOKUP(A52,'Manual adjustments'!$A:$S,19,FALSE)))</f>
        <v>1</v>
      </c>
      <c r="W52" s="25">
        <f t="shared" si="2"/>
        <v>341</v>
      </c>
      <c r="X52" s="18" t="str">
        <f t="shared" si="3"/>
        <v>Respiratory Physiology</v>
      </c>
      <c r="Y52" s="34">
        <f>IFERROR(VLOOKUP($W52,'Further adjustment'!$A:$Q,7,FALSE),0)</f>
        <v>28948</v>
      </c>
      <c r="Z52" s="36">
        <f>IFERROR(VLOOKUP($W52,'Further adjustment'!$A:$Q,6,FALSE),0)</f>
        <v>256</v>
      </c>
      <c r="AA52" s="36">
        <f>IFERROR(VLOOKUP($W52,'Further adjustment'!$A:$Q,9,FALSE),0)</f>
        <v>69514</v>
      </c>
      <c r="AB52" s="18">
        <f>IFERROR(VLOOKUP($W52,'Further adjustment'!$A:$Q,8,FALSE),0)</f>
        <v>196</v>
      </c>
    </row>
    <row r="53" spans="1:28">
      <c r="A53" s="25">
        <f>Mandatory!A51</f>
        <v>350</v>
      </c>
      <c r="B53" s="18" t="str">
        <f>INDEX('201314 RC list'!B:B,MATCH(A53,'201314 RC list'!A:A,0))</f>
        <v>Infectious Diseases</v>
      </c>
      <c r="C53" s="37">
        <f>VLOOKUP($L53,PRICES!$A:$CN,80,FALSE)</f>
        <v>272.46014082417759</v>
      </c>
      <c r="D53" s="35">
        <f>VLOOKUP($L53,PRICES!$A:$CN,81,FALSE)</f>
        <v>272.46014082417759</v>
      </c>
      <c r="E53" s="35">
        <f>VLOOKUP($L53,PRICES!$A:$CN,82,FALSE)</f>
        <v>167.15701880554462</v>
      </c>
      <c r="F53" s="19">
        <f>VLOOKUP($L53,PRICES!$A:$CN,83,FALSE)</f>
        <v>167.15701880554462</v>
      </c>
      <c r="G53" s="25" t="str">
        <f>IF(VLOOKUP($A53,PRICES!$A:$CN,70,FALSE)="Y","Manual Adjusted",IF(VLOOKUP($A53,PRICES!$A:$CN,51,FALSE)="Roll-over","Roll-Over","Modelled"))</f>
        <v>Modelled</v>
      </c>
      <c r="H53" s="43" t="str">
        <f>IF(VLOOKUP($A53,PRICES!$A:$CN,70,FALSE)="Y","Manual Adjusted",IF(VLOOKUP($A53,PRICES!$A:$CN,52,FALSE)="Roll-over","Roll-Over","Modelled"))</f>
        <v>Modelled</v>
      </c>
      <c r="I53" s="43" t="str">
        <f>IF(VLOOKUP($A53,PRICES!$A:$CN,70,FALSE)="Y","Manual Adjusted",IF(VLOOKUP($A53,PRICES!$A:$CN,53,FALSE)="Roll-over","Roll-Over","Modelled"))</f>
        <v>Modelled</v>
      </c>
      <c r="J53" s="44" t="str">
        <f>IF(VLOOKUP($A53,PRICES!$A:$CN,70,FALSE)="Y","Manual Adjusted",IF(VLOOKUP($A53,PRICES!$A:$CN,54,FALSE)="Roll-over","Roll-Over","Modelled"))</f>
        <v>Modelled</v>
      </c>
      <c r="L53" s="25">
        <f t="shared" si="0"/>
        <v>350</v>
      </c>
      <c r="M53" s="18" t="str">
        <f t="shared" si="1"/>
        <v>Infectious Diseases</v>
      </c>
      <c r="N53" s="37">
        <f>VLOOKUP($L53,PRICES!$A:$CN,75,FALSE)</f>
        <v>272.46014082417759</v>
      </c>
      <c r="O53" s="35">
        <f>VLOOKUP($L53,PRICES!$A:$CN,76,FALSE)</f>
        <v>272.46014082417759</v>
      </c>
      <c r="P53" s="35">
        <f>VLOOKUP($L53,PRICES!$A:$CN,77,FALSE)</f>
        <v>167.15701880554462</v>
      </c>
      <c r="Q53" s="19">
        <f>VLOOKUP($L53,PRICES!$A:$CN,78,FALSE)</f>
        <v>167.15701880554462</v>
      </c>
      <c r="R53" s="77">
        <f>IF(ISNUMBER(VLOOKUP(A53,#REF!,3,FALSE)),0,IF(ISNA(VLOOKUP(A53,'Manual adjustments'!$A:$S,16,FALSE)),1,1-VLOOKUP(A53,'Manual adjustments'!$A:$S,16,FALSE)))</f>
        <v>1</v>
      </c>
      <c r="S53" s="77">
        <f>IF(ISNUMBER(VLOOKUP(A53,#REF!,4,FALSE)),0,IF(ISNA(VLOOKUP(A53,'Manual adjustments'!$A:$S,17,FALSE)),1,1-VLOOKUP(A53,'Manual adjustments'!$A:$S,17,FALSE)))</f>
        <v>1</v>
      </c>
      <c r="T53" s="77">
        <f>IF(ISNUMBER(VLOOKUP(A53,#REF!,5,FALSE)),0,IF(ISNA(VLOOKUP(A53,'Manual adjustments'!$A:$S,18,FALSE)),1,1-VLOOKUP(A53,'Manual adjustments'!$A:$S,18,FALSE)))</f>
        <v>1</v>
      </c>
      <c r="U53" s="84">
        <f>IF(ISNUMBER(VLOOKUP(A53,#REF!,6,FALSE)),0,IF(ISNA(VLOOKUP(A53,'Manual adjustments'!$A:$S,19,FALSE)),1,1-VLOOKUP(A53,'Manual adjustments'!$A:$S,19,FALSE)))</f>
        <v>1</v>
      </c>
      <c r="W53" s="25">
        <f t="shared" si="2"/>
        <v>350</v>
      </c>
      <c r="X53" s="18" t="str">
        <f t="shared" si="3"/>
        <v>Infectious Diseases</v>
      </c>
      <c r="Y53" s="34">
        <f>IFERROR(VLOOKUP($W53,'Further adjustment'!$A:$Q,7,FALSE),0)</f>
        <v>20491</v>
      </c>
      <c r="Z53" s="36">
        <f>IFERROR(VLOOKUP($W53,'Further adjustment'!$A:$Q,6,FALSE),0)</f>
        <v>1607</v>
      </c>
      <c r="AA53" s="36">
        <f>IFERROR(VLOOKUP($W53,'Further adjustment'!$A:$Q,9,FALSE),0)</f>
        <v>70510</v>
      </c>
      <c r="AB53" s="18">
        <f>IFERROR(VLOOKUP($W53,'Further adjustment'!$A:$Q,8,FALSE),0)</f>
        <v>4937</v>
      </c>
    </row>
    <row r="54" spans="1:28" s="30" customFormat="1">
      <c r="A54" s="25">
        <f>Mandatory!A52</f>
        <v>361</v>
      </c>
      <c r="B54" s="18" t="str">
        <f>INDEX('201314 RC list'!B:B,MATCH(A54,'201314 RC list'!A:A,0))</f>
        <v>Nephrology</v>
      </c>
      <c r="C54" s="37">
        <f>VLOOKUP($L54,PRICES!$A:$CN,80,FALSE)</f>
        <v>229.73237683895294</v>
      </c>
      <c r="D54" s="35">
        <f>VLOOKUP($L54,PRICES!$A:$CN,81,FALSE)</f>
        <v>302.68364860939977</v>
      </c>
      <c r="E54" s="35">
        <f>VLOOKUP($L54,PRICES!$A:$CN,82,FALSE)</f>
        <v>107.23294081476385</v>
      </c>
      <c r="F54" s="19">
        <f>VLOOKUP($L54,PRICES!$A:$CN,83,FALSE)</f>
        <v>144.71891797902319</v>
      </c>
      <c r="G54" s="25" t="str">
        <f>IF(VLOOKUP($A54,PRICES!$A:$CN,70,FALSE)="Y","Manual Adjusted",IF(VLOOKUP($A54,PRICES!$A:$CN,51,FALSE)="Roll-over","Roll-Over","Modelled"))</f>
        <v>Modelled</v>
      </c>
      <c r="H54" s="43" t="str">
        <f>IF(VLOOKUP($A54,PRICES!$A:$CN,70,FALSE)="Y","Manual Adjusted",IF(VLOOKUP($A54,PRICES!$A:$CN,52,FALSE)="Roll-over","Roll-Over","Modelled"))</f>
        <v>Modelled</v>
      </c>
      <c r="I54" s="43" t="str">
        <f>IF(VLOOKUP($A54,PRICES!$A:$CN,70,FALSE)="Y","Manual Adjusted",IF(VLOOKUP($A54,PRICES!$A:$CN,53,FALSE)="Roll-over","Roll-Over","Modelled"))</f>
        <v>Modelled</v>
      </c>
      <c r="J54" s="44" t="str">
        <f>IF(VLOOKUP($A54,PRICES!$A:$CN,70,FALSE)="Y","Manual Adjusted",IF(VLOOKUP($A54,PRICES!$A:$CN,54,FALSE)="Roll-over","Roll-Over","Modelled"))</f>
        <v>Modelled</v>
      </c>
      <c r="L54" s="25">
        <f t="shared" si="0"/>
        <v>361</v>
      </c>
      <c r="M54" s="18" t="str">
        <f t="shared" si="1"/>
        <v>Nephrology</v>
      </c>
      <c r="N54" s="37">
        <f>VLOOKUP($L54,PRICES!$A:$CN,75,FALSE)</f>
        <v>229.73237683895294</v>
      </c>
      <c r="O54" s="35">
        <f>VLOOKUP($L54,PRICES!$A:$CN,76,FALSE)</f>
        <v>302.68364860939977</v>
      </c>
      <c r="P54" s="35">
        <f>VLOOKUP($L54,PRICES!$A:$CN,77,FALSE)</f>
        <v>107.23294081476385</v>
      </c>
      <c r="Q54" s="19">
        <f>VLOOKUP($L54,PRICES!$A:$CN,78,FALSE)</f>
        <v>144.71891797902319</v>
      </c>
      <c r="R54" s="77">
        <f>IF(ISNUMBER(VLOOKUP(A54,#REF!,3,FALSE)),0,IF(ISNA(VLOOKUP(A54,'Manual adjustments'!$A:$S,16,FALSE)),1,1-VLOOKUP(A54,'Manual adjustments'!$A:$S,16,FALSE)))</f>
        <v>1</v>
      </c>
      <c r="S54" s="77">
        <f>IF(ISNUMBER(VLOOKUP(A54,#REF!,4,FALSE)),0,IF(ISNA(VLOOKUP(A54,'Manual adjustments'!$A:$S,17,FALSE)),1,1-VLOOKUP(A54,'Manual adjustments'!$A:$S,17,FALSE)))</f>
        <v>1</v>
      </c>
      <c r="T54" s="77">
        <f>IF(ISNUMBER(VLOOKUP(A54,#REF!,5,FALSE)),0,IF(ISNA(VLOOKUP(A54,'Manual adjustments'!$A:$S,18,FALSE)),1,1-VLOOKUP(A54,'Manual adjustments'!$A:$S,18,FALSE)))</f>
        <v>1</v>
      </c>
      <c r="U54" s="84">
        <f>IF(ISNUMBER(VLOOKUP(A54,#REF!,6,FALSE)),0,IF(ISNA(VLOOKUP(A54,'Manual adjustments'!$A:$S,19,FALSE)),1,1-VLOOKUP(A54,'Manual adjustments'!$A:$S,19,FALSE)))</f>
        <v>1</v>
      </c>
      <c r="W54" s="25">
        <f t="shared" si="2"/>
        <v>361</v>
      </c>
      <c r="X54" s="18" t="str">
        <f t="shared" si="3"/>
        <v>Nephrology</v>
      </c>
      <c r="Y54" s="34">
        <f>IFERROR(VLOOKUP($W54,'Further adjustment'!$A:$Q,7,FALSE),0)</f>
        <v>85441</v>
      </c>
      <c r="Z54" s="36">
        <f>IFERROR(VLOOKUP($W54,'Further adjustment'!$A:$Q,6,FALSE),0)</f>
        <v>2826</v>
      </c>
      <c r="AA54" s="36">
        <f>IFERROR(VLOOKUP($W54,'Further adjustment'!$A:$Q,9,FALSE),0)</f>
        <v>655290</v>
      </c>
      <c r="AB54" s="18">
        <f>IFERROR(VLOOKUP($W54,'Further adjustment'!$A:$Q,8,FALSE),0)</f>
        <v>24412</v>
      </c>
    </row>
    <row r="55" spans="1:28">
      <c r="A55" s="25">
        <f>Mandatory!A53</f>
        <v>370</v>
      </c>
      <c r="B55" s="18" t="str">
        <f>INDEX('201314 RC list'!B:B,MATCH(A55,'201314 RC list'!A:A,0))</f>
        <v>Medical Oncology</v>
      </c>
      <c r="C55" s="37">
        <f>VLOOKUP($L55,PRICES!$A:$CN,80,FALSE)</f>
        <v>222.59950340390469</v>
      </c>
      <c r="D55" s="35">
        <f>VLOOKUP($L55,PRICES!$A:$CN,81,FALSE)</f>
        <v>260.3998683723259</v>
      </c>
      <c r="E55" s="35">
        <f>VLOOKUP($L55,PRICES!$A:$CN,82,FALSE)</f>
        <v>104.6882785818609</v>
      </c>
      <c r="F55" s="19">
        <f>VLOOKUP($L55,PRICES!$A:$CN,83,FALSE)</f>
        <v>137.34094755742314</v>
      </c>
      <c r="G55" s="25" t="str">
        <f>IF(VLOOKUP($A55,PRICES!$A:$CN,70,FALSE)="Y","Manual Adjusted",IF(VLOOKUP($A55,PRICES!$A:$CN,51,FALSE)="Roll-over","Roll-Over","Modelled"))</f>
        <v>Modelled</v>
      </c>
      <c r="H55" s="43" t="str">
        <f>IF(VLOOKUP($A55,PRICES!$A:$CN,70,FALSE)="Y","Manual Adjusted",IF(VLOOKUP($A55,PRICES!$A:$CN,52,FALSE)="Roll-over","Roll-Over","Modelled"))</f>
        <v>Modelled</v>
      </c>
      <c r="I55" s="43" t="str">
        <f>IF(VLOOKUP($A55,PRICES!$A:$CN,70,FALSE)="Y","Manual Adjusted",IF(VLOOKUP($A55,PRICES!$A:$CN,53,FALSE)="Roll-over","Roll-Over","Modelled"))</f>
        <v>Modelled</v>
      </c>
      <c r="J55" s="44" t="str">
        <f>IF(VLOOKUP($A55,PRICES!$A:$CN,70,FALSE)="Y","Manual Adjusted",IF(VLOOKUP($A55,PRICES!$A:$CN,54,FALSE)="Roll-over","Roll-Over","Modelled"))</f>
        <v>Modelled</v>
      </c>
      <c r="L55" s="25">
        <f t="shared" si="0"/>
        <v>370</v>
      </c>
      <c r="M55" s="18" t="str">
        <f t="shared" si="1"/>
        <v>Medical Oncology</v>
      </c>
      <c r="N55" s="37">
        <f>VLOOKUP($L55,PRICES!$A:$CN,75,FALSE)</f>
        <v>222.59950340390469</v>
      </c>
      <c r="O55" s="35">
        <f>VLOOKUP($L55,PRICES!$A:$CN,76,FALSE)</f>
        <v>260.3998683723259</v>
      </c>
      <c r="P55" s="35">
        <f>VLOOKUP($L55,PRICES!$A:$CN,77,FALSE)</f>
        <v>104.6882785818609</v>
      </c>
      <c r="Q55" s="19">
        <f>VLOOKUP($L55,PRICES!$A:$CN,78,FALSE)</f>
        <v>137.34094755742314</v>
      </c>
      <c r="R55" s="77">
        <f>IF(ISNUMBER(VLOOKUP(A55,#REF!,3,FALSE)),0,IF(ISNA(VLOOKUP(A55,'Manual adjustments'!$A:$S,16,FALSE)),1,1-VLOOKUP(A55,'Manual adjustments'!$A:$S,16,FALSE)))</f>
        <v>1</v>
      </c>
      <c r="S55" s="77">
        <f>IF(ISNUMBER(VLOOKUP(A55,#REF!,4,FALSE)),0,IF(ISNA(VLOOKUP(A55,'Manual adjustments'!$A:$S,17,FALSE)),1,1-VLOOKUP(A55,'Manual adjustments'!$A:$S,17,FALSE)))</f>
        <v>1</v>
      </c>
      <c r="T55" s="77">
        <f>IF(ISNUMBER(VLOOKUP(A55,#REF!,5,FALSE)),0,IF(ISNA(VLOOKUP(A55,'Manual adjustments'!$A:$S,18,FALSE)),1,1-VLOOKUP(A55,'Manual adjustments'!$A:$S,18,FALSE)))</f>
        <v>1</v>
      </c>
      <c r="U55" s="84">
        <f>IF(ISNUMBER(VLOOKUP(A55,#REF!,6,FALSE)),0,IF(ISNA(VLOOKUP(A55,'Manual adjustments'!$A:$S,19,FALSE)),1,1-VLOOKUP(A55,'Manual adjustments'!$A:$S,19,FALSE)))</f>
        <v>1</v>
      </c>
      <c r="W55" s="25">
        <f t="shared" si="2"/>
        <v>370</v>
      </c>
      <c r="X55" s="18" t="str">
        <f t="shared" si="3"/>
        <v>Medical Oncology</v>
      </c>
      <c r="Y55" s="34">
        <f>IFERROR(VLOOKUP($W55,'Further adjustment'!$A:$Q,7,FALSE),0)</f>
        <v>88223</v>
      </c>
      <c r="Z55" s="36">
        <f>IFERROR(VLOOKUP($W55,'Further adjustment'!$A:$Q,6,FALSE),0)</f>
        <v>6719</v>
      </c>
      <c r="AA55" s="36">
        <f>IFERROR(VLOOKUP($W55,'Further adjustment'!$A:$Q,9,FALSE),0)</f>
        <v>692420</v>
      </c>
      <c r="AB55" s="18">
        <f>IFERROR(VLOOKUP($W55,'Further adjustment'!$A:$Q,8,FALSE),0)</f>
        <v>43661</v>
      </c>
    </row>
    <row r="56" spans="1:28">
      <c r="A56" s="25">
        <f>Mandatory!A54</f>
        <v>400</v>
      </c>
      <c r="B56" s="18" t="str">
        <f>INDEX('201314 RC list'!B:B,MATCH(A56,'201314 RC list'!A:A,0))</f>
        <v>Neurology</v>
      </c>
      <c r="C56" s="37">
        <f>VLOOKUP($L56,PRICES!$A:$CN,80,FALSE)</f>
        <v>188.77907077191475</v>
      </c>
      <c r="D56" s="35">
        <f>VLOOKUP($L56,PRICES!$A:$CN,81,FALSE)</f>
        <v>267.2023457423885</v>
      </c>
      <c r="E56" s="35">
        <f>VLOOKUP($L56,PRICES!$A:$CN,82,FALSE)</f>
        <v>115.02339876601268</v>
      </c>
      <c r="F56" s="19">
        <f>VLOOKUP($L56,PRICES!$A:$CN,83,FALSE)</f>
        <v>179.53111263009441</v>
      </c>
      <c r="G56" s="25" t="str">
        <f>IF(VLOOKUP($A56,PRICES!$A:$CN,70,FALSE)="Y","Manual Adjusted",IF(VLOOKUP($A56,PRICES!$A:$CN,51,FALSE)="Roll-over","Roll-Over","Modelled"))</f>
        <v>Modelled</v>
      </c>
      <c r="H56" s="43" t="str">
        <f>IF(VLOOKUP($A56,PRICES!$A:$CN,70,FALSE)="Y","Manual Adjusted",IF(VLOOKUP($A56,PRICES!$A:$CN,52,FALSE)="Roll-over","Roll-Over","Modelled"))</f>
        <v>Modelled</v>
      </c>
      <c r="I56" s="43" t="str">
        <f>IF(VLOOKUP($A56,PRICES!$A:$CN,70,FALSE)="Y","Manual Adjusted",IF(VLOOKUP($A56,PRICES!$A:$CN,53,FALSE)="Roll-over","Roll-Over","Modelled"))</f>
        <v>Modelled</v>
      </c>
      <c r="J56" s="44" t="str">
        <f>IF(VLOOKUP($A56,PRICES!$A:$CN,70,FALSE)="Y","Manual Adjusted",IF(VLOOKUP($A56,PRICES!$A:$CN,54,FALSE)="Roll-over","Roll-Over","Modelled"))</f>
        <v>Modelled</v>
      </c>
      <c r="L56" s="25">
        <f t="shared" si="0"/>
        <v>400</v>
      </c>
      <c r="M56" s="18" t="str">
        <f t="shared" si="1"/>
        <v>Neurology</v>
      </c>
      <c r="N56" s="37">
        <f>VLOOKUP($L56,PRICES!$A:$CN,75,FALSE)</f>
        <v>188.77907077191475</v>
      </c>
      <c r="O56" s="35">
        <f>VLOOKUP($L56,PRICES!$A:$CN,76,FALSE)</f>
        <v>267.2023457423885</v>
      </c>
      <c r="P56" s="35">
        <f>VLOOKUP($L56,PRICES!$A:$CN,77,FALSE)</f>
        <v>115.02339876601268</v>
      </c>
      <c r="Q56" s="19">
        <f>VLOOKUP($L56,PRICES!$A:$CN,78,FALSE)</f>
        <v>179.53111263009441</v>
      </c>
      <c r="R56" s="77">
        <f>IF(ISNUMBER(VLOOKUP(A56,#REF!,3,FALSE)),0,IF(ISNA(VLOOKUP(A56,'Manual adjustments'!$A:$S,16,FALSE)),1,1-VLOOKUP(A56,'Manual adjustments'!$A:$S,16,FALSE)))</f>
        <v>1</v>
      </c>
      <c r="S56" s="77">
        <f>IF(ISNUMBER(VLOOKUP(A56,#REF!,4,FALSE)),0,IF(ISNA(VLOOKUP(A56,'Manual adjustments'!$A:$S,17,FALSE)),1,1-VLOOKUP(A56,'Manual adjustments'!$A:$S,17,FALSE)))</f>
        <v>1</v>
      </c>
      <c r="T56" s="77">
        <f>IF(ISNUMBER(VLOOKUP(A56,#REF!,5,FALSE)),0,IF(ISNA(VLOOKUP(A56,'Manual adjustments'!$A:$S,18,FALSE)),1,1-VLOOKUP(A56,'Manual adjustments'!$A:$S,18,FALSE)))</f>
        <v>1</v>
      </c>
      <c r="U56" s="84">
        <f>IF(ISNUMBER(VLOOKUP(A56,#REF!,6,FALSE)),0,IF(ISNA(VLOOKUP(A56,'Manual adjustments'!$A:$S,19,FALSE)),1,1-VLOOKUP(A56,'Manual adjustments'!$A:$S,19,FALSE)))</f>
        <v>1</v>
      </c>
      <c r="W56" s="25">
        <f t="shared" si="2"/>
        <v>400</v>
      </c>
      <c r="X56" s="18" t="str">
        <f t="shared" si="3"/>
        <v>Neurology</v>
      </c>
      <c r="Y56" s="34">
        <f>IFERROR(VLOOKUP($W56,'Further adjustment'!$A:$Q,7,FALSE),0)</f>
        <v>421554</v>
      </c>
      <c r="Z56" s="36">
        <f>IFERROR(VLOOKUP($W56,'Further adjustment'!$A:$Q,6,FALSE),0)</f>
        <v>3311</v>
      </c>
      <c r="AA56" s="36">
        <f>IFERROR(VLOOKUP($W56,'Further adjustment'!$A:$Q,9,FALSE),0)</f>
        <v>631138</v>
      </c>
      <c r="AB56" s="18">
        <f>IFERROR(VLOOKUP($W56,'Further adjustment'!$A:$Q,8,FALSE),0)</f>
        <v>7997</v>
      </c>
    </row>
    <row r="57" spans="1:28" s="30" customFormat="1">
      <c r="A57" s="25">
        <f>Mandatory!A55</f>
        <v>410</v>
      </c>
      <c r="B57" s="18" t="str">
        <f>INDEX('201314 RC list'!B:B,MATCH(A57,'201314 RC list'!A:A,0))</f>
        <v>Rheumatology</v>
      </c>
      <c r="C57" s="37">
        <f>VLOOKUP($L57,PRICES!$A:$CN,80,FALSE)</f>
        <v>192.08504325630952</v>
      </c>
      <c r="D57" s="35">
        <f>VLOOKUP($L57,PRICES!$A:$CN,81,FALSE)</f>
        <v>199.54884532679918</v>
      </c>
      <c r="E57" s="35">
        <f>VLOOKUP($L57,PRICES!$A:$CN,82,FALSE)</f>
        <v>94.828495887058764</v>
      </c>
      <c r="F57" s="19">
        <f>VLOOKUP($L57,PRICES!$A:$CN,83,FALSE)</f>
        <v>102.93491456631732</v>
      </c>
      <c r="G57" s="25" t="str">
        <f>IF(VLOOKUP($A57,PRICES!$A:$CN,70,FALSE)="Y","Manual Adjusted",IF(VLOOKUP($A57,PRICES!$A:$CN,51,FALSE)="Roll-over","Roll-Over","Modelled"))</f>
        <v>Modelled</v>
      </c>
      <c r="H57" s="43" t="str">
        <f>IF(VLOOKUP($A57,PRICES!$A:$CN,70,FALSE)="Y","Manual Adjusted",IF(VLOOKUP($A57,PRICES!$A:$CN,52,FALSE)="Roll-over","Roll-Over","Modelled"))</f>
        <v>Modelled</v>
      </c>
      <c r="I57" s="43" t="str">
        <f>IF(VLOOKUP($A57,PRICES!$A:$CN,70,FALSE)="Y","Manual Adjusted",IF(VLOOKUP($A57,PRICES!$A:$CN,53,FALSE)="Roll-over","Roll-Over","Modelled"))</f>
        <v>Modelled</v>
      </c>
      <c r="J57" s="44" t="str">
        <f>IF(VLOOKUP($A57,PRICES!$A:$CN,70,FALSE)="Y","Manual Adjusted",IF(VLOOKUP($A57,PRICES!$A:$CN,54,FALSE)="Roll-over","Roll-Over","Modelled"))</f>
        <v>Modelled</v>
      </c>
      <c r="L57" s="25">
        <f t="shared" si="0"/>
        <v>410</v>
      </c>
      <c r="M57" s="18" t="str">
        <f t="shared" si="1"/>
        <v>Rheumatology</v>
      </c>
      <c r="N57" s="37">
        <f>VLOOKUP($L57,PRICES!$A:$CN,75,FALSE)</f>
        <v>192.08504325630952</v>
      </c>
      <c r="O57" s="35">
        <f>VLOOKUP($L57,PRICES!$A:$CN,76,FALSE)</f>
        <v>199.54884532679918</v>
      </c>
      <c r="P57" s="35">
        <f>VLOOKUP($L57,PRICES!$A:$CN,77,FALSE)</f>
        <v>94.828495887058764</v>
      </c>
      <c r="Q57" s="19">
        <f>VLOOKUP($L57,PRICES!$A:$CN,78,FALSE)</f>
        <v>102.93491456631732</v>
      </c>
      <c r="R57" s="77">
        <f>IF(ISNUMBER(VLOOKUP(A57,#REF!,3,FALSE)),0,IF(ISNA(VLOOKUP(A57,'Manual adjustments'!$A:$S,16,FALSE)),1,1-VLOOKUP(A57,'Manual adjustments'!$A:$S,16,FALSE)))</f>
        <v>1</v>
      </c>
      <c r="S57" s="77">
        <f>IF(ISNUMBER(VLOOKUP(A57,#REF!,4,FALSE)),0,IF(ISNA(VLOOKUP(A57,'Manual adjustments'!$A:$S,17,FALSE)),1,1-VLOOKUP(A57,'Manual adjustments'!$A:$S,17,FALSE)))</f>
        <v>1</v>
      </c>
      <c r="T57" s="77">
        <f>IF(ISNUMBER(VLOOKUP(A57,#REF!,5,FALSE)),0,IF(ISNA(VLOOKUP(A57,'Manual adjustments'!$A:$S,18,FALSE)),1,1-VLOOKUP(A57,'Manual adjustments'!$A:$S,18,FALSE)))</f>
        <v>1</v>
      </c>
      <c r="U57" s="84">
        <f>IF(ISNUMBER(VLOOKUP(A57,#REF!,6,FALSE)),0,IF(ISNA(VLOOKUP(A57,'Manual adjustments'!$A:$S,19,FALSE)),1,1-VLOOKUP(A57,'Manual adjustments'!$A:$S,19,FALSE)))</f>
        <v>1</v>
      </c>
      <c r="W57" s="25">
        <f t="shared" si="2"/>
        <v>410</v>
      </c>
      <c r="X57" s="18" t="str">
        <f t="shared" si="3"/>
        <v>Rheumatology</v>
      </c>
      <c r="Y57" s="34">
        <f>IFERROR(VLOOKUP($W57,'Further adjustment'!$A:$Q,7,FALSE),0)</f>
        <v>368674</v>
      </c>
      <c r="Z57" s="36">
        <f>IFERROR(VLOOKUP($W57,'Further adjustment'!$A:$Q,6,FALSE),0)</f>
        <v>3223</v>
      </c>
      <c r="AA57" s="36">
        <f>IFERROR(VLOOKUP($W57,'Further adjustment'!$A:$Q,9,FALSE),0)</f>
        <v>1294230</v>
      </c>
      <c r="AB57" s="18">
        <f>IFERROR(VLOOKUP($W57,'Further adjustment'!$A:$Q,8,FALSE),0)</f>
        <v>7540</v>
      </c>
    </row>
    <row r="58" spans="1:28">
      <c r="A58" s="25">
        <f>Mandatory!A56</f>
        <v>420</v>
      </c>
      <c r="B58" s="18" t="str">
        <f>INDEX('201314 RC list'!B:B,MATCH(A58,'201314 RC list'!A:A,0))</f>
        <v>Paediatrics</v>
      </c>
      <c r="C58" s="37">
        <f>VLOOKUP($L58,PRICES!$A:$CN,80,FALSE)</f>
        <v>215.7319727076578</v>
      </c>
      <c r="D58" s="35">
        <f>VLOOKUP($L58,PRICES!$A:$CN,81,FALSE)</f>
        <v>259.74382388091158</v>
      </c>
      <c r="E58" s="35">
        <f>VLOOKUP($L58,PRICES!$A:$CN,82,FALSE)</f>
        <v>131.77131952331911</v>
      </c>
      <c r="F58" s="19">
        <f>VLOOKUP($L58,PRICES!$A:$CN,83,FALSE)</f>
        <v>150.83140715451509</v>
      </c>
      <c r="G58" s="25" t="str">
        <f>IF(VLOOKUP($A58,PRICES!$A:$CN,70,FALSE)="Y","Manual Adjusted",IF(VLOOKUP($A58,PRICES!$A:$CN,51,FALSE)="Roll-over","Roll-Over","Modelled"))</f>
        <v>Modelled</v>
      </c>
      <c r="H58" s="43" t="str">
        <f>IF(VLOOKUP($A58,PRICES!$A:$CN,70,FALSE)="Y","Manual Adjusted",IF(VLOOKUP($A58,PRICES!$A:$CN,52,FALSE)="Roll-over","Roll-Over","Modelled"))</f>
        <v>Modelled</v>
      </c>
      <c r="I58" s="43" t="str">
        <f>IF(VLOOKUP($A58,PRICES!$A:$CN,70,FALSE)="Y","Manual Adjusted",IF(VLOOKUP($A58,PRICES!$A:$CN,53,FALSE)="Roll-over","Roll-Over","Modelled"))</f>
        <v>Modelled</v>
      </c>
      <c r="J58" s="44" t="str">
        <f>IF(VLOOKUP($A58,PRICES!$A:$CN,70,FALSE)="Y","Manual Adjusted",IF(VLOOKUP($A58,PRICES!$A:$CN,54,FALSE)="Roll-over","Roll-Over","Modelled"))</f>
        <v>Modelled</v>
      </c>
      <c r="L58" s="25">
        <f t="shared" si="0"/>
        <v>420</v>
      </c>
      <c r="M58" s="18" t="str">
        <f t="shared" si="1"/>
        <v>Paediatrics</v>
      </c>
      <c r="N58" s="37">
        <f>VLOOKUP($L58,PRICES!$A:$CN,75,FALSE)</f>
        <v>215.7319727076578</v>
      </c>
      <c r="O58" s="35">
        <f>VLOOKUP($L58,PRICES!$A:$CN,76,FALSE)</f>
        <v>259.74382388091158</v>
      </c>
      <c r="P58" s="35">
        <f>VLOOKUP($L58,PRICES!$A:$CN,77,FALSE)</f>
        <v>131.77131952331911</v>
      </c>
      <c r="Q58" s="19">
        <f>VLOOKUP($L58,PRICES!$A:$CN,78,FALSE)</f>
        <v>150.83140715451509</v>
      </c>
      <c r="R58" s="77">
        <f>IF(ISNUMBER(VLOOKUP(A58,#REF!,3,FALSE)),0,IF(ISNA(VLOOKUP(A58,'Manual adjustments'!$A:$S,16,FALSE)),1,1-VLOOKUP(A58,'Manual adjustments'!$A:$S,16,FALSE)))</f>
        <v>1</v>
      </c>
      <c r="S58" s="77">
        <f>IF(ISNUMBER(VLOOKUP(A58,#REF!,4,FALSE)),0,IF(ISNA(VLOOKUP(A58,'Manual adjustments'!$A:$S,17,FALSE)),1,1-VLOOKUP(A58,'Manual adjustments'!$A:$S,17,FALSE)))</f>
        <v>1</v>
      </c>
      <c r="T58" s="77">
        <f>IF(ISNUMBER(VLOOKUP(A58,#REF!,5,FALSE)),0,IF(ISNA(VLOOKUP(A58,'Manual adjustments'!$A:$S,18,FALSE)),1,1-VLOOKUP(A58,'Manual adjustments'!$A:$S,18,FALSE)))</f>
        <v>1</v>
      </c>
      <c r="U58" s="84">
        <f>IF(ISNUMBER(VLOOKUP(A58,#REF!,6,FALSE)),0,IF(ISNA(VLOOKUP(A58,'Manual adjustments'!$A:$S,19,FALSE)),1,1-VLOOKUP(A58,'Manual adjustments'!$A:$S,19,FALSE)))</f>
        <v>1</v>
      </c>
      <c r="W58" s="25">
        <f t="shared" si="2"/>
        <v>420</v>
      </c>
      <c r="X58" s="18" t="str">
        <f t="shared" si="3"/>
        <v>Paediatrics</v>
      </c>
      <c r="Y58" s="34">
        <f>IFERROR(VLOOKUP($W58,'Further adjustment'!$A:$Q,7,FALSE),0)</f>
        <v>577402</v>
      </c>
      <c r="Z58" s="36">
        <f>IFERROR(VLOOKUP($W58,'Further adjustment'!$A:$Q,6,FALSE),0)</f>
        <v>9164</v>
      </c>
      <c r="AA58" s="36">
        <f>IFERROR(VLOOKUP($W58,'Further adjustment'!$A:$Q,9,FALSE),0)</f>
        <v>793601</v>
      </c>
      <c r="AB58" s="18">
        <f>IFERROR(VLOOKUP($W58,'Further adjustment'!$A:$Q,8,FALSE),0)</f>
        <v>23065</v>
      </c>
    </row>
    <row r="59" spans="1:28">
      <c r="A59" s="25">
        <f>Mandatory!A57</f>
        <v>421</v>
      </c>
      <c r="B59" s="18" t="str">
        <f>INDEX('201314 RC list'!B:B,MATCH(A59,'201314 RC list'!A:A,0))</f>
        <v>Paediatric Neurology</v>
      </c>
      <c r="C59" s="37">
        <f>VLOOKUP($L59,PRICES!$A:$CN,80,FALSE)</f>
        <v>319.87968604816973</v>
      </c>
      <c r="D59" s="35">
        <f>VLOOKUP($L59,PRICES!$A:$CN,81,FALSE)</f>
        <v>397.59494455032853</v>
      </c>
      <c r="E59" s="35">
        <f>VLOOKUP($L59,PRICES!$A:$CN,82,FALSE)</f>
        <v>204.64979740721756</v>
      </c>
      <c r="F59" s="19">
        <f>VLOOKUP($L59,PRICES!$A:$CN,83,FALSE)</f>
        <v>211.52877855231463</v>
      </c>
      <c r="G59" s="25" t="str">
        <f>IF(VLOOKUP($A59,PRICES!$A:$CN,70,FALSE)="Y","Manual Adjusted",IF(VLOOKUP($A59,PRICES!$A:$CN,51,FALSE)="Roll-over","Roll-Over","Modelled"))</f>
        <v>Modelled</v>
      </c>
      <c r="H59" s="43" t="str">
        <f>IF(VLOOKUP($A59,PRICES!$A:$CN,70,FALSE)="Y","Manual Adjusted",IF(VLOOKUP($A59,PRICES!$A:$CN,52,FALSE)="Roll-over","Roll-Over","Modelled"))</f>
        <v>Modelled</v>
      </c>
      <c r="I59" s="43" t="str">
        <f>IF(VLOOKUP($A59,PRICES!$A:$CN,70,FALSE)="Y","Manual Adjusted",IF(VLOOKUP($A59,PRICES!$A:$CN,53,FALSE)="Roll-over","Roll-Over","Modelled"))</f>
        <v>Modelled</v>
      </c>
      <c r="J59" s="44" t="str">
        <f>IF(VLOOKUP($A59,PRICES!$A:$CN,70,FALSE)="Y","Manual Adjusted",IF(VLOOKUP($A59,PRICES!$A:$CN,54,FALSE)="Roll-over","Roll-Over","Modelled"))</f>
        <v>Modelled</v>
      </c>
      <c r="L59" s="25">
        <f t="shared" si="0"/>
        <v>421</v>
      </c>
      <c r="M59" s="18" t="str">
        <f t="shared" si="1"/>
        <v>Paediatric Neurology</v>
      </c>
      <c r="N59" s="37">
        <f>VLOOKUP($L59,PRICES!$A:$CN,75,FALSE)</f>
        <v>319.87968604816973</v>
      </c>
      <c r="O59" s="35">
        <f>VLOOKUP($L59,PRICES!$A:$CN,76,FALSE)</f>
        <v>397.59494455032853</v>
      </c>
      <c r="P59" s="35">
        <f>VLOOKUP($L59,PRICES!$A:$CN,77,FALSE)</f>
        <v>204.64979740721756</v>
      </c>
      <c r="Q59" s="19">
        <f>VLOOKUP($L59,PRICES!$A:$CN,78,FALSE)</f>
        <v>211.52877855231463</v>
      </c>
      <c r="R59" s="77">
        <f>IF(ISNUMBER(VLOOKUP(A59,#REF!,3,FALSE)),0,IF(ISNA(VLOOKUP(A59,'Manual adjustments'!$A:$S,16,FALSE)),1,1-VLOOKUP(A59,'Manual adjustments'!$A:$S,16,FALSE)))</f>
        <v>1</v>
      </c>
      <c r="S59" s="77">
        <f>IF(ISNUMBER(VLOOKUP(A59,#REF!,4,FALSE)),0,IF(ISNA(VLOOKUP(A59,'Manual adjustments'!$A:$S,17,FALSE)),1,1-VLOOKUP(A59,'Manual adjustments'!$A:$S,17,FALSE)))</f>
        <v>1</v>
      </c>
      <c r="T59" s="77">
        <f>IF(ISNUMBER(VLOOKUP(A59,#REF!,5,FALSE)),0,IF(ISNA(VLOOKUP(A59,'Manual adjustments'!$A:$S,18,FALSE)),1,1-VLOOKUP(A59,'Manual adjustments'!$A:$S,18,FALSE)))</f>
        <v>1</v>
      </c>
      <c r="U59" s="84">
        <f>IF(ISNUMBER(VLOOKUP(A59,#REF!,6,FALSE)),0,IF(ISNA(VLOOKUP(A59,'Manual adjustments'!$A:$S,19,FALSE)),1,1-VLOOKUP(A59,'Manual adjustments'!$A:$S,19,FALSE)))</f>
        <v>1</v>
      </c>
      <c r="W59" s="25">
        <f t="shared" si="2"/>
        <v>421</v>
      </c>
      <c r="X59" s="18" t="str">
        <f t="shared" si="3"/>
        <v>Paediatric Neurology</v>
      </c>
      <c r="Y59" s="34">
        <f>IFERROR(VLOOKUP($W59,'Further adjustment'!$A:$Q,7,FALSE),0)</f>
        <v>17172</v>
      </c>
      <c r="Z59" s="36">
        <f>IFERROR(VLOOKUP($W59,'Further adjustment'!$A:$Q,6,FALSE),0)</f>
        <v>1234</v>
      </c>
      <c r="AA59" s="36">
        <f>IFERROR(VLOOKUP($W59,'Further adjustment'!$A:$Q,9,FALSE),0)</f>
        <v>35815</v>
      </c>
      <c r="AB59" s="18">
        <f>IFERROR(VLOOKUP($W59,'Further adjustment'!$A:$Q,8,FALSE),0)</f>
        <v>3526</v>
      </c>
    </row>
    <row r="60" spans="1:28" s="30" customFormat="1">
      <c r="A60" s="25">
        <f>Mandatory!A58</f>
        <v>430</v>
      </c>
      <c r="B60" s="18" t="str">
        <f>INDEX('201314 RC list'!B:B,MATCH(A60,'201314 RC list'!A:A,0))</f>
        <v>Geriatric Medicine</v>
      </c>
      <c r="C60" s="37">
        <f>VLOOKUP($L60,PRICES!$A:$CN,80,FALSE)</f>
        <v>228.8797123863657</v>
      </c>
      <c r="D60" s="35">
        <f>VLOOKUP($L60,PRICES!$A:$CN,81,FALSE)</f>
        <v>228.8797123863657</v>
      </c>
      <c r="E60" s="35">
        <f>VLOOKUP($L60,PRICES!$A:$CN,82,FALSE)</f>
        <v>133.50140740454171</v>
      </c>
      <c r="F60" s="19">
        <f>VLOOKUP($L60,PRICES!$A:$CN,83,FALSE)</f>
        <v>133.50140740454171</v>
      </c>
      <c r="G60" s="25" t="str">
        <f>IF(VLOOKUP($A60,PRICES!$A:$CN,70,FALSE)="Y","Manual Adjusted",IF(VLOOKUP($A60,PRICES!$A:$CN,51,FALSE)="Roll-over","Roll-Over","Modelled"))</f>
        <v>Modelled</v>
      </c>
      <c r="H60" s="43" t="str">
        <f>IF(VLOOKUP($A60,PRICES!$A:$CN,70,FALSE)="Y","Manual Adjusted",IF(VLOOKUP($A60,PRICES!$A:$CN,52,FALSE)="Roll-over","Roll-Over","Modelled"))</f>
        <v>Modelled</v>
      </c>
      <c r="I60" s="43" t="str">
        <f>IF(VLOOKUP($A60,PRICES!$A:$CN,70,FALSE)="Y","Manual Adjusted",IF(VLOOKUP($A60,PRICES!$A:$CN,53,FALSE)="Roll-over","Roll-Over","Modelled"))</f>
        <v>Modelled</v>
      </c>
      <c r="J60" s="44" t="str">
        <f>IF(VLOOKUP($A60,PRICES!$A:$CN,70,FALSE)="Y","Manual Adjusted",IF(VLOOKUP($A60,PRICES!$A:$CN,54,FALSE)="Roll-over","Roll-Over","Modelled"))</f>
        <v>Modelled</v>
      </c>
      <c r="L60" s="25">
        <f t="shared" si="0"/>
        <v>430</v>
      </c>
      <c r="M60" s="18" t="str">
        <f t="shared" si="1"/>
        <v>Geriatric Medicine</v>
      </c>
      <c r="N60" s="37">
        <f>VLOOKUP($L60,PRICES!$A:$CN,75,FALSE)</f>
        <v>228.8797123863657</v>
      </c>
      <c r="O60" s="35">
        <f>VLOOKUP($L60,PRICES!$A:$CN,76,FALSE)</f>
        <v>228.8797123863657</v>
      </c>
      <c r="P60" s="35">
        <f>VLOOKUP($L60,PRICES!$A:$CN,77,FALSE)</f>
        <v>133.50140740454171</v>
      </c>
      <c r="Q60" s="19">
        <f>VLOOKUP($L60,PRICES!$A:$CN,78,FALSE)</f>
        <v>133.50140740454171</v>
      </c>
      <c r="R60" s="77">
        <f>IF(ISNUMBER(VLOOKUP(A60,#REF!,3,FALSE)),0,IF(ISNA(VLOOKUP(A60,'Manual adjustments'!$A:$S,16,FALSE)),1,1-VLOOKUP(A60,'Manual adjustments'!$A:$S,16,FALSE)))</f>
        <v>1</v>
      </c>
      <c r="S60" s="77">
        <f>IF(ISNUMBER(VLOOKUP(A60,#REF!,4,FALSE)),0,IF(ISNA(VLOOKUP(A60,'Manual adjustments'!$A:$S,17,FALSE)),1,1-VLOOKUP(A60,'Manual adjustments'!$A:$S,17,FALSE)))</f>
        <v>1</v>
      </c>
      <c r="T60" s="77">
        <f>IF(ISNUMBER(VLOOKUP(A60,#REF!,5,FALSE)),0,IF(ISNA(VLOOKUP(A60,'Manual adjustments'!$A:$S,18,FALSE)),1,1-VLOOKUP(A60,'Manual adjustments'!$A:$S,18,FALSE)))</f>
        <v>1</v>
      </c>
      <c r="U60" s="84">
        <f>IF(ISNUMBER(VLOOKUP(A60,#REF!,6,FALSE)),0,IF(ISNA(VLOOKUP(A60,'Manual adjustments'!$A:$S,19,FALSE)),1,1-VLOOKUP(A60,'Manual adjustments'!$A:$S,19,FALSE)))</f>
        <v>1</v>
      </c>
      <c r="W60" s="25">
        <f t="shared" si="2"/>
        <v>430</v>
      </c>
      <c r="X60" s="18" t="str">
        <f t="shared" si="3"/>
        <v>Geriatric Medicine</v>
      </c>
      <c r="Y60" s="34">
        <f>IFERROR(VLOOKUP($W60,'Further adjustment'!$A:$Q,7,FALSE),0)</f>
        <v>167266</v>
      </c>
      <c r="Z60" s="36">
        <f>IFERROR(VLOOKUP($W60,'Further adjustment'!$A:$Q,6,FALSE),0)</f>
        <v>4259</v>
      </c>
      <c r="AA60" s="36">
        <f>IFERROR(VLOOKUP($W60,'Further adjustment'!$A:$Q,9,FALSE),0)</f>
        <v>236482</v>
      </c>
      <c r="AB60" s="18">
        <f>IFERROR(VLOOKUP($W60,'Further adjustment'!$A:$Q,8,FALSE),0)</f>
        <v>4383</v>
      </c>
    </row>
    <row r="61" spans="1:28">
      <c r="A61" s="25">
        <f>Mandatory!A59</f>
        <v>502</v>
      </c>
      <c r="B61" s="18" t="str">
        <f>INDEX('201314 RC list'!B:B,MATCH(A61,'201314 RC list'!A:A,0))</f>
        <v>Gynaecology</v>
      </c>
      <c r="C61" s="37">
        <f>VLOOKUP($L61,PRICES!$A:$CN,80,FALSE)</f>
        <v>135.30079569920184</v>
      </c>
      <c r="D61" s="35">
        <f>VLOOKUP($L61,PRICES!$A:$CN,81,FALSE)</f>
        <v>154.27186285603122</v>
      </c>
      <c r="E61" s="35">
        <f>VLOOKUP($L61,PRICES!$A:$CN,82,FALSE)</f>
        <v>88.902552296199758</v>
      </c>
      <c r="F61" s="19">
        <f>VLOOKUP($L61,PRICES!$A:$CN,83,FALSE)</f>
        <v>120.19183871010053</v>
      </c>
      <c r="G61" s="25" t="str">
        <f>IF(VLOOKUP($A61,PRICES!$A:$CN,70,FALSE)="Y","Manual Adjusted",IF(VLOOKUP($A61,PRICES!$A:$CN,51,FALSE)="Roll-over","Roll-Over","Modelled"))</f>
        <v>Modelled</v>
      </c>
      <c r="H61" s="43" t="str">
        <f>IF(VLOOKUP($A61,PRICES!$A:$CN,70,FALSE)="Y","Manual Adjusted",IF(VLOOKUP($A61,PRICES!$A:$CN,52,FALSE)="Roll-over","Roll-Over","Modelled"))</f>
        <v>Modelled</v>
      </c>
      <c r="I61" s="43" t="str">
        <f>IF(VLOOKUP($A61,PRICES!$A:$CN,70,FALSE)="Y","Manual Adjusted",IF(VLOOKUP($A61,PRICES!$A:$CN,53,FALSE)="Roll-over","Roll-Over","Modelled"))</f>
        <v>Modelled</v>
      </c>
      <c r="J61" s="44" t="str">
        <f>IF(VLOOKUP($A61,PRICES!$A:$CN,70,FALSE)="Y","Manual Adjusted",IF(VLOOKUP($A61,PRICES!$A:$CN,54,FALSE)="Roll-over","Roll-Over","Modelled"))</f>
        <v>Modelled</v>
      </c>
      <c r="L61" s="25">
        <f t="shared" si="0"/>
        <v>502</v>
      </c>
      <c r="M61" s="18" t="str">
        <f t="shared" si="1"/>
        <v>Gynaecology</v>
      </c>
      <c r="N61" s="37">
        <f>VLOOKUP($L61,PRICES!$A:$CN,75,FALSE)</f>
        <v>135.30079569920184</v>
      </c>
      <c r="O61" s="35">
        <f>VLOOKUP($L61,PRICES!$A:$CN,76,FALSE)</f>
        <v>154.27186285603122</v>
      </c>
      <c r="P61" s="35">
        <f>VLOOKUP($L61,PRICES!$A:$CN,77,FALSE)</f>
        <v>88.902552296199758</v>
      </c>
      <c r="Q61" s="19">
        <f>VLOOKUP($L61,PRICES!$A:$CN,78,FALSE)</f>
        <v>120.19183871010053</v>
      </c>
      <c r="R61" s="77">
        <f>IF(ISNUMBER(VLOOKUP(A61,#REF!,3,FALSE)),0,IF(ISNA(VLOOKUP(A61,'Manual adjustments'!$A:$S,16,FALSE)),1,1-VLOOKUP(A61,'Manual adjustments'!$A:$S,16,FALSE)))</f>
        <v>1</v>
      </c>
      <c r="S61" s="77">
        <f>IF(ISNUMBER(VLOOKUP(A61,#REF!,4,FALSE)),0,IF(ISNA(VLOOKUP(A61,'Manual adjustments'!$A:$S,17,FALSE)),1,1-VLOOKUP(A61,'Manual adjustments'!$A:$S,17,FALSE)))</f>
        <v>1</v>
      </c>
      <c r="T61" s="77">
        <f>IF(ISNUMBER(VLOOKUP(A61,#REF!,5,FALSE)),0,IF(ISNA(VLOOKUP(A61,'Manual adjustments'!$A:$S,18,FALSE)),1,1-VLOOKUP(A61,'Manual adjustments'!$A:$S,18,FALSE)))</f>
        <v>1</v>
      </c>
      <c r="U61" s="84">
        <f>IF(ISNUMBER(VLOOKUP(A61,#REF!,6,FALSE)),0,IF(ISNA(VLOOKUP(A61,'Manual adjustments'!$A:$S,19,FALSE)),1,1-VLOOKUP(A61,'Manual adjustments'!$A:$S,19,FALSE)))</f>
        <v>1</v>
      </c>
      <c r="W61" s="25">
        <f t="shared" si="2"/>
        <v>502</v>
      </c>
      <c r="X61" s="18" t="str">
        <f t="shared" si="3"/>
        <v>Gynaecology</v>
      </c>
      <c r="Y61" s="34">
        <f>IFERROR(VLOOKUP($W61,'Further adjustment'!$A:$Q,7,FALSE),0)</f>
        <v>855866</v>
      </c>
      <c r="Z61" s="36">
        <f>IFERROR(VLOOKUP($W61,'Further adjustment'!$A:$Q,6,FALSE),0)</f>
        <v>37410</v>
      </c>
      <c r="AA61" s="36">
        <f>IFERROR(VLOOKUP($W61,'Further adjustment'!$A:$Q,9,FALSE),0)</f>
        <v>1033736</v>
      </c>
      <c r="AB61" s="18">
        <f>IFERROR(VLOOKUP($W61,'Further adjustment'!$A:$Q,8,FALSE),0)</f>
        <v>34062</v>
      </c>
    </row>
    <row r="62" spans="1:28">
      <c r="A62" s="25">
        <f>Mandatory!A60</f>
        <v>503</v>
      </c>
      <c r="B62" s="18" t="str">
        <f>INDEX('201314 RC list'!B:B,MATCH(A62,'201314 RC list'!A:A,0))</f>
        <v>Gynaecological Oncology</v>
      </c>
      <c r="C62" s="37">
        <f>VLOOKUP($L62,PRICES!$A:$CN,80,FALSE)</f>
        <v>147.62960537407812</v>
      </c>
      <c r="D62" s="35">
        <f>VLOOKUP($L62,PRICES!$A:$CN,81,FALSE)</f>
        <v>238.88499996765822</v>
      </c>
      <c r="E62" s="35">
        <f>VLOOKUP($L62,PRICES!$A:$CN,82,FALSE)</f>
        <v>90.426441243025124</v>
      </c>
      <c r="F62" s="19">
        <f>VLOOKUP($L62,PRICES!$A:$CN,83,FALSE)</f>
        <v>157.51136264964018</v>
      </c>
      <c r="G62" s="25" t="str">
        <f>IF(VLOOKUP($A62,PRICES!$A:$CN,70,FALSE)="Y","Manual Adjusted",IF(VLOOKUP($A62,PRICES!$A:$CN,51,FALSE)="Roll-over","Roll-Over","Modelled"))</f>
        <v>Modelled</v>
      </c>
      <c r="H62" s="43" t="str">
        <f>IF(VLOOKUP($A62,PRICES!$A:$CN,70,FALSE)="Y","Manual Adjusted",IF(VLOOKUP($A62,PRICES!$A:$CN,52,FALSE)="Roll-over","Roll-Over","Modelled"))</f>
        <v>Modelled</v>
      </c>
      <c r="I62" s="43" t="str">
        <f>IF(VLOOKUP($A62,PRICES!$A:$CN,70,FALSE)="Y","Manual Adjusted",IF(VLOOKUP($A62,PRICES!$A:$CN,53,FALSE)="Roll-over","Roll-Over","Modelled"))</f>
        <v>Modelled</v>
      </c>
      <c r="J62" s="44" t="str">
        <f>IF(VLOOKUP($A62,PRICES!$A:$CN,70,FALSE)="Y","Manual Adjusted",IF(VLOOKUP($A62,PRICES!$A:$CN,54,FALSE)="Roll-over","Roll-Over","Modelled"))</f>
        <v>Modelled</v>
      </c>
      <c r="L62" s="25">
        <f t="shared" si="0"/>
        <v>503</v>
      </c>
      <c r="M62" s="18" t="str">
        <f t="shared" si="1"/>
        <v>Gynaecological Oncology</v>
      </c>
      <c r="N62" s="37">
        <f>VLOOKUP($L62,PRICES!$A:$CN,75,FALSE)</f>
        <v>147.62960537407812</v>
      </c>
      <c r="O62" s="35">
        <f>VLOOKUP($L62,PRICES!$A:$CN,76,FALSE)</f>
        <v>238.88499996765822</v>
      </c>
      <c r="P62" s="35">
        <f>VLOOKUP($L62,PRICES!$A:$CN,77,FALSE)</f>
        <v>90.426441243025124</v>
      </c>
      <c r="Q62" s="19">
        <f>VLOOKUP($L62,PRICES!$A:$CN,78,FALSE)</f>
        <v>157.51136264964018</v>
      </c>
      <c r="R62" s="77">
        <f>IF(ISNUMBER(VLOOKUP(A62,#REF!,3,FALSE)),0,IF(ISNA(VLOOKUP(A62,'Manual adjustments'!$A:$S,16,FALSE)),1,1-VLOOKUP(A62,'Manual adjustments'!$A:$S,16,FALSE)))</f>
        <v>1</v>
      </c>
      <c r="S62" s="77">
        <f>IF(ISNUMBER(VLOOKUP(A62,#REF!,4,FALSE)),0,IF(ISNA(VLOOKUP(A62,'Manual adjustments'!$A:$S,17,FALSE)),1,1-VLOOKUP(A62,'Manual adjustments'!$A:$S,17,FALSE)))</f>
        <v>1</v>
      </c>
      <c r="T62" s="77">
        <f>IF(ISNUMBER(VLOOKUP(A62,#REF!,5,FALSE)),0,IF(ISNA(VLOOKUP(A62,'Manual adjustments'!$A:$S,18,FALSE)),1,1-VLOOKUP(A62,'Manual adjustments'!$A:$S,18,FALSE)))</f>
        <v>1</v>
      </c>
      <c r="U62" s="84">
        <f>IF(ISNUMBER(VLOOKUP(A62,#REF!,6,FALSE)),0,IF(ISNA(VLOOKUP(A62,'Manual adjustments'!$A:$S,19,FALSE)),1,1-VLOOKUP(A62,'Manual adjustments'!$A:$S,19,FALSE)))</f>
        <v>1</v>
      </c>
      <c r="W62" s="25">
        <f t="shared" si="2"/>
        <v>503</v>
      </c>
      <c r="X62" s="18" t="str">
        <f t="shared" si="3"/>
        <v>Gynaecological Oncology</v>
      </c>
      <c r="Y62" s="34">
        <f>IFERROR(VLOOKUP($W62,'Further adjustment'!$A:$Q,7,FALSE),0)</f>
        <v>32362</v>
      </c>
      <c r="Z62" s="36">
        <f>IFERROR(VLOOKUP($W62,'Further adjustment'!$A:$Q,6,FALSE),0)</f>
        <v>1878</v>
      </c>
      <c r="AA62" s="36">
        <f>IFERROR(VLOOKUP($W62,'Further adjustment'!$A:$Q,9,FALSE),0)</f>
        <v>65241</v>
      </c>
      <c r="AB62" s="18">
        <f>IFERROR(VLOOKUP($W62,'Further adjustment'!$A:$Q,8,FALSE),0)</f>
        <v>6496</v>
      </c>
    </row>
    <row r="63" spans="1:28">
      <c r="A63" s="25">
        <f>Mandatory!A61</f>
        <v>800</v>
      </c>
      <c r="B63" s="18" t="str">
        <f>INDEX('201314 RC list'!B:B,MATCH(A63,'201314 RC list'!A:A,0))</f>
        <v>Clinical Oncology (previously Radiotherapy)</v>
      </c>
      <c r="C63" s="37">
        <f>VLOOKUP($L63,PRICES!$A:$CN,80,FALSE)</f>
        <v>201.70076893134805</v>
      </c>
      <c r="D63" s="35">
        <f>VLOOKUP($L63,PRICES!$A:$CN,81,FALSE)</f>
        <v>218.88060230791385</v>
      </c>
      <c r="E63" s="35">
        <f>VLOOKUP($L63,PRICES!$A:$CN,82,FALSE)</f>
        <v>93.669844455404885</v>
      </c>
      <c r="F63" s="19">
        <f>VLOOKUP($L63,PRICES!$A:$CN,83,FALSE)</f>
        <v>117.73271054762449</v>
      </c>
      <c r="G63" s="25" t="str">
        <f>IF(VLOOKUP($A63,PRICES!$A:$CN,70,FALSE)="Y","Manual Adjusted",IF(VLOOKUP($A63,PRICES!$A:$CN,51,FALSE)="Roll-over","Roll-Over","Modelled"))</f>
        <v>Modelled</v>
      </c>
      <c r="H63" s="43" t="str">
        <f>IF(VLOOKUP($A63,PRICES!$A:$CN,70,FALSE)="Y","Manual Adjusted",IF(VLOOKUP($A63,PRICES!$A:$CN,52,FALSE)="Roll-over","Roll-Over","Modelled"))</f>
        <v>Modelled</v>
      </c>
      <c r="I63" s="43" t="str">
        <f>IF(VLOOKUP($A63,PRICES!$A:$CN,70,FALSE)="Y","Manual Adjusted",IF(VLOOKUP($A63,PRICES!$A:$CN,53,FALSE)="Roll-over","Roll-Over","Modelled"))</f>
        <v>Modelled</v>
      </c>
      <c r="J63" s="44" t="str">
        <f>IF(VLOOKUP($A63,PRICES!$A:$CN,70,FALSE)="Y","Manual Adjusted",IF(VLOOKUP($A63,PRICES!$A:$CN,54,FALSE)="Roll-over","Roll-Over","Modelled"))</f>
        <v>Modelled</v>
      </c>
      <c r="L63" s="25">
        <f t="shared" si="0"/>
        <v>800</v>
      </c>
      <c r="M63" s="18" t="str">
        <f t="shared" si="1"/>
        <v>Clinical Oncology (previously Radiotherapy)</v>
      </c>
      <c r="N63" s="37">
        <f>VLOOKUP($L63,PRICES!$A:$CN,75,FALSE)</f>
        <v>201.70076893134805</v>
      </c>
      <c r="O63" s="35">
        <f>VLOOKUP($L63,PRICES!$A:$CN,76,FALSE)</f>
        <v>218.88060230791385</v>
      </c>
      <c r="P63" s="35">
        <f>VLOOKUP($L63,PRICES!$A:$CN,77,FALSE)</f>
        <v>93.669844455404885</v>
      </c>
      <c r="Q63" s="19">
        <f>VLOOKUP($L63,PRICES!$A:$CN,78,FALSE)</f>
        <v>117.73271054762449</v>
      </c>
      <c r="R63" s="77">
        <f>IF(ISNUMBER(VLOOKUP(A63,#REF!,3,FALSE)),0,IF(ISNA(VLOOKUP(A63,'Manual adjustments'!$A:$S,16,FALSE)),1,1-VLOOKUP(A63,'Manual adjustments'!$A:$S,16,FALSE)))</f>
        <v>1</v>
      </c>
      <c r="S63" s="77">
        <f>IF(ISNUMBER(VLOOKUP(A63,#REF!,4,FALSE)),0,IF(ISNA(VLOOKUP(A63,'Manual adjustments'!$A:$S,17,FALSE)),1,1-VLOOKUP(A63,'Manual adjustments'!$A:$S,17,FALSE)))</f>
        <v>1</v>
      </c>
      <c r="T63" s="77">
        <f>IF(ISNUMBER(VLOOKUP(A63,#REF!,5,FALSE)),0,IF(ISNA(VLOOKUP(A63,'Manual adjustments'!$A:$S,18,FALSE)),1,1-VLOOKUP(A63,'Manual adjustments'!$A:$S,18,FALSE)))</f>
        <v>1</v>
      </c>
      <c r="U63" s="84">
        <f>IF(ISNUMBER(VLOOKUP(A63,#REF!,6,FALSE)),0,IF(ISNA(VLOOKUP(A63,'Manual adjustments'!$A:$S,19,FALSE)),1,1-VLOOKUP(A63,'Manual adjustments'!$A:$S,19,FALSE)))</f>
        <v>1</v>
      </c>
      <c r="W63" s="25">
        <f t="shared" si="2"/>
        <v>800</v>
      </c>
      <c r="X63" s="18" t="str">
        <f t="shared" si="3"/>
        <v>Clinical Oncology (previously Radiotherapy)</v>
      </c>
      <c r="Y63" s="34">
        <f>IFERROR(VLOOKUP($W63,'Further adjustment'!$A:$Q,7,FALSE),0)</f>
        <v>156343</v>
      </c>
      <c r="Z63" s="36">
        <f>IFERROR(VLOOKUP($W63,'Further adjustment'!$A:$Q,6,FALSE),0)</f>
        <v>13120</v>
      </c>
      <c r="AA63" s="36">
        <f>IFERROR(VLOOKUP($W63,'Further adjustment'!$A:$Q,9,FALSE),0)</f>
        <v>983690</v>
      </c>
      <c r="AB63" s="18">
        <f>IFERROR(VLOOKUP($W63,'Further adjustment'!$A:$Q,8,FALSE),0)</f>
        <v>67882</v>
      </c>
    </row>
    <row r="64" spans="1:28" ht="12" thickBot="1">
      <c r="A64" s="28">
        <f>Mandatory!A62</f>
        <v>812</v>
      </c>
      <c r="B64" s="21" t="str">
        <f>INDEX('201314 RC list'!B:B,MATCH(A64,'201314 RC list'!A:A,0))</f>
        <v>Diagnostic Imaging</v>
      </c>
      <c r="C64" s="23">
        <f>VLOOKUP($L64,PRICES!$A:$CN,80,FALSE)</f>
        <v>0</v>
      </c>
      <c r="D64" s="39">
        <f>VLOOKUP($L64,PRICES!$A:$CN,81,FALSE)</f>
        <v>0</v>
      </c>
      <c r="E64" s="39">
        <f>VLOOKUP($L64,PRICES!$A:$CN,82,FALSE)</f>
        <v>0</v>
      </c>
      <c r="F64" s="40">
        <f>VLOOKUP($L64,PRICES!$A:$CN,83,FALSE)</f>
        <v>0</v>
      </c>
      <c r="G64" s="28" t="str">
        <f>IF(VLOOKUP($A64,PRICES!$A:$CN,70,FALSE)="Y","Manual Adjusted",IF(VLOOKUP($A64,PRICES!$A:$CN,51,FALSE)="Roll-over","Roll-Over","Modelled"))</f>
        <v>Roll-Over</v>
      </c>
      <c r="H64" s="45" t="str">
        <f>IF(VLOOKUP($A64,PRICES!$A:$CN,70,FALSE)="Y","Manual Adjusted",IF(VLOOKUP($A64,PRICES!$A:$CN,52,FALSE)="Roll-over","Roll-Over","Modelled"))</f>
        <v>Roll-Over</v>
      </c>
      <c r="I64" s="45" t="str">
        <f>IF(VLOOKUP($A64,PRICES!$A:$CN,70,FALSE)="Y","Manual Adjusted",IF(VLOOKUP($A64,PRICES!$A:$CN,53,FALSE)="Roll-over","Roll-Over","Modelled"))</f>
        <v>Roll-Over</v>
      </c>
      <c r="J64" s="46" t="str">
        <f>IF(VLOOKUP($A64,PRICES!$A:$CN,70,FALSE)="Y","Manual Adjusted",IF(VLOOKUP($A64,PRICES!$A:$CN,54,FALSE)="Roll-over","Roll-Over","Modelled"))</f>
        <v>Roll-Over</v>
      </c>
      <c r="L64" s="28">
        <f t="shared" si="0"/>
        <v>812</v>
      </c>
      <c r="M64" s="21" t="str">
        <f t="shared" si="1"/>
        <v>Diagnostic Imaging</v>
      </c>
      <c r="N64" s="23">
        <f>VLOOKUP($L64,PRICES!$A:$CN,75,FALSE)</f>
        <v>0</v>
      </c>
      <c r="O64" s="39">
        <f>VLOOKUP($L64,PRICES!$A:$CN,76,FALSE)</f>
        <v>0</v>
      </c>
      <c r="P64" s="39">
        <f>VLOOKUP($L64,PRICES!$A:$CN,77,FALSE)</f>
        <v>0</v>
      </c>
      <c r="Q64" s="40">
        <f>VLOOKUP($L64,PRICES!$A:$CN,78,FALSE)</f>
        <v>0</v>
      </c>
      <c r="R64" s="85">
        <f>IF(ISNUMBER(VLOOKUP(A64,#REF!,3,FALSE)),0,IF(ISNA(VLOOKUP(A64,'Manual adjustments'!$A:$S,16,FALSE)),1,1-VLOOKUP(A64,'Manual adjustments'!$A:$S,16,FALSE)))</f>
        <v>1</v>
      </c>
      <c r="S64" s="85">
        <f>IF(ISNUMBER(VLOOKUP(A64,#REF!,4,FALSE)),0,IF(ISNA(VLOOKUP(A64,'Manual adjustments'!$A:$S,17,FALSE)),1,1-VLOOKUP(A64,'Manual adjustments'!$A:$S,17,FALSE)))</f>
        <v>1</v>
      </c>
      <c r="T64" s="85">
        <f>IF(ISNUMBER(VLOOKUP(A64,#REF!,5,FALSE)),0,IF(ISNA(VLOOKUP(A64,'Manual adjustments'!$A:$S,18,FALSE)),1,1-VLOOKUP(A64,'Manual adjustments'!$A:$S,18,FALSE)))</f>
        <v>1</v>
      </c>
      <c r="U64" s="86">
        <f>IF(ISNUMBER(VLOOKUP(A64,#REF!,6,FALSE)),0,IF(ISNA(VLOOKUP(A64,'Manual adjustments'!$A:$S,19,FALSE)),1,1-VLOOKUP(A64,'Manual adjustments'!$A:$S,19,FALSE)))</f>
        <v>1</v>
      </c>
      <c r="W64" s="28">
        <f t="shared" si="2"/>
        <v>812</v>
      </c>
      <c r="X64" s="21" t="str">
        <f t="shared" si="3"/>
        <v>Diagnostic Imaging</v>
      </c>
      <c r="Y64" s="26">
        <f>IFERROR(VLOOKUP($W64,'Further adjustment'!$A:$Q,7,FALSE),0)</f>
        <v>175243</v>
      </c>
      <c r="Z64" s="27">
        <f>IFERROR(VLOOKUP($W64,'Further adjustment'!$A:$Q,6,FALSE),0)</f>
        <v>178</v>
      </c>
      <c r="AA64" s="27">
        <f>IFERROR(VLOOKUP($W64,'Further adjustment'!$A:$Q,9,FALSE),0)</f>
        <v>43383</v>
      </c>
      <c r="AB64" s="21">
        <f>IFERROR(VLOOKUP($W64,'Further adjustment'!$A:$Q,8,FALSE),0)</f>
        <v>1</v>
      </c>
    </row>
    <row r="66" spans="3:21" ht="33.75">
      <c r="C66" s="63"/>
      <c r="M66" s="68" t="s">
        <v>550</v>
      </c>
      <c r="N66" s="67" t="s">
        <v>533</v>
      </c>
      <c r="Q66" s="30"/>
      <c r="U66" s="10"/>
    </row>
    <row r="67" spans="3:21">
      <c r="M67" s="80">
        <f>SUMPRODUCT(PRICES!$BQ$6:$BT$65,$Y$5:$AB$64)</f>
        <v>4494373849.3456841</v>
      </c>
      <c r="N67" s="78">
        <f>SUMPRODUCT($N$5:$Q$64,$Y$5:$AB$64)</f>
        <v>4494373849.3456841</v>
      </c>
      <c r="Q67" s="30"/>
      <c r="U67" s="10"/>
    </row>
    <row r="68" spans="3:21">
      <c r="J68" s="65"/>
      <c r="K68" s="65"/>
      <c r="L68" s="79" t="s">
        <v>554</v>
      </c>
      <c r="M68" s="65"/>
      <c r="N68" s="65">
        <f>M67-N67</f>
        <v>0</v>
      </c>
      <c r="Q68" s="30"/>
      <c r="U68" s="10"/>
    </row>
    <row r="69" spans="3:21">
      <c r="J69" s="65"/>
      <c r="K69" s="65"/>
      <c r="L69" s="79" t="s">
        <v>555</v>
      </c>
      <c r="M69" s="65"/>
      <c r="N69" s="65">
        <f>SUMPRODUCT($N$5:$Q$64,$Y$5:$AB$64,$R$5:$U$64)</f>
        <v>4494373849.3456841</v>
      </c>
      <c r="Q69" s="30"/>
      <c r="U69" s="10"/>
    </row>
    <row r="70" spans="3:21">
      <c r="J70" s="65"/>
      <c r="K70" s="65"/>
      <c r="L70" s="79" t="s">
        <v>557</v>
      </c>
      <c r="M70" s="65"/>
      <c r="N70" s="66">
        <f>N68/N69</f>
        <v>0</v>
      </c>
      <c r="Q70" s="30"/>
      <c r="U70" s="10"/>
    </row>
    <row r="71" spans="3:21">
      <c r="M71" s="81">
        <f>SUMPRODUCT($C$5:$F$64,$Y$5:$AB$64)</f>
        <v>4494373849.3456841</v>
      </c>
    </row>
    <row r="72" spans="3:21">
      <c r="L72" s="10" t="s">
        <v>559</v>
      </c>
      <c r="M72" s="73" t="b">
        <f>M71=M67</f>
        <v>1</v>
      </c>
    </row>
  </sheetData>
  <autoFilter ref="L4:U64"/>
  <mergeCells count="4">
    <mergeCell ref="Y3:AB3"/>
    <mergeCell ref="C3:J3"/>
    <mergeCell ref="N3:Q3"/>
    <mergeCell ref="R3:U3"/>
  </mergeCells>
  <hyperlinks>
    <hyperlink ref="A2" location="Navigation!A1" display="Home"/>
  </hyperlinks>
  <pageMargins left="0.70866141732283472" right="0.70866141732283472" top="0.74803149606299213" bottom="0.74803149606299213" header="0.31496062992125984" footer="0.31496062992125984"/>
  <pageSetup paperSize="9" fitToHeight="0" orientation="portrait" cellComments="atEnd"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64"/>
  <sheetViews>
    <sheetView workbookViewId="0"/>
  </sheetViews>
  <sheetFormatPr defaultColWidth="9.140625" defaultRowHeight="11.25"/>
  <cols>
    <col min="1" max="1" width="14.85546875" style="60" customWidth="1"/>
    <col min="2" max="2" width="28.5703125" style="60" bestFit="1" customWidth="1"/>
    <col min="3" max="3" width="16.7109375" style="60" customWidth="1"/>
    <col min="4" max="4" width="15.42578125" style="60" customWidth="1"/>
    <col min="5" max="6" width="18.85546875" style="60" customWidth="1"/>
    <col min="7" max="16384" width="9.140625" style="60"/>
  </cols>
  <sheetData>
    <row r="1" spans="1:6" s="59" customFormat="1" ht="27" customHeight="1">
      <c r="A1" s="448" t="s">
        <v>589</v>
      </c>
      <c r="B1" s="425"/>
      <c r="C1" s="425"/>
      <c r="D1" s="425"/>
      <c r="E1" s="425"/>
      <c r="F1" s="425"/>
    </row>
    <row r="2" spans="1:6" ht="15" customHeight="1" thickBot="1">
      <c r="A2" s="182" t="s">
        <v>545</v>
      </c>
      <c r="B2" s="426"/>
      <c r="C2" s="426"/>
      <c r="D2" s="426"/>
      <c r="E2" s="426"/>
      <c r="F2" s="426"/>
    </row>
    <row r="3" spans="1:6" ht="12" customHeight="1" thickBot="1">
      <c r="A3" s="426"/>
      <c r="B3" s="426"/>
      <c r="C3" s="560" t="s">
        <v>49</v>
      </c>
      <c r="D3" s="561"/>
      <c r="E3" s="561"/>
      <c r="F3" s="562"/>
    </row>
    <row r="4" spans="1:6" s="61" customFormat="1" ht="39" thickBot="1">
      <c r="A4" s="427" t="s">
        <v>1116</v>
      </c>
      <c r="B4" s="428" t="s">
        <v>1624</v>
      </c>
      <c r="C4" s="429" t="s">
        <v>1614</v>
      </c>
      <c r="D4" s="430" t="s">
        <v>1615</v>
      </c>
      <c r="E4" s="430" t="s">
        <v>1616</v>
      </c>
      <c r="F4" s="431" t="s">
        <v>1617</v>
      </c>
    </row>
    <row r="5" spans="1:6" ht="12.75">
      <c r="A5" s="432">
        <f>Mandatory!A3</f>
        <v>100</v>
      </c>
      <c r="B5" s="433" t="str">
        <f>INDEX('201314 RC list'!B:B,MATCH(A5,'201314 RC list'!A:A,0))</f>
        <v>General Surgery</v>
      </c>
      <c r="C5" s="434">
        <f>INDEX('OPATT prices'!C:C,MATCH($A5,'OPATT prices'!$A:$A,0))</f>
        <v>137.65403054037597</v>
      </c>
      <c r="D5" s="435">
        <f>INDEX('OPATT prices'!D:D,MATCH($A5,'OPATT prices'!$A:$A,0))</f>
        <v>171.32716248991088</v>
      </c>
      <c r="E5" s="436">
        <f>INDEX('OPATT prices'!E:E,MATCH($A5,'OPATT prices'!$A:$A,0))</f>
        <v>84.299600346291157</v>
      </c>
      <c r="F5" s="437">
        <f>INDEX('OPATT prices'!F:F,MATCH($A5,'OPATT prices'!$A:$A,0))</f>
        <v>130.35318110510772</v>
      </c>
    </row>
    <row r="6" spans="1:6" ht="12.75">
      <c r="A6" s="438">
        <f>Mandatory!A4</f>
        <v>101</v>
      </c>
      <c r="B6" s="439" t="str">
        <f>INDEX('201314 RC list'!B:B,MATCH(A6,'201314 RC list'!A:A,0))</f>
        <v>Urology</v>
      </c>
      <c r="C6" s="440">
        <f>INDEX('OPATT prices'!C:C,MATCH($A6,'OPATT prices'!$A:$A,0))</f>
        <v>113.5602240150768</v>
      </c>
      <c r="D6" s="441">
        <f>INDEX('OPATT prices'!D:D,MATCH($A6,'OPATT prices'!$A:$A,0))</f>
        <v>179.2280126861549</v>
      </c>
      <c r="E6" s="441">
        <f>INDEX('OPATT prices'!E:E,MATCH($A6,'OPATT prices'!$A:$A,0))</f>
        <v>69.712743857061653</v>
      </c>
      <c r="F6" s="442">
        <f>INDEX('OPATT prices'!F:F,MATCH($A6,'OPATT prices'!$A:$A,0))</f>
        <v>112.72405176857377</v>
      </c>
    </row>
    <row r="7" spans="1:6" ht="12.75">
      <c r="A7" s="438">
        <f>Mandatory!A5</f>
        <v>103</v>
      </c>
      <c r="B7" s="439" t="str">
        <f>INDEX('201314 RC list'!B:B,MATCH(A7,'201314 RC list'!A:A,0))</f>
        <v>Breast Surgery</v>
      </c>
      <c r="C7" s="440">
        <f>INDEX('OPATT prices'!C:C,MATCH($A7,'OPATT prices'!$A:$A,0))</f>
        <v>152.5277344334134</v>
      </c>
      <c r="D7" s="441">
        <f>INDEX('OPATT prices'!D:D,MATCH($A7,'OPATT prices'!$A:$A,0))</f>
        <v>163.88147003290931</v>
      </c>
      <c r="E7" s="441">
        <f>INDEX('OPATT prices'!E:E,MATCH($A7,'OPATT prices'!$A:$A,0))</f>
        <v>89.265338148243842</v>
      </c>
      <c r="F7" s="442">
        <f>INDEX('OPATT prices'!F:F,MATCH($A7,'OPATT prices'!$A:$A,0))</f>
        <v>108.4500475401785</v>
      </c>
    </row>
    <row r="8" spans="1:6" ht="12.75">
      <c r="A8" s="438">
        <f>Mandatory!A6</f>
        <v>104</v>
      </c>
      <c r="B8" s="439" t="str">
        <f>INDEX('201314 RC list'!B:B,MATCH(A8,'201314 RC list'!A:A,0))</f>
        <v>Colorectal Surgery</v>
      </c>
      <c r="C8" s="440">
        <f>INDEX('OPATT prices'!C:C,MATCH($A8,'OPATT prices'!$A:$A,0))</f>
        <v>119.28310636873965</v>
      </c>
      <c r="D8" s="441">
        <f>INDEX('OPATT prices'!D:D,MATCH($A8,'OPATT prices'!$A:$A,0))</f>
        <v>219.46503432853004</v>
      </c>
      <c r="E8" s="441">
        <f>INDEX('OPATT prices'!E:E,MATCH($A8,'OPATT prices'!$A:$A,0))</f>
        <v>80.343757145115475</v>
      </c>
      <c r="F8" s="442">
        <f>INDEX('OPATT prices'!F:F,MATCH($A8,'OPATT prices'!$A:$A,0))</f>
        <v>160.68751429023095</v>
      </c>
    </row>
    <row r="9" spans="1:6" ht="12.75">
      <c r="A9" s="438">
        <f>Mandatory!A7</f>
        <v>105</v>
      </c>
      <c r="B9" s="439" t="str">
        <f>INDEX('201314 RC list'!B:B,MATCH(A9,'201314 RC list'!A:A,0))</f>
        <v>Hepatobiliary &amp; Pancreatic Surgery</v>
      </c>
      <c r="C9" s="440">
        <f>INDEX('OPATT prices'!C:C,MATCH($A9,'OPATT prices'!$A:$A,0))</f>
        <v>158.34815904926745</v>
      </c>
      <c r="D9" s="441">
        <f>INDEX('OPATT prices'!D:D,MATCH($A9,'OPATT prices'!$A:$A,0))</f>
        <v>233.89364027657237</v>
      </c>
      <c r="E9" s="441">
        <f>INDEX('OPATT prices'!E:E,MATCH($A9,'OPATT prices'!$A:$A,0))</f>
        <v>106.60115119204995</v>
      </c>
      <c r="F9" s="442">
        <f>INDEX('OPATT prices'!F:F,MATCH($A9,'OPATT prices'!$A:$A,0))</f>
        <v>164.51488655310146</v>
      </c>
    </row>
    <row r="10" spans="1:6" ht="12.75">
      <c r="A10" s="438">
        <f>Mandatory!A8</f>
        <v>106</v>
      </c>
      <c r="B10" s="439" t="str">
        <f>INDEX('201314 RC list'!B:B,MATCH(A10,'201314 RC list'!A:A,0))</f>
        <v>Upper Gastrointestinal Surgery</v>
      </c>
      <c r="C10" s="440">
        <f>INDEX('OPATT prices'!C:C,MATCH($A10,'OPATT prices'!$A:$A,0))</f>
        <v>136.70959556771825</v>
      </c>
      <c r="D10" s="441">
        <f>INDEX('OPATT prices'!D:D,MATCH($A10,'OPATT prices'!$A:$A,0))</f>
        <v>225.2225048237016</v>
      </c>
      <c r="E10" s="441">
        <f>INDEX('OPATT prices'!E:E,MATCH($A10,'OPATT prices'!$A:$A,0))</f>
        <v>89.244587616768058</v>
      </c>
      <c r="F10" s="442">
        <f>INDEX('OPATT prices'!F:F,MATCH($A10,'OPATT prices'!$A:$A,0))</f>
        <v>126.15270071124384</v>
      </c>
    </row>
    <row r="11" spans="1:6" ht="12.75">
      <c r="A11" s="438">
        <f>Mandatory!A9</f>
        <v>107</v>
      </c>
      <c r="B11" s="439" t="str">
        <f>INDEX('201314 RC list'!B:B,MATCH(A11,'201314 RC list'!A:A,0))</f>
        <v>Vascular Surgery</v>
      </c>
      <c r="C11" s="440">
        <f>INDEX('OPATT prices'!C:C,MATCH($A11,'OPATT prices'!$A:$A,0))</f>
        <v>155.7736083522941</v>
      </c>
      <c r="D11" s="441">
        <f>INDEX('OPATT prices'!D:D,MATCH($A11,'OPATT prices'!$A:$A,0))</f>
        <v>243.42973284357078</v>
      </c>
      <c r="E11" s="441">
        <f>INDEX('OPATT prices'!E:E,MATCH($A11,'OPATT prices'!$A:$A,0))</f>
        <v>105.68520757061287</v>
      </c>
      <c r="F11" s="442">
        <f>INDEX('OPATT prices'!F:F,MATCH($A11,'OPATT prices'!$A:$A,0))</f>
        <v>170.81431822783577</v>
      </c>
    </row>
    <row r="12" spans="1:6" ht="12.75">
      <c r="A12" s="438">
        <f>Mandatory!A10</f>
        <v>108</v>
      </c>
      <c r="B12" s="439" t="str">
        <f>INDEX('201314 RC list'!B:B,MATCH(A12,'201314 RC list'!A:A,0))</f>
        <v>Spinal Surgery Service</v>
      </c>
      <c r="C12" s="440">
        <f>INDEX('OPATT prices'!C:C,MATCH($A12,'OPATT prices'!$A:$A,0))</f>
        <v>166.72823004593124</v>
      </c>
      <c r="D12" s="441">
        <f>INDEX('OPATT prices'!D:D,MATCH($A12,'OPATT prices'!$A:$A,0))</f>
        <v>166.72823004593124</v>
      </c>
      <c r="E12" s="441">
        <f>INDEX('OPATT prices'!E:E,MATCH($A12,'OPATT prices'!$A:$A,0))</f>
        <v>103.0838930269433</v>
      </c>
      <c r="F12" s="442">
        <f>INDEX('OPATT prices'!F:F,MATCH($A12,'OPATT prices'!$A:$A,0))</f>
        <v>103.0838930269433</v>
      </c>
    </row>
    <row r="13" spans="1:6" ht="12.75">
      <c r="A13" s="438">
        <f>Mandatory!A11</f>
        <v>110</v>
      </c>
      <c r="B13" s="439" t="str">
        <f>INDEX('201314 RC list'!B:B,MATCH(A13,'201314 RC list'!A:A,0))</f>
        <v>Trauma &amp; Orthopaedics</v>
      </c>
      <c r="C13" s="440">
        <f>INDEX('OPATT prices'!C:C,MATCH($A13,'OPATT prices'!$A:$A,0))</f>
        <v>126.06545864241775</v>
      </c>
      <c r="D13" s="441">
        <f>INDEX('OPATT prices'!D:D,MATCH($A13,'OPATT prices'!$A:$A,0))</f>
        <v>135.3918246038883</v>
      </c>
      <c r="E13" s="441">
        <f>INDEX('OPATT prices'!E:E,MATCH($A13,'OPATT prices'!$A:$A,0))</f>
        <v>79.285631123580103</v>
      </c>
      <c r="F13" s="442">
        <f>INDEX('OPATT prices'!F:F,MATCH($A13,'OPATT prices'!$A:$A,0))</f>
        <v>83.625035998850521</v>
      </c>
    </row>
    <row r="14" spans="1:6" ht="12.75">
      <c r="A14" s="438">
        <f>Mandatory!A12</f>
        <v>120</v>
      </c>
      <c r="B14" s="439" t="str">
        <f>INDEX('201314 RC list'!B:B,MATCH(A14,'201314 RC list'!A:A,0))</f>
        <v>ENT</v>
      </c>
      <c r="C14" s="440">
        <f>INDEX('OPATT prices'!C:C,MATCH($A14,'OPATT prices'!$A:$A,0))</f>
        <v>101.10354322096782</v>
      </c>
      <c r="D14" s="441">
        <f>INDEX('OPATT prices'!D:D,MATCH($A14,'OPATT prices'!$A:$A,0))</f>
        <v>138.11457382366746</v>
      </c>
      <c r="E14" s="441">
        <f>INDEX('OPATT prices'!E:E,MATCH($A14,'OPATT prices'!$A:$A,0))</f>
        <v>64.795903797893828</v>
      </c>
      <c r="F14" s="442">
        <f>INDEX('OPATT prices'!F:F,MATCH($A14,'OPATT prices'!$A:$A,0))</f>
        <v>93.968703065219415</v>
      </c>
    </row>
    <row r="15" spans="1:6" ht="12.75">
      <c r="A15" s="438">
        <f>Mandatory!A13</f>
        <v>130</v>
      </c>
      <c r="B15" s="439" t="str">
        <f>INDEX('201314 RC list'!B:B,MATCH(A15,'201314 RC list'!A:A,0))</f>
        <v>Ophthalmology</v>
      </c>
      <c r="C15" s="440">
        <f>INDEX('OPATT prices'!C:C,MATCH($A15,'OPATT prices'!$A:$A,0))</f>
        <v>105.16656659360872</v>
      </c>
      <c r="D15" s="441">
        <f>INDEX('OPATT prices'!D:D,MATCH($A15,'OPATT prices'!$A:$A,0))</f>
        <v>137.25301855901805</v>
      </c>
      <c r="E15" s="441">
        <f>INDEX('OPATT prices'!E:E,MATCH($A15,'OPATT prices'!$A:$A,0))</f>
        <v>62.455878074526559</v>
      </c>
      <c r="F15" s="442">
        <f>INDEX('OPATT prices'!F:F,MATCH($A15,'OPATT prices'!$A:$A,0))</f>
        <v>81.966653523413328</v>
      </c>
    </row>
    <row r="16" spans="1:6" ht="12.75">
      <c r="A16" s="438">
        <f>Mandatory!A14</f>
        <v>140</v>
      </c>
      <c r="B16" s="439" t="str">
        <f>INDEX('201314 RC list'!B:B,MATCH(A16,'201314 RC list'!A:A,0))</f>
        <v>Oral Surgery</v>
      </c>
      <c r="C16" s="440">
        <f>INDEX('OPATT prices'!C:C,MATCH($A16,'OPATT prices'!$A:$A,0))</f>
        <v>116.80530271950623</v>
      </c>
      <c r="D16" s="441">
        <f>INDEX('OPATT prices'!D:D,MATCH($A16,'OPATT prices'!$A:$A,0))</f>
        <v>188.47446271962946</v>
      </c>
      <c r="E16" s="441">
        <f>INDEX('OPATT prices'!E:E,MATCH($A16,'OPATT prices'!$A:$A,0))</f>
        <v>75.727360600333682</v>
      </c>
      <c r="F16" s="442">
        <f>INDEX('OPATT prices'!F:F,MATCH($A16,'OPATT prices'!$A:$A,0))</f>
        <v>128.16525647214468</v>
      </c>
    </row>
    <row r="17" spans="1:6" ht="12.75">
      <c r="A17" s="438">
        <f>Mandatory!A15</f>
        <v>143</v>
      </c>
      <c r="B17" s="439" t="str">
        <f>INDEX('201314 RC list'!B:B,MATCH(A17,'201314 RC list'!A:A,0))</f>
        <v>Orthodontics</v>
      </c>
      <c r="C17" s="440">
        <f>INDEX('OPATT prices'!C:C,MATCH($A17,'OPATT prices'!$A:$A,0))</f>
        <v>148.5458143614452</v>
      </c>
      <c r="D17" s="441">
        <f>INDEX('OPATT prices'!D:D,MATCH($A17,'OPATT prices'!$A:$A,0))</f>
        <v>167.36616126756869</v>
      </c>
      <c r="E17" s="441">
        <f>INDEX('OPATT prices'!E:E,MATCH($A17,'OPATT prices'!$A:$A,0))</f>
        <v>77.324162376421711</v>
      </c>
      <c r="F17" s="442">
        <f>INDEX('OPATT prices'!F:F,MATCH($A17,'OPATT prices'!$A:$A,0))</f>
        <v>94.00692742234223</v>
      </c>
    </row>
    <row r="18" spans="1:6" ht="12.75">
      <c r="A18" s="438">
        <f>Mandatory!A16</f>
        <v>144</v>
      </c>
      <c r="B18" s="439" t="str">
        <f>INDEX('201314 RC list'!B:B,MATCH(A18,'201314 RC list'!A:A,0))</f>
        <v>Maxillo-Facial Surgery</v>
      </c>
      <c r="C18" s="440">
        <f>INDEX('OPATT prices'!C:C,MATCH($A18,'OPATT prices'!$A:$A,0))</f>
        <v>109.19418552640656</v>
      </c>
      <c r="D18" s="441">
        <f>INDEX('OPATT prices'!D:D,MATCH($A18,'OPATT prices'!$A:$A,0))</f>
        <v>140.04323485393812</v>
      </c>
      <c r="E18" s="441">
        <f>INDEX('OPATT prices'!E:E,MATCH($A18,'OPATT prices'!$A:$A,0))</f>
        <v>78.434922526973438</v>
      </c>
      <c r="F18" s="442">
        <f>INDEX('OPATT prices'!F:F,MATCH($A18,'OPATT prices'!$A:$A,0))</f>
        <v>78.434922526973438</v>
      </c>
    </row>
    <row r="19" spans="1:6" ht="12.75">
      <c r="A19" s="438">
        <f>Mandatory!A17</f>
        <v>150</v>
      </c>
      <c r="B19" s="439" t="str">
        <f>INDEX('201314 RC list'!B:B,MATCH(A19,'201314 RC list'!A:A,0))</f>
        <v>Neurosurgery</v>
      </c>
      <c r="C19" s="440">
        <f>INDEX('OPATT prices'!C:C,MATCH($A19,'OPATT prices'!$A:$A,0))</f>
        <v>183.89557235404652</v>
      </c>
      <c r="D19" s="441">
        <f>INDEX('OPATT prices'!D:D,MATCH($A19,'OPATT prices'!$A:$A,0))</f>
        <v>226.78134031413373</v>
      </c>
      <c r="E19" s="441">
        <f>INDEX('OPATT prices'!E:E,MATCH($A19,'OPATT prices'!$A:$A,0))</f>
        <v>125.14764923771139</v>
      </c>
      <c r="F19" s="442">
        <f>INDEX('OPATT prices'!F:F,MATCH($A19,'OPATT prices'!$A:$A,0))</f>
        <v>164.48648787116974</v>
      </c>
    </row>
    <row r="20" spans="1:6" ht="12.75">
      <c r="A20" s="438">
        <f>Mandatory!A18</f>
        <v>160</v>
      </c>
      <c r="B20" s="439" t="str">
        <f>INDEX('201314 RC list'!B:B,MATCH(A20,'201314 RC list'!A:A,0))</f>
        <v>Plastic Surgery</v>
      </c>
      <c r="C20" s="440">
        <f>INDEX('OPATT prices'!C:C,MATCH($A20,'OPATT prices'!$A:$A,0))</f>
        <v>104.43133111258076</v>
      </c>
      <c r="D20" s="441">
        <f>INDEX('OPATT prices'!D:D,MATCH($A20,'OPATT prices'!$A:$A,0))</f>
        <v>153.25003947348156</v>
      </c>
      <c r="E20" s="441">
        <f>INDEX('OPATT prices'!E:E,MATCH($A20,'OPATT prices'!$A:$A,0))</f>
        <v>64.429389942718657</v>
      </c>
      <c r="F20" s="442">
        <f>INDEX('OPATT prices'!F:F,MATCH($A20,'OPATT prices'!$A:$A,0))</f>
        <v>111.90880974679708</v>
      </c>
    </row>
    <row r="21" spans="1:6" ht="12.75">
      <c r="A21" s="438">
        <f>Mandatory!A19</f>
        <v>170</v>
      </c>
      <c r="B21" s="439" t="str">
        <f>INDEX('201314 RC list'!B:B,MATCH(A21,'201314 RC list'!A:A,0))</f>
        <v>Cardiothoracic Surgery</v>
      </c>
      <c r="C21" s="440">
        <f>INDEX('OPATT prices'!C:C,MATCH($A21,'OPATT prices'!$A:$A,0))</f>
        <v>260.24230968900321</v>
      </c>
      <c r="D21" s="441">
        <f>INDEX('OPATT prices'!D:D,MATCH($A21,'OPATT prices'!$A:$A,0))</f>
        <v>520.48461937800641</v>
      </c>
      <c r="E21" s="441">
        <f>INDEX('OPATT prices'!E:E,MATCH($A21,'OPATT prices'!$A:$A,0))</f>
        <v>204.53744132828871</v>
      </c>
      <c r="F21" s="442">
        <f>INDEX('OPATT prices'!F:F,MATCH($A21,'OPATT prices'!$A:$A,0))</f>
        <v>409.07488265657742</v>
      </c>
    </row>
    <row r="22" spans="1:6" ht="12.75">
      <c r="A22" s="438">
        <f>Mandatory!A20</f>
        <v>171</v>
      </c>
      <c r="B22" s="439" t="str">
        <f>INDEX('201314 RC list'!B:B,MATCH(A22,'201314 RC list'!A:A,0))</f>
        <v>Paediatric Surgery</v>
      </c>
      <c r="C22" s="440">
        <f>INDEX('OPATT prices'!C:C,MATCH($A22,'OPATT prices'!$A:$A,0))</f>
        <v>151.31419495327381</v>
      </c>
      <c r="D22" s="441">
        <f>INDEX('OPATT prices'!D:D,MATCH($A22,'OPATT prices'!$A:$A,0))</f>
        <v>170.89079286655041</v>
      </c>
      <c r="E22" s="441">
        <f>INDEX('OPATT prices'!E:E,MATCH($A22,'OPATT prices'!$A:$A,0))</f>
        <v>103.59659066174052</v>
      </c>
      <c r="F22" s="442">
        <f>INDEX('OPATT prices'!F:F,MATCH($A22,'OPATT prices'!$A:$A,0))</f>
        <v>136.65388630805941</v>
      </c>
    </row>
    <row r="23" spans="1:6" ht="12.75">
      <c r="A23" s="438">
        <f>Mandatory!A21</f>
        <v>172</v>
      </c>
      <c r="B23" s="439" t="str">
        <f>INDEX('201314 RC list'!B:B,MATCH(A23,'201314 RC list'!A:A,0))</f>
        <v>Cardiac Surgery</v>
      </c>
      <c r="C23" s="440">
        <f>INDEX('OPATT prices'!C:C,MATCH($A23,'OPATT prices'!$A:$A,0))</f>
        <v>286.21823194022642</v>
      </c>
      <c r="D23" s="441">
        <f>INDEX('OPATT prices'!D:D,MATCH($A23,'OPATT prices'!$A:$A,0))</f>
        <v>286.21823194022642</v>
      </c>
      <c r="E23" s="441">
        <f>INDEX('OPATT prices'!E:E,MATCH($A23,'OPATT prices'!$A:$A,0))</f>
        <v>202.19550910194545</v>
      </c>
      <c r="F23" s="442">
        <f>INDEX('OPATT prices'!F:F,MATCH($A23,'OPATT prices'!$A:$A,0))</f>
        <v>202.19550910194545</v>
      </c>
    </row>
    <row r="24" spans="1:6" ht="12.75">
      <c r="A24" s="438">
        <f>Mandatory!A22</f>
        <v>173</v>
      </c>
      <c r="B24" s="439" t="str">
        <f>INDEX('201314 RC list'!B:B,MATCH(A24,'201314 RC list'!A:A,0))</f>
        <v>Thoracic Surgery</v>
      </c>
      <c r="C24" s="440">
        <f>INDEX('OPATT prices'!C:C,MATCH($A24,'OPATT prices'!$A:$A,0))</f>
        <v>230.60337263095258</v>
      </c>
      <c r="D24" s="441">
        <f>INDEX('OPATT prices'!D:D,MATCH($A24,'OPATT prices'!$A:$A,0))</f>
        <v>231.68318822590211</v>
      </c>
      <c r="E24" s="441">
        <f>INDEX('OPATT prices'!E:E,MATCH($A24,'OPATT prices'!$A:$A,0))</f>
        <v>150.20372887210135</v>
      </c>
      <c r="F24" s="442">
        <f>INDEX('OPATT prices'!F:F,MATCH($A24,'OPATT prices'!$A:$A,0))</f>
        <v>150.92523099953422</v>
      </c>
    </row>
    <row r="25" spans="1:6" ht="12.75">
      <c r="A25" s="438">
        <f>Mandatory!A23</f>
        <v>190</v>
      </c>
      <c r="B25" s="439" t="str">
        <f>INDEX('201314 RC list'!B:B,MATCH(A25,'201314 RC list'!A:A,0))</f>
        <v>Anaesthetics</v>
      </c>
      <c r="C25" s="440">
        <f>INDEX('OPATT prices'!C:C,MATCH($A25,'OPATT prices'!$A:$A,0))</f>
        <v>117.26660424869779</v>
      </c>
      <c r="D25" s="441">
        <f>INDEX('OPATT prices'!D:D,MATCH($A25,'OPATT prices'!$A:$A,0))</f>
        <v>219.22160951645816</v>
      </c>
      <c r="E25" s="441">
        <f>INDEX('OPATT prices'!E:E,MATCH($A25,'OPATT prices'!$A:$A,0))</f>
        <v>67.698791299930079</v>
      </c>
      <c r="F25" s="442">
        <f>INDEX('OPATT prices'!F:F,MATCH($A25,'OPATT prices'!$A:$A,0))</f>
        <v>92.547968039257654</v>
      </c>
    </row>
    <row r="26" spans="1:6" ht="12.75">
      <c r="A26" s="438">
        <f>Mandatory!A24</f>
        <v>191</v>
      </c>
      <c r="B26" s="439" t="str">
        <f>INDEX('201314 RC list'!B:B,MATCH(A26,'201314 RC list'!A:A,0))</f>
        <v>Pain Management</v>
      </c>
      <c r="C26" s="440">
        <f>INDEX('OPATT prices'!C:C,MATCH($A26,'OPATT prices'!$A:$A,0))</f>
        <v>157.49247230382991</v>
      </c>
      <c r="D26" s="441">
        <f>INDEX('OPATT prices'!D:D,MATCH($A26,'OPATT prices'!$A:$A,0))</f>
        <v>166.06856575736936</v>
      </c>
      <c r="E26" s="441">
        <f>INDEX('OPATT prices'!E:E,MATCH($A26,'OPATT prices'!$A:$A,0))</f>
        <v>91.879095860175312</v>
      </c>
      <c r="F26" s="442">
        <f>INDEX('OPATT prices'!F:F,MATCH($A26,'OPATT prices'!$A:$A,0))</f>
        <v>118.93710587472907</v>
      </c>
    </row>
    <row r="27" spans="1:6" ht="12.75">
      <c r="A27" s="438">
        <f>Mandatory!A25</f>
        <v>211</v>
      </c>
      <c r="B27" s="439" t="str">
        <f>INDEX('201314 RC list'!B:B,MATCH(A27,'201314 RC list'!A:A,0))</f>
        <v>Paediatric Urology</v>
      </c>
      <c r="C27" s="440">
        <f>INDEX('OPATT prices'!C:C,MATCH($A27,'OPATT prices'!$A:$A,0))</f>
        <v>142.90146319221569</v>
      </c>
      <c r="D27" s="441">
        <f>INDEX('OPATT prices'!D:D,MATCH($A27,'OPATT prices'!$A:$A,0))</f>
        <v>179.2280126861549</v>
      </c>
      <c r="E27" s="441">
        <f>INDEX('OPATT prices'!E:E,MATCH($A27,'OPATT prices'!$A:$A,0))</f>
        <v>91.595419642209322</v>
      </c>
      <c r="F27" s="442">
        <f>INDEX('OPATT prices'!F:F,MATCH($A27,'OPATT prices'!$A:$A,0))</f>
        <v>112.72405176857377</v>
      </c>
    </row>
    <row r="28" spans="1:6" ht="12.75">
      <c r="A28" s="438">
        <f>Mandatory!A26</f>
        <v>214</v>
      </c>
      <c r="B28" s="439" t="str">
        <f>INDEX('201314 RC list'!B:B,MATCH(A28,'201314 RC list'!A:A,0))</f>
        <v>Paediatric Trauma and Orthopaedics</v>
      </c>
      <c r="C28" s="440">
        <f>INDEX('OPATT prices'!C:C,MATCH($A28,'OPATT prices'!$A:$A,0))</f>
        <v>143.79408182388079</v>
      </c>
      <c r="D28" s="441">
        <f>INDEX('OPATT prices'!D:D,MATCH($A28,'OPATT prices'!$A:$A,0))</f>
        <v>210.71434061736619</v>
      </c>
      <c r="E28" s="441">
        <f>INDEX('OPATT prices'!E:E,MATCH($A28,'OPATT prices'!$A:$A,0))</f>
        <v>101.20699483437907</v>
      </c>
      <c r="F28" s="442">
        <f>INDEX('OPATT prices'!F:F,MATCH($A28,'OPATT prices'!$A:$A,0))</f>
        <v>172.87798651756981</v>
      </c>
    </row>
    <row r="29" spans="1:6" ht="12.75">
      <c r="A29" s="438">
        <f>Mandatory!A27</f>
        <v>215</v>
      </c>
      <c r="B29" s="439" t="str">
        <f>INDEX('201314 RC list'!B:B,MATCH(A29,'201314 RC list'!A:A,0))</f>
        <v>Paediatric Ear Nose and Throat</v>
      </c>
      <c r="C29" s="440">
        <f>INDEX('OPATT prices'!C:C,MATCH($A29,'OPATT prices'!$A:$A,0))</f>
        <v>117.66385384940904</v>
      </c>
      <c r="D29" s="441">
        <f>INDEX('OPATT prices'!D:D,MATCH($A29,'OPATT prices'!$A:$A,0))</f>
        <v>138.11457382366746</v>
      </c>
      <c r="E29" s="441">
        <f>INDEX('OPATT prices'!E:E,MATCH($A29,'OPATT prices'!$A:$A,0))</f>
        <v>74.853845213095596</v>
      </c>
      <c r="F29" s="442">
        <f>INDEX('OPATT prices'!F:F,MATCH($A29,'OPATT prices'!$A:$A,0))</f>
        <v>93.968703065219415</v>
      </c>
    </row>
    <row r="30" spans="1:6" ht="12.75">
      <c r="A30" s="438">
        <f>Mandatory!A28</f>
        <v>216</v>
      </c>
      <c r="B30" s="439" t="str">
        <f>INDEX('201314 RC list'!B:B,MATCH(A30,'201314 RC list'!A:A,0))</f>
        <v>Paediatric Ophthalmology</v>
      </c>
      <c r="C30" s="440">
        <f>INDEX('OPATT prices'!C:C,MATCH($A30,'OPATT prices'!$A:$A,0))</f>
        <v>118.6899056600854</v>
      </c>
      <c r="D30" s="441">
        <f>INDEX('OPATT prices'!D:D,MATCH($A30,'OPATT prices'!$A:$A,0))</f>
        <v>137.25301855901805</v>
      </c>
      <c r="E30" s="441">
        <f>INDEX('OPATT prices'!E:E,MATCH($A30,'OPATT prices'!$A:$A,0))</f>
        <v>81.858684888923094</v>
      </c>
      <c r="F30" s="442">
        <f>INDEX('OPATT prices'!F:F,MATCH($A30,'OPATT prices'!$A:$A,0))</f>
        <v>86.857506809991136</v>
      </c>
    </row>
    <row r="31" spans="1:6" ht="12.75">
      <c r="A31" s="438">
        <f>Mandatory!A29</f>
        <v>217</v>
      </c>
      <c r="B31" s="439" t="str">
        <f>INDEX('201314 RC list'!B:B,MATCH(A31,'201314 RC list'!A:A,0))</f>
        <v>Paediatric Maxillo-Facial Surgery</v>
      </c>
      <c r="C31" s="440">
        <f>INDEX('OPATT prices'!C:C,MATCH($A31,'OPATT prices'!$A:$A,0))</f>
        <v>109.19418552640656</v>
      </c>
      <c r="D31" s="441">
        <f>INDEX('OPATT prices'!D:D,MATCH($A31,'OPATT prices'!$A:$A,0))</f>
        <v>217.77313557705392</v>
      </c>
      <c r="E31" s="441">
        <f>INDEX('OPATT prices'!E:E,MATCH($A31,'OPATT prices'!$A:$A,0))</f>
        <v>106.22789387065517</v>
      </c>
      <c r="F31" s="442">
        <f>INDEX('OPATT prices'!F:F,MATCH($A31,'OPATT prices'!$A:$A,0))</f>
        <v>212.45578774131033</v>
      </c>
    </row>
    <row r="32" spans="1:6" ht="12.75">
      <c r="A32" s="438">
        <f>Mandatory!A30</f>
        <v>218</v>
      </c>
      <c r="B32" s="439" t="str">
        <f>INDEX('201314 RC list'!B:B,MATCH(A32,'201314 RC list'!A:A,0))</f>
        <v>Paediatric Neurosurgery</v>
      </c>
      <c r="C32" s="440">
        <f>INDEX('OPATT prices'!C:C,MATCH($A32,'OPATT prices'!$A:$A,0))</f>
        <v>274.83310934748772</v>
      </c>
      <c r="D32" s="441">
        <f>INDEX('OPATT prices'!D:D,MATCH($A32,'OPATT prices'!$A:$A,0))</f>
        <v>274.83310934748772</v>
      </c>
      <c r="E32" s="441">
        <f>INDEX('OPATT prices'!E:E,MATCH($A32,'OPATT prices'!$A:$A,0))</f>
        <v>145.81602674933578</v>
      </c>
      <c r="F32" s="442">
        <f>INDEX('OPATT prices'!F:F,MATCH($A32,'OPATT prices'!$A:$A,0))</f>
        <v>164.48648787116974</v>
      </c>
    </row>
    <row r="33" spans="1:6" ht="12.75">
      <c r="A33" s="438">
        <f>Mandatory!A31</f>
        <v>219</v>
      </c>
      <c r="B33" s="439" t="str">
        <f>INDEX('201314 RC list'!B:B,MATCH(A33,'201314 RC list'!A:A,0))</f>
        <v>Paediatric Plastic Surgery</v>
      </c>
      <c r="C33" s="440">
        <f>INDEX('OPATT prices'!C:C,MATCH($A33,'OPATT prices'!$A:$A,0))</f>
        <v>170.60070516180392</v>
      </c>
      <c r="D33" s="441">
        <f>INDEX('OPATT prices'!D:D,MATCH($A33,'OPATT prices'!$A:$A,0))</f>
        <v>252.69175363542283</v>
      </c>
      <c r="E33" s="441">
        <f>INDEX('OPATT prices'!E:E,MATCH($A33,'OPATT prices'!$A:$A,0))</f>
        <v>111.53654864217725</v>
      </c>
      <c r="F33" s="442">
        <f>INDEX('OPATT prices'!F:F,MATCH($A33,'OPATT prices'!$A:$A,0))</f>
        <v>113.72581536349293</v>
      </c>
    </row>
    <row r="34" spans="1:6" ht="12.75">
      <c r="A34" s="438">
        <f>Mandatory!A32</f>
        <v>223</v>
      </c>
      <c r="B34" s="439" t="str">
        <f>INDEX('201314 RC list'!B:B,MATCH(A34,'201314 RC list'!A:A,0))</f>
        <v>Paediatric Epilepsy</v>
      </c>
      <c r="C34" s="440">
        <f>INDEX('OPATT prices'!C:C,MATCH($A34,'OPATT prices'!$A:$A,0))</f>
        <v>281.55409058673774</v>
      </c>
      <c r="D34" s="441">
        <f>INDEX('OPATT prices'!D:D,MATCH($A34,'OPATT prices'!$A:$A,0))</f>
        <v>281.55409058673774</v>
      </c>
      <c r="E34" s="441">
        <f>INDEX('OPATT prices'!E:E,MATCH($A34,'OPATT prices'!$A:$A,0))</f>
        <v>132.63920914646988</v>
      </c>
      <c r="F34" s="442">
        <f>INDEX('OPATT prices'!F:F,MATCH($A34,'OPATT prices'!$A:$A,0))</f>
        <v>132.63920914646988</v>
      </c>
    </row>
    <row r="35" spans="1:6" ht="12.75">
      <c r="A35" s="438">
        <f>Mandatory!A33</f>
        <v>251</v>
      </c>
      <c r="B35" s="439" t="str">
        <f>INDEX('201314 RC list'!B:B,MATCH(A35,'201314 RC list'!A:A,0))</f>
        <v>Paediatric Gastroenterology</v>
      </c>
      <c r="C35" s="440">
        <f>INDEX('OPATT prices'!C:C,MATCH($A35,'OPATT prices'!$A:$A,0))</f>
        <v>245.37567994096503</v>
      </c>
      <c r="D35" s="441">
        <f>INDEX('OPATT prices'!D:D,MATCH($A35,'OPATT prices'!$A:$A,0))</f>
        <v>245.37567994096503</v>
      </c>
      <c r="E35" s="441">
        <f>INDEX('OPATT prices'!E:E,MATCH($A35,'OPATT prices'!$A:$A,0))</f>
        <v>160.794675806968</v>
      </c>
      <c r="F35" s="442">
        <f>INDEX('OPATT prices'!F:F,MATCH($A35,'OPATT prices'!$A:$A,0))</f>
        <v>160.794675806968</v>
      </c>
    </row>
    <row r="36" spans="1:6" ht="12.75">
      <c r="A36" s="438">
        <f>Mandatory!A34</f>
        <v>252</v>
      </c>
      <c r="B36" s="439" t="str">
        <f>INDEX('201314 RC list'!B:B,MATCH(A36,'201314 RC list'!A:A,0))</f>
        <v>Paediatric Endocrinology</v>
      </c>
      <c r="C36" s="440">
        <f>INDEX('OPATT prices'!C:C,MATCH($A36,'OPATT prices'!$A:$A,0))</f>
        <v>329.43664554845651</v>
      </c>
      <c r="D36" s="441">
        <f>INDEX('OPATT prices'!D:D,MATCH($A36,'OPATT prices'!$A:$A,0))</f>
        <v>329.43664554845651</v>
      </c>
      <c r="E36" s="441">
        <f>INDEX('OPATT prices'!E:E,MATCH($A36,'OPATT prices'!$A:$A,0))</f>
        <v>156.04512139651365</v>
      </c>
      <c r="F36" s="442">
        <f>INDEX('OPATT prices'!F:F,MATCH($A36,'OPATT prices'!$A:$A,0))</f>
        <v>163.3476358971553</v>
      </c>
    </row>
    <row r="37" spans="1:6" ht="12.75">
      <c r="A37" s="438">
        <f>Mandatory!A35</f>
        <v>253</v>
      </c>
      <c r="B37" s="439" t="str">
        <f>INDEX('201314 RC list'!B:B,MATCH(A37,'201314 RC list'!A:A,0))</f>
        <v>Paediatric Clinical Haematology</v>
      </c>
      <c r="C37" s="440">
        <f>INDEX('OPATT prices'!C:C,MATCH($A37,'OPATT prices'!$A:$A,0))</f>
        <v>378.27537944370931</v>
      </c>
      <c r="D37" s="441">
        <f>INDEX('OPATT prices'!D:D,MATCH($A37,'OPATT prices'!$A:$A,0))</f>
        <v>419.00484544679773</v>
      </c>
      <c r="E37" s="441">
        <f>INDEX('OPATT prices'!E:E,MATCH($A37,'OPATT prices'!$A:$A,0))</f>
        <v>187.80867457056428</v>
      </c>
      <c r="F37" s="442">
        <f>INDEX('OPATT prices'!F:F,MATCH($A37,'OPATT prices'!$A:$A,0))</f>
        <v>199.99782233315855</v>
      </c>
    </row>
    <row r="38" spans="1:6" ht="12.75">
      <c r="A38" s="438">
        <f>Mandatory!A36</f>
        <v>257</v>
      </c>
      <c r="B38" s="439" t="str">
        <f>INDEX('201314 RC list'!B:B,MATCH(A38,'201314 RC list'!A:A,0))</f>
        <v>Paediatric Dermatology</v>
      </c>
      <c r="C38" s="440">
        <f>INDEX('OPATT prices'!C:C,MATCH($A38,'OPATT prices'!$A:$A,0))</f>
        <v>151.60892179097345</v>
      </c>
      <c r="D38" s="441">
        <f>INDEX('OPATT prices'!D:D,MATCH($A38,'OPATT prices'!$A:$A,0))</f>
        <v>151.60892179097345</v>
      </c>
      <c r="E38" s="441">
        <f>INDEX('OPATT prices'!E:E,MATCH($A38,'OPATT prices'!$A:$A,0))</f>
        <v>97.694015840586857</v>
      </c>
      <c r="F38" s="442">
        <f>INDEX('OPATT prices'!F:F,MATCH($A38,'OPATT prices'!$A:$A,0))</f>
        <v>110.60295332312306</v>
      </c>
    </row>
    <row r="39" spans="1:6" ht="12.75">
      <c r="A39" s="438">
        <f>Mandatory!A37</f>
        <v>258</v>
      </c>
      <c r="B39" s="439" t="str">
        <f>INDEX('201314 RC list'!B:B,MATCH(A39,'201314 RC list'!A:A,0))</f>
        <v>Paediatric Respiratory Medicine</v>
      </c>
      <c r="C39" s="440">
        <f>INDEX('OPATT prices'!C:C,MATCH($A39,'OPATT prices'!$A:$A,0))</f>
        <v>291.16088115179463</v>
      </c>
      <c r="D39" s="441">
        <f>INDEX('OPATT prices'!D:D,MATCH($A39,'OPATT prices'!$A:$A,0))</f>
        <v>292.06636084544647</v>
      </c>
      <c r="E39" s="441">
        <f>INDEX('OPATT prices'!E:E,MATCH($A39,'OPATT prices'!$A:$A,0))</f>
        <v>154.75265378371361</v>
      </c>
      <c r="F39" s="442">
        <f>INDEX('OPATT prices'!F:F,MATCH($A39,'OPATT prices'!$A:$A,0))</f>
        <v>154.75265378371361</v>
      </c>
    </row>
    <row r="40" spans="1:6" ht="12.75">
      <c r="A40" s="438">
        <f>Mandatory!A38</f>
        <v>263</v>
      </c>
      <c r="B40" s="439" t="str">
        <f>INDEX('201314 RC list'!B:B,MATCH(A40,'201314 RC list'!A:A,0))</f>
        <v>Paediatric Diabetic Medicine</v>
      </c>
      <c r="C40" s="440">
        <f>INDEX('OPATT prices'!C:C,MATCH($A40,'OPATT prices'!$A:$A,0))</f>
        <v>194.87042806595824</v>
      </c>
      <c r="D40" s="441">
        <f>INDEX('OPATT prices'!D:D,MATCH($A40,'OPATT prices'!$A:$A,0))</f>
        <v>245.82353356132933</v>
      </c>
      <c r="E40" s="441">
        <f>INDEX('OPATT prices'!E:E,MATCH($A40,'OPATT prices'!$A:$A,0))</f>
        <v>93.957238182218504</v>
      </c>
      <c r="F40" s="442">
        <f>INDEX('OPATT prices'!F:F,MATCH($A40,'OPATT prices'!$A:$A,0))</f>
        <v>110.89756987745422</v>
      </c>
    </row>
    <row r="41" spans="1:6" ht="12.75">
      <c r="A41" s="438">
        <f>Mandatory!A39</f>
        <v>300</v>
      </c>
      <c r="B41" s="439" t="str">
        <f>INDEX('201314 RC list'!B:B,MATCH(A41,'201314 RC list'!A:A,0))</f>
        <v>General Medicine</v>
      </c>
      <c r="C41" s="440">
        <f>INDEX('OPATT prices'!C:C,MATCH($A41,'OPATT prices'!$A:$A,0))</f>
        <v>184.41301801331772</v>
      </c>
      <c r="D41" s="441">
        <f>INDEX('OPATT prices'!D:D,MATCH($A41,'OPATT prices'!$A:$A,0))</f>
        <v>238.06502720645597</v>
      </c>
      <c r="E41" s="441">
        <f>INDEX('OPATT prices'!E:E,MATCH($A41,'OPATT prices'!$A:$A,0))</f>
        <v>107.62543344664786</v>
      </c>
      <c r="F41" s="442">
        <f>INDEX('OPATT prices'!F:F,MATCH($A41,'OPATT prices'!$A:$A,0))</f>
        <v>147.58534726129741</v>
      </c>
    </row>
    <row r="42" spans="1:6" ht="12.75">
      <c r="A42" s="438">
        <f>Mandatory!A40</f>
        <v>301</v>
      </c>
      <c r="B42" s="439" t="str">
        <f>INDEX('201314 RC list'!B:B,MATCH(A42,'201314 RC list'!A:A,0))</f>
        <v>Gastroenterology</v>
      </c>
      <c r="C42" s="440">
        <f>INDEX('OPATT prices'!C:C,MATCH($A42,'OPATT prices'!$A:$A,0))</f>
        <v>152.47060112770473</v>
      </c>
      <c r="D42" s="441">
        <f>INDEX('OPATT prices'!D:D,MATCH($A42,'OPATT prices'!$A:$A,0))</f>
        <v>198.73349423710494</v>
      </c>
      <c r="E42" s="441">
        <f>INDEX('OPATT prices'!E:E,MATCH($A42,'OPATT prices'!$A:$A,0))</f>
        <v>88.634242359429493</v>
      </c>
      <c r="F42" s="442">
        <f>INDEX('OPATT prices'!F:F,MATCH($A42,'OPATT prices'!$A:$A,0))</f>
        <v>128.8315557661731</v>
      </c>
    </row>
    <row r="43" spans="1:6" ht="12.75">
      <c r="A43" s="438">
        <f>Mandatory!A41</f>
        <v>302</v>
      </c>
      <c r="B43" s="439" t="str">
        <f>INDEX('201314 RC list'!B:B,MATCH(A43,'201314 RC list'!A:A,0))</f>
        <v>Endocrinology</v>
      </c>
      <c r="C43" s="440">
        <f>INDEX('OPATT prices'!C:C,MATCH($A43,'OPATT prices'!$A:$A,0))</f>
        <v>187.32139991599436</v>
      </c>
      <c r="D43" s="441">
        <f>INDEX('OPATT prices'!D:D,MATCH($A43,'OPATT prices'!$A:$A,0))</f>
        <v>216.09875833062887</v>
      </c>
      <c r="E43" s="441">
        <f>INDEX('OPATT prices'!E:E,MATCH($A43,'OPATT prices'!$A:$A,0))</f>
        <v>97.948202546327153</v>
      </c>
      <c r="F43" s="442">
        <f>INDEX('OPATT prices'!F:F,MATCH($A43,'OPATT prices'!$A:$A,0))</f>
        <v>126.71733541393121</v>
      </c>
    </row>
    <row r="44" spans="1:6" ht="12.75">
      <c r="A44" s="438">
        <f>Mandatory!A42</f>
        <v>303</v>
      </c>
      <c r="B44" s="439" t="str">
        <f>INDEX('201314 RC list'!B:B,MATCH(A44,'201314 RC list'!A:A,0))</f>
        <v>Clinical Haematology</v>
      </c>
      <c r="C44" s="440">
        <f>INDEX('OPATT prices'!C:C,MATCH($A44,'OPATT prices'!$A:$A,0))</f>
        <v>255.70399934938632</v>
      </c>
      <c r="D44" s="441">
        <f>INDEX('OPATT prices'!D:D,MATCH($A44,'OPATT prices'!$A:$A,0))</f>
        <v>419.00484544679773</v>
      </c>
      <c r="E44" s="441">
        <f>INDEX('OPATT prices'!E:E,MATCH($A44,'OPATT prices'!$A:$A,0))</f>
        <v>115.47132521261173</v>
      </c>
      <c r="F44" s="442">
        <f>INDEX('OPATT prices'!F:F,MATCH($A44,'OPATT prices'!$A:$A,0))</f>
        <v>199.99782233315855</v>
      </c>
    </row>
    <row r="45" spans="1:6" ht="12.75">
      <c r="A45" s="438">
        <f>Mandatory!A43</f>
        <v>306</v>
      </c>
      <c r="B45" s="439" t="str">
        <f>INDEX('201314 RC list'!B:B,MATCH(A45,'201314 RC list'!A:A,0))</f>
        <v>Hepatology</v>
      </c>
      <c r="C45" s="440">
        <f>INDEX('OPATT prices'!C:C,MATCH($A45,'OPATT prices'!$A:$A,0))</f>
        <v>232.82266997256258</v>
      </c>
      <c r="D45" s="441">
        <f>INDEX('OPATT prices'!D:D,MATCH($A45,'OPATT prices'!$A:$A,0))</f>
        <v>361.59786018281727</v>
      </c>
      <c r="E45" s="441">
        <f>INDEX('OPATT prices'!E:E,MATCH($A45,'OPATT prices'!$A:$A,0))</f>
        <v>128.73385927314317</v>
      </c>
      <c r="F45" s="442">
        <f>INDEX('OPATT prices'!F:F,MATCH($A45,'OPATT prices'!$A:$A,0))</f>
        <v>172.62365206578784</v>
      </c>
    </row>
    <row r="46" spans="1:6" ht="12.75">
      <c r="A46" s="438">
        <f>Mandatory!A44</f>
        <v>307</v>
      </c>
      <c r="B46" s="439" t="str">
        <f>INDEX('201314 RC list'!B:B,MATCH(A46,'201314 RC list'!A:A,0))</f>
        <v>Diabetic Medicine</v>
      </c>
      <c r="C46" s="440">
        <f>INDEX('OPATT prices'!C:C,MATCH($A46,'OPATT prices'!$A:$A,0))</f>
        <v>194.87042806595824</v>
      </c>
      <c r="D46" s="441">
        <f>INDEX('OPATT prices'!D:D,MATCH($A46,'OPATT prices'!$A:$A,0))</f>
        <v>245.82353356132933</v>
      </c>
      <c r="E46" s="441">
        <f>INDEX('OPATT prices'!E:E,MATCH($A46,'OPATT prices'!$A:$A,0))</f>
        <v>93.957238182218504</v>
      </c>
      <c r="F46" s="442">
        <f>INDEX('OPATT prices'!F:F,MATCH($A46,'OPATT prices'!$A:$A,0))</f>
        <v>110.89756987745422</v>
      </c>
    </row>
    <row r="47" spans="1:6" ht="12.75">
      <c r="A47" s="438">
        <f>Mandatory!A45</f>
        <v>320</v>
      </c>
      <c r="B47" s="439" t="str">
        <f>INDEX('201314 RC list'!B:B,MATCH(A47,'201314 RC list'!A:A,0))</f>
        <v>Cardiology</v>
      </c>
      <c r="C47" s="440">
        <f>INDEX('OPATT prices'!C:C,MATCH($A47,'OPATT prices'!$A:$A,0))</f>
        <v>145.52626008117355</v>
      </c>
      <c r="D47" s="441">
        <f>INDEX('OPATT prices'!D:D,MATCH($A47,'OPATT prices'!$A:$A,0))</f>
        <v>216.38284339831881</v>
      </c>
      <c r="E47" s="441">
        <f>INDEX('OPATT prices'!E:E,MATCH($A47,'OPATT prices'!$A:$A,0))</f>
        <v>91.644354542475895</v>
      </c>
      <c r="F47" s="442">
        <f>INDEX('OPATT prices'!F:F,MATCH($A47,'OPATT prices'!$A:$A,0))</f>
        <v>125.1551306784786</v>
      </c>
    </row>
    <row r="48" spans="1:6" ht="12.75">
      <c r="A48" s="438">
        <f>Mandatory!A46</f>
        <v>321</v>
      </c>
      <c r="B48" s="439" t="str">
        <f>INDEX('201314 RC list'!B:B,MATCH(A48,'201314 RC list'!A:A,0))</f>
        <v>Paediatric Cardiology</v>
      </c>
      <c r="C48" s="440">
        <f>INDEX('OPATT prices'!C:C,MATCH($A48,'OPATT prices'!$A:$A,0))</f>
        <v>217.12575290445835</v>
      </c>
      <c r="D48" s="441">
        <f>INDEX('OPATT prices'!D:D,MATCH($A48,'OPATT prices'!$A:$A,0))</f>
        <v>217.12575290445835</v>
      </c>
      <c r="E48" s="441">
        <f>INDEX('OPATT prices'!E:E,MATCH($A48,'OPATT prices'!$A:$A,0))</f>
        <v>118.66676524791544</v>
      </c>
      <c r="F48" s="442">
        <f>INDEX('OPATT prices'!F:F,MATCH($A48,'OPATT prices'!$A:$A,0))</f>
        <v>154.99543363066013</v>
      </c>
    </row>
    <row r="49" spans="1:6" ht="12.75">
      <c r="A49" s="438">
        <f>Mandatory!A47</f>
        <v>329</v>
      </c>
      <c r="B49" s="439" t="str">
        <f>INDEX('201314 RC list'!B:B,MATCH(A49,'201314 RC list'!A:A,0))</f>
        <v>Transient Ischaemic Attack</v>
      </c>
      <c r="C49" s="440">
        <f>INDEX('OPATT prices'!C:C,MATCH($A49,'OPATT prices'!$A:$A,0))</f>
        <v>167.62071693040625</v>
      </c>
      <c r="D49" s="441">
        <f>INDEX('OPATT prices'!D:D,MATCH($A49,'OPATT prices'!$A:$A,0))</f>
        <v>204.35456111872625</v>
      </c>
      <c r="E49" s="441">
        <f>INDEX('OPATT prices'!E:E,MATCH($A49,'OPATT prices'!$A:$A,0))</f>
        <v>90.100201151558053</v>
      </c>
      <c r="F49" s="442">
        <f>INDEX('OPATT prices'!F:F,MATCH($A49,'OPATT prices'!$A:$A,0))</f>
        <v>105.91930627242296</v>
      </c>
    </row>
    <row r="50" spans="1:6" ht="12.75">
      <c r="A50" s="438">
        <f>Mandatory!A48</f>
        <v>330</v>
      </c>
      <c r="B50" s="439" t="str">
        <f>INDEX('201314 RC list'!B:B,MATCH(A50,'201314 RC list'!A:A,0))</f>
        <v>Dermatology</v>
      </c>
      <c r="C50" s="440">
        <f>INDEX('OPATT prices'!C:C,MATCH($A50,'OPATT prices'!$A:$A,0))</f>
        <v>105.24520820450327</v>
      </c>
      <c r="D50" s="441">
        <f>INDEX('OPATT prices'!D:D,MATCH($A50,'OPATT prices'!$A:$A,0))</f>
        <v>125.69109284131483</v>
      </c>
      <c r="E50" s="441">
        <f>INDEX('OPATT prices'!E:E,MATCH($A50,'OPATT prices'!$A:$A,0))</f>
        <v>71.370032020810484</v>
      </c>
      <c r="F50" s="442">
        <f>INDEX('OPATT prices'!F:F,MATCH($A50,'OPATT prices'!$A:$A,0))</f>
        <v>83.42389918767762</v>
      </c>
    </row>
    <row r="51" spans="1:6" ht="12.75">
      <c r="A51" s="438">
        <f>Mandatory!A49</f>
        <v>340</v>
      </c>
      <c r="B51" s="439" t="str">
        <f>INDEX('201314 RC list'!B:B,MATCH(A51,'201314 RC list'!A:A,0))</f>
        <v>Respiratory Medicine</v>
      </c>
      <c r="C51" s="440">
        <f>INDEX('OPATT prices'!C:C,MATCH($A51,'OPATT prices'!$A:$A,0))</f>
        <v>176.89021521737206</v>
      </c>
      <c r="D51" s="441">
        <f>INDEX('OPATT prices'!D:D,MATCH($A51,'OPATT prices'!$A:$A,0))</f>
        <v>234.81538206121036</v>
      </c>
      <c r="E51" s="441">
        <f>INDEX('OPATT prices'!E:E,MATCH($A51,'OPATT prices'!$A:$A,0))</f>
        <v>100.57085771103016</v>
      </c>
      <c r="F51" s="442">
        <f>INDEX('OPATT prices'!F:F,MATCH($A51,'OPATT prices'!$A:$A,0))</f>
        <v>144.14582207724501</v>
      </c>
    </row>
    <row r="52" spans="1:6" ht="12.75">
      <c r="A52" s="438">
        <f>Mandatory!A50</f>
        <v>341</v>
      </c>
      <c r="B52" s="439" t="str">
        <f>INDEX('201314 RC list'!B:B,MATCH(A52,'201314 RC list'!A:A,0))</f>
        <v>Respiratory Physiology</v>
      </c>
      <c r="C52" s="440">
        <f>INDEX('OPATT prices'!C:C,MATCH($A52,'OPATT prices'!$A:$A,0))</f>
        <v>132.80901455491801</v>
      </c>
      <c r="D52" s="441">
        <f>INDEX('OPATT prices'!D:D,MATCH($A52,'OPATT prices'!$A:$A,0))</f>
        <v>132.80901455491801</v>
      </c>
      <c r="E52" s="441">
        <f>INDEX('OPATT prices'!E:E,MATCH($A52,'OPATT prices'!$A:$A,0))</f>
        <v>106.16038046048436</v>
      </c>
      <c r="F52" s="442">
        <f>INDEX('OPATT prices'!F:F,MATCH($A52,'OPATT prices'!$A:$A,0))</f>
        <v>106.16038046048436</v>
      </c>
    </row>
    <row r="53" spans="1:6" ht="12.75">
      <c r="A53" s="438">
        <f>Mandatory!A51</f>
        <v>350</v>
      </c>
      <c r="B53" s="439" t="str">
        <f>INDEX('201314 RC list'!B:B,MATCH(A53,'201314 RC list'!A:A,0))</f>
        <v>Infectious Diseases</v>
      </c>
      <c r="C53" s="440">
        <f>INDEX('OPATT prices'!C:C,MATCH($A53,'OPATT prices'!$A:$A,0))</f>
        <v>272.46014082417759</v>
      </c>
      <c r="D53" s="441">
        <f>INDEX('OPATT prices'!D:D,MATCH($A53,'OPATT prices'!$A:$A,0))</f>
        <v>272.46014082417759</v>
      </c>
      <c r="E53" s="441">
        <f>INDEX('OPATT prices'!E:E,MATCH($A53,'OPATT prices'!$A:$A,0))</f>
        <v>167.15701880554462</v>
      </c>
      <c r="F53" s="442">
        <f>INDEX('OPATT prices'!F:F,MATCH($A53,'OPATT prices'!$A:$A,0))</f>
        <v>167.15701880554462</v>
      </c>
    </row>
    <row r="54" spans="1:6" ht="12.75">
      <c r="A54" s="438">
        <f>Mandatory!A52</f>
        <v>361</v>
      </c>
      <c r="B54" s="439" t="str">
        <f>INDEX('201314 RC list'!B:B,MATCH(A54,'201314 RC list'!A:A,0))</f>
        <v>Nephrology</v>
      </c>
      <c r="C54" s="440">
        <f>INDEX('OPATT prices'!C:C,MATCH($A54,'OPATT prices'!$A:$A,0))</f>
        <v>229.73237683895294</v>
      </c>
      <c r="D54" s="441">
        <f>INDEX('OPATT prices'!D:D,MATCH($A54,'OPATT prices'!$A:$A,0))</f>
        <v>302.68364860939977</v>
      </c>
      <c r="E54" s="441">
        <f>INDEX('OPATT prices'!E:E,MATCH($A54,'OPATT prices'!$A:$A,0))</f>
        <v>107.23294081476385</v>
      </c>
      <c r="F54" s="442">
        <f>INDEX('OPATT prices'!F:F,MATCH($A54,'OPATT prices'!$A:$A,0))</f>
        <v>144.71891797902319</v>
      </c>
    </row>
    <row r="55" spans="1:6" ht="12.75">
      <c r="A55" s="438">
        <f>Mandatory!A53</f>
        <v>370</v>
      </c>
      <c r="B55" s="439" t="str">
        <f>INDEX('201314 RC list'!B:B,MATCH(A55,'201314 RC list'!A:A,0))</f>
        <v>Medical Oncology</v>
      </c>
      <c r="C55" s="440">
        <f>INDEX('OPATT prices'!C:C,MATCH($A55,'OPATT prices'!$A:$A,0))</f>
        <v>222.59950340390469</v>
      </c>
      <c r="D55" s="441">
        <f>INDEX('OPATT prices'!D:D,MATCH($A55,'OPATT prices'!$A:$A,0))</f>
        <v>260.3998683723259</v>
      </c>
      <c r="E55" s="441">
        <f>INDEX('OPATT prices'!E:E,MATCH($A55,'OPATT prices'!$A:$A,0))</f>
        <v>104.6882785818609</v>
      </c>
      <c r="F55" s="442">
        <f>INDEX('OPATT prices'!F:F,MATCH($A55,'OPATT prices'!$A:$A,0))</f>
        <v>137.34094755742314</v>
      </c>
    </row>
    <row r="56" spans="1:6" ht="12.75">
      <c r="A56" s="438">
        <f>Mandatory!A54</f>
        <v>400</v>
      </c>
      <c r="B56" s="439" t="str">
        <f>INDEX('201314 RC list'!B:B,MATCH(A56,'201314 RC list'!A:A,0))</f>
        <v>Neurology</v>
      </c>
      <c r="C56" s="440">
        <f>INDEX('OPATT prices'!C:C,MATCH($A56,'OPATT prices'!$A:$A,0))</f>
        <v>188.77907077191475</v>
      </c>
      <c r="D56" s="441">
        <f>INDEX('OPATT prices'!D:D,MATCH($A56,'OPATT prices'!$A:$A,0))</f>
        <v>267.2023457423885</v>
      </c>
      <c r="E56" s="441">
        <f>INDEX('OPATT prices'!E:E,MATCH($A56,'OPATT prices'!$A:$A,0))</f>
        <v>115.02339876601268</v>
      </c>
      <c r="F56" s="442">
        <f>INDEX('OPATT prices'!F:F,MATCH($A56,'OPATT prices'!$A:$A,0))</f>
        <v>179.53111263009441</v>
      </c>
    </row>
    <row r="57" spans="1:6" ht="12.75">
      <c r="A57" s="438">
        <f>Mandatory!A55</f>
        <v>410</v>
      </c>
      <c r="B57" s="439" t="str">
        <f>INDEX('201314 RC list'!B:B,MATCH(A57,'201314 RC list'!A:A,0))</f>
        <v>Rheumatology</v>
      </c>
      <c r="C57" s="440">
        <f>INDEX('OPATT prices'!C:C,MATCH($A57,'OPATT prices'!$A:$A,0))</f>
        <v>192.08504325630952</v>
      </c>
      <c r="D57" s="441">
        <f>INDEX('OPATT prices'!D:D,MATCH($A57,'OPATT prices'!$A:$A,0))</f>
        <v>199.54884532679918</v>
      </c>
      <c r="E57" s="441">
        <f>INDEX('OPATT prices'!E:E,MATCH($A57,'OPATT prices'!$A:$A,0))</f>
        <v>94.828495887058764</v>
      </c>
      <c r="F57" s="442">
        <f>INDEX('OPATT prices'!F:F,MATCH($A57,'OPATT prices'!$A:$A,0))</f>
        <v>102.93491456631732</v>
      </c>
    </row>
    <row r="58" spans="1:6" ht="12.75">
      <c r="A58" s="438">
        <f>Mandatory!A56</f>
        <v>420</v>
      </c>
      <c r="B58" s="439" t="str">
        <f>INDEX('201314 RC list'!B:B,MATCH(A58,'201314 RC list'!A:A,0))</f>
        <v>Paediatrics</v>
      </c>
      <c r="C58" s="440">
        <f>INDEX('OPATT prices'!C:C,MATCH($A58,'OPATT prices'!$A:$A,0))</f>
        <v>215.7319727076578</v>
      </c>
      <c r="D58" s="441">
        <f>INDEX('OPATT prices'!D:D,MATCH($A58,'OPATT prices'!$A:$A,0))</f>
        <v>259.74382388091158</v>
      </c>
      <c r="E58" s="441">
        <f>INDEX('OPATT prices'!E:E,MATCH($A58,'OPATT prices'!$A:$A,0))</f>
        <v>131.77131952331911</v>
      </c>
      <c r="F58" s="442">
        <f>INDEX('OPATT prices'!F:F,MATCH($A58,'OPATT prices'!$A:$A,0))</f>
        <v>150.83140715451509</v>
      </c>
    </row>
    <row r="59" spans="1:6" ht="12.75">
      <c r="A59" s="438">
        <f>Mandatory!A57</f>
        <v>421</v>
      </c>
      <c r="B59" s="439" t="str">
        <f>INDEX('201314 RC list'!B:B,MATCH(A59,'201314 RC list'!A:A,0))</f>
        <v>Paediatric Neurology</v>
      </c>
      <c r="C59" s="440">
        <f>INDEX('OPATT prices'!C:C,MATCH($A59,'OPATT prices'!$A:$A,0))</f>
        <v>319.87968604816973</v>
      </c>
      <c r="D59" s="441">
        <f>INDEX('OPATT prices'!D:D,MATCH($A59,'OPATT prices'!$A:$A,0))</f>
        <v>397.59494455032853</v>
      </c>
      <c r="E59" s="441">
        <f>INDEX('OPATT prices'!E:E,MATCH($A59,'OPATT prices'!$A:$A,0))</f>
        <v>204.64979740721756</v>
      </c>
      <c r="F59" s="442">
        <f>INDEX('OPATT prices'!F:F,MATCH($A59,'OPATT prices'!$A:$A,0))</f>
        <v>211.52877855231463</v>
      </c>
    </row>
    <row r="60" spans="1:6" ht="12.75">
      <c r="A60" s="438">
        <f>Mandatory!A58</f>
        <v>430</v>
      </c>
      <c r="B60" s="439" t="str">
        <f>INDEX('201314 RC list'!B:B,MATCH(A60,'201314 RC list'!A:A,0))</f>
        <v>Geriatric Medicine</v>
      </c>
      <c r="C60" s="440">
        <f>INDEX('OPATT prices'!C:C,MATCH($A60,'OPATT prices'!$A:$A,0))</f>
        <v>228.8797123863657</v>
      </c>
      <c r="D60" s="441">
        <f>INDEX('OPATT prices'!D:D,MATCH($A60,'OPATT prices'!$A:$A,0))</f>
        <v>228.8797123863657</v>
      </c>
      <c r="E60" s="441">
        <f>INDEX('OPATT prices'!E:E,MATCH($A60,'OPATT prices'!$A:$A,0))</f>
        <v>133.50140740454171</v>
      </c>
      <c r="F60" s="442">
        <f>INDEX('OPATT prices'!F:F,MATCH($A60,'OPATT prices'!$A:$A,0))</f>
        <v>133.50140740454171</v>
      </c>
    </row>
    <row r="61" spans="1:6" ht="12.75">
      <c r="A61" s="438">
        <f>Mandatory!A59</f>
        <v>502</v>
      </c>
      <c r="B61" s="439" t="str">
        <f>INDEX('201314 RC list'!B:B,MATCH(A61,'201314 RC list'!A:A,0))</f>
        <v>Gynaecology</v>
      </c>
      <c r="C61" s="440">
        <f>INDEX('OPATT prices'!C:C,MATCH($A61,'OPATT prices'!$A:$A,0))</f>
        <v>135.30079569920184</v>
      </c>
      <c r="D61" s="441">
        <f>INDEX('OPATT prices'!D:D,MATCH($A61,'OPATT prices'!$A:$A,0))</f>
        <v>154.27186285603122</v>
      </c>
      <c r="E61" s="441">
        <f>INDEX('OPATT prices'!E:E,MATCH($A61,'OPATT prices'!$A:$A,0))</f>
        <v>88.902552296199758</v>
      </c>
      <c r="F61" s="442">
        <f>INDEX('OPATT prices'!F:F,MATCH($A61,'OPATT prices'!$A:$A,0))</f>
        <v>120.19183871010053</v>
      </c>
    </row>
    <row r="62" spans="1:6" ht="12.75">
      <c r="A62" s="438">
        <f>Mandatory!A60</f>
        <v>503</v>
      </c>
      <c r="B62" s="439" t="str">
        <f>INDEX('201314 RC list'!B:B,MATCH(A62,'201314 RC list'!A:A,0))</f>
        <v>Gynaecological Oncology</v>
      </c>
      <c r="C62" s="440">
        <f>INDEX('OPATT prices'!C:C,MATCH($A62,'OPATT prices'!$A:$A,0))</f>
        <v>147.62960537407812</v>
      </c>
      <c r="D62" s="441">
        <f>INDEX('OPATT prices'!D:D,MATCH($A62,'OPATT prices'!$A:$A,0))</f>
        <v>238.88499996765822</v>
      </c>
      <c r="E62" s="441">
        <f>INDEX('OPATT prices'!E:E,MATCH($A62,'OPATT prices'!$A:$A,0))</f>
        <v>90.426441243025124</v>
      </c>
      <c r="F62" s="442">
        <f>INDEX('OPATT prices'!F:F,MATCH($A62,'OPATT prices'!$A:$A,0))</f>
        <v>157.51136264964018</v>
      </c>
    </row>
    <row r="63" spans="1:6" ht="12.75">
      <c r="A63" s="438">
        <f>Mandatory!A61</f>
        <v>800</v>
      </c>
      <c r="B63" s="439" t="str">
        <f>INDEX('201314 RC list'!B:B,MATCH(A63,'201314 RC list'!A:A,0))</f>
        <v>Clinical Oncology (previously Radiotherapy)</v>
      </c>
      <c r="C63" s="440">
        <f>INDEX('OPATT prices'!C:C,MATCH($A63,'OPATT prices'!$A:$A,0))</f>
        <v>201.70076893134805</v>
      </c>
      <c r="D63" s="441">
        <f>INDEX('OPATT prices'!D:D,MATCH($A63,'OPATT prices'!$A:$A,0))</f>
        <v>218.88060230791385</v>
      </c>
      <c r="E63" s="441">
        <f>INDEX('OPATT prices'!E:E,MATCH($A63,'OPATT prices'!$A:$A,0))</f>
        <v>93.669844455404885</v>
      </c>
      <c r="F63" s="442">
        <f>INDEX('OPATT prices'!F:F,MATCH($A63,'OPATT prices'!$A:$A,0))</f>
        <v>117.73271054762449</v>
      </c>
    </row>
    <row r="64" spans="1:6" ht="13.5" thickBot="1">
      <c r="A64" s="443">
        <f>Mandatory!A62</f>
        <v>812</v>
      </c>
      <c r="B64" s="444" t="str">
        <f>INDEX('201314 RC list'!B:B,MATCH(A64,'201314 RC list'!A:A,0))</f>
        <v>Diagnostic Imaging</v>
      </c>
      <c r="C64" s="445">
        <f>INDEX('OPATT prices'!C:C,MATCH($A64,'OPATT prices'!$A:$A,0))</f>
        <v>0</v>
      </c>
      <c r="D64" s="446">
        <f>INDEX('OPATT prices'!D:D,MATCH($A64,'OPATT prices'!$A:$A,0))</f>
        <v>0</v>
      </c>
      <c r="E64" s="446">
        <f>INDEX('OPATT prices'!E:E,MATCH($A64,'OPATT prices'!$A:$A,0))</f>
        <v>0</v>
      </c>
      <c r="F64" s="447">
        <f>INDEX('OPATT prices'!F:F,MATCH($A64,'OPATT prices'!$A:$A,0))</f>
        <v>0</v>
      </c>
    </row>
  </sheetData>
  <mergeCells count="1">
    <mergeCell ref="C3:F3"/>
  </mergeCells>
  <hyperlinks>
    <hyperlink ref="A2" location="Navigation!A1" display="Home"/>
  </hyperlinks>
  <pageMargins left="0.70866141732283472" right="0.70866141732283472" top="0.74803149606299213" bottom="0.74803149606299213" header="0.31496062992125984" footer="0.31496062992125984"/>
  <pageSetup paperSize="9" fitToHeight="0" orientation="portrait" cellComments="atEnd"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D790"/>
  <sheetViews>
    <sheetView workbookViewId="0"/>
  </sheetViews>
  <sheetFormatPr defaultColWidth="9.140625" defaultRowHeight="15"/>
  <cols>
    <col min="1" max="16384" width="9.140625" style="416"/>
  </cols>
  <sheetData>
    <row r="1" spans="1:3">
      <c r="A1" s="415" t="s">
        <v>1126</v>
      </c>
    </row>
    <row r="2" spans="1:3">
      <c r="A2" s="415" t="s">
        <v>1127</v>
      </c>
    </row>
    <row r="3" spans="1:3">
      <c r="A3" s="417"/>
    </row>
    <row r="4" spans="1:3">
      <c r="A4" s="418" t="s">
        <v>1128</v>
      </c>
    </row>
    <row r="5" spans="1:3">
      <c r="A5" s="415" t="s">
        <v>1129</v>
      </c>
    </row>
    <row r="6" spans="1:3">
      <c r="A6" s="415" t="s">
        <v>1127</v>
      </c>
    </row>
    <row r="7" spans="1:3">
      <c r="A7" s="417"/>
    </row>
    <row r="8" spans="1:3">
      <c r="A8" s="415" t="s">
        <v>1130</v>
      </c>
    </row>
    <row r="9" spans="1:3">
      <c r="A9" s="415" t="s">
        <v>1127</v>
      </c>
    </row>
    <row r="10" spans="1:3">
      <c r="A10" s="417"/>
    </row>
    <row r="11" spans="1:3">
      <c r="A11" s="418" t="s">
        <v>1131</v>
      </c>
    </row>
    <row r="12" spans="1:3">
      <c r="A12" s="418" t="s">
        <v>1132</v>
      </c>
      <c r="C12" s="418"/>
    </row>
    <row r="13" spans="1:3">
      <c r="A13" s="418" t="s">
        <v>1133</v>
      </c>
    </row>
    <row r="14" spans="1:3">
      <c r="A14" s="418" t="s">
        <v>1134</v>
      </c>
      <c r="B14" s="418" t="s">
        <v>1135</v>
      </c>
    </row>
    <row r="15" spans="1:3">
      <c r="A15" s="418" t="s">
        <v>1136</v>
      </c>
    </row>
    <row r="16" spans="1:3">
      <c r="A16" s="418" t="s">
        <v>1137</v>
      </c>
    </row>
    <row r="17" spans="1:4">
      <c r="A17" s="418" t="s">
        <v>1136</v>
      </c>
      <c r="D17" s="418" t="s">
        <v>1138</v>
      </c>
    </row>
    <row r="18" spans="1:4">
      <c r="A18" s="418" t="s">
        <v>1136</v>
      </c>
      <c r="D18" s="418" t="s">
        <v>1139</v>
      </c>
    </row>
    <row r="19" spans="1:4">
      <c r="A19" s="418" t="s">
        <v>1136</v>
      </c>
      <c r="D19" s="418" t="s">
        <v>1140</v>
      </c>
    </row>
    <row r="20" spans="1:4">
      <c r="A20" s="418" t="s">
        <v>1131</v>
      </c>
    </row>
    <row r="21" spans="1:4">
      <c r="A21" s="417"/>
    </row>
    <row r="22" spans="1:4">
      <c r="A22" s="417"/>
    </row>
    <row r="23" spans="1:4">
      <c r="A23" s="417"/>
    </row>
    <row r="24" spans="1:4">
      <c r="A24" s="415" t="s">
        <v>1141</v>
      </c>
    </row>
    <row r="25" spans="1:4">
      <c r="A25" s="415" t="s">
        <v>1142</v>
      </c>
    </row>
    <row r="26" spans="1:4">
      <c r="A26" s="415" t="s">
        <v>1143</v>
      </c>
    </row>
    <row r="27" spans="1:4">
      <c r="A27" s="417"/>
    </row>
    <row r="28" spans="1:4">
      <c r="B28" s="415" t="s">
        <v>1144</v>
      </c>
    </row>
    <row r="29" spans="1:4">
      <c r="A29" s="417"/>
    </row>
    <row r="30" spans="1:4">
      <c r="A30" s="415" t="s">
        <v>1145</v>
      </c>
    </row>
    <row r="31" spans="1:4">
      <c r="A31" s="415" t="s">
        <v>1146</v>
      </c>
    </row>
    <row r="32" spans="1:4">
      <c r="A32" s="415" t="s">
        <v>1147</v>
      </c>
    </row>
    <row r="33" spans="1:1">
      <c r="A33" s="415" t="s">
        <v>1148</v>
      </c>
    </row>
    <row r="34" spans="1:1">
      <c r="A34" s="415" t="s">
        <v>1149</v>
      </c>
    </row>
    <row r="35" spans="1:1">
      <c r="A35" s="415" t="s">
        <v>1150</v>
      </c>
    </row>
    <row r="36" spans="1:1">
      <c r="A36" s="415" t="s">
        <v>1151</v>
      </c>
    </row>
    <row r="37" spans="1:1">
      <c r="A37" s="415" t="s">
        <v>1152</v>
      </c>
    </row>
    <row r="38" spans="1:1">
      <c r="A38" s="417"/>
    </row>
    <row r="39" spans="1:1">
      <c r="A39" s="415" t="s">
        <v>1153</v>
      </c>
    </row>
    <row r="40" spans="1:1">
      <c r="A40" s="415" t="s">
        <v>1154</v>
      </c>
    </row>
    <row r="41" spans="1:1">
      <c r="A41" s="415" t="s">
        <v>1155</v>
      </c>
    </row>
    <row r="42" spans="1:1">
      <c r="A42" s="417"/>
    </row>
    <row r="43" spans="1:1">
      <c r="A43" s="417"/>
    </row>
    <row r="44" spans="1:1">
      <c r="A44" s="415" t="s">
        <v>1156</v>
      </c>
    </row>
    <row r="45" spans="1:1">
      <c r="A45" s="415" t="s">
        <v>1157</v>
      </c>
    </row>
    <row r="46" spans="1:1">
      <c r="A46" s="415" t="s">
        <v>1158</v>
      </c>
    </row>
    <row r="47" spans="1:1">
      <c r="A47" s="415" t="s">
        <v>1159</v>
      </c>
    </row>
    <row r="48" spans="1:1">
      <c r="A48" s="417"/>
    </row>
    <row r="49" spans="1:1">
      <c r="A49" s="418" t="s">
        <v>1160</v>
      </c>
    </row>
    <row r="50" spans="1:1">
      <c r="A50" s="418" t="s">
        <v>1161</v>
      </c>
    </row>
    <row r="51" spans="1:1">
      <c r="A51" s="415" t="s">
        <v>1162</v>
      </c>
    </row>
    <row r="52" spans="1:1">
      <c r="A52" s="415" t="s">
        <v>1163</v>
      </c>
    </row>
    <row r="53" spans="1:1">
      <c r="A53" s="417"/>
    </row>
    <row r="54" spans="1:1">
      <c r="A54" s="415" t="s">
        <v>1164</v>
      </c>
    </row>
    <row r="55" spans="1:1">
      <c r="A55" s="419" t="s">
        <v>1165</v>
      </c>
    </row>
    <row r="56" spans="1:1">
      <c r="A56" s="419" t="s">
        <v>1166</v>
      </c>
    </row>
    <row r="57" spans="1:1">
      <c r="A57" s="419" t="s">
        <v>1167</v>
      </c>
    </row>
    <row r="58" spans="1:1">
      <c r="A58" s="419" t="s">
        <v>1168</v>
      </c>
    </row>
    <row r="59" spans="1:1">
      <c r="A59" s="419" t="s">
        <v>1169</v>
      </c>
    </row>
    <row r="60" spans="1:1">
      <c r="A60" s="419" t="s">
        <v>1170</v>
      </c>
    </row>
    <row r="61" spans="1:1">
      <c r="A61" s="419" t="s">
        <v>1171</v>
      </c>
    </row>
    <row r="62" spans="1:1">
      <c r="A62" s="415" t="s">
        <v>1172</v>
      </c>
    </row>
    <row r="63" spans="1:1">
      <c r="A63" s="415" t="s">
        <v>1173</v>
      </c>
    </row>
    <row r="64" spans="1:1">
      <c r="A64" s="419" t="s">
        <v>1174</v>
      </c>
    </row>
    <row r="65" spans="1:1">
      <c r="A65" s="420" t="s">
        <v>1175</v>
      </c>
    </row>
    <row r="66" spans="1:1">
      <c r="A66" s="415" t="s">
        <v>1176</v>
      </c>
    </row>
    <row r="67" spans="1:1">
      <c r="A67" s="419" t="s">
        <v>1177</v>
      </c>
    </row>
    <row r="68" spans="1:1">
      <c r="A68" s="415" t="s">
        <v>1178</v>
      </c>
    </row>
    <row r="69" spans="1:1">
      <c r="A69" s="418" t="s">
        <v>1179</v>
      </c>
    </row>
    <row r="70" spans="1:1">
      <c r="A70" s="415" t="s">
        <v>1180</v>
      </c>
    </row>
    <row r="71" spans="1:1">
      <c r="A71" s="420" t="s">
        <v>1181</v>
      </c>
    </row>
    <row r="72" spans="1:1">
      <c r="A72" s="420" t="s">
        <v>1182</v>
      </c>
    </row>
    <row r="73" spans="1:1">
      <c r="A73" s="420" t="s">
        <v>1183</v>
      </c>
    </row>
    <row r="74" spans="1:1">
      <c r="A74" s="415" t="s">
        <v>1184</v>
      </c>
    </row>
    <row r="75" spans="1:1">
      <c r="A75" s="417"/>
    </row>
    <row r="76" spans="1:1">
      <c r="A76" s="415" t="s">
        <v>1185</v>
      </c>
    </row>
    <row r="77" spans="1:1">
      <c r="A77" s="415" t="s">
        <v>1186</v>
      </c>
    </row>
    <row r="78" spans="1:1">
      <c r="A78" s="417"/>
    </row>
    <row r="79" spans="1:1">
      <c r="A79" s="415" t="s">
        <v>1164</v>
      </c>
    </row>
    <row r="80" spans="1:1">
      <c r="A80" s="419" t="s">
        <v>1187</v>
      </c>
    </row>
    <row r="81" spans="1:1">
      <c r="A81" s="421" t="s">
        <v>1188</v>
      </c>
    </row>
    <row r="82" spans="1:1">
      <c r="A82" s="421" t="s">
        <v>1189</v>
      </c>
    </row>
    <row r="83" spans="1:1">
      <c r="A83" s="415" t="s">
        <v>1190</v>
      </c>
    </row>
    <row r="84" spans="1:1">
      <c r="A84" s="415" t="s">
        <v>1191</v>
      </c>
    </row>
    <row r="85" spans="1:1">
      <c r="A85" s="415" t="s">
        <v>1192</v>
      </c>
    </row>
    <row r="86" spans="1:1">
      <c r="A86" s="417"/>
    </row>
    <row r="87" spans="1:1">
      <c r="A87" s="417"/>
    </row>
    <row r="88" spans="1:1">
      <c r="A88" s="418" t="s">
        <v>1193</v>
      </c>
    </row>
    <row r="89" spans="1:1">
      <c r="A89" s="418" t="s">
        <v>1194</v>
      </c>
    </row>
    <row r="90" spans="1:1">
      <c r="A90" s="415" t="s">
        <v>1164</v>
      </c>
    </row>
    <row r="91" spans="1:1">
      <c r="A91" s="419" t="s">
        <v>1195</v>
      </c>
    </row>
    <row r="92" spans="1:1">
      <c r="A92" s="419" t="s">
        <v>1196</v>
      </c>
    </row>
    <row r="93" spans="1:1">
      <c r="A93" s="419" t="s">
        <v>1197</v>
      </c>
    </row>
    <row r="94" spans="1:1">
      <c r="A94" s="419" t="s">
        <v>1198</v>
      </c>
    </row>
    <row r="95" spans="1:1">
      <c r="A95" s="419" t="s">
        <v>1199</v>
      </c>
    </row>
    <row r="96" spans="1:1">
      <c r="A96" s="419" t="s">
        <v>1200</v>
      </c>
    </row>
    <row r="97" spans="1:1">
      <c r="A97" s="420" t="s">
        <v>1201</v>
      </c>
    </row>
    <row r="98" spans="1:1">
      <c r="A98" s="415" t="s">
        <v>1202</v>
      </c>
    </row>
    <row r="99" spans="1:1">
      <c r="A99" s="415" t="s">
        <v>1191</v>
      </c>
    </row>
    <row r="100" spans="1:1">
      <c r="A100" s="415" t="s">
        <v>1203</v>
      </c>
    </row>
    <row r="101" spans="1:1">
      <c r="A101" s="419" t="s">
        <v>1204</v>
      </c>
    </row>
    <row r="102" spans="1:1">
      <c r="A102" s="417"/>
    </row>
    <row r="103" spans="1:1">
      <c r="A103" s="417"/>
    </row>
    <row r="104" spans="1:1">
      <c r="A104" s="418" t="s">
        <v>1205</v>
      </c>
    </row>
    <row r="105" spans="1:1">
      <c r="A105" s="418" t="s">
        <v>1206</v>
      </c>
    </row>
    <row r="106" spans="1:1">
      <c r="A106" s="415" t="s">
        <v>1164</v>
      </c>
    </row>
    <row r="107" spans="1:1">
      <c r="A107" s="419" t="s">
        <v>1207</v>
      </c>
    </row>
    <row r="108" spans="1:1">
      <c r="A108" s="417" t="s">
        <v>1208</v>
      </c>
    </row>
    <row r="109" spans="1:1">
      <c r="A109" s="417" t="s">
        <v>1209</v>
      </c>
    </row>
    <row r="110" spans="1:1">
      <c r="A110" s="417" t="s">
        <v>1210</v>
      </c>
    </row>
    <row r="111" spans="1:1">
      <c r="A111" s="417" t="s">
        <v>1211</v>
      </c>
    </row>
    <row r="112" spans="1:1">
      <c r="A112" s="417" t="s">
        <v>1212</v>
      </c>
    </row>
    <row r="113" spans="1:1">
      <c r="A113" s="417" t="s">
        <v>1213</v>
      </c>
    </row>
    <row r="114" spans="1:1">
      <c r="A114" s="415" t="s">
        <v>1173</v>
      </c>
    </row>
    <row r="115" spans="1:1">
      <c r="A115" s="419" t="s">
        <v>1214</v>
      </c>
    </row>
    <row r="116" spans="1:1">
      <c r="A116" s="420" t="s">
        <v>1215</v>
      </c>
    </row>
    <row r="117" spans="1:1">
      <c r="A117" s="415" t="s">
        <v>1216</v>
      </c>
    </row>
    <row r="118" spans="1:1">
      <c r="A118" s="415" t="s">
        <v>1217</v>
      </c>
    </row>
    <row r="119" spans="1:1">
      <c r="A119" s="419" t="s">
        <v>1218</v>
      </c>
    </row>
    <row r="120" spans="1:1">
      <c r="A120" s="419" t="s">
        <v>1219</v>
      </c>
    </row>
    <row r="121" spans="1:1">
      <c r="A121" s="419" t="s">
        <v>1220</v>
      </c>
    </row>
    <row r="122" spans="1:1">
      <c r="A122" s="419" t="s">
        <v>1221</v>
      </c>
    </row>
    <row r="123" spans="1:1">
      <c r="A123" s="415" t="s">
        <v>1203</v>
      </c>
    </row>
    <row r="124" spans="1:1">
      <c r="A124" s="419" t="s">
        <v>1218</v>
      </c>
    </row>
    <row r="125" spans="1:1">
      <c r="A125" s="419" t="s">
        <v>1220</v>
      </c>
    </row>
    <row r="126" spans="1:1">
      <c r="A126" s="419" t="s">
        <v>1221</v>
      </c>
    </row>
    <row r="127" spans="1:1">
      <c r="A127" s="417"/>
    </row>
    <row r="128" spans="1:1">
      <c r="A128" s="417"/>
    </row>
    <row r="129" spans="1:1">
      <c r="A129" s="415" t="s">
        <v>1222</v>
      </c>
    </row>
    <row r="130" spans="1:1">
      <c r="A130" s="415" t="s">
        <v>1156</v>
      </c>
    </row>
    <row r="131" spans="1:1">
      <c r="A131" s="415" t="s">
        <v>1223</v>
      </c>
    </row>
    <row r="132" spans="1:1">
      <c r="A132" s="415" t="s">
        <v>1158</v>
      </c>
    </row>
    <row r="133" spans="1:1">
      <c r="A133" s="415" t="s">
        <v>1159</v>
      </c>
    </row>
    <row r="134" spans="1:1">
      <c r="A134" s="417"/>
    </row>
    <row r="135" spans="1:1">
      <c r="A135" s="417"/>
    </row>
    <row r="136" spans="1:1">
      <c r="A136" s="418" t="s">
        <v>1224</v>
      </c>
    </row>
    <row r="137" spans="1:1">
      <c r="A137" s="415" t="s">
        <v>1164</v>
      </c>
    </row>
    <row r="138" spans="1:1">
      <c r="A138" s="419" t="s">
        <v>1225</v>
      </c>
    </row>
    <row r="139" spans="1:1">
      <c r="A139" s="419" t="s">
        <v>1226</v>
      </c>
    </row>
    <row r="140" spans="1:1">
      <c r="A140" s="419" t="s">
        <v>1227</v>
      </c>
    </row>
    <row r="141" spans="1:1">
      <c r="A141" s="419" t="s">
        <v>1228</v>
      </c>
    </row>
    <row r="142" spans="1:1">
      <c r="A142" s="419" t="s">
        <v>1229</v>
      </c>
    </row>
    <row r="143" spans="1:1">
      <c r="A143" s="420" t="s">
        <v>1230</v>
      </c>
    </row>
    <row r="144" spans="1:1">
      <c r="A144" s="419" t="s">
        <v>1231</v>
      </c>
    </row>
    <row r="145" spans="1:1">
      <c r="A145" s="420" t="s">
        <v>1232</v>
      </c>
    </row>
    <row r="146" spans="1:1">
      <c r="A146" s="420" t="s">
        <v>1233</v>
      </c>
    </row>
    <row r="147" spans="1:1">
      <c r="A147" s="420" t="s">
        <v>1234</v>
      </c>
    </row>
    <row r="148" spans="1:1">
      <c r="A148" s="415" t="s">
        <v>1235</v>
      </c>
    </row>
    <row r="149" spans="1:1">
      <c r="A149" s="415" t="s">
        <v>1236</v>
      </c>
    </row>
    <row r="150" spans="1:1">
      <c r="A150" s="420" t="s">
        <v>1237</v>
      </c>
    </row>
    <row r="151" spans="1:1">
      <c r="A151" s="415" t="s">
        <v>1238</v>
      </c>
    </row>
    <row r="152" spans="1:1">
      <c r="A152" s="415" t="s">
        <v>1203</v>
      </c>
    </row>
    <row r="153" spans="1:1">
      <c r="A153" s="419" t="s">
        <v>1225</v>
      </c>
    </row>
    <row r="154" spans="1:1">
      <c r="A154" s="419" t="s">
        <v>1227</v>
      </c>
    </row>
    <row r="155" spans="1:1">
      <c r="A155" s="419" t="s">
        <v>1239</v>
      </c>
    </row>
    <row r="156" spans="1:1">
      <c r="A156" s="417"/>
    </row>
    <row r="157" spans="1:1">
      <c r="A157" s="415" t="s">
        <v>1240</v>
      </c>
    </row>
    <row r="158" spans="1:1">
      <c r="A158" s="415" t="s">
        <v>1241</v>
      </c>
    </row>
    <row r="159" spans="1:1">
      <c r="A159" s="417"/>
    </row>
    <row r="160" spans="1:1">
      <c r="A160" s="415" t="s">
        <v>1164</v>
      </c>
    </row>
    <row r="161" spans="1:1">
      <c r="A161" s="419" t="s">
        <v>1242</v>
      </c>
    </row>
    <row r="162" spans="1:1">
      <c r="A162" s="421" t="s">
        <v>1243</v>
      </c>
    </row>
    <row r="163" spans="1:1">
      <c r="A163" s="421" t="s">
        <v>1244</v>
      </c>
    </row>
    <row r="164" spans="1:1">
      <c r="A164" s="421" t="s">
        <v>1245</v>
      </c>
    </row>
    <row r="165" spans="1:1">
      <c r="A165" s="421" t="s">
        <v>1246</v>
      </c>
    </row>
    <row r="166" spans="1:1">
      <c r="A166" s="421" t="s">
        <v>1247</v>
      </c>
    </row>
    <row r="167" spans="1:1">
      <c r="A167" s="421" t="s">
        <v>1248</v>
      </c>
    </row>
    <row r="168" spans="1:1">
      <c r="A168" s="415" t="s">
        <v>1249</v>
      </c>
    </row>
    <row r="169" spans="1:1">
      <c r="A169" s="415" t="s">
        <v>1250</v>
      </c>
    </row>
    <row r="170" spans="1:1">
      <c r="A170" s="415" t="s">
        <v>1192</v>
      </c>
    </row>
    <row r="171" spans="1:1">
      <c r="A171" s="417"/>
    </row>
    <row r="172" spans="1:1">
      <c r="A172" s="417"/>
    </row>
    <row r="173" spans="1:1">
      <c r="A173" s="418" t="s">
        <v>1251</v>
      </c>
    </row>
    <row r="174" spans="1:1">
      <c r="A174" s="418" t="s">
        <v>1252</v>
      </c>
    </row>
    <row r="175" spans="1:1">
      <c r="A175" s="417"/>
    </row>
    <row r="176" spans="1:1">
      <c r="A176" s="417"/>
    </row>
    <row r="177" spans="1:1">
      <c r="A177" s="415" t="s">
        <v>1164</v>
      </c>
    </row>
    <row r="178" spans="1:1">
      <c r="A178" s="419" t="s">
        <v>1196</v>
      </c>
    </row>
    <row r="179" spans="1:1">
      <c r="A179" s="419" t="s">
        <v>1197</v>
      </c>
    </row>
    <row r="180" spans="1:1">
      <c r="A180" s="419" t="s">
        <v>1253</v>
      </c>
    </row>
    <row r="181" spans="1:1">
      <c r="A181" s="421" t="s">
        <v>1254</v>
      </c>
    </row>
    <row r="182" spans="1:1">
      <c r="A182" s="421" t="s">
        <v>1255</v>
      </c>
    </row>
    <row r="183" spans="1:1">
      <c r="A183" s="421" t="s">
        <v>1256</v>
      </c>
    </row>
    <row r="184" spans="1:1">
      <c r="A184" s="415" t="s">
        <v>1257</v>
      </c>
    </row>
    <row r="185" spans="1:1">
      <c r="A185" s="415" t="s">
        <v>1250</v>
      </c>
    </row>
    <row r="186" spans="1:1">
      <c r="A186" s="415" t="s">
        <v>1217</v>
      </c>
    </row>
    <row r="187" spans="1:1">
      <c r="A187" s="419" t="s">
        <v>1196</v>
      </c>
    </row>
    <row r="188" spans="1:1">
      <c r="A188" s="419" t="s">
        <v>1197</v>
      </c>
    </row>
    <row r="189" spans="1:1">
      <c r="A189" s="419" t="s">
        <v>1258</v>
      </c>
    </row>
    <row r="190" spans="1:1">
      <c r="A190" s="415" t="s">
        <v>1203</v>
      </c>
    </row>
    <row r="191" spans="1:1">
      <c r="A191" s="419" t="s">
        <v>1197</v>
      </c>
    </row>
    <row r="192" spans="1:1">
      <c r="A192" s="419" t="s">
        <v>1258</v>
      </c>
    </row>
    <row r="193" spans="1:2">
      <c r="A193" s="417"/>
    </row>
    <row r="194" spans="1:2">
      <c r="A194" s="417"/>
    </row>
    <row r="195" spans="1:2">
      <c r="A195" s="418" t="s">
        <v>1259</v>
      </c>
    </row>
    <row r="196" spans="1:2">
      <c r="A196" s="418" t="s">
        <v>1136</v>
      </c>
    </row>
    <row r="197" spans="1:2">
      <c r="A197" s="415" t="s">
        <v>1260</v>
      </c>
    </row>
    <row r="198" spans="1:2">
      <c r="A198" s="415" t="s">
        <v>1261</v>
      </c>
    </row>
    <row r="199" spans="1:2">
      <c r="A199" s="417"/>
    </row>
    <row r="200" spans="1:2">
      <c r="A200" s="415" t="s">
        <v>1164</v>
      </c>
    </row>
    <row r="201" spans="1:2">
      <c r="B201" s="421" t="s">
        <v>1262</v>
      </c>
    </row>
    <row r="202" spans="1:2">
      <c r="B202" s="421" t="s">
        <v>1263</v>
      </c>
    </row>
    <row r="203" spans="1:2">
      <c r="B203" s="420" t="s">
        <v>1264</v>
      </c>
    </row>
    <row r="204" spans="1:2">
      <c r="A204" s="415" t="s">
        <v>1265</v>
      </c>
    </row>
    <row r="205" spans="1:2">
      <c r="A205" s="415" t="s">
        <v>1250</v>
      </c>
    </row>
    <row r="206" spans="1:2">
      <c r="A206" s="417"/>
    </row>
    <row r="207" spans="1:2">
      <c r="A207" s="418" t="s">
        <v>1266</v>
      </c>
    </row>
    <row r="208" spans="1:2">
      <c r="A208" s="415" t="s">
        <v>1267</v>
      </c>
    </row>
    <row r="209" spans="1:2">
      <c r="A209" s="415" t="s">
        <v>1268</v>
      </c>
    </row>
    <row r="210" spans="1:2">
      <c r="A210" s="417"/>
    </row>
    <row r="211" spans="1:2">
      <c r="A211" s="415" t="s">
        <v>1164</v>
      </c>
    </row>
    <row r="212" spans="1:2">
      <c r="B212" s="421" t="s">
        <v>1269</v>
      </c>
    </row>
    <row r="213" spans="1:2">
      <c r="B213" s="421" t="s">
        <v>1270</v>
      </c>
    </row>
    <row r="214" spans="1:2">
      <c r="B214" s="420" t="s">
        <v>1271</v>
      </c>
    </row>
    <row r="215" spans="1:2">
      <c r="A215" s="415" t="s">
        <v>1272</v>
      </c>
    </row>
    <row r="216" spans="1:2">
      <c r="A216" s="415" t="s">
        <v>1173</v>
      </c>
    </row>
    <row r="217" spans="1:2">
      <c r="B217" s="419" t="s">
        <v>1273</v>
      </c>
    </row>
    <row r="218" spans="1:2">
      <c r="A218" s="417"/>
    </row>
    <row r="219" spans="1:2">
      <c r="A219" s="417"/>
    </row>
    <row r="220" spans="1:2">
      <c r="A220" s="415" t="s">
        <v>1222</v>
      </c>
    </row>
    <row r="221" spans="1:2">
      <c r="A221" s="415" t="s">
        <v>1156</v>
      </c>
    </row>
    <row r="222" spans="1:2">
      <c r="A222" s="415" t="s">
        <v>1274</v>
      </c>
    </row>
    <row r="223" spans="1:2">
      <c r="A223" s="415" t="s">
        <v>1158</v>
      </c>
    </row>
    <row r="224" spans="1:2">
      <c r="A224" s="415" t="s">
        <v>1159</v>
      </c>
    </row>
    <row r="225" spans="1:1">
      <c r="A225" s="417"/>
    </row>
    <row r="226" spans="1:1">
      <c r="A226" s="418" t="s">
        <v>1275</v>
      </c>
    </row>
    <row r="227" spans="1:1">
      <c r="A227" s="418" t="s">
        <v>1276</v>
      </c>
    </row>
    <row r="228" spans="1:1">
      <c r="A228" s="415" t="s">
        <v>1277</v>
      </c>
    </row>
    <row r="229" spans="1:1">
      <c r="A229" s="415" t="s">
        <v>1278</v>
      </c>
    </row>
    <row r="230" spans="1:1">
      <c r="A230" s="417"/>
    </row>
    <row r="231" spans="1:1">
      <c r="A231" s="417"/>
    </row>
    <row r="232" spans="1:1">
      <c r="A232" s="415" t="s">
        <v>1164</v>
      </c>
    </row>
    <row r="233" spans="1:1">
      <c r="A233" s="419" t="s">
        <v>1279</v>
      </c>
    </row>
    <row r="234" spans="1:1">
      <c r="A234" s="419" t="s">
        <v>1280</v>
      </c>
    </row>
    <row r="235" spans="1:1">
      <c r="A235" s="419" t="s">
        <v>1281</v>
      </c>
    </row>
    <row r="236" spans="1:1">
      <c r="A236" s="419" t="s">
        <v>1282</v>
      </c>
    </row>
    <row r="237" spans="1:1">
      <c r="A237" s="419" t="s">
        <v>1283</v>
      </c>
    </row>
    <row r="238" spans="1:1">
      <c r="A238" s="419" t="s">
        <v>1284</v>
      </c>
    </row>
    <row r="239" spans="1:1">
      <c r="A239" s="419" t="s">
        <v>1285</v>
      </c>
    </row>
    <row r="240" spans="1:1">
      <c r="A240" s="419" t="s">
        <v>1286</v>
      </c>
    </row>
    <row r="241" spans="1:1">
      <c r="A241" s="419" t="s">
        <v>1287</v>
      </c>
    </row>
    <row r="242" spans="1:1">
      <c r="A242" s="415" t="s">
        <v>1288</v>
      </c>
    </row>
    <row r="243" spans="1:1">
      <c r="A243" s="415" t="s">
        <v>1173</v>
      </c>
    </row>
    <row r="244" spans="1:1">
      <c r="A244" s="419" t="s">
        <v>1289</v>
      </c>
    </row>
    <row r="245" spans="1:1">
      <c r="A245" s="420" t="s">
        <v>1290</v>
      </c>
    </row>
    <row r="246" spans="1:1">
      <c r="A246" s="415" t="s">
        <v>1291</v>
      </c>
    </row>
    <row r="247" spans="1:1">
      <c r="A247" s="420" t="s">
        <v>1292</v>
      </c>
    </row>
    <row r="248" spans="1:1">
      <c r="A248" s="420" t="s">
        <v>1293</v>
      </c>
    </row>
    <row r="249" spans="1:1">
      <c r="A249" s="415" t="s">
        <v>1203</v>
      </c>
    </row>
    <row r="250" spans="1:1">
      <c r="A250" s="419" t="s">
        <v>1294</v>
      </c>
    </row>
    <row r="251" spans="1:1">
      <c r="A251" s="417"/>
    </row>
    <row r="252" spans="1:1">
      <c r="A252" s="415" t="s">
        <v>1295</v>
      </c>
    </row>
    <row r="253" spans="1:1">
      <c r="A253" s="415" t="s">
        <v>1296</v>
      </c>
    </row>
    <row r="254" spans="1:1">
      <c r="A254" s="417"/>
    </row>
    <row r="255" spans="1:1">
      <c r="A255" s="415" t="s">
        <v>1164</v>
      </c>
    </row>
    <row r="256" spans="1:1">
      <c r="A256" s="419" t="s">
        <v>1242</v>
      </c>
    </row>
    <row r="257" spans="1:1">
      <c r="A257" s="421" t="s">
        <v>1297</v>
      </c>
    </row>
    <row r="258" spans="1:1">
      <c r="A258" s="421" t="s">
        <v>1298</v>
      </c>
    </row>
    <row r="259" spans="1:1">
      <c r="A259" s="415" t="s">
        <v>1299</v>
      </c>
    </row>
    <row r="260" spans="1:1">
      <c r="A260" s="415" t="s">
        <v>1300</v>
      </c>
    </row>
    <row r="261" spans="1:1">
      <c r="A261" s="415" t="s">
        <v>1192</v>
      </c>
    </row>
    <row r="262" spans="1:1">
      <c r="A262" s="417"/>
    </row>
    <row r="263" spans="1:1">
      <c r="A263" s="417"/>
    </row>
    <row r="264" spans="1:1">
      <c r="A264" s="418" t="s">
        <v>1301</v>
      </c>
    </row>
    <row r="265" spans="1:1">
      <c r="A265" s="415" t="s">
        <v>1164</v>
      </c>
    </row>
    <row r="266" spans="1:1">
      <c r="A266" s="419" t="s">
        <v>1195</v>
      </c>
    </row>
    <row r="267" spans="1:1">
      <c r="A267" s="419" t="s">
        <v>1196</v>
      </c>
    </row>
    <row r="268" spans="1:1">
      <c r="A268" s="419" t="s">
        <v>1302</v>
      </c>
    </row>
    <row r="269" spans="1:1">
      <c r="A269" s="419" t="s">
        <v>1303</v>
      </c>
    </row>
    <row r="270" spans="1:1">
      <c r="A270" s="419" t="s">
        <v>1304</v>
      </c>
    </row>
    <row r="271" spans="1:1">
      <c r="A271" s="419" t="s">
        <v>1305</v>
      </c>
    </row>
    <row r="272" spans="1:1">
      <c r="A272" s="419" t="s">
        <v>1306</v>
      </c>
    </row>
    <row r="273" spans="1:2">
      <c r="A273" s="415" t="s">
        <v>1307</v>
      </c>
    </row>
    <row r="274" spans="1:2">
      <c r="A274" s="415" t="s">
        <v>1173</v>
      </c>
    </row>
    <row r="275" spans="1:2">
      <c r="A275" s="420" t="s">
        <v>1308</v>
      </c>
    </row>
    <row r="276" spans="1:2">
      <c r="B276" s="415" t="s">
        <v>1309</v>
      </c>
    </row>
    <row r="277" spans="1:2">
      <c r="B277" s="419" t="s">
        <v>1196</v>
      </c>
    </row>
    <row r="278" spans="1:2">
      <c r="B278" s="419" t="s">
        <v>1253</v>
      </c>
    </row>
    <row r="279" spans="1:2">
      <c r="B279" s="419" t="s">
        <v>1310</v>
      </c>
    </row>
    <row r="280" spans="1:2">
      <c r="B280" s="421" t="s">
        <v>1311</v>
      </c>
    </row>
    <row r="281" spans="1:2">
      <c r="B281" s="415" t="s">
        <v>1300</v>
      </c>
    </row>
    <row r="282" spans="1:2">
      <c r="A282" s="420" t="s">
        <v>1312</v>
      </c>
      <c r="B282" s="415" t="s">
        <v>1313</v>
      </c>
    </row>
    <row r="283" spans="1:2">
      <c r="A283" s="420" t="s">
        <v>1314</v>
      </c>
    </row>
    <row r="284" spans="1:2">
      <c r="A284" s="420" t="s">
        <v>1308</v>
      </c>
    </row>
    <row r="285" spans="1:2">
      <c r="A285" s="421" t="s">
        <v>1315</v>
      </c>
    </row>
    <row r="286" spans="1:2">
      <c r="A286" s="415" t="s">
        <v>1316</v>
      </c>
    </row>
    <row r="287" spans="1:2">
      <c r="A287" s="420" t="s">
        <v>1317</v>
      </c>
    </row>
    <row r="288" spans="1:2">
      <c r="A288" s="417"/>
    </row>
    <row r="289" spans="1:3">
      <c r="A289" s="418" t="s">
        <v>1318</v>
      </c>
    </row>
    <row r="290" spans="1:3">
      <c r="A290" s="417"/>
    </row>
    <row r="291" spans="1:3">
      <c r="A291" s="418" t="s">
        <v>1319</v>
      </c>
    </row>
    <row r="292" spans="1:3">
      <c r="A292" s="415" t="s">
        <v>1164</v>
      </c>
    </row>
    <row r="293" spans="1:3">
      <c r="B293" s="419" t="s">
        <v>1195</v>
      </c>
    </row>
    <row r="294" spans="1:3">
      <c r="B294" s="419" t="s">
        <v>1197</v>
      </c>
    </row>
    <row r="295" spans="1:3">
      <c r="B295" s="419" t="s">
        <v>1196</v>
      </c>
    </row>
    <row r="296" spans="1:3">
      <c r="B296" s="419" t="s">
        <v>1253</v>
      </c>
    </row>
    <row r="297" spans="1:3">
      <c r="B297" s="419" t="s">
        <v>1320</v>
      </c>
    </row>
    <row r="298" spans="1:3">
      <c r="C298" s="420" t="s">
        <v>1321</v>
      </c>
    </row>
    <row r="299" spans="1:3">
      <c r="A299" s="419" t="s">
        <v>1322</v>
      </c>
    </row>
    <row r="300" spans="1:3">
      <c r="A300" s="419" t="s">
        <v>1323</v>
      </c>
    </row>
    <row r="301" spans="1:3">
      <c r="A301" s="415" t="s">
        <v>1324</v>
      </c>
    </row>
    <row r="302" spans="1:3">
      <c r="A302" s="415" t="s">
        <v>1300</v>
      </c>
    </row>
    <row r="303" spans="1:3">
      <c r="A303" s="415" t="s">
        <v>1325</v>
      </c>
    </row>
    <row r="304" spans="1:3">
      <c r="A304" s="417"/>
    </row>
    <row r="305" spans="1:2">
      <c r="A305" s="418" t="s">
        <v>1326</v>
      </c>
    </row>
    <row r="306" spans="1:2">
      <c r="A306" s="418" t="s">
        <v>1327</v>
      </c>
    </row>
    <row r="307" spans="1:2">
      <c r="A307" s="415" t="s">
        <v>1328</v>
      </c>
    </row>
    <row r="308" spans="1:2">
      <c r="A308" s="415" t="s">
        <v>1329</v>
      </c>
    </row>
    <row r="309" spans="1:2">
      <c r="A309" s="417"/>
    </row>
    <row r="310" spans="1:2">
      <c r="A310" s="415" t="s">
        <v>1164</v>
      </c>
    </row>
    <row r="311" spans="1:2">
      <c r="B311" s="419" t="s">
        <v>1253</v>
      </c>
    </row>
    <row r="312" spans="1:2">
      <c r="B312" s="419" t="s">
        <v>1197</v>
      </c>
    </row>
    <row r="313" spans="1:2">
      <c r="B313" s="421" t="s">
        <v>1330</v>
      </c>
    </row>
    <row r="314" spans="1:2">
      <c r="A314" s="415" t="s">
        <v>1331</v>
      </c>
    </row>
    <row r="315" spans="1:2">
      <c r="A315" s="415" t="s">
        <v>1332</v>
      </c>
    </row>
    <row r="316" spans="1:2">
      <c r="A316" s="415" t="s">
        <v>1333</v>
      </c>
    </row>
    <row r="317" spans="1:2">
      <c r="A317" s="415" t="s">
        <v>1334</v>
      </c>
    </row>
    <row r="318" spans="1:2">
      <c r="A318" s="417"/>
    </row>
    <row r="319" spans="1:2">
      <c r="A319" s="418" t="s">
        <v>1335</v>
      </c>
    </row>
    <row r="320" spans="1:2">
      <c r="A320" s="418" t="s">
        <v>1336</v>
      </c>
    </row>
    <row r="321" spans="1:1">
      <c r="A321" s="417"/>
    </row>
    <row r="322" spans="1:1">
      <c r="A322" s="415" t="s">
        <v>1164</v>
      </c>
    </row>
    <row r="323" spans="1:1">
      <c r="A323" s="419" t="s">
        <v>1195</v>
      </c>
    </row>
    <row r="324" spans="1:1">
      <c r="A324" s="419" t="s">
        <v>1197</v>
      </c>
    </row>
    <row r="325" spans="1:1">
      <c r="A325" s="419" t="s">
        <v>1253</v>
      </c>
    </row>
    <row r="326" spans="1:1">
      <c r="A326" s="419" t="s">
        <v>1337</v>
      </c>
    </row>
    <row r="327" spans="1:1">
      <c r="A327" s="419" t="s">
        <v>1322</v>
      </c>
    </row>
    <row r="328" spans="1:1">
      <c r="A328" s="419" t="s">
        <v>1323</v>
      </c>
    </row>
    <row r="329" spans="1:1">
      <c r="A329" s="415" t="s">
        <v>1338</v>
      </c>
    </row>
    <row r="330" spans="1:1">
      <c r="A330" s="415" t="s">
        <v>1332</v>
      </c>
    </row>
    <row r="331" spans="1:1">
      <c r="A331" s="415" t="s">
        <v>1339</v>
      </c>
    </row>
    <row r="332" spans="1:1">
      <c r="A332" s="417"/>
    </row>
    <row r="333" spans="1:1">
      <c r="A333" s="418" t="s">
        <v>1340</v>
      </c>
    </row>
    <row r="334" spans="1:1">
      <c r="A334" s="418" t="s">
        <v>1341</v>
      </c>
    </row>
    <row r="335" spans="1:1">
      <c r="A335" s="417"/>
    </row>
    <row r="336" spans="1:1">
      <c r="A336" s="415" t="s">
        <v>1342</v>
      </c>
    </row>
    <row r="337" spans="1:1">
      <c r="A337" s="415" t="s">
        <v>1343</v>
      </c>
    </row>
    <row r="338" spans="1:1">
      <c r="A338" s="417"/>
    </row>
    <row r="339" spans="1:1">
      <c r="A339" s="415" t="s">
        <v>1164</v>
      </c>
    </row>
    <row r="340" spans="1:1">
      <c r="A340" s="419" t="s">
        <v>1197</v>
      </c>
    </row>
    <row r="341" spans="1:1">
      <c r="A341" s="419" t="s">
        <v>1253</v>
      </c>
    </row>
    <row r="342" spans="1:1">
      <c r="A342" s="419" t="s">
        <v>1344</v>
      </c>
    </row>
    <row r="343" spans="1:1">
      <c r="A343" s="421" t="s">
        <v>1345</v>
      </c>
    </row>
    <row r="344" spans="1:1">
      <c r="A344" s="421" t="s">
        <v>1346</v>
      </c>
    </row>
    <row r="345" spans="1:1">
      <c r="A345" s="415" t="s">
        <v>1347</v>
      </c>
    </row>
    <row r="346" spans="1:1">
      <c r="A346" s="415" t="s">
        <v>1332</v>
      </c>
    </row>
    <row r="347" spans="1:1">
      <c r="A347" s="415" t="s">
        <v>1217</v>
      </c>
    </row>
    <row r="348" spans="1:1">
      <c r="A348" s="419" t="s">
        <v>1197</v>
      </c>
    </row>
    <row r="349" spans="1:1">
      <c r="A349" s="419" t="s">
        <v>1253</v>
      </c>
    </row>
    <row r="350" spans="1:1">
      <c r="A350" s="419" t="s">
        <v>1348</v>
      </c>
    </row>
    <row r="351" spans="1:1">
      <c r="A351" s="415" t="s">
        <v>1349</v>
      </c>
    </row>
    <row r="352" spans="1:1">
      <c r="A352" s="419" t="s">
        <v>1350</v>
      </c>
    </row>
    <row r="353" spans="1:1">
      <c r="A353" s="420" t="s">
        <v>1351</v>
      </c>
    </row>
    <row r="354" spans="1:1">
      <c r="A354" s="420" t="s">
        <v>1352</v>
      </c>
    </row>
    <row r="355" spans="1:1">
      <c r="A355" s="420" t="s">
        <v>1353</v>
      </c>
    </row>
    <row r="356" spans="1:1">
      <c r="A356" s="420" t="s">
        <v>1354</v>
      </c>
    </row>
    <row r="357" spans="1:1">
      <c r="A357" s="420" t="s">
        <v>1355</v>
      </c>
    </row>
    <row r="358" spans="1:1">
      <c r="A358" s="420" t="s">
        <v>1356</v>
      </c>
    </row>
    <row r="359" spans="1:1">
      <c r="A359" s="420" t="s">
        <v>1357</v>
      </c>
    </row>
    <row r="360" spans="1:1">
      <c r="A360" s="415" t="s">
        <v>1358</v>
      </c>
    </row>
    <row r="361" spans="1:1">
      <c r="A361" s="417"/>
    </row>
    <row r="362" spans="1:1">
      <c r="A362" s="417"/>
    </row>
    <row r="363" spans="1:1">
      <c r="A363" s="415" t="s">
        <v>1359</v>
      </c>
    </row>
    <row r="364" spans="1:1">
      <c r="A364" s="415" t="s">
        <v>1360</v>
      </c>
    </row>
    <row r="365" spans="1:1">
      <c r="A365" s="417"/>
    </row>
    <row r="366" spans="1:1">
      <c r="A366" s="415" t="s">
        <v>1361</v>
      </c>
    </row>
    <row r="367" spans="1:1">
      <c r="A367" s="421" t="s">
        <v>1362</v>
      </c>
    </row>
    <row r="368" spans="1:1">
      <c r="A368" s="421" t="s">
        <v>1363</v>
      </c>
    </row>
    <row r="369" spans="1:1">
      <c r="A369" s="415" t="s">
        <v>1364</v>
      </c>
    </row>
    <row r="370" spans="1:1">
      <c r="A370" s="415" t="s">
        <v>1365</v>
      </c>
    </row>
    <row r="371" spans="1:1">
      <c r="A371" s="417"/>
    </row>
    <row r="372" spans="1:1">
      <c r="A372" s="417"/>
    </row>
    <row r="373" spans="1:1">
      <c r="A373" s="417"/>
    </row>
    <row r="374" spans="1:1">
      <c r="A374" s="417"/>
    </row>
    <row r="375" spans="1:1">
      <c r="A375" s="415" t="s">
        <v>1222</v>
      </c>
    </row>
    <row r="376" spans="1:1">
      <c r="A376" s="415" t="s">
        <v>1156</v>
      </c>
    </row>
    <row r="377" spans="1:1">
      <c r="A377" s="415" t="s">
        <v>1366</v>
      </c>
    </row>
    <row r="378" spans="1:1">
      <c r="A378" s="415" t="s">
        <v>1158</v>
      </c>
    </row>
    <row r="379" spans="1:1">
      <c r="A379" s="415" t="s">
        <v>1159</v>
      </c>
    </row>
    <row r="380" spans="1:1">
      <c r="A380" s="417"/>
    </row>
    <row r="381" spans="1:1">
      <c r="A381" s="418" t="s">
        <v>1367</v>
      </c>
    </row>
    <row r="382" spans="1:1">
      <c r="A382" s="418" t="s">
        <v>1368</v>
      </c>
    </row>
    <row r="383" spans="1:1">
      <c r="A383" s="415" t="s">
        <v>1369</v>
      </c>
    </row>
    <row r="384" spans="1:1">
      <c r="A384" s="415" t="s">
        <v>1370</v>
      </c>
    </row>
    <row r="385" spans="1:1">
      <c r="A385" s="417"/>
    </row>
    <row r="386" spans="1:1">
      <c r="A386" s="415" t="s">
        <v>1164</v>
      </c>
    </row>
    <row r="387" spans="1:1">
      <c r="A387" s="419" t="s">
        <v>1195</v>
      </c>
    </row>
    <row r="388" spans="1:1">
      <c r="A388" s="419" t="s">
        <v>1197</v>
      </c>
    </row>
    <row r="389" spans="1:1">
      <c r="A389" s="419" t="s">
        <v>1253</v>
      </c>
    </row>
    <row r="390" spans="1:1">
      <c r="A390" s="419" t="s">
        <v>1344</v>
      </c>
    </row>
    <row r="391" spans="1:1">
      <c r="A391" s="421" t="s">
        <v>1371</v>
      </c>
    </row>
    <row r="392" spans="1:1">
      <c r="A392" s="415" t="s">
        <v>1372</v>
      </c>
    </row>
    <row r="393" spans="1:1">
      <c r="A393" s="415" t="s">
        <v>1332</v>
      </c>
    </row>
    <row r="394" spans="1:1">
      <c r="A394" s="415" t="s">
        <v>1373</v>
      </c>
    </row>
    <row r="395" spans="1:1">
      <c r="A395" s="415" t="s">
        <v>1358</v>
      </c>
    </row>
    <row r="396" spans="1:1">
      <c r="A396" s="417"/>
    </row>
    <row r="397" spans="1:1">
      <c r="A397" s="415" t="s">
        <v>1222</v>
      </c>
    </row>
    <row r="398" spans="1:1">
      <c r="A398" s="417"/>
    </row>
    <row r="399" spans="1:1">
      <c r="A399" s="417"/>
    </row>
    <row r="400" spans="1:1">
      <c r="A400" s="415" t="s">
        <v>1374</v>
      </c>
    </row>
    <row r="401" spans="1:1">
      <c r="A401" s="415" t="s">
        <v>1375</v>
      </c>
    </row>
    <row r="402" spans="1:1">
      <c r="A402" s="415" t="s">
        <v>1376</v>
      </c>
    </row>
    <row r="403" spans="1:1">
      <c r="A403" s="415" t="s">
        <v>1377</v>
      </c>
    </row>
    <row r="404" spans="1:1">
      <c r="A404" s="415" t="s">
        <v>1378</v>
      </c>
    </row>
    <row r="405" spans="1:1">
      <c r="A405" s="415" t="s">
        <v>1379</v>
      </c>
    </row>
    <row r="406" spans="1:1">
      <c r="A406" s="415" t="s">
        <v>1380</v>
      </c>
    </row>
    <row r="407" spans="1:1">
      <c r="A407" s="415" t="s">
        <v>1381</v>
      </c>
    </row>
    <row r="408" spans="1:1">
      <c r="A408" s="415" t="s">
        <v>1382</v>
      </c>
    </row>
    <row r="409" spans="1:1">
      <c r="A409" s="415" t="s">
        <v>1383</v>
      </c>
    </row>
    <row r="410" spans="1:1">
      <c r="A410" s="415" t="s">
        <v>1384</v>
      </c>
    </row>
    <row r="411" spans="1:1">
      <c r="A411" s="415" t="s">
        <v>1385</v>
      </c>
    </row>
    <row r="412" spans="1:1">
      <c r="A412" s="417"/>
    </row>
    <row r="413" spans="1:1">
      <c r="A413" s="415" t="s">
        <v>1386</v>
      </c>
    </row>
    <row r="414" spans="1:1">
      <c r="A414" s="417"/>
    </row>
    <row r="415" spans="1:1">
      <c r="A415" s="415" t="s">
        <v>1127</v>
      </c>
    </row>
    <row r="416" spans="1:1">
      <c r="A416" s="417"/>
    </row>
    <row r="417" spans="1:3">
      <c r="A417" s="417"/>
    </row>
    <row r="418" spans="1:3">
      <c r="A418" s="417"/>
    </row>
    <row r="419" spans="1:3">
      <c r="A419" s="415" t="s">
        <v>1126</v>
      </c>
    </row>
    <row r="420" spans="1:3">
      <c r="A420" s="415" t="s">
        <v>1127</v>
      </c>
    </row>
    <row r="421" spans="1:3">
      <c r="A421" s="417"/>
    </row>
    <row r="422" spans="1:3">
      <c r="A422" s="418" t="s">
        <v>1387</v>
      </c>
    </row>
    <row r="423" spans="1:3">
      <c r="A423" s="415" t="s">
        <v>1129</v>
      </c>
    </row>
    <row r="424" spans="1:3">
      <c r="A424" s="415" t="s">
        <v>1127</v>
      </c>
    </row>
    <row r="425" spans="1:3">
      <c r="A425" s="417"/>
    </row>
    <row r="426" spans="1:3">
      <c r="A426" s="415" t="s">
        <v>1130</v>
      </c>
    </row>
    <row r="427" spans="1:3">
      <c r="A427" s="415" t="s">
        <v>1127</v>
      </c>
    </row>
    <row r="428" spans="1:3">
      <c r="A428" s="417"/>
    </row>
    <row r="429" spans="1:3">
      <c r="A429" s="418" t="s">
        <v>1131</v>
      </c>
    </row>
    <row r="430" spans="1:3">
      <c r="A430" s="418" t="s">
        <v>1132</v>
      </c>
      <c r="C430" s="418"/>
    </row>
    <row r="431" spans="1:3">
      <c r="A431" s="418" t="s">
        <v>1133</v>
      </c>
    </row>
    <row r="432" spans="1:3">
      <c r="A432" s="418" t="s">
        <v>1134</v>
      </c>
      <c r="B432" s="418" t="s">
        <v>1135</v>
      </c>
    </row>
    <row r="433" spans="1:3">
      <c r="A433" s="417"/>
    </row>
    <row r="434" spans="1:3">
      <c r="A434" s="418" t="s">
        <v>1388</v>
      </c>
    </row>
    <row r="435" spans="1:3">
      <c r="A435" s="418" t="s">
        <v>1136</v>
      </c>
      <c r="C435" s="418" t="s">
        <v>1389</v>
      </c>
    </row>
    <row r="436" spans="1:3">
      <c r="A436" s="418" t="s">
        <v>1131</v>
      </c>
    </row>
    <row r="437" spans="1:3">
      <c r="A437" s="417"/>
    </row>
    <row r="438" spans="1:3">
      <c r="A438" s="415" t="s">
        <v>1390</v>
      </c>
    </row>
    <row r="439" spans="1:3">
      <c r="A439" s="415" t="s">
        <v>1142</v>
      </c>
    </row>
    <row r="440" spans="1:3">
      <c r="A440" s="415" t="s">
        <v>1143</v>
      </c>
    </row>
    <row r="441" spans="1:3">
      <c r="A441" s="417"/>
    </row>
    <row r="442" spans="1:3">
      <c r="B442" s="415" t="s">
        <v>1144</v>
      </c>
    </row>
    <row r="443" spans="1:3">
      <c r="A443" s="417"/>
    </row>
    <row r="444" spans="1:3">
      <c r="A444" s="415" t="s">
        <v>1145</v>
      </c>
    </row>
    <row r="445" spans="1:3">
      <c r="A445" s="415" t="s">
        <v>1146</v>
      </c>
    </row>
    <row r="446" spans="1:3">
      <c r="A446" s="415" t="s">
        <v>1147</v>
      </c>
    </row>
    <row r="447" spans="1:3">
      <c r="A447" s="415" t="s">
        <v>1148</v>
      </c>
    </row>
    <row r="448" spans="1:3">
      <c r="A448" s="415" t="s">
        <v>1149</v>
      </c>
    </row>
    <row r="449" spans="1:1">
      <c r="A449" s="415" t="s">
        <v>1150</v>
      </c>
    </row>
    <row r="450" spans="1:1">
      <c r="A450" s="415" t="s">
        <v>1151</v>
      </c>
    </row>
    <row r="451" spans="1:1">
      <c r="A451" s="415" t="s">
        <v>1152</v>
      </c>
    </row>
    <row r="452" spans="1:1">
      <c r="A452" s="417"/>
    </row>
    <row r="453" spans="1:1">
      <c r="A453" s="415" t="s">
        <v>1153</v>
      </c>
    </row>
    <row r="454" spans="1:1">
      <c r="A454" s="415" t="s">
        <v>1391</v>
      </c>
    </row>
    <row r="455" spans="1:1">
      <c r="A455" s="415" t="s">
        <v>1392</v>
      </c>
    </row>
    <row r="456" spans="1:1">
      <c r="A456" s="417"/>
    </row>
    <row r="457" spans="1:1">
      <c r="A457" s="417"/>
    </row>
    <row r="458" spans="1:1">
      <c r="A458" s="415" t="s">
        <v>1156</v>
      </c>
    </row>
    <row r="459" spans="1:1">
      <c r="A459" s="415" t="s">
        <v>1393</v>
      </c>
    </row>
    <row r="460" spans="1:1">
      <c r="A460" s="415" t="s">
        <v>1158</v>
      </c>
    </row>
    <row r="461" spans="1:1">
      <c r="A461" s="415" t="s">
        <v>1159</v>
      </c>
    </row>
    <row r="462" spans="1:1">
      <c r="A462" s="417"/>
    </row>
    <row r="463" spans="1:1">
      <c r="A463" s="418" t="s">
        <v>1394</v>
      </c>
    </row>
    <row r="464" spans="1:1">
      <c r="A464" s="417"/>
    </row>
    <row r="465" spans="1:1">
      <c r="A465" s="418" t="s">
        <v>1395</v>
      </c>
    </row>
    <row r="466" spans="1:1">
      <c r="A466" s="418" t="s">
        <v>1396</v>
      </c>
    </row>
    <row r="467" spans="1:1">
      <c r="A467" s="417"/>
    </row>
    <row r="468" spans="1:1">
      <c r="A468" s="415" t="s">
        <v>1164</v>
      </c>
    </row>
    <row r="469" spans="1:1">
      <c r="A469" s="420" t="s">
        <v>1397</v>
      </c>
    </row>
    <row r="470" spans="1:1">
      <c r="A470" s="419" t="s">
        <v>1398</v>
      </c>
    </row>
    <row r="471" spans="1:1">
      <c r="A471" s="419" t="s">
        <v>1399</v>
      </c>
    </row>
    <row r="472" spans="1:1">
      <c r="A472" s="419" t="s">
        <v>1400</v>
      </c>
    </row>
    <row r="473" spans="1:1">
      <c r="A473" s="415" t="s">
        <v>1401</v>
      </c>
    </row>
    <row r="474" spans="1:1">
      <c r="A474" s="415" t="s">
        <v>1173</v>
      </c>
    </row>
    <row r="475" spans="1:1">
      <c r="A475" s="419" t="s">
        <v>1402</v>
      </c>
    </row>
    <row r="476" spans="1:1">
      <c r="A476" s="420" t="s">
        <v>1403</v>
      </c>
    </row>
    <row r="477" spans="1:1">
      <c r="A477" s="415" t="s">
        <v>1404</v>
      </c>
    </row>
    <row r="478" spans="1:1">
      <c r="A478" s="415" t="s">
        <v>1203</v>
      </c>
    </row>
    <row r="479" spans="1:1">
      <c r="A479" s="420" t="s">
        <v>1405</v>
      </c>
    </row>
    <row r="480" spans="1:1">
      <c r="A480" s="419" t="s">
        <v>1406</v>
      </c>
    </row>
    <row r="481" spans="1:1">
      <c r="A481" s="417"/>
    </row>
    <row r="482" spans="1:1">
      <c r="A482" s="415" t="s">
        <v>1407</v>
      </c>
    </row>
    <row r="483" spans="1:1">
      <c r="A483" s="415" t="s">
        <v>1408</v>
      </c>
    </row>
    <row r="484" spans="1:1">
      <c r="A484" s="417"/>
    </row>
    <row r="485" spans="1:1">
      <c r="A485" s="415" t="s">
        <v>1164</v>
      </c>
    </row>
    <row r="486" spans="1:1">
      <c r="A486" s="419" t="s">
        <v>1302</v>
      </c>
    </row>
    <row r="487" spans="1:1">
      <c r="A487" s="421" t="s">
        <v>1409</v>
      </c>
    </row>
    <row r="488" spans="1:1">
      <c r="A488" s="421" t="s">
        <v>1410</v>
      </c>
    </row>
    <row r="489" spans="1:1">
      <c r="A489" s="415" t="s">
        <v>1411</v>
      </c>
    </row>
    <row r="490" spans="1:1">
      <c r="A490" s="415" t="s">
        <v>1412</v>
      </c>
    </row>
    <row r="491" spans="1:1">
      <c r="A491" s="415" t="s">
        <v>1413</v>
      </c>
    </row>
    <row r="492" spans="1:1">
      <c r="A492" s="417"/>
    </row>
    <row r="493" spans="1:1">
      <c r="A493" s="417"/>
    </row>
    <row r="494" spans="1:1">
      <c r="A494" s="418" t="s">
        <v>1414</v>
      </c>
    </row>
    <row r="495" spans="1:1">
      <c r="A495" s="418" t="s">
        <v>1415</v>
      </c>
    </row>
    <row r="496" spans="1:1">
      <c r="A496" s="417"/>
    </row>
    <row r="497" spans="1:2">
      <c r="A497" s="415" t="s">
        <v>1164</v>
      </c>
    </row>
    <row r="498" spans="1:2">
      <c r="A498" s="419" t="s">
        <v>1302</v>
      </c>
    </row>
    <row r="499" spans="1:2">
      <c r="A499" s="421" t="s">
        <v>1416</v>
      </c>
    </row>
    <row r="500" spans="1:2">
      <c r="A500" s="420" t="s">
        <v>1417</v>
      </c>
    </row>
    <row r="501" spans="1:2">
      <c r="A501" s="421" t="s">
        <v>1418</v>
      </c>
    </row>
    <row r="502" spans="1:2">
      <c r="A502" s="421" t="s">
        <v>1419</v>
      </c>
    </row>
    <row r="503" spans="1:2">
      <c r="A503" s="421" t="s">
        <v>1420</v>
      </c>
    </row>
    <row r="504" spans="1:2">
      <c r="A504" s="421" t="s">
        <v>1421</v>
      </c>
    </row>
    <row r="505" spans="1:2">
      <c r="A505" s="421" t="s">
        <v>1422</v>
      </c>
    </row>
    <row r="506" spans="1:2">
      <c r="A506" s="421" t="s">
        <v>1423</v>
      </c>
    </row>
    <row r="507" spans="1:2">
      <c r="A507" s="421" t="s">
        <v>1424</v>
      </c>
    </row>
    <row r="508" spans="1:2">
      <c r="A508" s="421" t="s">
        <v>1425</v>
      </c>
    </row>
    <row r="509" spans="1:2">
      <c r="A509" s="415" t="s">
        <v>1426</v>
      </c>
    </row>
    <row r="510" spans="1:2">
      <c r="A510" s="415" t="s">
        <v>1173</v>
      </c>
    </row>
    <row r="511" spans="1:2">
      <c r="A511" s="420" t="s">
        <v>1308</v>
      </c>
      <c r="B511" s="415" t="s">
        <v>1427</v>
      </c>
    </row>
    <row r="512" spans="1:2">
      <c r="B512" s="415" t="s">
        <v>1412</v>
      </c>
    </row>
    <row r="513" spans="1:2">
      <c r="A513" s="420" t="s">
        <v>1312</v>
      </c>
      <c r="B513" s="415" t="s">
        <v>1313</v>
      </c>
    </row>
    <row r="514" spans="1:2">
      <c r="A514" s="420" t="s">
        <v>1314</v>
      </c>
    </row>
    <row r="515" spans="1:2">
      <c r="A515" s="420" t="s">
        <v>1428</v>
      </c>
    </row>
    <row r="516" spans="1:2">
      <c r="A516" s="415" t="s">
        <v>1429</v>
      </c>
    </row>
    <row r="517" spans="1:2">
      <c r="A517" s="420" t="s">
        <v>1317</v>
      </c>
    </row>
    <row r="518" spans="1:2">
      <c r="A518" s="417"/>
    </row>
    <row r="519" spans="1:2">
      <c r="A519" s="417"/>
    </row>
    <row r="520" spans="1:2">
      <c r="A520" s="418" t="s">
        <v>1430</v>
      </c>
    </row>
    <row r="521" spans="1:2">
      <c r="A521" s="415" t="s">
        <v>1431</v>
      </c>
    </row>
    <row r="522" spans="1:2">
      <c r="A522" s="415" t="s">
        <v>1432</v>
      </c>
    </row>
    <row r="523" spans="1:2">
      <c r="A523" s="417"/>
    </row>
    <row r="524" spans="1:2">
      <c r="A524" s="415" t="s">
        <v>1433</v>
      </c>
    </row>
    <row r="525" spans="1:2">
      <c r="A525" s="415" t="s">
        <v>1434</v>
      </c>
    </row>
    <row r="526" spans="1:2">
      <c r="A526" s="415" t="s">
        <v>1435</v>
      </c>
    </row>
    <row r="527" spans="1:2">
      <c r="A527" s="417"/>
    </row>
    <row r="528" spans="1:2">
      <c r="A528" s="418" t="s">
        <v>1436</v>
      </c>
    </row>
    <row r="529" spans="1:1">
      <c r="A529" s="418" t="s">
        <v>1437</v>
      </c>
    </row>
    <row r="530" spans="1:1">
      <c r="A530" s="417"/>
    </row>
    <row r="531" spans="1:1">
      <c r="A531" s="415" t="s">
        <v>1164</v>
      </c>
    </row>
    <row r="532" spans="1:1">
      <c r="A532" s="419" t="s">
        <v>1302</v>
      </c>
    </row>
    <row r="533" spans="1:1">
      <c r="A533" s="421" t="s">
        <v>1416</v>
      </c>
    </row>
    <row r="534" spans="1:1">
      <c r="A534" s="420" t="s">
        <v>1438</v>
      </c>
    </row>
    <row r="535" spans="1:1">
      <c r="A535" s="421" t="s">
        <v>1418</v>
      </c>
    </row>
    <row r="536" spans="1:1">
      <c r="A536" s="421" t="s">
        <v>1419</v>
      </c>
    </row>
    <row r="537" spans="1:1">
      <c r="A537" s="421" t="s">
        <v>1420</v>
      </c>
    </row>
    <row r="538" spans="1:1">
      <c r="A538" s="421" t="s">
        <v>1421</v>
      </c>
    </row>
    <row r="539" spans="1:1">
      <c r="A539" s="421" t="s">
        <v>1422</v>
      </c>
    </row>
    <row r="540" spans="1:1">
      <c r="A540" s="421" t="s">
        <v>1423</v>
      </c>
    </row>
    <row r="541" spans="1:1">
      <c r="A541" s="421" t="s">
        <v>1424</v>
      </c>
    </row>
    <row r="542" spans="1:1">
      <c r="A542" s="421" t="s">
        <v>1425</v>
      </c>
    </row>
    <row r="543" spans="1:1">
      <c r="A543" s="415" t="s">
        <v>1439</v>
      </c>
    </row>
    <row r="544" spans="1:1">
      <c r="A544" s="415" t="s">
        <v>1173</v>
      </c>
    </row>
    <row r="545" spans="1:2">
      <c r="A545" s="420" t="s">
        <v>1308</v>
      </c>
      <c r="B545" s="415" t="s">
        <v>1440</v>
      </c>
    </row>
    <row r="546" spans="1:2">
      <c r="B546" s="415" t="s">
        <v>1412</v>
      </c>
    </row>
    <row r="547" spans="1:2">
      <c r="A547" s="420" t="s">
        <v>1312</v>
      </c>
      <c r="B547" s="415" t="s">
        <v>1313</v>
      </c>
    </row>
    <row r="548" spans="1:2">
      <c r="A548" s="420" t="s">
        <v>1314</v>
      </c>
    </row>
    <row r="549" spans="1:2">
      <c r="A549" s="420" t="s">
        <v>1441</v>
      </c>
    </row>
    <row r="550" spans="1:2">
      <c r="A550" s="415" t="s">
        <v>1429</v>
      </c>
    </row>
    <row r="551" spans="1:2">
      <c r="A551" s="420" t="s">
        <v>1317</v>
      </c>
    </row>
    <row r="552" spans="1:2">
      <c r="A552" s="417"/>
    </row>
    <row r="553" spans="1:2">
      <c r="A553" s="418" t="s">
        <v>1442</v>
      </c>
    </row>
    <row r="554" spans="1:2">
      <c r="A554" s="415" t="s">
        <v>1443</v>
      </c>
    </row>
    <row r="555" spans="1:2">
      <c r="A555" s="415" t="s">
        <v>1444</v>
      </c>
    </row>
    <row r="556" spans="1:2">
      <c r="A556" s="417"/>
    </row>
    <row r="557" spans="1:2">
      <c r="A557" s="415" t="s">
        <v>1445</v>
      </c>
    </row>
    <row r="558" spans="1:2">
      <c r="A558" s="417"/>
    </row>
    <row r="559" spans="1:2">
      <c r="A559" s="415" t="s">
        <v>1446</v>
      </c>
    </row>
    <row r="560" spans="1:2">
      <c r="A560" s="415" t="s">
        <v>1447</v>
      </c>
    </row>
    <row r="561" spans="1:1">
      <c r="A561" s="417"/>
    </row>
    <row r="562" spans="1:1">
      <c r="A562" s="415" t="s">
        <v>1448</v>
      </c>
    </row>
    <row r="563" spans="1:1">
      <c r="A563" s="417"/>
    </row>
    <row r="564" spans="1:1">
      <c r="A564" s="417"/>
    </row>
    <row r="565" spans="1:1">
      <c r="A565" s="415" t="s">
        <v>1222</v>
      </c>
    </row>
    <row r="566" spans="1:1">
      <c r="A566" s="415" t="s">
        <v>1156</v>
      </c>
    </row>
    <row r="567" spans="1:1">
      <c r="A567" s="415" t="s">
        <v>1449</v>
      </c>
    </row>
    <row r="568" spans="1:1">
      <c r="A568" s="415" t="s">
        <v>1158</v>
      </c>
    </row>
    <row r="569" spans="1:1">
      <c r="A569" s="415" t="s">
        <v>1159</v>
      </c>
    </row>
    <row r="570" spans="1:1">
      <c r="A570" s="417"/>
    </row>
    <row r="571" spans="1:1">
      <c r="A571" s="418" t="s">
        <v>1450</v>
      </c>
    </row>
    <row r="572" spans="1:1">
      <c r="A572" s="418" t="s">
        <v>1451</v>
      </c>
    </row>
    <row r="573" spans="1:1">
      <c r="A573" s="415" t="s">
        <v>1164</v>
      </c>
    </row>
    <row r="574" spans="1:1">
      <c r="A574" s="419" t="s">
        <v>1452</v>
      </c>
    </row>
    <row r="575" spans="1:1">
      <c r="A575" s="417" t="s">
        <v>1453</v>
      </c>
    </row>
    <row r="576" spans="1:1">
      <c r="A576" s="415" t="s">
        <v>1454</v>
      </c>
    </row>
    <row r="577" spans="1:1">
      <c r="A577" s="415" t="s">
        <v>1455</v>
      </c>
    </row>
    <row r="578" spans="1:1">
      <c r="A578" s="415" t="s">
        <v>1173</v>
      </c>
    </row>
    <row r="579" spans="1:1">
      <c r="A579" s="419" t="s">
        <v>1456</v>
      </c>
    </row>
    <row r="580" spans="1:1">
      <c r="A580" s="419" t="s">
        <v>1457</v>
      </c>
    </row>
    <row r="581" spans="1:1">
      <c r="A581" s="415" t="s">
        <v>1458</v>
      </c>
    </row>
    <row r="582" spans="1:1">
      <c r="A582" s="417"/>
    </row>
    <row r="583" spans="1:1">
      <c r="A583" s="417"/>
    </row>
    <row r="584" spans="1:1">
      <c r="A584" s="415" t="s">
        <v>1459</v>
      </c>
    </row>
    <row r="585" spans="1:1">
      <c r="A585" s="415" t="s">
        <v>1460</v>
      </c>
    </row>
    <row r="586" spans="1:1">
      <c r="A586" s="417"/>
    </row>
    <row r="587" spans="1:1">
      <c r="A587" s="415" t="s">
        <v>1361</v>
      </c>
    </row>
    <row r="588" spans="1:1">
      <c r="A588" s="419" t="s">
        <v>1461</v>
      </c>
    </row>
    <row r="589" spans="1:1">
      <c r="A589" s="421" t="s">
        <v>1462</v>
      </c>
    </row>
    <row r="590" spans="1:1">
      <c r="A590" s="415" t="s">
        <v>1463</v>
      </c>
    </row>
    <row r="591" spans="1:1">
      <c r="A591" s="415" t="s">
        <v>1464</v>
      </c>
    </row>
    <row r="592" spans="1:1">
      <c r="A592" s="415" t="s">
        <v>1465</v>
      </c>
    </row>
    <row r="593" spans="1:3">
      <c r="A593" s="417"/>
    </row>
    <row r="594" spans="1:3">
      <c r="A594" s="417"/>
    </row>
    <row r="595" spans="1:3">
      <c r="A595" s="418" t="s">
        <v>1466</v>
      </c>
    </row>
    <row r="596" spans="1:3">
      <c r="A596" s="415" t="s">
        <v>1467</v>
      </c>
    </row>
    <row r="597" spans="1:3">
      <c r="A597" s="419" t="s">
        <v>1468</v>
      </c>
    </row>
    <row r="598" spans="1:3">
      <c r="A598" s="415" t="s">
        <v>1469</v>
      </c>
    </row>
    <row r="599" spans="1:3">
      <c r="A599" s="415" t="s">
        <v>1470</v>
      </c>
    </row>
    <row r="600" spans="1:3">
      <c r="A600" s="420" t="s">
        <v>1308</v>
      </c>
    </row>
    <row r="601" spans="1:3">
      <c r="B601" s="415" t="s">
        <v>1471</v>
      </c>
    </row>
    <row r="602" spans="1:3">
      <c r="B602" s="419" t="s">
        <v>1472</v>
      </c>
    </row>
    <row r="603" spans="1:3">
      <c r="B603" s="419" t="s">
        <v>1473</v>
      </c>
    </row>
    <row r="604" spans="1:3">
      <c r="B604" s="419" t="s">
        <v>1474</v>
      </c>
    </row>
    <row r="605" spans="1:3">
      <c r="B605" s="419" t="s">
        <v>1475</v>
      </c>
    </row>
    <row r="606" spans="1:3">
      <c r="B606" s="415" t="s">
        <v>1476</v>
      </c>
    </row>
    <row r="607" spans="1:3">
      <c r="C607" s="415" t="s">
        <v>1477</v>
      </c>
    </row>
    <row r="608" spans="1:3">
      <c r="C608" s="419" t="s">
        <v>1478</v>
      </c>
    </row>
    <row r="609" spans="1:3">
      <c r="C609" s="421" t="s">
        <v>1479</v>
      </c>
    </row>
    <row r="610" spans="1:3">
      <c r="C610" s="421" t="s">
        <v>1480</v>
      </c>
    </row>
    <row r="611" spans="1:3">
      <c r="C611" s="415" t="s">
        <v>1481</v>
      </c>
    </row>
    <row r="612" spans="1:3">
      <c r="C612" s="420" t="s">
        <v>1482</v>
      </c>
    </row>
    <row r="613" spans="1:3">
      <c r="A613" s="420" t="s">
        <v>1483</v>
      </c>
    </row>
    <row r="614" spans="1:3">
      <c r="A614" s="417"/>
    </row>
    <row r="615" spans="1:3">
      <c r="A615" s="418" t="s">
        <v>1484</v>
      </c>
    </row>
    <row r="616" spans="1:3">
      <c r="A616" s="418" t="s">
        <v>1485</v>
      </c>
    </row>
    <row r="617" spans="1:3">
      <c r="A617" s="417"/>
    </row>
    <row r="618" spans="1:3">
      <c r="A618" s="418" t="s">
        <v>1486</v>
      </c>
    </row>
    <row r="619" spans="1:3">
      <c r="A619" s="418" t="s">
        <v>1487</v>
      </c>
    </row>
    <row r="620" spans="1:3">
      <c r="A620" s="417"/>
    </row>
    <row r="621" spans="1:3">
      <c r="A621" s="415" t="s">
        <v>1164</v>
      </c>
    </row>
    <row r="622" spans="1:3">
      <c r="A622" s="419" t="s">
        <v>1488</v>
      </c>
    </row>
    <row r="623" spans="1:3">
      <c r="A623" s="419" t="s">
        <v>1489</v>
      </c>
    </row>
    <row r="624" spans="1:3">
      <c r="A624" s="419" t="s">
        <v>1490</v>
      </c>
    </row>
    <row r="625" spans="1:1">
      <c r="A625" s="421" t="s">
        <v>1491</v>
      </c>
    </row>
    <row r="626" spans="1:1">
      <c r="A626" s="421" t="s">
        <v>1492</v>
      </c>
    </row>
    <row r="627" spans="1:1">
      <c r="A627" s="421" t="s">
        <v>1493</v>
      </c>
    </row>
    <row r="628" spans="1:1">
      <c r="A628" s="421" t="s">
        <v>1494</v>
      </c>
    </row>
    <row r="629" spans="1:1">
      <c r="A629" s="415" t="s">
        <v>1495</v>
      </c>
    </row>
    <row r="630" spans="1:1">
      <c r="A630" s="415" t="s">
        <v>1496</v>
      </c>
    </row>
    <row r="631" spans="1:1">
      <c r="A631" s="419" t="s">
        <v>1497</v>
      </c>
    </row>
    <row r="632" spans="1:1">
      <c r="A632" s="420" t="s">
        <v>1498</v>
      </c>
    </row>
    <row r="633" spans="1:1">
      <c r="A633" s="415" t="s">
        <v>1499</v>
      </c>
    </row>
    <row r="634" spans="1:1">
      <c r="A634" s="420" t="s">
        <v>1500</v>
      </c>
    </row>
    <row r="635" spans="1:1">
      <c r="A635" s="417"/>
    </row>
    <row r="636" spans="1:1">
      <c r="A636" s="417"/>
    </row>
    <row r="637" spans="1:1">
      <c r="A637" s="418" t="s">
        <v>1501</v>
      </c>
    </row>
    <row r="638" spans="1:1">
      <c r="A638" s="418" t="s">
        <v>1502</v>
      </c>
    </row>
    <row r="639" spans="1:1">
      <c r="A639" s="417"/>
    </row>
    <row r="640" spans="1:1">
      <c r="A640" s="415" t="s">
        <v>1164</v>
      </c>
    </row>
    <row r="641" spans="1:2">
      <c r="A641" s="419" t="s">
        <v>1503</v>
      </c>
    </row>
    <row r="642" spans="1:2">
      <c r="A642" s="421" t="s">
        <v>1504</v>
      </c>
    </row>
    <row r="643" spans="1:2">
      <c r="A643" s="415" t="s">
        <v>1505</v>
      </c>
    </row>
    <row r="644" spans="1:2">
      <c r="A644" s="415" t="s">
        <v>1476</v>
      </c>
    </row>
    <row r="645" spans="1:2">
      <c r="B645" s="415" t="s">
        <v>1164</v>
      </c>
    </row>
    <row r="646" spans="1:2">
      <c r="B646" s="419" t="s">
        <v>1506</v>
      </c>
    </row>
    <row r="647" spans="1:2">
      <c r="B647" s="421" t="s">
        <v>1507</v>
      </c>
    </row>
    <row r="648" spans="1:2">
      <c r="B648" s="421" t="s">
        <v>1508</v>
      </c>
    </row>
    <row r="649" spans="1:2">
      <c r="B649" s="421" t="s">
        <v>1509</v>
      </c>
    </row>
    <row r="650" spans="1:2">
      <c r="B650" s="421" t="s">
        <v>1510</v>
      </c>
    </row>
    <row r="651" spans="1:2">
      <c r="B651" s="419" t="s">
        <v>1511</v>
      </c>
    </row>
    <row r="652" spans="1:2">
      <c r="B652" s="419" t="s">
        <v>1512</v>
      </c>
    </row>
    <row r="653" spans="1:2">
      <c r="B653" s="419" t="s">
        <v>1513</v>
      </c>
    </row>
    <row r="654" spans="1:2">
      <c r="B654" s="419" t="s">
        <v>1514</v>
      </c>
    </row>
    <row r="655" spans="1:2">
      <c r="B655" s="415" t="s">
        <v>1173</v>
      </c>
    </row>
    <row r="656" spans="1:2">
      <c r="B656" s="419" t="s">
        <v>1515</v>
      </c>
    </row>
    <row r="657" spans="1:2">
      <c r="B657" s="420" t="s">
        <v>1516</v>
      </c>
    </row>
    <row r="658" spans="1:2">
      <c r="B658" s="415" t="s">
        <v>1517</v>
      </c>
    </row>
    <row r="659" spans="1:2">
      <c r="A659" s="420" t="s">
        <v>1482</v>
      </c>
    </row>
    <row r="660" spans="1:2">
      <c r="A660" s="417"/>
    </row>
    <row r="661" spans="1:2">
      <c r="A661" s="417"/>
    </row>
    <row r="662" spans="1:2">
      <c r="A662" s="418" t="s">
        <v>1518</v>
      </c>
    </row>
    <row r="663" spans="1:2">
      <c r="A663" s="418" t="s">
        <v>1519</v>
      </c>
    </row>
    <row r="664" spans="1:2">
      <c r="A664" s="417"/>
    </row>
    <row r="665" spans="1:2">
      <c r="A665" s="415" t="s">
        <v>1164</v>
      </c>
    </row>
    <row r="666" spans="1:2">
      <c r="A666" s="419" t="s">
        <v>1503</v>
      </c>
    </row>
    <row r="667" spans="1:2">
      <c r="A667" s="421" t="s">
        <v>1520</v>
      </c>
    </row>
    <row r="668" spans="1:2">
      <c r="A668" s="420" t="s">
        <v>1521</v>
      </c>
    </row>
    <row r="669" spans="1:2">
      <c r="A669" s="420" t="s">
        <v>1522</v>
      </c>
    </row>
    <row r="670" spans="1:2">
      <c r="A670" s="420" t="s">
        <v>1523</v>
      </c>
    </row>
    <row r="671" spans="1:2">
      <c r="A671" s="420" t="s">
        <v>1524</v>
      </c>
    </row>
    <row r="672" spans="1:2">
      <c r="A672" s="420" t="s">
        <v>1525</v>
      </c>
    </row>
    <row r="673" spans="1:3">
      <c r="A673" s="420" t="s">
        <v>1526</v>
      </c>
    </row>
    <row r="674" spans="1:3">
      <c r="A674" s="420" t="s">
        <v>1527</v>
      </c>
    </row>
    <row r="675" spans="1:3">
      <c r="A675" s="420" t="s">
        <v>1528</v>
      </c>
    </row>
    <row r="676" spans="1:3">
      <c r="A676" s="415" t="s">
        <v>1529</v>
      </c>
    </row>
    <row r="677" spans="1:3">
      <c r="A677" s="415" t="s">
        <v>1530</v>
      </c>
    </row>
    <row r="678" spans="1:3">
      <c r="A678" s="415" t="s">
        <v>1476</v>
      </c>
    </row>
    <row r="679" spans="1:3">
      <c r="A679" s="415" t="s">
        <v>1164</v>
      </c>
    </row>
    <row r="680" spans="1:3">
      <c r="A680" s="419" t="s">
        <v>1531</v>
      </c>
    </row>
    <row r="681" spans="1:3">
      <c r="A681" s="419" t="s">
        <v>1532</v>
      </c>
    </row>
    <row r="682" spans="1:3">
      <c r="A682" s="420" t="s">
        <v>1533</v>
      </c>
    </row>
    <row r="683" spans="1:3">
      <c r="A683" s="420" t="s">
        <v>1534</v>
      </c>
    </row>
    <row r="684" spans="1:3">
      <c r="A684" s="420" t="s">
        <v>1535</v>
      </c>
    </row>
    <row r="685" spans="1:3">
      <c r="A685" s="419" t="s">
        <v>1536</v>
      </c>
    </row>
    <row r="686" spans="1:3">
      <c r="B686" s="415" t="s">
        <v>1537</v>
      </c>
    </row>
    <row r="687" spans="1:3">
      <c r="C687" s="415" t="s">
        <v>1538</v>
      </c>
    </row>
    <row r="688" spans="1:3">
      <c r="C688" s="415" t="s">
        <v>1539</v>
      </c>
    </row>
    <row r="689" spans="1:3">
      <c r="B689" s="415" t="s">
        <v>1540</v>
      </c>
    </row>
    <row r="690" spans="1:3">
      <c r="A690" s="419" t="s">
        <v>1541</v>
      </c>
    </row>
    <row r="691" spans="1:3">
      <c r="B691" s="415" t="s">
        <v>1542</v>
      </c>
    </row>
    <row r="692" spans="1:3">
      <c r="C692" s="415" t="s">
        <v>1543</v>
      </c>
    </row>
    <row r="693" spans="1:3">
      <c r="C693" s="415" t="s">
        <v>1544</v>
      </c>
    </row>
    <row r="694" spans="1:3">
      <c r="B694" s="415" t="s">
        <v>1540</v>
      </c>
    </row>
    <row r="695" spans="1:3">
      <c r="A695" s="419" t="s">
        <v>1545</v>
      </c>
    </row>
    <row r="696" spans="1:3">
      <c r="B696" s="415" t="s">
        <v>1546</v>
      </c>
    </row>
    <row r="697" spans="1:3">
      <c r="C697" s="415" t="s">
        <v>1547</v>
      </c>
    </row>
    <row r="698" spans="1:3">
      <c r="C698" s="415" t="s">
        <v>1548</v>
      </c>
    </row>
    <row r="699" spans="1:3">
      <c r="B699" s="415" t="s">
        <v>1540</v>
      </c>
    </row>
    <row r="700" spans="1:3">
      <c r="A700" s="419" t="s">
        <v>1549</v>
      </c>
    </row>
    <row r="701" spans="1:3">
      <c r="B701" s="415" t="s">
        <v>1550</v>
      </c>
    </row>
    <row r="702" spans="1:3">
      <c r="C702" s="415" t="s">
        <v>1551</v>
      </c>
    </row>
    <row r="703" spans="1:3">
      <c r="C703" s="415" t="s">
        <v>1552</v>
      </c>
    </row>
    <row r="704" spans="1:3">
      <c r="B704" s="415" t="s">
        <v>1386</v>
      </c>
    </row>
    <row r="705" spans="1:1">
      <c r="A705" s="417"/>
    </row>
    <row r="706" spans="1:1">
      <c r="A706" s="415" t="s">
        <v>1173</v>
      </c>
    </row>
    <row r="707" spans="1:1">
      <c r="A707" s="419" t="s">
        <v>1553</v>
      </c>
    </row>
    <row r="708" spans="1:1">
      <c r="A708" s="420" t="s">
        <v>1554</v>
      </c>
    </row>
    <row r="709" spans="1:1">
      <c r="A709" s="415" t="s">
        <v>1555</v>
      </c>
    </row>
    <row r="710" spans="1:1">
      <c r="A710" s="417"/>
    </row>
    <row r="711" spans="1:1">
      <c r="A711" s="415" t="s">
        <v>1222</v>
      </c>
    </row>
    <row r="712" spans="1:1">
      <c r="A712" s="415" t="s">
        <v>1156</v>
      </c>
    </row>
    <row r="713" spans="1:1">
      <c r="A713" s="415" t="s">
        <v>1556</v>
      </c>
    </row>
    <row r="714" spans="1:1">
      <c r="A714" s="415" t="s">
        <v>1158</v>
      </c>
    </row>
    <row r="715" spans="1:1">
      <c r="A715" s="415" t="s">
        <v>1159</v>
      </c>
    </row>
    <row r="716" spans="1:1">
      <c r="A716" s="417"/>
    </row>
    <row r="717" spans="1:1">
      <c r="A717" s="418" t="s">
        <v>1557</v>
      </c>
    </row>
    <row r="718" spans="1:1">
      <c r="A718" s="418" t="s">
        <v>1558</v>
      </c>
    </row>
    <row r="719" spans="1:1">
      <c r="A719" s="417"/>
    </row>
    <row r="720" spans="1:1">
      <c r="A720" s="415" t="s">
        <v>1164</v>
      </c>
    </row>
    <row r="721" spans="1:1">
      <c r="A721" s="421" t="s">
        <v>1559</v>
      </c>
    </row>
    <row r="722" spans="1:1">
      <c r="A722" s="421" t="s">
        <v>1560</v>
      </c>
    </row>
    <row r="723" spans="1:1">
      <c r="A723" s="419" t="s">
        <v>1561</v>
      </c>
    </row>
    <row r="724" spans="1:1">
      <c r="A724" s="419" t="s">
        <v>1562</v>
      </c>
    </row>
    <row r="725" spans="1:1">
      <c r="A725" s="421" t="s">
        <v>1563</v>
      </c>
    </row>
    <row r="726" spans="1:1">
      <c r="A726" s="415" t="s">
        <v>1564</v>
      </c>
    </row>
    <row r="727" spans="1:1">
      <c r="A727" s="415" t="s">
        <v>1173</v>
      </c>
    </row>
    <row r="728" spans="1:1">
      <c r="A728" s="419" t="s">
        <v>1565</v>
      </c>
    </row>
    <row r="729" spans="1:1">
      <c r="A729" s="419" t="s">
        <v>1566</v>
      </c>
    </row>
    <row r="730" spans="1:1">
      <c r="A730" s="419" t="s">
        <v>1567</v>
      </c>
    </row>
    <row r="731" spans="1:1">
      <c r="A731" s="415" t="s">
        <v>1568</v>
      </c>
    </row>
    <row r="732" spans="1:1">
      <c r="A732" s="417"/>
    </row>
    <row r="733" spans="1:1">
      <c r="A733" s="418" t="s">
        <v>1569</v>
      </c>
    </row>
    <row r="734" spans="1:1">
      <c r="A734" s="418" t="s">
        <v>1570</v>
      </c>
    </row>
    <row r="735" spans="1:1">
      <c r="A735" s="415" t="s">
        <v>1571</v>
      </c>
    </row>
    <row r="736" spans="1:1">
      <c r="A736" s="415" t="s">
        <v>1572</v>
      </c>
    </row>
    <row r="737" spans="1:1">
      <c r="A737" s="415" t="s">
        <v>1573</v>
      </c>
    </row>
    <row r="738" spans="1:1">
      <c r="A738" s="417"/>
    </row>
    <row r="739" spans="1:1">
      <c r="A739" s="418" t="s">
        <v>1574</v>
      </c>
    </row>
    <row r="740" spans="1:1">
      <c r="A740" s="418" t="s">
        <v>1575</v>
      </c>
    </row>
    <row r="741" spans="1:1">
      <c r="A741" s="415" t="s">
        <v>1576</v>
      </c>
    </row>
    <row r="742" spans="1:1">
      <c r="A742" s="415" t="s">
        <v>1577</v>
      </c>
    </row>
    <row r="743" spans="1:1">
      <c r="A743" s="417"/>
    </row>
    <row r="744" spans="1:1">
      <c r="A744" s="415" t="s">
        <v>1164</v>
      </c>
    </row>
    <row r="745" spans="1:1">
      <c r="A745" s="419" t="s">
        <v>1503</v>
      </c>
    </row>
    <row r="746" spans="1:1">
      <c r="A746" s="421" t="s">
        <v>1578</v>
      </c>
    </row>
    <row r="747" spans="1:1">
      <c r="A747" s="415" t="s">
        <v>1579</v>
      </c>
    </row>
    <row r="748" spans="1:1">
      <c r="A748" s="415" t="s">
        <v>1476</v>
      </c>
    </row>
    <row r="749" spans="1:1">
      <c r="A749" s="415" t="s">
        <v>1164</v>
      </c>
    </row>
    <row r="750" spans="1:1">
      <c r="A750" s="419" t="s">
        <v>1580</v>
      </c>
    </row>
    <row r="751" spans="1:1">
      <c r="A751" s="421" t="s">
        <v>1581</v>
      </c>
    </row>
    <row r="752" spans="1:1">
      <c r="A752" s="421" t="s">
        <v>1582</v>
      </c>
    </row>
    <row r="753" spans="1:1">
      <c r="A753" s="421" t="s">
        <v>1583</v>
      </c>
    </row>
    <row r="754" spans="1:1">
      <c r="A754" s="421" t="s">
        <v>1584</v>
      </c>
    </row>
    <row r="755" spans="1:1">
      <c r="A755" s="417"/>
    </row>
    <row r="756" spans="1:1">
      <c r="A756" s="415" t="s">
        <v>1173</v>
      </c>
    </row>
    <row r="757" spans="1:1">
      <c r="A757" s="419" t="s">
        <v>1585</v>
      </c>
    </row>
    <row r="758" spans="1:1">
      <c r="A758" s="417"/>
    </row>
    <row r="759" spans="1:1">
      <c r="A759" s="415" t="s">
        <v>1222</v>
      </c>
    </row>
    <row r="760" spans="1:1">
      <c r="A760" s="417"/>
    </row>
    <row r="761" spans="1:1">
      <c r="A761" s="415" t="s">
        <v>1586</v>
      </c>
    </row>
    <row r="762" spans="1:1">
      <c r="A762" s="415" t="s">
        <v>1587</v>
      </c>
    </row>
    <row r="763" spans="1:1">
      <c r="A763" s="415" t="s">
        <v>1588</v>
      </c>
    </row>
    <row r="764" spans="1:1">
      <c r="A764" s="415" t="s">
        <v>1589</v>
      </c>
    </row>
    <row r="765" spans="1:1">
      <c r="A765" s="415" t="s">
        <v>1590</v>
      </c>
    </row>
    <row r="766" spans="1:1">
      <c r="A766" s="415" t="s">
        <v>1591</v>
      </c>
    </row>
    <row r="767" spans="1:1">
      <c r="A767" s="415" t="s">
        <v>1592</v>
      </c>
    </row>
    <row r="768" spans="1:1">
      <c r="A768" s="415" t="s">
        <v>1593</v>
      </c>
    </row>
    <row r="769" spans="1:1">
      <c r="A769" s="415" t="s">
        <v>1594</v>
      </c>
    </row>
    <row r="770" spans="1:1">
      <c r="A770" s="415" t="s">
        <v>1595</v>
      </c>
    </row>
    <row r="771" spans="1:1">
      <c r="A771" s="415" t="s">
        <v>1596</v>
      </c>
    </row>
    <row r="772" spans="1:1">
      <c r="A772" s="415" t="s">
        <v>1597</v>
      </c>
    </row>
    <row r="773" spans="1:1">
      <c r="A773" s="415" t="s">
        <v>1598</v>
      </c>
    </row>
    <row r="774" spans="1:1">
      <c r="A774" s="415" t="s">
        <v>1599</v>
      </c>
    </row>
    <row r="775" spans="1:1">
      <c r="A775" s="415" t="s">
        <v>1600</v>
      </c>
    </row>
    <row r="776" spans="1:1">
      <c r="A776" s="415" t="s">
        <v>1601</v>
      </c>
    </row>
    <row r="777" spans="1:1">
      <c r="A777" s="415" t="s">
        <v>1602</v>
      </c>
    </row>
    <row r="778" spans="1:1">
      <c r="A778" s="415" t="s">
        <v>1603</v>
      </c>
    </row>
    <row r="779" spans="1:1">
      <c r="A779" s="415" t="s">
        <v>1604</v>
      </c>
    </row>
    <row r="780" spans="1:1">
      <c r="A780" s="415" t="s">
        <v>1605</v>
      </c>
    </row>
    <row r="781" spans="1:1">
      <c r="A781" s="417"/>
    </row>
    <row r="782" spans="1:1">
      <c r="A782" s="417"/>
    </row>
    <row r="783" spans="1:1">
      <c r="A783" s="417"/>
    </row>
    <row r="784" spans="1:1">
      <c r="A784" s="415" t="s">
        <v>1606</v>
      </c>
    </row>
    <row r="785" spans="1:1">
      <c r="A785" s="417"/>
    </row>
    <row r="786" spans="1:1">
      <c r="A786" s="415" t="s">
        <v>1127</v>
      </c>
    </row>
    <row r="787" spans="1:1">
      <c r="A787" s="417"/>
    </row>
    <row r="788" spans="1:1">
      <c r="A788" s="417"/>
    </row>
    <row r="789" spans="1:1">
      <c r="A789" s="417"/>
    </row>
    <row r="790" spans="1:1">
      <c r="A790" s="4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H139"/>
  <sheetViews>
    <sheetView workbookViewId="0">
      <pane xSplit="1" ySplit="2" topLeftCell="B3" activePane="bottomRight" state="frozen"/>
      <selection pane="topRight" activeCell="B1" sqref="B1"/>
      <selection pane="bottomLeft" activeCell="A3" sqref="A3"/>
      <selection pane="bottomRight"/>
    </sheetView>
  </sheetViews>
  <sheetFormatPr defaultRowHeight="15"/>
  <cols>
    <col min="1" max="1" width="8.42578125" bestFit="1" customWidth="1"/>
    <col min="2" max="2" width="12.28515625" bestFit="1" customWidth="1"/>
    <col min="3" max="3" width="13.42578125" bestFit="1" customWidth="1"/>
    <col min="4" max="4" width="12.28515625" bestFit="1" customWidth="1"/>
    <col min="5" max="6" width="13.42578125" bestFit="1" customWidth="1"/>
    <col min="8" max="8" width="15.28515625" bestFit="1" customWidth="1"/>
  </cols>
  <sheetData>
    <row r="1" spans="1:8" s="52" customFormat="1">
      <c r="A1" s="64" t="s">
        <v>545</v>
      </c>
    </row>
    <row r="2" spans="1:8" ht="23.25" customHeight="1">
      <c r="A2" s="135" t="s">
        <v>0</v>
      </c>
      <c r="B2" s="135" t="s">
        <v>66</v>
      </c>
      <c r="C2" s="135" t="s">
        <v>67</v>
      </c>
      <c r="D2" s="135" t="s">
        <v>68</v>
      </c>
      <c r="E2" s="135" t="s">
        <v>69</v>
      </c>
      <c r="F2" s="135" t="s">
        <v>74</v>
      </c>
    </row>
    <row r="3" spans="1:8">
      <c r="A3" s="132">
        <v>100</v>
      </c>
      <c r="B3" s="136">
        <v>1580546.1530217</v>
      </c>
      <c r="C3" s="136">
        <v>89679165.940354303</v>
      </c>
      <c r="D3" s="136">
        <v>1977444.39587564</v>
      </c>
      <c r="E3" s="136">
        <v>93448329.584113702</v>
      </c>
      <c r="F3" s="136">
        <v>186685486.073365</v>
      </c>
      <c r="H3" s="51"/>
    </row>
    <row r="4" spans="1:8">
      <c r="A4" s="132">
        <v>101</v>
      </c>
      <c r="B4" s="136">
        <v>1010761.59256453</v>
      </c>
      <c r="C4" s="136">
        <v>58070868.8323621</v>
      </c>
      <c r="D4" s="136">
        <v>2779826.9018954001</v>
      </c>
      <c r="E4" s="136">
        <v>89511107.3195474</v>
      </c>
      <c r="F4" s="136">
        <v>151372564.64636999</v>
      </c>
    </row>
    <row r="5" spans="1:8">
      <c r="A5" s="132">
        <v>102</v>
      </c>
      <c r="B5" s="136">
        <v>199352.85329392299</v>
      </c>
      <c r="C5" s="136">
        <v>1437576.0651274601</v>
      </c>
      <c r="D5" s="136">
        <v>1990393.6614350299</v>
      </c>
      <c r="E5" s="136">
        <v>15414937.280124599</v>
      </c>
      <c r="F5" s="136">
        <v>19042259.859981</v>
      </c>
    </row>
    <row r="6" spans="1:8">
      <c r="A6" s="132">
        <v>103</v>
      </c>
      <c r="B6" s="136">
        <v>10161845.0937695</v>
      </c>
      <c r="C6" s="136">
        <v>53735266.902591899</v>
      </c>
      <c r="D6" s="136">
        <v>4998521.7825533599</v>
      </c>
      <c r="E6" s="136">
        <v>48750722.210839897</v>
      </c>
      <c r="F6" s="136">
        <v>117646355.989755</v>
      </c>
    </row>
    <row r="7" spans="1:8">
      <c r="A7" s="132">
        <v>104</v>
      </c>
      <c r="B7" s="136">
        <v>505204.12679365103</v>
      </c>
      <c r="C7" s="136">
        <v>22288612.325441498</v>
      </c>
      <c r="D7" s="136">
        <v>2279267.6781477202</v>
      </c>
      <c r="E7" s="136">
        <v>25067338.345950201</v>
      </c>
      <c r="F7" s="136">
        <v>50140422.476333097</v>
      </c>
    </row>
    <row r="8" spans="1:8">
      <c r="A8" s="132">
        <v>105</v>
      </c>
      <c r="B8" s="136">
        <v>330465.78388202097</v>
      </c>
      <c r="C8" s="136">
        <v>1795253.1515367599</v>
      </c>
      <c r="D8" s="136">
        <v>821407.25521621597</v>
      </c>
      <c r="E8" s="136">
        <v>3773115.4212746201</v>
      </c>
      <c r="F8" s="136">
        <v>6720241.6119096205</v>
      </c>
    </row>
    <row r="9" spans="1:8">
      <c r="A9" s="132">
        <v>106</v>
      </c>
      <c r="B9" s="136">
        <v>185286.65015831499</v>
      </c>
      <c r="C9" s="136">
        <v>7807175.5747858696</v>
      </c>
      <c r="D9" s="136">
        <v>314212.97027917701</v>
      </c>
      <c r="E9" s="136">
        <v>7831353.9502550801</v>
      </c>
      <c r="F9" s="136">
        <v>16138029.145478399</v>
      </c>
    </row>
    <row r="10" spans="1:8">
      <c r="A10" s="132">
        <v>107</v>
      </c>
      <c r="B10" s="136">
        <v>772498.67163646605</v>
      </c>
      <c r="C10" s="136">
        <v>25060023.782756802</v>
      </c>
      <c r="D10" s="136">
        <v>1035549.2111243</v>
      </c>
      <c r="E10" s="136">
        <v>26280656.842703599</v>
      </c>
      <c r="F10" s="136">
        <v>53148728.508221097</v>
      </c>
    </row>
    <row r="11" spans="1:8">
      <c r="A11" s="132">
        <v>108</v>
      </c>
      <c r="B11" s="136">
        <v>12070.970914973699</v>
      </c>
      <c r="C11" s="136">
        <v>2278110.1146442401</v>
      </c>
      <c r="D11" s="136">
        <v>54604.108874935897</v>
      </c>
      <c r="E11" s="136">
        <v>4338480.0382546196</v>
      </c>
      <c r="F11" s="136">
        <v>6683265.2326887799</v>
      </c>
    </row>
    <row r="12" spans="1:8">
      <c r="A12" s="132">
        <v>110</v>
      </c>
      <c r="B12" s="136">
        <v>5705199.2860773699</v>
      </c>
      <c r="C12" s="136">
        <v>253494760.15559199</v>
      </c>
      <c r="D12" s="136">
        <v>7962531.8024909003</v>
      </c>
      <c r="E12" s="136">
        <v>354331106.85479099</v>
      </c>
      <c r="F12" s="136">
        <v>621493598.09895205</v>
      </c>
    </row>
    <row r="13" spans="1:8">
      <c r="A13" s="132">
        <v>120</v>
      </c>
      <c r="B13" s="136">
        <v>967347.29704704799</v>
      </c>
      <c r="C13" s="136">
        <v>55301069.835227303</v>
      </c>
      <c r="D13" s="136">
        <v>2077677.7738818901</v>
      </c>
      <c r="E13" s="136">
        <v>63532750.472972803</v>
      </c>
      <c r="F13" s="136">
        <v>121878845.37912899</v>
      </c>
    </row>
    <row r="14" spans="1:8">
      <c r="A14" s="132">
        <v>130</v>
      </c>
      <c r="B14" s="136">
        <v>5997039.7865799302</v>
      </c>
      <c r="C14" s="136">
        <v>123868303.038314</v>
      </c>
      <c r="D14" s="136">
        <v>14958447.221026501</v>
      </c>
      <c r="E14" s="136">
        <v>250555716.671446</v>
      </c>
      <c r="F14" s="136">
        <v>395379506.71736699</v>
      </c>
    </row>
    <row r="15" spans="1:8">
      <c r="A15" s="132">
        <v>140</v>
      </c>
      <c r="B15" s="136">
        <v>855048.716429219</v>
      </c>
      <c r="C15" s="136">
        <v>43886701.904748797</v>
      </c>
      <c r="D15" s="136">
        <v>1348879.3649251501</v>
      </c>
      <c r="E15" s="136">
        <v>35086179.003393099</v>
      </c>
      <c r="F15" s="136">
        <v>81176808.989496306</v>
      </c>
    </row>
    <row r="16" spans="1:8">
      <c r="A16" s="132">
        <v>141</v>
      </c>
      <c r="B16" s="136">
        <v>148291.77369059701</v>
      </c>
      <c r="C16" s="136">
        <v>8624732.2682895903</v>
      </c>
      <c r="D16" s="136">
        <v>62769.922106100799</v>
      </c>
      <c r="E16" s="136">
        <v>19443032.730633199</v>
      </c>
      <c r="F16" s="136">
        <v>28278826.694719501</v>
      </c>
    </row>
    <row r="17" spans="1:6">
      <c r="A17" s="132">
        <v>142</v>
      </c>
      <c r="B17" s="136">
        <v>3820.0100880231998</v>
      </c>
      <c r="C17" s="136">
        <v>2334209.6131990599</v>
      </c>
      <c r="D17" s="136">
        <v>16706.891185999099</v>
      </c>
      <c r="E17" s="136">
        <v>5095495.8832442202</v>
      </c>
      <c r="F17" s="136">
        <v>7450232.3977172999</v>
      </c>
    </row>
    <row r="18" spans="1:6">
      <c r="A18" s="132">
        <v>143</v>
      </c>
      <c r="B18" s="136">
        <v>206376.15003026399</v>
      </c>
      <c r="C18" s="136">
        <v>7117779.3314069398</v>
      </c>
      <c r="D18" s="136">
        <v>806022.63397093804</v>
      </c>
      <c r="E18" s="136">
        <v>17700485.454129901</v>
      </c>
      <c r="F18" s="136">
        <v>25830663.569538001</v>
      </c>
    </row>
    <row r="19" spans="1:6">
      <c r="A19" s="132">
        <v>144</v>
      </c>
      <c r="B19" s="136">
        <v>160567.670178548</v>
      </c>
      <c r="C19" s="136">
        <v>17255206.289466299</v>
      </c>
      <c r="D19" s="136">
        <v>520402.78707992297</v>
      </c>
      <c r="E19" s="136">
        <v>17418771.140027601</v>
      </c>
      <c r="F19" s="136">
        <v>35354947.886752397</v>
      </c>
    </row>
    <row r="20" spans="1:6">
      <c r="A20" s="132">
        <v>150</v>
      </c>
      <c r="B20" s="136">
        <v>1149396.39182257</v>
      </c>
      <c r="C20" s="136">
        <v>17217431.295707598</v>
      </c>
      <c r="D20" s="136">
        <v>953834.90890233498</v>
      </c>
      <c r="E20" s="136">
        <v>23074165.360230699</v>
      </c>
      <c r="F20" s="136">
        <v>42394827.956663199</v>
      </c>
    </row>
    <row r="21" spans="1:6">
      <c r="A21" s="132">
        <v>160</v>
      </c>
      <c r="B21" s="136">
        <v>1797136.2928194299</v>
      </c>
      <c r="C21" s="136">
        <v>22354405.115116298</v>
      </c>
      <c r="D21" s="136">
        <v>1876596.3291651199</v>
      </c>
      <c r="E21" s="136">
        <v>35027183.622543298</v>
      </c>
      <c r="F21" s="136">
        <v>61055321.359644197</v>
      </c>
    </row>
    <row r="22" spans="1:6">
      <c r="A22" s="132">
        <v>161</v>
      </c>
      <c r="B22" s="136">
        <v>2973.70852700876</v>
      </c>
      <c r="C22" s="136">
        <v>1633274.5615212501</v>
      </c>
      <c r="D22" s="136">
        <v>105076.59806751899</v>
      </c>
      <c r="E22" s="136">
        <v>1996053.19445254</v>
      </c>
      <c r="F22" s="136">
        <v>3737378.06256832</v>
      </c>
    </row>
    <row r="23" spans="1:6">
      <c r="A23" s="132">
        <v>170</v>
      </c>
      <c r="B23" s="136">
        <v>139157.81331221</v>
      </c>
      <c r="C23" s="136">
        <v>5862602.9264885997</v>
      </c>
      <c r="D23" s="136">
        <v>366317.02186883998</v>
      </c>
      <c r="E23" s="136">
        <v>9403406.4734223392</v>
      </c>
      <c r="F23" s="136">
        <v>15771484.235091999</v>
      </c>
    </row>
    <row r="24" spans="1:6">
      <c r="A24" s="132">
        <v>171</v>
      </c>
      <c r="B24" s="136">
        <v>154835.04455944299</v>
      </c>
      <c r="C24" s="136">
        <v>8124462.1652970901</v>
      </c>
      <c r="D24" s="136">
        <v>271410.04406179901</v>
      </c>
      <c r="E24" s="136">
        <v>8814411.5663403794</v>
      </c>
      <c r="F24" s="136">
        <v>17365118.820258699</v>
      </c>
    </row>
    <row r="25" spans="1:6">
      <c r="A25" s="132">
        <v>172</v>
      </c>
      <c r="B25" s="136">
        <v>225238.95287675099</v>
      </c>
      <c r="C25" s="136">
        <v>4233247.6240349403</v>
      </c>
      <c r="D25" s="136">
        <v>519843.53414446599</v>
      </c>
      <c r="E25" s="136">
        <v>6306606.5844857804</v>
      </c>
      <c r="F25" s="136">
        <v>11284936.6955419</v>
      </c>
    </row>
    <row r="26" spans="1:6">
      <c r="A26" s="132">
        <v>173</v>
      </c>
      <c r="B26" s="136">
        <v>25789.382418956699</v>
      </c>
      <c r="C26" s="136">
        <v>1910593.89879398</v>
      </c>
      <c r="D26" s="136">
        <v>29648.794592952399</v>
      </c>
      <c r="E26" s="136">
        <v>3877009.0975197102</v>
      </c>
      <c r="F26" s="136">
        <v>5843041.1733256001</v>
      </c>
    </row>
    <row r="27" spans="1:6">
      <c r="A27" s="132">
        <v>174</v>
      </c>
      <c r="B27" s="136">
        <v>759.25913648205994</v>
      </c>
      <c r="C27" s="136">
        <v>211521.38103936001</v>
      </c>
      <c r="D27" s="136">
        <v>8518.2895519311405</v>
      </c>
      <c r="E27" s="136">
        <v>2427960.8158857501</v>
      </c>
      <c r="F27" s="136">
        <v>2648759.7456135298</v>
      </c>
    </row>
    <row r="28" spans="1:6">
      <c r="A28" s="132">
        <v>180</v>
      </c>
      <c r="B28" s="136">
        <v>13003.844956332099</v>
      </c>
      <c r="C28" s="136">
        <v>21798688.031057701</v>
      </c>
      <c r="D28" s="136">
        <v>6860.3864228692801</v>
      </c>
      <c r="E28" s="136">
        <v>6270355.9455642505</v>
      </c>
      <c r="F28" s="136">
        <v>28088908.2080011</v>
      </c>
    </row>
    <row r="29" spans="1:6">
      <c r="A29" s="132">
        <v>190</v>
      </c>
      <c r="B29" s="136">
        <v>54667.811049174801</v>
      </c>
      <c r="C29" s="136">
        <v>10189296.191664999</v>
      </c>
      <c r="D29" s="136">
        <v>180138.33357383599</v>
      </c>
      <c r="E29" s="136">
        <v>11743578.6008795</v>
      </c>
      <c r="F29" s="136">
        <v>22167680.937167399</v>
      </c>
    </row>
    <row r="30" spans="1:6">
      <c r="A30" s="132">
        <v>191</v>
      </c>
      <c r="B30" s="136">
        <v>961810.14845671295</v>
      </c>
      <c r="C30" s="136">
        <v>29443299.7746046</v>
      </c>
      <c r="D30" s="136">
        <v>764613.42020888603</v>
      </c>
      <c r="E30" s="136">
        <v>37684631.828072101</v>
      </c>
      <c r="F30" s="136">
        <v>68854355.171342298</v>
      </c>
    </row>
    <row r="31" spans="1:6">
      <c r="A31" s="132">
        <v>192</v>
      </c>
      <c r="B31" s="136">
        <v>0</v>
      </c>
      <c r="C31" s="136">
        <v>174608.59937677599</v>
      </c>
      <c r="D31" s="136">
        <v>471.19701175684099</v>
      </c>
      <c r="E31" s="136">
        <v>41937.822129662403</v>
      </c>
      <c r="F31" s="136">
        <v>217017.618518195</v>
      </c>
    </row>
    <row r="32" spans="1:6">
      <c r="A32" s="132">
        <v>211</v>
      </c>
      <c r="B32" s="136">
        <v>34213.332675664598</v>
      </c>
      <c r="C32" s="136">
        <v>2407264.4590859301</v>
      </c>
      <c r="D32" s="136">
        <v>77312.541148991993</v>
      </c>
      <c r="E32" s="136">
        <v>3183929.5546194999</v>
      </c>
      <c r="F32" s="136">
        <v>5702719.88753008</v>
      </c>
    </row>
    <row r="33" spans="1:6">
      <c r="A33" s="132">
        <v>212</v>
      </c>
      <c r="B33" s="136">
        <v>3072.2403454544901</v>
      </c>
      <c r="C33" s="136">
        <v>42010.5836210364</v>
      </c>
      <c r="D33" s="136">
        <v>28203.6736611616</v>
      </c>
      <c r="E33" s="136">
        <v>266095.59517917701</v>
      </c>
      <c r="F33" s="136">
        <v>339382.09280683001</v>
      </c>
    </row>
    <row r="34" spans="1:6">
      <c r="A34" s="132">
        <v>213</v>
      </c>
      <c r="B34" s="136">
        <v>0</v>
      </c>
      <c r="C34" s="136">
        <v>9116.7498372202699</v>
      </c>
      <c r="D34" s="136">
        <v>0</v>
      </c>
      <c r="E34" s="136">
        <v>5831.5387548860899</v>
      </c>
      <c r="F34" s="136">
        <v>14948.288592106401</v>
      </c>
    </row>
    <row r="35" spans="1:6">
      <c r="A35" s="132">
        <v>214</v>
      </c>
      <c r="B35" s="136">
        <v>380473.10222396802</v>
      </c>
      <c r="C35" s="136">
        <v>11596029.563080801</v>
      </c>
      <c r="D35" s="136">
        <v>596461.52687578695</v>
      </c>
      <c r="E35" s="136">
        <v>15553930.5696257</v>
      </c>
      <c r="F35" s="136">
        <v>28126894.761806302</v>
      </c>
    </row>
    <row r="36" spans="1:6">
      <c r="A36" s="132">
        <v>215</v>
      </c>
      <c r="B36" s="136">
        <v>181341.13755248499</v>
      </c>
      <c r="C36" s="136">
        <v>4621808.6917312704</v>
      </c>
      <c r="D36" s="136">
        <v>292579.69341143902</v>
      </c>
      <c r="E36" s="136">
        <v>5121472.9778247401</v>
      </c>
      <c r="F36" s="136">
        <v>10217202.5005199</v>
      </c>
    </row>
    <row r="37" spans="1:6">
      <c r="A37" s="132">
        <v>216</v>
      </c>
      <c r="B37" s="136">
        <v>269289.19084087398</v>
      </c>
      <c r="C37" s="136">
        <v>5775732.2022529598</v>
      </c>
      <c r="D37" s="136">
        <v>497226.28240100201</v>
      </c>
      <c r="E37" s="136">
        <v>13892747.8980556</v>
      </c>
      <c r="F37" s="136">
        <v>20434995.573550399</v>
      </c>
    </row>
    <row r="38" spans="1:6">
      <c r="A38" s="132">
        <v>217</v>
      </c>
      <c r="B38" s="136">
        <v>17249.933495703401</v>
      </c>
      <c r="C38" s="136">
        <v>321804.588398533</v>
      </c>
      <c r="D38" s="136">
        <v>94930.130255677504</v>
      </c>
      <c r="E38" s="136">
        <v>425767.47217311099</v>
      </c>
      <c r="F38" s="136">
        <v>859752.124323025</v>
      </c>
    </row>
    <row r="39" spans="1:6">
      <c r="A39" s="132">
        <v>218</v>
      </c>
      <c r="B39" s="136">
        <v>13024.606879176799</v>
      </c>
      <c r="C39" s="136">
        <v>834965.31569559395</v>
      </c>
      <c r="D39" s="136">
        <v>31149.266995396501</v>
      </c>
      <c r="E39" s="136">
        <v>2257691.3526103301</v>
      </c>
      <c r="F39" s="136">
        <v>3136830.5421805</v>
      </c>
    </row>
    <row r="40" spans="1:6">
      <c r="A40" s="132">
        <v>219</v>
      </c>
      <c r="B40" s="136">
        <v>91861.8832209018</v>
      </c>
      <c r="C40" s="136">
        <v>2209231.59497263</v>
      </c>
      <c r="D40" s="136">
        <v>150607.02182052599</v>
      </c>
      <c r="E40" s="136">
        <v>5183702.3302000202</v>
      </c>
      <c r="F40" s="136">
        <v>7635402.8302140702</v>
      </c>
    </row>
    <row r="41" spans="1:6">
      <c r="A41" s="132">
        <v>220</v>
      </c>
      <c r="B41" s="136">
        <v>2878.8280702895399</v>
      </c>
      <c r="C41" s="136">
        <v>679755.48061836604</v>
      </c>
      <c r="D41" s="136">
        <v>16752.077152891401</v>
      </c>
      <c r="E41" s="136">
        <v>2113006.29475922</v>
      </c>
      <c r="F41" s="136">
        <v>2812392.6806007698</v>
      </c>
    </row>
    <row r="42" spans="1:6">
      <c r="A42" s="132">
        <v>221</v>
      </c>
      <c r="B42" s="136">
        <v>0</v>
      </c>
      <c r="C42" s="136">
        <v>416312.81312909501</v>
      </c>
      <c r="D42" s="136">
        <v>265.60507941803002</v>
      </c>
      <c r="E42" s="136">
        <v>452432.79720791901</v>
      </c>
      <c r="F42" s="136">
        <v>869011.21541643201</v>
      </c>
    </row>
    <row r="43" spans="1:6">
      <c r="A43" s="132">
        <v>222</v>
      </c>
      <c r="B43" s="136">
        <v>343.87687746402298</v>
      </c>
      <c r="C43" s="136">
        <v>22670.1661801972</v>
      </c>
      <c r="D43" s="136">
        <v>0</v>
      </c>
      <c r="E43" s="136">
        <v>33924.633384392801</v>
      </c>
      <c r="F43" s="136">
        <v>56938.676442053998</v>
      </c>
    </row>
    <row r="44" spans="1:6">
      <c r="A44" s="132">
        <v>223</v>
      </c>
      <c r="B44" s="136">
        <v>5950.17230678944</v>
      </c>
      <c r="C44" s="136">
        <v>164650.228078471</v>
      </c>
      <c r="D44" s="136">
        <v>31635.596489286199</v>
      </c>
      <c r="E44" s="136">
        <v>406845.88783634303</v>
      </c>
      <c r="F44" s="136">
        <v>609081.88471089001</v>
      </c>
    </row>
    <row r="45" spans="1:6">
      <c r="A45" s="132">
        <v>241</v>
      </c>
      <c r="B45" s="136">
        <v>10572.2741178209</v>
      </c>
      <c r="C45" s="136">
        <v>378353.97582089499</v>
      </c>
      <c r="D45" s="136">
        <v>2696.8889056887701</v>
      </c>
      <c r="E45" s="136">
        <v>387615.092144567</v>
      </c>
      <c r="F45" s="136">
        <v>779238.23098897096</v>
      </c>
    </row>
    <row r="46" spans="1:6">
      <c r="A46" s="132">
        <v>242</v>
      </c>
      <c r="B46" s="136">
        <v>0</v>
      </c>
      <c r="C46" s="136">
        <v>2340.2303958010102</v>
      </c>
      <c r="D46" s="136">
        <v>0</v>
      </c>
      <c r="E46" s="136">
        <v>1181.3961545468501</v>
      </c>
      <c r="F46" s="136">
        <v>3521.6265503478598</v>
      </c>
    </row>
    <row r="47" spans="1:6">
      <c r="A47" s="132">
        <v>251</v>
      </c>
      <c r="B47" s="136">
        <v>283748.06128815701</v>
      </c>
      <c r="C47" s="136">
        <v>4088275.6501326901</v>
      </c>
      <c r="D47" s="136">
        <v>923553.00452814403</v>
      </c>
      <c r="E47" s="136">
        <v>9326921.1995048802</v>
      </c>
      <c r="F47" s="136">
        <v>14622497.9154539</v>
      </c>
    </row>
    <row r="48" spans="1:6">
      <c r="A48" s="132">
        <v>252</v>
      </c>
      <c r="B48" s="136">
        <v>314318.35087123699</v>
      </c>
      <c r="C48" s="136">
        <v>2894726.4703069399</v>
      </c>
      <c r="D48" s="136">
        <v>1061435.70025436</v>
      </c>
      <c r="E48" s="136">
        <v>7157184.5120959301</v>
      </c>
      <c r="F48" s="136">
        <v>11427665.033528499</v>
      </c>
    </row>
    <row r="49" spans="1:6">
      <c r="A49" s="132">
        <v>253</v>
      </c>
      <c r="B49" s="136">
        <v>120848.031904391</v>
      </c>
      <c r="C49" s="136">
        <v>1491646.0575476701</v>
      </c>
      <c r="D49" s="136">
        <v>643084.68738884199</v>
      </c>
      <c r="E49" s="136">
        <v>7811960.1006063903</v>
      </c>
      <c r="F49" s="136">
        <v>10067538.8774473</v>
      </c>
    </row>
    <row r="50" spans="1:6">
      <c r="A50" s="132">
        <v>254</v>
      </c>
      <c r="B50" s="136">
        <v>0</v>
      </c>
      <c r="C50" s="136">
        <v>1913675.5927146899</v>
      </c>
      <c r="D50" s="136">
        <v>0</v>
      </c>
      <c r="E50" s="136">
        <v>1943141.3249137599</v>
      </c>
      <c r="F50" s="136">
        <v>3856816.9176284499</v>
      </c>
    </row>
    <row r="51" spans="1:6">
      <c r="A51" s="132">
        <v>255</v>
      </c>
      <c r="B51" s="136">
        <v>426173.14541890001</v>
      </c>
      <c r="C51" s="136">
        <v>3191379.7813890199</v>
      </c>
      <c r="D51" s="136">
        <v>278054.16752730199</v>
      </c>
      <c r="E51" s="136">
        <v>3963221.35405022</v>
      </c>
      <c r="F51" s="136">
        <v>7858828.4483854501</v>
      </c>
    </row>
    <row r="52" spans="1:6">
      <c r="A52" s="132">
        <v>256</v>
      </c>
      <c r="B52" s="136">
        <v>2931.8344446053002</v>
      </c>
      <c r="C52" s="136">
        <v>341833.98184576601</v>
      </c>
      <c r="D52" s="136">
        <v>25976.126040637999</v>
      </c>
      <c r="E52" s="136">
        <v>1294983.9582899399</v>
      </c>
      <c r="F52" s="136">
        <v>1665725.9006209499</v>
      </c>
    </row>
    <row r="53" spans="1:6">
      <c r="A53" s="132">
        <v>257</v>
      </c>
      <c r="B53" s="136">
        <v>81860.350163423805</v>
      </c>
      <c r="C53" s="136">
        <v>3585287.44604726</v>
      </c>
      <c r="D53" s="136">
        <v>102685.001196903</v>
      </c>
      <c r="E53" s="136">
        <v>4925902.5966754397</v>
      </c>
      <c r="F53" s="136">
        <v>8695735.3940830305</v>
      </c>
    </row>
    <row r="54" spans="1:6">
      <c r="A54" s="132">
        <v>258</v>
      </c>
      <c r="B54" s="136">
        <v>178709.069179616</v>
      </c>
      <c r="C54" s="136">
        <v>3109924.8642068501</v>
      </c>
      <c r="D54" s="136">
        <v>408462.62492042501</v>
      </c>
      <c r="E54" s="136">
        <v>7016167.3593571903</v>
      </c>
      <c r="F54" s="136">
        <v>10713263.917664099</v>
      </c>
    </row>
    <row r="55" spans="1:6">
      <c r="A55" s="132">
        <v>259</v>
      </c>
      <c r="B55" s="136">
        <v>37811.401759871602</v>
      </c>
      <c r="C55" s="136">
        <v>1364284.80833722</v>
      </c>
      <c r="D55" s="136">
        <v>685237.02904901805</v>
      </c>
      <c r="E55" s="136">
        <v>7125794.7037278097</v>
      </c>
      <c r="F55" s="136">
        <v>9213127.9428739194</v>
      </c>
    </row>
    <row r="56" spans="1:6">
      <c r="A56" s="132">
        <v>260</v>
      </c>
      <c r="B56" s="136">
        <v>54665.9579521868</v>
      </c>
      <c r="C56" s="136">
        <v>881716.67454286502</v>
      </c>
      <c r="D56" s="136">
        <v>499072.66944072099</v>
      </c>
      <c r="E56" s="136">
        <v>8742742.6391064599</v>
      </c>
      <c r="F56" s="136">
        <v>10178197.9410422</v>
      </c>
    </row>
    <row r="57" spans="1:6">
      <c r="A57" s="132">
        <v>261</v>
      </c>
      <c r="B57" s="136">
        <v>42947.539521846098</v>
      </c>
      <c r="C57" s="136">
        <v>633543.54961469804</v>
      </c>
      <c r="D57" s="136">
        <v>442831.604672666</v>
      </c>
      <c r="E57" s="136">
        <v>3715226.1527241198</v>
      </c>
      <c r="F57" s="136">
        <v>4834548.8465333302</v>
      </c>
    </row>
    <row r="58" spans="1:6">
      <c r="A58" s="132">
        <v>262</v>
      </c>
      <c r="B58" s="136">
        <v>122414.900072127</v>
      </c>
      <c r="C58" s="136">
        <v>1795973.0204408099</v>
      </c>
      <c r="D58" s="136">
        <v>509665.94359727099</v>
      </c>
      <c r="E58" s="136">
        <v>3624342.8877737098</v>
      </c>
      <c r="F58" s="136">
        <v>6052396.7518839203</v>
      </c>
    </row>
    <row r="59" spans="1:6">
      <c r="A59" s="132">
        <v>263</v>
      </c>
      <c r="B59" s="136">
        <v>44058.512998420403</v>
      </c>
      <c r="C59" s="136">
        <v>292298.30487925402</v>
      </c>
      <c r="D59" s="136">
        <v>1190405.31538253</v>
      </c>
      <c r="E59" s="136">
        <v>4449779.61620392</v>
      </c>
      <c r="F59" s="136">
        <v>5976541.74946413</v>
      </c>
    </row>
    <row r="60" spans="1:6">
      <c r="A60" s="132">
        <v>280</v>
      </c>
      <c r="B60" s="136">
        <v>0</v>
      </c>
      <c r="C60" s="136">
        <v>2223.0940490609</v>
      </c>
      <c r="D60" s="136">
        <v>0</v>
      </c>
      <c r="E60" s="136">
        <v>0</v>
      </c>
      <c r="F60" s="136">
        <v>2223.0940490609</v>
      </c>
    </row>
    <row r="61" spans="1:6">
      <c r="A61" s="132">
        <v>290</v>
      </c>
      <c r="B61" s="136">
        <v>3591574.27913068</v>
      </c>
      <c r="C61" s="136">
        <v>34153822.9716947</v>
      </c>
      <c r="D61" s="136">
        <v>4727323.7713106098</v>
      </c>
      <c r="E61" s="136">
        <v>35778718.730887398</v>
      </c>
      <c r="F61" s="136">
        <v>78251439.753023401</v>
      </c>
    </row>
    <row r="62" spans="1:6">
      <c r="A62" s="132">
        <v>291</v>
      </c>
      <c r="B62" s="136">
        <v>2912.4569015601301</v>
      </c>
      <c r="C62" s="136">
        <v>6373479.5344000403</v>
      </c>
      <c r="D62" s="136">
        <v>91092.729215836604</v>
      </c>
      <c r="E62" s="136">
        <v>12395484.1149926</v>
      </c>
      <c r="F62" s="136">
        <v>18862968.835510001</v>
      </c>
    </row>
    <row r="63" spans="1:6">
      <c r="A63" s="132">
        <v>300</v>
      </c>
      <c r="B63" s="136">
        <v>2076025.89766357</v>
      </c>
      <c r="C63" s="136">
        <v>57530391.022851601</v>
      </c>
      <c r="D63" s="136">
        <v>1881102.2518072999</v>
      </c>
      <c r="E63" s="136">
        <v>69443917.507073805</v>
      </c>
      <c r="F63" s="136">
        <v>130931436.679396</v>
      </c>
    </row>
    <row r="64" spans="1:6">
      <c r="A64" s="132">
        <v>301</v>
      </c>
      <c r="B64" s="136">
        <v>707032.478696501</v>
      </c>
      <c r="C64" s="136">
        <v>60643399.486221097</v>
      </c>
      <c r="D64" s="136">
        <v>2085987.2778838801</v>
      </c>
      <c r="E64" s="136">
        <v>79514889.096579805</v>
      </c>
      <c r="F64" s="136">
        <v>142951308.33938101</v>
      </c>
    </row>
    <row r="65" spans="1:6">
      <c r="A65" s="132">
        <v>302</v>
      </c>
      <c r="B65" s="136">
        <v>545304.052307187</v>
      </c>
      <c r="C65" s="136">
        <v>18414757.135162398</v>
      </c>
      <c r="D65" s="136">
        <v>1383822.3331873999</v>
      </c>
      <c r="E65" s="136">
        <v>42597607.582523704</v>
      </c>
      <c r="F65" s="136">
        <v>62941491.103180602</v>
      </c>
    </row>
    <row r="66" spans="1:6">
      <c r="A66" s="132">
        <v>303</v>
      </c>
      <c r="B66" s="136">
        <v>1514329.5982516799</v>
      </c>
      <c r="C66" s="136">
        <v>32773391.130296599</v>
      </c>
      <c r="D66" s="136">
        <v>10621093.5337054</v>
      </c>
      <c r="E66" s="136">
        <v>152027064.75644001</v>
      </c>
      <c r="F66" s="136">
        <v>196935879.01869401</v>
      </c>
    </row>
    <row r="67" spans="1:6">
      <c r="A67" s="132">
        <v>304</v>
      </c>
      <c r="B67" s="136">
        <v>0</v>
      </c>
      <c r="C67" s="136">
        <v>1862994.6897961199</v>
      </c>
      <c r="D67" s="136">
        <v>0</v>
      </c>
      <c r="E67" s="136">
        <v>1471593.5726981401</v>
      </c>
      <c r="F67" s="136">
        <v>3334588.26249426</v>
      </c>
    </row>
    <row r="68" spans="1:6">
      <c r="A68" s="132">
        <v>305</v>
      </c>
      <c r="B68" s="136">
        <v>0</v>
      </c>
      <c r="C68" s="136">
        <v>251735.12354694301</v>
      </c>
      <c r="D68" s="136">
        <v>0</v>
      </c>
      <c r="E68" s="136">
        <v>1296251.91372256</v>
      </c>
      <c r="F68" s="136">
        <v>1547987.0372695001</v>
      </c>
    </row>
    <row r="69" spans="1:6">
      <c r="A69" s="132">
        <v>306</v>
      </c>
      <c r="B69" s="136">
        <v>732011.96139574598</v>
      </c>
      <c r="C69" s="136">
        <v>6059471.5240565604</v>
      </c>
      <c r="D69" s="136">
        <v>3129102.4925816501</v>
      </c>
      <c r="E69" s="136">
        <v>20604781.965407699</v>
      </c>
      <c r="F69" s="136">
        <v>30525367.9434416</v>
      </c>
    </row>
    <row r="70" spans="1:6">
      <c r="A70" s="132">
        <v>307</v>
      </c>
      <c r="B70" s="136">
        <v>2139253.6779073598</v>
      </c>
      <c r="C70" s="136">
        <v>16765556.9890093</v>
      </c>
      <c r="D70" s="136">
        <v>8609111.8080352899</v>
      </c>
      <c r="E70" s="136">
        <v>63979052.055383898</v>
      </c>
      <c r="F70" s="136">
        <v>91492974.530335903</v>
      </c>
    </row>
    <row r="71" spans="1:6">
      <c r="A71" s="132">
        <v>308</v>
      </c>
      <c r="B71" s="136">
        <v>849.26288215385898</v>
      </c>
      <c r="C71" s="136">
        <v>326378.14737491199</v>
      </c>
      <c r="D71" s="136">
        <v>34545.485048334303</v>
      </c>
      <c r="E71" s="136">
        <v>3781642.71554892</v>
      </c>
      <c r="F71" s="136">
        <v>4143415.6108543202</v>
      </c>
    </row>
    <row r="72" spans="1:6">
      <c r="A72" s="132">
        <v>309</v>
      </c>
      <c r="B72" s="136">
        <v>129879.105098766</v>
      </c>
      <c r="C72" s="136">
        <v>3392534.06397114</v>
      </c>
      <c r="D72" s="136">
        <v>359128.61250677297</v>
      </c>
      <c r="E72" s="136">
        <v>18042671.299570601</v>
      </c>
      <c r="F72" s="136">
        <v>21924213.081147298</v>
      </c>
    </row>
    <row r="73" spans="1:6">
      <c r="A73" s="132">
        <v>310</v>
      </c>
      <c r="B73" s="136">
        <v>41991.2533128621</v>
      </c>
      <c r="C73" s="136">
        <v>2398535.97173722</v>
      </c>
      <c r="D73" s="136">
        <v>61583.167643827197</v>
      </c>
      <c r="E73" s="136">
        <v>4161040.9830755899</v>
      </c>
      <c r="F73" s="136">
        <v>6663151.3757694997</v>
      </c>
    </row>
    <row r="74" spans="1:6">
      <c r="A74" s="132">
        <v>311</v>
      </c>
      <c r="B74" s="136">
        <v>1561802.05997171</v>
      </c>
      <c r="C74" s="136">
        <v>20968333.717182402</v>
      </c>
      <c r="D74" s="136">
        <v>52821.469589493601</v>
      </c>
      <c r="E74" s="136">
        <v>8599185.4280992206</v>
      </c>
      <c r="F74" s="136">
        <v>31182142.674842801</v>
      </c>
    </row>
    <row r="75" spans="1:6">
      <c r="A75" s="132">
        <v>313</v>
      </c>
      <c r="B75" s="136">
        <v>214732.496673302</v>
      </c>
      <c r="C75" s="136">
        <v>1880439.1910936299</v>
      </c>
      <c r="D75" s="136">
        <v>203992.893013717</v>
      </c>
      <c r="E75" s="136">
        <v>2588732.5831486401</v>
      </c>
      <c r="F75" s="136">
        <v>4887897.1639292901</v>
      </c>
    </row>
    <row r="76" spans="1:6">
      <c r="A76" s="132">
        <v>314</v>
      </c>
      <c r="B76" s="136">
        <v>108331.41397432701</v>
      </c>
      <c r="C76" s="136">
        <v>5869058.9739057999</v>
      </c>
      <c r="D76" s="136">
        <v>81755.211247702493</v>
      </c>
      <c r="E76" s="136">
        <v>10158878.7743956</v>
      </c>
      <c r="F76" s="136">
        <v>16218024.373523399</v>
      </c>
    </row>
    <row r="77" spans="1:6">
      <c r="A77" s="132">
        <v>315</v>
      </c>
      <c r="B77" s="136">
        <v>52406.887443340704</v>
      </c>
      <c r="C77" s="136">
        <v>1456914.7395084801</v>
      </c>
      <c r="D77" s="136">
        <v>75665.154253400397</v>
      </c>
      <c r="E77" s="136">
        <v>2492116.3034175499</v>
      </c>
      <c r="F77" s="136">
        <v>4077103.0846227701</v>
      </c>
    </row>
    <row r="78" spans="1:6">
      <c r="A78" s="132">
        <v>316</v>
      </c>
      <c r="B78" s="136">
        <v>185492.470015236</v>
      </c>
      <c r="C78" s="136">
        <v>1328212.30801219</v>
      </c>
      <c r="D78" s="136">
        <v>480285.03557486401</v>
      </c>
      <c r="E78" s="136">
        <v>2483949.7480444</v>
      </c>
      <c r="F78" s="136">
        <v>4477939.5616466999</v>
      </c>
    </row>
    <row r="79" spans="1:6">
      <c r="A79" s="132">
        <v>317</v>
      </c>
      <c r="B79" s="136">
        <v>10592.319493163701</v>
      </c>
      <c r="C79" s="136">
        <v>1972175.1088268701</v>
      </c>
      <c r="D79" s="136">
        <v>144455.24237442101</v>
      </c>
      <c r="E79" s="136">
        <v>1874648.12439834</v>
      </c>
      <c r="F79" s="136">
        <v>4001870.7950928002</v>
      </c>
    </row>
    <row r="80" spans="1:6">
      <c r="A80" s="132">
        <v>318</v>
      </c>
      <c r="B80" s="136">
        <v>0</v>
      </c>
      <c r="C80" s="136">
        <v>48420.513646749001</v>
      </c>
      <c r="D80" s="136">
        <v>0</v>
      </c>
      <c r="E80" s="136">
        <v>5703.0218822609304</v>
      </c>
      <c r="F80" s="136">
        <v>54123.535529009903</v>
      </c>
    </row>
    <row r="81" spans="1:6">
      <c r="A81" s="132">
        <v>320</v>
      </c>
      <c r="B81" s="136">
        <v>3102294.2728605298</v>
      </c>
      <c r="C81" s="136">
        <v>102412096.42487299</v>
      </c>
      <c r="D81" s="136">
        <v>5148497.0843701297</v>
      </c>
      <c r="E81" s="136">
        <v>116227326.798315</v>
      </c>
      <c r="F81" s="136">
        <v>226890214.58041799</v>
      </c>
    </row>
    <row r="82" spans="1:6">
      <c r="A82" s="132">
        <v>321</v>
      </c>
      <c r="B82" s="136">
        <v>267913.79141358298</v>
      </c>
      <c r="C82" s="136">
        <v>5797429.0449858801</v>
      </c>
      <c r="D82" s="136">
        <v>670672.20117656502</v>
      </c>
      <c r="E82" s="136">
        <v>11203160.4613661</v>
      </c>
      <c r="F82" s="136">
        <v>17939175.4989421</v>
      </c>
    </row>
    <row r="83" spans="1:6">
      <c r="A83" s="132">
        <v>322</v>
      </c>
      <c r="B83" s="136">
        <v>0</v>
      </c>
      <c r="C83" s="136">
        <v>39508.030174899301</v>
      </c>
      <c r="D83" s="136">
        <v>0</v>
      </c>
      <c r="E83" s="136">
        <v>39579.387166239103</v>
      </c>
      <c r="F83" s="136">
        <v>79087.417341138396</v>
      </c>
    </row>
    <row r="84" spans="1:6">
      <c r="A84" s="132">
        <v>323</v>
      </c>
      <c r="B84" s="136">
        <v>5572.6013244338301</v>
      </c>
      <c r="C84" s="136">
        <v>513540.49208916002</v>
      </c>
      <c r="D84" s="136">
        <v>22583.148078392602</v>
      </c>
      <c r="E84" s="136">
        <v>2794732.0508968802</v>
      </c>
      <c r="F84" s="136">
        <v>3336428.2923888699</v>
      </c>
    </row>
    <row r="85" spans="1:6">
      <c r="A85" s="132">
        <v>324</v>
      </c>
      <c r="B85" s="136">
        <v>23641.312589888701</v>
      </c>
      <c r="C85" s="136">
        <v>4421333.6522655599</v>
      </c>
      <c r="D85" s="136">
        <v>13553.9766688368</v>
      </c>
      <c r="E85" s="136">
        <v>40336574.311298303</v>
      </c>
      <c r="F85" s="136">
        <v>44795103.2528226</v>
      </c>
    </row>
    <row r="86" spans="1:6">
      <c r="A86" s="132">
        <v>325</v>
      </c>
      <c r="B86" s="136">
        <v>4520.37490930884</v>
      </c>
      <c r="C86" s="136">
        <v>135014.566431707</v>
      </c>
      <c r="D86" s="136">
        <v>0</v>
      </c>
      <c r="E86" s="136">
        <v>154376.506958871</v>
      </c>
      <c r="F86" s="136">
        <v>293911.44829988602</v>
      </c>
    </row>
    <row r="87" spans="1:6">
      <c r="A87" s="132">
        <v>327</v>
      </c>
      <c r="B87" s="136">
        <v>94540.386741250302</v>
      </c>
      <c r="C87" s="136">
        <v>264918.02318237501</v>
      </c>
      <c r="D87" s="136">
        <v>132689.97111362999</v>
      </c>
      <c r="E87" s="136">
        <v>809039.438119011</v>
      </c>
      <c r="F87" s="136">
        <v>1301187.81915627</v>
      </c>
    </row>
    <row r="88" spans="1:6">
      <c r="A88" s="132">
        <v>328</v>
      </c>
      <c r="B88" s="136">
        <v>92131.920301095699</v>
      </c>
      <c r="C88" s="136">
        <v>3627297.5787235</v>
      </c>
      <c r="D88" s="136">
        <v>74950.948211365205</v>
      </c>
      <c r="E88" s="136">
        <v>2382512.9197820802</v>
      </c>
      <c r="F88" s="136">
        <v>6176893.3670180496</v>
      </c>
    </row>
    <row r="89" spans="1:6">
      <c r="A89" s="132">
        <v>329</v>
      </c>
      <c r="B89" s="136">
        <v>642920.850415583</v>
      </c>
      <c r="C89" s="136">
        <v>5752837.80522204</v>
      </c>
      <c r="D89" s="136">
        <v>15097.034350276101</v>
      </c>
      <c r="E89" s="136">
        <v>1198664.0696694001</v>
      </c>
      <c r="F89" s="136">
        <v>7609519.7596573001</v>
      </c>
    </row>
    <row r="90" spans="1:6">
      <c r="A90" s="132">
        <v>330</v>
      </c>
      <c r="B90" s="136">
        <v>901913.98111721105</v>
      </c>
      <c r="C90" s="136">
        <v>69012208.382910699</v>
      </c>
      <c r="D90" s="136">
        <v>1686309.11102103</v>
      </c>
      <c r="E90" s="136">
        <v>103049065.012302</v>
      </c>
      <c r="F90" s="136">
        <v>174649496.487351</v>
      </c>
    </row>
    <row r="91" spans="1:6">
      <c r="A91" s="132">
        <v>331</v>
      </c>
      <c r="B91" s="136">
        <v>589.92240550594101</v>
      </c>
      <c r="C91" s="136">
        <v>135162.38634838499</v>
      </c>
      <c r="D91" s="136">
        <v>0</v>
      </c>
      <c r="E91" s="136">
        <v>392492.27632812801</v>
      </c>
      <c r="F91" s="136">
        <v>528244.58508201898</v>
      </c>
    </row>
    <row r="92" spans="1:6">
      <c r="A92" s="132">
        <v>340</v>
      </c>
      <c r="B92" s="136">
        <v>2722047.7636541901</v>
      </c>
      <c r="C92" s="136">
        <v>55300942.504360102</v>
      </c>
      <c r="D92" s="136">
        <v>6094953.1061175298</v>
      </c>
      <c r="E92" s="136">
        <v>88123851.949168995</v>
      </c>
      <c r="F92" s="136">
        <v>152241795.32330099</v>
      </c>
    </row>
    <row r="93" spans="1:6">
      <c r="A93" s="132">
        <v>341</v>
      </c>
      <c r="B93" s="136">
        <v>9637.4798808346404</v>
      </c>
      <c r="C93" s="136">
        <v>3051523.9582584999</v>
      </c>
      <c r="D93" s="136">
        <v>17598.279790049201</v>
      </c>
      <c r="E93" s="136">
        <v>8865697.4340354409</v>
      </c>
      <c r="F93" s="136">
        <v>11944457.1519648</v>
      </c>
    </row>
    <row r="94" spans="1:6">
      <c r="A94" s="132">
        <v>342</v>
      </c>
      <c r="B94" s="136">
        <v>0</v>
      </c>
      <c r="C94" s="136">
        <v>4556.2575236201301</v>
      </c>
      <c r="D94" s="136">
        <v>12200.500806215699</v>
      </c>
      <c r="E94" s="136">
        <v>4034.1927658800901</v>
      </c>
      <c r="F94" s="136">
        <v>20790.9510957159</v>
      </c>
    </row>
    <row r="95" spans="1:6">
      <c r="A95" s="132">
        <v>346</v>
      </c>
      <c r="B95" s="136">
        <v>0</v>
      </c>
      <c r="C95" s="136">
        <v>0</v>
      </c>
      <c r="D95" s="136">
        <v>0</v>
      </c>
      <c r="E95" s="136">
        <v>0</v>
      </c>
      <c r="F95" s="136">
        <v>0</v>
      </c>
    </row>
    <row r="96" spans="1:6">
      <c r="A96" s="132">
        <v>350</v>
      </c>
      <c r="B96" s="136">
        <v>291046.826313367</v>
      </c>
      <c r="C96" s="136">
        <v>4819286.3252555197</v>
      </c>
      <c r="D96" s="136">
        <v>933741.79022067401</v>
      </c>
      <c r="E96" s="136">
        <v>14577225.0722783</v>
      </c>
      <c r="F96" s="136">
        <v>20621300.014067799</v>
      </c>
    </row>
    <row r="97" spans="1:8">
      <c r="A97" s="132">
        <v>352</v>
      </c>
      <c r="B97" s="136">
        <v>365533.07937721402</v>
      </c>
      <c r="C97" s="136">
        <v>357517.68235107203</v>
      </c>
      <c r="D97" s="136">
        <v>9877.0209151917006</v>
      </c>
      <c r="E97" s="136">
        <v>246329.22103756201</v>
      </c>
      <c r="F97" s="136">
        <v>979257.00368104002</v>
      </c>
      <c r="H97" s="62"/>
    </row>
    <row r="98" spans="1:8">
      <c r="A98" s="132">
        <v>360</v>
      </c>
      <c r="B98" s="136">
        <v>2069966.06798235</v>
      </c>
      <c r="C98" s="136">
        <v>140347703.40633801</v>
      </c>
      <c r="D98" s="136">
        <v>1390384.5443764699</v>
      </c>
      <c r="E98" s="136">
        <v>45420716.679748602</v>
      </c>
      <c r="F98" s="136">
        <v>189228770.69844499</v>
      </c>
    </row>
    <row r="99" spans="1:8">
      <c r="A99" s="132">
        <v>361</v>
      </c>
      <c r="B99" s="136">
        <v>629955.88026868901</v>
      </c>
      <c r="C99" s="136">
        <v>14473008.8207008</v>
      </c>
      <c r="D99" s="136">
        <v>4328957.5791386701</v>
      </c>
      <c r="E99" s="136">
        <v>86212385.825199097</v>
      </c>
      <c r="F99" s="136">
        <v>105644308.105307</v>
      </c>
    </row>
    <row r="100" spans="1:8">
      <c r="A100" s="132">
        <v>370</v>
      </c>
      <c r="B100" s="136">
        <v>1291665.17019679</v>
      </c>
      <c r="C100" s="136">
        <v>14443480.4559722</v>
      </c>
      <c r="D100" s="136">
        <v>7353612.4359914996</v>
      </c>
      <c r="E100" s="136">
        <v>86903374.0272865</v>
      </c>
      <c r="F100" s="136">
        <v>109992132.08944701</v>
      </c>
    </row>
    <row r="101" spans="1:8">
      <c r="A101" s="132">
        <v>371</v>
      </c>
      <c r="B101" s="136">
        <v>4596.2360529388698</v>
      </c>
      <c r="C101" s="136">
        <v>1107007.49375744</v>
      </c>
      <c r="D101" s="136">
        <v>24673.726472867402</v>
      </c>
      <c r="E101" s="136">
        <v>740440.79812755203</v>
      </c>
      <c r="F101" s="136">
        <v>1876718.2544108001</v>
      </c>
    </row>
    <row r="102" spans="1:8">
      <c r="A102" s="132">
        <v>400</v>
      </c>
      <c r="B102" s="136">
        <v>799971.86519385502</v>
      </c>
      <c r="C102" s="136">
        <v>79002001.533219099</v>
      </c>
      <c r="D102" s="136">
        <v>1764273.40034146</v>
      </c>
      <c r="E102" s="136">
        <v>89251810.431522697</v>
      </c>
      <c r="F102" s="136">
        <v>170818057.230277</v>
      </c>
    </row>
    <row r="103" spans="1:8">
      <c r="A103" s="132">
        <v>401</v>
      </c>
      <c r="B103" s="136">
        <v>139308.11463842899</v>
      </c>
      <c r="C103" s="136">
        <v>9319248.3788944501</v>
      </c>
      <c r="D103" s="136">
        <v>5967.6628870079403</v>
      </c>
      <c r="E103" s="136">
        <v>874661.32005261094</v>
      </c>
      <c r="F103" s="136">
        <v>10339185.476472501</v>
      </c>
    </row>
    <row r="104" spans="1:8">
      <c r="A104" s="132">
        <v>410</v>
      </c>
      <c r="B104" s="136">
        <v>615750.964891874</v>
      </c>
      <c r="C104" s="136">
        <v>63247231.775291599</v>
      </c>
      <c r="D104" s="136">
        <v>950339.30550113402</v>
      </c>
      <c r="E104" s="136">
        <v>150755441.181344</v>
      </c>
      <c r="F104" s="136">
        <v>215568763.22702801</v>
      </c>
    </row>
    <row r="105" spans="1:8">
      <c r="A105" s="132">
        <v>420</v>
      </c>
      <c r="B105" s="136">
        <v>2187851.5723851901</v>
      </c>
      <c r="C105" s="136">
        <v>124867897.169328</v>
      </c>
      <c r="D105" s="136">
        <v>4251173.8800505903</v>
      </c>
      <c r="E105" s="136">
        <v>128487196.93730401</v>
      </c>
      <c r="F105" s="136">
        <v>259794119.55906799</v>
      </c>
    </row>
    <row r="106" spans="1:8">
      <c r="A106" s="132">
        <v>421</v>
      </c>
      <c r="B106" s="136">
        <v>451691.601254554</v>
      </c>
      <c r="C106" s="136">
        <v>5180628.1913320003</v>
      </c>
      <c r="D106" s="136">
        <v>917875.14875974006</v>
      </c>
      <c r="E106" s="136">
        <v>9022879.2702700403</v>
      </c>
      <c r="F106" s="136">
        <v>15573074.2116163</v>
      </c>
    </row>
    <row r="107" spans="1:8">
      <c r="A107" s="132">
        <v>422</v>
      </c>
      <c r="B107" s="136">
        <v>7563.2167157986896</v>
      </c>
      <c r="C107" s="136">
        <v>1960999.52997493</v>
      </c>
      <c r="D107" s="136">
        <v>60409.228656157102</v>
      </c>
      <c r="E107" s="136">
        <v>3191721.13315049</v>
      </c>
      <c r="F107" s="136">
        <v>5220693.1084973803</v>
      </c>
    </row>
    <row r="108" spans="1:8">
      <c r="A108" s="132">
        <v>430</v>
      </c>
      <c r="B108" s="136">
        <v>867238.14529945899</v>
      </c>
      <c r="C108" s="136">
        <v>38555187.5752462</v>
      </c>
      <c r="D108" s="136">
        <v>634926.12901547598</v>
      </c>
      <c r="E108" s="136">
        <v>38903641.438348502</v>
      </c>
      <c r="F108" s="136">
        <v>78960993.287909701</v>
      </c>
    </row>
    <row r="109" spans="1:8">
      <c r="A109" s="132">
        <v>450</v>
      </c>
      <c r="B109" s="136">
        <v>26596.7000350776</v>
      </c>
      <c r="C109" s="136">
        <v>2924362.2683302602</v>
      </c>
      <c r="D109" s="136">
        <v>117089.621642599</v>
      </c>
      <c r="E109" s="136">
        <v>3398883.2314402498</v>
      </c>
      <c r="F109" s="136">
        <v>6466931.8214481799</v>
      </c>
    </row>
    <row r="110" spans="1:8">
      <c r="A110" s="132">
        <v>460</v>
      </c>
      <c r="B110" s="136">
        <v>7181.0335759691998</v>
      </c>
      <c r="C110" s="136">
        <v>333315.19268235302</v>
      </c>
      <c r="D110" s="136">
        <v>67019.342234083306</v>
      </c>
      <c r="E110" s="136">
        <v>986126.99876631796</v>
      </c>
      <c r="F110" s="136">
        <v>1393642.5672587201</v>
      </c>
    </row>
    <row r="111" spans="1:8">
      <c r="A111" s="132">
        <v>501</v>
      </c>
      <c r="B111" s="136">
        <v>6585996.34482738</v>
      </c>
      <c r="C111" s="136">
        <v>91751333.760581896</v>
      </c>
      <c r="D111" s="136">
        <v>10678592.718970099</v>
      </c>
      <c r="E111" s="136">
        <v>172673743.81172401</v>
      </c>
      <c r="F111" s="136">
        <v>281689666.63610399</v>
      </c>
    </row>
    <row r="112" spans="1:8">
      <c r="A112" s="132">
        <v>502</v>
      </c>
      <c r="B112" s="136">
        <v>5440531.18769807</v>
      </c>
      <c r="C112" s="136">
        <v>109244628.389081</v>
      </c>
      <c r="D112" s="136">
        <v>4709003.8111806596</v>
      </c>
      <c r="E112" s="136">
        <v>107284615.821917</v>
      </c>
      <c r="F112" s="136">
        <v>226678779.20987701</v>
      </c>
    </row>
    <row r="113" spans="1:6">
      <c r="A113" s="132">
        <v>503</v>
      </c>
      <c r="B113" s="136">
        <v>348114.95460105903</v>
      </c>
      <c r="C113" s="136">
        <v>4122114.46648663</v>
      </c>
      <c r="D113" s="136">
        <v>1242302.0994710601</v>
      </c>
      <c r="E113" s="136">
        <v>6975985.8508822899</v>
      </c>
      <c r="F113" s="136">
        <v>12688517.371440999</v>
      </c>
    </row>
    <row r="114" spans="1:6">
      <c r="A114" s="132">
        <v>560</v>
      </c>
      <c r="B114" s="136">
        <v>783693.07319398597</v>
      </c>
      <c r="C114" s="136">
        <v>45914490.713372998</v>
      </c>
      <c r="D114" s="136">
        <v>1118677.2613609801</v>
      </c>
      <c r="E114" s="136">
        <v>101126405.16372301</v>
      </c>
      <c r="F114" s="136">
        <v>148943266.211651</v>
      </c>
    </row>
    <row r="115" spans="1:6">
      <c r="A115" s="132">
        <v>650</v>
      </c>
      <c r="B115" s="136">
        <v>2326.82721668064</v>
      </c>
      <c r="C115" s="136">
        <v>9408008.3605140895</v>
      </c>
      <c r="D115" s="136">
        <v>484.495383730311</v>
      </c>
      <c r="E115" s="136">
        <v>20496625.454855502</v>
      </c>
      <c r="F115" s="136">
        <v>29907445.137970001</v>
      </c>
    </row>
    <row r="116" spans="1:6">
      <c r="A116" s="132">
        <v>651</v>
      </c>
      <c r="B116" s="136">
        <v>210.34735743927899</v>
      </c>
      <c r="C116" s="136">
        <v>1059372.3914752901</v>
      </c>
      <c r="D116" s="136">
        <v>873.63333392363199</v>
      </c>
      <c r="E116" s="136">
        <v>2305167.34422629</v>
      </c>
      <c r="F116" s="136">
        <v>3365623.7163929399</v>
      </c>
    </row>
    <row r="117" spans="1:6">
      <c r="A117" s="132">
        <v>652</v>
      </c>
      <c r="B117" s="136">
        <v>0</v>
      </c>
      <c r="C117" s="136">
        <v>493743.46796575002</v>
      </c>
      <c r="D117" s="136">
        <v>0</v>
      </c>
      <c r="E117" s="136">
        <v>979075.66397005797</v>
      </c>
      <c r="F117" s="136">
        <v>1472819.13193581</v>
      </c>
    </row>
    <row r="118" spans="1:6">
      <c r="A118" s="132">
        <v>653</v>
      </c>
      <c r="B118" s="136">
        <v>6626.7267141583798</v>
      </c>
      <c r="C118" s="136">
        <v>4211442.7394299498</v>
      </c>
      <c r="D118" s="136">
        <v>163209.37791604199</v>
      </c>
      <c r="E118" s="136">
        <v>8163649.3438863596</v>
      </c>
      <c r="F118" s="136">
        <v>12544928.1879465</v>
      </c>
    </row>
    <row r="119" spans="1:6">
      <c r="A119" s="132">
        <v>654</v>
      </c>
      <c r="B119" s="136">
        <v>2610.11106123641</v>
      </c>
      <c r="C119" s="136">
        <v>1669225.1045095599</v>
      </c>
      <c r="D119" s="136">
        <v>1710.1296341350501</v>
      </c>
      <c r="E119" s="136">
        <v>1702554.45794881</v>
      </c>
      <c r="F119" s="136">
        <v>3376099.80315375</v>
      </c>
    </row>
    <row r="120" spans="1:6">
      <c r="A120" s="132">
        <v>655</v>
      </c>
      <c r="B120" s="136">
        <v>546.82083916302804</v>
      </c>
      <c r="C120" s="136">
        <v>1547821.03800697</v>
      </c>
      <c r="D120" s="136">
        <v>4077.6480224011498</v>
      </c>
      <c r="E120" s="136">
        <v>4797831.3892130898</v>
      </c>
      <c r="F120" s="136">
        <v>6350276.8960816301</v>
      </c>
    </row>
    <row r="121" spans="1:6">
      <c r="A121" s="132">
        <v>656</v>
      </c>
      <c r="B121" s="136">
        <v>15629.8950826979</v>
      </c>
      <c r="C121" s="136">
        <v>2234045.7813937902</v>
      </c>
      <c r="D121" s="136">
        <v>31654.975794646401</v>
      </c>
      <c r="E121" s="136">
        <v>4961808.8254757104</v>
      </c>
      <c r="F121" s="136">
        <v>7243139.4777468396</v>
      </c>
    </row>
    <row r="122" spans="1:6">
      <c r="A122" s="132">
        <v>657</v>
      </c>
      <c r="B122" s="136">
        <v>0</v>
      </c>
      <c r="C122" s="136">
        <v>29302.9351750235</v>
      </c>
      <c r="D122" s="136">
        <v>0</v>
      </c>
      <c r="E122" s="136">
        <v>184618.90360427901</v>
      </c>
      <c r="F122" s="136">
        <v>213921.83877930301</v>
      </c>
    </row>
    <row r="123" spans="1:6">
      <c r="A123" s="132">
        <v>658</v>
      </c>
      <c r="B123" s="136">
        <v>0</v>
      </c>
      <c r="C123" s="136">
        <v>2160936.68217147</v>
      </c>
      <c r="D123" s="136">
        <v>0</v>
      </c>
      <c r="E123" s="136">
        <v>3469455.3847356802</v>
      </c>
      <c r="F123" s="136">
        <v>5630392.0669071497</v>
      </c>
    </row>
    <row r="124" spans="1:6">
      <c r="A124" s="132">
        <v>662</v>
      </c>
      <c r="B124" s="136">
        <v>613.90385927195302</v>
      </c>
      <c r="C124" s="136">
        <v>202212.51860691601</v>
      </c>
      <c r="D124" s="136">
        <v>642.67326318099299</v>
      </c>
      <c r="E124" s="136">
        <v>646940.25084408699</v>
      </c>
      <c r="F124" s="136">
        <v>850409.34657345596</v>
      </c>
    </row>
    <row r="125" spans="1:6">
      <c r="A125" s="132">
        <v>663</v>
      </c>
      <c r="B125" s="136">
        <v>0</v>
      </c>
      <c r="C125" s="136">
        <v>136350.39474689899</v>
      </c>
      <c r="D125" s="136">
        <v>0</v>
      </c>
      <c r="E125" s="136">
        <v>488342.264263627</v>
      </c>
      <c r="F125" s="136">
        <v>624692.65901052603</v>
      </c>
    </row>
    <row r="126" spans="1:6">
      <c r="A126" s="132">
        <v>710</v>
      </c>
      <c r="B126" s="136">
        <v>0</v>
      </c>
      <c r="C126" s="136">
        <v>307571.65740103897</v>
      </c>
      <c r="D126" s="136">
        <v>0</v>
      </c>
      <c r="E126" s="136">
        <v>735429.25943506998</v>
      </c>
      <c r="F126" s="136">
        <v>1043000.9168361099</v>
      </c>
    </row>
    <row r="127" spans="1:6">
      <c r="A127" s="132">
        <v>711</v>
      </c>
      <c r="B127" s="136">
        <v>73324.758883858201</v>
      </c>
      <c r="C127" s="136">
        <v>616448.39788246399</v>
      </c>
      <c r="D127" s="136">
        <v>1620.6329420141999</v>
      </c>
      <c r="E127" s="136">
        <v>2579302.4945634599</v>
      </c>
      <c r="F127" s="136">
        <v>3270696.2842718</v>
      </c>
    </row>
    <row r="128" spans="1:6">
      <c r="A128" s="132">
        <v>712</v>
      </c>
      <c r="B128" s="136">
        <v>0</v>
      </c>
      <c r="C128" s="136">
        <v>23921.241945780701</v>
      </c>
      <c r="D128" s="136">
        <v>0</v>
      </c>
      <c r="E128" s="136">
        <v>325787.294865829</v>
      </c>
      <c r="F128" s="136">
        <v>349708.53681160999</v>
      </c>
    </row>
    <row r="129" spans="1:6">
      <c r="A129" s="132">
        <v>713</v>
      </c>
      <c r="B129" s="136">
        <v>0</v>
      </c>
      <c r="C129" s="136">
        <v>28439.5504024398</v>
      </c>
      <c r="D129" s="136">
        <v>0</v>
      </c>
      <c r="E129" s="136">
        <v>380484.59551986499</v>
      </c>
      <c r="F129" s="136">
        <v>408924.145922305</v>
      </c>
    </row>
    <row r="130" spans="1:6">
      <c r="A130" s="132">
        <v>715</v>
      </c>
      <c r="B130" s="136">
        <v>0</v>
      </c>
      <c r="C130" s="136">
        <v>98879.352720607203</v>
      </c>
      <c r="D130" s="136">
        <v>0</v>
      </c>
      <c r="E130" s="136">
        <v>315249.266054212</v>
      </c>
      <c r="F130" s="136">
        <v>414128.61877481901</v>
      </c>
    </row>
    <row r="131" spans="1:6">
      <c r="A131" s="132">
        <v>721</v>
      </c>
      <c r="B131" s="136">
        <v>0</v>
      </c>
      <c r="C131" s="136">
        <v>6477.0299416301004</v>
      </c>
      <c r="D131" s="136">
        <v>0</v>
      </c>
      <c r="E131" s="136">
        <v>12343.3316743299</v>
      </c>
      <c r="F131" s="136">
        <v>18820.361615959999</v>
      </c>
    </row>
    <row r="132" spans="1:6">
      <c r="A132" s="132">
        <v>722</v>
      </c>
      <c r="B132" s="136">
        <v>0</v>
      </c>
      <c r="C132" s="136">
        <v>257894.51633592401</v>
      </c>
      <c r="D132" s="136">
        <v>0</v>
      </c>
      <c r="E132" s="136">
        <v>400772.015008057</v>
      </c>
      <c r="F132" s="136">
        <v>658666.53134398197</v>
      </c>
    </row>
    <row r="133" spans="1:6">
      <c r="A133" s="132">
        <v>800</v>
      </c>
      <c r="B133" s="136">
        <v>2195593.6430112398</v>
      </c>
      <c r="C133" s="136">
        <v>23207213.720642202</v>
      </c>
      <c r="D133" s="136">
        <v>9750635.3915862199</v>
      </c>
      <c r="E133" s="136">
        <v>101326137.31218</v>
      </c>
      <c r="F133" s="136">
        <v>136479580.06741899</v>
      </c>
    </row>
    <row r="134" spans="1:6">
      <c r="A134" s="132">
        <v>811</v>
      </c>
      <c r="B134" s="136">
        <v>12356.218217780801</v>
      </c>
      <c r="C134" s="136">
        <v>694593.713030527</v>
      </c>
      <c r="D134" s="136">
        <v>50136.250884095498</v>
      </c>
      <c r="E134" s="136">
        <v>586913.85827492201</v>
      </c>
      <c r="F134" s="136">
        <v>1344000.04040733</v>
      </c>
    </row>
    <row r="135" spans="1:6">
      <c r="A135" s="132">
        <v>812</v>
      </c>
      <c r="B135" s="136">
        <v>1392.82292350591</v>
      </c>
      <c r="C135" s="136">
        <v>5198307.2763774302</v>
      </c>
      <c r="D135" s="136">
        <v>31.288699417954099</v>
      </c>
      <c r="E135" s="136">
        <v>1084730.20341907</v>
      </c>
      <c r="F135" s="136">
        <v>6284461.5914194202</v>
      </c>
    </row>
    <row r="136" spans="1:6">
      <c r="A136" s="132">
        <v>822</v>
      </c>
      <c r="B136" s="136">
        <v>15626.790252373199</v>
      </c>
      <c r="C136" s="136">
        <v>1245566.81477949</v>
      </c>
      <c r="D136" s="136">
        <v>16938.253835351701</v>
      </c>
      <c r="E136" s="136">
        <v>3150790.84332082</v>
      </c>
      <c r="F136" s="136">
        <v>4428922.7021880401</v>
      </c>
    </row>
    <row r="137" spans="1:6">
      <c r="A137" s="132">
        <v>834</v>
      </c>
      <c r="B137" s="136">
        <v>0</v>
      </c>
      <c r="C137" s="136">
        <v>7247.3150526448399</v>
      </c>
      <c r="D137" s="136">
        <v>0</v>
      </c>
      <c r="E137" s="136">
        <v>123623.69261872501</v>
      </c>
      <c r="F137" s="136">
        <v>130871.00767136901</v>
      </c>
    </row>
    <row r="138" spans="1:6">
      <c r="A138" s="132">
        <v>840</v>
      </c>
      <c r="B138" s="136">
        <v>0</v>
      </c>
      <c r="C138" s="136">
        <v>1142172.18011431</v>
      </c>
      <c r="D138" s="136">
        <v>0</v>
      </c>
      <c r="E138" s="136">
        <v>1196211.35420875</v>
      </c>
      <c r="F138" s="136">
        <v>2338383.5343230502</v>
      </c>
    </row>
    <row r="139" spans="1:6">
      <c r="A139" s="133">
        <v>920</v>
      </c>
      <c r="B139" s="137">
        <v>0</v>
      </c>
      <c r="C139" s="137">
        <v>181.356981207057</v>
      </c>
      <c r="D139" s="137">
        <v>0</v>
      </c>
      <c r="E139" s="137">
        <v>166.90442164526399</v>
      </c>
      <c r="F139" s="137">
        <v>348.261402852321</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sheetPr>
  <dimension ref="A1:S139"/>
  <sheetViews>
    <sheetView workbookViewId="0">
      <pane xSplit="1" ySplit="2" topLeftCell="B3" activePane="bottomRight" state="frozen"/>
      <selection pane="topRight" activeCell="B1" sqref="B1"/>
      <selection pane="bottomLeft" activeCell="A3" sqref="A3"/>
      <selection pane="bottomRight"/>
    </sheetView>
  </sheetViews>
  <sheetFormatPr defaultRowHeight="15"/>
  <cols>
    <col min="2" max="2" width="14.5703125" customWidth="1"/>
    <col min="3" max="3" width="11.85546875" customWidth="1"/>
    <col min="4" max="4" width="11.42578125" customWidth="1"/>
    <col min="5" max="5" width="10.7109375" customWidth="1"/>
    <col min="6" max="6" width="10.85546875" customWidth="1"/>
    <col min="7" max="7" width="9.85546875" customWidth="1"/>
    <col min="8" max="8" width="11.28515625" bestFit="1" customWidth="1"/>
    <col min="9" max="9" width="10.7109375" customWidth="1"/>
    <col min="10" max="10" width="10" customWidth="1"/>
  </cols>
  <sheetData>
    <row r="1" spans="1:19" s="52" customFormat="1">
      <c r="A1" s="64" t="s">
        <v>545</v>
      </c>
    </row>
    <row r="2" spans="1:19" ht="33" customHeight="1">
      <c r="A2" s="139" t="s">
        <v>0</v>
      </c>
      <c r="B2" s="139" t="s">
        <v>65</v>
      </c>
      <c r="C2" s="139" t="s">
        <v>66</v>
      </c>
      <c r="D2" s="139" t="s">
        <v>67</v>
      </c>
      <c r="E2" s="139" t="s">
        <v>68</v>
      </c>
      <c r="F2" s="139" t="s">
        <v>69</v>
      </c>
      <c r="G2" s="139" t="s">
        <v>70</v>
      </c>
      <c r="H2" s="139" t="s">
        <v>71</v>
      </c>
      <c r="I2" s="139" t="s">
        <v>72</v>
      </c>
      <c r="J2" s="139" t="s">
        <v>73</v>
      </c>
      <c r="L2" s="6"/>
      <c r="M2" s="6"/>
      <c r="N2" s="6"/>
      <c r="O2" s="6"/>
      <c r="P2" s="6"/>
      <c r="Q2" s="6"/>
      <c r="R2" s="6"/>
      <c r="S2" s="6"/>
    </row>
    <row r="3" spans="1:19">
      <c r="A3" s="138">
        <v>100</v>
      </c>
      <c r="B3" s="140">
        <v>1872787</v>
      </c>
      <c r="C3" s="140">
        <v>9261</v>
      </c>
      <c r="D3" s="140">
        <v>647396</v>
      </c>
      <c r="E3" s="140">
        <v>12255</v>
      </c>
      <c r="F3" s="140">
        <v>901270</v>
      </c>
      <c r="G3" s="140">
        <v>342</v>
      </c>
      <c r="H3" s="140">
        <v>78567</v>
      </c>
      <c r="I3" s="140">
        <v>11183</v>
      </c>
      <c r="J3" s="140">
        <v>212513</v>
      </c>
      <c r="L3" s="6"/>
      <c r="M3" s="6"/>
      <c r="N3" s="6"/>
      <c r="O3" s="6"/>
      <c r="P3" s="6"/>
      <c r="Q3" s="6"/>
      <c r="R3" s="6"/>
      <c r="S3" s="6"/>
    </row>
    <row r="4" spans="1:19">
      <c r="A4" s="138">
        <v>101</v>
      </c>
      <c r="B4" s="140">
        <v>1784030</v>
      </c>
      <c r="C4" s="140">
        <v>6220</v>
      </c>
      <c r="D4" s="140">
        <v>534811</v>
      </c>
      <c r="E4" s="140">
        <v>19872</v>
      </c>
      <c r="F4" s="140">
        <v>1056079</v>
      </c>
      <c r="G4" s="140">
        <v>486</v>
      </c>
      <c r="H4" s="140">
        <v>36166</v>
      </c>
      <c r="I4" s="140">
        <v>648</v>
      </c>
      <c r="J4" s="140">
        <v>129748</v>
      </c>
    </row>
    <row r="5" spans="1:19">
      <c r="A5" s="138">
        <v>102</v>
      </c>
      <c r="B5" s="140">
        <v>81303</v>
      </c>
      <c r="C5" s="140">
        <v>598</v>
      </c>
      <c r="D5" s="140">
        <v>5040</v>
      </c>
      <c r="E5" s="140">
        <v>6621</v>
      </c>
      <c r="F5" s="140">
        <v>65898</v>
      </c>
      <c r="G5" s="140">
        <v>1</v>
      </c>
      <c r="H5" s="140">
        <v>147</v>
      </c>
      <c r="I5" s="140">
        <v>43</v>
      </c>
      <c r="J5" s="140">
        <v>2955</v>
      </c>
    </row>
    <row r="6" spans="1:19">
      <c r="A6" s="138">
        <v>103</v>
      </c>
      <c r="B6" s="140">
        <v>967651</v>
      </c>
      <c r="C6" s="140">
        <v>58202</v>
      </c>
      <c r="D6" s="140">
        <v>345359</v>
      </c>
      <c r="E6" s="140">
        <v>37356</v>
      </c>
      <c r="F6" s="140">
        <v>443918</v>
      </c>
      <c r="G6" s="140">
        <v>749</v>
      </c>
      <c r="H6" s="140">
        <v>17952</v>
      </c>
      <c r="I6" s="140">
        <v>779</v>
      </c>
      <c r="J6" s="140">
        <v>63336</v>
      </c>
    </row>
    <row r="7" spans="1:19">
      <c r="A7" s="138">
        <v>104</v>
      </c>
      <c r="B7" s="140">
        <v>507783</v>
      </c>
      <c r="C7" s="140">
        <v>2978</v>
      </c>
      <c r="D7" s="140">
        <v>186860</v>
      </c>
      <c r="E7" s="140">
        <v>9130</v>
      </c>
      <c r="F7" s="140">
        <v>258551</v>
      </c>
      <c r="G7" s="140">
        <v>21</v>
      </c>
      <c r="H7" s="140">
        <v>11860</v>
      </c>
      <c r="I7" s="140">
        <v>572</v>
      </c>
      <c r="J7" s="140">
        <v>37811</v>
      </c>
    </row>
    <row r="8" spans="1:19">
      <c r="A8" s="138">
        <v>105</v>
      </c>
      <c r="B8" s="140">
        <v>47832</v>
      </c>
      <c r="C8" s="140">
        <v>1594</v>
      </c>
      <c r="D8" s="140">
        <v>12384</v>
      </c>
      <c r="E8" s="140">
        <v>4031</v>
      </c>
      <c r="F8" s="140">
        <v>28741</v>
      </c>
      <c r="G8" s="140">
        <v>0</v>
      </c>
      <c r="H8" s="140">
        <v>4</v>
      </c>
      <c r="I8" s="140">
        <v>6</v>
      </c>
      <c r="J8" s="140">
        <v>1072</v>
      </c>
    </row>
    <row r="9" spans="1:19">
      <c r="A9" s="138">
        <v>106</v>
      </c>
      <c r="B9" s="140">
        <v>136924</v>
      </c>
      <c r="C9" s="140">
        <v>868</v>
      </c>
      <c r="D9" s="140">
        <v>56651</v>
      </c>
      <c r="E9" s="140">
        <v>2021</v>
      </c>
      <c r="F9" s="140">
        <v>71292</v>
      </c>
      <c r="G9" s="140">
        <v>1</v>
      </c>
      <c r="H9" s="140">
        <v>2367</v>
      </c>
      <c r="I9" s="140">
        <v>17</v>
      </c>
      <c r="J9" s="140">
        <v>3707</v>
      </c>
    </row>
    <row r="10" spans="1:19">
      <c r="A10" s="138">
        <v>107</v>
      </c>
      <c r="B10" s="140">
        <v>417562</v>
      </c>
      <c r="C10" s="140">
        <v>3224</v>
      </c>
      <c r="D10" s="140">
        <v>160273</v>
      </c>
      <c r="E10" s="140">
        <v>4861</v>
      </c>
      <c r="F10" s="140">
        <v>201718</v>
      </c>
      <c r="G10" s="140">
        <v>102</v>
      </c>
      <c r="H10" s="140">
        <v>22843</v>
      </c>
      <c r="I10" s="140">
        <v>25</v>
      </c>
      <c r="J10" s="140">
        <v>24516</v>
      </c>
    </row>
    <row r="11" spans="1:19">
      <c r="A11" s="138">
        <v>108</v>
      </c>
      <c r="B11" s="140">
        <v>49797</v>
      </c>
      <c r="C11" s="140">
        <v>258</v>
      </c>
      <c r="D11" s="140">
        <v>14516</v>
      </c>
      <c r="E11" s="140">
        <v>872</v>
      </c>
      <c r="F11" s="140">
        <v>33740</v>
      </c>
      <c r="G11" s="140">
        <v>0</v>
      </c>
      <c r="H11" s="140">
        <v>232</v>
      </c>
      <c r="I11" s="140">
        <v>0</v>
      </c>
      <c r="J11" s="140">
        <v>179</v>
      </c>
    </row>
    <row r="12" spans="1:19">
      <c r="A12" s="138">
        <v>110</v>
      </c>
      <c r="B12" s="140">
        <v>6378298</v>
      </c>
      <c r="C12" s="140">
        <v>43339</v>
      </c>
      <c r="D12" s="140">
        <v>2068546</v>
      </c>
      <c r="E12" s="140">
        <v>77507</v>
      </c>
      <c r="F12" s="140">
        <v>3633909</v>
      </c>
      <c r="G12" s="140">
        <v>14732</v>
      </c>
      <c r="H12" s="140">
        <v>183687</v>
      </c>
      <c r="I12" s="140">
        <v>14829</v>
      </c>
      <c r="J12" s="140">
        <v>341749</v>
      </c>
    </row>
    <row r="13" spans="1:19">
      <c r="A13" s="138">
        <v>120</v>
      </c>
      <c r="B13" s="140">
        <v>1556690</v>
      </c>
      <c r="C13" s="140">
        <v>7127</v>
      </c>
      <c r="D13" s="140">
        <v>560322</v>
      </c>
      <c r="E13" s="140">
        <v>17427</v>
      </c>
      <c r="F13" s="140">
        <v>829196</v>
      </c>
      <c r="G13" s="140">
        <v>67</v>
      </c>
      <c r="H13" s="140">
        <v>45936</v>
      </c>
      <c r="I13" s="140">
        <v>239</v>
      </c>
      <c r="J13" s="140">
        <v>96376</v>
      </c>
    </row>
    <row r="14" spans="1:19">
      <c r="A14" s="138">
        <v>130</v>
      </c>
      <c r="B14" s="140">
        <v>5407286</v>
      </c>
      <c r="C14" s="140">
        <v>49342</v>
      </c>
      <c r="D14" s="140">
        <v>1291075</v>
      </c>
      <c r="E14" s="140">
        <v>149568</v>
      </c>
      <c r="F14" s="140">
        <v>3326047</v>
      </c>
      <c r="G14" s="140">
        <v>679</v>
      </c>
      <c r="H14" s="140">
        <v>111220</v>
      </c>
      <c r="I14" s="140">
        <v>3083</v>
      </c>
      <c r="J14" s="140">
        <v>476272</v>
      </c>
    </row>
    <row r="15" spans="1:19">
      <c r="A15" s="138">
        <v>140</v>
      </c>
      <c r="B15" s="140">
        <v>802879</v>
      </c>
      <c r="C15" s="140">
        <v>4720</v>
      </c>
      <c r="D15" s="140">
        <v>366952</v>
      </c>
      <c r="E15" s="140">
        <v>8493</v>
      </c>
      <c r="F15" s="140">
        <v>380389</v>
      </c>
      <c r="G15" s="140">
        <v>49</v>
      </c>
      <c r="H15" s="140">
        <v>17806</v>
      </c>
      <c r="I15" s="140">
        <v>183</v>
      </c>
      <c r="J15" s="140">
        <v>24287</v>
      </c>
    </row>
    <row r="16" spans="1:19">
      <c r="A16" s="138">
        <v>141</v>
      </c>
      <c r="B16" s="140">
        <v>290894</v>
      </c>
      <c r="C16" s="140">
        <v>1103</v>
      </c>
      <c r="D16" s="140">
        <v>88062</v>
      </c>
      <c r="E16" s="140">
        <v>674</v>
      </c>
      <c r="F16" s="140">
        <v>192581</v>
      </c>
      <c r="G16" s="140">
        <v>0</v>
      </c>
      <c r="H16" s="140">
        <v>839</v>
      </c>
      <c r="I16" s="140">
        <v>0</v>
      </c>
      <c r="J16" s="140">
        <v>7635</v>
      </c>
    </row>
    <row r="17" spans="1:10">
      <c r="A17" s="138">
        <v>142</v>
      </c>
      <c r="B17" s="140">
        <v>83628</v>
      </c>
      <c r="C17" s="140">
        <v>87</v>
      </c>
      <c r="D17" s="140">
        <v>27557</v>
      </c>
      <c r="E17" s="140">
        <v>263</v>
      </c>
      <c r="F17" s="140">
        <v>51729</v>
      </c>
      <c r="G17" s="140">
        <v>48</v>
      </c>
      <c r="H17" s="140">
        <v>1405</v>
      </c>
      <c r="I17" s="140">
        <v>44</v>
      </c>
      <c r="J17" s="140">
        <v>2495</v>
      </c>
    </row>
    <row r="18" spans="1:10">
      <c r="A18" s="138">
        <v>143</v>
      </c>
      <c r="B18" s="140">
        <v>279628</v>
      </c>
      <c r="C18" s="140">
        <v>1555</v>
      </c>
      <c r="D18" s="140">
        <v>57997</v>
      </c>
      <c r="E18" s="140">
        <v>6968</v>
      </c>
      <c r="F18" s="140">
        <v>200515</v>
      </c>
      <c r="G18" s="140">
        <v>173</v>
      </c>
      <c r="H18" s="140">
        <v>2307</v>
      </c>
      <c r="I18" s="140">
        <v>341</v>
      </c>
      <c r="J18" s="140">
        <v>9772</v>
      </c>
    </row>
    <row r="19" spans="1:10">
      <c r="A19" s="138">
        <v>144</v>
      </c>
      <c r="B19" s="140">
        <v>355098</v>
      </c>
      <c r="C19" s="140">
        <v>1378</v>
      </c>
      <c r="D19" s="140">
        <v>157569</v>
      </c>
      <c r="E19" s="140">
        <v>5629</v>
      </c>
      <c r="F19" s="140">
        <v>181597</v>
      </c>
      <c r="G19" s="140">
        <v>2</v>
      </c>
      <c r="H19" s="140">
        <v>2124</v>
      </c>
      <c r="I19" s="140">
        <v>3</v>
      </c>
      <c r="J19" s="140">
        <v>6796</v>
      </c>
    </row>
    <row r="20" spans="1:10">
      <c r="A20" s="138">
        <v>150</v>
      </c>
      <c r="B20" s="140">
        <v>266407</v>
      </c>
      <c r="C20" s="140">
        <v>4952</v>
      </c>
      <c r="D20" s="140">
        <v>95804</v>
      </c>
      <c r="E20" s="140">
        <v>4681</v>
      </c>
      <c r="F20" s="140">
        <v>149638</v>
      </c>
      <c r="G20" s="140">
        <v>0</v>
      </c>
      <c r="H20" s="140">
        <v>4299</v>
      </c>
      <c r="I20" s="140">
        <v>39</v>
      </c>
      <c r="J20" s="140">
        <v>6994</v>
      </c>
    </row>
    <row r="21" spans="1:10">
      <c r="A21" s="138">
        <v>160</v>
      </c>
      <c r="B21" s="140">
        <v>779236</v>
      </c>
      <c r="C21" s="140">
        <v>11652</v>
      </c>
      <c r="D21" s="140">
        <v>225286</v>
      </c>
      <c r="E21" s="140">
        <v>13306</v>
      </c>
      <c r="F21" s="140">
        <v>450009</v>
      </c>
      <c r="G21" s="140">
        <v>84</v>
      </c>
      <c r="H21" s="140">
        <v>12997</v>
      </c>
      <c r="I21" s="140">
        <v>1639</v>
      </c>
      <c r="J21" s="140">
        <v>64263</v>
      </c>
    </row>
    <row r="22" spans="1:10">
      <c r="A22" s="138">
        <v>161</v>
      </c>
      <c r="B22" s="140">
        <v>39032</v>
      </c>
      <c r="C22" s="140">
        <v>14</v>
      </c>
      <c r="D22" s="140">
        <v>17661</v>
      </c>
      <c r="E22" s="140">
        <v>614</v>
      </c>
      <c r="F22" s="140">
        <v>15082</v>
      </c>
      <c r="G22" s="140">
        <v>217</v>
      </c>
      <c r="H22" s="140">
        <v>876</v>
      </c>
      <c r="I22" s="140">
        <v>857</v>
      </c>
      <c r="J22" s="140">
        <v>3711</v>
      </c>
    </row>
    <row r="23" spans="1:10">
      <c r="A23" s="138">
        <v>170</v>
      </c>
      <c r="B23" s="140">
        <v>70117</v>
      </c>
      <c r="C23" s="140">
        <v>242</v>
      </c>
      <c r="D23" s="140">
        <v>23691</v>
      </c>
      <c r="E23" s="140">
        <v>486</v>
      </c>
      <c r="F23" s="140">
        <v>37755</v>
      </c>
      <c r="G23" s="140">
        <v>543</v>
      </c>
      <c r="H23" s="140">
        <v>637</v>
      </c>
      <c r="I23" s="140">
        <v>211</v>
      </c>
      <c r="J23" s="140">
        <v>6552</v>
      </c>
    </row>
    <row r="24" spans="1:10">
      <c r="A24" s="138">
        <v>171</v>
      </c>
      <c r="B24" s="140">
        <v>130587</v>
      </c>
      <c r="C24" s="140">
        <v>959</v>
      </c>
      <c r="D24" s="140">
        <v>53636</v>
      </c>
      <c r="E24" s="140">
        <v>1607</v>
      </c>
      <c r="F24" s="140">
        <v>69097</v>
      </c>
      <c r="G24" s="140">
        <v>2</v>
      </c>
      <c r="H24" s="140">
        <v>691</v>
      </c>
      <c r="I24" s="140">
        <v>416</v>
      </c>
      <c r="J24" s="140">
        <v>4179</v>
      </c>
    </row>
    <row r="25" spans="1:10">
      <c r="A25" s="138">
        <v>172</v>
      </c>
      <c r="B25" s="140">
        <v>47916</v>
      </c>
      <c r="C25" s="140">
        <v>1244</v>
      </c>
      <c r="D25" s="140">
        <v>14816</v>
      </c>
      <c r="E25" s="140">
        <v>2630</v>
      </c>
      <c r="F25" s="140">
        <v>24575</v>
      </c>
      <c r="G25" s="140">
        <v>5</v>
      </c>
      <c r="H25" s="140">
        <v>1522</v>
      </c>
      <c r="I25" s="140">
        <v>181</v>
      </c>
      <c r="J25" s="140">
        <v>2943</v>
      </c>
    </row>
    <row r="26" spans="1:10">
      <c r="A26" s="138">
        <v>173</v>
      </c>
      <c r="B26" s="140">
        <v>31205</v>
      </c>
      <c r="C26" s="140">
        <v>204</v>
      </c>
      <c r="D26" s="140">
        <v>8700</v>
      </c>
      <c r="E26" s="140">
        <v>210</v>
      </c>
      <c r="F26" s="140">
        <v>20732</v>
      </c>
      <c r="G26" s="140">
        <v>3</v>
      </c>
      <c r="H26" s="140">
        <v>981</v>
      </c>
      <c r="I26" s="140">
        <v>128</v>
      </c>
      <c r="J26" s="140">
        <v>247</v>
      </c>
    </row>
    <row r="27" spans="1:10">
      <c r="A27" s="138">
        <v>174</v>
      </c>
      <c r="B27" s="140">
        <v>9093</v>
      </c>
      <c r="C27" s="140">
        <v>1</v>
      </c>
      <c r="D27" s="140">
        <v>458</v>
      </c>
      <c r="E27" s="140">
        <v>11</v>
      </c>
      <c r="F27" s="140">
        <v>8622</v>
      </c>
      <c r="G27" s="140">
        <v>0</v>
      </c>
      <c r="H27" s="140">
        <v>1</v>
      </c>
      <c r="I27" s="140">
        <v>0</v>
      </c>
      <c r="J27" s="140">
        <v>0</v>
      </c>
    </row>
    <row r="28" spans="1:10">
      <c r="A28" s="138">
        <v>180</v>
      </c>
      <c r="B28" s="140">
        <v>227897</v>
      </c>
      <c r="C28" s="140">
        <v>87</v>
      </c>
      <c r="D28" s="140">
        <v>167595</v>
      </c>
      <c r="E28" s="140">
        <v>115</v>
      </c>
      <c r="F28" s="140">
        <v>46275</v>
      </c>
      <c r="G28" s="140">
        <v>7</v>
      </c>
      <c r="H28" s="140">
        <v>9312</v>
      </c>
      <c r="I28" s="140">
        <v>1</v>
      </c>
      <c r="J28" s="140">
        <v>4505</v>
      </c>
    </row>
    <row r="29" spans="1:10">
      <c r="A29" s="138">
        <v>190</v>
      </c>
      <c r="B29" s="140">
        <v>362015</v>
      </c>
      <c r="C29" s="140">
        <v>308</v>
      </c>
      <c r="D29" s="140">
        <v>87523</v>
      </c>
      <c r="E29" s="140">
        <v>1592</v>
      </c>
      <c r="F29" s="140">
        <v>141423</v>
      </c>
      <c r="G29" s="140">
        <v>344</v>
      </c>
      <c r="H29" s="140">
        <v>28777</v>
      </c>
      <c r="I29" s="140">
        <v>289</v>
      </c>
      <c r="J29" s="140">
        <v>101759</v>
      </c>
    </row>
    <row r="30" spans="1:10">
      <c r="A30" s="138">
        <v>191</v>
      </c>
      <c r="B30" s="140">
        <v>642527</v>
      </c>
      <c r="C30" s="140">
        <v>5635</v>
      </c>
      <c r="D30" s="140">
        <v>190745</v>
      </c>
      <c r="E30" s="140">
        <v>5196</v>
      </c>
      <c r="F30" s="140">
        <v>333505</v>
      </c>
      <c r="G30" s="140">
        <v>974</v>
      </c>
      <c r="H30" s="140">
        <v>16965</v>
      </c>
      <c r="I30" s="140">
        <v>3805</v>
      </c>
      <c r="J30" s="140">
        <v>85702</v>
      </c>
    </row>
    <row r="31" spans="1:10">
      <c r="A31" s="138">
        <v>192</v>
      </c>
      <c r="B31" s="140">
        <v>1180</v>
      </c>
      <c r="C31" s="140">
        <v>0</v>
      </c>
      <c r="D31" s="140">
        <v>546</v>
      </c>
      <c r="E31" s="140">
        <v>1</v>
      </c>
      <c r="F31" s="140">
        <v>327</v>
      </c>
      <c r="G31" s="140">
        <v>0</v>
      </c>
      <c r="H31" s="140">
        <v>179</v>
      </c>
      <c r="I31" s="140">
        <v>0</v>
      </c>
      <c r="J31" s="140">
        <v>127</v>
      </c>
    </row>
    <row r="32" spans="1:10">
      <c r="A32" s="138">
        <v>211</v>
      </c>
      <c r="B32" s="140">
        <v>49321</v>
      </c>
      <c r="C32" s="140">
        <v>290</v>
      </c>
      <c r="D32" s="140">
        <v>17183</v>
      </c>
      <c r="E32" s="140">
        <v>629</v>
      </c>
      <c r="F32" s="140">
        <v>28240</v>
      </c>
      <c r="G32" s="140">
        <v>1</v>
      </c>
      <c r="H32" s="140">
        <v>560</v>
      </c>
      <c r="I32" s="140">
        <v>70</v>
      </c>
      <c r="J32" s="140">
        <v>2348</v>
      </c>
    </row>
    <row r="33" spans="1:10">
      <c r="A33" s="138">
        <v>212</v>
      </c>
      <c r="B33" s="140">
        <v>1897</v>
      </c>
      <c r="C33" s="140">
        <v>10</v>
      </c>
      <c r="D33" s="140">
        <v>649</v>
      </c>
      <c r="E33" s="140">
        <v>133</v>
      </c>
      <c r="F33" s="140">
        <v>984</v>
      </c>
      <c r="G33" s="140">
        <v>0</v>
      </c>
      <c r="H33" s="140">
        <v>13</v>
      </c>
      <c r="I33" s="140">
        <v>0</v>
      </c>
      <c r="J33" s="140">
        <v>108</v>
      </c>
    </row>
    <row r="34" spans="1:10">
      <c r="A34" s="138">
        <v>213</v>
      </c>
      <c r="B34" s="140">
        <v>51</v>
      </c>
      <c r="C34" s="140">
        <v>0</v>
      </c>
      <c r="D34" s="140">
        <v>25</v>
      </c>
      <c r="E34" s="140">
        <v>0</v>
      </c>
      <c r="F34" s="140">
        <v>26</v>
      </c>
      <c r="G34" s="140">
        <v>0</v>
      </c>
      <c r="H34" s="140">
        <v>0</v>
      </c>
      <c r="I34" s="140">
        <v>0</v>
      </c>
      <c r="J34" s="140">
        <v>0</v>
      </c>
    </row>
    <row r="35" spans="1:10">
      <c r="A35" s="138">
        <v>214</v>
      </c>
      <c r="B35" s="140">
        <v>223173</v>
      </c>
      <c r="C35" s="140">
        <v>1885</v>
      </c>
      <c r="D35" s="140">
        <v>82522</v>
      </c>
      <c r="E35" s="140">
        <v>2792</v>
      </c>
      <c r="F35" s="140">
        <v>124802</v>
      </c>
      <c r="G35" s="140">
        <v>6</v>
      </c>
      <c r="H35" s="140">
        <v>2669</v>
      </c>
      <c r="I35" s="140">
        <v>4</v>
      </c>
      <c r="J35" s="140">
        <v>8493</v>
      </c>
    </row>
    <row r="36" spans="1:10">
      <c r="A36" s="138">
        <v>215</v>
      </c>
      <c r="B36" s="140">
        <v>116844</v>
      </c>
      <c r="C36" s="140">
        <v>1937</v>
      </c>
      <c r="D36" s="140">
        <v>39065</v>
      </c>
      <c r="E36" s="140">
        <v>3078</v>
      </c>
      <c r="F36" s="140">
        <v>56050</v>
      </c>
      <c r="G36" s="140">
        <v>2</v>
      </c>
      <c r="H36" s="140">
        <v>10440</v>
      </c>
      <c r="I36" s="140">
        <v>6</v>
      </c>
      <c r="J36" s="140">
        <v>6266</v>
      </c>
    </row>
    <row r="37" spans="1:10">
      <c r="A37" s="138">
        <v>216</v>
      </c>
      <c r="B37" s="140">
        <v>248661</v>
      </c>
      <c r="C37" s="140">
        <v>2271</v>
      </c>
      <c r="D37" s="140">
        <v>54515</v>
      </c>
      <c r="E37" s="140">
        <v>4659</v>
      </c>
      <c r="F37" s="140">
        <v>137952</v>
      </c>
      <c r="G37" s="140">
        <v>947</v>
      </c>
      <c r="H37" s="140">
        <v>9001</v>
      </c>
      <c r="I37" s="140">
        <v>1277</v>
      </c>
      <c r="J37" s="140">
        <v>38039</v>
      </c>
    </row>
    <row r="38" spans="1:10">
      <c r="A38" s="138">
        <v>217</v>
      </c>
      <c r="B38" s="140">
        <v>7085</v>
      </c>
      <c r="C38" s="140">
        <v>75</v>
      </c>
      <c r="D38" s="140">
        <v>3088</v>
      </c>
      <c r="E38" s="140">
        <v>248</v>
      </c>
      <c r="F38" s="140">
        <v>3474</v>
      </c>
      <c r="G38" s="140">
        <v>0</v>
      </c>
      <c r="H38" s="140">
        <v>4</v>
      </c>
      <c r="I38" s="140">
        <v>0</v>
      </c>
      <c r="J38" s="140">
        <v>196</v>
      </c>
    </row>
    <row r="39" spans="1:10">
      <c r="A39" s="138">
        <v>218</v>
      </c>
      <c r="B39" s="140">
        <v>17262</v>
      </c>
      <c r="C39" s="140">
        <v>54</v>
      </c>
      <c r="D39" s="140">
        <v>3482</v>
      </c>
      <c r="E39" s="140">
        <v>237</v>
      </c>
      <c r="F39" s="140">
        <v>12512</v>
      </c>
      <c r="G39" s="140">
        <v>7</v>
      </c>
      <c r="H39" s="140">
        <v>520</v>
      </c>
      <c r="I39" s="140">
        <v>31</v>
      </c>
      <c r="J39" s="140">
        <v>419</v>
      </c>
    </row>
    <row r="40" spans="1:10">
      <c r="A40" s="138">
        <v>219</v>
      </c>
      <c r="B40" s="140">
        <v>58208</v>
      </c>
      <c r="C40" s="140">
        <v>374</v>
      </c>
      <c r="D40" s="140">
        <v>14343</v>
      </c>
      <c r="E40" s="140">
        <v>1065</v>
      </c>
      <c r="F40" s="140">
        <v>37663</v>
      </c>
      <c r="G40" s="140">
        <v>0</v>
      </c>
      <c r="H40" s="140">
        <v>1049</v>
      </c>
      <c r="I40" s="140">
        <v>2</v>
      </c>
      <c r="J40" s="140">
        <v>3712</v>
      </c>
    </row>
    <row r="41" spans="1:10">
      <c r="A41" s="138">
        <v>220</v>
      </c>
      <c r="B41" s="140">
        <v>15475</v>
      </c>
      <c r="C41" s="140">
        <v>8</v>
      </c>
      <c r="D41" s="140">
        <v>3492</v>
      </c>
      <c r="E41" s="140">
        <v>45</v>
      </c>
      <c r="F41" s="140">
        <v>11492</v>
      </c>
      <c r="G41" s="140">
        <v>0</v>
      </c>
      <c r="H41" s="140">
        <v>42</v>
      </c>
      <c r="I41" s="140">
        <v>0</v>
      </c>
      <c r="J41" s="140">
        <v>396</v>
      </c>
    </row>
    <row r="42" spans="1:10">
      <c r="A42" s="138">
        <v>221</v>
      </c>
      <c r="B42" s="140">
        <v>2834</v>
      </c>
      <c r="C42" s="140">
        <v>0</v>
      </c>
      <c r="D42" s="140">
        <v>1042</v>
      </c>
      <c r="E42" s="140">
        <v>1</v>
      </c>
      <c r="F42" s="140">
        <v>1272</v>
      </c>
      <c r="G42" s="140">
        <v>0</v>
      </c>
      <c r="H42" s="140">
        <v>129</v>
      </c>
      <c r="I42" s="140">
        <v>0</v>
      </c>
      <c r="J42" s="140">
        <v>390</v>
      </c>
    </row>
    <row r="43" spans="1:10">
      <c r="A43" s="138">
        <v>222</v>
      </c>
      <c r="B43" s="140">
        <v>457</v>
      </c>
      <c r="C43" s="140">
        <v>2</v>
      </c>
      <c r="D43" s="140">
        <v>171</v>
      </c>
      <c r="E43" s="140">
        <v>0</v>
      </c>
      <c r="F43" s="140">
        <v>284</v>
      </c>
      <c r="G43" s="140">
        <v>0</v>
      </c>
      <c r="H43" s="140">
        <v>0</v>
      </c>
      <c r="I43" s="140">
        <v>0</v>
      </c>
      <c r="J43" s="140">
        <v>0</v>
      </c>
    </row>
    <row r="44" spans="1:10">
      <c r="A44" s="138">
        <v>223</v>
      </c>
      <c r="B44" s="140">
        <v>3417</v>
      </c>
      <c r="C44" s="140">
        <v>36</v>
      </c>
      <c r="D44" s="140">
        <v>638</v>
      </c>
      <c r="E44" s="140">
        <v>236</v>
      </c>
      <c r="F44" s="140">
        <v>2476</v>
      </c>
      <c r="G44" s="140">
        <v>0</v>
      </c>
      <c r="H44" s="140">
        <v>3</v>
      </c>
      <c r="I44" s="140">
        <v>2</v>
      </c>
      <c r="J44" s="140">
        <v>26</v>
      </c>
    </row>
    <row r="45" spans="1:10">
      <c r="A45" s="138">
        <v>241</v>
      </c>
      <c r="B45" s="140">
        <v>1261</v>
      </c>
      <c r="C45" s="140">
        <v>49</v>
      </c>
      <c r="D45" s="140">
        <v>348</v>
      </c>
      <c r="E45" s="140">
        <v>25</v>
      </c>
      <c r="F45" s="140">
        <v>826</v>
      </c>
      <c r="G45" s="140">
        <v>0</v>
      </c>
      <c r="H45" s="140">
        <v>1</v>
      </c>
      <c r="I45" s="140">
        <v>0</v>
      </c>
      <c r="J45" s="140">
        <v>12</v>
      </c>
    </row>
    <row r="46" spans="1:10">
      <c r="A46" s="138">
        <v>242</v>
      </c>
      <c r="B46" s="140">
        <v>33</v>
      </c>
      <c r="C46" s="140">
        <v>0</v>
      </c>
      <c r="D46" s="140">
        <v>13</v>
      </c>
      <c r="E46" s="140">
        <v>0</v>
      </c>
      <c r="F46" s="140">
        <v>19</v>
      </c>
      <c r="G46" s="140">
        <v>0</v>
      </c>
      <c r="H46" s="140">
        <v>1</v>
      </c>
      <c r="I46" s="140">
        <v>0</v>
      </c>
      <c r="J46" s="140">
        <v>0</v>
      </c>
    </row>
    <row r="47" spans="1:10">
      <c r="A47" s="138">
        <v>251</v>
      </c>
      <c r="B47" s="140">
        <v>73439</v>
      </c>
      <c r="C47" s="140">
        <v>1516</v>
      </c>
      <c r="D47" s="140">
        <v>18324</v>
      </c>
      <c r="E47" s="140">
        <v>5594</v>
      </c>
      <c r="F47" s="140">
        <v>46179</v>
      </c>
      <c r="G47" s="140">
        <v>8</v>
      </c>
      <c r="H47" s="140">
        <v>608</v>
      </c>
      <c r="I47" s="140">
        <v>73</v>
      </c>
      <c r="J47" s="140">
        <v>1137</v>
      </c>
    </row>
    <row r="48" spans="1:10">
      <c r="A48" s="138">
        <v>252</v>
      </c>
      <c r="B48" s="140">
        <v>55420</v>
      </c>
      <c r="C48" s="140">
        <v>1261</v>
      </c>
      <c r="D48" s="140">
        <v>9773</v>
      </c>
      <c r="E48" s="140">
        <v>5277</v>
      </c>
      <c r="F48" s="140">
        <v>37250</v>
      </c>
      <c r="G48" s="140">
        <v>0</v>
      </c>
      <c r="H48" s="140">
        <v>405</v>
      </c>
      <c r="I48" s="140">
        <v>6</v>
      </c>
      <c r="J48" s="140">
        <v>1448</v>
      </c>
    </row>
    <row r="49" spans="1:10">
      <c r="A49" s="138">
        <v>253</v>
      </c>
      <c r="B49" s="140">
        <v>57901</v>
      </c>
      <c r="C49" s="140">
        <v>408</v>
      </c>
      <c r="D49" s="140">
        <v>5332</v>
      </c>
      <c r="E49" s="140">
        <v>2990</v>
      </c>
      <c r="F49" s="140">
        <v>33518</v>
      </c>
      <c r="G49" s="140">
        <v>0</v>
      </c>
      <c r="H49" s="140">
        <v>4077</v>
      </c>
      <c r="I49" s="140">
        <v>1</v>
      </c>
      <c r="J49" s="140">
        <v>11575</v>
      </c>
    </row>
    <row r="50" spans="1:10">
      <c r="A50" s="138">
        <v>254</v>
      </c>
      <c r="B50" s="140">
        <v>49040</v>
      </c>
      <c r="C50" s="140">
        <v>0</v>
      </c>
      <c r="D50" s="140">
        <v>19265</v>
      </c>
      <c r="E50" s="140">
        <v>0</v>
      </c>
      <c r="F50" s="140">
        <v>12334</v>
      </c>
      <c r="G50" s="140">
        <v>0</v>
      </c>
      <c r="H50" s="140">
        <v>8142</v>
      </c>
      <c r="I50" s="140">
        <v>0</v>
      </c>
      <c r="J50" s="140">
        <v>9299</v>
      </c>
    </row>
    <row r="51" spans="1:10">
      <c r="A51" s="138">
        <v>255</v>
      </c>
      <c r="B51" s="140">
        <v>36745</v>
      </c>
      <c r="C51" s="140">
        <v>2130</v>
      </c>
      <c r="D51" s="140">
        <v>11873</v>
      </c>
      <c r="E51" s="140">
        <v>2245</v>
      </c>
      <c r="F51" s="140">
        <v>18138</v>
      </c>
      <c r="G51" s="140">
        <v>0</v>
      </c>
      <c r="H51" s="140">
        <v>892</v>
      </c>
      <c r="I51" s="140">
        <v>0</v>
      </c>
      <c r="J51" s="140">
        <v>1467</v>
      </c>
    </row>
    <row r="52" spans="1:10">
      <c r="A52" s="138">
        <v>256</v>
      </c>
      <c r="B52" s="140">
        <v>6516</v>
      </c>
      <c r="C52" s="140">
        <v>36</v>
      </c>
      <c r="D52" s="140">
        <v>1184</v>
      </c>
      <c r="E52" s="140">
        <v>161</v>
      </c>
      <c r="F52" s="140">
        <v>4956</v>
      </c>
      <c r="G52" s="140">
        <v>0</v>
      </c>
      <c r="H52" s="140">
        <v>102</v>
      </c>
      <c r="I52" s="140">
        <v>0</v>
      </c>
      <c r="J52" s="140">
        <v>77</v>
      </c>
    </row>
    <row r="53" spans="1:10">
      <c r="A53" s="138">
        <v>257</v>
      </c>
      <c r="B53" s="140">
        <v>68838</v>
      </c>
      <c r="C53" s="140">
        <v>571</v>
      </c>
      <c r="D53" s="140">
        <v>24285</v>
      </c>
      <c r="E53" s="140">
        <v>753</v>
      </c>
      <c r="F53" s="140">
        <v>40914</v>
      </c>
      <c r="G53" s="140">
        <v>0</v>
      </c>
      <c r="H53" s="140">
        <v>266</v>
      </c>
      <c r="I53" s="140">
        <v>1</v>
      </c>
      <c r="J53" s="140">
        <v>2048</v>
      </c>
    </row>
    <row r="54" spans="1:10">
      <c r="A54" s="138">
        <v>258</v>
      </c>
      <c r="B54" s="140">
        <v>53574</v>
      </c>
      <c r="C54" s="140">
        <v>663</v>
      </c>
      <c r="D54" s="140">
        <v>11657</v>
      </c>
      <c r="E54" s="140">
        <v>2185</v>
      </c>
      <c r="F54" s="140">
        <v>36494</v>
      </c>
      <c r="G54" s="140">
        <v>30</v>
      </c>
      <c r="H54" s="140">
        <v>601</v>
      </c>
      <c r="I54" s="140">
        <v>124</v>
      </c>
      <c r="J54" s="140">
        <v>1820</v>
      </c>
    </row>
    <row r="55" spans="1:10">
      <c r="A55" s="138">
        <v>259</v>
      </c>
      <c r="B55" s="140">
        <v>42477</v>
      </c>
      <c r="C55" s="140">
        <v>432</v>
      </c>
      <c r="D55" s="140">
        <v>5184</v>
      </c>
      <c r="E55" s="140">
        <v>4078</v>
      </c>
      <c r="F55" s="140">
        <v>32273</v>
      </c>
      <c r="G55" s="140">
        <v>0</v>
      </c>
      <c r="H55" s="140">
        <v>6</v>
      </c>
      <c r="I55" s="140">
        <v>0</v>
      </c>
      <c r="J55" s="140">
        <v>504</v>
      </c>
    </row>
    <row r="56" spans="1:10">
      <c r="A56" s="138">
        <v>260</v>
      </c>
      <c r="B56" s="140">
        <v>50173</v>
      </c>
      <c r="C56" s="140">
        <v>177</v>
      </c>
      <c r="D56" s="140">
        <v>2518</v>
      </c>
      <c r="E56" s="140">
        <v>1962</v>
      </c>
      <c r="F56" s="140">
        <v>35524</v>
      </c>
      <c r="G56" s="140">
        <v>0</v>
      </c>
      <c r="H56" s="140">
        <v>421</v>
      </c>
      <c r="I56" s="140">
        <v>16</v>
      </c>
      <c r="J56" s="140">
        <v>9555</v>
      </c>
    </row>
    <row r="57" spans="1:10">
      <c r="A57" s="138">
        <v>261</v>
      </c>
      <c r="B57" s="140">
        <v>10653</v>
      </c>
      <c r="C57" s="140">
        <v>85</v>
      </c>
      <c r="D57" s="140">
        <v>1220</v>
      </c>
      <c r="E57" s="140">
        <v>726</v>
      </c>
      <c r="F57" s="140">
        <v>8106</v>
      </c>
      <c r="G57" s="140">
        <v>0</v>
      </c>
      <c r="H57" s="140">
        <v>19</v>
      </c>
      <c r="I57" s="140">
        <v>0</v>
      </c>
      <c r="J57" s="140">
        <v>497</v>
      </c>
    </row>
    <row r="58" spans="1:10">
      <c r="A58" s="138">
        <v>262</v>
      </c>
      <c r="B58" s="140">
        <v>27792</v>
      </c>
      <c r="C58" s="140">
        <v>511</v>
      </c>
      <c r="D58" s="140">
        <v>5652</v>
      </c>
      <c r="E58" s="140">
        <v>2037</v>
      </c>
      <c r="F58" s="140">
        <v>18272</v>
      </c>
      <c r="G58" s="140">
        <v>5</v>
      </c>
      <c r="H58" s="140">
        <v>173</v>
      </c>
      <c r="I58" s="140">
        <v>197</v>
      </c>
      <c r="J58" s="140">
        <v>945</v>
      </c>
    </row>
    <row r="59" spans="1:10">
      <c r="A59" s="138">
        <v>263</v>
      </c>
      <c r="B59" s="140">
        <v>59731</v>
      </c>
      <c r="C59" s="140">
        <v>334</v>
      </c>
      <c r="D59" s="140">
        <v>2215</v>
      </c>
      <c r="E59" s="140">
        <v>9768</v>
      </c>
      <c r="F59" s="140">
        <v>42131</v>
      </c>
      <c r="G59" s="140">
        <v>12</v>
      </c>
      <c r="H59" s="140">
        <v>421</v>
      </c>
      <c r="I59" s="140">
        <v>264</v>
      </c>
      <c r="J59" s="140">
        <v>4586</v>
      </c>
    </row>
    <row r="60" spans="1:10">
      <c r="A60" s="138">
        <v>280</v>
      </c>
      <c r="B60" s="140">
        <v>2</v>
      </c>
      <c r="C60" s="140">
        <v>0</v>
      </c>
      <c r="D60" s="140">
        <v>2</v>
      </c>
      <c r="E60" s="140">
        <v>0</v>
      </c>
      <c r="F60" s="140">
        <v>0</v>
      </c>
      <c r="G60" s="140">
        <v>0</v>
      </c>
      <c r="H60" s="140">
        <v>0</v>
      </c>
      <c r="I60" s="140">
        <v>0</v>
      </c>
      <c r="J60" s="140">
        <v>0</v>
      </c>
    </row>
    <row r="61" spans="1:10">
      <c r="A61" s="138">
        <v>290</v>
      </c>
      <c r="B61" s="140">
        <v>354018</v>
      </c>
      <c r="C61" s="140">
        <v>10123</v>
      </c>
      <c r="D61" s="140">
        <v>107443</v>
      </c>
      <c r="E61" s="140">
        <v>16282</v>
      </c>
      <c r="F61" s="140">
        <v>158522</v>
      </c>
      <c r="G61" s="140">
        <v>0</v>
      </c>
      <c r="H61" s="140">
        <v>21203</v>
      </c>
      <c r="I61" s="140">
        <v>0</v>
      </c>
      <c r="J61" s="140">
        <v>40445</v>
      </c>
    </row>
    <row r="62" spans="1:10">
      <c r="A62" s="138">
        <v>291</v>
      </c>
      <c r="B62" s="140">
        <v>66053</v>
      </c>
      <c r="C62" s="140">
        <v>16</v>
      </c>
      <c r="D62" s="140">
        <v>15214</v>
      </c>
      <c r="E62" s="140">
        <v>236</v>
      </c>
      <c r="F62" s="140">
        <v>45459</v>
      </c>
      <c r="G62" s="140">
        <v>0</v>
      </c>
      <c r="H62" s="140">
        <v>348</v>
      </c>
      <c r="I62" s="140">
        <v>0</v>
      </c>
      <c r="J62" s="140">
        <v>4780</v>
      </c>
    </row>
    <row r="63" spans="1:10">
      <c r="A63" s="138">
        <v>300</v>
      </c>
      <c r="B63" s="140">
        <v>964131</v>
      </c>
      <c r="C63" s="140">
        <v>8553</v>
      </c>
      <c r="D63" s="140">
        <v>314363</v>
      </c>
      <c r="E63" s="140">
        <v>10330</v>
      </c>
      <c r="F63" s="140">
        <v>523667</v>
      </c>
      <c r="G63" s="140">
        <v>177</v>
      </c>
      <c r="H63" s="140">
        <v>31753</v>
      </c>
      <c r="I63" s="140">
        <v>702</v>
      </c>
      <c r="J63" s="140">
        <v>74586</v>
      </c>
    </row>
    <row r="64" spans="1:10">
      <c r="A64" s="138">
        <v>301</v>
      </c>
      <c r="B64" s="140">
        <v>1257520</v>
      </c>
      <c r="C64" s="140">
        <v>4151</v>
      </c>
      <c r="D64" s="140">
        <v>405402</v>
      </c>
      <c r="E64" s="140">
        <v>13148</v>
      </c>
      <c r="F64" s="140">
        <v>728756</v>
      </c>
      <c r="G64" s="140">
        <v>11</v>
      </c>
      <c r="H64" s="140">
        <v>26015</v>
      </c>
      <c r="I64" s="140">
        <v>131</v>
      </c>
      <c r="J64" s="140">
        <v>79906</v>
      </c>
    </row>
    <row r="65" spans="1:10">
      <c r="A65" s="138">
        <v>302</v>
      </c>
      <c r="B65" s="140">
        <v>511863</v>
      </c>
      <c r="C65" s="140">
        <v>2849</v>
      </c>
      <c r="D65" s="140">
        <v>109162</v>
      </c>
      <c r="E65" s="140">
        <v>8866</v>
      </c>
      <c r="F65" s="140">
        <v>353215</v>
      </c>
      <c r="G65" s="140">
        <v>4695</v>
      </c>
      <c r="H65" s="140">
        <v>9802</v>
      </c>
      <c r="I65" s="140">
        <v>1273</v>
      </c>
      <c r="J65" s="140">
        <v>22001</v>
      </c>
    </row>
    <row r="66" spans="1:10">
      <c r="A66" s="138">
        <v>303</v>
      </c>
      <c r="B66" s="140">
        <v>1406203</v>
      </c>
      <c r="C66" s="140">
        <v>4861</v>
      </c>
      <c r="D66" s="140">
        <v>169417</v>
      </c>
      <c r="E66" s="140">
        <v>42753</v>
      </c>
      <c r="F66" s="140">
        <v>1068187</v>
      </c>
      <c r="G66" s="140">
        <v>1227</v>
      </c>
      <c r="H66" s="140">
        <v>24000</v>
      </c>
      <c r="I66" s="140">
        <v>323</v>
      </c>
      <c r="J66" s="140">
        <v>95435</v>
      </c>
    </row>
    <row r="67" spans="1:10">
      <c r="A67" s="138">
        <v>304</v>
      </c>
      <c r="B67" s="140">
        <v>152949</v>
      </c>
      <c r="C67" s="140">
        <v>0</v>
      </c>
      <c r="D67" s="140">
        <v>21313</v>
      </c>
      <c r="E67" s="140">
        <v>0</v>
      </c>
      <c r="F67" s="140">
        <v>14992</v>
      </c>
      <c r="G67" s="140">
        <v>169</v>
      </c>
      <c r="H67" s="140">
        <v>42238</v>
      </c>
      <c r="I67" s="140">
        <v>224</v>
      </c>
      <c r="J67" s="140">
        <v>74013</v>
      </c>
    </row>
    <row r="68" spans="1:10">
      <c r="A68" s="138">
        <v>305</v>
      </c>
      <c r="B68" s="140">
        <v>13493</v>
      </c>
      <c r="C68" s="140">
        <v>0</v>
      </c>
      <c r="D68" s="140">
        <v>2063</v>
      </c>
      <c r="E68" s="140">
        <v>0</v>
      </c>
      <c r="F68" s="140">
        <v>10358</v>
      </c>
      <c r="G68" s="140">
        <v>0</v>
      </c>
      <c r="H68" s="140">
        <v>183</v>
      </c>
      <c r="I68" s="140">
        <v>0</v>
      </c>
      <c r="J68" s="140">
        <v>889</v>
      </c>
    </row>
    <row r="69" spans="1:10">
      <c r="A69" s="138">
        <v>306</v>
      </c>
      <c r="B69" s="140">
        <v>186954</v>
      </c>
      <c r="C69" s="140">
        <v>2607</v>
      </c>
      <c r="D69" s="140">
        <v>31448</v>
      </c>
      <c r="E69" s="140">
        <v>14712</v>
      </c>
      <c r="F69" s="140">
        <v>129977</v>
      </c>
      <c r="G69" s="140">
        <v>0</v>
      </c>
      <c r="H69" s="140">
        <v>743</v>
      </c>
      <c r="I69" s="140">
        <v>19</v>
      </c>
      <c r="J69" s="140">
        <v>7448</v>
      </c>
    </row>
    <row r="70" spans="1:10">
      <c r="A70" s="138">
        <v>307</v>
      </c>
      <c r="B70" s="140">
        <v>905049</v>
      </c>
      <c r="C70" s="140">
        <v>10887</v>
      </c>
      <c r="D70" s="140">
        <v>107078</v>
      </c>
      <c r="E70" s="140">
        <v>61793</v>
      </c>
      <c r="F70" s="140">
        <v>549411</v>
      </c>
      <c r="G70" s="140">
        <v>2085</v>
      </c>
      <c r="H70" s="140">
        <v>33666</v>
      </c>
      <c r="I70" s="140">
        <v>5927</v>
      </c>
      <c r="J70" s="140">
        <v>134202</v>
      </c>
    </row>
    <row r="71" spans="1:10">
      <c r="A71" s="138">
        <v>308</v>
      </c>
      <c r="B71" s="140">
        <v>15868</v>
      </c>
      <c r="C71" s="140">
        <v>2</v>
      </c>
      <c r="D71" s="140">
        <v>861</v>
      </c>
      <c r="E71" s="140">
        <v>97</v>
      </c>
      <c r="F71" s="140">
        <v>14254</v>
      </c>
      <c r="G71" s="140">
        <v>0</v>
      </c>
      <c r="H71" s="140">
        <v>3</v>
      </c>
      <c r="I71" s="140">
        <v>0</v>
      </c>
      <c r="J71" s="140">
        <v>651</v>
      </c>
    </row>
    <row r="72" spans="1:10">
      <c r="A72" s="138">
        <v>309</v>
      </c>
      <c r="B72" s="140">
        <v>32435</v>
      </c>
      <c r="C72" s="140">
        <v>154</v>
      </c>
      <c r="D72" s="140">
        <v>4016</v>
      </c>
      <c r="E72" s="140">
        <v>908</v>
      </c>
      <c r="F72" s="140">
        <v>20829</v>
      </c>
      <c r="G72" s="140">
        <v>37</v>
      </c>
      <c r="H72" s="140">
        <v>514</v>
      </c>
      <c r="I72" s="140">
        <v>516</v>
      </c>
      <c r="J72" s="140">
        <v>5461</v>
      </c>
    </row>
    <row r="73" spans="1:10">
      <c r="A73" s="138">
        <v>310</v>
      </c>
      <c r="B73" s="140">
        <v>144347</v>
      </c>
      <c r="C73" s="140">
        <v>300</v>
      </c>
      <c r="D73" s="140">
        <v>29548</v>
      </c>
      <c r="E73" s="140">
        <v>419</v>
      </c>
      <c r="F73" s="140">
        <v>80405</v>
      </c>
      <c r="G73" s="140">
        <v>51</v>
      </c>
      <c r="H73" s="140">
        <v>17676</v>
      </c>
      <c r="I73" s="140">
        <v>42</v>
      </c>
      <c r="J73" s="140">
        <v>15906</v>
      </c>
    </row>
    <row r="74" spans="1:10">
      <c r="A74" s="138">
        <v>311</v>
      </c>
      <c r="B74" s="140">
        <v>86359</v>
      </c>
      <c r="C74" s="140">
        <v>4694</v>
      </c>
      <c r="D74" s="140">
        <v>43467</v>
      </c>
      <c r="E74" s="140">
        <v>124</v>
      </c>
      <c r="F74" s="140">
        <v>22623</v>
      </c>
      <c r="G74" s="140">
        <v>2</v>
      </c>
      <c r="H74" s="140">
        <v>9663</v>
      </c>
      <c r="I74" s="140">
        <v>0</v>
      </c>
      <c r="J74" s="140">
        <v>5786</v>
      </c>
    </row>
    <row r="75" spans="1:10">
      <c r="A75" s="138">
        <v>313</v>
      </c>
      <c r="B75" s="140">
        <v>35829</v>
      </c>
      <c r="C75" s="140">
        <v>774</v>
      </c>
      <c r="D75" s="140">
        <v>11409</v>
      </c>
      <c r="E75" s="140">
        <v>1571</v>
      </c>
      <c r="F75" s="140">
        <v>20107</v>
      </c>
      <c r="G75" s="140">
        <v>53</v>
      </c>
      <c r="H75" s="140">
        <v>1046</v>
      </c>
      <c r="I75" s="140">
        <v>23</v>
      </c>
      <c r="J75" s="140">
        <v>846</v>
      </c>
    </row>
    <row r="76" spans="1:10">
      <c r="A76" s="138">
        <v>314</v>
      </c>
      <c r="B76" s="140">
        <v>190879</v>
      </c>
      <c r="C76" s="140">
        <v>572</v>
      </c>
      <c r="D76" s="140">
        <v>22835</v>
      </c>
      <c r="E76" s="140">
        <v>597</v>
      </c>
      <c r="F76" s="140">
        <v>53629</v>
      </c>
      <c r="G76" s="140">
        <v>70</v>
      </c>
      <c r="H76" s="140">
        <v>27479</v>
      </c>
      <c r="I76" s="140">
        <v>164</v>
      </c>
      <c r="J76" s="140">
        <v>85533</v>
      </c>
    </row>
    <row r="77" spans="1:10">
      <c r="A77" s="138">
        <v>315</v>
      </c>
      <c r="B77" s="140">
        <v>38649</v>
      </c>
      <c r="C77" s="140">
        <v>219</v>
      </c>
      <c r="D77" s="140">
        <v>7929</v>
      </c>
      <c r="E77" s="140">
        <v>587</v>
      </c>
      <c r="F77" s="140">
        <v>17205</v>
      </c>
      <c r="G77" s="140">
        <v>0</v>
      </c>
      <c r="H77" s="140">
        <v>2632</v>
      </c>
      <c r="I77" s="140">
        <v>0</v>
      </c>
      <c r="J77" s="140">
        <v>10077</v>
      </c>
    </row>
    <row r="78" spans="1:10">
      <c r="A78" s="138">
        <v>316</v>
      </c>
      <c r="B78" s="140">
        <v>24352</v>
      </c>
      <c r="C78" s="140">
        <v>655</v>
      </c>
      <c r="D78" s="140">
        <v>5953</v>
      </c>
      <c r="E78" s="140">
        <v>1960</v>
      </c>
      <c r="F78" s="140">
        <v>12881</v>
      </c>
      <c r="G78" s="140">
        <v>45</v>
      </c>
      <c r="H78" s="140">
        <v>350</v>
      </c>
      <c r="I78" s="140">
        <v>0</v>
      </c>
      <c r="J78" s="140">
        <v>2508</v>
      </c>
    </row>
    <row r="79" spans="1:10">
      <c r="A79" s="138">
        <v>317</v>
      </c>
      <c r="B79" s="140">
        <v>34135</v>
      </c>
      <c r="C79" s="140">
        <v>82</v>
      </c>
      <c r="D79" s="140">
        <v>13132</v>
      </c>
      <c r="E79" s="140">
        <v>753</v>
      </c>
      <c r="F79" s="140">
        <v>16179</v>
      </c>
      <c r="G79" s="140">
        <v>0</v>
      </c>
      <c r="H79" s="140">
        <v>746</v>
      </c>
      <c r="I79" s="140">
        <v>1</v>
      </c>
      <c r="J79" s="140">
        <v>3242</v>
      </c>
    </row>
    <row r="80" spans="1:10">
      <c r="A80" s="138">
        <v>318</v>
      </c>
      <c r="B80" s="140">
        <v>568</v>
      </c>
      <c r="C80" s="140">
        <v>0</v>
      </c>
      <c r="D80" s="140">
        <v>457</v>
      </c>
      <c r="E80" s="140">
        <v>0</v>
      </c>
      <c r="F80" s="140">
        <v>81</v>
      </c>
      <c r="G80" s="140">
        <v>0</v>
      </c>
      <c r="H80" s="140">
        <v>2</v>
      </c>
      <c r="I80" s="140">
        <v>0</v>
      </c>
      <c r="J80" s="140">
        <v>28</v>
      </c>
    </row>
    <row r="81" spans="1:10">
      <c r="A81" s="138">
        <v>320</v>
      </c>
      <c r="B81" s="140">
        <v>2310882</v>
      </c>
      <c r="C81" s="140">
        <v>14900</v>
      </c>
      <c r="D81" s="140">
        <v>700534</v>
      </c>
      <c r="E81" s="140">
        <v>33265</v>
      </c>
      <c r="F81" s="140">
        <v>1031224</v>
      </c>
      <c r="G81" s="140">
        <v>2817</v>
      </c>
      <c r="H81" s="140">
        <v>190295</v>
      </c>
      <c r="I81" s="140">
        <v>7697</v>
      </c>
      <c r="J81" s="140">
        <v>330150</v>
      </c>
    </row>
    <row r="82" spans="1:10">
      <c r="A82" s="138">
        <v>321</v>
      </c>
      <c r="B82" s="140">
        <v>112959</v>
      </c>
      <c r="C82" s="140">
        <v>1482</v>
      </c>
      <c r="D82" s="140">
        <v>28130</v>
      </c>
      <c r="E82" s="140">
        <v>3487</v>
      </c>
      <c r="F82" s="140">
        <v>76405</v>
      </c>
      <c r="G82" s="140">
        <v>0</v>
      </c>
      <c r="H82" s="140">
        <v>784</v>
      </c>
      <c r="I82" s="140">
        <v>9</v>
      </c>
      <c r="J82" s="140">
        <v>2662</v>
      </c>
    </row>
    <row r="83" spans="1:10">
      <c r="A83" s="138">
        <v>322</v>
      </c>
      <c r="B83" s="140">
        <v>668</v>
      </c>
      <c r="C83" s="140">
        <v>0</v>
      </c>
      <c r="D83" s="140">
        <v>209</v>
      </c>
      <c r="E83" s="140">
        <v>0</v>
      </c>
      <c r="F83" s="140">
        <v>459</v>
      </c>
      <c r="G83" s="140">
        <v>0</v>
      </c>
      <c r="H83" s="140">
        <v>0</v>
      </c>
      <c r="I83" s="140">
        <v>0</v>
      </c>
      <c r="J83" s="140">
        <v>0</v>
      </c>
    </row>
    <row r="84" spans="1:10">
      <c r="A84" s="138">
        <v>323</v>
      </c>
      <c r="B84" s="140">
        <v>14750</v>
      </c>
      <c r="C84" s="140">
        <v>17</v>
      </c>
      <c r="D84" s="140">
        <v>1165</v>
      </c>
      <c r="E84" s="140">
        <v>79</v>
      </c>
      <c r="F84" s="140">
        <v>11237</v>
      </c>
      <c r="G84" s="140">
        <v>3</v>
      </c>
      <c r="H84" s="140">
        <v>888</v>
      </c>
      <c r="I84" s="140">
        <v>11</v>
      </c>
      <c r="J84" s="140">
        <v>1350</v>
      </c>
    </row>
    <row r="85" spans="1:10">
      <c r="A85" s="138">
        <v>324</v>
      </c>
      <c r="B85" s="140">
        <v>2598493</v>
      </c>
      <c r="C85" s="140">
        <v>429</v>
      </c>
      <c r="D85" s="140">
        <v>88097</v>
      </c>
      <c r="E85" s="140">
        <v>304</v>
      </c>
      <c r="F85" s="140">
        <v>1400160</v>
      </c>
      <c r="G85" s="140">
        <v>6</v>
      </c>
      <c r="H85" s="140">
        <v>241615</v>
      </c>
      <c r="I85" s="140">
        <v>0</v>
      </c>
      <c r="J85" s="140">
        <v>867882</v>
      </c>
    </row>
    <row r="86" spans="1:10">
      <c r="A86" s="138">
        <v>325</v>
      </c>
      <c r="B86" s="140">
        <v>3622</v>
      </c>
      <c r="C86" s="140">
        <v>43</v>
      </c>
      <c r="D86" s="140">
        <v>1317</v>
      </c>
      <c r="E86" s="140">
        <v>0</v>
      </c>
      <c r="F86" s="140">
        <v>2262</v>
      </c>
      <c r="G86" s="140">
        <v>0</v>
      </c>
      <c r="H86" s="140">
        <v>0</v>
      </c>
      <c r="I86" s="140">
        <v>0</v>
      </c>
      <c r="J86" s="140">
        <v>0</v>
      </c>
    </row>
    <row r="87" spans="1:10">
      <c r="A87" s="138">
        <v>327</v>
      </c>
      <c r="B87" s="140">
        <v>58563</v>
      </c>
      <c r="C87" s="140">
        <v>427</v>
      </c>
      <c r="D87" s="140">
        <v>2309</v>
      </c>
      <c r="E87" s="140">
        <v>1478</v>
      </c>
      <c r="F87" s="140">
        <v>21695</v>
      </c>
      <c r="G87" s="140">
        <v>3</v>
      </c>
      <c r="H87" s="140">
        <v>5788</v>
      </c>
      <c r="I87" s="140">
        <v>1656</v>
      </c>
      <c r="J87" s="140">
        <v>25207</v>
      </c>
    </row>
    <row r="88" spans="1:10">
      <c r="A88" s="138">
        <v>328</v>
      </c>
      <c r="B88" s="140">
        <v>31666</v>
      </c>
      <c r="C88" s="140">
        <v>562</v>
      </c>
      <c r="D88" s="140">
        <v>15882</v>
      </c>
      <c r="E88" s="140">
        <v>505</v>
      </c>
      <c r="F88" s="140">
        <v>13870</v>
      </c>
      <c r="G88" s="140">
        <v>2</v>
      </c>
      <c r="H88" s="140">
        <v>701</v>
      </c>
      <c r="I88" s="140">
        <v>1</v>
      </c>
      <c r="J88" s="140">
        <v>143</v>
      </c>
    </row>
    <row r="89" spans="1:10">
      <c r="A89" s="138">
        <v>329</v>
      </c>
      <c r="B89" s="140">
        <v>47290</v>
      </c>
      <c r="C89" s="140">
        <v>2837</v>
      </c>
      <c r="D89" s="140">
        <v>31477</v>
      </c>
      <c r="E89" s="140">
        <v>116</v>
      </c>
      <c r="F89" s="140">
        <v>10806</v>
      </c>
      <c r="G89" s="140">
        <v>0</v>
      </c>
      <c r="H89" s="140">
        <v>1975</v>
      </c>
      <c r="I89" s="140">
        <v>0</v>
      </c>
      <c r="J89" s="140">
        <v>79</v>
      </c>
    </row>
    <row r="90" spans="1:10">
      <c r="A90" s="138">
        <v>330</v>
      </c>
      <c r="B90" s="140">
        <v>2164270</v>
      </c>
      <c r="C90" s="140">
        <v>7691</v>
      </c>
      <c r="D90" s="140">
        <v>691579</v>
      </c>
      <c r="E90" s="140">
        <v>16510</v>
      </c>
      <c r="F90" s="140">
        <v>1210311</v>
      </c>
      <c r="G90" s="140">
        <v>1997</v>
      </c>
      <c r="H90" s="140">
        <v>44913</v>
      </c>
      <c r="I90" s="140">
        <v>6505</v>
      </c>
      <c r="J90" s="140">
        <v>184764</v>
      </c>
    </row>
    <row r="91" spans="1:10">
      <c r="A91" s="138">
        <v>331</v>
      </c>
      <c r="B91" s="140">
        <v>7025</v>
      </c>
      <c r="C91" s="140">
        <v>3</v>
      </c>
      <c r="D91" s="140">
        <v>1297</v>
      </c>
      <c r="E91" s="140">
        <v>0</v>
      </c>
      <c r="F91" s="140">
        <v>5382</v>
      </c>
      <c r="G91" s="140">
        <v>33</v>
      </c>
      <c r="H91" s="140">
        <v>87</v>
      </c>
      <c r="I91" s="140">
        <v>202</v>
      </c>
      <c r="J91" s="140">
        <v>21</v>
      </c>
    </row>
    <row r="92" spans="1:10">
      <c r="A92" s="138">
        <v>340</v>
      </c>
      <c r="B92" s="140">
        <v>1278309</v>
      </c>
      <c r="C92" s="140">
        <v>12524</v>
      </c>
      <c r="D92" s="140">
        <v>323610</v>
      </c>
      <c r="E92" s="140">
        <v>34069</v>
      </c>
      <c r="F92" s="140">
        <v>710741</v>
      </c>
      <c r="G92" s="140">
        <v>7576</v>
      </c>
      <c r="H92" s="140">
        <v>65711</v>
      </c>
      <c r="I92" s="140">
        <v>7580</v>
      </c>
      <c r="J92" s="140">
        <v>116498</v>
      </c>
    </row>
    <row r="93" spans="1:10">
      <c r="A93" s="138">
        <v>341</v>
      </c>
      <c r="B93" s="140">
        <v>139241</v>
      </c>
      <c r="C93" s="140">
        <v>254</v>
      </c>
      <c r="D93" s="140">
        <v>26203</v>
      </c>
      <c r="E93" s="140">
        <v>193</v>
      </c>
      <c r="F93" s="140">
        <v>67524</v>
      </c>
      <c r="G93" s="140">
        <v>3285</v>
      </c>
      <c r="H93" s="140">
        <v>9689</v>
      </c>
      <c r="I93" s="140">
        <v>4956</v>
      </c>
      <c r="J93" s="140">
        <v>27137</v>
      </c>
    </row>
    <row r="94" spans="1:10">
      <c r="A94" s="138">
        <v>342</v>
      </c>
      <c r="B94" s="140">
        <v>7800</v>
      </c>
      <c r="C94" s="140">
        <v>0</v>
      </c>
      <c r="D94" s="140">
        <v>28</v>
      </c>
      <c r="E94" s="140">
        <v>446</v>
      </c>
      <c r="F94" s="140">
        <v>45</v>
      </c>
      <c r="G94" s="140">
        <v>0</v>
      </c>
      <c r="H94" s="140">
        <v>1033</v>
      </c>
      <c r="I94" s="140">
        <v>0</v>
      </c>
      <c r="J94" s="140">
        <v>6248</v>
      </c>
    </row>
    <row r="95" spans="1:10">
      <c r="A95" s="138">
        <v>346</v>
      </c>
      <c r="B95" s="140">
        <v>2591</v>
      </c>
      <c r="C95" s="140">
        <v>0</v>
      </c>
      <c r="D95" s="140">
        <v>0</v>
      </c>
      <c r="E95" s="140">
        <v>0</v>
      </c>
      <c r="F95" s="140">
        <v>0</v>
      </c>
      <c r="G95" s="140">
        <v>151</v>
      </c>
      <c r="H95" s="140">
        <v>5</v>
      </c>
      <c r="I95" s="140">
        <v>2413</v>
      </c>
      <c r="J95" s="140">
        <v>22</v>
      </c>
    </row>
    <row r="96" spans="1:10">
      <c r="A96" s="138">
        <v>350</v>
      </c>
      <c r="B96" s="140">
        <v>116220</v>
      </c>
      <c r="C96" s="140">
        <v>1599</v>
      </c>
      <c r="D96" s="140">
        <v>20425</v>
      </c>
      <c r="E96" s="140">
        <v>4934</v>
      </c>
      <c r="F96" s="140">
        <v>70369</v>
      </c>
      <c r="G96" s="140">
        <v>31</v>
      </c>
      <c r="H96" s="140">
        <v>3494</v>
      </c>
      <c r="I96" s="140">
        <v>58</v>
      </c>
      <c r="J96" s="140">
        <v>15310</v>
      </c>
    </row>
    <row r="97" spans="1:10">
      <c r="A97" s="138">
        <v>352</v>
      </c>
      <c r="B97" s="140">
        <v>6212</v>
      </c>
      <c r="C97" s="140">
        <v>2645</v>
      </c>
      <c r="D97" s="140">
        <v>1859</v>
      </c>
      <c r="E97" s="140">
        <v>69</v>
      </c>
      <c r="F97" s="140">
        <v>1639</v>
      </c>
      <c r="G97" s="140">
        <v>0</v>
      </c>
      <c r="H97" s="140">
        <v>0</v>
      </c>
      <c r="I97" s="140">
        <v>0</v>
      </c>
      <c r="J97" s="140">
        <v>0</v>
      </c>
    </row>
    <row r="98" spans="1:10">
      <c r="A98" s="138">
        <v>360</v>
      </c>
      <c r="B98" s="140">
        <v>2239838</v>
      </c>
      <c r="C98" s="140">
        <v>19749</v>
      </c>
      <c r="D98" s="140">
        <v>1181384</v>
      </c>
      <c r="E98" s="140">
        <v>15811</v>
      </c>
      <c r="F98" s="140">
        <v>539573</v>
      </c>
      <c r="G98" s="140">
        <v>23078</v>
      </c>
      <c r="H98" s="140">
        <v>284092</v>
      </c>
      <c r="I98" s="140">
        <v>7239</v>
      </c>
      <c r="J98" s="140">
        <v>168912</v>
      </c>
    </row>
    <row r="99" spans="1:10">
      <c r="A99" s="138">
        <v>361</v>
      </c>
      <c r="B99" s="140">
        <v>882350</v>
      </c>
      <c r="C99" s="140">
        <v>2809</v>
      </c>
      <c r="D99" s="140">
        <v>85206</v>
      </c>
      <c r="E99" s="140">
        <v>24233</v>
      </c>
      <c r="F99" s="140">
        <v>652678</v>
      </c>
      <c r="G99" s="140">
        <v>21</v>
      </c>
      <c r="H99" s="140">
        <v>7770</v>
      </c>
      <c r="I99" s="140">
        <v>459</v>
      </c>
      <c r="J99" s="140">
        <v>109174</v>
      </c>
    </row>
    <row r="100" spans="1:10">
      <c r="A100" s="138">
        <v>370</v>
      </c>
      <c r="B100" s="140">
        <v>931911</v>
      </c>
      <c r="C100" s="140">
        <v>6712</v>
      </c>
      <c r="D100" s="140">
        <v>87673</v>
      </c>
      <c r="E100" s="140">
        <v>43409</v>
      </c>
      <c r="F100" s="140">
        <v>672336</v>
      </c>
      <c r="G100" s="140">
        <v>18</v>
      </c>
      <c r="H100" s="140">
        <v>12846</v>
      </c>
      <c r="I100" s="140">
        <v>412</v>
      </c>
      <c r="J100" s="140">
        <v>108505</v>
      </c>
    </row>
    <row r="101" spans="1:10">
      <c r="A101" s="138">
        <v>371</v>
      </c>
      <c r="B101" s="140">
        <v>11833</v>
      </c>
      <c r="C101" s="140">
        <v>92</v>
      </c>
      <c r="D101" s="140">
        <v>5039</v>
      </c>
      <c r="E101" s="140">
        <v>518</v>
      </c>
      <c r="F101" s="140">
        <v>4655</v>
      </c>
      <c r="G101" s="140">
        <v>0</v>
      </c>
      <c r="H101" s="140">
        <v>570</v>
      </c>
      <c r="I101" s="140">
        <v>0</v>
      </c>
      <c r="J101" s="140">
        <v>959</v>
      </c>
    </row>
    <row r="102" spans="1:10">
      <c r="A102" s="138">
        <v>400</v>
      </c>
      <c r="B102" s="140">
        <v>1123309</v>
      </c>
      <c r="C102" s="140">
        <v>3280</v>
      </c>
      <c r="D102" s="140">
        <v>419464</v>
      </c>
      <c r="E102" s="140">
        <v>7968</v>
      </c>
      <c r="F102" s="140">
        <v>630018</v>
      </c>
      <c r="G102" s="140">
        <v>146</v>
      </c>
      <c r="H102" s="140">
        <v>10785</v>
      </c>
      <c r="I102" s="140">
        <v>1300</v>
      </c>
      <c r="J102" s="140">
        <v>50348</v>
      </c>
    </row>
    <row r="103" spans="1:10">
      <c r="A103" s="138">
        <v>401</v>
      </c>
      <c r="B103" s="140">
        <v>82442</v>
      </c>
      <c r="C103" s="140">
        <v>435</v>
      </c>
      <c r="D103" s="140">
        <v>61967</v>
      </c>
      <c r="E103" s="140">
        <v>21</v>
      </c>
      <c r="F103" s="140">
        <v>7783</v>
      </c>
      <c r="G103" s="140">
        <v>41</v>
      </c>
      <c r="H103" s="140">
        <v>10239</v>
      </c>
      <c r="I103" s="140">
        <v>19</v>
      </c>
      <c r="J103" s="140">
        <v>1937</v>
      </c>
    </row>
    <row r="104" spans="1:10">
      <c r="A104" s="138">
        <v>410</v>
      </c>
      <c r="B104" s="140">
        <v>1884821</v>
      </c>
      <c r="C104" s="140">
        <v>3211</v>
      </c>
      <c r="D104" s="140">
        <v>367690</v>
      </c>
      <c r="E104" s="140">
        <v>7495</v>
      </c>
      <c r="F104" s="140">
        <v>1291196</v>
      </c>
      <c r="G104" s="140">
        <v>421</v>
      </c>
      <c r="H104" s="140">
        <v>23611</v>
      </c>
      <c r="I104" s="140">
        <v>934</v>
      </c>
      <c r="J104" s="140">
        <v>190263</v>
      </c>
    </row>
    <row r="105" spans="1:10">
      <c r="A105" s="138">
        <v>420</v>
      </c>
      <c r="B105" s="140">
        <v>1558864</v>
      </c>
      <c r="C105" s="140">
        <v>8980</v>
      </c>
      <c r="D105" s="140">
        <v>574937</v>
      </c>
      <c r="E105" s="140">
        <v>22789</v>
      </c>
      <c r="F105" s="140">
        <v>791305</v>
      </c>
      <c r="G105" s="140">
        <v>1982</v>
      </c>
      <c r="H105" s="140">
        <v>63772</v>
      </c>
      <c r="I105" s="140">
        <v>1141</v>
      </c>
      <c r="J105" s="140">
        <v>93958</v>
      </c>
    </row>
    <row r="106" spans="1:10">
      <c r="A106" s="138">
        <v>421</v>
      </c>
      <c r="B106" s="140">
        <v>65832</v>
      </c>
      <c r="C106" s="140">
        <v>1233</v>
      </c>
      <c r="D106" s="140">
        <v>17140</v>
      </c>
      <c r="E106" s="140">
        <v>3522</v>
      </c>
      <c r="F106" s="140">
        <v>35802</v>
      </c>
      <c r="G106" s="140">
        <v>2</v>
      </c>
      <c r="H106" s="140">
        <v>2650</v>
      </c>
      <c r="I106" s="140">
        <v>88</v>
      </c>
      <c r="J106" s="140">
        <v>5395</v>
      </c>
    </row>
    <row r="107" spans="1:10">
      <c r="A107" s="138">
        <v>422</v>
      </c>
      <c r="B107" s="140">
        <v>38762</v>
      </c>
      <c r="C107" s="140">
        <v>109</v>
      </c>
      <c r="D107" s="140">
        <v>13075</v>
      </c>
      <c r="E107" s="140">
        <v>557</v>
      </c>
      <c r="F107" s="140">
        <v>19807</v>
      </c>
      <c r="G107" s="140">
        <v>0</v>
      </c>
      <c r="H107" s="140">
        <v>737</v>
      </c>
      <c r="I107" s="140">
        <v>0</v>
      </c>
      <c r="J107" s="140">
        <v>4477</v>
      </c>
    </row>
    <row r="108" spans="1:10">
      <c r="A108" s="138">
        <v>430</v>
      </c>
      <c r="B108" s="140">
        <v>436871</v>
      </c>
      <c r="C108" s="140">
        <v>4177</v>
      </c>
      <c r="D108" s="140">
        <v>166308</v>
      </c>
      <c r="E108" s="140">
        <v>4377</v>
      </c>
      <c r="F108" s="140">
        <v>236035</v>
      </c>
      <c r="G108" s="140">
        <v>41</v>
      </c>
      <c r="H108" s="140">
        <v>9373</v>
      </c>
      <c r="I108" s="140">
        <v>0</v>
      </c>
      <c r="J108" s="140">
        <v>16560</v>
      </c>
    </row>
    <row r="109" spans="1:10">
      <c r="A109" s="138">
        <v>450</v>
      </c>
      <c r="B109" s="140">
        <v>63856</v>
      </c>
      <c r="C109" s="140">
        <v>123</v>
      </c>
      <c r="D109" s="140">
        <v>26630</v>
      </c>
      <c r="E109" s="140">
        <v>645</v>
      </c>
      <c r="F109" s="140">
        <v>34717</v>
      </c>
      <c r="G109" s="140">
        <v>0</v>
      </c>
      <c r="H109" s="140">
        <v>815</v>
      </c>
      <c r="I109" s="140">
        <v>0</v>
      </c>
      <c r="J109" s="140">
        <v>926</v>
      </c>
    </row>
    <row r="110" spans="1:10">
      <c r="A110" s="138">
        <v>460</v>
      </c>
      <c r="B110" s="140">
        <v>21495</v>
      </c>
      <c r="C110" s="140">
        <v>27</v>
      </c>
      <c r="D110" s="140">
        <v>4719</v>
      </c>
      <c r="E110" s="140">
        <v>396</v>
      </c>
      <c r="F110" s="140">
        <v>16353</v>
      </c>
      <c r="G110" s="140">
        <v>0</v>
      </c>
      <c r="H110" s="140">
        <v>0</v>
      </c>
      <c r="I110" s="140">
        <v>0</v>
      </c>
      <c r="J110" s="140">
        <v>0</v>
      </c>
    </row>
    <row r="111" spans="1:10">
      <c r="A111" s="138">
        <v>501</v>
      </c>
      <c r="B111" s="140">
        <v>2580257</v>
      </c>
      <c r="C111" s="140">
        <v>45297</v>
      </c>
      <c r="D111" s="140">
        <v>689213</v>
      </c>
      <c r="E111" s="140">
        <v>83225</v>
      </c>
      <c r="F111" s="140">
        <v>1762522</v>
      </c>
      <c r="G111" s="140">
        <v>0</v>
      </c>
      <c r="H111" s="140">
        <v>0</v>
      </c>
      <c r="I111" s="140">
        <v>0</v>
      </c>
      <c r="J111" s="140">
        <v>0</v>
      </c>
    </row>
    <row r="112" spans="1:10">
      <c r="A112" s="138">
        <v>502</v>
      </c>
      <c r="B112" s="140">
        <v>2035109</v>
      </c>
      <c r="C112" s="140">
        <v>33553</v>
      </c>
      <c r="D112" s="140">
        <v>789471</v>
      </c>
      <c r="E112" s="140">
        <v>31224</v>
      </c>
      <c r="F112" s="140">
        <v>983519</v>
      </c>
      <c r="G112" s="140">
        <v>611</v>
      </c>
      <c r="H112" s="140">
        <v>65304</v>
      </c>
      <c r="I112" s="140">
        <v>1214</v>
      </c>
      <c r="J112" s="140">
        <v>130213</v>
      </c>
    </row>
    <row r="113" spans="1:10">
      <c r="A113" s="138">
        <v>503</v>
      </c>
      <c r="B113" s="140">
        <v>105638</v>
      </c>
      <c r="C113" s="140">
        <v>1681</v>
      </c>
      <c r="D113" s="140">
        <v>28549</v>
      </c>
      <c r="E113" s="140">
        <v>6346</v>
      </c>
      <c r="F113" s="140">
        <v>62779</v>
      </c>
      <c r="G113" s="140">
        <v>15</v>
      </c>
      <c r="H113" s="140">
        <v>2412</v>
      </c>
      <c r="I113" s="140">
        <v>6</v>
      </c>
      <c r="J113" s="140">
        <v>3850</v>
      </c>
    </row>
    <row r="114" spans="1:10">
      <c r="A114" s="138">
        <v>560</v>
      </c>
      <c r="B114" s="140">
        <v>2276435</v>
      </c>
      <c r="C114" s="140">
        <v>7502</v>
      </c>
      <c r="D114" s="140">
        <v>475374</v>
      </c>
      <c r="E114" s="140">
        <v>28719</v>
      </c>
      <c r="F114" s="140">
        <v>1764840</v>
      </c>
      <c r="G114" s="140">
        <v>0</v>
      </c>
      <c r="H114" s="140">
        <v>0</v>
      </c>
      <c r="I114" s="140">
        <v>0</v>
      </c>
      <c r="J114" s="140">
        <v>0</v>
      </c>
    </row>
    <row r="115" spans="1:10">
      <c r="A115" s="138">
        <v>650</v>
      </c>
      <c r="B115" s="140">
        <v>7188934</v>
      </c>
      <c r="C115" s="140">
        <v>15</v>
      </c>
      <c r="D115" s="140">
        <v>186521</v>
      </c>
      <c r="E115" s="140">
        <v>11</v>
      </c>
      <c r="F115" s="140">
        <v>383246</v>
      </c>
      <c r="G115" s="140">
        <v>30587</v>
      </c>
      <c r="H115" s="140">
        <v>1918625</v>
      </c>
      <c r="I115" s="140">
        <v>78843</v>
      </c>
      <c r="J115" s="140">
        <v>4591086</v>
      </c>
    </row>
    <row r="116" spans="1:10">
      <c r="A116" s="138">
        <v>651</v>
      </c>
      <c r="B116" s="140">
        <v>592329</v>
      </c>
      <c r="C116" s="140">
        <v>3</v>
      </c>
      <c r="D116" s="140">
        <v>17652</v>
      </c>
      <c r="E116" s="140">
        <v>19</v>
      </c>
      <c r="F116" s="140">
        <v>38613</v>
      </c>
      <c r="G116" s="140">
        <v>6052</v>
      </c>
      <c r="H116" s="140">
        <v>142621</v>
      </c>
      <c r="I116" s="140">
        <v>25576</v>
      </c>
      <c r="J116" s="140">
        <v>361793</v>
      </c>
    </row>
    <row r="117" spans="1:10">
      <c r="A117" s="138">
        <v>652</v>
      </c>
      <c r="B117" s="140">
        <v>265994</v>
      </c>
      <c r="C117" s="140">
        <v>0</v>
      </c>
      <c r="D117" s="140">
        <v>8671</v>
      </c>
      <c r="E117" s="140">
        <v>0</v>
      </c>
      <c r="F117" s="140">
        <v>5130</v>
      </c>
      <c r="G117" s="140">
        <v>477</v>
      </c>
      <c r="H117" s="140">
        <v>51154</v>
      </c>
      <c r="I117" s="140">
        <v>1326</v>
      </c>
      <c r="J117" s="140">
        <v>199236</v>
      </c>
    </row>
    <row r="118" spans="1:10">
      <c r="A118" s="138">
        <v>653</v>
      </c>
      <c r="B118" s="140">
        <v>728889</v>
      </c>
      <c r="C118" s="140">
        <v>63</v>
      </c>
      <c r="D118" s="140">
        <v>89617</v>
      </c>
      <c r="E118" s="140">
        <v>2160</v>
      </c>
      <c r="F118" s="140">
        <v>186941</v>
      </c>
      <c r="G118" s="140">
        <v>1304</v>
      </c>
      <c r="H118" s="140">
        <v>70137</v>
      </c>
      <c r="I118" s="140">
        <v>4456</v>
      </c>
      <c r="J118" s="140">
        <v>374211</v>
      </c>
    </row>
    <row r="119" spans="1:10">
      <c r="A119" s="138">
        <v>654</v>
      </c>
      <c r="B119" s="140">
        <v>534420</v>
      </c>
      <c r="C119" s="140">
        <v>29</v>
      </c>
      <c r="D119" s="140">
        <v>21155</v>
      </c>
      <c r="E119" s="140">
        <v>20</v>
      </c>
      <c r="F119" s="140">
        <v>24185</v>
      </c>
      <c r="G119" s="140">
        <v>495</v>
      </c>
      <c r="H119" s="140">
        <v>167901</v>
      </c>
      <c r="I119" s="140">
        <v>4708</v>
      </c>
      <c r="J119" s="140">
        <v>315927</v>
      </c>
    </row>
    <row r="120" spans="1:10">
      <c r="A120" s="138">
        <v>655</v>
      </c>
      <c r="B120" s="140">
        <v>576493</v>
      </c>
      <c r="C120" s="140">
        <v>7</v>
      </c>
      <c r="D120" s="140">
        <v>25888</v>
      </c>
      <c r="E120" s="140">
        <v>52</v>
      </c>
      <c r="F120" s="140">
        <v>93513</v>
      </c>
      <c r="G120" s="140">
        <v>6621</v>
      </c>
      <c r="H120" s="140">
        <v>95874</v>
      </c>
      <c r="I120" s="140">
        <v>1093</v>
      </c>
      <c r="J120" s="140">
        <v>353445</v>
      </c>
    </row>
    <row r="121" spans="1:10">
      <c r="A121" s="138">
        <v>656</v>
      </c>
      <c r="B121" s="140">
        <v>90504</v>
      </c>
      <c r="C121" s="140">
        <v>102</v>
      </c>
      <c r="D121" s="140">
        <v>12157</v>
      </c>
      <c r="E121" s="140">
        <v>251</v>
      </c>
      <c r="F121" s="140">
        <v>24847</v>
      </c>
      <c r="G121" s="140">
        <v>2</v>
      </c>
      <c r="H121" s="140">
        <v>16212</v>
      </c>
      <c r="I121" s="140">
        <v>91</v>
      </c>
      <c r="J121" s="140">
        <v>36842</v>
      </c>
    </row>
    <row r="122" spans="1:10">
      <c r="A122" s="138">
        <v>657</v>
      </c>
      <c r="B122" s="140">
        <v>5403</v>
      </c>
      <c r="C122" s="140">
        <v>0</v>
      </c>
      <c r="D122" s="140">
        <v>402</v>
      </c>
      <c r="E122" s="140">
        <v>0</v>
      </c>
      <c r="F122" s="140">
        <v>2699</v>
      </c>
      <c r="G122" s="140">
        <v>11</v>
      </c>
      <c r="H122" s="140">
        <v>194</v>
      </c>
      <c r="I122" s="140">
        <v>30</v>
      </c>
      <c r="J122" s="140">
        <v>2067</v>
      </c>
    </row>
    <row r="123" spans="1:10">
      <c r="A123" s="138">
        <v>658</v>
      </c>
      <c r="B123" s="140">
        <v>158979</v>
      </c>
      <c r="C123" s="140">
        <v>0</v>
      </c>
      <c r="D123" s="140">
        <v>20152</v>
      </c>
      <c r="E123" s="140">
        <v>0</v>
      </c>
      <c r="F123" s="140">
        <v>24550</v>
      </c>
      <c r="G123" s="140">
        <v>92</v>
      </c>
      <c r="H123" s="140">
        <v>44713</v>
      </c>
      <c r="I123" s="140">
        <v>191</v>
      </c>
      <c r="J123" s="140">
        <v>69281</v>
      </c>
    </row>
    <row r="124" spans="1:10">
      <c r="A124" s="138">
        <v>662</v>
      </c>
      <c r="B124" s="140">
        <v>28237</v>
      </c>
      <c r="C124" s="140">
        <v>9</v>
      </c>
      <c r="D124" s="140">
        <v>3972</v>
      </c>
      <c r="E124" s="140">
        <v>11</v>
      </c>
      <c r="F124" s="140">
        <v>5616</v>
      </c>
      <c r="G124" s="140">
        <v>0</v>
      </c>
      <c r="H124" s="140">
        <v>5369</v>
      </c>
      <c r="I124" s="140">
        <v>48</v>
      </c>
      <c r="J124" s="140">
        <v>13212</v>
      </c>
    </row>
    <row r="125" spans="1:10">
      <c r="A125" s="138">
        <v>663</v>
      </c>
      <c r="B125" s="140">
        <v>9923</v>
      </c>
      <c r="C125" s="140">
        <v>0</v>
      </c>
      <c r="D125" s="140">
        <v>1317</v>
      </c>
      <c r="E125" s="140">
        <v>0</v>
      </c>
      <c r="F125" s="140">
        <v>8606</v>
      </c>
      <c r="G125" s="140">
        <v>0</v>
      </c>
      <c r="H125" s="140">
        <v>0</v>
      </c>
      <c r="I125" s="140">
        <v>0</v>
      </c>
      <c r="J125" s="140">
        <v>0</v>
      </c>
    </row>
    <row r="126" spans="1:10">
      <c r="A126" s="138">
        <v>710</v>
      </c>
      <c r="B126" s="140">
        <v>5620</v>
      </c>
      <c r="C126" s="140">
        <v>0</v>
      </c>
      <c r="D126" s="140">
        <v>1136</v>
      </c>
      <c r="E126" s="140">
        <v>0</v>
      </c>
      <c r="F126" s="140">
        <v>4172</v>
      </c>
      <c r="G126" s="140">
        <v>0</v>
      </c>
      <c r="H126" s="140">
        <v>103</v>
      </c>
      <c r="I126" s="140">
        <v>0</v>
      </c>
      <c r="J126" s="140">
        <v>209</v>
      </c>
    </row>
    <row r="127" spans="1:10">
      <c r="A127" s="138">
        <v>711</v>
      </c>
      <c r="B127" s="140">
        <v>22141</v>
      </c>
      <c r="C127" s="140">
        <v>65</v>
      </c>
      <c r="D127" s="140">
        <v>2040</v>
      </c>
      <c r="E127" s="140">
        <v>8</v>
      </c>
      <c r="F127" s="140">
        <v>9149</v>
      </c>
      <c r="G127" s="140">
        <v>0</v>
      </c>
      <c r="H127" s="140">
        <v>1242</v>
      </c>
      <c r="I127" s="140">
        <v>0</v>
      </c>
      <c r="J127" s="140">
        <v>9637</v>
      </c>
    </row>
    <row r="128" spans="1:10">
      <c r="A128" s="138">
        <v>712</v>
      </c>
      <c r="B128" s="140">
        <v>836</v>
      </c>
      <c r="C128" s="140">
        <v>0</v>
      </c>
      <c r="D128" s="140">
        <v>42</v>
      </c>
      <c r="E128" s="140">
        <v>0</v>
      </c>
      <c r="F128" s="140">
        <v>794</v>
      </c>
      <c r="G128" s="140">
        <v>0</v>
      </c>
      <c r="H128" s="140">
        <v>0</v>
      </c>
      <c r="I128" s="140">
        <v>0</v>
      </c>
      <c r="J128" s="140">
        <v>0</v>
      </c>
    </row>
    <row r="129" spans="1:10">
      <c r="A129" s="138">
        <v>713</v>
      </c>
      <c r="B129" s="140">
        <v>18038</v>
      </c>
      <c r="C129" s="140">
        <v>0</v>
      </c>
      <c r="D129" s="140">
        <v>187</v>
      </c>
      <c r="E129" s="140">
        <v>0</v>
      </c>
      <c r="F129" s="140">
        <v>2886</v>
      </c>
      <c r="G129" s="140">
        <v>0</v>
      </c>
      <c r="H129" s="140">
        <v>3285</v>
      </c>
      <c r="I129" s="140">
        <v>0</v>
      </c>
      <c r="J129" s="140">
        <v>11680</v>
      </c>
    </row>
    <row r="130" spans="1:10">
      <c r="A130" s="138">
        <v>715</v>
      </c>
      <c r="B130" s="140">
        <v>3961</v>
      </c>
      <c r="C130" s="140">
        <v>0</v>
      </c>
      <c r="D130" s="140">
        <v>943</v>
      </c>
      <c r="E130" s="140">
        <v>0</v>
      </c>
      <c r="F130" s="140">
        <v>3018</v>
      </c>
      <c r="G130" s="140">
        <v>0</v>
      </c>
      <c r="H130" s="140">
        <v>0</v>
      </c>
      <c r="I130" s="140">
        <v>0</v>
      </c>
      <c r="J130" s="140">
        <v>0</v>
      </c>
    </row>
    <row r="131" spans="1:10">
      <c r="A131" s="138">
        <v>721</v>
      </c>
      <c r="B131" s="140">
        <v>268</v>
      </c>
      <c r="C131" s="140">
        <v>0</v>
      </c>
      <c r="D131" s="140">
        <v>78</v>
      </c>
      <c r="E131" s="140">
        <v>0</v>
      </c>
      <c r="F131" s="140">
        <v>190</v>
      </c>
      <c r="G131" s="140">
        <v>0</v>
      </c>
      <c r="H131" s="140">
        <v>0</v>
      </c>
      <c r="I131" s="140">
        <v>0</v>
      </c>
      <c r="J131" s="140">
        <v>0</v>
      </c>
    </row>
    <row r="132" spans="1:10">
      <c r="A132" s="138">
        <v>722</v>
      </c>
      <c r="B132" s="140">
        <v>9136</v>
      </c>
      <c r="C132" s="140">
        <v>0</v>
      </c>
      <c r="D132" s="140">
        <v>2087</v>
      </c>
      <c r="E132" s="140">
        <v>0</v>
      </c>
      <c r="F132" s="140">
        <v>3571</v>
      </c>
      <c r="G132" s="140">
        <v>0</v>
      </c>
      <c r="H132" s="140">
        <v>1869</v>
      </c>
      <c r="I132" s="140">
        <v>0</v>
      </c>
      <c r="J132" s="140">
        <v>1609</v>
      </c>
    </row>
    <row r="133" spans="1:10">
      <c r="A133" s="138">
        <v>800</v>
      </c>
      <c r="B133" s="140">
        <v>1210836</v>
      </c>
      <c r="C133" s="140">
        <v>13098</v>
      </c>
      <c r="D133" s="140">
        <v>152991</v>
      </c>
      <c r="E133" s="140">
        <v>67117</v>
      </c>
      <c r="F133" s="140">
        <v>879954</v>
      </c>
      <c r="G133" s="140">
        <v>7</v>
      </c>
      <c r="H133" s="140">
        <v>17428</v>
      </c>
      <c r="I133" s="140">
        <v>3097</v>
      </c>
      <c r="J133" s="140">
        <v>77144</v>
      </c>
    </row>
    <row r="134" spans="1:10">
      <c r="A134" s="138">
        <v>811</v>
      </c>
      <c r="B134" s="140">
        <v>10712</v>
      </c>
      <c r="C134" s="140">
        <v>63</v>
      </c>
      <c r="D134" s="140">
        <v>4654</v>
      </c>
      <c r="E134" s="140">
        <v>105</v>
      </c>
      <c r="F134" s="140">
        <v>2694</v>
      </c>
      <c r="G134" s="140">
        <v>0</v>
      </c>
      <c r="H134" s="140">
        <v>2360</v>
      </c>
      <c r="I134" s="140">
        <v>0</v>
      </c>
      <c r="J134" s="140">
        <v>836</v>
      </c>
    </row>
    <row r="135" spans="1:10">
      <c r="A135" s="138">
        <v>812</v>
      </c>
      <c r="B135" s="140">
        <v>288428</v>
      </c>
      <c r="C135" s="140">
        <v>135</v>
      </c>
      <c r="D135" s="140">
        <v>163895</v>
      </c>
      <c r="E135" s="140">
        <v>1</v>
      </c>
      <c r="F135" s="140">
        <v>31242</v>
      </c>
      <c r="G135" s="140">
        <v>0</v>
      </c>
      <c r="H135" s="140">
        <v>68917</v>
      </c>
      <c r="I135" s="140">
        <v>4</v>
      </c>
      <c r="J135" s="140">
        <v>24234</v>
      </c>
    </row>
    <row r="136" spans="1:10">
      <c r="A136" s="138">
        <v>822</v>
      </c>
      <c r="B136" s="140">
        <v>59332</v>
      </c>
      <c r="C136" s="140">
        <v>153</v>
      </c>
      <c r="D136" s="140">
        <v>14196</v>
      </c>
      <c r="E136" s="140">
        <v>116</v>
      </c>
      <c r="F136" s="140">
        <v>39045</v>
      </c>
      <c r="G136" s="140">
        <v>0</v>
      </c>
      <c r="H136" s="140">
        <v>3623</v>
      </c>
      <c r="I136" s="140">
        <v>0</v>
      </c>
      <c r="J136" s="140">
        <v>2199</v>
      </c>
    </row>
    <row r="137" spans="1:10">
      <c r="A137" s="138">
        <v>834</v>
      </c>
      <c r="B137" s="140">
        <v>223</v>
      </c>
      <c r="C137" s="140">
        <v>0</v>
      </c>
      <c r="D137" s="140">
        <v>18</v>
      </c>
      <c r="E137" s="140">
        <v>0</v>
      </c>
      <c r="F137" s="140">
        <v>205</v>
      </c>
      <c r="G137" s="140">
        <v>0</v>
      </c>
      <c r="H137" s="140">
        <v>0</v>
      </c>
      <c r="I137" s="140">
        <v>0</v>
      </c>
      <c r="J137" s="140">
        <v>0</v>
      </c>
    </row>
    <row r="138" spans="1:10">
      <c r="A138" s="138">
        <v>840</v>
      </c>
      <c r="B138" s="140">
        <v>124061</v>
      </c>
      <c r="C138" s="140">
        <v>0</v>
      </c>
      <c r="D138" s="140">
        <v>5501</v>
      </c>
      <c r="E138" s="140">
        <v>0</v>
      </c>
      <c r="F138" s="140">
        <v>8617</v>
      </c>
      <c r="G138" s="140">
        <v>2</v>
      </c>
      <c r="H138" s="140">
        <v>50146</v>
      </c>
      <c r="I138" s="140">
        <v>5</v>
      </c>
      <c r="J138" s="140">
        <v>59790</v>
      </c>
    </row>
    <row r="139" spans="1:10">
      <c r="A139" s="138">
        <v>920</v>
      </c>
      <c r="B139" s="140">
        <v>31</v>
      </c>
      <c r="C139" s="140">
        <v>0</v>
      </c>
      <c r="D139" s="140">
        <v>12</v>
      </c>
      <c r="E139" s="140">
        <v>0</v>
      </c>
      <c r="F139" s="140">
        <v>19</v>
      </c>
      <c r="G139" s="140">
        <v>0</v>
      </c>
      <c r="H139" s="140">
        <v>0</v>
      </c>
      <c r="I139" s="140">
        <v>0</v>
      </c>
      <c r="J139" s="140">
        <v>0</v>
      </c>
    </row>
  </sheetData>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1:W604"/>
  <sheetViews>
    <sheetView workbookViewId="0"/>
  </sheetViews>
  <sheetFormatPr defaultColWidth="9.140625" defaultRowHeight="15"/>
  <cols>
    <col min="1" max="2" width="9.140625" style="128"/>
    <col min="3" max="3" width="14.28515625" style="128" bestFit="1" customWidth="1"/>
    <col min="4" max="4" width="5.42578125" style="128" customWidth="1"/>
    <col min="5" max="5" width="0.85546875" style="146" customWidth="1"/>
    <col min="6" max="6" width="4.7109375" style="128" customWidth="1"/>
    <col min="7" max="10" width="9.140625" style="128"/>
    <col min="11" max="11" width="15.7109375" style="128" customWidth="1"/>
    <col min="12" max="12" width="9.5703125" style="128" bestFit="1" customWidth="1"/>
    <col min="13" max="13" width="9.140625" style="128"/>
    <col min="14" max="14" width="0.85546875" style="146" customWidth="1"/>
    <col min="15" max="15" width="2.28515625" style="128" customWidth="1"/>
    <col min="16" max="16" width="9.140625" style="128"/>
    <col min="17" max="17" width="2.5703125" style="128" customWidth="1"/>
    <col min="18" max="18" width="0.85546875" style="146" customWidth="1"/>
    <col min="19" max="19" width="5.28515625" style="128" customWidth="1"/>
    <col min="20" max="21" width="9.140625" style="128"/>
    <col min="22" max="22" width="11.7109375" style="149" customWidth="1"/>
    <col min="23" max="23" width="11.42578125" style="150" customWidth="1"/>
    <col min="24" max="16384" width="9.140625" style="142"/>
  </cols>
  <sheetData>
    <row r="1" spans="1:23" s="450" customFormat="1" ht="25.5" customHeight="1">
      <c r="A1" s="338" t="s">
        <v>545</v>
      </c>
      <c r="E1" s="451"/>
      <c r="G1" s="449"/>
      <c r="N1" s="451"/>
      <c r="R1" s="451"/>
      <c r="V1" s="452"/>
      <c r="W1" s="453"/>
    </row>
    <row r="2" spans="1:23" s="452" customFormat="1">
      <c r="A2" s="454" t="s">
        <v>519</v>
      </c>
      <c r="E2" s="451"/>
      <c r="G2" s="454" t="s">
        <v>512</v>
      </c>
      <c r="N2" s="451"/>
      <c r="P2" s="454" t="s">
        <v>520</v>
      </c>
      <c r="R2" s="451"/>
      <c r="W2" s="453"/>
    </row>
    <row r="3" spans="1:23" ht="25.5">
      <c r="A3" s="151" t="s">
        <v>444</v>
      </c>
      <c r="B3" s="151" t="s">
        <v>75</v>
      </c>
      <c r="C3" s="151" t="s">
        <v>76</v>
      </c>
      <c r="D3" s="143"/>
      <c r="E3" s="144"/>
      <c r="G3" s="135" t="s">
        <v>465</v>
      </c>
      <c r="H3" s="135" t="s">
        <v>466</v>
      </c>
      <c r="I3" s="135" t="s">
        <v>467</v>
      </c>
      <c r="J3" s="135" t="s">
        <v>75</v>
      </c>
      <c r="K3" s="135" t="s">
        <v>76</v>
      </c>
      <c r="L3" s="135" t="s">
        <v>468</v>
      </c>
      <c r="M3" s="135"/>
      <c r="N3" s="144"/>
      <c r="P3" s="152" t="s">
        <v>444</v>
      </c>
      <c r="R3" s="144"/>
      <c r="T3" s="151" t="s">
        <v>511</v>
      </c>
      <c r="U3" s="135" t="s">
        <v>510</v>
      </c>
      <c r="V3" s="151" t="s">
        <v>453</v>
      </c>
      <c r="W3" s="153" t="s">
        <v>454</v>
      </c>
    </row>
    <row r="4" spans="1:23">
      <c r="A4" s="134" t="s">
        <v>657</v>
      </c>
      <c r="B4" s="134">
        <v>2</v>
      </c>
      <c r="C4" s="145">
        <v>133.804149595203</v>
      </c>
      <c r="G4" s="134" t="s">
        <v>469</v>
      </c>
      <c r="H4" s="134" t="s">
        <v>469</v>
      </c>
      <c r="I4" s="134" t="s">
        <v>308</v>
      </c>
      <c r="J4" s="134">
        <v>6516</v>
      </c>
      <c r="K4" s="145">
        <v>800743.33342854597</v>
      </c>
      <c r="L4" s="145">
        <v>122.888786591244</v>
      </c>
      <c r="M4" s="134"/>
      <c r="P4" s="147" t="s">
        <v>196</v>
      </c>
      <c r="Q4" s="148"/>
      <c r="T4" s="154">
        <f t="shared" ref="T4:T67" si="0">VLOOKUP(A4,$I:$L,2,FALSE)</f>
        <v>2</v>
      </c>
      <c r="U4" s="154">
        <f t="shared" ref="U4:U67" si="1">VLOOKUP(A4,$I:$L,3,FALSE)</f>
        <v>133.804149595203</v>
      </c>
      <c r="V4" s="154">
        <f t="shared" ref="V4:V67" si="2">IF(COUNTIF($P:$P,A4)=1,0,T4)</f>
        <v>2</v>
      </c>
      <c r="W4" s="155">
        <f t="shared" ref="W4:W67" si="3">IF(COUNTIF($P:$P,A4)=1,0,U4)</f>
        <v>133.804149595203</v>
      </c>
    </row>
    <row r="5" spans="1:23">
      <c r="A5" s="134" t="s">
        <v>658</v>
      </c>
      <c r="B5" s="134">
        <v>211</v>
      </c>
      <c r="C5" s="145">
        <v>29294.4423313714</v>
      </c>
      <c r="G5" s="134" t="s">
        <v>469</v>
      </c>
      <c r="H5" s="134" t="s">
        <v>469</v>
      </c>
      <c r="I5" s="134" t="s">
        <v>985</v>
      </c>
      <c r="J5" s="134">
        <v>490</v>
      </c>
      <c r="K5" s="145">
        <v>108320.277511124</v>
      </c>
      <c r="L5" s="145">
        <v>221.06179083902799</v>
      </c>
      <c r="M5" s="134"/>
      <c r="P5" s="147" t="s">
        <v>197</v>
      </c>
      <c r="Q5" s="148"/>
      <c r="T5" s="154">
        <f t="shared" si="0"/>
        <v>211</v>
      </c>
      <c r="U5" s="154">
        <f t="shared" si="1"/>
        <v>28200.204553442301</v>
      </c>
      <c r="V5" s="154">
        <f t="shared" si="2"/>
        <v>211</v>
      </c>
      <c r="W5" s="155">
        <f t="shared" si="3"/>
        <v>28200.204553442301</v>
      </c>
    </row>
    <row r="6" spans="1:23">
      <c r="A6" s="134" t="s">
        <v>659</v>
      </c>
      <c r="B6" s="134">
        <v>182</v>
      </c>
      <c r="C6" s="145">
        <v>52798.196465548397</v>
      </c>
      <c r="G6" s="134" t="s">
        <v>469</v>
      </c>
      <c r="H6" s="134" t="s">
        <v>469</v>
      </c>
      <c r="I6" s="134" t="s">
        <v>108</v>
      </c>
      <c r="J6" s="134">
        <v>18805</v>
      </c>
      <c r="K6" s="145">
        <v>3658883.1045191302</v>
      </c>
      <c r="L6" s="145">
        <v>194.56969447057301</v>
      </c>
      <c r="M6" s="134"/>
      <c r="P6" s="147" t="s">
        <v>198</v>
      </c>
      <c r="Q6" s="148"/>
      <c r="T6" s="154">
        <f t="shared" si="0"/>
        <v>182</v>
      </c>
      <c r="U6" s="154">
        <f t="shared" si="1"/>
        <v>52798.196465548397</v>
      </c>
      <c r="V6" s="154">
        <f t="shared" si="2"/>
        <v>182</v>
      </c>
      <c r="W6" s="155">
        <f t="shared" si="3"/>
        <v>52798.196465548397</v>
      </c>
    </row>
    <row r="7" spans="1:23">
      <c r="A7" s="134" t="s">
        <v>1044</v>
      </c>
      <c r="B7" s="134">
        <v>273</v>
      </c>
      <c r="C7" s="145">
        <v>148250.59638463301</v>
      </c>
      <c r="G7" s="134" t="s">
        <v>469</v>
      </c>
      <c r="H7" s="134" t="s">
        <v>469</v>
      </c>
      <c r="I7" s="134" t="s">
        <v>938</v>
      </c>
      <c r="J7" s="134">
        <v>1559</v>
      </c>
      <c r="K7" s="145">
        <v>271577.70108049398</v>
      </c>
      <c r="L7" s="145">
        <v>174.19993654938699</v>
      </c>
      <c r="M7" s="134"/>
      <c r="P7" s="147" t="s">
        <v>340</v>
      </c>
      <c r="Q7" s="148"/>
      <c r="T7" s="154">
        <f t="shared" si="0"/>
        <v>273</v>
      </c>
      <c r="U7" s="154">
        <f t="shared" si="1"/>
        <v>148250.59638463301</v>
      </c>
      <c r="V7" s="154">
        <f t="shared" si="2"/>
        <v>273</v>
      </c>
      <c r="W7" s="155">
        <f t="shared" si="3"/>
        <v>148250.59638463301</v>
      </c>
    </row>
    <row r="8" spans="1:23">
      <c r="A8" s="134" t="s">
        <v>79</v>
      </c>
      <c r="B8" s="134">
        <v>25</v>
      </c>
      <c r="C8" s="145">
        <v>4044.3652952135999</v>
      </c>
      <c r="G8" s="134" t="s">
        <v>469</v>
      </c>
      <c r="H8" s="134" t="s">
        <v>469</v>
      </c>
      <c r="I8" s="134" t="s">
        <v>727</v>
      </c>
      <c r="J8" s="134">
        <v>12534</v>
      </c>
      <c r="K8" s="145">
        <v>1276766.6617869099</v>
      </c>
      <c r="L8" s="145">
        <v>101.864262149905</v>
      </c>
      <c r="M8" s="134"/>
      <c r="P8" s="147" t="s">
        <v>345</v>
      </c>
      <c r="Q8" s="148"/>
      <c r="T8" s="154">
        <f t="shared" si="0"/>
        <v>25</v>
      </c>
      <c r="U8" s="154">
        <f t="shared" si="1"/>
        <v>4044.3652952135999</v>
      </c>
      <c r="V8" s="154">
        <f t="shared" si="2"/>
        <v>25</v>
      </c>
      <c r="W8" s="155">
        <f t="shared" si="3"/>
        <v>4044.3652952135999</v>
      </c>
    </row>
    <row r="9" spans="1:23">
      <c r="A9" s="134" t="s">
        <v>83</v>
      </c>
      <c r="B9" s="134">
        <v>39</v>
      </c>
      <c r="C9" s="145">
        <v>3726.4515828152698</v>
      </c>
      <c r="G9" s="134" t="s">
        <v>469</v>
      </c>
      <c r="H9" s="134" t="s">
        <v>469</v>
      </c>
      <c r="I9" s="134" t="s">
        <v>841</v>
      </c>
      <c r="J9" s="134">
        <v>218</v>
      </c>
      <c r="K9" s="145">
        <v>16879.795807141902</v>
      </c>
      <c r="L9" s="145">
        <v>77.430255996063593</v>
      </c>
      <c r="M9" s="134"/>
      <c r="P9" s="147" t="s">
        <v>358</v>
      </c>
      <c r="Q9" s="148"/>
      <c r="T9" s="154">
        <f t="shared" si="0"/>
        <v>39</v>
      </c>
      <c r="U9" s="154">
        <f t="shared" si="1"/>
        <v>3726.4515828152698</v>
      </c>
      <c r="V9" s="154">
        <f t="shared" si="2"/>
        <v>39</v>
      </c>
      <c r="W9" s="155">
        <f t="shared" si="3"/>
        <v>3726.4515828152698</v>
      </c>
    </row>
    <row r="10" spans="1:23">
      <c r="A10" s="134" t="s">
        <v>84</v>
      </c>
      <c r="B10" s="134">
        <v>4</v>
      </c>
      <c r="C10" s="145">
        <v>1482.95756995854</v>
      </c>
      <c r="G10" s="134" t="s">
        <v>469</v>
      </c>
      <c r="H10" s="134" t="s">
        <v>469</v>
      </c>
      <c r="I10" s="134" t="s">
        <v>191</v>
      </c>
      <c r="J10" s="134">
        <v>2061</v>
      </c>
      <c r="K10" s="145">
        <v>1343961.03191647</v>
      </c>
      <c r="L10" s="145">
        <v>652.09171854268504</v>
      </c>
      <c r="M10" s="134"/>
      <c r="P10" s="147" t="s">
        <v>155</v>
      </c>
      <c r="Q10" s="148"/>
      <c r="T10" s="154">
        <f t="shared" si="0"/>
        <v>4</v>
      </c>
      <c r="U10" s="154">
        <f t="shared" si="1"/>
        <v>436.54408306488602</v>
      </c>
      <c r="V10" s="154">
        <f t="shared" si="2"/>
        <v>4</v>
      </c>
      <c r="W10" s="155">
        <f t="shared" si="3"/>
        <v>436.54408306488602</v>
      </c>
    </row>
    <row r="11" spans="1:23">
      <c r="A11" s="134" t="s">
        <v>663</v>
      </c>
      <c r="B11" s="134">
        <v>2</v>
      </c>
      <c r="C11" s="145">
        <v>247.715411533782</v>
      </c>
      <c r="G11" s="134" t="s">
        <v>469</v>
      </c>
      <c r="H11" s="134" t="s">
        <v>469</v>
      </c>
      <c r="I11" s="134" t="s">
        <v>109</v>
      </c>
      <c r="J11" s="134">
        <v>21</v>
      </c>
      <c r="K11" s="145">
        <v>2742.6536020287299</v>
      </c>
      <c r="L11" s="145">
        <v>130.60255247755899</v>
      </c>
      <c r="M11" s="134"/>
      <c r="P11" s="147" t="s">
        <v>156</v>
      </c>
      <c r="Q11" s="148"/>
      <c r="T11" s="154">
        <f t="shared" si="0"/>
        <v>2</v>
      </c>
      <c r="U11" s="154">
        <f t="shared" si="1"/>
        <v>247.715411533782</v>
      </c>
      <c r="V11" s="154">
        <f t="shared" si="2"/>
        <v>2</v>
      </c>
      <c r="W11" s="155">
        <f t="shared" si="3"/>
        <v>247.715411533782</v>
      </c>
    </row>
    <row r="12" spans="1:23">
      <c r="A12" s="134" t="s">
        <v>664</v>
      </c>
      <c r="B12" s="134">
        <v>17</v>
      </c>
      <c r="C12" s="145">
        <v>1272.48792207821</v>
      </c>
      <c r="G12" s="134" t="s">
        <v>469</v>
      </c>
      <c r="H12" s="134" t="s">
        <v>469</v>
      </c>
      <c r="I12" s="134" t="s">
        <v>699</v>
      </c>
      <c r="J12" s="134">
        <v>2163</v>
      </c>
      <c r="K12" s="145">
        <v>180440.00543450899</v>
      </c>
      <c r="L12" s="145">
        <v>83.421176807447694</v>
      </c>
      <c r="M12" s="134"/>
      <c r="P12" s="147" t="s">
        <v>157</v>
      </c>
      <c r="Q12" s="148"/>
      <c r="T12" s="154">
        <f t="shared" si="0"/>
        <v>17</v>
      </c>
      <c r="U12" s="154">
        <f t="shared" si="1"/>
        <v>1272.48792207821</v>
      </c>
      <c r="V12" s="154">
        <f t="shared" si="2"/>
        <v>17</v>
      </c>
      <c r="W12" s="155">
        <f t="shared" si="3"/>
        <v>1272.48792207821</v>
      </c>
    </row>
    <row r="13" spans="1:23">
      <c r="A13" s="134" t="s">
        <v>1069</v>
      </c>
      <c r="B13" s="134">
        <v>1139</v>
      </c>
      <c r="C13" s="145">
        <v>67838.956301206606</v>
      </c>
      <c r="G13" s="134" t="s">
        <v>469</v>
      </c>
      <c r="H13" s="134" t="s">
        <v>469</v>
      </c>
      <c r="I13" s="134" t="s">
        <v>738</v>
      </c>
      <c r="J13" s="134">
        <v>2874</v>
      </c>
      <c r="K13" s="145">
        <v>301523.14322354097</v>
      </c>
      <c r="L13" s="145">
        <v>104.914106897544</v>
      </c>
      <c r="M13" s="134"/>
      <c r="P13" s="147" t="s">
        <v>158</v>
      </c>
      <c r="Q13" s="148"/>
      <c r="T13" s="154">
        <f t="shared" si="0"/>
        <v>1139</v>
      </c>
      <c r="U13" s="154">
        <f t="shared" si="1"/>
        <v>67838.956301206606</v>
      </c>
      <c r="V13" s="154">
        <f t="shared" si="2"/>
        <v>1139</v>
      </c>
      <c r="W13" s="155">
        <f t="shared" si="3"/>
        <v>67838.956301206606</v>
      </c>
    </row>
    <row r="14" spans="1:23">
      <c r="A14" s="134" t="s">
        <v>667</v>
      </c>
      <c r="B14" s="134">
        <v>15</v>
      </c>
      <c r="C14" s="145">
        <v>1495.3731658485499</v>
      </c>
      <c r="G14" s="134" t="s">
        <v>469</v>
      </c>
      <c r="H14" s="134" t="s">
        <v>469</v>
      </c>
      <c r="I14" s="134" t="s">
        <v>129</v>
      </c>
      <c r="J14" s="134">
        <v>458</v>
      </c>
      <c r="K14" s="145">
        <v>67943.263923039995</v>
      </c>
      <c r="L14" s="145">
        <v>148.347737823231</v>
      </c>
      <c r="M14" s="134"/>
      <c r="P14" s="147" t="s">
        <v>159</v>
      </c>
      <c r="Q14" s="148"/>
      <c r="T14" s="154">
        <f t="shared" si="0"/>
        <v>15</v>
      </c>
      <c r="U14" s="154">
        <f t="shared" si="1"/>
        <v>1495.3731658485499</v>
      </c>
      <c r="V14" s="154">
        <f t="shared" si="2"/>
        <v>15</v>
      </c>
      <c r="W14" s="155">
        <f t="shared" si="3"/>
        <v>1495.3731658485499</v>
      </c>
    </row>
    <row r="15" spans="1:23">
      <c r="A15" s="134" t="s">
        <v>85</v>
      </c>
      <c r="B15" s="134">
        <v>34</v>
      </c>
      <c r="C15" s="145">
        <v>4363.1795556228599</v>
      </c>
      <c r="G15" s="134" t="s">
        <v>469</v>
      </c>
      <c r="H15" s="134" t="s">
        <v>469</v>
      </c>
      <c r="I15" s="134" t="s">
        <v>310</v>
      </c>
      <c r="J15" s="134">
        <v>182289</v>
      </c>
      <c r="K15" s="145">
        <v>26245595.043268401</v>
      </c>
      <c r="L15" s="145">
        <v>143.977941857536</v>
      </c>
      <c r="M15" s="134"/>
      <c r="P15" s="147" t="s">
        <v>97</v>
      </c>
      <c r="Q15" s="148"/>
      <c r="T15" s="154">
        <f t="shared" si="0"/>
        <v>34</v>
      </c>
      <c r="U15" s="154">
        <f t="shared" si="1"/>
        <v>4363.1795556228599</v>
      </c>
      <c r="V15" s="154">
        <f t="shared" si="2"/>
        <v>34</v>
      </c>
      <c r="W15" s="155">
        <f t="shared" si="3"/>
        <v>4363.1795556228599</v>
      </c>
    </row>
    <row r="16" spans="1:23">
      <c r="A16" s="134" t="s">
        <v>485</v>
      </c>
      <c r="B16" s="134">
        <v>889</v>
      </c>
      <c r="C16" s="145">
        <v>81934.757249524802</v>
      </c>
      <c r="G16" s="134" t="s">
        <v>469</v>
      </c>
      <c r="H16" s="134" t="s">
        <v>469</v>
      </c>
      <c r="I16" s="134" t="s">
        <v>681</v>
      </c>
      <c r="J16" s="134">
        <v>3515</v>
      </c>
      <c r="K16" s="145">
        <v>491524.35648753599</v>
      </c>
      <c r="L16" s="145">
        <v>139.83623228663899</v>
      </c>
      <c r="M16" s="134"/>
      <c r="P16" s="147" t="s">
        <v>98</v>
      </c>
      <c r="Q16" s="148"/>
      <c r="T16" s="154">
        <f t="shared" si="0"/>
        <v>889</v>
      </c>
      <c r="U16" s="154">
        <f t="shared" si="1"/>
        <v>81934.757249524802</v>
      </c>
      <c r="V16" s="154">
        <f t="shared" si="2"/>
        <v>889</v>
      </c>
      <c r="W16" s="155">
        <f t="shared" si="3"/>
        <v>81934.757249524802</v>
      </c>
    </row>
    <row r="17" spans="1:23">
      <c r="A17" s="134" t="s">
        <v>1045</v>
      </c>
      <c r="B17" s="134">
        <v>1</v>
      </c>
      <c r="C17" s="145">
        <v>237.54042433157301</v>
      </c>
      <c r="G17" s="134" t="s">
        <v>469</v>
      </c>
      <c r="H17" s="134" t="s">
        <v>469</v>
      </c>
      <c r="I17" s="134" t="s">
        <v>131</v>
      </c>
      <c r="J17" s="134">
        <v>267</v>
      </c>
      <c r="K17" s="145">
        <v>23917.972779606702</v>
      </c>
      <c r="L17" s="145">
        <v>89.580422395530505</v>
      </c>
      <c r="M17" s="134"/>
      <c r="P17" s="147" t="s">
        <v>99</v>
      </c>
      <c r="Q17" s="148"/>
      <c r="T17" s="154">
        <f t="shared" si="0"/>
        <v>1</v>
      </c>
      <c r="U17" s="154">
        <f t="shared" si="1"/>
        <v>237.54042433157301</v>
      </c>
      <c r="V17" s="154">
        <f t="shared" si="2"/>
        <v>1</v>
      </c>
      <c r="W17" s="155">
        <f t="shared" si="3"/>
        <v>237.54042433157301</v>
      </c>
    </row>
    <row r="18" spans="1:23">
      <c r="A18" s="134" t="s">
        <v>1046</v>
      </c>
      <c r="B18" s="134">
        <v>4</v>
      </c>
      <c r="C18" s="145">
        <v>872.87076840280804</v>
      </c>
      <c r="G18" s="134" t="s">
        <v>469</v>
      </c>
      <c r="H18" s="134" t="s">
        <v>469</v>
      </c>
      <c r="I18" s="134" t="s">
        <v>470</v>
      </c>
      <c r="J18" s="134">
        <v>4536</v>
      </c>
      <c r="K18" s="145">
        <v>370305.75108267501</v>
      </c>
      <c r="L18" s="145">
        <v>81.637070344505005</v>
      </c>
      <c r="M18" s="134"/>
      <c r="P18" s="147" t="s">
        <v>100</v>
      </c>
      <c r="Q18" s="148"/>
      <c r="T18" s="154">
        <f t="shared" si="0"/>
        <v>4</v>
      </c>
      <c r="U18" s="154">
        <f t="shared" si="1"/>
        <v>872.87076840280804</v>
      </c>
      <c r="V18" s="154">
        <f t="shared" si="2"/>
        <v>4</v>
      </c>
      <c r="W18" s="155">
        <f t="shared" si="3"/>
        <v>872.87076840280804</v>
      </c>
    </row>
    <row r="19" spans="1:23">
      <c r="A19" s="134" t="s">
        <v>671</v>
      </c>
      <c r="B19" s="134">
        <v>28</v>
      </c>
      <c r="C19" s="145">
        <v>3824.2001257123702</v>
      </c>
      <c r="G19" s="134" t="s">
        <v>469</v>
      </c>
      <c r="H19" s="134" t="s">
        <v>469</v>
      </c>
      <c r="I19" s="134" t="s">
        <v>311</v>
      </c>
      <c r="J19" s="134">
        <v>408</v>
      </c>
      <c r="K19" s="145">
        <v>399130.483330647</v>
      </c>
      <c r="L19" s="145">
        <v>978.26098855550799</v>
      </c>
      <c r="M19" s="134"/>
      <c r="P19" s="147" t="s">
        <v>103</v>
      </c>
      <c r="Q19" s="148"/>
      <c r="T19" s="154">
        <f t="shared" si="0"/>
        <v>28</v>
      </c>
      <c r="U19" s="154">
        <f t="shared" si="1"/>
        <v>3824.2001257123702</v>
      </c>
      <c r="V19" s="154">
        <f t="shared" si="2"/>
        <v>28</v>
      </c>
      <c r="W19" s="155">
        <f t="shared" si="3"/>
        <v>3824.2001257123702</v>
      </c>
    </row>
    <row r="20" spans="1:23">
      <c r="A20" s="134" t="s">
        <v>86</v>
      </c>
      <c r="B20" s="134">
        <v>227</v>
      </c>
      <c r="C20" s="145">
        <v>36444.976837777402</v>
      </c>
      <c r="G20" s="134" t="s">
        <v>469</v>
      </c>
      <c r="H20" s="134" t="s">
        <v>469</v>
      </c>
      <c r="I20" s="134" t="s">
        <v>160</v>
      </c>
      <c r="J20" s="134">
        <v>8</v>
      </c>
      <c r="K20" s="145">
        <v>1792.3815081902101</v>
      </c>
      <c r="L20" s="145">
        <v>224.047688523776</v>
      </c>
      <c r="M20" s="134"/>
      <c r="P20" s="147" t="s">
        <v>104</v>
      </c>
      <c r="Q20" s="148"/>
      <c r="T20" s="154">
        <f t="shared" si="0"/>
        <v>227</v>
      </c>
      <c r="U20" s="154">
        <f t="shared" si="1"/>
        <v>36444.976837777402</v>
      </c>
      <c r="V20" s="154">
        <f t="shared" si="2"/>
        <v>227</v>
      </c>
      <c r="W20" s="155">
        <f t="shared" si="3"/>
        <v>36444.976837777402</v>
      </c>
    </row>
    <row r="21" spans="1:23">
      <c r="A21" s="134" t="s">
        <v>509</v>
      </c>
      <c r="B21" s="134">
        <v>340</v>
      </c>
      <c r="C21" s="145">
        <v>28833.229924699601</v>
      </c>
      <c r="G21" s="134" t="s">
        <v>469</v>
      </c>
      <c r="H21" s="134" t="s">
        <v>469</v>
      </c>
      <c r="I21" s="134" t="s">
        <v>312</v>
      </c>
      <c r="J21" s="134">
        <v>49</v>
      </c>
      <c r="K21" s="145">
        <v>11375.4823755404</v>
      </c>
      <c r="L21" s="145">
        <v>232.15270154164</v>
      </c>
      <c r="M21" s="134"/>
      <c r="P21" s="147" t="s">
        <v>105</v>
      </c>
      <c r="Q21" s="148"/>
      <c r="T21" s="154">
        <f t="shared" si="0"/>
        <v>340</v>
      </c>
      <c r="U21" s="154">
        <f t="shared" si="1"/>
        <v>28379.680405994801</v>
      </c>
      <c r="V21" s="154">
        <f t="shared" si="2"/>
        <v>340</v>
      </c>
      <c r="W21" s="155">
        <f t="shared" si="3"/>
        <v>28379.680405994801</v>
      </c>
    </row>
    <row r="22" spans="1:23">
      <c r="A22" s="134" t="s">
        <v>674</v>
      </c>
      <c r="B22" s="134">
        <v>104</v>
      </c>
      <c r="C22" s="145">
        <v>13124.239979578901</v>
      </c>
      <c r="G22" s="134" t="s">
        <v>469</v>
      </c>
      <c r="H22" s="134" t="s">
        <v>469</v>
      </c>
      <c r="I22" s="134" t="s">
        <v>313</v>
      </c>
      <c r="J22" s="134">
        <v>16</v>
      </c>
      <c r="K22" s="145">
        <v>2815.7274787802598</v>
      </c>
      <c r="L22" s="145">
        <v>175.98296742376601</v>
      </c>
      <c r="M22" s="134"/>
      <c r="P22" s="147" t="s">
        <v>106</v>
      </c>
      <c r="Q22" s="148"/>
      <c r="T22" s="154">
        <f t="shared" si="0"/>
        <v>104</v>
      </c>
      <c r="U22" s="154">
        <f t="shared" si="1"/>
        <v>12946.632794122001</v>
      </c>
      <c r="V22" s="154">
        <f t="shared" si="2"/>
        <v>104</v>
      </c>
      <c r="W22" s="155">
        <f t="shared" si="3"/>
        <v>12946.632794122001</v>
      </c>
    </row>
    <row r="23" spans="1:23">
      <c r="A23" s="134" t="s">
        <v>87</v>
      </c>
      <c r="B23" s="134">
        <v>40</v>
      </c>
      <c r="C23" s="145">
        <v>3246.25973359095</v>
      </c>
      <c r="G23" s="134" t="s">
        <v>469</v>
      </c>
      <c r="H23" s="134" t="s">
        <v>469</v>
      </c>
      <c r="I23" s="134" t="s">
        <v>756</v>
      </c>
      <c r="J23" s="134">
        <v>17</v>
      </c>
      <c r="K23" s="145">
        <v>2842.6674771824</v>
      </c>
      <c r="L23" s="145">
        <v>167.215733951906</v>
      </c>
      <c r="M23" s="134"/>
      <c r="P23" s="147" t="s">
        <v>107</v>
      </c>
      <c r="Q23" s="148"/>
      <c r="T23" s="154">
        <f t="shared" si="0"/>
        <v>40</v>
      </c>
      <c r="U23" s="154">
        <f t="shared" si="1"/>
        <v>3246.25973359095</v>
      </c>
      <c r="V23" s="154">
        <f t="shared" si="2"/>
        <v>40</v>
      </c>
      <c r="W23" s="155">
        <f t="shared" si="3"/>
        <v>3246.25973359095</v>
      </c>
    </row>
    <row r="24" spans="1:23">
      <c r="A24" s="134" t="s">
        <v>88</v>
      </c>
      <c r="B24" s="134">
        <v>9</v>
      </c>
      <c r="C24" s="145">
        <v>714.651592784993</v>
      </c>
      <c r="G24" s="134" t="s">
        <v>469</v>
      </c>
      <c r="H24" s="134" t="s">
        <v>469</v>
      </c>
      <c r="I24" s="134" t="s">
        <v>314</v>
      </c>
      <c r="J24" s="134">
        <v>63</v>
      </c>
      <c r="K24" s="145">
        <v>12784.7966527923</v>
      </c>
      <c r="L24" s="145">
        <v>202.93328020305299</v>
      </c>
      <c r="M24" s="134"/>
      <c r="P24" s="147" t="s">
        <v>108</v>
      </c>
      <c r="Q24" s="148"/>
      <c r="T24" s="154">
        <f t="shared" si="0"/>
        <v>9</v>
      </c>
      <c r="U24" s="154">
        <f t="shared" si="1"/>
        <v>714.651592784993</v>
      </c>
      <c r="V24" s="154">
        <f t="shared" si="2"/>
        <v>9</v>
      </c>
      <c r="W24" s="155">
        <f t="shared" si="3"/>
        <v>714.651592784993</v>
      </c>
    </row>
    <row r="25" spans="1:23">
      <c r="A25" s="134" t="s">
        <v>89</v>
      </c>
      <c r="B25" s="134">
        <v>22</v>
      </c>
      <c r="C25" s="145">
        <v>2047.97672911122</v>
      </c>
      <c r="G25" s="134" t="s">
        <v>469</v>
      </c>
      <c r="H25" s="134" t="s">
        <v>469</v>
      </c>
      <c r="I25" s="134" t="s">
        <v>471</v>
      </c>
      <c r="J25" s="134">
        <v>1182</v>
      </c>
      <c r="K25" s="145">
        <v>210011.765479383</v>
      </c>
      <c r="L25" s="145">
        <v>177.674928493556</v>
      </c>
      <c r="M25" s="134"/>
      <c r="P25" s="147" t="s">
        <v>376</v>
      </c>
      <c r="Q25" s="148"/>
      <c r="T25" s="154">
        <f t="shared" si="0"/>
        <v>22</v>
      </c>
      <c r="U25" s="154">
        <f t="shared" si="1"/>
        <v>2047.97672911122</v>
      </c>
      <c r="V25" s="154">
        <f t="shared" si="2"/>
        <v>22</v>
      </c>
      <c r="W25" s="155">
        <f t="shared" si="3"/>
        <v>2047.97672911122</v>
      </c>
    </row>
    <row r="26" spans="1:23">
      <c r="A26" s="134" t="s">
        <v>91</v>
      </c>
      <c r="B26" s="134">
        <v>1</v>
      </c>
      <c r="C26" s="145">
        <v>54.807000028370702</v>
      </c>
      <c r="G26" s="134" t="s">
        <v>469</v>
      </c>
      <c r="H26" s="134" t="s">
        <v>469</v>
      </c>
      <c r="I26" s="134" t="s">
        <v>92</v>
      </c>
      <c r="J26" s="134">
        <v>1</v>
      </c>
      <c r="K26" s="145">
        <v>118.95661853883</v>
      </c>
      <c r="L26" s="145">
        <v>118.95661853883</v>
      </c>
      <c r="M26" s="134"/>
      <c r="P26" s="147" t="s">
        <v>109</v>
      </c>
      <c r="Q26" s="148"/>
      <c r="T26" s="154">
        <f t="shared" si="0"/>
        <v>1</v>
      </c>
      <c r="U26" s="154">
        <f t="shared" si="1"/>
        <v>54.807000028370702</v>
      </c>
      <c r="V26" s="154">
        <f t="shared" si="2"/>
        <v>1</v>
      </c>
      <c r="W26" s="155">
        <f t="shared" si="3"/>
        <v>54.807000028370702</v>
      </c>
    </row>
    <row r="27" spans="1:23">
      <c r="A27" s="134" t="s">
        <v>1047</v>
      </c>
      <c r="B27" s="134">
        <v>102</v>
      </c>
      <c r="C27" s="145">
        <v>5844.4662195251103</v>
      </c>
      <c r="G27" s="134" t="s">
        <v>469</v>
      </c>
      <c r="H27" s="134" t="s">
        <v>469</v>
      </c>
      <c r="I27" s="134" t="s">
        <v>897</v>
      </c>
      <c r="J27" s="134">
        <v>2331</v>
      </c>
      <c r="K27" s="145">
        <v>427240.04419145797</v>
      </c>
      <c r="L27" s="145">
        <v>183.286162244298</v>
      </c>
      <c r="M27" s="134"/>
      <c r="P27" s="147" t="s">
        <v>92</v>
      </c>
      <c r="Q27" s="148"/>
      <c r="T27" s="154">
        <f t="shared" si="0"/>
        <v>102</v>
      </c>
      <c r="U27" s="154">
        <f t="shared" si="1"/>
        <v>5844.4662195251103</v>
      </c>
      <c r="V27" s="154">
        <f t="shared" si="2"/>
        <v>102</v>
      </c>
      <c r="W27" s="155">
        <f t="shared" si="3"/>
        <v>5844.4662195251103</v>
      </c>
    </row>
    <row r="28" spans="1:23">
      <c r="A28" s="134" t="s">
        <v>1048</v>
      </c>
      <c r="B28" s="134">
        <v>162</v>
      </c>
      <c r="C28" s="145">
        <v>13276.6738473481</v>
      </c>
      <c r="G28" s="134" t="s">
        <v>469</v>
      </c>
      <c r="H28" s="134" t="s">
        <v>469</v>
      </c>
      <c r="I28" s="134" t="s">
        <v>766</v>
      </c>
      <c r="J28" s="134">
        <v>10594</v>
      </c>
      <c r="K28" s="145">
        <v>1262821.4089611699</v>
      </c>
      <c r="L28" s="145">
        <v>119.20156777054601</v>
      </c>
      <c r="M28" s="134"/>
      <c r="P28" s="147" t="s">
        <v>341</v>
      </c>
      <c r="Q28" s="148"/>
      <c r="T28" s="154">
        <f t="shared" si="0"/>
        <v>162</v>
      </c>
      <c r="U28" s="154">
        <f t="shared" si="1"/>
        <v>13276.6738473481</v>
      </c>
      <c r="V28" s="154">
        <f t="shared" si="2"/>
        <v>162</v>
      </c>
      <c r="W28" s="155">
        <f t="shared" si="3"/>
        <v>13276.6738473481</v>
      </c>
    </row>
    <row r="29" spans="1:23">
      <c r="A29" s="134" t="s">
        <v>680</v>
      </c>
      <c r="B29" s="134">
        <v>15</v>
      </c>
      <c r="C29" s="145">
        <v>1655.5591264498401</v>
      </c>
      <c r="G29" s="134" t="s">
        <v>469</v>
      </c>
      <c r="H29" s="134" t="s">
        <v>469</v>
      </c>
      <c r="I29" s="134" t="s">
        <v>472</v>
      </c>
      <c r="J29" s="134">
        <v>7953</v>
      </c>
      <c r="K29" s="145">
        <v>1525479.0932078101</v>
      </c>
      <c r="L29" s="145">
        <v>191.81178086355001</v>
      </c>
      <c r="M29" s="134"/>
      <c r="P29" s="147" t="s">
        <v>342</v>
      </c>
      <c r="Q29" s="148"/>
      <c r="T29" s="154">
        <f t="shared" si="0"/>
        <v>15</v>
      </c>
      <c r="U29" s="154">
        <f t="shared" si="1"/>
        <v>1655.5591264498401</v>
      </c>
      <c r="V29" s="154">
        <f t="shared" si="2"/>
        <v>15</v>
      </c>
      <c r="W29" s="155">
        <f t="shared" si="3"/>
        <v>1655.5591264498401</v>
      </c>
    </row>
    <row r="30" spans="1:23">
      <c r="A30" s="134" t="s">
        <v>1049</v>
      </c>
      <c r="B30" s="134">
        <v>16</v>
      </c>
      <c r="C30" s="145">
        <v>983.80082790145002</v>
      </c>
      <c r="G30" s="134" t="s">
        <v>469</v>
      </c>
      <c r="H30" s="134" t="s">
        <v>469</v>
      </c>
      <c r="I30" s="134" t="s">
        <v>833</v>
      </c>
      <c r="J30" s="134">
        <v>49</v>
      </c>
      <c r="K30" s="145">
        <v>1932.73144509857</v>
      </c>
      <c r="L30" s="145">
        <v>39.443498879562704</v>
      </c>
      <c r="M30" s="134"/>
      <c r="P30" s="147" t="s">
        <v>202</v>
      </c>
      <c r="Q30" s="148"/>
      <c r="T30" s="154">
        <f t="shared" si="0"/>
        <v>16</v>
      </c>
      <c r="U30" s="154">
        <f t="shared" si="1"/>
        <v>983.80082790145002</v>
      </c>
      <c r="V30" s="154">
        <f t="shared" si="2"/>
        <v>16</v>
      </c>
      <c r="W30" s="155">
        <f t="shared" si="3"/>
        <v>983.80082790145002</v>
      </c>
    </row>
    <row r="31" spans="1:23">
      <c r="A31" s="134" t="s">
        <v>1068</v>
      </c>
      <c r="B31" s="134">
        <v>2482</v>
      </c>
      <c r="C31" s="145">
        <v>202217.311152215</v>
      </c>
      <c r="G31" s="134" t="s">
        <v>469</v>
      </c>
      <c r="H31" s="134" t="s">
        <v>469</v>
      </c>
      <c r="I31" s="134" t="s">
        <v>1060</v>
      </c>
      <c r="J31" s="134">
        <v>1</v>
      </c>
      <c r="K31" s="145">
        <v>163.618282152213</v>
      </c>
      <c r="L31" s="145">
        <v>163.618282152213</v>
      </c>
      <c r="M31" s="134"/>
      <c r="P31" s="147" t="s">
        <v>203</v>
      </c>
      <c r="Q31" s="148"/>
      <c r="T31" s="154">
        <f t="shared" si="0"/>
        <v>2482</v>
      </c>
      <c r="U31" s="154">
        <f t="shared" si="1"/>
        <v>202217.311152215</v>
      </c>
      <c r="V31" s="154">
        <f t="shared" si="2"/>
        <v>2482</v>
      </c>
      <c r="W31" s="155">
        <f t="shared" si="3"/>
        <v>202217.311152215</v>
      </c>
    </row>
    <row r="32" spans="1:23">
      <c r="A32" s="134" t="s">
        <v>1050</v>
      </c>
      <c r="B32" s="134">
        <v>2</v>
      </c>
      <c r="C32" s="145">
        <v>263.13118073891502</v>
      </c>
      <c r="G32" s="134" t="s">
        <v>469</v>
      </c>
      <c r="H32" s="134" t="s">
        <v>469</v>
      </c>
      <c r="I32" s="134" t="s">
        <v>849</v>
      </c>
      <c r="J32" s="134">
        <v>44</v>
      </c>
      <c r="K32" s="145">
        <v>14213.8020095952</v>
      </c>
      <c r="L32" s="145">
        <v>323.040954763527</v>
      </c>
      <c r="M32" s="134"/>
      <c r="P32" s="147" t="s">
        <v>205</v>
      </c>
      <c r="Q32" s="148"/>
      <c r="T32" s="154">
        <f t="shared" si="0"/>
        <v>2</v>
      </c>
      <c r="U32" s="154">
        <f t="shared" si="1"/>
        <v>263.13118073891502</v>
      </c>
      <c r="V32" s="154">
        <f t="shared" si="2"/>
        <v>2</v>
      </c>
      <c r="W32" s="155">
        <f t="shared" si="3"/>
        <v>263.13118073891502</v>
      </c>
    </row>
    <row r="33" spans="1:23">
      <c r="A33" s="134" t="s">
        <v>683</v>
      </c>
      <c r="B33" s="134">
        <v>6</v>
      </c>
      <c r="C33" s="145">
        <v>634.13885393170597</v>
      </c>
      <c r="G33" s="134" t="s">
        <v>469</v>
      </c>
      <c r="H33" s="134" t="s">
        <v>469</v>
      </c>
      <c r="I33" s="134" t="s">
        <v>688</v>
      </c>
      <c r="J33" s="134">
        <v>9</v>
      </c>
      <c r="K33" s="145">
        <v>1464.75989277894</v>
      </c>
      <c r="L33" s="145">
        <v>162.75109919766001</v>
      </c>
      <c r="M33" s="134"/>
      <c r="T33" s="154">
        <f t="shared" si="0"/>
        <v>6</v>
      </c>
      <c r="U33" s="154">
        <f t="shared" si="1"/>
        <v>634.13885393170597</v>
      </c>
      <c r="V33" s="154">
        <f t="shared" si="2"/>
        <v>6</v>
      </c>
      <c r="W33" s="155">
        <f t="shared" si="3"/>
        <v>634.13885393170597</v>
      </c>
    </row>
    <row r="34" spans="1:23">
      <c r="A34" s="134" t="s">
        <v>684</v>
      </c>
      <c r="B34" s="134">
        <v>150</v>
      </c>
      <c r="C34" s="145">
        <v>21407.824683066199</v>
      </c>
      <c r="G34" s="134" t="s">
        <v>469</v>
      </c>
      <c r="H34" s="134" t="s">
        <v>469</v>
      </c>
      <c r="I34" s="134" t="s">
        <v>128</v>
      </c>
      <c r="J34" s="134">
        <v>4</v>
      </c>
      <c r="K34" s="145">
        <v>579.63181111015399</v>
      </c>
      <c r="L34" s="145">
        <v>144.90795277753901</v>
      </c>
      <c r="M34" s="134"/>
      <c r="T34" s="154">
        <f t="shared" si="0"/>
        <v>150</v>
      </c>
      <c r="U34" s="154">
        <f t="shared" si="1"/>
        <v>20963.806719424199</v>
      </c>
      <c r="V34" s="154">
        <f t="shared" si="2"/>
        <v>150</v>
      </c>
      <c r="W34" s="155">
        <f t="shared" si="3"/>
        <v>20963.806719424199</v>
      </c>
    </row>
    <row r="35" spans="1:23">
      <c r="A35" s="134" t="s">
        <v>685</v>
      </c>
      <c r="B35" s="134">
        <v>3</v>
      </c>
      <c r="C35" s="145">
        <v>671.79737160877801</v>
      </c>
      <c r="G35" s="134" t="s">
        <v>469</v>
      </c>
      <c r="H35" s="134" t="s">
        <v>469</v>
      </c>
      <c r="I35" s="134" t="s">
        <v>840</v>
      </c>
      <c r="J35" s="134">
        <v>4</v>
      </c>
      <c r="K35" s="145">
        <v>674.52501074108704</v>
      </c>
      <c r="L35" s="145">
        <v>168.63125268527199</v>
      </c>
      <c r="M35" s="134"/>
      <c r="T35" s="154">
        <f t="shared" si="0"/>
        <v>3</v>
      </c>
      <c r="U35" s="154">
        <f t="shared" si="1"/>
        <v>671.79737160877801</v>
      </c>
      <c r="V35" s="154">
        <f t="shared" si="2"/>
        <v>3</v>
      </c>
      <c r="W35" s="155">
        <f t="shared" si="3"/>
        <v>671.79737160877801</v>
      </c>
    </row>
    <row r="36" spans="1:23">
      <c r="A36" s="134" t="s">
        <v>687</v>
      </c>
      <c r="B36" s="134">
        <v>49</v>
      </c>
      <c r="C36" s="145">
        <v>4357.8271275192201</v>
      </c>
      <c r="G36" s="134" t="s">
        <v>469</v>
      </c>
      <c r="H36" s="134" t="s">
        <v>469</v>
      </c>
      <c r="I36" s="134" t="s">
        <v>947</v>
      </c>
      <c r="J36" s="134">
        <v>2</v>
      </c>
      <c r="K36" s="145">
        <v>1940.48993231845</v>
      </c>
      <c r="L36" s="145">
        <v>970.24496615922499</v>
      </c>
      <c r="M36" s="134"/>
      <c r="T36" s="154">
        <f t="shared" si="0"/>
        <v>49</v>
      </c>
      <c r="U36" s="154">
        <f t="shared" si="1"/>
        <v>4180.2199420624102</v>
      </c>
      <c r="V36" s="154">
        <f t="shared" si="2"/>
        <v>49</v>
      </c>
      <c r="W36" s="155">
        <f t="shared" si="3"/>
        <v>4180.2199420624102</v>
      </c>
    </row>
    <row r="37" spans="1:23">
      <c r="A37" s="134" t="s">
        <v>688</v>
      </c>
      <c r="B37" s="134">
        <v>9</v>
      </c>
      <c r="C37" s="145">
        <v>1464.75989277894</v>
      </c>
      <c r="G37" s="134" t="s">
        <v>469</v>
      </c>
      <c r="H37" s="134" t="s">
        <v>469</v>
      </c>
      <c r="I37" s="134" t="s">
        <v>717</v>
      </c>
      <c r="J37" s="134">
        <v>322335</v>
      </c>
      <c r="K37" s="145">
        <v>32616197.503762498</v>
      </c>
      <c r="L37" s="145">
        <v>101.18726636500099</v>
      </c>
      <c r="M37" s="134"/>
      <c r="T37" s="154">
        <f t="shared" si="0"/>
        <v>9</v>
      </c>
      <c r="U37" s="154">
        <f t="shared" si="1"/>
        <v>1464.75989277894</v>
      </c>
      <c r="V37" s="154">
        <f t="shared" si="2"/>
        <v>9</v>
      </c>
      <c r="W37" s="155">
        <f t="shared" si="3"/>
        <v>1464.75989277894</v>
      </c>
    </row>
    <row r="38" spans="1:23">
      <c r="A38" s="134" t="s">
        <v>689</v>
      </c>
      <c r="B38" s="134">
        <v>7</v>
      </c>
      <c r="C38" s="145">
        <v>1055.59006884259</v>
      </c>
      <c r="G38" s="134" t="s">
        <v>469</v>
      </c>
      <c r="H38" s="134" t="s">
        <v>469</v>
      </c>
      <c r="I38" s="134" t="s">
        <v>752</v>
      </c>
      <c r="J38" s="134">
        <v>362</v>
      </c>
      <c r="K38" s="145">
        <v>37577.193371906797</v>
      </c>
      <c r="L38" s="145">
        <v>103.80440157985301</v>
      </c>
      <c r="M38" s="134"/>
      <c r="T38" s="154">
        <f t="shared" si="0"/>
        <v>7</v>
      </c>
      <c r="U38" s="154">
        <f t="shared" si="1"/>
        <v>1055.59006884259</v>
      </c>
      <c r="V38" s="154">
        <f t="shared" si="2"/>
        <v>7</v>
      </c>
      <c r="W38" s="155">
        <f t="shared" si="3"/>
        <v>1055.59006884259</v>
      </c>
    </row>
    <row r="39" spans="1:23">
      <c r="A39" s="134" t="s">
        <v>690</v>
      </c>
      <c r="B39" s="134">
        <v>274</v>
      </c>
      <c r="C39" s="145">
        <v>42670.198659315203</v>
      </c>
      <c r="G39" s="134" t="s">
        <v>469</v>
      </c>
      <c r="H39" s="134" t="s">
        <v>469</v>
      </c>
      <c r="I39" s="134" t="s">
        <v>975</v>
      </c>
      <c r="J39" s="134">
        <v>19</v>
      </c>
      <c r="K39" s="145">
        <v>1289.95473870362</v>
      </c>
      <c r="L39" s="145">
        <v>67.892354668611603</v>
      </c>
      <c r="M39" s="134"/>
      <c r="T39" s="154">
        <f t="shared" si="0"/>
        <v>274</v>
      </c>
      <c r="U39" s="154">
        <f t="shared" si="1"/>
        <v>42249.504218563801</v>
      </c>
      <c r="V39" s="154">
        <f t="shared" si="2"/>
        <v>274</v>
      </c>
      <c r="W39" s="155">
        <f t="shared" si="3"/>
        <v>42249.504218563801</v>
      </c>
    </row>
    <row r="40" spans="1:23">
      <c r="A40" s="134" t="s">
        <v>693</v>
      </c>
      <c r="B40" s="134">
        <v>164</v>
      </c>
      <c r="C40" s="145">
        <v>21114.617416503999</v>
      </c>
      <c r="G40" s="134" t="s">
        <v>469</v>
      </c>
      <c r="H40" s="134" t="s">
        <v>469</v>
      </c>
      <c r="I40" s="134" t="s">
        <v>974</v>
      </c>
      <c r="J40" s="134">
        <v>35</v>
      </c>
      <c r="K40" s="145">
        <v>6891.2912326353899</v>
      </c>
      <c r="L40" s="145">
        <v>196.89403521815399</v>
      </c>
      <c r="M40" s="134"/>
      <c r="T40" s="154">
        <f t="shared" si="0"/>
        <v>164</v>
      </c>
      <c r="U40" s="154">
        <f t="shared" si="1"/>
        <v>21114.617416503999</v>
      </c>
      <c r="V40" s="154">
        <f t="shared" si="2"/>
        <v>164</v>
      </c>
      <c r="W40" s="155">
        <f t="shared" si="3"/>
        <v>21114.617416503999</v>
      </c>
    </row>
    <row r="41" spans="1:23">
      <c r="A41" s="134" t="s">
        <v>694</v>
      </c>
      <c r="B41" s="134">
        <v>312</v>
      </c>
      <c r="C41" s="145">
        <v>21093.072415657702</v>
      </c>
      <c r="G41" s="134" t="s">
        <v>469</v>
      </c>
      <c r="H41" s="134" t="s">
        <v>469</v>
      </c>
      <c r="I41" s="134" t="s">
        <v>315</v>
      </c>
      <c r="J41" s="134">
        <v>4</v>
      </c>
      <c r="K41" s="145">
        <v>987.87172662202897</v>
      </c>
      <c r="L41" s="145">
        <v>246.96793165550699</v>
      </c>
      <c r="M41" s="134"/>
      <c r="T41" s="154">
        <f t="shared" si="0"/>
        <v>312</v>
      </c>
      <c r="U41" s="154">
        <f t="shared" si="1"/>
        <v>20792.892019679901</v>
      </c>
      <c r="V41" s="154">
        <f t="shared" si="2"/>
        <v>312</v>
      </c>
      <c r="W41" s="155">
        <f t="shared" si="3"/>
        <v>20792.892019679901</v>
      </c>
    </row>
    <row r="42" spans="1:23">
      <c r="A42" s="134" t="s">
        <v>696</v>
      </c>
      <c r="B42" s="134">
        <v>14</v>
      </c>
      <c r="C42" s="145">
        <v>2575.8749825141299</v>
      </c>
      <c r="G42" s="134" t="s">
        <v>469</v>
      </c>
      <c r="H42" s="134" t="s">
        <v>469</v>
      </c>
      <c r="I42" s="134" t="s">
        <v>473</v>
      </c>
      <c r="J42" s="134">
        <v>20293</v>
      </c>
      <c r="K42" s="145">
        <v>3031139.06920336</v>
      </c>
      <c r="L42" s="145">
        <v>149.36870197621599</v>
      </c>
      <c r="M42" s="134"/>
      <c r="T42" s="154">
        <f t="shared" si="0"/>
        <v>14</v>
      </c>
      <c r="U42" s="154">
        <f t="shared" si="1"/>
        <v>2575.8749825141299</v>
      </c>
      <c r="V42" s="154">
        <f t="shared" si="2"/>
        <v>14</v>
      </c>
      <c r="W42" s="155">
        <f t="shared" si="3"/>
        <v>2575.8749825141299</v>
      </c>
    </row>
    <row r="43" spans="1:23">
      <c r="A43" s="134" t="s">
        <v>697</v>
      </c>
      <c r="B43" s="134">
        <v>56</v>
      </c>
      <c r="C43" s="145">
        <v>6354.9697168440098</v>
      </c>
      <c r="G43" s="134" t="s">
        <v>469</v>
      </c>
      <c r="H43" s="134" t="s">
        <v>469</v>
      </c>
      <c r="I43" s="134" t="s">
        <v>660</v>
      </c>
      <c r="J43" s="134">
        <v>3661</v>
      </c>
      <c r="K43" s="145">
        <v>600893.64276453597</v>
      </c>
      <c r="L43" s="145">
        <v>164.13374563357999</v>
      </c>
      <c r="M43" s="134"/>
      <c r="T43" s="154">
        <f t="shared" si="0"/>
        <v>56</v>
      </c>
      <c r="U43" s="154">
        <f t="shared" si="1"/>
        <v>6354.9697168440098</v>
      </c>
      <c r="V43" s="154">
        <f t="shared" si="2"/>
        <v>56</v>
      </c>
      <c r="W43" s="155">
        <f t="shared" si="3"/>
        <v>6354.9697168440098</v>
      </c>
    </row>
    <row r="44" spans="1:23">
      <c r="A44" s="134" t="s">
        <v>698</v>
      </c>
      <c r="B44" s="134">
        <v>391</v>
      </c>
      <c r="C44" s="145">
        <v>50054.572871283402</v>
      </c>
      <c r="G44" s="134" t="s">
        <v>469</v>
      </c>
      <c r="H44" s="134" t="s">
        <v>469</v>
      </c>
      <c r="I44" s="134" t="s">
        <v>860</v>
      </c>
      <c r="J44" s="134">
        <v>19</v>
      </c>
      <c r="K44" s="145">
        <v>3436.4606272695</v>
      </c>
      <c r="L44" s="145">
        <v>180.86634880365801</v>
      </c>
      <c r="M44" s="134"/>
      <c r="T44" s="154">
        <f t="shared" si="0"/>
        <v>391</v>
      </c>
      <c r="U44" s="154">
        <f t="shared" si="1"/>
        <v>49754.392475305503</v>
      </c>
      <c r="V44" s="154">
        <f t="shared" si="2"/>
        <v>391</v>
      </c>
      <c r="W44" s="155">
        <f t="shared" si="3"/>
        <v>49754.392475305503</v>
      </c>
    </row>
    <row r="45" spans="1:23">
      <c r="A45" s="134" t="s">
        <v>699</v>
      </c>
      <c r="B45" s="134">
        <v>2163</v>
      </c>
      <c r="C45" s="145">
        <v>190930.424230053</v>
      </c>
      <c r="G45" s="134" t="s">
        <v>469</v>
      </c>
      <c r="H45" s="134" t="s">
        <v>469</v>
      </c>
      <c r="I45" s="134" t="s">
        <v>316</v>
      </c>
      <c r="J45" s="134">
        <v>285</v>
      </c>
      <c r="K45" s="145">
        <v>64423.783437439102</v>
      </c>
      <c r="L45" s="145">
        <v>226.04836293838301</v>
      </c>
      <c r="M45" s="134"/>
      <c r="T45" s="154">
        <f t="shared" si="0"/>
        <v>2163</v>
      </c>
      <c r="U45" s="154">
        <f t="shared" si="1"/>
        <v>180440.00543450899</v>
      </c>
      <c r="V45" s="154">
        <f t="shared" si="2"/>
        <v>2163</v>
      </c>
      <c r="W45" s="155">
        <f t="shared" si="3"/>
        <v>180440.00543450899</v>
      </c>
    </row>
    <row r="46" spans="1:23">
      <c r="A46" s="134" t="s">
        <v>704</v>
      </c>
      <c r="B46" s="134">
        <v>3</v>
      </c>
      <c r="C46" s="145">
        <v>318.67600733408801</v>
      </c>
      <c r="G46" s="134" t="s">
        <v>469</v>
      </c>
      <c r="H46" s="134" t="s">
        <v>469</v>
      </c>
      <c r="I46" s="134" t="s">
        <v>202</v>
      </c>
      <c r="J46" s="134">
        <v>1</v>
      </c>
      <c r="K46" s="145">
        <v>226.13070289131099</v>
      </c>
      <c r="L46" s="145">
        <v>226.13070289131099</v>
      </c>
      <c r="M46" s="134"/>
      <c r="T46" s="154">
        <f t="shared" si="0"/>
        <v>3</v>
      </c>
      <c r="U46" s="154">
        <f t="shared" si="1"/>
        <v>318.67600733408801</v>
      </c>
      <c r="V46" s="154">
        <f t="shared" si="2"/>
        <v>3</v>
      </c>
      <c r="W46" s="155">
        <f t="shared" si="3"/>
        <v>318.67600733408801</v>
      </c>
    </row>
    <row r="47" spans="1:23">
      <c r="A47" s="134" t="s">
        <v>705</v>
      </c>
      <c r="B47" s="134">
        <v>6</v>
      </c>
      <c r="C47" s="145">
        <v>498.49841375104501</v>
      </c>
      <c r="G47" s="134" t="s">
        <v>469</v>
      </c>
      <c r="H47" s="134" t="s">
        <v>469</v>
      </c>
      <c r="I47" s="134" t="s">
        <v>908</v>
      </c>
      <c r="J47" s="134">
        <v>3</v>
      </c>
      <c r="K47" s="145">
        <v>347.75387232220999</v>
      </c>
      <c r="L47" s="145">
        <v>115.917957440737</v>
      </c>
      <c r="M47" s="134"/>
      <c r="T47" s="154">
        <f t="shared" si="0"/>
        <v>6</v>
      </c>
      <c r="U47" s="154">
        <f t="shared" si="1"/>
        <v>498.49841375104501</v>
      </c>
      <c r="V47" s="154">
        <f t="shared" si="2"/>
        <v>6</v>
      </c>
      <c r="W47" s="155">
        <f t="shared" si="3"/>
        <v>498.49841375104501</v>
      </c>
    </row>
    <row r="48" spans="1:23">
      <c r="A48" s="134" t="s">
        <v>706</v>
      </c>
      <c r="B48" s="134">
        <v>198</v>
      </c>
      <c r="C48" s="145">
        <v>28068.794919009299</v>
      </c>
      <c r="G48" s="134" t="s">
        <v>469</v>
      </c>
      <c r="H48" s="134" t="s">
        <v>469</v>
      </c>
      <c r="I48" s="134" t="s">
        <v>1050</v>
      </c>
      <c r="J48" s="134">
        <v>2</v>
      </c>
      <c r="K48" s="145">
        <v>263.13118073891502</v>
      </c>
      <c r="L48" s="145">
        <v>131.565590369457</v>
      </c>
      <c r="M48" s="134"/>
      <c r="T48" s="154">
        <f t="shared" si="0"/>
        <v>198</v>
      </c>
      <c r="U48" s="154">
        <f t="shared" si="1"/>
        <v>24647.211058318899</v>
      </c>
      <c r="V48" s="154">
        <f t="shared" si="2"/>
        <v>198</v>
      </c>
      <c r="W48" s="155">
        <f t="shared" si="3"/>
        <v>24647.211058318899</v>
      </c>
    </row>
    <row r="49" spans="1:23">
      <c r="A49" s="134" t="s">
        <v>708</v>
      </c>
      <c r="B49" s="134">
        <v>5</v>
      </c>
      <c r="C49" s="145">
        <v>522.45798165961605</v>
      </c>
      <c r="G49" s="134" t="s">
        <v>469</v>
      </c>
      <c r="H49" s="134" t="s">
        <v>469</v>
      </c>
      <c r="I49" s="134" t="s">
        <v>925</v>
      </c>
      <c r="J49" s="134">
        <v>51</v>
      </c>
      <c r="K49" s="145">
        <v>8747.5776923375597</v>
      </c>
      <c r="L49" s="145">
        <v>171.521131222305</v>
      </c>
      <c r="M49" s="134"/>
      <c r="T49" s="154">
        <f t="shared" si="0"/>
        <v>5</v>
      </c>
      <c r="U49" s="154">
        <f t="shared" si="1"/>
        <v>522.45798165961605</v>
      </c>
      <c r="V49" s="154">
        <f t="shared" si="2"/>
        <v>5</v>
      </c>
      <c r="W49" s="155">
        <f t="shared" si="3"/>
        <v>522.45798165961605</v>
      </c>
    </row>
    <row r="50" spans="1:23">
      <c r="A50" s="134" t="s">
        <v>709</v>
      </c>
      <c r="B50" s="134">
        <v>26</v>
      </c>
      <c r="C50" s="145">
        <v>2913.9790377039199</v>
      </c>
      <c r="G50" s="134" t="s">
        <v>469</v>
      </c>
      <c r="H50" s="134" t="s">
        <v>469</v>
      </c>
      <c r="I50" s="134" t="s">
        <v>770</v>
      </c>
      <c r="J50" s="134">
        <v>830</v>
      </c>
      <c r="K50" s="145">
        <v>100732.14981163701</v>
      </c>
      <c r="L50" s="145">
        <v>121.36403591763499</v>
      </c>
      <c r="M50" s="134"/>
      <c r="T50" s="154">
        <f t="shared" si="0"/>
        <v>26</v>
      </c>
      <c r="U50" s="154">
        <f t="shared" si="1"/>
        <v>2913.9790377039199</v>
      </c>
      <c r="V50" s="154">
        <f t="shared" si="2"/>
        <v>26</v>
      </c>
      <c r="W50" s="155">
        <f t="shared" si="3"/>
        <v>2913.9790377039199</v>
      </c>
    </row>
    <row r="51" spans="1:23">
      <c r="A51" s="134" t="s">
        <v>710</v>
      </c>
      <c r="B51" s="134">
        <v>5</v>
      </c>
      <c r="C51" s="145">
        <v>411.51013917528502</v>
      </c>
      <c r="G51" s="134" t="s">
        <v>469</v>
      </c>
      <c r="H51" s="134" t="s">
        <v>469</v>
      </c>
      <c r="I51" s="134" t="s">
        <v>910</v>
      </c>
      <c r="J51" s="134">
        <v>5286</v>
      </c>
      <c r="K51" s="145">
        <v>777125.30233188299</v>
      </c>
      <c r="L51" s="145">
        <v>147.01575904878601</v>
      </c>
      <c r="M51" s="134"/>
      <c r="T51" s="154">
        <f t="shared" si="0"/>
        <v>5</v>
      </c>
      <c r="U51" s="154">
        <f t="shared" si="1"/>
        <v>411.51013917528502</v>
      </c>
      <c r="V51" s="154">
        <f t="shared" si="2"/>
        <v>5</v>
      </c>
      <c r="W51" s="155">
        <f t="shared" si="3"/>
        <v>411.51013917528502</v>
      </c>
    </row>
    <row r="52" spans="1:23">
      <c r="A52" s="134" t="s">
        <v>711</v>
      </c>
      <c r="B52" s="134">
        <v>6</v>
      </c>
      <c r="C52" s="145">
        <v>998.72420660388104</v>
      </c>
      <c r="G52" s="134" t="s">
        <v>469</v>
      </c>
      <c r="H52" s="134" t="s">
        <v>469</v>
      </c>
      <c r="I52" s="134" t="s">
        <v>317</v>
      </c>
      <c r="J52" s="134">
        <v>2472</v>
      </c>
      <c r="K52" s="145">
        <v>367635.65015927498</v>
      </c>
      <c r="L52" s="145">
        <v>148.71992320359001</v>
      </c>
      <c r="M52" s="134"/>
      <c r="T52" s="154">
        <f t="shared" si="0"/>
        <v>6</v>
      </c>
      <c r="U52" s="154">
        <f t="shared" si="1"/>
        <v>998.72420660388104</v>
      </c>
      <c r="V52" s="154">
        <f t="shared" si="2"/>
        <v>6</v>
      </c>
      <c r="W52" s="155">
        <f t="shared" si="3"/>
        <v>998.72420660388104</v>
      </c>
    </row>
    <row r="53" spans="1:23">
      <c r="A53" s="134" t="s">
        <v>712</v>
      </c>
      <c r="B53" s="134">
        <v>3</v>
      </c>
      <c r="C53" s="145">
        <v>1314.5522623925101</v>
      </c>
      <c r="G53" s="134" t="s">
        <v>469</v>
      </c>
      <c r="H53" s="134" t="s">
        <v>469</v>
      </c>
      <c r="I53" s="134" t="s">
        <v>723</v>
      </c>
      <c r="J53" s="134">
        <v>2134</v>
      </c>
      <c r="K53" s="145">
        <v>252374.58800498201</v>
      </c>
      <c r="L53" s="145">
        <v>118.263630742728</v>
      </c>
      <c r="M53" s="134"/>
      <c r="T53" s="154">
        <f t="shared" si="0"/>
        <v>3</v>
      </c>
      <c r="U53" s="154">
        <f t="shared" si="1"/>
        <v>1314.5522623925101</v>
      </c>
      <c r="V53" s="154">
        <f t="shared" si="2"/>
        <v>3</v>
      </c>
      <c r="W53" s="155">
        <f t="shared" si="3"/>
        <v>1314.5522623925101</v>
      </c>
    </row>
    <row r="54" spans="1:23">
      <c r="A54" s="134" t="s">
        <v>725</v>
      </c>
      <c r="B54" s="134">
        <v>4610</v>
      </c>
      <c r="C54" s="145">
        <v>1435658.04951892</v>
      </c>
      <c r="G54" s="134" t="s">
        <v>469</v>
      </c>
      <c r="H54" s="134" t="s">
        <v>469</v>
      </c>
      <c r="I54" s="134" t="s">
        <v>711</v>
      </c>
      <c r="J54" s="134">
        <v>6</v>
      </c>
      <c r="K54" s="145">
        <v>998.72420660388104</v>
      </c>
      <c r="L54" s="145">
        <v>166.45403443398001</v>
      </c>
      <c r="M54" s="134"/>
      <c r="T54" s="154">
        <f t="shared" si="0"/>
        <v>4610</v>
      </c>
      <c r="U54" s="154">
        <f t="shared" si="1"/>
        <v>1434854.66876751</v>
      </c>
      <c r="V54" s="154">
        <f t="shared" si="2"/>
        <v>4610</v>
      </c>
      <c r="W54" s="155">
        <f t="shared" si="3"/>
        <v>1434854.66876751</v>
      </c>
    </row>
    <row r="55" spans="1:23">
      <c r="A55" s="134" t="s">
        <v>726</v>
      </c>
      <c r="B55" s="134">
        <v>4</v>
      </c>
      <c r="C55" s="145">
        <v>22471.542423325001</v>
      </c>
      <c r="G55" s="134" t="s">
        <v>469</v>
      </c>
      <c r="H55" s="134" t="s">
        <v>469</v>
      </c>
      <c r="I55" s="134" t="s">
        <v>82</v>
      </c>
      <c r="J55" s="134">
        <v>998</v>
      </c>
      <c r="K55" s="145">
        <v>233409.86288089599</v>
      </c>
      <c r="L55" s="145">
        <v>233.87761811713</v>
      </c>
      <c r="M55" s="134"/>
      <c r="T55" s="154">
        <f t="shared" si="0"/>
        <v>4</v>
      </c>
      <c r="U55" s="154">
        <f t="shared" si="1"/>
        <v>21871.181631369302</v>
      </c>
      <c r="V55" s="154">
        <f t="shared" si="2"/>
        <v>4</v>
      </c>
      <c r="W55" s="155">
        <f t="shared" si="3"/>
        <v>21871.181631369302</v>
      </c>
    </row>
    <row r="56" spans="1:23">
      <c r="A56" s="134" t="s">
        <v>728</v>
      </c>
      <c r="B56" s="134">
        <v>25</v>
      </c>
      <c r="C56" s="145">
        <v>4330.5792444674498</v>
      </c>
      <c r="G56" s="134" t="s">
        <v>469</v>
      </c>
      <c r="H56" s="134" t="s">
        <v>469</v>
      </c>
      <c r="I56" s="134" t="s">
        <v>672</v>
      </c>
      <c r="J56" s="134">
        <v>2120</v>
      </c>
      <c r="K56" s="145">
        <v>316761.89512304403</v>
      </c>
      <c r="L56" s="145">
        <v>149.415988265587</v>
      </c>
      <c r="M56" s="134"/>
      <c r="T56" s="154">
        <f t="shared" si="0"/>
        <v>25</v>
      </c>
      <c r="U56" s="154">
        <f t="shared" si="1"/>
        <v>4330.5792444674498</v>
      </c>
      <c r="V56" s="154">
        <f t="shared" si="2"/>
        <v>25</v>
      </c>
      <c r="W56" s="155">
        <f t="shared" si="3"/>
        <v>4330.5792444674498</v>
      </c>
    </row>
    <row r="57" spans="1:23">
      <c r="A57" s="134" t="s">
        <v>729</v>
      </c>
      <c r="B57" s="134">
        <v>202</v>
      </c>
      <c r="C57" s="145">
        <v>22288.902664270601</v>
      </c>
      <c r="G57" s="134" t="s">
        <v>469</v>
      </c>
      <c r="H57" s="134" t="s">
        <v>469</v>
      </c>
      <c r="I57" s="134" t="s">
        <v>95</v>
      </c>
      <c r="J57" s="134">
        <v>17</v>
      </c>
      <c r="K57" s="145">
        <v>2913.7682062909698</v>
      </c>
      <c r="L57" s="145">
        <v>171.39812978182201</v>
      </c>
      <c r="M57" s="134"/>
      <c r="T57" s="154">
        <f t="shared" si="0"/>
        <v>202</v>
      </c>
      <c r="U57" s="154">
        <f t="shared" si="1"/>
        <v>21559.410812317899</v>
      </c>
      <c r="V57" s="154">
        <f t="shared" si="2"/>
        <v>202</v>
      </c>
      <c r="W57" s="155">
        <f t="shared" si="3"/>
        <v>21559.410812317899</v>
      </c>
    </row>
    <row r="58" spans="1:23">
      <c r="A58" s="134" t="s">
        <v>730</v>
      </c>
      <c r="B58" s="134">
        <v>11</v>
      </c>
      <c r="C58" s="145">
        <v>1396.0432302644699</v>
      </c>
      <c r="G58" s="134" t="s">
        <v>469</v>
      </c>
      <c r="H58" s="134" t="s">
        <v>469</v>
      </c>
      <c r="I58" s="134" t="s">
        <v>898</v>
      </c>
      <c r="J58" s="134">
        <v>100527</v>
      </c>
      <c r="K58" s="145">
        <v>14716950.134782201</v>
      </c>
      <c r="L58" s="145">
        <v>146.39798397228799</v>
      </c>
      <c r="M58" s="134"/>
      <c r="T58" s="154">
        <f t="shared" si="0"/>
        <v>11</v>
      </c>
      <c r="U58" s="154">
        <f t="shared" si="1"/>
        <v>1396.0432302644699</v>
      </c>
      <c r="V58" s="154">
        <f t="shared" si="2"/>
        <v>11</v>
      </c>
      <c r="W58" s="155">
        <f t="shared" si="3"/>
        <v>1396.0432302644699</v>
      </c>
    </row>
    <row r="59" spans="1:23">
      <c r="A59" s="134" t="s">
        <v>731</v>
      </c>
      <c r="B59" s="134">
        <v>298</v>
      </c>
      <c r="C59" s="145">
        <v>30950.011497071999</v>
      </c>
      <c r="G59" s="134" t="s">
        <v>469</v>
      </c>
      <c r="H59" s="134" t="s">
        <v>469</v>
      </c>
      <c r="I59" s="134" t="s">
        <v>878</v>
      </c>
      <c r="J59" s="134">
        <v>1</v>
      </c>
      <c r="K59" s="145">
        <v>50.593590217338097</v>
      </c>
      <c r="L59" s="145">
        <v>50.593590217338097</v>
      </c>
      <c r="M59" s="134"/>
      <c r="T59" s="154">
        <f t="shared" si="0"/>
        <v>298</v>
      </c>
      <c r="U59" s="154">
        <f t="shared" si="1"/>
        <v>30649.831101094202</v>
      </c>
      <c r="V59" s="154">
        <f t="shared" si="2"/>
        <v>298</v>
      </c>
      <c r="W59" s="155">
        <f t="shared" si="3"/>
        <v>30649.831101094202</v>
      </c>
    </row>
    <row r="60" spans="1:23">
      <c r="A60" s="134" t="s">
        <v>732</v>
      </c>
      <c r="B60" s="134">
        <v>20</v>
      </c>
      <c r="C60" s="145">
        <v>2058.9053268214502</v>
      </c>
      <c r="G60" s="134" t="s">
        <v>469</v>
      </c>
      <c r="H60" s="134" t="s">
        <v>469</v>
      </c>
      <c r="I60" s="134" t="s">
        <v>929</v>
      </c>
      <c r="J60" s="134">
        <v>12</v>
      </c>
      <c r="K60" s="145">
        <v>1242.9514708275799</v>
      </c>
      <c r="L60" s="145">
        <v>103.579289235632</v>
      </c>
      <c r="M60" s="134"/>
      <c r="T60" s="154">
        <f t="shared" si="0"/>
        <v>20</v>
      </c>
      <c r="U60" s="154">
        <f t="shared" si="1"/>
        <v>2058.9053268214502</v>
      </c>
      <c r="V60" s="154">
        <f t="shared" si="2"/>
        <v>20</v>
      </c>
      <c r="W60" s="155">
        <f t="shared" si="3"/>
        <v>2058.9053268214502</v>
      </c>
    </row>
    <row r="61" spans="1:23">
      <c r="A61" s="134" t="s">
        <v>734</v>
      </c>
      <c r="B61" s="134">
        <v>271</v>
      </c>
      <c r="C61" s="145">
        <v>19701.827249228099</v>
      </c>
      <c r="G61" s="134" t="s">
        <v>469</v>
      </c>
      <c r="H61" s="134" t="s">
        <v>469</v>
      </c>
      <c r="I61" s="134" t="s">
        <v>205</v>
      </c>
      <c r="J61" s="134">
        <v>2</v>
      </c>
      <c r="K61" s="145">
        <v>230.53514623520499</v>
      </c>
      <c r="L61" s="145">
        <v>115.26757311760301</v>
      </c>
      <c r="M61" s="134"/>
      <c r="T61" s="154">
        <f t="shared" si="0"/>
        <v>271</v>
      </c>
      <c r="U61" s="154">
        <f t="shared" si="1"/>
        <v>19701.827249228099</v>
      </c>
      <c r="V61" s="154">
        <f t="shared" si="2"/>
        <v>271</v>
      </c>
      <c r="W61" s="155">
        <f t="shared" si="3"/>
        <v>19701.827249228099</v>
      </c>
    </row>
    <row r="62" spans="1:23">
      <c r="A62" s="134" t="s">
        <v>739</v>
      </c>
      <c r="B62" s="134">
        <v>18</v>
      </c>
      <c r="C62" s="145">
        <v>2021.81087792526</v>
      </c>
      <c r="G62" s="134" t="s">
        <v>469</v>
      </c>
      <c r="H62" s="134" t="s">
        <v>469</v>
      </c>
      <c r="I62" s="134" t="s">
        <v>117</v>
      </c>
      <c r="J62" s="134">
        <v>72</v>
      </c>
      <c r="K62" s="145">
        <v>9228.0962553239406</v>
      </c>
      <c r="L62" s="145">
        <v>128.16800354616601</v>
      </c>
      <c r="M62" s="134"/>
      <c r="T62" s="154">
        <f t="shared" si="0"/>
        <v>18</v>
      </c>
      <c r="U62" s="154">
        <f t="shared" si="1"/>
        <v>2021.81087792526</v>
      </c>
      <c r="V62" s="154">
        <f t="shared" si="2"/>
        <v>18</v>
      </c>
      <c r="W62" s="155">
        <f t="shared" si="3"/>
        <v>2021.81087792526</v>
      </c>
    </row>
    <row r="63" spans="1:23">
      <c r="A63" s="134" t="s">
        <v>740</v>
      </c>
      <c r="B63" s="134">
        <v>5</v>
      </c>
      <c r="C63" s="145">
        <v>467.24739241247698</v>
      </c>
      <c r="G63" s="134" t="s">
        <v>469</v>
      </c>
      <c r="H63" s="134" t="s">
        <v>469</v>
      </c>
      <c r="I63" s="134" t="s">
        <v>990</v>
      </c>
      <c r="J63" s="134">
        <v>1579</v>
      </c>
      <c r="K63" s="145">
        <v>273374.10502829502</v>
      </c>
      <c r="L63" s="145">
        <v>173.131162145849</v>
      </c>
      <c r="M63" s="134"/>
      <c r="T63" s="154">
        <f t="shared" si="0"/>
        <v>5</v>
      </c>
      <c r="U63" s="154">
        <f t="shared" si="1"/>
        <v>467.24739241247698</v>
      </c>
      <c r="V63" s="154">
        <f t="shared" si="2"/>
        <v>5</v>
      </c>
      <c r="W63" s="155">
        <f t="shared" si="3"/>
        <v>467.24739241247698</v>
      </c>
    </row>
    <row r="64" spans="1:23">
      <c r="A64" s="134" t="s">
        <v>741</v>
      </c>
      <c r="B64" s="134">
        <v>2</v>
      </c>
      <c r="C64" s="145">
        <v>122.462944821161</v>
      </c>
      <c r="G64" s="134" t="s">
        <v>469</v>
      </c>
      <c r="H64" s="134" t="s">
        <v>469</v>
      </c>
      <c r="I64" s="134" t="s">
        <v>169</v>
      </c>
      <c r="J64" s="134">
        <v>6</v>
      </c>
      <c r="K64" s="145">
        <v>742.346354893701</v>
      </c>
      <c r="L64" s="145">
        <v>123.724392482284</v>
      </c>
      <c r="M64" s="134"/>
      <c r="T64" s="154">
        <f t="shared" si="0"/>
        <v>2</v>
      </c>
      <c r="U64" s="154">
        <f t="shared" si="1"/>
        <v>122.462944821161</v>
      </c>
      <c r="V64" s="154">
        <f t="shared" si="2"/>
        <v>2</v>
      </c>
      <c r="W64" s="155">
        <f t="shared" si="3"/>
        <v>122.462944821161</v>
      </c>
    </row>
    <row r="65" spans="1:23">
      <c r="A65" s="134" t="s">
        <v>742</v>
      </c>
      <c r="B65" s="134">
        <v>2</v>
      </c>
      <c r="C65" s="145">
        <v>131.625671554169</v>
      </c>
      <c r="G65" s="134" t="s">
        <v>469</v>
      </c>
      <c r="H65" s="134" t="s">
        <v>469</v>
      </c>
      <c r="I65" s="134" t="s">
        <v>318</v>
      </c>
      <c r="J65" s="134">
        <v>1</v>
      </c>
      <c r="K65" s="145">
        <v>201.888373961263</v>
      </c>
      <c r="L65" s="145">
        <v>201.888373961263</v>
      </c>
      <c r="M65" s="134"/>
      <c r="T65" s="154">
        <f t="shared" si="0"/>
        <v>2</v>
      </c>
      <c r="U65" s="154">
        <f t="shared" si="1"/>
        <v>112.450322224166</v>
      </c>
      <c r="V65" s="154">
        <f t="shared" si="2"/>
        <v>2</v>
      </c>
      <c r="W65" s="155">
        <f t="shared" si="3"/>
        <v>112.450322224166</v>
      </c>
    </row>
    <row r="66" spans="1:23">
      <c r="A66" s="134" t="s">
        <v>743</v>
      </c>
      <c r="B66" s="134">
        <v>251</v>
      </c>
      <c r="C66" s="145">
        <v>30588.368651229099</v>
      </c>
      <c r="G66" s="134" t="s">
        <v>469</v>
      </c>
      <c r="H66" s="134" t="s">
        <v>469</v>
      </c>
      <c r="I66" s="134" t="s">
        <v>807</v>
      </c>
      <c r="J66" s="134">
        <v>7373</v>
      </c>
      <c r="K66" s="145">
        <v>1248807.27885604</v>
      </c>
      <c r="L66" s="145">
        <v>169.37573292500099</v>
      </c>
      <c r="M66" s="134"/>
      <c r="T66" s="154">
        <f t="shared" si="0"/>
        <v>251</v>
      </c>
      <c r="U66" s="154">
        <f t="shared" si="1"/>
        <v>30588.368651229099</v>
      </c>
      <c r="V66" s="154">
        <f t="shared" si="2"/>
        <v>251</v>
      </c>
      <c r="W66" s="155">
        <f t="shared" si="3"/>
        <v>30588.368651229099</v>
      </c>
    </row>
    <row r="67" spans="1:23">
      <c r="A67" s="134" t="s">
        <v>1051</v>
      </c>
      <c r="B67" s="134">
        <v>2</v>
      </c>
      <c r="C67" s="145">
        <v>436.08688560138103</v>
      </c>
      <c r="G67" s="134" t="s">
        <v>469</v>
      </c>
      <c r="H67" s="134" t="s">
        <v>469</v>
      </c>
      <c r="I67" s="134" t="s">
        <v>319</v>
      </c>
      <c r="J67" s="134">
        <v>253</v>
      </c>
      <c r="K67" s="145">
        <v>55346.248732797198</v>
      </c>
      <c r="L67" s="145">
        <v>218.75987641421801</v>
      </c>
      <c r="M67" s="134"/>
      <c r="T67" s="154">
        <f t="shared" si="0"/>
        <v>2</v>
      </c>
      <c r="U67" s="154">
        <f t="shared" si="1"/>
        <v>436.08688560138103</v>
      </c>
      <c r="V67" s="154">
        <f t="shared" si="2"/>
        <v>2</v>
      </c>
      <c r="W67" s="155">
        <f t="shared" si="3"/>
        <v>436.08688560138103</v>
      </c>
    </row>
    <row r="68" spans="1:23">
      <c r="A68" s="134" t="s">
        <v>747</v>
      </c>
      <c r="B68" s="134">
        <v>363</v>
      </c>
      <c r="C68" s="145">
        <v>49373.857202443302</v>
      </c>
      <c r="G68" s="134" t="s">
        <v>469</v>
      </c>
      <c r="H68" s="134" t="s">
        <v>469</v>
      </c>
      <c r="I68" s="134" t="s">
        <v>933</v>
      </c>
      <c r="J68" s="134">
        <v>297</v>
      </c>
      <c r="K68" s="145">
        <v>47431.009970239596</v>
      </c>
      <c r="L68" s="145">
        <v>159.70037027016701</v>
      </c>
      <c r="M68" s="134"/>
      <c r="T68" s="154">
        <f t="shared" ref="T68:T131" si="4">VLOOKUP(A68,$I:$L,2,FALSE)</f>
        <v>363</v>
      </c>
      <c r="U68" s="154">
        <f t="shared" ref="U68:U131" si="5">VLOOKUP(A68,$I:$L,3,FALSE)</f>
        <v>49373.857202443302</v>
      </c>
      <c r="V68" s="154">
        <f t="shared" ref="V68:V131" si="6">IF(COUNTIF($P:$P,A68)=1,0,T68)</f>
        <v>363</v>
      </c>
      <c r="W68" s="155">
        <f t="shared" ref="W68:W131" si="7">IF(COUNTIF($P:$P,A68)=1,0,U68)</f>
        <v>49373.857202443302</v>
      </c>
    </row>
    <row r="69" spans="1:23">
      <c r="A69" s="134" t="s">
        <v>748</v>
      </c>
      <c r="B69" s="134">
        <v>1157</v>
      </c>
      <c r="C69" s="145">
        <v>110933.102174468</v>
      </c>
      <c r="G69" s="134" t="s">
        <v>469</v>
      </c>
      <c r="H69" s="134" t="s">
        <v>469</v>
      </c>
      <c r="I69" s="134" t="s">
        <v>1003</v>
      </c>
      <c r="J69" s="134">
        <v>36</v>
      </c>
      <c r="K69" s="145">
        <v>1830.0956350915001</v>
      </c>
      <c r="L69" s="145">
        <v>50.835989863652699</v>
      </c>
      <c r="M69" s="134"/>
      <c r="T69" s="154">
        <f t="shared" si="4"/>
        <v>1157</v>
      </c>
      <c r="U69" s="154">
        <f t="shared" si="5"/>
        <v>109173.93807458501</v>
      </c>
      <c r="V69" s="154">
        <f t="shared" si="6"/>
        <v>1157</v>
      </c>
      <c r="W69" s="155">
        <f t="shared" si="7"/>
        <v>109173.93807458501</v>
      </c>
    </row>
    <row r="70" spans="1:23">
      <c r="A70" s="134" t="s">
        <v>749</v>
      </c>
      <c r="B70" s="134">
        <v>35</v>
      </c>
      <c r="C70" s="145">
        <v>4737.1236966880597</v>
      </c>
      <c r="G70" s="134" t="s">
        <v>469</v>
      </c>
      <c r="H70" s="134" t="s">
        <v>469</v>
      </c>
      <c r="I70" s="134" t="s">
        <v>170</v>
      </c>
      <c r="J70" s="134">
        <v>1330</v>
      </c>
      <c r="K70" s="145">
        <v>235572.60407370099</v>
      </c>
      <c r="L70" s="145">
        <v>177.12225870203099</v>
      </c>
      <c r="M70" s="134"/>
      <c r="T70" s="154">
        <f t="shared" si="4"/>
        <v>35</v>
      </c>
      <c r="U70" s="154">
        <f t="shared" si="5"/>
        <v>4737.1236966880597</v>
      </c>
      <c r="V70" s="154">
        <f t="shared" si="6"/>
        <v>35</v>
      </c>
      <c r="W70" s="155">
        <f t="shared" si="7"/>
        <v>4737.1236966880597</v>
      </c>
    </row>
    <row r="71" spans="1:23">
      <c r="A71" s="134" t="s">
        <v>752</v>
      </c>
      <c r="B71" s="134">
        <v>362</v>
      </c>
      <c r="C71" s="145">
        <v>37596.368721236802</v>
      </c>
      <c r="G71" s="134" t="s">
        <v>469</v>
      </c>
      <c r="H71" s="134" t="s">
        <v>469</v>
      </c>
      <c r="I71" s="134" t="s">
        <v>320</v>
      </c>
      <c r="J71" s="134">
        <v>39</v>
      </c>
      <c r="K71" s="145">
        <v>9154.8512407684793</v>
      </c>
      <c r="L71" s="145">
        <v>234.73977540432</v>
      </c>
      <c r="M71" s="134"/>
      <c r="T71" s="154">
        <f t="shared" si="4"/>
        <v>362</v>
      </c>
      <c r="U71" s="154">
        <f t="shared" si="5"/>
        <v>37577.193371906797</v>
      </c>
      <c r="V71" s="154">
        <f t="shared" si="6"/>
        <v>362</v>
      </c>
      <c r="W71" s="155">
        <f t="shared" si="7"/>
        <v>37577.193371906797</v>
      </c>
    </row>
    <row r="72" spans="1:23">
      <c r="A72" s="134" t="s">
        <v>753</v>
      </c>
      <c r="B72" s="134">
        <v>17</v>
      </c>
      <c r="C72" s="145">
        <v>1886.40587964052</v>
      </c>
      <c r="G72" s="134" t="s">
        <v>469</v>
      </c>
      <c r="H72" s="134" t="s">
        <v>469</v>
      </c>
      <c r="I72" s="134" t="s">
        <v>321</v>
      </c>
      <c r="J72" s="134">
        <v>5</v>
      </c>
      <c r="K72" s="145">
        <v>336.58699455805998</v>
      </c>
      <c r="L72" s="145">
        <v>67.317398911611903</v>
      </c>
      <c r="M72" s="134"/>
      <c r="T72" s="154">
        <f t="shared" si="4"/>
        <v>17</v>
      </c>
      <c r="U72" s="154">
        <f t="shared" si="5"/>
        <v>1886.40587964052</v>
      </c>
      <c r="V72" s="154">
        <f t="shared" si="6"/>
        <v>17</v>
      </c>
      <c r="W72" s="155">
        <f t="shared" si="7"/>
        <v>1886.40587964052</v>
      </c>
    </row>
    <row r="73" spans="1:23">
      <c r="A73" s="134" t="s">
        <v>756</v>
      </c>
      <c r="B73" s="134">
        <v>17</v>
      </c>
      <c r="C73" s="145">
        <v>2919.3688745024101</v>
      </c>
      <c r="G73" s="134" t="s">
        <v>469</v>
      </c>
      <c r="H73" s="134" t="s">
        <v>469</v>
      </c>
      <c r="I73" s="134" t="s">
        <v>839</v>
      </c>
      <c r="J73" s="134">
        <v>19</v>
      </c>
      <c r="K73" s="145">
        <v>2450.6457330181402</v>
      </c>
      <c r="L73" s="145">
        <v>128.98135436937599</v>
      </c>
      <c r="M73" s="134"/>
      <c r="T73" s="154">
        <f t="shared" si="4"/>
        <v>17</v>
      </c>
      <c r="U73" s="154">
        <f t="shared" si="5"/>
        <v>2842.6674771824</v>
      </c>
      <c r="V73" s="154">
        <f t="shared" si="6"/>
        <v>17</v>
      </c>
      <c r="W73" s="155">
        <f t="shared" si="7"/>
        <v>2842.6674771824</v>
      </c>
    </row>
    <row r="74" spans="1:23">
      <c r="A74" s="134" t="s">
        <v>757</v>
      </c>
      <c r="B74" s="134">
        <v>66</v>
      </c>
      <c r="C74" s="145">
        <v>10977.7430376591</v>
      </c>
      <c r="G74" s="134" t="s">
        <v>469</v>
      </c>
      <c r="H74" s="134" t="s">
        <v>469</v>
      </c>
      <c r="I74" s="134" t="s">
        <v>888</v>
      </c>
      <c r="J74" s="134">
        <v>196</v>
      </c>
      <c r="K74" s="145">
        <v>52298.189424070602</v>
      </c>
      <c r="L74" s="145">
        <v>266.82749706158501</v>
      </c>
      <c r="M74" s="134"/>
      <c r="T74" s="154">
        <f t="shared" si="4"/>
        <v>66</v>
      </c>
      <c r="U74" s="154">
        <f t="shared" si="5"/>
        <v>10148.8102886872</v>
      </c>
      <c r="V74" s="154">
        <f t="shared" si="6"/>
        <v>66</v>
      </c>
      <c r="W74" s="155">
        <f t="shared" si="7"/>
        <v>10148.8102886872</v>
      </c>
    </row>
    <row r="75" spans="1:23">
      <c r="A75" s="134" t="s">
        <v>758</v>
      </c>
      <c r="B75" s="134">
        <v>4</v>
      </c>
      <c r="C75" s="145">
        <v>417.30364846499799</v>
      </c>
      <c r="G75" s="134" t="s">
        <v>469</v>
      </c>
      <c r="H75" s="134" t="s">
        <v>469</v>
      </c>
      <c r="I75" s="134" t="s">
        <v>877</v>
      </c>
      <c r="J75" s="134">
        <v>1</v>
      </c>
      <c r="K75" s="145">
        <v>280.09773187301198</v>
      </c>
      <c r="L75" s="145">
        <v>280.09773187301198</v>
      </c>
      <c r="M75" s="134"/>
      <c r="T75" s="154">
        <f t="shared" si="4"/>
        <v>4</v>
      </c>
      <c r="U75" s="154">
        <f t="shared" si="5"/>
        <v>378.95294980499301</v>
      </c>
      <c r="V75" s="154">
        <f t="shared" si="6"/>
        <v>4</v>
      </c>
      <c r="W75" s="155">
        <f t="shared" si="7"/>
        <v>378.95294980499301</v>
      </c>
    </row>
    <row r="76" spans="1:23">
      <c r="A76" s="134" t="s">
        <v>759</v>
      </c>
      <c r="B76" s="134">
        <v>156</v>
      </c>
      <c r="C76" s="145">
        <v>26367.162493887201</v>
      </c>
      <c r="G76" s="134" t="s">
        <v>469</v>
      </c>
      <c r="H76" s="134" t="s">
        <v>469</v>
      </c>
      <c r="I76" s="134" t="s">
        <v>322</v>
      </c>
      <c r="J76" s="134">
        <v>1</v>
      </c>
      <c r="K76" s="145">
        <v>154.950163447546</v>
      </c>
      <c r="L76" s="145">
        <v>154.950163447546</v>
      </c>
      <c r="M76" s="134"/>
      <c r="T76" s="154">
        <f t="shared" si="4"/>
        <v>156</v>
      </c>
      <c r="U76" s="154">
        <f t="shared" si="5"/>
        <v>25154.033287937102</v>
      </c>
      <c r="V76" s="154">
        <f t="shared" si="6"/>
        <v>156</v>
      </c>
      <c r="W76" s="155">
        <f t="shared" si="7"/>
        <v>25154.033287937102</v>
      </c>
    </row>
    <row r="77" spans="1:23">
      <c r="A77" s="134" t="s">
        <v>760</v>
      </c>
      <c r="B77" s="134">
        <v>24</v>
      </c>
      <c r="C77" s="145">
        <v>4414.1145599715301</v>
      </c>
      <c r="G77" s="134" t="s">
        <v>469</v>
      </c>
      <c r="H77" s="134" t="s">
        <v>469</v>
      </c>
      <c r="I77" s="134" t="s">
        <v>323</v>
      </c>
      <c r="J77" s="134">
        <v>58</v>
      </c>
      <c r="K77" s="145">
        <v>15742.936796583301</v>
      </c>
      <c r="L77" s="145">
        <v>271.42994476867801</v>
      </c>
      <c r="M77" s="134"/>
      <c r="T77" s="154">
        <f t="shared" si="4"/>
        <v>24</v>
      </c>
      <c r="U77" s="154">
        <f t="shared" si="5"/>
        <v>4414.1145599715301</v>
      </c>
      <c r="V77" s="154">
        <f t="shared" si="6"/>
        <v>24</v>
      </c>
      <c r="W77" s="155">
        <f t="shared" si="7"/>
        <v>4414.1145599715301</v>
      </c>
    </row>
    <row r="78" spans="1:23">
      <c r="A78" s="134" t="s">
        <v>761</v>
      </c>
      <c r="B78" s="134">
        <v>14</v>
      </c>
      <c r="C78" s="145">
        <v>2335.8709952224099</v>
      </c>
      <c r="G78" s="134" t="s">
        <v>469</v>
      </c>
      <c r="H78" s="134" t="s">
        <v>469</v>
      </c>
      <c r="I78" s="134" t="s">
        <v>779</v>
      </c>
      <c r="J78" s="134">
        <v>9480</v>
      </c>
      <c r="K78" s="145">
        <v>1155530.5571445201</v>
      </c>
      <c r="L78" s="145">
        <v>121.89140898148899</v>
      </c>
      <c r="M78" s="134"/>
      <c r="T78" s="154">
        <f t="shared" si="4"/>
        <v>14</v>
      </c>
      <c r="U78" s="154">
        <f t="shared" si="5"/>
        <v>2335.8709952224099</v>
      </c>
      <c r="V78" s="154">
        <f t="shared" si="6"/>
        <v>14</v>
      </c>
      <c r="W78" s="155">
        <f t="shared" si="7"/>
        <v>2335.8709952224099</v>
      </c>
    </row>
    <row r="79" spans="1:23">
      <c r="A79" s="134" t="s">
        <v>762</v>
      </c>
      <c r="B79" s="134">
        <v>217</v>
      </c>
      <c r="C79" s="145">
        <v>36226.455950223099</v>
      </c>
      <c r="G79" s="134" t="s">
        <v>469</v>
      </c>
      <c r="H79" s="134" t="s">
        <v>469</v>
      </c>
      <c r="I79" s="134" t="s">
        <v>959</v>
      </c>
      <c r="J79" s="134">
        <v>25</v>
      </c>
      <c r="K79" s="145">
        <v>2789.4155120721598</v>
      </c>
      <c r="L79" s="145">
        <v>111.57662048288699</v>
      </c>
      <c r="M79" s="134"/>
      <c r="T79" s="154">
        <f t="shared" si="4"/>
        <v>217</v>
      </c>
      <c r="U79" s="154">
        <f t="shared" si="5"/>
        <v>36048.848764766299</v>
      </c>
      <c r="V79" s="154">
        <f t="shared" si="6"/>
        <v>217</v>
      </c>
      <c r="W79" s="155">
        <f t="shared" si="7"/>
        <v>36048.848764766299</v>
      </c>
    </row>
    <row r="80" spans="1:23">
      <c r="A80" s="134" t="s">
        <v>763</v>
      </c>
      <c r="B80" s="134">
        <v>20</v>
      </c>
      <c r="C80" s="145">
        <v>2336.6003212053802</v>
      </c>
      <c r="G80" s="134" t="s">
        <v>469</v>
      </c>
      <c r="H80" s="134" t="s">
        <v>469</v>
      </c>
      <c r="I80" s="134" t="s">
        <v>187</v>
      </c>
      <c r="J80" s="134">
        <v>827</v>
      </c>
      <c r="K80" s="145">
        <v>240960.662243161</v>
      </c>
      <c r="L80" s="145">
        <v>291.36718530007403</v>
      </c>
      <c r="M80" s="134"/>
      <c r="T80" s="154">
        <f t="shared" si="4"/>
        <v>20</v>
      </c>
      <c r="U80" s="154">
        <f t="shared" si="5"/>
        <v>2336.6003212053802</v>
      </c>
      <c r="V80" s="154">
        <f t="shared" si="6"/>
        <v>20</v>
      </c>
      <c r="W80" s="155">
        <f t="shared" si="7"/>
        <v>2336.6003212053802</v>
      </c>
    </row>
    <row r="81" spans="1:23">
      <c r="A81" s="134" t="s">
        <v>1052</v>
      </c>
      <c r="B81" s="134">
        <v>1</v>
      </c>
      <c r="C81" s="145">
        <v>241.106578302618</v>
      </c>
      <c r="G81" s="134" t="s">
        <v>469</v>
      </c>
      <c r="H81" s="134" t="s">
        <v>469</v>
      </c>
      <c r="I81" s="134" t="s">
        <v>880</v>
      </c>
      <c r="J81" s="134">
        <v>8</v>
      </c>
      <c r="K81" s="145">
        <v>953.75186171609005</v>
      </c>
      <c r="L81" s="145">
        <v>119.218982714511</v>
      </c>
      <c r="M81" s="134"/>
      <c r="T81" s="154">
        <f t="shared" si="4"/>
        <v>1</v>
      </c>
      <c r="U81" s="154">
        <f t="shared" si="5"/>
        <v>241.106578302618</v>
      </c>
      <c r="V81" s="154">
        <f t="shared" si="6"/>
        <v>1</v>
      </c>
      <c r="W81" s="155">
        <f t="shared" si="7"/>
        <v>241.106578302618</v>
      </c>
    </row>
    <row r="82" spans="1:23">
      <c r="A82" s="134" t="s">
        <v>768</v>
      </c>
      <c r="B82" s="134">
        <v>424</v>
      </c>
      <c r="C82" s="145">
        <v>50557.715392567203</v>
      </c>
      <c r="G82" s="134" t="s">
        <v>469</v>
      </c>
      <c r="H82" s="134" t="s">
        <v>469</v>
      </c>
      <c r="I82" s="134" t="s">
        <v>179</v>
      </c>
      <c r="J82" s="134">
        <v>4680</v>
      </c>
      <c r="K82" s="145">
        <v>883183.24520277895</v>
      </c>
      <c r="L82" s="145">
        <v>188.71436863307201</v>
      </c>
      <c r="M82" s="134"/>
      <c r="T82" s="154">
        <f t="shared" si="4"/>
        <v>424</v>
      </c>
      <c r="U82" s="154">
        <f t="shared" si="5"/>
        <v>50557.715392567203</v>
      </c>
      <c r="V82" s="154">
        <f t="shared" si="6"/>
        <v>424</v>
      </c>
      <c r="W82" s="155">
        <f t="shared" si="7"/>
        <v>50557.715392567203</v>
      </c>
    </row>
    <row r="83" spans="1:23">
      <c r="A83" s="134" t="s">
        <v>771</v>
      </c>
      <c r="B83" s="134">
        <v>10</v>
      </c>
      <c r="C83" s="145">
        <v>4628.7565269590896</v>
      </c>
      <c r="G83" s="134" t="s">
        <v>469</v>
      </c>
      <c r="H83" s="134" t="s">
        <v>469</v>
      </c>
      <c r="I83" s="134" t="s">
        <v>325</v>
      </c>
      <c r="J83" s="134">
        <v>64</v>
      </c>
      <c r="K83" s="145">
        <v>10506.350250793501</v>
      </c>
      <c r="L83" s="145">
        <v>164.161722668648</v>
      </c>
      <c r="M83" s="134"/>
      <c r="T83" s="154">
        <f t="shared" si="4"/>
        <v>10</v>
      </c>
      <c r="U83" s="154">
        <f t="shared" si="5"/>
        <v>4628.7565269590896</v>
      </c>
      <c r="V83" s="154">
        <f t="shared" si="6"/>
        <v>10</v>
      </c>
      <c r="W83" s="155">
        <f t="shared" si="7"/>
        <v>4628.7565269590896</v>
      </c>
    </row>
    <row r="84" spans="1:23">
      <c r="A84" s="134" t="s">
        <v>772</v>
      </c>
      <c r="B84" s="134">
        <v>10</v>
      </c>
      <c r="C84" s="145">
        <v>1232.72415565038</v>
      </c>
      <c r="G84" s="134" t="s">
        <v>469</v>
      </c>
      <c r="H84" s="134" t="s">
        <v>469</v>
      </c>
      <c r="I84" s="134" t="s">
        <v>743</v>
      </c>
      <c r="J84" s="134">
        <v>251</v>
      </c>
      <c r="K84" s="145">
        <v>30588.368651229099</v>
      </c>
      <c r="L84" s="145">
        <v>121.86601056266601</v>
      </c>
      <c r="M84" s="134"/>
      <c r="T84" s="154">
        <f t="shared" si="4"/>
        <v>10</v>
      </c>
      <c r="U84" s="154">
        <f t="shared" si="5"/>
        <v>1232.72415565038</v>
      </c>
      <c r="V84" s="154">
        <f t="shared" si="6"/>
        <v>10</v>
      </c>
      <c r="W84" s="155">
        <f t="shared" si="7"/>
        <v>1232.72415565038</v>
      </c>
    </row>
    <row r="85" spans="1:23">
      <c r="A85" s="134" t="s">
        <v>773</v>
      </c>
      <c r="B85" s="134">
        <v>28</v>
      </c>
      <c r="C85" s="145">
        <v>4879.0619723309001</v>
      </c>
      <c r="G85" s="134" t="s">
        <v>469</v>
      </c>
      <c r="H85" s="134" t="s">
        <v>469</v>
      </c>
      <c r="I85" s="134" t="s">
        <v>326</v>
      </c>
      <c r="J85" s="134">
        <v>5</v>
      </c>
      <c r="K85" s="145">
        <v>571.02033218554504</v>
      </c>
      <c r="L85" s="145">
        <v>114.20406643710901</v>
      </c>
      <c r="M85" s="134"/>
      <c r="T85" s="154">
        <f t="shared" si="4"/>
        <v>28</v>
      </c>
      <c r="U85" s="154">
        <f t="shared" si="5"/>
        <v>4514.31604635452</v>
      </c>
      <c r="V85" s="154">
        <f t="shared" si="6"/>
        <v>28</v>
      </c>
      <c r="W85" s="155">
        <f t="shared" si="7"/>
        <v>4514.31604635452</v>
      </c>
    </row>
    <row r="86" spans="1:23">
      <c r="A86" s="134" t="s">
        <v>774</v>
      </c>
      <c r="B86" s="134">
        <v>113</v>
      </c>
      <c r="C86" s="145">
        <v>24556.376196369001</v>
      </c>
      <c r="G86" s="134" t="s">
        <v>469</v>
      </c>
      <c r="H86" s="134" t="s">
        <v>469</v>
      </c>
      <c r="I86" s="134" t="s">
        <v>474</v>
      </c>
      <c r="J86" s="134">
        <v>148381</v>
      </c>
      <c r="K86" s="145">
        <v>20255776.314530998</v>
      </c>
      <c r="L86" s="145">
        <v>136.51192750103499</v>
      </c>
      <c r="M86" s="134"/>
      <c r="T86" s="154">
        <f t="shared" si="4"/>
        <v>113</v>
      </c>
      <c r="U86" s="154">
        <f t="shared" si="5"/>
        <v>24556.376196369001</v>
      </c>
      <c r="V86" s="154">
        <f t="shared" si="6"/>
        <v>113</v>
      </c>
      <c r="W86" s="155">
        <f t="shared" si="7"/>
        <v>24556.376196369001</v>
      </c>
    </row>
    <row r="87" spans="1:23">
      <c r="A87" s="134" t="s">
        <v>776</v>
      </c>
      <c r="B87" s="134">
        <v>183</v>
      </c>
      <c r="C87" s="145">
        <v>24801.635707323901</v>
      </c>
      <c r="G87" s="134" t="s">
        <v>469</v>
      </c>
      <c r="H87" s="134" t="s">
        <v>469</v>
      </c>
      <c r="I87" s="134" t="s">
        <v>77</v>
      </c>
      <c r="J87" s="134">
        <v>674</v>
      </c>
      <c r="K87" s="145">
        <v>202536.041525943</v>
      </c>
      <c r="L87" s="145">
        <v>300.49857793166598</v>
      </c>
      <c r="M87" s="134"/>
      <c r="T87" s="154">
        <f t="shared" si="4"/>
        <v>183</v>
      </c>
      <c r="U87" s="154">
        <f t="shared" si="5"/>
        <v>24801.635707323901</v>
      </c>
      <c r="V87" s="154">
        <f t="shared" si="6"/>
        <v>183</v>
      </c>
      <c r="W87" s="155">
        <f t="shared" si="7"/>
        <v>24801.635707323901</v>
      </c>
    </row>
    <row r="88" spans="1:23">
      <c r="A88" s="134" t="s">
        <v>777</v>
      </c>
      <c r="B88" s="134">
        <v>16</v>
      </c>
      <c r="C88" s="145">
        <v>1734.3015657378801</v>
      </c>
      <c r="G88" s="134" t="s">
        <v>469</v>
      </c>
      <c r="H88" s="134" t="s">
        <v>469</v>
      </c>
      <c r="I88" s="134" t="s">
        <v>78</v>
      </c>
      <c r="J88" s="134">
        <v>6548</v>
      </c>
      <c r="K88" s="145">
        <v>1064689.2830553299</v>
      </c>
      <c r="L88" s="145">
        <v>162.597630277235</v>
      </c>
      <c r="M88" s="134"/>
      <c r="T88" s="154">
        <f t="shared" si="4"/>
        <v>16</v>
      </c>
      <c r="U88" s="154">
        <f t="shared" si="5"/>
        <v>1734.3015657378801</v>
      </c>
      <c r="V88" s="154">
        <f t="shared" si="6"/>
        <v>16</v>
      </c>
      <c r="W88" s="155">
        <f t="shared" si="7"/>
        <v>1734.3015657378801</v>
      </c>
    </row>
    <row r="89" spans="1:23">
      <c r="A89" s="134" t="s">
        <v>92</v>
      </c>
      <c r="B89" s="134">
        <v>1</v>
      </c>
      <c r="C89" s="145">
        <v>118.95661853883</v>
      </c>
      <c r="G89" s="134" t="s">
        <v>469</v>
      </c>
      <c r="H89" s="134" t="s">
        <v>469</v>
      </c>
      <c r="I89" s="134" t="s">
        <v>780</v>
      </c>
      <c r="J89" s="134">
        <v>154</v>
      </c>
      <c r="K89" s="145">
        <v>26970.368070383902</v>
      </c>
      <c r="L89" s="145">
        <v>175.132260197298</v>
      </c>
      <c r="M89" s="134"/>
      <c r="T89" s="154">
        <f t="shared" si="4"/>
        <v>1</v>
      </c>
      <c r="U89" s="154">
        <f t="shared" si="5"/>
        <v>118.95661853883</v>
      </c>
      <c r="V89" s="154">
        <f t="shared" si="6"/>
        <v>0</v>
      </c>
      <c r="W89" s="155">
        <f t="shared" si="7"/>
        <v>0</v>
      </c>
    </row>
    <row r="90" spans="1:23">
      <c r="A90" s="134" t="s">
        <v>802</v>
      </c>
      <c r="B90" s="134">
        <v>63</v>
      </c>
      <c r="C90" s="145">
        <v>7442.8173012060797</v>
      </c>
      <c r="G90" s="134" t="s">
        <v>469</v>
      </c>
      <c r="H90" s="134" t="s">
        <v>469</v>
      </c>
      <c r="I90" s="134" t="s">
        <v>327</v>
      </c>
      <c r="J90" s="134">
        <v>136</v>
      </c>
      <c r="K90" s="145">
        <v>55255.535408506701</v>
      </c>
      <c r="L90" s="145">
        <v>406.290701533137</v>
      </c>
      <c r="M90" s="134"/>
      <c r="T90" s="154">
        <f t="shared" si="4"/>
        <v>63</v>
      </c>
      <c r="U90" s="154">
        <f t="shared" si="5"/>
        <v>7142.6369052282498</v>
      </c>
      <c r="V90" s="154">
        <f t="shared" si="6"/>
        <v>63</v>
      </c>
      <c r="W90" s="155">
        <f t="shared" si="7"/>
        <v>7142.6369052282498</v>
      </c>
    </row>
    <row r="91" spans="1:23">
      <c r="A91" s="134" t="s">
        <v>803</v>
      </c>
      <c r="B91" s="134">
        <v>5</v>
      </c>
      <c r="C91" s="145">
        <v>773.01990851852099</v>
      </c>
      <c r="G91" s="134" t="s">
        <v>469</v>
      </c>
      <c r="H91" s="134" t="s">
        <v>469</v>
      </c>
      <c r="I91" s="134" t="s">
        <v>986</v>
      </c>
      <c r="J91" s="134">
        <v>356</v>
      </c>
      <c r="K91" s="145">
        <v>67170.895789997696</v>
      </c>
      <c r="L91" s="145">
        <v>188.68229154493699</v>
      </c>
      <c r="M91" s="134"/>
      <c r="T91" s="154">
        <f t="shared" si="4"/>
        <v>5</v>
      </c>
      <c r="U91" s="154">
        <f t="shared" si="5"/>
        <v>684.21631579011603</v>
      </c>
      <c r="V91" s="154">
        <f t="shared" si="6"/>
        <v>5</v>
      </c>
      <c r="W91" s="155">
        <f t="shared" si="7"/>
        <v>684.21631579011603</v>
      </c>
    </row>
    <row r="92" spans="1:23">
      <c r="A92" s="134" t="s">
        <v>804</v>
      </c>
      <c r="B92" s="134">
        <v>1</v>
      </c>
      <c r="C92" s="145">
        <v>292.166582041494</v>
      </c>
      <c r="G92" s="134" t="s">
        <v>469</v>
      </c>
      <c r="H92" s="134" t="s">
        <v>469</v>
      </c>
      <c r="I92" s="134" t="s">
        <v>834</v>
      </c>
      <c r="J92" s="134">
        <v>3</v>
      </c>
      <c r="K92" s="145">
        <v>298.52574777926799</v>
      </c>
      <c r="L92" s="145">
        <v>99.508582593089201</v>
      </c>
      <c r="M92" s="134"/>
      <c r="T92" s="154">
        <f t="shared" si="4"/>
        <v>1</v>
      </c>
      <c r="U92" s="154">
        <f t="shared" si="5"/>
        <v>292.166582041494</v>
      </c>
      <c r="V92" s="154">
        <f t="shared" si="6"/>
        <v>1</v>
      </c>
      <c r="W92" s="155">
        <f t="shared" si="7"/>
        <v>292.166582041494</v>
      </c>
    </row>
    <row r="93" spans="1:23">
      <c r="A93" s="134" t="s">
        <v>806</v>
      </c>
      <c r="B93" s="134">
        <v>14</v>
      </c>
      <c r="C93" s="145">
        <v>1055.6707814782701</v>
      </c>
      <c r="G93" s="134" t="s">
        <v>469</v>
      </c>
      <c r="H93" s="134" t="s">
        <v>469</v>
      </c>
      <c r="I93" s="134" t="s">
        <v>475</v>
      </c>
      <c r="J93" s="134">
        <v>7965</v>
      </c>
      <c r="K93" s="145">
        <v>1152601.4445885101</v>
      </c>
      <c r="L93" s="145">
        <v>144.70827929548199</v>
      </c>
      <c r="M93" s="134"/>
      <c r="T93" s="154">
        <f t="shared" si="4"/>
        <v>14</v>
      </c>
      <c r="U93" s="154">
        <f t="shared" si="5"/>
        <v>1055.6707814782701</v>
      </c>
      <c r="V93" s="154">
        <f t="shared" si="6"/>
        <v>14</v>
      </c>
      <c r="W93" s="155">
        <f t="shared" si="7"/>
        <v>1055.6707814782701</v>
      </c>
    </row>
    <row r="94" spans="1:23">
      <c r="A94" s="134" t="s">
        <v>94</v>
      </c>
      <c r="B94" s="134">
        <v>7</v>
      </c>
      <c r="C94" s="145">
        <v>1067.8917754527699</v>
      </c>
      <c r="G94" s="134" t="s">
        <v>469</v>
      </c>
      <c r="H94" s="134" t="s">
        <v>469</v>
      </c>
      <c r="I94" s="134" t="s">
        <v>973</v>
      </c>
      <c r="J94" s="134">
        <v>3530</v>
      </c>
      <c r="K94" s="145">
        <v>232111.57345520999</v>
      </c>
      <c r="L94" s="145">
        <v>65.753986814507201</v>
      </c>
      <c r="M94" s="134"/>
      <c r="T94" s="154">
        <f t="shared" si="4"/>
        <v>7</v>
      </c>
      <c r="U94" s="154">
        <f t="shared" si="5"/>
        <v>1067.8917754527699</v>
      </c>
      <c r="V94" s="154">
        <f t="shared" si="6"/>
        <v>7</v>
      </c>
      <c r="W94" s="155">
        <f t="shared" si="7"/>
        <v>1067.8917754527699</v>
      </c>
    </row>
    <row r="95" spans="1:23">
      <c r="A95" s="134" t="s">
        <v>95</v>
      </c>
      <c r="B95" s="134">
        <v>17</v>
      </c>
      <c r="C95" s="145">
        <v>2913.7682062909698</v>
      </c>
      <c r="G95" s="134" t="s">
        <v>469</v>
      </c>
      <c r="H95" s="134" t="s">
        <v>469</v>
      </c>
      <c r="I95" s="134" t="s">
        <v>885</v>
      </c>
      <c r="J95" s="134">
        <v>28</v>
      </c>
      <c r="K95" s="145">
        <v>4082.3224926013499</v>
      </c>
      <c r="L95" s="145">
        <v>145.79723187861899</v>
      </c>
      <c r="M95" s="134"/>
      <c r="T95" s="154">
        <f t="shared" si="4"/>
        <v>17</v>
      </c>
      <c r="U95" s="154">
        <f t="shared" si="5"/>
        <v>2913.7682062909698</v>
      </c>
      <c r="V95" s="154">
        <f t="shared" si="6"/>
        <v>17</v>
      </c>
      <c r="W95" s="155">
        <f t="shared" si="7"/>
        <v>2913.7682062909698</v>
      </c>
    </row>
    <row r="96" spans="1:23">
      <c r="A96" s="134" t="s">
        <v>96</v>
      </c>
      <c r="B96" s="134">
        <v>3120</v>
      </c>
      <c r="C96" s="145">
        <v>427903.29720036697</v>
      </c>
      <c r="G96" s="134" t="s">
        <v>469</v>
      </c>
      <c r="H96" s="134" t="s">
        <v>469</v>
      </c>
      <c r="I96" s="134" t="s">
        <v>821</v>
      </c>
      <c r="J96" s="134">
        <v>12</v>
      </c>
      <c r="K96" s="145">
        <v>3245.8525548596899</v>
      </c>
      <c r="L96" s="145">
        <v>270.48771290497399</v>
      </c>
      <c r="M96" s="134"/>
      <c r="T96" s="154">
        <f t="shared" si="4"/>
        <v>3120</v>
      </c>
      <c r="U96" s="154">
        <f t="shared" si="5"/>
        <v>426825.14882697701</v>
      </c>
      <c r="V96" s="154">
        <f t="shared" si="6"/>
        <v>3120</v>
      </c>
      <c r="W96" s="155">
        <f t="shared" si="7"/>
        <v>426825.14882697701</v>
      </c>
    </row>
    <row r="97" spans="1:23">
      <c r="A97" s="134" t="s">
        <v>97</v>
      </c>
      <c r="B97" s="134">
        <v>23</v>
      </c>
      <c r="C97" s="145">
        <v>3410.52598306244</v>
      </c>
      <c r="G97" s="134" t="s">
        <v>469</v>
      </c>
      <c r="H97" s="134" t="s">
        <v>469</v>
      </c>
      <c r="I97" s="134" t="s">
        <v>136</v>
      </c>
      <c r="J97" s="134">
        <v>7</v>
      </c>
      <c r="K97" s="145">
        <v>1075.5852899117899</v>
      </c>
      <c r="L97" s="145">
        <v>153.65504141597</v>
      </c>
      <c r="M97" s="134"/>
      <c r="T97" s="154">
        <f t="shared" si="4"/>
        <v>23</v>
      </c>
      <c r="U97" s="154">
        <f t="shared" si="5"/>
        <v>3410.52598306244</v>
      </c>
      <c r="V97" s="154">
        <f t="shared" si="6"/>
        <v>0</v>
      </c>
      <c r="W97" s="155">
        <f t="shared" si="7"/>
        <v>0</v>
      </c>
    </row>
    <row r="98" spans="1:23">
      <c r="A98" s="134" t="s">
        <v>100</v>
      </c>
      <c r="B98" s="134">
        <v>1227</v>
      </c>
      <c r="C98" s="145">
        <v>183957.34945101599</v>
      </c>
      <c r="G98" s="134" t="s">
        <v>469</v>
      </c>
      <c r="H98" s="134" t="s">
        <v>469</v>
      </c>
      <c r="I98" s="134" t="s">
        <v>968</v>
      </c>
      <c r="J98" s="134">
        <v>7</v>
      </c>
      <c r="K98" s="145">
        <v>1117.56922941734</v>
      </c>
      <c r="L98" s="145">
        <v>159.65274705962099</v>
      </c>
      <c r="M98" s="134"/>
      <c r="T98" s="154">
        <f t="shared" si="4"/>
        <v>1227</v>
      </c>
      <c r="U98" s="154">
        <f t="shared" si="5"/>
        <v>182604.060801716</v>
      </c>
      <c r="V98" s="154">
        <f t="shared" si="6"/>
        <v>0</v>
      </c>
      <c r="W98" s="155">
        <f t="shared" si="7"/>
        <v>0</v>
      </c>
    </row>
    <row r="99" spans="1:23">
      <c r="A99" s="134" t="s">
        <v>101</v>
      </c>
      <c r="B99" s="134">
        <v>335</v>
      </c>
      <c r="C99" s="145">
        <v>65824.018711432596</v>
      </c>
      <c r="G99" s="134" t="s">
        <v>469</v>
      </c>
      <c r="H99" s="134" t="s">
        <v>469</v>
      </c>
      <c r="I99" s="134" t="s">
        <v>190</v>
      </c>
      <c r="J99" s="134">
        <v>467</v>
      </c>
      <c r="K99" s="145">
        <v>188480.24898960101</v>
      </c>
      <c r="L99" s="145">
        <v>403.59796357516399</v>
      </c>
      <c r="M99" s="134"/>
      <c r="T99" s="154">
        <f t="shared" si="4"/>
        <v>335</v>
      </c>
      <c r="U99" s="154">
        <f t="shared" si="5"/>
        <v>65824.018711432596</v>
      </c>
      <c r="V99" s="154">
        <f t="shared" si="6"/>
        <v>335</v>
      </c>
      <c r="W99" s="155">
        <f t="shared" si="7"/>
        <v>65824.018711432596</v>
      </c>
    </row>
    <row r="100" spans="1:23">
      <c r="A100" s="134" t="s">
        <v>102</v>
      </c>
      <c r="B100" s="134">
        <v>9700</v>
      </c>
      <c r="C100" s="145">
        <v>1408295.2203349301</v>
      </c>
      <c r="G100" s="134" t="s">
        <v>469</v>
      </c>
      <c r="H100" s="134" t="s">
        <v>469</v>
      </c>
      <c r="I100" s="134" t="s">
        <v>916</v>
      </c>
      <c r="J100" s="134">
        <v>75</v>
      </c>
      <c r="K100" s="145">
        <v>10524.0760778926</v>
      </c>
      <c r="L100" s="145">
        <v>140.32101437190099</v>
      </c>
      <c r="M100" s="134"/>
      <c r="T100" s="154">
        <f t="shared" si="4"/>
        <v>9700</v>
      </c>
      <c r="U100" s="154">
        <f t="shared" si="5"/>
        <v>1403634.71177762</v>
      </c>
      <c r="V100" s="154">
        <f t="shared" si="6"/>
        <v>9700</v>
      </c>
      <c r="W100" s="155">
        <f t="shared" si="7"/>
        <v>1403634.71177762</v>
      </c>
    </row>
    <row r="101" spans="1:23">
      <c r="A101" s="134" t="s">
        <v>105</v>
      </c>
      <c r="B101" s="134">
        <v>9113</v>
      </c>
      <c r="C101" s="145">
        <v>1306384.66253352</v>
      </c>
      <c r="G101" s="134" t="s">
        <v>469</v>
      </c>
      <c r="H101" s="134" t="s">
        <v>469</v>
      </c>
      <c r="I101" s="134" t="s">
        <v>1046</v>
      </c>
      <c r="J101" s="134">
        <v>4</v>
      </c>
      <c r="K101" s="145">
        <v>872.87076840280804</v>
      </c>
      <c r="L101" s="145">
        <v>218.21769210070201</v>
      </c>
      <c r="M101" s="134"/>
      <c r="T101" s="154">
        <f t="shared" si="4"/>
        <v>9113</v>
      </c>
      <c r="U101" s="154">
        <f t="shared" si="5"/>
        <v>1269376.2412018101</v>
      </c>
      <c r="V101" s="154">
        <f t="shared" si="6"/>
        <v>0</v>
      </c>
      <c r="W101" s="155">
        <f t="shared" si="7"/>
        <v>0</v>
      </c>
    </row>
    <row r="102" spans="1:23">
      <c r="A102" s="134" t="s">
        <v>106</v>
      </c>
      <c r="B102" s="134">
        <v>239</v>
      </c>
      <c r="C102" s="145">
        <v>48488.0429151688</v>
      </c>
      <c r="G102" s="134" t="s">
        <v>469</v>
      </c>
      <c r="H102" s="134" t="s">
        <v>469</v>
      </c>
      <c r="I102" s="134" t="s">
        <v>859</v>
      </c>
      <c r="J102" s="134">
        <v>28</v>
      </c>
      <c r="K102" s="145">
        <v>3854.1684135290102</v>
      </c>
      <c r="L102" s="145">
        <v>137.64887191175001</v>
      </c>
      <c r="M102" s="134"/>
      <c r="T102" s="154">
        <f t="shared" si="4"/>
        <v>239</v>
      </c>
      <c r="U102" s="154">
        <f t="shared" si="5"/>
        <v>47678.285515527001</v>
      </c>
      <c r="V102" s="154">
        <f t="shared" si="6"/>
        <v>0</v>
      </c>
      <c r="W102" s="155">
        <f t="shared" si="7"/>
        <v>0</v>
      </c>
    </row>
    <row r="103" spans="1:23">
      <c r="A103" s="134" t="s">
        <v>807</v>
      </c>
      <c r="B103" s="134">
        <v>7373</v>
      </c>
      <c r="C103" s="145">
        <v>1446667.15579998</v>
      </c>
      <c r="G103" s="134" t="s">
        <v>469</v>
      </c>
      <c r="H103" s="134" t="s">
        <v>469</v>
      </c>
      <c r="I103" s="134" t="s">
        <v>830</v>
      </c>
      <c r="J103" s="134">
        <v>25</v>
      </c>
      <c r="K103" s="145">
        <v>3078.92622887061</v>
      </c>
      <c r="L103" s="145">
        <v>123.15704915482399</v>
      </c>
      <c r="M103" s="134"/>
      <c r="T103" s="154">
        <f t="shared" si="4"/>
        <v>7373</v>
      </c>
      <c r="U103" s="154">
        <f t="shared" si="5"/>
        <v>1248807.27885604</v>
      </c>
      <c r="V103" s="154">
        <f t="shared" si="6"/>
        <v>7373</v>
      </c>
      <c r="W103" s="155">
        <f t="shared" si="7"/>
        <v>1248807.27885604</v>
      </c>
    </row>
    <row r="104" spans="1:23">
      <c r="A104" s="134" t="s">
        <v>808</v>
      </c>
      <c r="B104" s="134">
        <v>30881</v>
      </c>
      <c r="C104" s="145">
        <v>4855740.3290901603</v>
      </c>
      <c r="G104" s="134" t="s">
        <v>469</v>
      </c>
      <c r="H104" s="134" t="s">
        <v>469</v>
      </c>
      <c r="I104" s="134" t="s">
        <v>716</v>
      </c>
      <c r="J104" s="134">
        <v>42</v>
      </c>
      <c r="K104" s="145">
        <v>4733.4060871497904</v>
      </c>
      <c r="L104" s="145">
        <v>112.700144932138</v>
      </c>
      <c r="M104" s="134"/>
      <c r="T104" s="154">
        <f t="shared" si="4"/>
        <v>30881</v>
      </c>
      <c r="U104" s="154">
        <f t="shared" si="5"/>
        <v>4791947.9852688098</v>
      </c>
      <c r="V104" s="154">
        <f t="shared" si="6"/>
        <v>30881</v>
      </c>
      <c r="W104" s="155">
        <f t="shared" si="7"/>
        <v>4791947.9852688098</v>
      </c>
    </row>
    <row r="105" spans="1:23">
      <c r="A105" s="134" t="s">
        <v>809</v>
      </c>
      <c r="B105" s="134">
        <v>44432</v>
      </c>
      <c r="C105" s="145">
        <v>7564244.8396816403</v>
      </c>
      <c r="G105" s="134" t="s">
        <v>469</v>
      </c>
      <c r="H105" s="134" t="s">
        <v>469</v>
      </c>
      <c r="I105" s="134" t="s">
        <v>328</v>
      </c>
      <c r="J105" s="134">
        <v>15513</v>
      </c>
      <c r="K105" s="145">
        <v>669605.83225894498</v>
      </c>
      <c r="L105" s="145">
        <v>43.164174064265097</v>
      </c>
      <c r="M105" s="134"/>
      <c r="T105" s="154">
        <f t="shared" si="4"/>
        <v>44432</v>
      </c>
      <c r="U105" s="154">
        <f t="shared" si="5"/>
        <v>7351414.2607186399</v>
      </c>
      <c r="V105" s="154">
        <f t="shared" si="6"/>
        <v>44432</v>
      </c>
      <c r="W105" s="155">
        <f t="shared" si="7"/>
        <v>7351414.2607186399</v>
      </c>
    </row>
    <row r="106" spans="1:23">
      <c r="A106" s="134" t="s">
        <v>810</v>
      </c>
      <c r="B106" s="134">
        <v>2435</v>
      </c>
      <c r="C106" s="145">
        <v>269719.35180446698</v>
      </c>
      <c r="G106" s="134" t="s">
        <v>469</v>
      </c>
      <c r="H106" s="134" t="s">
        <v>469</v>
      </c>
      <c r="I106" s="134" t="s">
        <v>329</v>
      </c>
      <c r="J106" s="134">
        <v>7532</v>
      </c>
      <c r="K106" s="145">
        <v>952929.21308849298</v>
      </c>
      <c r="L106" s="145">
        <v>126.517420749933</v>
      </c>
      <c r="M106" s="134"/>
      <c r="T106" s="154">
        <f t="shared" si="4"/>
        <v>2435</v>
      </c>
      <c r="U106" s="154">
        <f t="shared" si="5"/>
        <v>269700.17645513703</v>
      </c>
      <c r="V106" s="154">
        <f t="shared" si="6"/>
        <v>2435</v>
      </c>
      <c r="W106" s="155">
        <f t="shared" si="7"/>
        <v>269700.17645513703</v>
      </c>
    </row>
    <row r="107" spans="1:23">
      <c r="A107" s="134" t="s">
        <v>811</v>
      </c>
      <c r="B107" s="134">
        <v>100461</v>
      </c>
      <c r="C107" s="145">
        <v>19132049.932452802</v>
      </c>
      <c r="G107" s="134" t="s">
        <v>469</v>
      </c>
      <c r="H107" s="134" t="s">
        <v>469</v>
      </c>
      <c r="I107" s="134" t="s">
        <v>893</v>
      </c>
      <c r="J107" s="134">
        <v>4579</v>
      </c>
      <c r="K107" s="145">
        <v>1207031.8762149001</v>
      </c>
      <c r="L107" s="145">
        <v>263.60163271782</v>
      </c>
      <c r="M107" s="134"/>
      <c r="T107" s="154">
        <f t="shared" si="4"/>
        <v>100461</v>
      </c>
      <c r="U107" s="154">
        <f t="shared" si="5"/>
        <v>18281628.820322301</v>
      </c>
      <c r="V107" s="154">
        <f t="shared" si="6"/>
        <v>100461</v>
      </c>
      <c r="W107" s="155">
        <f t="shared" si="7"/>
        <v>18281628.820322301</v>
      </c>
    </row>
    <row r="108" spans="1:23">
      <c r="A108" s="134" t="s">
        <v>812</v>
      </c>
      <c r="B108" s="134">
        <v>688</v>
      </c>
      <c r="C108" s="145">
        <v>108815.145645667</v>
      </c>
      <c r="G108" s="134" t="s">
        <v>469</v>
      </c>
      <c r="H108" s="134" t="s">
        <v>469</v>
      </c>
      <c r="I108" s="134" t="s">
        <v>768</v>
      </c>
      <c r="J108" s="134">
        <v>424</v>
      </c>
      <c r="K108" s="145">
        <v>50557.715392567203</v>
      </c>
      <c r="L108" s="145">
        <v>119.239894793791</v>
      </c>
      <c r="M108" s="134"/>
      <c r="T108" s="154">
        <f t="shared" si="4"/>
        <v>688</v>
      </c>
      <c r="U108" s="154">
        <f t="shared" si="5"/>
        <v>108815.145645667</v>
      </c>
      <c r="V108" s="154">
        <f t="shared" si="6"/>
        <v>688</v>
      </c>
      <c r="W108" s="155">
        <f t="shared" si="7"/>
        <v>108815.145645667</v>
      </c>
    </row>
    <row r="109" spans="1:23">
      <c r="A109" s="134" t="s">
        <v>813</v>
      </c>
      <c r="B109" s="134">
        <v>332</v>
      </c>
      <c r="C109" s="145">
        <v>74606.805743472098</v>
      </c>
      <c r="G109" s="134" t="s">
        <v>469</v>
      </c>
      <c r="H109" s="134" t="s">
        <v>469</v>
      </c>
      <c r="I109" s="134" t="s">
        <v>895</v>
      </c>
      <c r="J109" s="134">
        <v>6424</v>
      </c>
      <c r="K109" s="145">
        <v>827868.67273320199</v>
      </c>
      <c r="L109" s="145">
        <v>128.87121306556699</v>
      </c>
      <c r="M109" s="134"/>
      <c r="T109" s="154">
        <f t="shared" si="4"/>
        <v>332</v>
      </c>
      <c r="U109" s="154">
        <f t="shared" si="5"/>
        <v>74429.198558015298</v>
      </c>
      <c r="V109" s="154">
        <f t="shared" si="6"/>
        <v>332</v>
      </c>
      <c r="W109" s="155">
        <f t="shared" si="7"/>
        <v>74429.198558015298</v>
      </c>
    </row>
    <row r="110" spans="1:23">
      <c r="A110" s="134" t="s">
        <v>814</v>
      </c>
      <c r="B110" s="134">
        <v>1</v>
      </c>
      <c r="C110" s="145">
        <v>218.36226576599</v>
      </c>
      <c r="G110" s="134" t="s">
        <v>469</v>
      </c>
      <c r="H110" s="134" t="s">
        <v>469</v>
      </c>
      <c r="I110" s="134" t="s">
        <v>977</v>
      </c>
      <c r="J110" s="134">
        <v>266</v>
      </c>
      <c r="K110" s="145">
        <v>236521.877084743</v>
      </c>
      <c r="L110" s="145">
        <v>889.17998904038802</v>
      </c>
      <c r="M110" s="134"/>
      <c r="T110" s="154">
        <f t="shared" si="4"/>
        <v>1</v>
      </c>
      <c r="U110" s="154">
        <f t="shared" si="5"/>
        <v>218.36226576599</v>
      </c>
      <c r="V110" s="154">
        <f t="shared" si="6"/>
        <v>1</v>
      </c>
      <c r="W110" s="155">
        <f t="shared" si="7"/>
        <v>218.36226576599</v>
      </c>
    </row>
    <row r="111" spans="1:23">
      <c r="A111" s="134" t="s">
        <v>815</v>
      </c>
      <c r="B111" s="134">
        <v>34</v>
      </c>
      <c r="C111" s="145">
        <v>5154.1968827486598</v>
      </c>
      <c r="G111" s="134" t="s">
        <v>469</v>
      </c>
      <c r="H111" s="134" t="s">
        <v>469</v>
      </c>
      <c r="I111" s="134" t="s">
        <v>949</v>
      </c>
      <c r="J111" s="134">
        <v>7</v>
      </c>
      <c r="K111" s="145">
        <v>1804.8755851067599</v>
      </c>
      <c r="L111" s="145">
        <v>257.83936930096502</v>
      </c>
      <c r="M111" s="134"/>
      <c r="T111" s="154">
        <f t="shared" si="4"/>
        <v>34</v>
      </c>
      <c r="U111" s="154">
        <f t="shared" si="5"/>
        <v>5154.1968827486598</v>
      </c>
      <c r="V111" s="154">
        <f t="shared" si="6"/>
        <v>34</v>
      </c>
      <c r="W111" s="155">
        <f t="shared" si="7"/>
        <v>5154.1968827486598</v>
      </c>
    </row>
    <row r="112" spans="1:23">
      <c r="A112" s="134" t="s">
        <v>817</v>
      </c>
      <c r="B112" s="134">
        <v>6</v>
      </c>
      <c r="C112" s="145">
        <v>1394.92134026853</v>
      </c>
      <c r="G112" s="134" t="s">
        <v>469</v>
      </c>
      <c r="H112" s="134" t="s">
        <v>469</v>
      </c>
      <c r="I112" s="134" t="s">
        <v>918</v>
      </c>
      <c r="J112" s="134">
        <v>9</v>
      </c>
      <c r="K112" s="145">
        <v>1123.4547097002601</v>
      </c>
      <c r="L112" s="145">
        <v>124.828301077807</v>
      </c>
      <c r="M112" s="134"/>
      <c r="T112" s="154">
        <f t="shared" si="4"/>
        <v>6</v>
      </c>
      <c r="U112" s="154">
        <f t="shared" si="5"/>
        <v>1394.92134026853</v>
      </c>
      <c r="V112" s="154">
        <f t="shared" si="6"/>
        <v>6</v>
      </c>
      <c r="W112" s="155">
        <f t="shared" si="7"/>
        <v>1394.92134026853</v>
      </c>
    </row>
    <row r="113" spans="1:23">
      <c r="A113" s="134" t="s">
        <v>376</v>
      </c>
      <c r="B113" s="134">
        <v>4</v>
      </c>
      <c r="C113" s="145">
        <v>1313.3554885669</v>
      </c>
      <c r="G113" s="134" t="s">
        <v>469</v>
      </c>
      <c r="H113" s="134" t="s">
        <v>469</v>
      </c>
      <c r="I113" s="134" t="s">
        <v>758</v>
      </c>
      <c r="J113" s="134">
        <v>4</v>
      </c>
      <c r="K113" s="145">
        <v>378.95294980499301</v>
      </c>
      <c r="L113" s="145">
        <v>94.738237451248196</v>
      </c>
      <c r="M113" s="134"/>
      <c r="T113" s="154">
        <f t="shared" si="4"/>
        <v>4</v>
      </c>
      <c r="U113" s="154">
        <f t="shared" si="5"/>
        <v>1313.3554885669</v>
      </c>
      <c r="V113" s="154">
        <f t="shared" si="6"/>
        <v>0</v>
      </c>
      <c r="W113" s="155">
        <f t="shared" si="7"/>
        <v>0</v>
      </c>
    </row>
    <row r="114" spans="1:23">
      <c r="A114" s="134" t="s">
        <v>109</v>
      </c>
      <c r="B114" s="134">
        <v>21</v>
      </c>
      <c r="C114" s="145">
        <v>2742.6536020287299</v>
      </c>
      <c r="G114" s="134" t="s">
        <v>469</v>
      </c>
      <c r="H114" s="134" t="s">
        <v>469</v>
      </c>
      <c r="I114" s="134" t="s">
        <v>951</v>
      </c>
      <c r="J114" s="134">
        <v>1</v>
      </c>
      <c r="K114" s="145">
        <v>945.02053109214705</v>
      </c>
      <c r="L114" s="145">
        <v>945.02053109214705</v>
      </c>
      <c r="M114" s="134"/>
      <c r="T114" s="154">
        <f t="shared" si="4"/>
        <v>21</v>
      </c>
      <c r="U114" s="154">
        <f t="shared" si="5"/>
        <v>2742.6536020287299</v>
      </c>
      <c r="V114" s="154">
        <f t="shared" si="6"/>
        <v>0</v>
      </c>
      <c r="W114" s="155">
        <f t="shared" si="7"/>
        <v>0</v>
      </c>
    </row>
    <row r="115" spans="1:23">
      <c r="A115" s="134" t="s">
        <v>819</v>
      </c>
      <c r="B115" s="134">
        <v>80</v>
      </c>
      <c r="C115" s="145">
        <v>10030.3235892714</v>
      </c>
      <c r="G115" s="134" t="s">
        <v>469</v>
      </c>
      <c r="H115" s="134" t="s">
        <v>469</v>
      </c>
      <c r="I115" s="134" t="s">
        <v>997</v>
      </c>
      <c r="J115" s="134">
        <v>31805</v>
      </c>
      <c r="K115" s="145">
        <v>4547086.0725826304</v>
      </c>
      <c r="L115" s="145">
        <v>142.96764887856099</v>
      </c>
      <c r="M115" s="134"/>
      <c r="T115" s="154">
        <f t="shared" si="4"/>
        <v>80</v>
      </c>
      <c r="U115" s="154">
        <f t="shared" si="5"/>
        <v>9206.9364498467294</v>
      </c>
      <c r="V115" s="154">
        <f t="shared" si="6"/>
        <v>80</v>
      </c>
      <c r="W115" s="155">
        <f t="shared" si="7"/>
        <v>9206.9364498467294</v>
      </c>
    </row>
    <row r="116" spans="1:23">
      <c r="A116" s="134" t="s">
        <v>820</v>
      </c>
      <c r="B116" s="134">
        <v>68</v>
      </c>
      <c r="C116" s="145">
        <v>2250.5831700899898</v>
      </c>
      <c r="G116" s="134" t="s">
        <v>469</v>
      </c>
      <c r="H116" s="134" t="s">
        <v>469</v>
      </c>
      <c r="I116" s="134" t="s">
        <v>113</v>
      </c>
      <c r="J116" s="134">
        <v>1286</v>
      </c>
      <c r="K116" s="145">
        <v>358462.46918970399</v>
      </c>
      <c r="L116" s="145">
        <v>278.74219999199403</v>
      </c>
      <c r="M116" s="134"/>
      <c r="T116" s="154">
        <f t="shared" si="4"/>
        <v>68</v>
      </c>
      <c r="U116" s="154">
        <f t="shared" si="5"/>
        <v>2250.5831700899898</v>
      </c>
      <c r="V116" s="154">
        <f t="shared" si="6"/>
        <v>68</v>
      </c>
      <c r="W116" s="155">
        <f t="shared" si="7"/>
        <v>2250.5831700899898</v>
      </c>
    </row>
    <row r="117" spans="1:23">
      <c r="A117" s="134" t="s">
        <v>821</v>
      </c>
      <c r="B117" s="134">
        <v>12</v>
      </c>
      <c r="C117" s="145">
        <v>4378.0047092526702</v>
      </c>
      <c r="G117" s="134" t="s">
        <v>469</v>
      </c>
      <c r="H117" s="134" t="s">
        <v>469</v>
      </c>
      <c r="I117" s="134" t="s">
        <v>146</v>
      </c>
      <c r="J117" s="134">
        <v>5013</v>
      </c>
      <c r="K117" s="145">
        <v>408665.04914521502</v>
      </c>
      <c r="L117" s="145">
        <v>81.521055085819796</v>
      </c>
      <c r="M117" s="134"/>
      <c r="T117" s="154">
        <f t="shared" si="4"/>
        <v>12</v>
      </c>
      <c r="U117" s="154">
        <f t="shared" si="5"/>
        <v>3245.8525548596899</v>
      </c>
      <c r="V117" s="154">
        <f t="shared" si="6"/>
        <v>12</v>
      </c>
      <c r="W117" s="155">
        <f t="shared" si="7"/>
        <v>3245.8525548596899</v>
      </c>
    </row>
    <row r="118" spans="1:23">
      <c r="A118" s="134" t="s">
        <v>822</v>
      </c>
      <c r="B118" s="134">
        <v>1000</v>
      </c>
      <c r="C118" s="145">
        <v>144777.199214108</v>
      </c>
      <c r="G118" s="134" t="s">
        <v>469</v>
      </c>
      <c r="H118" s="134" t="s">
        <v>469</v>
      </c>
      <c r="I118" s="134" t="s">
        <v>886</v>
      </c>
      <c r="J118" s="134">
        <v>15</v>
      </c>
      <c r="K118" s="145">
        <v>5542.0076672452396</v>
      </c>
      <c r="L118" s="145">
        <v>369.46717781634902</v>
      </c>
      <c r="M118" s="134"/>
      <c r="T118" s="154">
        <f t="shared" si="4"/>
        <v>1000</v>
      </c>
      <c r="U118" s="154">
        <f t="shared" si="5"/>
        <v>144738.84851544799</v>
      </c>
      <c r="V118" s="154">
        <f t="shared" si="6"/>
        <v>1000</v>
      </c>
      <c r="W118" s="155">
        <f t="shared" si="7"/>
        <v>144738.84851544799</v>
      </c>
    </row>
    <row r="119" spans="1:23">
      <c r="A119" s="134" t="s">
        <v>823</v>
      </c>
      <c r="B119" s="134">
        <v>10</v>
      </c>
      <c r="C119" s="145">
        <v>1591.6468953997401</v>
      </c>
      <c r="G119" s="134" t="s">
        <v>469</v>
      </c>
      <c r="H119" s="134" t="s">
        <v>469</v>
      </c>
      <c r="I119" s="134" t="s">
        <v>330</v>
      </c>
      <c r="J119" s="134">
        <v>1</v>
      </c>
      <c r="K119" s="145">
        <v>72.583991962716297</v>
      </c>
      <c r="L119" s="145">
        <v>72.583991962716297</v>
      </c>
      <c r="M119" s="134"/>
      <c r="T119" s="154">
        <f t="shared" si="4"/>
        <v>10</v>
      </c>
      <c r="U119" s="154">
        <f t="shared" si="5"/>
        <v>1591.6468953997401</v>
      </c>
      <c r="V119" s="154">
        <f t="shared" si="6"/>
        <v>10</v>
      </c>
      <c r="W119" s="155">
        <f t="shared" si="7"/>
        <v>1591.6468953997401</v>
      </c>
    </row>
    <row r="120" spans="1:23">
      <c r="A120" s="134" t="s">
        <v>824</v>
      </c>
      <c r="B120" s="134">
        <v>13</v>
      </c>
      <c r="C120" s="145">
        <v>2762.2791899491199</v>
      </c>
      <c r="G120" s="134" t="s">
        <v>469</v>
      </c>
      <c r="H120" s="134" t="s">
        <v>469</v>
      </c>
      <c r="I120" s="134" t="s">
        <v>111</v>
      </c>
      <c r="J120" s="134">
        <v>14</v>
      </c>
      <c r="K120" s="145">
        <v>1630.7199684587399</v>
      </c>
      <c r="L120" s="145">
        <v>116.47999774705301</v>
      </c>
      <c r="M120" s="134"/>
      <c r="T120" s="154">
        <f t="shared" si="4"/>
        <v>13</v>
      </c>
      <c r="U120" s="154">
        <f t="shared" si="5"/>
        <v>2584.67200449231</v>
      </c>
      <c r="V120" s="154">
        <f t="shared" si="6"/>
        <v>13</v>
      </c>
      <c r="W120" s="155">
        <f t="shared" si="7"/>
        <v>2584.67200449231</v>
      </c>
    </row>
    <row r="121" spans="1:23">
      <c r="A121" s="134" t="s">
        <v>825</v>
      </c>
      <c r="B121" s="134">
        <v>2</v>
      </c>
      <c r="C121" s="145">
        <v>404.287809438333</v>
      </c>
      <c r="G121" s="134" t="s">
        <v>469</v>
      </c>
      <c r="H121" s="134" t="s">
        <v>469</v>
      </c>
      <c r="I121" s="134" t="s">
        <v>946</v>
      </c>
      <c r="J121" s="134">
        <v>8</v>
      </c>
      <c r="K121" s="145">
        <v>5379.9680033480299</v>
      </c>
      <c r="L121" s="145">
        <v>672.49600041850397</v>
      </c>
      <c r="M121" s="134"/>
      <c r="T121" s="154">
        <f t="shared" si="4"/>
        <v>2</v>
      </c>
      <c r="U121" s="154">
        <f t="shared" si="5"/>
        <v>404.287809438333</v>
      </c>
      <c r="V121" s="154">
        <f t="shared" si="6"/>
        <v>2</v>
      </c>
      <c r="W121" s="155">
        <f t="shared" si="7"/>
        <v>404.287809438333</v>
      </c>
    </row>
    <row r="122" spans="1:23">
      <c r="A122" s="134" t="s">
        <v>826</v>
      </c>
      <c r="B122" s="134">
        <v>4</v>
      </c>
      <c r="C122" s="145">
        <v>566.92837376294699</v>
      </c>
      <c r="G122" s="134" t="s">
        <v>469</v>
      </c>
      <c r="H122" s="134" t="s">
        <v>469</v>
      </c>
      <c r="I122" s="134" t="s">
        <v>204</v>
      </c>
      <c r="J122" s="134">
        <v>3114</v>
      </c>
      <c r="K122" s="145">
        <v>980560.65837324399</v>
      </c>
      <c r="L122" s="145">
        <v>314.88781579102198</v>
      </c>
      <c r="M122" s="134"/>
      <c r="T122" s="154">
        <f t="shared" si="4"/>
        <v>4</v>
      </c>
      <c r="U122" s="154">
        <f t="shared" si="5"/>
        <v>566.92837376294699</v>
      </c>
      <c r="V122" s="154">
        <f t="shared" si="6"/>
        <v>4</v>
      </c>
      <c r="W122" s="155">
        <f t="shared" si="7"/>
        <v>566.92837376294699</v>
      </c>
    </row>
    <row r="123" spans="1:23">
      <c r="A123" s="134" t="s">
        <v>827</v>
      </c>
      <c r="B123" s="134">
        <v>62</v>
      </c>
      <c r="C123" s="145">
        <v>11544.2054829802</v>
      </c>
      <c r="G123" s="134" t="s">
        <v>469</v>
      </c>
      <c r="H123" s="134" t="s">
        <v>469</v>
      </c>
      <c r="I123" s="134" t="s">
        <v>776</v>
      </c>
      <c r="J123" s="134">
        <v>183</v>
      </c>
      <c r="K123" s="145">
        <v>24801.635707323901</v>
      </c>
      <c r="L123" s="145">
        <v>135.52806397444701</v>
      </c>
      <c r="M123" s="134"/>
      <c r="T123" s="154">
        <f t="shared" si="4"/>
        <v>62</v>
      </c>
      <c r="U123" s="154">
        <f t="shared" si="5"/>
        <v>11544.2054829802</v>
      </c>
      <c r="V123" s="154">
        <f t="shared" si="6"/>
        <v>62</v>
      </c>
      <c r="W123" s="155">
        <f t="shared" si="7"/>
        <v>11544.2054829802</v>
      </c>
    </row>
    <row r="124" spans="1:23">
      <c r="A124" s="134" t="s">
        <v>828</v>
      </c>
      <c r="B124" s="134">
        <v>1756</v>
      </c>
      <c r="C124" s="145">
        <v>271443.03443791898</v>
      </c>
      <c r="G124" s="134" t="s">
        <v>469</v>
      </c>
      <c r="H124" s="134" t="s">
        <v>469</v>
      </c>
      <c r="I124" s="134" t="s">
        <v>939</v>
      </c>
      <c r="J124" s="134">
        <v>7153</v>
      </c>
      <c r="K124" s="145">
        <v>1089254.14866088</v>
      </c>
      <c r="L124" s="145">
        <v>152.27934414383901</v>
      </c>
      <c r="M124" s="134"/>
      <c r="T124" s="154">
        <f t="shared" si="4"/>
        <v>1756</v>
      </c>
      <c r="U124" s="154">
        <f t="shared" si="5"/>
        <v>259443.480927481</v>
      </c>
      <c r="V124" s="154">
        <f t="shared" si="6"/>
        <v>1756</v>
      </c>
      <c r="W124" s="155">
        <f t="shared" si="7"/>
        <v>259443.480927481</v>
      </c>
    </row>
    <row r="125" spans="1:23">
      <c r="A125" s="134" t="s">
        <v>830</v>
      </c>
      <c r="B125" s="134">
        <v>25</v>
      </c>
      <c r="C125" s="145">
        <v>3078.92622887061</v>
      </c>
      <c r="G125" s="134" t="s">
        <v>469</v>
      </c>
      <c r="H125" s="134" t="s">
        <v>469</v>
      </c>
      <c r="I125" s="134" t="s">
        <v>1066</v>
      </c>
      <c r="J125" s="134">
        <v>12</v>
      </c>
      <c r="K125" s="145">
        <v>1880.19092987453</v>
      </c>
      <c r="L125" s="145">
        <v>156.682577489544</v>
      </c>
      <c r="M125" s="134"/>
      <c r="T125" s="154">
        <f t="shared" si="4"/>
        <v>25</v>
      </c>
      <c r="U125" s="154">
        <f t="shared" si="5"/>
        <v>3078.92622887061</v>
      </c>
      <c r="V125" s="154">
        <f t="shared" si="6"/>
        <v>25</v>
      </c>
      <c r="W125" s="155">
        <f t="shared" si="7"/>
        <v>3078.92622887061</v>
      </c>
    </row>
    <row r="126" spans="1:23">
      <c r="A126" s="134" t="s">
        <v>110</v>
      </c>
      <c r="B126" s="134">
        <v>294</v>
      </c>
      <c r="C126" s="145">
        <v>53663.5988974707</v>
      </c>
      <c r="G126" s="134" t="s">
        <v>469</v>
      </c>
      <c r="H126" s="134" t="s">
        <v>469</v>
      </c>
      <c r="I126" s="134" t="s">
        <v>772</v>
      </c>
      <c r="J126" s="134">
        <v>10</v>
      </c>
      <c r="K126" s="145">
        <v>1232.72415565038</v>
      </c>
      <c r="L126" s="145">
        <v>123.272415565038</v>
      </c>
      <c r="M126" s="134"/>
      <c r="T126" s="154">
        <f t="shared" si="4"/>
        <v>294</v>
      </c>
      <c r="U126" s="154">
        <f t="shared" si="5"/>
        <v>52322.506307479598</v>
      </c>
      <c r="V126" s="154">
        <f t="shared" si="6"/>
        <v>294</v>
      </c>
      <c r="W126" s="155">
        <f t="shared" si="7"/>
        <v>52322.506307479598</v>
      </c>
    </row>
    <row r="127" spans="1:23">
      <c r="A127" s="134" t="s">
        <v>1053</v>
      </c>
      <c r="B127" s="134">
        <v>833</v>
      </c>
      <c r="C127" s="145">
        <v>50641.813740347498</v>
      </c>
      <c r="G127" s="134" t="s">
        <v>469</v>
      </c>
      <c r="H127" s="134" t="s">
        <v>469</v>
      </c>
      <c r="I127" s="134" t="s">
        <v>920</v>
      </c>
      <c r="J127" s="134">
        <v>53</v>
      </c>
      <c r="K127" s="145">
        <v>10542.5496643593</v>
      </c>
      <c r="L127" s="145">
        <v>198.916031403006</v>
      </c>
      <c r="M127" s="134"/>
      <c r="T127" s="154">
        <f t="shared" si="4"/>
        <v>833</v>
      </c>
      <c r="U127" s="154">
        <f t="shared" si="5"/>
        <v>50641.813740347498</v>
      </c>
      <c r="V127" s="154">
        <f t="shared" si="6"/>
        <v>833</v>
      </c>
      <c r="W127" s="155">
        <f t="shared" si="7"/>
        <v>50641.813740347498</v>
      </c>
    </row>
    <row r="128" spans="1:23">
      <c r="A128" s="134" t="s">
        <v>832</v>
      </c>
      <c r="B128" s="134">
        <v>8</v>
      </c>
      <c r="C128" s="145">
        <v>4495.6348363562502</v>
      </c>
      <c r="G128" s="134" t="s">
        <v>469</v>
      </c>
      <c r="H128" s="134" t="s">
        <v>469</v>
      </c>
      <c r="I128" s="134" t="s">
        <v>926</v>
      </c>
      <c r="J128" s="134">
        <v>4</v>
      </c>
      <c r="K128" s="145">
        <v>686.66577420429905</v>
      </c>
      <c r="L128" s="145">
        <v>171.66644355107499</v>
      </c>
      <c r="M128" s="134"/>
      <c r="T128" s="154">
        <f t="shared" si="4"/>
        <v>8</v>
      </c>
      <c r="U128" s="154">
        <f t="shared" si="5"/>
        <v>4495.6348363562502</v>
      </c>
      <c r="V128" s="154">
        <f t="shared" si="6"/>
        <v>8</v>
      </c>
      <c r="W128" s="155">
        <f t="shared" si="7"/>
        <v>4495.6348363562502</v>
      </c>
    </row>
    <row r="129" spans="1:23">
      <c r="A129" s="134" t="s">
        <v>1054</v>
      </c>
      <c r="B129" s="134">
        <v>2</v>
      </c>
      <c r="C129" s="145">
        <v>993.18307579002203</v>
      </c>
      <c r="G129" s="134" t="s">
        <v>469</v>
      </c>
      <c r="H129" s="134" t="s">
        <v>469</v>
      </c>
      <c r="I129" s="134" t="s">
        <v>79</v>
      </c>
      <c r="J129" s="134">
        <v>25</v>
      </c>
      <c r="K129" s="145">
        <v>4044.3652952135999</v>
      </c>
      <c r="L129" s="145">
        <v>161.77461180854399</v>
      </c>
      <c r="M129" s="134"/>
      <c r="T129" s="154">
        <f t="shared" si="4"/>
        <v>2</v>
      </c>
      <c r="U129" s="154">
        <f t="shared" si="5"/>
        <v>993.18307579002203</v>
      </c>
      <c r="V129" s="154">
        <f t="shared" si="6"/>
        <v>2</v>
      </c>
      <c r="W129" s="155">
        <f t="shared" si="7"/>
        <v>993.18307579002203</v>
      </c>
    </row>
    <row r="130" spans="1:23">
      <c r="A130" s="134" t="s">
        <v>1055</v>
      </c>
      <c r="B130" s="134">
        <v>5</v>
      </c>
      <c r="C130" s="145">
        <v>234.95454169455701</v>
      </c>
      <c r="G130" s="134" t="s">
        <v>469</v>
      </c>
      <c r="H130" s="134" t="s">
        <v>469</v>
      </c>
      <c r="I130" s="134" t="s">
        <v>331</v>
      </c>
      <c r="J130" s="134">
        <v>2</v>
      </c>
      <c r="K130" s="145">
        <v>310.41202683514501</v>
      </c>
      <c r="L130" s="145">
        <v>155.206013417572</v>
      </c>
      <c r="M130" s="134"/>
      <c r="T130" s="154">
        <f t="shared" si="4"/>
        <v>5</v>
      </c>
      <c r="U130" s="154">
        <f t="shared" si="5"/>
        <v>215.77919236455401</v>
      </c>
      <c r="V130" s="154">
        <f t="shared" si="6"/>
        <v>5</v>
      </c>
      <c r="W130" s="155">
        <f t="shared" si="7"/>
        <v>215.77919236455401</v>
      </c>
    </row>
    <row r="131" spans="1:23">
      <c r="A131" s="134" t="s">
        <v>833</v>
      </c>
      <c r="B131" s="134">
        <v>49</v>
      </c>
      <c r="C131" s="145">
        <v>1932.73144509857</v>
      </c>
      <c r="G131" s="134" t="s">
        <v>469</v>
      </c>
      <c r="H131" s="134" t="s">
        <v>469</v>
      </c>
      <c r="I131" s="134" t="s">
        <v>720</v>
      </c>
      <c r="J131" s="134">
        <v>144964</v>
      </c>
      <c r="K131" s="145">
        <v>10524464.3567896</v>
      </c>
      <c r="L131" s="145">
        <v>72.600537766546097</v>
      </c>
      <c r="M131" s="134"/>
      <c r="T131" s="154">
        <f t="shared" si="4"/>
        <v>49</v>
      </c>
      <c r="U131" s="154">
        <f t="shared" si="5"/>
        <v>1932.73144509857</v>
      </c>
      <c r="V131" s="154">
        <f t="shared" si="6"/>
        <v>49</v>
      </c>
      <c r="W131" s="155">
        <f t="shared" si="7"/>
        <v>1932.73144509857</v>
      </c>
    </row>
    <row r="132" spans="1:23">
      <c r="A132" s="134" t="s">
        <v>834</v>
      </c>
      <c r="B132" s="134">
        <v>3</v>
      </c>
      <c r="C132" s="145">
        <v>298.52574777926799</v>
      </c>
      <c r="G132" s="134" t="s">
        <v>469</v>
      </c>
      <c r="H132" s="134" t="s">
        <v>469</v>
      </c>
      <c r="I132" s="134" t="s">
        <v>476</v>
      </c>
      <c r="J132" s="134">
        <v>5855</v>
      </c>
      <c r="K132" s="145">
        <v>1154428.7885092499</v>
      </c>
      <c r="L132" s="145">
        <v>197.169733306447</v>
      </c>
      <c r="M132" s="134"/>
      <c r="T132" s="154">
        <f t="shared" ref="T132:T195" si="8">VLOOKUP(A132,$I:$L,2,FALSE)</f>
        <v>3</v>
      </c>
      <c r="U132" s="154">
        <f t="shared" ref="U132:U195" si="9">VLOOKUP(A132,$I:$L,3,FALSE)</f>
        <v>298.52574777926799</v>
      </c>
      <c r="V132" s="154">
        <f t="shared" ref="V132:V195" si="10">IF(COUNTIF($P:$P,A132)=1,0,T132)</f>
        <v>3</v>
      </c>
      <c r="W132" s="155">
        <f t="shared" ref="W132:W195" si="11">IF(COUNTIF($P:$P,A132)=1,0,U132)</f>
        <v>298.52574777926799</v>
      </c>
    </row>
    <row r="133" spans="1:23">
      <c r="A133" s="134" t="s">
        <v>1056</v>
      </c>
      <c r="B133" s="134">
        <v>2</v>
      </c>
      <c r="C133" s="145">
        <v>113.929448761865</v>
      </c>
      <c r="G133" s="134" t="s">
        <v>469</v>
      </c>
      <c r="H133" s="134" t="s">
        <v>469</v>
      </c>
      <c r="I133" s="134" t="s">
        <v>714</v>
      </c>
      <c r="J133" s="134">
        <v>225</v>
      </c>
      <c r="K133" s="145">
        <v>23166.017194842301</v>
      </c>
      <c r="L133" s="145">
        <v>102.96007642152099</v>
      </c>
      <c r="M133" s="134"/>
      <c r="T133" s="154">
        <f t="shared" si="8"/>
        <v>2</v>
      </c>
      <c r="U133" s="154">
        <f t="shared" si="9"/>
        <v>113.929448761865</v>
      </c>
      <c r="V133" s="154">
        <f t="shared" si="10"/>
        <v>2</v>
      </c>
      <c r="W133" s="155">
        <f t="shared" si="11"/>
        <v>113.929448761865</v>
      </c>
    </row>
    <row r="134" spans="1:23">
      <c r="A134" s="134" t="s">
        <v>836</v>
      </c>
      <c r="B134" s="134">
        <v>115</v>
      </c>
      <c r="C134" s="145">
        <v>17978.662876558301</v>
      </c>
      <c r="G134" s="134" t="s">
        <v>469</v>
      </c>
      <c r="H134" s="134" t="s">
        <v>469</v>
      </c>
      <c r="I134" s="134" t="s">
        <v>676</v>
      </c>
      <c r="J134" s="134">
        <v>755</v>
      </c>
      <c r="K134" s="145">
        <v>88361.656782253194</v>
      </c>
      <c r="L134" s="145">
        <v>117.035306996362</v>
      </c>
      <c r="M134" s="134"/>
      <c r="T134" s="154">
        <f t="shared" si="8"/>
        <v>115</v>
      </c>
      <c r="U134" s="154">
        <f t="shared" si="9"/>
        <v>16347.1236362254</v>
      </c>
      <c r="V134" s="154">
        <f t="shared" si="10"/>
        <v>115</v>
      </c>
      <c r="W134" s="155">
        <f t="shared" si="11"/>
        <v>16347.1236362254</v>
      </c>
    </row>
    <row r="135" spans="1:23">
      <c r="A135" s="134" t="s">
        <v>837</v>
      </c>
      <c r="B135" s="134">
        <v>1</v>
      </c>
      <c r="C135" s="145">
        <v>5.0877732983884698</v>
      </c>
      <c r="G135" s="134" t="s">
        <v>469</v>
      </c>
      <c r="H135" s="134" t="s">
        <v>469</v>
      </c>
      <c r="I135" s="134" t="s">
        <v>809</v>
      </c>
      <c r="J135" s="134">
        <v>44432</v>
      </c>
      <c r="K135" s="145">
        <v>7351414.2607186399</v>
      </c>
      <c r="L135" s="145">
        <v>165.45314774753899</v>
      </c>
      <c r="M135" s="134"/>
      <c r="T135" s="154">
        <f t="shared" si="8"/>
        <v>1</v>
      </c>
      <c r="U135" s="154">
        <f t="shared" si="9"/>
        <v>5.0877732983884698</v>
      </c>
      <c r="V135" s="154">
        <f t="shared" si="10"/>
        <v>1</v>
      </c>
      <c r="W135" s="155">
        <f t="shared" si="11"/>
        <v>5.0877732983884698</v>
      </c>
    </row>
    <row r="136" spans="1:23">
      <c r="A136" s="134" t="s">
        <v>361</v>
      </c>
      <c r="B136" s="134">
        <v>7</v>
      </c>
      <c r="C136" s="145">
        <v>3461.8510514278</v>
      </c>
      <c r="G136" s="134" t="s">
        <v>469</v>
      </c>
      <c r="H136" s="134" t="s">
        <v>469</v>
      </c>
      <c r="I136" s="134" t="s">
        <v>827</v>
      </c>
      <c r="J136" s="134">
        <v>62</v>
      </c>
      <c r="K136" s="145">
        <v>11544.2054829802</v>
      </c>
      <c r="L136" s="145">
        <v>186.196862628714</v>
      </c>
      <c r="M136" s="134"/>
      <c r="T136" s="154">
        <f t="shared" si="8"/>
        <v>7</v>
      </c>
      <c r="U136" s="154">
        <f t="shared" si="9"/>
        <v>2653.0871618094002</v>
      </c>
      <c r="V136" s="154">
        <f t="shared" si="10"/>
        <v>7</v>
      </c>
      <c r="W136" s="155">
        <f t="shared" si="11"/>
        <v>2653.0871618094002</v>
      </c>
    </row>
    <row r="137" spans="1:23">
      <c r="A137" s="134" t="s">
        <v>838</v>
      </c>
      <c r="B137" s="134">
        <v>11</v>
      </c>
      <c r="C137" s="145">
        <v>1679.5712174036601</v>
      </c>
      <c r="G137" s="134" t="s">
        <v>469</v>
      </c>
      <c r="H137" s="134" t="s">
        <v>469</v>
      </c>
      <c r="I137" s="134" t="s">
        <v>332</v>
      </c>
      <c r="J137" s="134">
        <v>7</v>
      </c>
      <c r="K137" s="145">
        <v>2144.9396032905101</v>
      </c>
      <c r="L137" s="145">
        <v>306.419943327216</v>
      </c>
      <c r="M137" s="134"/>
      <c r="T137" s="154">
        <f t="shared" si="8"/>
        <v>11</v>
      </c>
      <c r="U137" s="154">
        <f t="shared" si="9"/>
        <v>1014.64489544945</v>
      </c>
      <c r="V137" s="154">
        <f t="shared" si="10"/>
        <v>11</v>
      </c>
      <c r="W137" s="155">
        <f t="shared" si="11"/>
        <v>1014.64489544945</v>
      </c>
    </row>
    <row r="138" spans="1:23">
      <c r="A138" s="134" t="s">
        <v>322</v>
      </c>
      <c r="B138" s="134">
        <v>1</v>
      </c>
      <c r="C138" s="145">
        <v>154.950163447546</v>
      </c>
      <c r="G138" s="134" t="s">
        <v>469</v>
      </c>
      <c r="H138" s="134" t="s">
        <v>469</v>
      </c>
      <c r="I138" s="134" t="s">
        <v>917</v>
      </c>
      <c r="J138" s="134">
        <v>51</v>
      </c>
      <c r="K138" s="145">
        <v>7302.5088245446004</v>
      </c>
      <c r="L138" s="145">
        <v>143.18644754009</v>
      </c>
      <c r="M138" s="134"/>
      <c r="T138" s="154">
        <f t="shared" si="8"/>
        <v>1</v>
      </c>
      <c r="U138" s="154">
        <f t="shared" si="9"/>
        <v>154.950163447546</v>
      </c>
      <c r="V138" s="154">
        <f t="shared" si="10"/>
        <v>1</v>
      </c>
      <c r="W138" s="155">
        <f t="shared" si="11"/>
        <v>154.950163447546</v>
      </c>
    </row>
    <row r="139" spans="1:23">
      <c r="A139" s="134" t="s">
        <v>839</v>
      </c>
      <c r="B139" s="134">
        <v>19</v>
      </c>
      <c r="C139" s="145">
        <v>2628.2529184749501</v>
      </c>
      <c r="G139" s="134" t="s">
        <v>469</v>
      </c>
      <c r="H139" s="134" t="s">
        <v>469</v>
      </c>
      <c r="I139" s="134" t="s">
        <v>764</v>
      </c>
      <c r="J139" s="134">
        <v>2014</v>
      </c>
      <c r="K139" s="145">
        <v>294558.03880951798</v>
      </c>
      <c r="L139" s="145">
        <v>146.25523277533199</v>
      </c>
      <c r="M139" s="134"/>
      <c r="T139" s="154">
        <f t="shared" si="8"/>
        <v>19</v>
      </c>
      <c r="U139" s="154">
        <f t="shared" si="9"/>
        <v>2450.6457330181402</v>
      </c>
      <c r="V139" s="154">
        <f t="shared" si="10"/>
        <v>19</v>
      </c>
      <c r="W139" s="155">
        <f t="shared" si="11"/>
        <v>2450.6457330181402</v>
      </c>
    </row>
    <row r="140" spans="1:23">
      <c r="A140" s="134" t="s">
        <v>377</v>
      </c>
      <c r="B140" s="134">
        <v>1</v>
      </c>
      <c r="C140" s="145">
        <v>297.716961817173</v>
      </c>
      <c r="G140" s="134" t="s">
        <v>469</v>
      </c>
      <c r="H140" s="134" t="s">
        <v>469</v>
      </c>
      <c r="I140" s="134" t="s">
        <v>148</v>
      </c>
      <c r="J140" s="134">
        <v>120</v>
      </c>
      <c r="K140" s="145">
        <v>16834.441136398</v>
      </c>
      <c r="L140" s="145">
        <v>140.28700946998299</v>
      </c>
      <c r="M140" s="134"/>
      <c r="T140" s="154">
        <f t="shared" si="8"/>
        <v>1</v>
      </c>
      <c r="U140" s="154">
        <f t="shared" si="9"/>
        <v>297.716961817173</v>
      </c>
      <c r="V140" s="154">
        <f t="shared" si="10"/>
        <v>1</v>
      </c>
      <c r="W140" s="155">
        <f t="shared" si="11"/>
        <v>297.716961817173</v>
      </c>
    </row>
    <row r="141" spans="1:23">
      <c r="A141" s="134" t="s">
        <v>840</v>
      </c>
      <c r="B141" s="134">
        <v>4</v>
      </c>
      <c r="C141" s="145">
        <v>674.52501074108704</v>
      </c>
      <c r="G141" s="134" t="s">
        <v>469</v>
      </c>
      <c r="H141" s="134" t="s">
        <v>469</v>
      </c>
      <c r="I141" s="134" t="s">
        <v>993</v>
      </c>
      <c r="J141" s="134">
        <v>372</v>
      </c>
      <c r="K141" s="145">
        <v>41693.644148089603</v>
      </c>
      <c r="L141" s="145">
        <v>112.079688570133</v>
      </c>
      <c r="M141" s="134"/>
      <c r="T141" s="154">
        <f t="shared" si="8"/>
        <v>4</v>
      </c>
      <c r="U141" s="154">
        <f t="shared" si="9"/>
        <v>674.52501074108704</v>
      </c>
      <c r="V141" s="154">
        <f t="shared" si="10"/>
        <v>4</v>
      </c>
      <c r="W141" s="155">
        <f t="shared" si="11"/>
        <v>674.52501074108704</v>
      </c>
    </row>
    <row r="142" spans="1:23">
      <c r="A142" s="134" t="s">
        <v>841</v>
      </c>
      <c r="B142" s="134">
        <v>218</v>
      </c>
      <c r="C142" s="145">
        <v>16879.795807141902</v>
      </c>
      <c r="G142" s="134" t="s">
        <v>469</v>
      </c>
      <c r="H142" s="134" t="s">
        <v>469</v>
      </c>
      <c r="I142" s="134" t="s">
        <v>115</v>
      </c>
      <c r="J142" s="134">
        <v>138</v>
      </c>
      <c r="K142" s="145">
        <v>26128.6244779259</v>
      </c>
      <c r="L142" s="145">
        <v>189.33785853569501</v>
      </c>
      <c r="M142" s="134"/>
      <c r="T142" s="154">
        <f t="shared" si="8"/>
        <v>218</v>
      </c>
      <c r="U142" s="154">
        <f t="shared" si="9"/>
        <v>16879.795807141902</v>
      </c>
      <c r="V142" s="154">
        <f t="shared" si="10"/>
        <v>218</v>
      </c>
      <c r="W142" s="155">
        <f t="shared" si="11"/>
        <v>16879.795807141902</v>
      </c>
    </row>
    <row r="143" spans="1:23">
      <c r="A143" s="134" t="s">
        <v>111</v>
      </c>
      <c r="B143" s="134">
        <v>14</v>
      </c>
      <c r="C143" s="145">
        <v>1630.7199684587399</v>
      </c>
      <c r="G143" s="134" t="s">
        <v>469</v>
      </c>
      <c r="H143" s="134" t="s">
        <v>469</v>
      </c>
      <c r="I143" s="134" t="s">
        <v>844</v>
      </c>
      <c r="J143" s="134">
        <v>176</v>
      </c>
      <c r="K143" s="145">
        <v>25871.166690312199</v>
      </c>
      <c r="L143" s="145">
        <v>146.995265285865</v>
      </c>
      <c r="M143" s="134"/>
      <c r="T143" s="154">
        <f t="shared" si="8"/>
        <v>14</v>
      </c>
      <c r="U143" s="154">
        <f t="shared" si="9"/>
        <v>1630.7199684587399</v>
      </c>
      <c r="V143" s="154">
        <f t="shared" si="10"/>
        <v>14</v>
      </c>
      <c r="W143" s="155">
        <f t="shared" si="11"/>
        <v>1630.7199684587399</v>
      </c>
    </row>
    <row r="144" spans="1:23">
      <c r="A144" s="134" t="s">
        <v>842</v>
      </c>
      <c r="B144" s="134">
        <v>326</v>
      </c>
      <c r="C144" s="145">
        <v>57009.5658068458</v>
      </c>
      <c r="G144" s="134" t="s">
        <v>469</v>
      </c>
      <c r="H144" s="134" t="s">
        <v>469</v>
      </c>
      <c r="I144" s="134" t="s">
        <v>166</v>
      </c>
      <c r="J144" s="134">
        <v>395</v>
      </c>
      <c r="K144" s="145">
        <v>55730.695217716799</v>
      </c>
      <c r="L144" s="145">
        <v>141.09036763978901</v>
      </c>
      <c r="M144" s="134"/>
      <c r="T144" s="154">
        <f t="shared" si="8"/>
        <v>326</v>
      </c>
      <c r="U144" s="154">
        <f t="shared" si="9"/>
        <v>56378.4091026842</v>
      </c>
      <c r="V144" s="154">
        <f t="shared" si="10"/>
        <v>326</v>
      </c>
      <c r="W144" s="155">
        <f t="shared" si="11"/>
        <v>56378.4091026842</v>
      </c>
    </row>
    <row r="145" spans="1:23">
      <c r="A145" s="134" t="s">
        <v>325</v>
      </c>
      <c r="B145" s="134">
        <v>64</v>
      </c>
      <c r="C145" s="145">
        <v>11118.3605869687</v>
      </c>
      <c r="G145" s="134" t="s">
        <v>469</v>
      </c>
      <c r="H145" s="134" t="s">
        <v>469</v>
      </c>
      <c r="I145" s="134" t="s">
        <v>477</v>
      </c>
      <c r="J145" s="134">
        <v>13579</v>
      </c>
      <c r="K145" s="145">
        <v>1771875.04295607</v>
      </c>
      <c r="L145" s="145">
        <v>130.48641600677999</v>
      </c>
      <c r="M145" s="134"/>
      <c r="T145" s="154">
        <f t="shared" si="8"/>
        <v>64</v>
      </c>
      <c r="U145" s="154">
        <f t="shared" si="9"/>
        <v>10506.350250793501</v>
      </c>
      <c r="V145" s="154">
        <f t="shared" si="10"/>
        <v>64</v>
      </c>
      <c r="W145" s="155">
        <f t="shared" si="11"/>
        <v>10506.350250793501</v>
      </c>
    </row>
    <row r="146" spans="1:23">
      <c r="A146" s="134" t="s">
        <v>335</v>
      </c>
      <c r="B146" s="134">
        <v>13</v>
      </c>
      <c r="C146" s="145">
        <v>1950.7575247253201</v>
      </c>
      <c r="G146" s="134" t="s">
        <v>469</v>
      </c>
      <c r="H146" s="134" t="s">
        <v>469</v>
      </c>
      <c r="I146" s="134" t="s">
        <v>181</v>
      </c>
      <c r="J146" s="134">
        <v>3833</v>
      </c>
      <c r="K146" s="145">
        <v>541930.562475121</v>
      </c>
      <c r="L146" s="145">
        <v>141.38548460086599</v>
      </c>
      <c r="M146" s="134"/>
      <c r="T146" s="154">
        <f t="shared" si="8"/>
        <v>13</v>
      </c>
      <c r="U146" s="154">
        <f t="shared" si="9"/>
        <v>1950.7575247253201</v>
      </c>
      <c r="V146" s="154">
        <f t="shared" si="10"/>
        <v>13</v>
      </c>
      <c r="W146" s="155">
        <f t="shared" si="11"/>
        <v>1950.7575247253201</v>
      </c>
    </row>
    <row r="147" spans="1:23">
      <c r="A147" s="134" t="s">
        <v>843</v>
      </c>
      <c r="B147" s="134">
        <v>77</v>
      </c>
      <c r="C147" s="145">
        <v>12970.257690429</v>
      </c>
      <c r="G147" s="134" t="s">
        <v>469</v>
      </c>
      <c r="H147" s="134" t="s">
        <v>469</v>
      </c>
      <c r="I147" s="134" t="s">
        <v>995</v>
      </c>
      <c r="J147" s="134">
        <v>1666</v>
      </c>
      <c r="K147" s="145">
        <v>258638.30897841399</v>
      </c>
      <c r="L147" s="145">
        <v>155.24508342041699</v>
      </c>
      <c r="M147" s="134"/>
      <c r="T147" s="154">
        <f t="shared" si="8"/>
        <v>77</v>
      </c>
      <c r="U147" s="154">
        <f t="shared" si="9"/>
        <v>12254.0914152436</v>
      </c>
      <c r="V147" s="154">
        <f t="shared" si="10"/>
        <v>77</v>
      </c>
      <c r="W147" s="155">
        <f t="shared" si="11"/>
        <v>12254.0914152436</v>
      </c>
    </row>
    <row r="148" spans="1:23">
      <c r="A148" s="134" t="s">
        <v>112</v>
      </c>
      <c r="B148" s="134">
        <v>172</v>
      </c>
      <c r="C148" s="145">
        <v>33014.637866270197</v>
      </c>
      <c r="G148" s="134" t="s">
        <v>469</v>
      </c>
      <c r="H148" s="134" t="s">
        <v>469</v>
      </c>
      <c r="I148" s="134" t="s">
        <v>696</v>
      </c>
      <c r="J148" s="134">
        <v>14</v>
      </c>
      <c r="K148" s="145">
        <v>2575.8749825141299</v>
      </c>
      <c r="L148" s="145">
        <v>183.99107017958099</v>
      </c>
      <c r="M148" s="134"/>
      <c r="T148" s="154">
        <f t="shared" si="8"/>
        <v>172</v>
      </c>
      <c r="U148" s="154">
        <f t="shared" si="9"/>
        <v>33014.637866270197</v>
      </c>
      <c r="V148" s="154">
        <f t="shared" si="10"/>
        <v>172</v>
      </c>
      <c r="W148" s="155">
        <f t="shared" si="11"/>
        <v>33014.637866270197</v>
      </c>
    </row>
    <row r="149" spans="1:23">
      <c r="A149" s="134" t="s">
        <v>844</v>
      </c>
      <c r="B149" s="134">
        <v>176</v>
      </c>
      <c r="C149" s="145">
        <v>26171.347086289999</v>
      </c>
      <c r="G149" s="134" t="s">
        <v>469</v>
      </c>
      <c r="H149" s="134" t="s">
        <v>469</v>
      </c>
      <c r="I149" s="134" t="s">
        <v>478</v>
      </c>
      <c r="J149" s="134">
        <v>886</v>
      </c>
      <c r="K149" s="145">
        <v>201924.658101835</v>
      </c>
      <c r="L149" s="145">
        <v>227.90593465218399</v>
      </c>
      <c r="M149" s="134"/>
      <c r="T149" s="154">
        <f t="shared" si="8"/>
        <v>176</v>
      </c>
      <c r="U149" s="154">
        <f t="shared" si="9"/>
        <v>25871.166690312199</v>
      </c>
      <c r="V149" s="154">
        <f t="shared" si="10"/>
        <v>176</v>
      </c>
      <c r="W149" s="155">
        <f t="shared" si="11"/>
        <v>25871.166690312199</v>
      </c>
    </row>
    <row r="150" spans="1:23">
      <c r="A150" s="134" t="s">
        <v>311</v>
      </c>
      <c r="B150" s="134">
        <v>408</v>
      </c>
      <c r="C150" s="145">
        <v>399130.483330647</v>
      </c>
      <c r="G150" s="134" t="s">
        <v>469</v>
      </c>
      <c r="H150" s="134" t="s">
        <v>469</v>
      </c>
      <c r="I150" s="134" t="s">
        <v>1059</v>
      </c>
      <c r="J150" s="134">
        <v>2</v>
      </c>
      <c r="K150" s="145">
        <v>482.61790618504801</v>
      </c>
      <c r="L150" s="145">
        <v>241.30895309252401</v>
      </c>
      <c r="M150" s="134"/>
      <c r="T150" s="154">
        <f t="shared" si="8"/>
        <v>408</v>
      </c>
      <c r="U150" s="154">
        <f t="shared" si="9"/>
        <v>399130.483330647</v>
      </c>
      <c r="V150" s="154">
        <f t="shared" si="10"/>
        <v>408</v>
      </c>
      <c r="W150" s="155">
        <f t="shared" si="11"/>
        <v>399130.483330647</v>
      </c>
    </row>
    <row r="151" spans="1:23">
      <c r="A151" s="134" t="s">
        <v>366</v>
      </c>
      <c r="B151" s="134">
        <v>10</v>
      </c>
      <c r="C151" s="145">
        <v>14265.389291246</v>
      </c>
      <c r="G151" s="134" t="s">
        <v>469</v>
      </c>
      <c r="H151" s="134" t="s">
        <v>469</v>
      </c>
      <c r="I151" s="134" t="s">
        <v>730</v>
      </c>
      <c r="J151" s="134">
        <v>11</v>
      </c>
      <c r="K151" s="145">
        <v>1396.0432302644699</v>
      </c>
      <c r="L151" s="145">
        <v>126.913020933133</v>
      </c>
      <c r="M151" s="134"/>
      <c r="T151" s="154">
        <f t="shared" si="8"/>
        <v>10</v>
      </c>
      <c r="U151" s="154">
        <f t="shared" si="9"/>
        <v>14265.389291246</v>
      </c>
      <c r="V151" s="154">
        <f t="shared" si="10"/>
        <v>10</v>
      </c>
      <c r="W151" s="155">
        <f t="shared" si="11"/>
        <v>14265.389291246</v>
      </c>
    </row>
    <row r="152" spans="1:23">
      <c r="A152" s="134" t="s">
        <v>114</v>
      </c>
      <c r="B152" s="134">
        <v>254</v>
      </c>
      <c r="C152" s="145">
        <v>62938.761858739599</v>
      </c>
      <c r="G152" s="134" t="s">
        <v>469</v>
      </c>
      <c r="H152" s="134" t="s">
        <v>469</v>
      </c>
      <c r="I152" s="134" t="s">
        <v>333</v>
      </c>
      <c r="J152" s="134">
        <v>3</v>
      </c>
      <c r="K152" s="145">
        <v>278.12649692079901</v>
      </c>
      <c r="L152" s="145">
        <v>92.708832306932905</v>
      </c>
      <c r="M152" s="134"/>
      <c r="T152" s="154">
        <f t="shared" si="8"/>
        <v>254</v>
      </c>
      <c r="U152" s="154">
        <f t="shared" si="9"/>
        <v>61999.569236085197</v>
      </c>
      <c r="V152" s="154">
        <f t="shared" si="10"/>
        <v>254</v>
      </c>
      <c r="W152" s="155">
        <f t="shared" si="11"/>
        <v>61999.569236085197</v>
      </c>
    </row>
    <row r="153" spans="1:23">
      <c r="A153" s="134" t="s">
        <v>356</v>
      </c>
      <c r="B153" s="134">
        <v>3</v>
      </c>
      <c r="C153" s="145">
        <v>576.01872165307395</v>
      </c>
      <c r="G153" s="134" t="s">
        <v>469</v>
      </c>
      <c r="H153" s="134" t="s">
        <v>469</v>
      </c>
      <c r="I153" s="134" t="s">
        <v>153</v>
      </c>
      <c r="J153" s="134">
        <v>250</v>
      </c>
      <c r="K153" s="145">
        <v>47865.163233049403</v>
      </c>
      <c r="L153" s="145">
        <v>191.460652932198</v>
      </c>
      <c r="M153" s="134"/>
      <c r="T153" s="154">
        <f t="shared" si="8"/>
        <v>3</v>
      </c>
      <c r="U153" s="154">
        <f t="shared" si="9"/>
        <v>576.01872165307395</v>
      </c>
      <c r="V153" s="154">
        <f t="shared" si="10"/>
        <v>3</v>
      </c>
      <c r="W153" s="155">
        <f t="shared" si="11"/>
        <v>576.01872165307395</v>
      </c>
    </row>
    <row r="154" spans="1:23">
      <c r="A154" s="134" t="s">
        <v>373</v>
      </c>
      <c r="B154" s="134">
        <v>435</v>
      </c>
      <c r="C154" s="145">
        <v>90259.206744901996</v>
      </c>
      <c r="G154" s="134" t="s">
        <v>469</v>
      </c>
      <c r="H154" s="134" t="s">
        <v>469</v>
      </c>
      <c r="I154" s="134" t="s">
        <v>905</v>
      </c>
      <c r="J154" s="134">
        <v>5968</v>
      </c>
      <c r="K154" s="145">
        <v>755130.78289505199</v>
      </c>
      <c r="L154" s="145">
        <v>126.529956919412</v>
      </c>
      <c r="M154" s="134"/>
      <c r="T154" s="154">
        <f t="shared" si="8"/>
        <v>435</v>
      </c>
      <c r="U154" s="154">
        <f t="shared" si="9"/>
        <v>88306.8456840867</v>
      </c>
      <c r="V154" s="154">
        <f t="shared" si="10"/>
        <v>435</v>
      </c>
      <c r="W154" s="155">
        <f t="shared" si="11"/>
        <v>88306.8456840867</v>
      </c>
    </row>
    <row r="155" spans="1:23">
      <c r="A155" s="134" t="s">
        <v>359</v>
      </c>
      <c r="B155" s="134">
        <v>492</v>
      </c>
      <c r="C155" s="145">
        <v>109978.289950851</v>
      </c>
      <c r="G155" s="134" t="s">
        <v>469</v>
      </c>
      <c r="H155" s="134" t="s">
        <v>469</v>
      </c>
      <c r="I155" s="134" t="s">
        <v>813</v>
      </c>
      <c r="J155" s="134">
        <v>332</v>
      </c>
      <c r="K155" s="145">
        <v>74429.198558015298</v>
      </c>
      <c r="L155" s="145">
        <v>224.18433300607001</v>
      </c>
      <c r="M155" s="134"/>
      <c r="T155" s="154">
        <f t="shared" si="8"/>
        <v>492</v>
      </c>
      <c r="U155" s="154">
        <f t="shared" si="9"/>
        <v>109978.289950851</v>
      </c>
      <c r="V155" s="154">
        <f t="shared" si="10"/>
        <v>492</v>
      </c>
      <c r="W155" s="155">
        <f t="shared" si="11"/>
        <v>109978.289950851</v>
      </c>
    </row>
    <row r="156" spans="1:23">
      <c r="A156" s="134" t="s">
        <v>346</v>
      </c>
      <c r="B156" s="134">
        <v>2</v>
      </c>
      <c r="C156" s="145">
        <v>885.77426733778498</v>
      </c>
      <c r="G156" s="134" t="s">
        <v>469</v>
      </c>
      <c r="H156" s="134" t="s">
        <v>469</v>
      </c>
      <c r="I156" s="134" t="s">
        <v>657</v>
      </c>
      <c r="J156" s="134">
        <v>2</v>
      </c>
      <c r="K156" s="145">
        <v>133.804149595203</v>
      </c>
      <c r="L156" s="145">
        <v>66.902074797601301</v>
      </c>
      <c r="M156" s="134"/>
      <c r="T156" s="154">
        <f t="shared" si="8"/>
        <v>2</v>
      </c>
      <c r="U156" s="154">
        <f t="shared" si="9"/>
        <v>885.77426733778498</v>
      </c>
      <c r="V156" s="154">
        <f t="shared" si="10"/>
        <v>2</v>
      </c>
      <c r="W156" s="155">
        <f t="shared" si="11"/>
        <v>885.77426733778498</v>
      </c>
    </row>
    <row r="157" spans="1:23">
      <c r="A157" s="134" t="s">
        <v>116</v>
      </c>
      <c r="B157" s="134">
        <v>91</v>
      </c>
      <c r="C157" s="145">
        <v>31845.210327474801</v>
      </c>
      <c r="G157" s="134" t="s">
        <v>469</v>
      </c>
      <c r="H157" s="134" t="s">
        <v>469</v>
      </c>
      <c r="I157" s="134" t="s">
        <v>831</v>
      </c>
      <c r="J157" s="134">
        <v>96118</v>
      </c>
      <c r="K157" s="145">
        <v>13586545.6304773</v>
      </c>
      <c r="L157" s="145">
        <v>141.35277086994401</v>
      </c>
      <c r="M157" s="134"/>
      <c r="T157" s="154">
        <f t="shared" si="8"/>
        <v>91</v>
      </c>
      <c r="U157" s="154">
        <f t="shared" si="9"/>
        <v>23684.681185970301</v>
      </c>
      <c r="V157" s="154">
        <f t="shared" si="10"/>
        <v>91</v>
      </c>
      <c r="W157" s="155">
        <f t="shared" si="11"/>
        <v>23684.681185970301</v>
      </c>
    </row>
    <row r="158" spans="1:23">
      <c r="A158" s="134" t="s">
        <v>845</v>
      </c>
      <c r="B158" s="134">
        <v>18</v>
      </c>
      <c r="C158" s="145">
        <v>2589.8614888613702</v>
      </c>
      <c r="G158" s="134" t="s">
        <v>469</v>
      </c>
      <c r="H158" s="134" t="s">
        <v>469</v>
      </c>
      <c r="I158" s="134" t="s">
        <v>147</v>
      </c>
      <c r="J158" s="134">
        <v>325</v>
      </c>
      <c r="K158" s="145">
        <v>433786.87467602</v>
      </c>
      <c r="L158" s="145">
        <v>1334.72884515698</v>
      </c>
      <c r="M158" s="134"/>
      <c r="T158" s="154">
        <f t="shared" si="8"/>
        <v>18</v>
      </c>
      <c r="U158" s="154">
        <f t="shared" si="9"/>
        <v>2169.16704810998</v>
      </c>
      <c r="V158" s="154">
        <f t="shared" si="10"/>
        <v>18</v>
      </c>
      <c r="W158" s="155">
        <f t="shared" si="11"/>
        <v>2169.16704810998</v>
      </c>
    </row>
    <row r="159" spans="1:23">
      <c r="A159" s="134" t="s">
        <v>846</v>
      </c>
      <c r="B159" s="134">
        <v>556</v>
      </c>
      <c r="C159" s="145">
        <v>52946.158110162003</v>
      </c>
      <c r="G159" s="134" t="s">
        <v>469</v>
      </c>
      <c r="H159" s="134" t="s">
        <v>469</v>
      </c>
      <c r="I159" s="134" t="s">
        <v>1009</v>
      </c>
      <c r="J159" s="134">
        <v>7</v>
      </c>
      <c r="K159" s="145">
        <v>2432.60670688645</v>
      </c>
      <c r="L159" s="145">
        <v>347.51524384092102</v>
      </c>
      <c r="M159" s="134"/>
      <c r="T159" s="154">
        <f t="shared" si="8"/>
        <v>556</v>
      </c>
      <c r="U159" s="154">
        <f t="shared" si="9"/>
        <v>48808.259153353203</v>
      </c>
      <c r="V159" s="154">
        <f t="shared" si="10"/>
        <v>556</v>
      </c>
      <c r="W159" s="155">
        <f t="shared" si="11"/>
        <v>48808.259153353203</v>
      </c>
    </row>
    <row r="160" spans="1:23">
      <c r="A160" s="134" t="s">
        <v>847</v>
      </c>
      <c r="B160" s="134">
        <v>11</v>
      </c>
      <c r="C160" s="145">
        <v>1320.46028626207</v>
      </c>
      <c r="G160" s="134" t="s">
        <v>469</v>
      </c>
      <c r="H160" s="134" t="s">
        <v>469</v>
      </c>
      <c r="I160" s="134" t="s">
        <v>114</v>
      </c>
      <c r="J160" s="134">
        <v>254</v>
      </c>
      <c r="K160" s="145">
        <v>61999.569236085197</v>
      </c>
      <c r="L160" s="145">
        <v>244.09279226805199</v>
      </c>
      <c r="M160" s="134"/>
      <c r="T160" s="154">
        <f t="shared" si="8"/>
        <v>11</v>
      </c>
      <c r="U160" s="154">
        <f t="shared" si="9"/>
        <v>1320.46028626207</v>
      </c>
      <c r="V160" s="154">
        <f t="shared" si="10"/>
        <v>11</v>
      </c>
      <c r="W160" s="155">
        <f t="shared" si="11"/>
        <v>1320.46028626207</v>
      </c>
    </row>
    <row r="161" spans="1:23">
      <c r="A161" s="134" t="s">
        <v>848</v>
      </c>
      <c r="B161" s="134">
        <v>6</v>
      </c>
      <c r="C161" s="145">
        <v>1230.2963927027399</v>
      </c>
      <c r="G161" s="134" t="s">
        <v>469</v>
      </c>
      <c r="H161" s="134" t="s">
        <v>469</v>
      </c>
      <c r="I161" s="134" t="s">
        <v>865</v>
      </c>
      <c r="J161" s="134">
        <v>47</v>
      </c>
      <c r="K161" s="145">
        <v>6017.1065853220498</v>
      </c>
      <c r="L161" s="145">
        <v>128.02354436855401</v>
      </c>
      <c r="M161" s="134"/>
      <c r="T161" s="154">
        <f t="shared" si="8"/>
        <v>6</v>
      </c>
      <c r="U161" s="154">
        <f t="shared" si="9"/>
        <v>1230.2963927027399</v>
      </c>
      <c r="V161" s="154">
        <f t="shared" si="10"/>
        <v>6</v>
      </c>
      <c r="W161" s="155">
        <f t="shared" si="11"/>
        <v>1230.2963927027399</v>
      </c>
    </row>
    <row r="162" spans="1:23">
      <c r="A162" s="134" t="s">
        <v>319</v>
      </c>
      <c r="B162" s="134">
        <v>253</v>
      </c>
      <c r="C162" s="145">
        <v>59893.161314106699</v>
      </c>
      <c r="G162" s="134" t="s">
        <v>469</v>
      </c>
      <c r="H162" s="134" t="s">
        <v>469</v>
      </c>
      <c r="I162" s="134" t="s">
        <v>960</v>
      </c>
      <c r="J162" s="134">
        <v>800</v>
      </c>
      <c r="K162" s="145">
        <v>106360.49762108699</v>
      </c>
      <c r="L162" s="145">
        <v>132.95062202635901</v>
      </c>
      <c r="M162" s="134"/>
      <c r="T162" s="154">
        <f t="shared" si="8"/>
        <v>253</v>
      </c>
      <c r="U162" s="154">
        <f t="shared" si="9"/>
        <v>55346.248732797198</v>
      </c>
      <c r="V162" s="154">
        <f t="shared" si="10"/>
        <v>253</v>
      </c>
      <c r="W162" s="155">
        <f t="shared" si="11"/>
        <v>55346.248732797198</v>
      </c>
    </row>
    <row r="163" spans="1:23">
      <c r="A163" s="134" t="s">
        <v>849</v>
      </c>
      <c r="B163" s="134">
        <v>44</v>
      </c>
      <c r="C163" s="145">
        <v>17546.002002014699</v>
      </c>
      <c r="G163" s="134" t="s">
        <v>469</v>
      </c>
      <c r="H163" s="134" t="s">
        <v>469</v>
      </c>
      <c r="I163" s="134" t="s">
        <v>1005</v>
      </c>
      <c r="J163" s="134">
        <v>47</v>
      </c>
      <c r="K163" s="145">
        <v>9284.2248253800008</v>
      </c>
      <c r="L163" s="145">
        <v>197.53669841234</v>
      </c>
      <c r="M163" s="134"/>
      <c r="T163" s="154">
        <f t="shared" si="8"/>
        <v>44</v>
      </c>
      <c r="U163" s="154">
        <f t="shared" si="9"/>
        <v>14213.8020095952</v>
      </c>
      <c r="V163" s="154">
        <f t="shared" si="10"/>
        <v>44</v>
      </c>
      <c r="W163" s="155">
        <f t="shared" si="11"/>
        <v>14213.8020095952</v>
      </c>
    </row>
    <row r="164" spans="1:23">
      <c r="A164" s="134" t="s">
        <v>850</v>
      </c>
      <c r="B164" s="134">
        <v>2</v>
      </c>
      <c r="C164" s="145">
        <v>1062.5167441946001</v>
      </c>
      <c r="G164" s="134" t="s">
        <v>469</v>
      </c>
      <c r="H164" s="134" t="s">
        <v>469</v>
      </c>
      <c r="I164" s="134" t="s">
        <v>1044</v>
      </c>
      <c r="J164" s="134">
        <v>273</v>
      </c>
      <c r="K164" s="145">
        <v>148250.59638463301</v>
      </c>
      <c r="L164" s="145">
        <v>543.04247759938903</v>
      </c>
      <c r="M164" s="134"/>
      <c r="T164" s="154">
        <f t="shared" si="8"/>
        <v>2</v>
      </c>
      <c r="U164" s="154">
        <f t="shared" si="9"/>
        <v>762.33634821676503</v>
      </c>
      <c r="V164" s="154">
        <f t="shared" si="10"/>
        <v>2</v>
      </c>
      <c r="W164" s="155">
        <f t="shared" si="11"/>
        <v>762.33634821676503</v>
      </c>
    </row>
    <row r="165" spans="1:23">
      <c r="A165" s="134" t="s">
        <v>851</v>
      </c>
      <c r="B165" s="134">
        <v>394</v>
      </c>
      <c r="C165" s="145">
        <v>32847.2982167425</v>
      </c>
      <c r="G165" s="134" t="s">
        <v>469</v>
      </c>
      <c r="H165" s="134" t="s">
        <v>469</v>
      </c>
      <c r="I165" s="134" t="s">
        <v>89</v>
      </c>
      <c r="J165" s="134">
        <v>22</v>
      </c>
      <c r="K165" s="145">
        <v>2047.97672911122</v>
      </c>
      <c r="L165" s="145">
        <v>93.089851323237298</v>
      </c>
      <c r="M165" s="134"/>
      <c r="T165" s="154">
        <f t="shared" si="8"/>
        <v>394</v>
      </c>
      <c r="U165" s="154">
        <f t="shared" si="9"/>
        <v>32241.695818947399</v>
      </c>
      <c r="V165" s="154">
        <f t="shared" si="10"/>
        <v>394</v>
      </c>
      <c r="W165" s="155">
        <f t="shared" si="11"/>
        <v>32241.695818947399</v>
      </c>
    </row>
    <row r="166" spans="1:23">
      <c r="A166" s="134" t="s">
        <v>852</v>
      </c>
      <c r="B166" s="134">
        <v>6</v>
      </c>
      <c r="C166" s="145">
        <v>1214.28984262778</v>
      </c>
      <c r="G166" s="134" t="s">
        <v>469</v>
      </c>
      <c r="H166" s="134" t="s">
        <v>469</v>
      </c>
      <c r="I166" s="134" t="s">
        <v>662</v>
      </c>
      <c r="J166" s="134">
        <v>7624</v>
      </c>
      <c r="K166" s="145">
        <v>1303968.0898019599</v>
      </c>
      <c r="L166" s="145">
        <v>171.03463927098099</v>
      </c>
      <c r="M166" s="134"/>
      <c r="T166" s="154">
        <f t="shared" si="8"/>
        <v>6</v>
      </c>
      <c r="U166" s="154">
        <f t="shared" si="9"/>
        <v>1214.28984262778</v>
      </c>
      <c r="V166" s="154">
        <f t="shared" si="10"/>
        <v>6</v>
      </c>
      <c r="W166" s="155">
        <f t="shared" si="11"/>
        <v>1214.28984262778</v>
      </c>
    </row>
    <row r="167" spans="1:23">
      <c r="A167" s="134" t="s">
        <v>853</v>
      </c>
      <c r="B167" s="134">
        <v>12</v>
      </c>
      <c r="C167" s="145">
        <v>1627.14055943619</v>
      </c>
      <c r="G167" s="134" t="s">
        <v>469</v>
      </c>
      <c r="H167" s="134" t="s">
        <v>469</v>
      </c>
      <c r="I167" s="134" t="s">
        <v>1004</v>
      </c>
      <c r="J167" s="134">
        <v>4</v>
      </c>
      <c r="K167" s="145">
        <v>543.59570206430897</v>
      </c>
      <c r="L167" s="145">
        <v>135.89892551607699</v>
      </c>
      <c r="M167" s="134"/>
      <c r="T167" s="154">
        <f t="shared" si="8"/>
        <v>12</v>
      </c>
      <c r="U167" s="154">
        <f t="shared" si="9"/>
        <v>1262.3946334598099</v>
      </c>
      <c r="V167" s="154">
        <f t="shared" si="10"/>
        <v>12</v>
      </c>
      <c r="W167" s="155">
        <f t="shared" si="11"/>
        <v>1262.3946334598099</v>
      </c>
    </row>
    <row r="168" spans="1:23">
      <c r="A168" s="134" t="s">
        <v>854</v>
      </c>
      <c r="B168" s="134">
        <v>100</v>
      </c>
      <c r="C168" s="145">
        <v>14826.11808887</v>
      </c>
      <c r="G168" s="134" t="s">
        <v>469</v>
      </c>
      <c r="H168" s="134" t="s">
        <v>469</v>
      </c>
      <c r="I168" s="134" t="s">
        <v>334</v>
      </c>
      <c r="J168" s="134">
        <v>13</v>
      </c>
      <c r="K168" s="145">
        <v>6861.6559499977802</v>
      </c>
      <c r="L168" s="145">
        <v>527.81968846136795</v>
      </c>
      <c r="M168" s="134"/>
      <c r="T168" s="154">
        <f t="shared" si="8"/>
        <v>100</v>
      </c>
      <c r="U168" s="154">
        <f t="shared" si="9"/>
        <v>14316.6200553902</v>
      </c>
      <c r="V168" s="154">
        <f t="shared" si="10"/>
        <v>100</v>
      </c>
      <c r="W168" s="155">
        <f t="shared" si="11"/>
        <v>14316.6200553902</v>
      </c>
    </row>
    <row r="169" spans="1:23">
      <c r="A169" s="134" t="s">
        <v>326</v>
      </c>
      <c r="B169" s="134">
        <v>5</v>
      </c>
      <c r="C169" s="145">
        <v>571.02033218554504</v>
      </c>
      <c r="G169" s="134" t="s">
        <v>469</v>
      </c>
      <c r="H169" s="134" t="s">
        <v>469</v>
      </c>
      <c r="I169" s="134" t="s">
        <v>881</v>
      </c>
      <c r="J169" s="134">
        <v>1</v>
      </c>
      <c r="K169" s="145">
        <v>127.901373946368</v>
      </c>
      <c r="L169" s="145">
        <v>127.901373946368</v>
      </c>
      <c r="M169" s="134"/>
      <c r="T169" s="154">
        <f t="shared" si="8"/>
        <v>5</v>
      </c>
      <c r="U169" s="154">
        <f t="shared" si="9"/>
        <v>571.02033218554504</v>
      </c>
      <c r="V169" s="154">
        <f t="shared" si="10"/>
        <v>5</v>
      </c>
      <c r="W169" s="155">
        <f t="shared" si="11"/>
        <v>571.02033218554504</v>
      </c>
    </row>
    <row r="170" spans="1:23">
      <c r="A170" s="134" t="s">
        <v>321</v>
      </c>
      <c r="B170" s="134">
        <v>5</v>
      </c>
      <c r="C170" s="145">
        <v>336.58699455805998</v>
      </c>
      <c r="G170" s="134" t="s">
        <v>469</v>
      </c>
      <c r="H170" s="134" t="s">
        <v>469</v>
      </c>
      <c r="I170" s="134" t="s">
        <v>186</v>
      </c>
      <c r="J170" s="134">
        <v>2087</v>
      </c>
      <c r="K170" s="145">
        <v>181341.790559457</v>
      </c>
      <c r="L170" s="145">
        <v>86.891131077842502</v>
      </c>
      <c r="M170" s="134"/>
      <c r="T170" s="154">
        <f t="shared" si="8"/>
        <v>5</v>
      </c>
      <c r="U170" s="154">
        <f t="shared" si="9"/>
        <v>336.58699455805998</v>
      </c>
      <c r="V170" s="154">
        <f t="shared" si="10"/>
        <v>5</v>
      </c>
      <c r="W170" s="155">
        <f t="shared" si="11"/>
        <v>336.58699455805998</v>
      </c>
    </row>
    <row r="171" spans="1:23">
      <c r="A171" s="134" t="s">
        <v>856</v>
      </c>
      <c r="B171" s="134">
        <v>39</v>
      </c>
      <c r="C171" s="145">
        <v>4929.3801714043002</v>
      </c>
      <c r="G171" s="134" t="s">
        <v>469</v>
      </c>
      <c r="H171" s="134" t="s">
        <v>469</v>
      </c>
      <c r="I171" s="134" t="s">
        <v>1067</v>
      </c>
      <c r="J171" s="134">
        <v>16520</v>
      </c>
      <c r="K171" s="145">
        <v>2090894.39399909</v>
      </c>
      <c r="L171" s="145">
        <v>126.567457263867</v>
      </c>
      <c r="M171" s="134"/>
      <c r="T171" s="154">
        <f t="shared" si="8"/>
        <v>39</v>
      </c>
      <c r="U171" s="154">
        <f t="shared" si="9"/>
        <v>4929.3801714043002</v>
      </c>
      <c r="V171" s="154">
        <f t="shared" si="10"/>
        <v>39</v>
      </c>
      <c r="W171" s="155">
        <f t="shared" si="11"/>
        <v>4929.3801714043002</v>
      </c>
    </row>
    <row r="172" spans="1:23">
      <c r="A172" s="134" t="s">
        <v>857</v>
      </c>
      <c r="B172" s="134">
        <v>2</v>
      </c>
      <c r="C172" s="145">
        <v>280.86016866361399</v>
      </c>
      <c r="G172" s="134" t="s">
        <v>469</v>
      </c>
      <c r="H172" s="134" t="s">
        <v>469</v>
      </c>
      <c r="I172" s="134" t="s">
        <v>778</v>
      </c>
      <c r="J172" s="134">
        <v>2014</v>
      </c>
      <c r="K172" s="145">
        <v>265126.24425982701</v>
      </c>
      <c r="L172" s="145">
        <v>131.64163071490901</v>
      </c>
      <c r="M172" s="134"/>
      <c r="T172" s="154">
        <f t="shared" si="8"/>
        <v>2</v>
      </c>
      <c r="U172" s="154">
        <f t="shared" si="9"/>
        <v>280.86016866361399</v>
      </c>
      <c r="V172" s="154">
        <f t="shared" si="10"/>
        <v>2</v>
      </c>
      <c r="W172" s="155">
        <f t="shared" si="11"/>
        <v>280.86016866361399</v>
      </c>
    </row>
    <row r="173" spans="1:23">
      <c r="A173" s="134" t="s">
        <v>323</v>
      </c>
      <c r="B173" s="134">
        <v>58</v>
      </c>
      <c r="C173" s="145">
        <v>16107.682722559701</v>
      </c>
      <c r="G173" s="134" t="s">
        <v>469</v>
      </c>
      <c r="H173" s="134" t="s">
        <v>469</v>
      </c>
      <c r="I173" s="134" t="s">
        <v>335</v>
      </c>
      <c r="J173" s="134">
        <v>13</v>
      </c>
      <c r="K173" s="145">
        <v>1950.7575247253201</v>
      </c>
      <c r="L173" s="145">
        <v>150.05827113271701</v>
      </c>
      <c r="M173" s="134"/>
      <c r="T173" s="154">
        <f t="shared" si="8"/>
        <v>58</v>
      </c>
      <c r="U173" s="154">
        <f t="shared" si="9"/>
        <v>15742.936796583301</v>
      </c>
      <c r="V173" s="154">
        <f t="shared" si="10"/>
        <v>58</v>
      </c>
      <c r="W173" s="155">
        <f t="shared" si="11"/>
        <v>15742.936796583301</v>
      </c>
    </row>
    <row r="174" spans="1:23">
      <c r="A174" s="134" t="s">
        <v>315</v>
      </c>
      <c r="B174" s="134">
        <v>4</v>
      </c>
      <c r="C174" s="145">
        <v>987.87172662202897</v>
      </c>
      <c r="G174" s="134" t="s">
        <v>469</v>
      </c>
      <c r="H174" s="134" t="s">
        <v>469</v>
      </c>
      <c r="I174" s="134" t="s">
        <v>120</v>
      </c>
      <c r="J174" s="134">
        <v>9</v>
      </c>
      <c r="K174" s="145">
        <v>1157.28480525447</v>
      </c>
      <c r="L174" s="145">
        <v>128.58720058383</v>
      </c>
      <c r="M174" s="134"/>
      <c r="T174" s="154">
        <f t="shared" si="8"/>
        <v>4</v>
      </c>
      <c r="U174" s="154">
        <f t="shared" si="9"/>
        <v>987.87172662202897</v>
      </c>
      <c r="V174" s="154">
        <f t="shared" si="10"/>
        <v>4</v>
      </c>
      <c r="W174" s="155">
        <f t="shared" si="11"/>
        <v>987.87172662202897</v>
      </c>
    </row>
    <row r="175" spans="1:23">
      <c r="A175" s="134" t="s">
        <v>858</v>
      </c>
      <c r="B175" s="134">
        <v>3725</v>
      </c>
      <c r="C175" s="145">
        <v>394208.82279640401</v>
      </c>
      <c r="G175" s="134" t="s">
        <v>469</v>
      </c>
      <c r="H175" s="134" t="s">
        <v>469</v>
      </c>
      <c r="I175" s="134" t="s">
        <v>912</v>
      </c>
      <c r="J175" s="134">
        <v>148</v>
      </c>
      <c r="K175" s="145">
        <v>24086.396684751799</v>
      </c>
      <c r="L175" s="145">
        <v>162.74592354562</v>
      </c>
      <c r="M175" s="134"/>
      <c r="T175" s="154">
        <f t="shared" si="8"/>
        <v>3725</v>
      </c>
      <c r="U175" s="154">
        <f t="shared" si="9"/>
        <v>388462.35107707599</v>
      </c>
      <c r="V175" s="154">
        <f t="shared" si="10"/>
        <v>3725</v>
      </c>
      <c r="W175" s="155">
        <f t="shared" si="11"/>
        <v>388462.35107707599</v>
      </c>
    </row>
    <row r="176" spans="1:23">
      <c r="A176" s="134" t="s">
        <v>859</v>
      </c>
      <c r="B176" s="134">
        <v>28</v>
      </c>
      <c r="C176" s="145">
        <v>7833.3390737616401</v>
      </c>
      <c r="G176" s="134" t="s">
        <v>469</v>
      </c>
      <c r="H176" s="134" t="s">
        <v>469</v>
      </c>
      <c r="I176" s="134" t="s">
        <v>176</v>
      </c>
      <c r="J176" s="134">
        <v>6</v>
      </c>
      <c r="K176" s="145">
        <v>919.11164251797004</v>
      </c>
      <c r="L176" s="145">
        <v>153.18527375299499</v>
      </c>
      <c r="M176" s="134"/>
      <c r="T176" s="154">
        <f t="shared" si="8"/>
        <v>28</v>
      </c>
      <c r="U176" s="154">
        <f t="shared" si="9"/>
        <v>3854.1684135290102</v>
      </c>
      <c r="V176" s="154">
        <f t="shared" si="10"/>
        <v>28</v>
      </c>
      <c r="W176" s="155">
        <f t="shared" si="11"/>
        <v>3854.1684135290102</v>
      </c>
    </row>
    <row r="177" spans="1:23">
      <c r="A177" s="134" t="s">
        <v>314</v>
      </c>
      <c r="B177" s="134">
        <v>63</v>
      </c>
      <c r="C177" s="145">
        <v>14117.6818256968</v>
      </c>
      <c r="G177" s="134" t="s">
        <v>469</v>
      </c>
      <c r="H177" s="134" t="s">
        <v>469</v>
      </c>
      <c r="I177" s="134" t="s">
        <v>336</v>
      </c>
      <c r="J177" s="134">
        <v>516</v>
      </c>
      <c r="K177" s="145">
        <v>57601.1800445587</v>
      </c>
      <c r="L177" s="145">
        <v>111.630193884804</v>
      </c>
      <c r="M177" s="134"/>
      <c r="T177" s="154">
        <f t="shared" si="8"/>
        <v>63</v>
      </c>
      <c r="U177" s="154">
        <f t="shared" si="9"/>
        <v>12784.7966527923</v>
      </c>
      <c r="V177" s="154">
        <f t="shared" si="10"/>
        <v>63</v>
      </c>
      <c r="W177" s="155">
        <f t="shared" si="11"/>
        <v>12784.7966527923</v>
      </c>
    </row>
    <row r="178" spans="1:23">
      <c r="A178" s="134" t="s">
        <v>338</v>
      </c>
      <c r="B178" s="134">
        <v>3</v>
      </c>
      <c r="C178" s="145">
        <v>798.04617093178899</v>
      </c>
      <c r="G178" s="134" t="s">
        <v>469</v>
      </c>
      <c r="H178" s="134" t="s">
        <v>469</v>
      </c>
      <c r="I178" s="134" t="s">
        <v>759</v>
      </c>
      <c r="J178" s="134">
        <v>156</v>
      </c>
      <c r="K178" s="145">
        <v>25154.033287937102</v>
      </c>
      <c r="L178" s="145">
        <v>161.24380312780201</v>
      </c>
      <c r="M178" s="134"/>
      <c r="T178" s="154">
        <f t="shared" si="8"/>
        <v>3</v>
      </c>
      <c r="U178" s="154">
        <f t="shared" si="9"/>
        <v>798.04617093178899</v>
      </c>
      <c r="V178" s="154">
        <f t="shared" si="10"/>
        <v>3</v>
      </c>
      <c r="W178" s="155">
        <f t="shared" si="11"/>
        <v>798.04617093178899</v>
      </c>
    </row>
    <row r="179" spans="1:23">
      <c r="A179" s="134" t="s">
        <v>860</v>
      </c>
      <c r="B179" s="134">
        <v>19</v>
      </c>
      <c r="C179" s="145">
        <v>3436.4606272695</v>
      </c>
      <c r="G179" s="134" t="s">
        <v>469</v>
      </c>
      <c r="H179" s="134" t="s">
        <v>469</v>
      </c>
      <c r="I179" s="134" t="s">
        <v>479</v>
      </c>
      <c r="J179" s="134">
        <v>42150</v>
      </c>
      <c r="K179" s="145">
        <v>5748329.02734371</v>
      </c>
      <c r="L179" s="145">
        <v>136.37791286699201</v>
      </c>
      <c r="M179" s="134"/>
      <c r="T179" s="154">
        <f t="shared" si="8"/>
        <v>19</v>
      </c>
      <c r="U179" s="154">
        <f t="shared" si="9"/>
        <v>3436.4606272695</v>
      </c>
      <c r="V179" s="154">
        <f t="shared" si="10"/>
        <v>19</v>
      </c>
      <c r="W179" s="155">
        <f t="shared" si="11"/>
        <v>3436.4606272695</v>
      </c>
    </row>
    <row r="180" spans="1:23">
      <c r="A180" s="134" t="s">
        <v>861</v>
      </c>
      <c r="B180" s="134">
        <v>3</v>
      </c>
      <c r="C180" s="145">
        <v>3137.4297173002201</v>
      </c>
      <c r="G180" s="134" t="s">
        <v>469</v>
      </c>
      <c r="H180" s="134" t="s">
        <v>469</v>
      </c>
      <c r="I180" s="134" t="s">
        <v>140</v>
      </c>
      <c r="J180" s="134">
        <v>3</v>
      </c>
      <c r="K180" s="145">
        <v>434.08440716931102</v>
      </c>
      <c r="L180" s="145">
        <v>144.69480238976999</v>
      </c>
      <c r="M180" s="134"/>
      <c r="T180" s="154">
        <f t="shared" si="8"/>
        <v>3</v>
      </c>
      <c r="U180" s="154">
        <f t="shared" si="9"/>
        <v>1286.04636249276</v>
      </c>
      <c r="V180" s="154">
        <f t="shared" si="10"/>
        <v>3</v>
      </c>
      <c r="W180" s="155">
        <f t="shared" si="11"/>
        <v>1286.04636249276</v>
      </c>
    </row>
    <row r="181" spans="1:23">
      <c r="A181" s="134" t="s">
        <v>862</v>
      </c>
      <c r="B181" s="134">
        <v>2</v>
      </c>
      <c r="C181" s="145">
        <v>468.13013493875002</v>
      </c>
      <c r="G181" s="134" t="s">
        <v>469</v>
      </c>
      <c r="H181" s="134" t="s">
        <v>469</v>
      </c>
      <c r="I181" s="134" t="s">
        <v>100</v>
      </c>
      <c r="J181" s="134">
        <v>1227</v>
      </c>
      <c r="K181" s="145">
        <v>182604.060801716</v>
      </c>
      <c r="L181" s="145">
        <v>148.821565445571</v>
      </c>
      <c r="M181" s="134"/>
      <c r="T181" s="154">
        <f t="shared" si="8"/>
        <v>2</v>
      </c>
      <c r="U181" s="154">
        <f t="shared" si="9"/>
        <v>468.13013493875002</v>
      </c>
      <c r="V181" s="154">
        <f t="shared" si="10"/>
        <v>2</v>
      </c>
      <c r="W181" s="155">
        <f t="shared" si="11"/>
        <v>468.13013493875002</v>
      </c>
    </row>
    <row r="182" spans="1:23">
      <c r="A182" s="134" t="s">
        <v>863</v>
      </c>
      <c r="B182" s="134">
        <v>74</v>
      </c>
      <c r="C182" s="145">
        <v>7929.72287842478</v>
      </c>
      <c r="G182" s="134" t="s">
        <v>469</v>
      </c>
      <c r="H182" s="134" t="s">
        <v>469</v>
      </c>
      <c r="I182" s="134" t="s">
        <v>761</v>
      </c>
      <c r="J182" s="134">
        <v>14</v>
      </c>
      <c r="K182" s="145">
        <v>2335.8709952224099</v>
      </c>
      <c r="L182" s="145">
        <v>166.84792823017199</v>
      </c>
      <c r="M182" s="134"/>
      <c r="T182" s="154">
        <f t="shared" si="8"/>
        <v>74</v>
      </c>
      <c r="U182" s="154">
        <f t="shared" si="9"/>
        <v>7629.5424824469401</v>
      </c>
      <c r="V182" s="154">
        <f t="shared" si="10"/>
        <v>74</v>
      </c>
      <c r="W182" s="155">
        <f t="shared" si="11"/>
        <v>7629.5424824469401</v>
      </c>
    </row>
    <row r="183" spans="1:23">
      <c r="A183" s="134" t="s">
        <v>864</v>
      </c>
      <c r="B183" s="134">
        <v>8</v>
      </c>
      <c r="C183" s="145">
        <v>2247.5751624333402</v>
      </c>
      <c r="G183" s="134" t="s">
        <v>469</v>
      </c>
      <c r="H183" s="134" t="s">
        <v>469</v>
      </c>
      <c r="I183" s="134" t="s">
        <v>710</v>
      </c>
      <c r="J183" s="134">
        <v>5</v>
      </c>
      <c r="K183" s="145">
        <v>411.51013917528502</v>
      </c>
      <c r="L183" s="145">
        <v>82.302027835056904</v>
      </c>
      <c r="M183" s="134"/>
      <c r="T183" s="154">
        <f t="shared" si="8"/>
        <v>8</v>
      </c>
      <c r="U183" s="154">
        <f t="shared" si="9"/>
        <v>2247.5751624333402</v>
      </c>
      <c r="V183" s="154">
        <f t="shared" si="10"/>
        <v>8</v>
      </c>
      <c r="W183" s="155">
        <f t="shared" si="11"/>
        <v>2247.5751624333402</v>
      </c>
    </row>
    <row r="184" spans="1:23">
      <c r="A184" s="134" t="s">
        <v>865</v>
      </c>
      <c r="B184" s="134">
        <v>47</v>
      </c>
      <c r="C184" s="145">
        <v>6406.0905740282897</v>
      </c>
      <c r="G184" s="134" t="s">
        <v>469</v>
      </c>
      <c r="H184" s="134" t="s">
        <v>469</v>
      </c>
      <c r="I184" s="134" t="s">
        <v>996</v>
      </c>
      <c r="J184" s="134">
        <v>15</v>
      </c>
      <c r="K184" s="145">
        <v>2864.3967337911099</v>
      </c>
      <c r="L184" s="145">
        <v>190.95978225274101</v>
      </c>
      <c r="M184" s="134"/>
      <c r="T184" s="154">
        <f t="shared" si="8"/>
        <v>47</v>
      </c>
      <c r="U184" s="154">
        <f t="shared" si="9"/>
        <v>6017.1065853220498</v>
      </c>
      <c r="V184" s="154">
        <f t="shared" si="10"/>
        <v>47</v>
      </c>
      <c r="W184" s="155">
        <f t="shared" si="11"/>
        <v>6017.1065853220498</v>
      </c>
    </row>
    <row r="185" spans="1:23">
      <c r="A185" s="134" t="s">
        <v>331</v>
      </c>
      <c r="B185" s="134">
        <v>2</v>
      </c>
      <c r="C185" s="145">
        <v>310.41202683514501</v>
      </c>
      <c r="G185" s="134" t="s">
        <v>469</v>
      </c>
      <c r="H185" s="134" t="s">
        <v>469</v>
      </c>
      <c r="I185" s="134" t="s">
        <v>864</v>
      </c>
      <c r="J185" s="134">
        <v>8</v>
      </c>
      <c r="K185" s="145">
        <v>2247.5751624333402</v>
      </c>
      <c r="L185" s="145">
        <v>280.94689530416701</v>
      </c>
      <c r="M185" s="134"/>
      <c r="T185" s="154">
        <f t="shared" si="8"/>
        <v>2</v>
      </c>
      <c r="U185" s="154">
        <f t="shared" si="9"/>
        <v>310.41202683514501</v>
      </c>
      <c r="V185" s="154">
        <f t="shared" si="10"/>
        <v>2</v>
      </c>
      <c r="W185" s="155">
        <f t="shared" si="11"/>
        <v>310.41202683514501</v>
      </c>
    </row>
    <row r="186" spans="1:23">
      <c r="A186" s="134" t="s">
        <v>866</v>
      </c>
      <c r="B186" s="134">
        <v>3</v>
      </c>
      <c r="C186" s="145">
        <v>982.857315609799</v>
      </c>
      <c r="G186" s="134" t="s">
        <v>469</v>
      </c>
      <c r="H186" s="134" t="s">
        <v>469</v>
      </c>
      <c r="I186" s="134" t="s">
        <v>936</v>
      </c>
      <c r="J186" s="134">
        <v>34490</v>
      </c>
      <c r="K186" s="145">
        <v>6690800.8730510296</v>
      </c>
      <c r="L186" s="145">
        <v>193.99248689623201</v>
      </c>
      <c r="M186" s="134"/>
      <c r="T186" s="154">
        <f t="shared" si="8"/>
        <v>3</v>
      </c>
      <c r="U186" s="154">
        <f t="shared" si="9"/>
        <v>982.857315609799</v>
      </c>
      <c r="V186" s="154">
        <f t="shared" si="10"/>
        <v>3</v>
      </c>
      <c r="W186" s="155">
        <f t="shared" si="11"/>
        <v>982.857315609799</v>
      </c>
    </row>
    <row r="187" spans="1:23">
      <c r="A187" s="134" t="s">
        <v>867</v>
      </c>
      <c r="B187" s="134">
        <v>6</v>
      </c>
      <c r="C187" s="145">
        <v>1948.44476386218</v>
      </c>
      <c r="G187" s="134" t="s">
        <v>469</v>
      </c>
      <c r="H187" s="134" t="s">
        <v>469</v>
      </c>
      <c r="I187" s="134" t="s">
        <v>722</v>
      </c>
      <c r="J187" s="134">
        <v>772</v>
      </c>
      <c r="K187" s="145">
        <v>121667.296398176</v>
      </c>
      <c r="L187" s="145">
        <v>157.60012486810299</v>
      </c>
      <c r="M187" s="134"/>
      <c r="T187" s="154">
        <f t="shared" si="8"/>
        <v>6</v>
      </c>
      <c r="U187" s="154">
        <f t="shared" si="9"/>
        <v>1559.4607751559399</v>
      </c>
      <c r="V187" s="154">
        <f t="shared" si="10"/>
        <v>6</v>
      </c>
      <c r="W187" s="155">
        <f t="shared" si="11"/>
        <v>1559.4607751559399</v>
      </c>
    </row>
    <row r="188" spans="1:23">
      <c r="A188" s="134" t="s">
        <v>117</v>
      </c>
      <c r="B188" s="134">
        <v>72</v>
      </c>
      <c r="C188" s="145">
        <v>10589.5318706011</v>
      </c>
      <c r="G188" s="134" t="s">
        <v>469</v>
      </c>
      <c r="H188" s="134" t="s">
        <v>469</v>
      </c>
      <c r="I188" s="134" t="s">
        <v>757</v>
      </c>
      <c r="J188" s="134">
        <v>66</v>
      </c>
      <c r="K188" s="145">
        <v>10148.8102886872</v>
      </c>
      <c r="L188" s="145">
        <v>153.769852858897</v>
      </c>
      <c r="M188" s="134"/>
      <c r="T188" s="154">
        <f t="shared" si="8"/>
        <v>72</v>
      </c>
      <c r="U188" s="154">
        <f t="shared" si="9"/>
        <v>9228.0962553239406</v>
      </c>
      <c r="V188" s="154">
        <f t="shared" si="10"/>
        <v>72</v>
      </c>
      <c r="W188" s="155">
        <f t="shared" si="11"/>
        <v>9228.0962553239406</v>
      </c>
    </row>
    <row r="189" spans="1:23">
      <c r="A189" s="134" t="s">
        <v>868</v>
      </c>
      <c r="B189" s="134">
        <v>7</v>
      </c>
      <c r="C189" s="145">
        <v>2810.8880548816401</v>
      </c>
      <c r="G189" s="134" t="s">
        <v>469</v>
      </c>
      <c r="H189" s="134" t="s">
        <v>469</v>
      </c>
      <c r="I189" s="134" t="s">
        <v>1001</v>
      </c>
      <c r="J189" s="134">
        <v>59</v>
      </c>
      <c r="K189" s="145">
        <v>21927.381242452699</v>
      </c>
      <c r="L189" s="145">
        <v>371.65052953309703</v>
      </c>
      <c r="M189" s="134"/>
      <c r="T189" s="154">
        <f t="shared" si="8"/>
        <v>7</v>
      </c>
      <c r="U189" s="154">
        <f t="shared" si="9"/>
        <v>568.877075053211</v>
      </c>
      <c r="V189" s="154">
        <f t="shared" si="10"/>
        <v>7</v>
      </c>
      <c r="W189" s="155">
        <f t="shared" si="11"/>
        <v>568.877075053211</v>
      </c>
    </row>
    <row r="190" spans="1:23">
      <c r="A190" s="134" t="s">
        <v>869</v>
      </c>
      <c r="B190" s="134">
        <v>7</v>
      </c>
      <c r="C190" s="145">
        <v>34.544256380083503</v>
      </c>
      <c r="G190" s="134" t="s">
        <v>469</v>
      </c>
      <c r="H190" s="134" t="s">
        <v>469</v>
      </c>
      <c r="I190" s="134" t="s">
        <v>734</v>
      </c>
      <c r="J190" s="134">
        <v>271</v>
      </c>
      <c r="K190" s="145">
        <v>19701.827249228099</v>
      </c>
      <c r="L190" s="145">
        <v>72.700469554347094</v>
      </c>
      <c r="M190" s="134"/>
      <c r="T190" s="154">
        <f t="shared" si="8"/>
        <v>7</v>
      </c>
      <c r="U190" s="154">
        <f t="shared" si="9"/>
        <v>34.544256380083503</v>
      </c>
      <c r="V190" s="154">
        <f t="shared" si="10"/>
        <v>7</v>
      </c>
      <c r="W190" s="155">
        <f t="shared" si="11"/>
        <v>34.544256380083503</v>
      </c>
    </row>
    <row r="191" spans="1:23">
      <c r="A191" s="134" t="s">
        <v>870</v>
      </c>
      <c r="B191" s="134">
        <v>49</v>
      </c>
      <c r="C191" s="145">
        <v>13015.319967613799</v>
      </c>
      <c r="G191" s="134" t="s">
        <v>469</v>
      </c>
      <c r="H191" s="134" t="s">
        <v>469</v>
      </c>
      <c r="I191" s="134" t="s">
        <v>480</v>
      </c>
      <c r="J191" s="134">
        <v>576705</v>
      </c>
      <c r="K191" s="145">
        <v>76872514.979122505</v>
      </c>
      <c r="L191" s="145">
        <v>133.29607854816999</v>
      </c>
      <c r="M191" s="134"/>
      <c r="T191" s="154">
        <f t="shared" si="8"/>
        <v>49</v>
      </c>
      <c r="U191" s="154">
        <f t="shared" si="9"/>
        <v>11791.299295263299</v>
      </c>
      <c r="V191" s="154">
        <f t="shared" si="10"/>
        <v>49</v>
      </c>
      <c r="W191" s="155">
        <f t="shared" si="11"/>
        <v>11791.299295263299</v>
      </c>
    </row>
    <row r="192" spans="1:23">
      <c r="A192" s="134" t="s">
        <v>353</v>
      </c>
      <c r="B192" s="134">
        <v>307</v>
      </c>
      <c r="C192" s="145">
        <v>54588.433880018201</v>
      </c>
      <c r="G192" s="134" t="s">
        <v>469</v>
      </c>
      <c r="H192" s="134" t="s">
        <v>469</v>
      </c>
      <c r="I192" s="134" t="s">
        <v>1068</v>
      </c>
      <c r="J192" s="134">
        <v>2482</v>
      </c>
      <c r="K192" s="145">
        <v>202217.311152215</v>
      </c>
      <c r="L192" s="145">
        <v>81.473533905002</v>
      </c>
      <c r="M192" s="134"/>
      <c r="T192" s="154">
        <f t="shared" si="8"/>
        <v>307</v>
      </c>
      <c r="U192" s="154">
        <f t="shared" si="9"/>
        <v>42674.803118584903</v>
      </c>
      <c r="V192" s="154">
        <f t="shared" si="10"/>
        <v>307</v>
      </c>
      <c r="W192" s="155">
        <f t="shared" si="11"/>
        <v>42674.803118584903</v>
      </c>
    </row>
    <row r="193" spans="1:23">
      <c r="A193" s="134" t="s">
        <v>365</v>
      </c>
      <c r="B193" s="134">
        <v>1</v>
      </c>
      <c r="C193" s="145">
        <v>344.39988323479798</v>
      </c>
      <c r="G193" s="134" t="s">
        <v>469</v>
      </c>
      <c r="H193" s="134" t="s">
        <v>469</v>
      </c>
      <c r="I193" s="134" t="s">
        <v>130</v>
      </c>
      <c r="J193" s="134">
        <v>567</v>
      </c>
      <c r="K193" s="145">
        <v>92799.495215830699</v>
      </c>
      <c r="L193" s="145">
        <v>163.667540063193</v>
      </c>
      <c r="M193" s="134"/>
      <c r="T193" s="154">
        <f t="shared" si="8"/>
        <v>1</v>
      </c>
      <c r="U193" s="154">
        <f t="shared" si="9"/>
        <v>344.39988323479798</v>
      </c>
      <c r="V193" s="154">
        <f t="shared" si="10"/>
        <v>1</v>
      </c>
      <c r="W193" s="155">
        <f t="shared" si="11"/>
        <v>344.39988323479798</v>
      </c>
    </row>
    <row r="194" spans="1:23">
      <c r="A194" s="134" t="s">
        <v>871</v>
      </c>
      <c r="B194" s="134">
        <v>3</v>
      </c>
      <c r="C194" s="145">
        <v>797.83204362897095</v>
      </c>
      <c r="G194" s="134" t="s">
        <v>469</v>
      </c>
      <c r="H194" s="134" t="s">
        <v>469</v>
      </c>
      <c r="I194" s="134" t="s">
        <v>693</v>
      </c>
      <c r="J194" s="134">
        <v>164</v>
      </c>
      <c r="K194" s="145">
        <v>21114.617416503999</v>
      </c>
      <c r="L194" s="145">
        <v>128.74766717380501</v>
      </c>
      <c r="M194" s="134"/>
      <c r="T194" s="154">
        <f t="shared" si="8"/>
        <v>3</v>
      </c>
      <c r="U194" s="154">
        <f t="shared" si="9"/>
        <v>797.83204362897095</v>
      </c>
      <c r="V194" s="154">
        <f t="shared" si="10"/>
        <v>3</v>
      </c>
      <c r="W194" s="155">
        <f t="shared" si="11"/>
        <v>797.83204362897095</v>
      </c>
    </row>
    <row r="195" spans="1:23">
      <c r="A195" s="134" t="s">
        <v>872</v>
      </c>
      <c r="B195" s="134">
        <v>84</v>
      </c>
      <c r="C195" s="145">
        <v>26629.653316534499</v>
      </c>
      <c r="G195" s="134" t="s">
        <v>469</v>
      </c>
      <c r="H195" s="134" t="s">
        <v>469</v>
      </c>
      <c r="I195" s="134" t="s">
        <v>786</v>
      </c>
      <c r="J195" s="134">
        <v>135</v>
      </c>
      <c r="K195" s="145">
        <v>18165.7042904669</v>
      </c>
      <c r="L195" s="145">
        <v>134.56077252197699</v>
      </c>
      <c r="M195" s="134"/>
      <c r="T195" s="154">
        <f t="shared" si="8"/>
        <v>84</v>
      </c>
      <c r="U195" s="154">
        <f t="shared" si="9"/>
        <v>26106.446573087698</v>
      </c>
      <c r="V195" s="154">
        <f t="shared" si="10"/>
        <v>84</v>
      </c>
      <c r="W195" s="155">
        <f t="shared" si="11"/>
        <v>26106.446573087698</v>
      </c>
    </row>
    <row r="196" spans="1:23">
      <c r="A196" s="134" t="s">
        <v>344</v>
      </c>
      <c r="B196" s="134">
        <v>410</v>
      </c>
      <c r="C196" s="145">
        <v>79438.347701347797</v>
      </c>
      <c r="G196" s="134" t="s">
        <v>469</v>
      </c>
      <c r="H196" s="134" t="s">
        <v>469</v>
      </c>
      <c r="I196" s="134" t="s">
        <v>791</v>
      </c>
      <c r="J196" s="134">
        <v>21685</v>
      </c>
      <c r="K196" s="145">
        <v>2772031.5887023099</v>
      </c>
      <c r="L196" s="145">
        <v>127.831754148135</v>
      </c>
      <c r="M196" s="134"/>
      <c r="T196" s="154">
        <f t="shared" ref="T196:T259" si="12">VLOOKUP(A196,$I:$L,2,FALSE)</f>
        <v>410</v>
      </c>
      <c r="U196" s="154">
        <f t="shared" ref="U196:U259" si="13">VLOOKUP(A196,$I:$L,3,FALSE)</f>
        <v>67787.179546005296</v>
      </c>
      <c r="V196" s="154">
        <f t="shared" ref="V196:V259" si="14">IF(COUNTIF($P:$P,A196)=1,0,T196)</f>
        <v>410</v>
      </c>
      <c r="W196" s="155">
        <f t="shared" ref="W196:W259" si="15">IF(COUNTIF($P:$P,A196)=1,0,U196)</f>
        <v>67787.179546005296</v>
      </c>
    </row>
    <row r="197" spans="1:23">
      <c r="A197" s="134" t="s">
        <v>875</v>
      </c>
      <c r="B197" s="134">
        <v>1</v>
      </c>
      <c r="C197" s="145">
        <v>81.999007638855403</v>
      </c>
      <c r="G197" s="134" t="s">
        <v>469</v>
      </c>
      <c r="H197" s="134" t="s">
        <v>469</v>
      </c>
      <c r="I197" s="134" t="s">
        <v>116</v>
      </c>
      <c r="J197" s="134">
        <v>91</v>
      </c>
      <c r="K197" s="145">
        <v>23684.681185970301</v>
      </c>
      <c r="L197" s="145">
        <v>260.27122182385</v>
      </c>
      <c r="M197" s="134"/>
      <c r="T197" s="154">
        <f t="shared" si="12"/>
        <v>1</v>
      </c>
      <c r="U197" s="154">
        <f t="shared" si="13"/>
        <v>81.999007638855403</v>
      </c>
      <c r="V197" s="154">
        <f t="shared" si="14"/>
        <v>1</v>
      </c>
      <c r="W197" s="155">
        <f t="shared" si="15"/>
        <v>81.999007638855403</v>
      </c>
    </row>
    <row r="198" spans="1:23">
      <c r="A198" s="134" t="s">
        <v>334</v>
      </c>
      <c r="B198" s="134">
        <v>13</v>
      </c>
      <c r="C198" s="145">
        <v>6956.8361909553796</v>
      </c>
      <c r="G198" s="134" t="s">
        <v>469</v>
      </c>
      <c r="H198" s="134" t="s">
        <v>469</v>
      </c>
      <c r="I198" s="134" t="s">
        <v>481</v>
      </c>
      <c r="J198" s="134">
        <v>20927</v>
      </c>
      <c r="K198" s="145">
        <v>5318292.2776333904</v>
      </c>
      <c r="L198" s="145">
        <v>254.135436404329</v>
      </c>
      <c r="M198" s="134"/>
      <c r="T198" s="154">
        <f t="shared" si="12"/>
        <v>13</v>
      </c>
      <c r="U198" s="154">
        <f t="shared" si="13"/>
        <v>6861.6559499977802</v>
      </c>
      <c r="V198" s="154">
        <f t="shared" si="14"/>
        <v>13</v>
      </c>
      <c r="W198" s="155">
        <f t="shared" si="15"/>
        <v>6861.6559499977802</v>
      </c>
    </row>
    <row r="199" spans="1:23">
      <c r="A199" s="134" t="s">
        <v>348</v>
      </c>
      <c r="B199" s="134">
        <v>4</v>
      </c>
      <c r="C199" s="145">
        <v>627.80509973180597</v>
      </c>
      <c r="G199" s="134" t="s">
        <v>469</v>
      </c>
      <c r="H199" s="134" t="s">
        <v>469</v>
      </c>
      <c r="I199" s="134" t="s">
        <v>715</v>
      </c>
      <c r="J199" s="134">
        <v>735</v>
      </c>
      <c r="K199" s="145">
        <v>83663.365401788207</v>
      </c>
      <c r="L199" s="145">
        <v>113.827708029644</v>
      </c>
      <c r="M199" s="134"/>
      <c r="T199" s="154">
        <f t="shared" si="12"/>
        <v>4</v>
      </c>
      <c r="U199" s="154">
        <f t="shared" si="13"/>
        <v>627.80509973180597</v>
      </c>
      <c r="V199" s="154">
        <f t="shared" si="14"/>
        <v>4</v>
      </c>
      <c r="W199" s="155">
        <f t="shared" si="15"/>
        <v>627.80509973180597</v>
      </c>
    </row>
    <row r="200" spans="1:23">
      <c r="A200" s="134" t="s">
        <v>876</v>
      </c>
      <c r="B200" s="134">
        <v>1</v>
      </c>
      <c r="C200" s="145">
        <v>373.13736429115397</v>
      </c>
      <c r="G200" s="134" t="s">
        <v>469</v>
      </c>
      <c r="H200" s="134" t="s">
        <v>469</v>
      </c>
      <c r="I200" s="134" t="s">
        <v>337</v>
      </c>
      <c r="J200" s="134">
        <v>1290</v>
      </c>
      <c r="K200" s="145">
        <v>234529.21902568199</v>
      </c>
      <c r="L200" s="145">
        <v>181.805596143939</v>
      </c>
      <c r="M200" s="134"/>
      <c r="T200" s="154">
        <f t="shared" si="12"/>
        <v>1</v>
      </c>
      <c r="U200" s="154">
        <f t="shared" si="13"/>
        <v>373.13736429115397</v>
      </c>
      <c r="V200" s="154">
        <f t="shared" si="14"/>
        <v>1</v>
      </c>
      <c r="W200" s="155">
        <f t="shared" si="15"/>
        <v>373.13736429115397</v>
      </c>
    </row>
    <row r="201" spans="1:23">
      <c r="A201" s="134" t="s">
        <v>118</v>
      </c>
      <c r="B201" s="134">
        <v>2</v>
      </c>
      <c r="C201" s="145">
        <v>333.74435471508002</v>
      </c>
      <c r="G201" s="134" t="s">
        <v>469</v>
      </c>
      <c r="H201" s="134" t="s">
        <v>469</v>
      </c>
      <c r="I201" s="134" t="s">
        <v>159</v>
      </c>
      <c r="J201" s="134">
        <v>2164</v>
      </c>
      <c r="K201" s="145">
        <v>353636.52388400899</v>
      </c>
      <c r="L201" s="145">
        <v>163.41798700739801</v>
      </c>
      <c r="M201" s="134"/>
      <c r="T201" s="154">
        <f t="shared" si="12"/>
        <v>2</v>
      </c>
      <c r="U201" s="154">
        <f t="shared" si="13"/>
        <v>333.74435471508002</v>
      </c>
      <c r="V201" s="154">
        <f t="shared" si="14"/>
        <v>2</v>
      </c>
      <c r="W201" s="155">
        <f t="shared" si="15"/>
        <v>333.74435471508002</v>
      </c>
    </row>
    <row r="202" spans="1:23">
      <c r="A202" s="134" t="s">
        <v>877</v>
      </c>
      <c r="B202" s="134">
        <v>1</v>
      </c>
      <c r="C202" s="145">
        <v>280.09773187301198</v>
      </c>
      <c r="G202" s="134" t="s">
        <v>469</v>
      </c>
      <c r="H202" s="134" t="s">
        <v>469</v>
      </c>
      <c r="I202" s="134" t="s">
        <v>765</v>
      </c>
      <c r="J202" s="134">
        <v>63</v>
      </c>
      <c r="K202" s="145">
        <v>7368.1637033609204</v>
      </c>
      <c r="L202" s="145">
        <v>116.954979418427</v>
      </c>
      <c r="M202" s="134"/>
      <c r="T202" s="154">
        <f t="shared" si="12"/>
        <v>1</v>
      </c>
      <c r="U202" s="154">
        <f t="shared" si="13"/>
        <v>280.09773187301198</v>
      </c>
      <c r="V202" s="154">
        <f t="shared" si="14"/>
        <v>1</v>
      </c>
      <c r="W202" s="155">
        <f t="shared" si="15"/>
        <v>280.09773187301198</v>
      </c>
    </row>
    <row r="203" spans="1:23">
      <c r="A203" s="134" t="s">
        <v>372</v>
      </c>
      <c r="B203" s="134">
        <v>4</v>
      </c>
      <c r="C203" s="145">
        <v>466.30934175375103</v>
      </c>
      <c r="G203" s="134" t="s">
        <v>469</v>
      </c>
      <c r="H203" s="134" t="s">
        <v>469</v>
      </c>
      <c r="I203" s="134" t="s">
        <v>899</v>
      </c>
      <c r="J203" s="134">
        <v>1264</v>
      </c>
      <c r="K203" s="145">
        <v>172991.27235670999</v>
      </c>
      <c r="L203" s="145">
        <v>136.86018382651099</v>
      </c>
      <c r="M203" s="134"/>
      <c r="T203" s="154">
        <f t="shared" si="12"/>
        <v>4</v>
      </c>
      <c r="U203" s="154">
        <f t="shared" si="13"/>
        <v>466.30934175375103</v>
      </c>
      <c r="V203" s="154">
        <f t="shared" si="14"/>
        <v>4</v>
      </c>
      <c r="W203" s="155">
        <f t="shared" si="15"/>
        <v>466.30934175375103</v>
      </c>
    </row>
    <row r="204" spans="1:23">
      <c r="A204" s="134" t="s">
        <v>318</v>
      </c>
      <c r="B204" s="134">
        <v>1</v>
      </c>
      <c r="C204" s="145">
        <v>201.888373961263</v>
      </c>
      <c r="G204" s="134" t="s">
        <v>469</v>
      </c>
      <c r="H204" s="134" t="s">
        <v>469</v>
      </c>
      <c r="I204" s="134" t="s">
        <v>906</v>
      </c>
      <c r="J204" s="134">
        <v>515853</v>
      </c>
      <c r="K204" s="145">
        <v>43948486.245500296</v>
      </c>
      <c r="L204" s="145">
        <v>85.1957558558355</v>
      </c>
      <c r="M204" s="134"/>
      <c r="T204" s="154">
        <f t="shared" si="12"/>
        <v>1</v>
      </c>
      <c r="U204" s="154">
        <f t="shared" si="13"/>
        <v>201.888373961263</v>
      </c>
      <c r="V204" s="154">
        <f t="shared" si="14"/>
        <v>1</v>
      </c>
      <c r="W204" s="155">
        <f t="shared" si="15"/>
        <v>201.888373961263</v>
      </c>
    </row>
    <row r="205" spans="1:23">
      <c r="A205" s="134" t="s">
        <v>349</v>
      </c>
      <c r="B205" s="134">
        <v>2</v>
      </c>
      <c r="C205" s="145">
        <v>415.00776613234098</v>
      </c>
      <c r="G205" s="134" t="s">
        <v>469</v>
      </c>
      <c r="H205" s="134" t="s">
        <v>469</v>
      </c>
      <c r="I205" s="134" t="s">
        <v>955</v>
      </c>
      <c r="J205" s="134">
        <v>7</v>
      </c>
      <c r="K205" s="145">
        <v>5472.3791544039104</v>
      </c>
      <c r="L205" s="145">
        <v>781.76845062913105</v>
      </c>
      <c r="M205" s="134"/>
      <c r="T205" s="154">
        <f t="shared" si="12"/>
        <v>2</v>
      </c>
      <c r="U205" s="154">
        <f t="shared" si="13"/>
        <v>415.00776613234098</v>
      </c>
      <c r="V205" s="154">
        <f t="shared" si="14"/>
        <v>2</v>
      </c>
      <c r="W205" s="155">
        <f t="shared" si="15"/>
        <v>415.00776613234098</v>
      </c>
    </row>
    <row r="206" spans="1:23">
      <c r="A206" s="134" t="s">
        <v>368</v>
      </c>
      <c r="B206" s="134">
        <v>38</v>
      </c>
      <c r="C206" s="145">
        <v>6152.0323278637397</v>
      </c>
      <c r="G206" s="134" t="s">
        <v>469</v>
      </c>
      <c r="H206" s="134" t="s">
        <v>469</v>
      </c>
      <c r="I206" s="134" t="s">
        <v>705</v>
      </c>
      <c r="J206" s="134">
        <v>6</v>
      </c>
      <c r="K206" s="145">
        <v>498.49841375104501</v>
      </c>
      <c r="L206" s="145">
        <v>83.083068958507596</v>
      </c>
      <c r="M206" s="134"/>
      <c r="T206" s="154">
        <f t="shared" si="12"/>
        <v>38</v>
      </c>
      <c r="U206" s="154">
        <f t="shared" si="13"/>
        <v>6152.0323278637397</v>
      </c>
      <c r="V206" s="154">
        <f t="shared" si="14"/>
        <v>38</v>
      </c>
      <c r="W206" s="155">
        <f t="shared" si="15"/>
        <v>6152.0323278637397</v>
      </c>
    </row>
    <row r="207" spans="1:23">
      <c r="A207" s="134" t="s">
        <v>312</v>
      </c>
      <c r="B207" s="134">
        <v>49</v>
      </c>
      <c r="C207" s="145">
        <v>11375.4823755404</v>
      </c>
      <c r="G207" s="134" t="s">
        <v>469</v>
      </c>
      <c r="H207" s="134" t="s">
        <v>469</v>
      </c>
      <c r="I207" s="134" t="s">
        <v>482</v>
      </c>
      <c r="J207" s="134">
        <v>12082</v>
      </c>
      <c r="K207" s="145">
        <v>868183.94763035001</v>
      </c>
      <c r="L207" s="145">
        <v>71.857635129146701</v>
      </c>
      <c r="M207" s="134"/>
      <c r="T207" s="154">
        <f t="shared" si="12"/>
        <v>49</v>
      </c>
      <c r="U207" s="154">
        <f t="shared" si="13"/>
        <v>11375.4823755404</v>
      </c>
      <c r="V207" s="154">
        <f t="shared" si="14"/>
        <v>49</v>
      </c>
      <c r="W207" s="155">
        <f t="shared" si="15"/>
        <v>11375.4823755404</v>
      </c>
    </row>
    <row r="208" spans="1:23">
      <c r="A208" s="134" t="s">
        <v>313</v>
      </c>
      <c r="B208" s="134">
        <v>16</v>
      </c>
      <c r="C208" s="145">
        <v>2815.7274787802598</v>
      </c>
      <c r="G208" s="134" t="s">
        <v>469</v>
      </c>
      <c r="H208" s="134" t="s">
        <v>469</v>
      </c>
      <c r="I208" s="134" t="s">
        <v>845</v>
      </c>
      <c r="J208" s="134">
        <v>18</v>
      </c>
      <c r="K208" s="145">
        <v>2169.16704810998</v>
      </c>
      <c r="L208" s="145">
        <v>120.509280450555</v>
      </c>
      <c r="M208" s="134"/>
      <c r="T208" s="154">
        <f t="shared" si="12"/>
        <v>16</v>
      </c>
      <c r="U208" s="154">
        <f t="shared" si="13"/>
        <v>2815.7274787802598</v>
      </c>
      <c r="V208" s="154">
        <f t="shared" si="14"/>
        <v>16</v>
      </c>
      <c r="W208" s="155">
        <f t="shared" si="15"/>
        <v>2815.7274787802598</v>
      </c>
    </row>
    <row r="209" spans="1:23">
      <c r="A209" s="134" t="s">
        <v>878</v>
      </c>
      <c r="B209" s="134">
        <v>1</v>
      </c>
      <c r="C209" s="145">
        <v>50.593590217338097</v>
      </c>
      <c r="G209" s="134" t="s">
        <v>469</v>
      </c>
      <c r="H209" s="134" t="s">
        <v>469</v>
      </c>
      <c r="I209" s="134" t="s">
        <v>963</v>
      </c>
      <c r="J209" s="134">
        <v>18</v>
      </c>
      <c r="K209" s="145">
        <v>3354.4182408686302</v>
      </c>
      <c r="L209" s="145">
        <v>186.35656893714599</v>
      </c>
      <c r="M209" s="134"/>
      <c r="T209" s="154">
        <f t="shared" si="12"/>
        <v>1</v>
      </c>
      <c r="U209" s="154">
        <f t="shared" si="13"/>
        <v>50.593590217338097</v>
      </c>
      <c r="V209" s="154">
        <f t="shared" si="14"/>
        <v>1</v>
      </c>
      <c r="W209" s="155">
        <f t="shared" si="15"/>
        <v>50.593590217338097</v>
      </c>
    </row>
    <row r="210" spans="1:23">
      <c r="A210" s="134" t="s">
        <v>333</v>
      </c>
      <c r="B210" s="134">
        <v>3</v>
      </c>
      <c r="C210" s="145">
        <v>278.12649692079901</v>
      </c>
      <c r="G210" s="134" t="s">
        <v>469</v>
      </c>
      <c r="H210" s="134" t="s">
        <v>469</v>
      </c>
      <c r="I210" s="134" t="s">
        <v>127</v>
      </c>
      <c r="J210" s="134">
        <v>4</v>
      </c>
      <c r="K210" s="145">
        <v>602.53703010661798</v>
      </c>
      <c r="L210" s="145">
        <v>150.63425752665401</v>
      </c>
      <c r="M210" s="134"/>
      <c r="T210" s="154">
        <f t="shared" si="12"/>
        <v>3</v>
      </c>
      <c r="U210" s="154">
        <f t="shared" si="13"/>
        <v>278.12649692079901</v>
      </c>
      <c r="V210" s="154">
        <f t="shared" si="14"/>
        <v>3</v>
      </c>
      <c r="W210" s="155">
        <f t="shared" si="15"/>
        <v>278.12649692079901</v>
      </c>
    </row>
    <row r="211" spans="1:23">
      <c r="A211" s="134" t="s">
        <v>879</v>
      </c>
      <c r="B211" s="134">
        <v>14</v>
      </c>
      <c r="C211" s="145">
        <v>1709.96048283239</v>
      </c>
      <c r="G211" s="134" t="s">
        <v>469</v>
      </c>
      <c r="H211" s="134" t="s">
        <v>469</v>
      </c>
      <c r="I211" s="134" t="s">
        <v>923</v>
      </c>
      <c r="J211" s="134">
        <v>283</v>
      </c>
      <c r="K211" s="145">
        <v>46715.504869339602</v>
      </c>
      <c r="L211" s="145">
        <v>165.07245536869101</v>
      </c>
      <c r="M211" s="134"/>
      <c r="T211" s="154">
        <f t="shared" si="12"/>
        <v>14</v>
      </c>
      <c r="U211" s="154">
        <f t="shared" si="13"/>
        <v>1709.96048283239</v>
      </c>
      <c r="V211" s="154">
        <f t="shared" si="14"/>
        <v>14</v>
      </c>
      <c r="W211" s="155">
        <f t="shared" si="15"/>
        <v>1709.96048283239</v>
      </c>
    </row>
    <row r="212" spans="1:23">
      <c r="A212" s="134" t="s">
        <v>880</v>
      </c>
      <c r="B212" s="134">
        <v>8</v>
      </c>
      <c r="C212" s="145">
        <v>953.75186171609005</v>
      </c>
      <c r="G212" s="134" t="s">
        <v>469</v>
      </c>
      <c r="H212" s="134" t="s">
        <v>469</v>
      </c>
      <c r="I212" s="134" t="s">
        <v>483</v>
      </c>
      <c r="J212" s="134">
        <v>131557</v>
      </c>
      <c r="K212" s="145">
        <v>19461886.019949201</v>
      </c>
      <c r="L212" s="145">
        <v>147.93500931116699</v>
      </c>
      <c r="M212" s="134"/>
      <c r="T212" s="154">
        <f t="shared" si="12"/>
        <v>8</v>
      </c>
      <c r="U212" s="154">
        <f t="shared" si="13"/>
        <v>953.75186171609005</v>
      </c>
      <c r="V212" s="154">
        <f t="shared" si="14"/>
        <v>8</v>
      </c>
      <c r="W212" s="155">
        <f t="shared" si="15"/>
        <v>953.75186171609005</v>
      </c>
    </row>
    <row r="213" spans="1:23">
      <c r="A213" s="134" t="s">
        <v>881</v>
      </c>
      <c r="B213" s="134">
        <v>1</v>
      </c>
      <c r="C213" s="145">
        <v>127.901373946368</v>
      </c>
      <c r="G213" s="134" t="s">
        <v>469</v>
      </c>
      <c r="H213" s="134" t="s">
        <v>469</v>
      </c>
      <c r="I213" s="134" t="s">
        <v>142</v>
      </c>
      <c r="J213" s="134">
        <v>227</v>
      </c>
      <c r="K213" s="145">
        <v>38588.008819232302</v>
      </c>
      <c r="L213" s="145">
        <v>169.99122827855601</v>
      </c>
      <c r="M213" s="134"/>
      <c r="T213" s="154">
        <f t="shared" si="12"/>
        <v>1</v>
      </c>
      <c r="U213" s="154">
        <f t="shared" si="13"/>
        <v>127.901373946368</v>
      </c>
      <c r="V213" s="154">
        <f t="shared" si="14"/>
        <v>1</v>
      </c>
      <c r="W213" s="155">
        <f t="shared" si="15"/>
        <v>127.901373946368</v>
      </c>
    </row>
    <row r="214" spans="1:23">
      <c r="A214" s="134" t="s">
        <v>119</v>
      </c>
      <c r="B214" s="134">
        <v>1454</v>
      </c>
      <c r="C214" s="145">
        <v>167522.77636811399</v>
      </c>
      <c r="G214" s="134" t="s">
        <v>469</v>
      </c>
      <c r="H214" s="134" t="s">
        <v>469</v>
      </c>
      <c r="I214" s="134" t="s">
        <v>712</v>
      </c>
      <c r="J214" s="134">
        <v>3</v>
      </c>
      <c r="K214" s="145">
        <v>1314.5522623925101</v>
      </c>
      <c r="L214" s="145">
        <v>438.184087464171</v>
      </c>
      <c r="M214" s="134"/>
      <c r="T214" s="154">
        <f t="shared" si="12"/>
        <v>1454</v>
      </c>
      <c r="U214" s="154">
        <f t="shared" si="13"/>
        <v>166443.45328345301</v>
      </c>
      <c r="V214" s="154">
        <f t="shared" si="14"/>
        <v>1454</v>
      </c>
      <c r="W214" s="155">
        <f t="shared" si="15"/>
        <v>166443.45328345301</v>
      </c>
    </row>
    <row r="215" spans="1:23">
      <c r="A215" s="134" t="s">
        <v>120</v>
      </c>
      <c r="B215" s="134">
        <v>9</v>
      </c>
      <c r="C215" s="145">
        <v>1157.28480525447</v>
      </c>
      <c r="G215" s="134" t="s">
        <v>469</v>
      </c>
      <c r="H215" s="134" t="s">
        <v>469</v>
      </c>
      <c r="I215" s="134" t="s">
        <v>861</v>
      </c>
      <c r="J215" s="134">
        <v>3</v>
      </c>
      <c r="K215" s="145">
        <v>1286.04636249276</v>
      </c>
      <c r="L215" s="145">
        <v>428.68212083091902</v>
      </c>
      <c r="M215" s="134"/>
      <c r="T215" s="154">
        <f t="shared" si="12"/>
        <v>9</v>
      </c>
      <c r="U215" s="154">
        <f t="shared" si="13"/>
        <v>1157.28480525447</v>
      </c>
      <c r="V215" s="154">
        <f t="shared" si="14"/>
        <v>9</v>
      </c>
      <c r="W215" s="155">
        <f t="shared" si="15"/>
        <v>1157.28480525447</v>
      </c>
    </row>
    <row r="216" spans="1:23">
      <c r="A216" s="134" t="s">
        <v>121</v>
      </c>
      <c r="B216" s="134">
        <v>31</v>
      </c>
      <c r="C216" s="145">
        <v>7235.3464568093696</v>
      </c>
      <c r="G216" s="134" t="s">
        <v>469</v>
      </c>
      <c r="H216" s="134" t="s">
        <v>469</v>
      </c>
      <c r="I216" s="134" t="s">
        <v>953</v>
      </c>
      <c r="J216" s="134">
        <v>3</v>
      </c>
      <c r="K216" s="145">
        <v>1380.35343196285</v>
      </c>
      <c r="L216" s="145">
        <v>460.11781065428198</v>
      </c>
      <c r="M216" s="134"/>
      <c r="T216" s="154">
        <f t="shared" si="12"/>
        <v>31</v>
      </c>
      <c r="U216" s="154">
        <f t="shared" si="13"/>
        <v>7235.3464568093696</v>
      </c>
      <c r="V216" s="154">
        <f t="shared" si="14"/>
        <v>31</v>
      </c>
      <c r="W216" s="155">
        <f t="shared" si="15"/>
        <v>7235.3464568093696</v>
      </c>
    </row>
    <row r="217" spans="1:23">
      <c r="A217" s="134" t="s">
        <v>122</v>
      </c>
      <c r="B217" s="134">
        <v>11</v>
      </c>
      <c r="C217" s="145">
        <v>1661.33636211418</v>
      </c>
      <c r="G217" s="134" t="s">
        <v>469</v>
      </c>
      <c r="H217" s="134" t="s">
        <v>469</v>
      </c>
      <c r="I217" s="134" t="s">
        <v>792</v>
      </c>
      <c r="J217" s="134">
        <v>2052</v>
      </c>
      <c r="K217" s="145">
        <v>273775.72490071203</v>
      </c>
      <c r="L217" s="145">
        <v>133.418969249859</v>
      </c>
      <c r="M217" s="134"/>
      <c r="T217" s="154">
        <f t="shared" si="12"/>
        <v>11</v>
      </c>
      <c r="U217" s="154">
        <f t="shared" si="13"/>
        <v>1661.33636211418</v>
      </c>
      <c r="V217" s="154">
        <f t="shared" si="14"/>
        <v>11</v>
      </c>
      <c r="W217" s="155">
        <f t="shared" si="15"/>
        <v>1661.33636211418</v>
      </c>
    </row>
    <row r="218" spans="1:23">
      <c r="A218" s="134" t="s">
        <v>123</v>
      </c>
      <c r="B218" s="134">
        <v>129</v>
      </c>
      <c r="C218" s="145">
        <v>13191.163682853399</v>
      </c>
      <c r="G218" s="134" t="s">
        <v>469</v>
      </c>
      <c r="H218" s="134" t="s">
        <v>469</v>
      </c>
      <c r="I218" s="134" t="s">
        <v>484</v>
      </c>
      <c r="J218" s="134">
        <v>4290</v>
      </c>
      <c r="K218" s="145">
        <v>1338499.7164878999</v>
      </c>
      <c r="L218" s="145">
        <v>312.00459591792497</v>
      </c>
      <c r="M218" s="134"/>
      <c r="T218" s="154">
        <f t="shared" si="12"/>
        <v>129</v>
      </c>
      <c r="U218" s="154">
        <f t="shared" si="13"/>
        <v>13191.163682853399</v>
      </c>
      <c r="V218" s="154">
        <f t="shared" si="14"/>
        <v>129</v>
      </c>
      <c r="W218" s="155">
        <f t="shared" si="15"/>
        <v>13191.163682853399</v>
      </c>
    </row>
    <row r="219" spans="1:23">
      <c r="A219" s="134" t="s">
        <v>125</v>
      </c>
      <c r="B219" s="134">
        <v>32</v>
      </c>
      <c r="C219" s="145">
        <v>5128.9362943147398</v>
      </c>
      <c r="G219" s="134" t="s">
        <v>469</v>
      </c>
      <c r="H219" s="134" t="s">
        <v>469</v>
      </c>
      <c r="I219" s="134" t="s">
        <v>185</v>
      </c>
      <c r="J219" s="134">
        <v>2225</v>
      </c>
      <c r="K219" s="145">
        <v>384894.60459052899</v>
      </c>
      <c r="L219" s="145">
        <v>172.98633914181099</v>
      </c>
      <c r="M219" s="134"/>
      <c r="T219" s="154">
        <f t="shared" si="12"/>
        <v>32</v>
      </c>
      <c r="U219" s="154">
        <f t="shared" si="13"/>
        <v>4605.7295508679199</v>
      </c>
      <c r="V219" s="154">
        <f t="shared" si="14"/>
        <v>32</v>
      </c>
      <c r="W219" s="155">
        <f t="shared" si="15"/>
        <v>4605.7295508679199</v>
      </c>
    </row>
    <row r="220" spans="1:23">
      <c r="A220" s="134" t="s">
        <v>127</v>
      </c>
      <c r="B220" s="134">
        <v>4</v>
      </c>
      <c r="C220" s="145">
        <v>602.53703010661798</v>
      </c>
      <c r="G220" s="134" t="s">
        <v>469</v>
      </c>
      <c r="H220" s="134" t="s">
        <v>469</v>
      </c>
      <c r="I220" s="134" t="s">
        <v>852</v>
      </c>
      <c r="J220" s="134">
        <v>6</v>
      </c>
      <c r="K220" s="145">
        <v>1214.28984262778</v>
      </c>
      <c r="L220" s="145">
        <v>202.381640437963</v>
      </c>
      <c r="M220" s="134"/>
      <c r="T220" s="154">
        <f t="shared" si="12"/>
        <v>4</v>
      </c>
      <c r="U220" s="154">
        <f t="shared" si="13"/>
        <v>602.53703010661798</v>
      </c>
      <c r="V220" s="154">
        <f t="shared" si="14"/>
        <v>4</v>
      </c>
      <c r="W220" s="155">
        <f t="shared" si="15"/>
        <v>602.53703010661798</v>
      </c>
    </row>
    <row r="221" spans="1:23">
      <c r="A221" s="134" t="s">
        <v>128</v>
      </c>
      <c r="B221" s="134">
        <v>4</v>
      </c>
      <c r="C221" s="145">
        <v>579.63181111015399</v>
      </c>
      <c r="G221" s="134" t="s">
        <v>469</v>
      </c>
      <c r="H221" s="134" t="s">
        <v>469</v>
      </c>
      <c r="I221" s="134" t="s">
        <v>937</v>
      </c>
      <c r="J221" s="134">
        <v>4379</v>
      </c>
      <c r="K221" s="145">
        <v>842185.39380556403</v>
      </c>
      <c r="L221" s="145">
        <v>192.323679791177</v>
      </c>
      <c r="M221" s="134"/>
      <c r="T221" s="154">
        <f t="shared" si="12"/>
        <v>4</v>
      </c>
      <c r="U221" s="154">
        <f t="shared" si="13"/>
        <v>579.63181111015399</v>
      </c>
      <c r="V221" s="154">
        <f t="shared" si="14"/>
        <v>4</v>
      </c>
      <c r="W221" s="155">
        <f t="shared" si="15"/>
        <v>579.63181111015399</v>
      </c>
    </row>
    <row r="222" spans="1:23">
      <c r="A222" s="134" t="s">
        <v>129</v>
      </c>
      <c r="B222" s="134">
        <v>458</v>
      </c>
      <c r="C222" s="145">
        <v>69328.150541884199</v>
      </c>
      <c r="G222" s="134" t="s">
        <v>469</v>
      </c>
      <c r="H222" s="134" t="s">
        <v>469</v>
      </c>
      <c r="I222" s="134" t="s">
        <v>338</v>
      </c>
      <c r="J222" s="134">
        <v>3</v>
      </c>
      <c r="K222" s="145">
        <v>798.04617093178899</v>
      </c>
      <c r="L222" s="145">
        <v>266.01539031059701</v>
      </c>
      <c r="M222" s="134"/>
      <c r="T222" s="154">
        <f t="shared" si="12"/>
        <v>458</v>
      </c>
      <c r="U222" s="154">
        <f t="shared" si="13"/>
        <v>67943.263923039995</v>
      </c>
      <c r="V222" s="154">
        <f t="shared" si="14"/>
        <v>458</v>
      </c>
      <c r="W222" s="155">
        <f t="shared" si="15"/>
        <v>67943.263923039995</v>
      </c>
    </row>
    <row r="223" spans="1:23">
      <c r="A223" s="134" t="s">
        <v>131</v>
      </c>
      <c r="B223" s="134">
        <v>267</v>
      </c>
      <c r="C223" s="145">
        <v>23917.972779606702</v>
      </c>
      <c r="G223" s="134" t="s">
        <v>469</v>
      </c>
      <c r="H223" s="134" t="s">
        <v>469</v>
      </c>
      <c r="I223" s="134" t="s">
        <v>823</v>
      </c>
      <c r="J223" s="134">
        <v>10</v>
      </c>
      <c r="K223" s="145">
        <v>1591.6468953997401</v>
      </c>
      <c r="L223" s="145">
        <v>159.16468953997401</v>
      </c>
      <c r="M223" s="134"/>
      <c r="T223" s="154">
        <f t="shared" si="12"/>
        <v>267</v>
      </c>
      <c r="U223" s="154">
        <f t="shared" si="13"/>
        <v>23917.972779606702</v>
      </c>
      <c r="V223" s="154">
        <f t="shared" si="14"/>
        <v>267</v>
      </c>
      <c r="W223" s="155">
        <f t="shared" si="15"/>
        <v>23917.972779606702</v>
      </c>
    </row>
    <row r="224" spans="1:23">
      <c r="A224" s="134" t="s">
        <v>132</v>
      </c>
      <c r="B224" s="134">
        <v>2718</v>
      </c>
      <c r="C224" s="145">
        <v>1217243.45328538</v>
      </c>
      <c r="G224" s="134" t="s">
        <v>469</v>
      </c>
      <c r="H224" s="134" t="s">
        <v>469</v>
      </c>
      <c r="I224" s="134" t="s">
        <v>1047</v>
      </c>
      <c r="J224" s="134">
        <v>102</v>
      </c>
      <c r="K224" s="145">
        <v>5844.4662195251103</v>
      </c>
      <c r="L224" s="145">
        <v>57.298688426716801</v>
      </c>
      <c r="M224" s="134"/>
      <c r="T224" s="154">
        <f t="shared" si="12"/>
        <v>2718</v>
      </c>
      <c r="U224" s="154">
        <f t="shared" si="13"/>
        <v>1217243.45328538</v>
      </c>
      <c r="V224" s="154">
        <f t="shared" si="14"/>
        <v>2718</v>
      </c>
      <c r="W224" s="155">
        <f t="shared" si="15"/>
        <v>1217243.45328538</v>
      </c>
    </row>
    <row r="225" spans="1:23">
      <c r="A225" s="134" t="s">
        <v>133</v>
      </c>
      <c r="B225" s="134">
        <v>204</v>
      </c>
      <c r="C225" s="145">
        <v>187771.998246692</v>
      </c>
      <c r="G225" s="134" t="s">
        <v>469</v>
      </c>
      <c r="H225" s="134" t="s">
        <v>469</v>
      </c>
      <c r="I225" s="134" t="s">
        <v>843</v>
      </c>
      <c r="J225" s="134">
        <v>77</v>
      </c>
      <c r="K225" s="145">
        <v>12254.0914152436</v>
      </c>
      <c r="L225" s="145">
        <v>159.144044353813</v>
      </c>
      <c r="M225" s="134"/>
      <c r="T225" s="154">
        <f t="shared" si="12"/>
        <v>204</v>
      </c>
      <c r="U225" s="154">
        <f t="shared" si="13"/>
        <v>187771.998246692</v>
      </c>
      <c r="V225" s="154">
        <f t="shared" si="14"/>
        <v>204</v>
      </c>
      <c r="W225" s="155">
        <f t="shared" si="15"/>
        <v>187771.998246692</v>
      </c>
    </row>
    <row r="226" spans="1:23">
      <c r="A226" s="134" t="s">
        <v>134</v>
      </c>
      <c r="B226" s="134">
        <v>1</v>
      </c>
      <c r="C226" s="145">
        <v>71.437432871845303</v>
      </c>
      <c r="G226" s="134" t="s">
        <v>469</v>
      </c>
      <c r="H226" s="134" t="s">
        <v>469</v>
      </c>
      <c r="I226" s="134" t="s">
        <v>940</v>
      </c>
      <c r="J226" s="134">
        <v>218684</v>
      </c>
      <c r="K226" s="145">
        <v>29561129.7371554</v>
      </c>
      <c r="L226" s="145">
        <v>135.177378030196</v>
      </c>
      <c r="M226" s="134"/>
      <c r="T226" s="154">
        <f t="shared" si="12"/>
        <v>1</v>
      </c>
      <c r="U226" s="154">
        <f t="shared" si="13"/>
        <v>71.437432871845303</v>
      </c>
      <c r="V226" s="154">
        <f t="shared" si="14"/>
        <v>1</v>
      </c>
      <c r="W226" s="155">
        <f t="shared" si="15"/>
        <v>71.437432871845303</v>
      </c>
    </row>
    <row r="227" spans="1:23">
      <c r="A227" s="134" t="s">
        <v>135</v>
      </c>
      <c r="B227" s="134">
        <v>1299</v>
      </c>
      <c r="C227" s="145">
        <v>407715.44313826802</v>
      </c>
      <c r="G227" s="134" t="s">
        <v>469</v>
      </c>
      <c r="H227" s="134" t="s">
        <v>469</v>
      </c>
      <c r="I227" s="134" t="s">
        <v>818</v>
      </c>
      <c r="J227" s="134">
        <v>7570</v>
      </c>
      <c r="K227" s="145">
        <v>2345148.5394791299</v>
      </c>
      <c r="L227" s="145">
        <v>309.79505145034801</v>
      </c>
      <c r="M227" s="134"/>
      <c r="T227" s="154">
        <f t="shared" si="12"/>
        <v>1299</v>
      </c>
      <c r="U227" s="154">
        <f t="shared" si="13"/>
        <v>406771.00911687099</v>
      </c>
      <c r="V227" s="154">
        <f t="shared" si="14"/>
        <v>1299</v>
      </c>
      <c r="W227" s="155">
        <f t="shared" si="15"/>
        <v>406771.00911687099</v>
      </c>
    </row>
    <row r="228" spans="1:23">
      <c r="A228" s="134" t="s">
        <v>136</v>
      </c>
      <c r="B228" s="134">
        <v>7</v>
      </c>
      <c r="C228" s="145">
        <v>1075.5852899117899</v>
      </c>
      <c r="G228" s="134" t="s">
        <v>469</v>
      </c>
      <c r="H228" s="134" t="s">
        <v>469</v>
      </c>
      <c r="I228" s="134" t="s">
        <v>178</v>
      </c>
      <c r="J228" s="134">
        <v>64</v>
      </c>
      <c r="K228" s="145">
        <v>9471.6580276300101</v>
      </c>
      <c r="L228" s="145">
        <v>147.99465668171899</v>
      </c>
      <c r="M228" s="134"/>
      <c r="T228" s="154">
        <f t="shared" si="12"/>
        <v>7</v>
      </c>
      <c r="U228" s="154">
        <f t="shared" si="13"/>
        <v>1075.5852899117899</v>
      </c>
      <c r="V228" s="154">
        <f t="shared" si="14"/>
        <v>7</v>
      </c>
      <c r="W228" s="155">
        <f t="shared" si="15"/>
        <v>1075.5852899117899</v>
      </c>
    </row>
    <row r="229" spans="1:23">
      <c r="A229" s="134" t="s">
        <v>137</v>
      </c>
      <c r="B229" s="134">
        <v>587</v>
      </c>
      <c r="C229" s="145">
        <v>197148.33960309401</v>
      </c>
      <c r="G229" s="134" t="s">
        <v>469</v>
      </c>
      <c r="H229" s="134" t="s">
        <v>469</v>
      </c>
      <c r="I229" s="134" t="s">
        <v>1008</v>
      </c>
      <c r="J229" s="134">
        <v>18</v>
      </c>
      <c r="K229" s="145">
        <v>1986.8041969343899</v>
      </c>
      <c r="L229" s="145">
        <v>110.3780109408</v>
      </c>
      <c r="M229" s="134"/>
      <c r="T229" s="154">
        <f t="shared" si="12"/>
        <v>587</v>
      </c>
      <c r="U229" s="154">
        <f t="shared" si="13"/>
        <v>196605.95751031701</v>
      </c>
      <c r="V229" s="154">
        <f t="shared" si="14"/>
        <v>587</v>
      </c>
      <c r="W229" s="155">
        <f t="shared" si="15"/>
        <v>196605.95751031701</v>
      </c>
    </row>
    <row r="230" spans="1:23">
      <c r="A230" s="134" t="s">
        <v>138</v>
      </c>
      <c r="B230" s="134">
        <v>398</v>
      </c>
      <c r="C230" s="145">
        <v>52451.259841368301</v>
      </c>
      <c r="G230" s="134" t="s">
        <v>469</v>
      </c>
      <c r="H230" s="134" t="s">
        <v>469</v>
      </c>
      <c r="I230" s="134" t="s">
        <v>800</v>
      </c>
      <c r="J230" s="134">
        <v>47393</v>
      </c>
      <c r="K230" s="145">
        <v>5816470.5861221999</v>
      </c>
      <c r="L230" s="145">
        <v>122.728474376431</v>
      </c>
      <c r="M230" s="134"/>
      <c r="T230" s="154">
        <f t="shared" si="12"/>
        <v>398</v>
      </c>
      <c r="U230" s="154">
        <f t="shared" si="13"/>
        <v>52451.259841368301</v>
      </c>
      <c r="V230" s="154">
        <f t="shared" si="14"/>
        <v>398</v>
      </c>
      <c r="W230" s="155">
        <f t="shared" si="15"/>
        <v>52451.259841368301</v>
      </c>
    </row>
    <row r="231" spans="1:23">
      <c r="A231" s="134" t="s">
        <v>139</v>
      </c>
      <c r="B231" s="134">
        <v>5</v>
      </c>
      <c r="C231" s="145">
        <v>704.07805420350098</v>
      </c>
      <c r="G231" s="134" t="s">
        <v>469</v>
      </c>
      <c r="H231" s="134" t="s">
        <v>469</v>
      </c>
      <c r="I231" s="134" t="s">
        <v>987</v>
      </c>
      <c r="J231" s="134">
        <v>4</v>
      </c>
      <c r="K231" s="145">
        <v>1241.9384936318199</v>
      </c>
      <c r="L231" s="145">
        <v>310.48462340795498</v>
      </c>
      <c r="M231" s="134"/>
      <c r="T231" s="154">
        <f t="shared" si="12"/>
        <v>5</v>
      </c>
      <c r="U231" s="154">
        <f t="shared" si="13"/>
        <v>704.07805420350098</v>
      </c>
      <c r="V231" s="154">
        <f t="shared" si="14"/>
        <v>5</v>
      </c>
      <c r="W231" s="155">
        <f t="shared" si="15"/>
        <v>704.07805420350098</v>
      </c>
    </row>
    <row r="232" spans="1:23">
      <c r="A232" s="134" t="s">
        <v>140</v>
      </c>
      <c r="B232" s="134">
        <v>3</v>
      </c>
      <c r="C232" s="145">
        <v>434.08440716931102</v>
      </c>
      <c r="G232" s="134" t="s">
        <v>469</v>
      </c>
      <c r="H232" s="134" t="s">
        <v>469</v>
      </c>
      <c r="I232" s="134" t="s">
        <v>339</v>
      </c>
      <c r="J232" s="134">
        <v>13</v>
      </c>
      <c r="K232" s="145">
        <v>1805.6463610841099</v>
      </c>
      <c r="L232" s="145">
        <v>138.89587392954701</v>
      </c>
      <c r="M232" s="134"/>
      <c r="T232" s="154">
        <f t="shared" si="12"/>
        <v>3</v>
      </c>
      <c r="U232" s="154">
        <f t="shared" si="13"/>
        <v>434.08440716931102</v>
      </c>
      <c r="V232" s="154">
        <f t="shared" si="14"/>
        <v>3</v>
      </c>
      <c r="W232" s="155">
        <f t="shared" si="15"/>
        <v>434.08440716931102</v>
      </c>
    </row>
    <row r="233" spans="1:23">
      <c r="A233" s="134" t="s">
        <v>141</v>
      </c>
      <c r="B233" s="134">
        <v>24</v>
      </c>
      <c r="C233" s="145">
        <v>2624.0570919381498</v>
      </c>
      <c r="G233" s="134" t="s">
        <v>469</v>
      </c>
      <c r="H233" s="134" t="s">
        <v>469</v>
      </c>
      <c r="I233" s="134" t="s">
        <v>942</v>
      </c>
      <c r="J233" s="134">
        <v>148928</v>
      </c>
      <c r="K233" s="145">
        <v>23021307.2835791</v>
      </c>
      <c r="L233" s="145">
        <v>154.580114441738</v>
      </c>
      <c r="M233" s="134"/>
      <c r="T233" s="154">
        <f t="shared" si="12"/>
        <v>24</v>
      </c>
      <c r="U233" s="154">
        <f t="shared" si="13"/>
        <v>2624.0570919381498</v>
      </c>
      <c r="V233" s="154">
        <f t="shared" si="14"/>
        <v>24</v>
      </c>
      <c r="W233" s="155">
        <f t="shared" si="15"/>
        <v>2624.0570919381498</v>
      </c>
    </row>
    <row r="234" spans="1:23">
      <c r="A234" s="134" t="s">
        <v>142</v>
      </c>
      <c r="B234" s="134">
        <v>227</v>
      </c>
      <c r="C234" s="145">
        <v>38588.008819232302</v>
      </c>
      <c r="G234" s="134" t="s">
        <v>469</v>
      </c>
      <c r="H234" s="134" t="s">
        <v>469</v>
      </c>
      <c r="I234" s="134" t="s">
        <v>90</v>
      </c>
      <c r="J234" s="134">
        <v>31</v>
      </c>
      <c r="K234" s="145">
        <v>4298.88195546513</v>
      </c>
      <c r="L234" s="145">
        <v>138.67361146661699</v>
      </c>
      <c r="M234" s="134"/>
      <c r="T234" s="154">
        <f t="shared" si="12"/>
        <v>227</v>
      </c>
      <c r="U234" s="154">
        <f t="shared" si="13"/>
        <v>38588.008819232302</v>
      </c>
      <c r="V234" s="154">
        <f t="shared" si="14"/>
        <v>227</v>
      </c>
      <c r="W234" s="155">
        <f t="shared" si="15"/>
        <v>38588.008819232302</v>
      </c>
    </row>
    <row r="235" spans="1:23">
      <c r="A235" s="134" t="s">
        <v>144</v>
      </c>
      <c r="B235" s="134">
        <v>57</v>
      </c>
      <c r="C235" s="145">
        <v>11770.987275891701</v>
      </c>
      <c r="G235" s="134" t="s">
        <v>469</v>
      </c>
      <c r="H235" s="134" t="s">
        <v>469</v>
      </c>
      <c r="I235" s="134" t="s">
        <v>994</v>
      </c>
      <c r="J235" s="134">
        <v>55</v>
      </c>
      <c r="K235" s="145">
        <v>20919.758300168</v>
      </c>
      <c r="L235" s="145">
        <v>380.35924182123603</v>
      </c>
      <c r="M235" s="134"/>
      <c r="T235" s="154">
        <f t="shared" si="12"/>
        <v>57</v>
      </c>
      <c r="U235" s="154">
        <f t="shared" si="13"/>
        <v>11663.008333833201</v>
      </c>
      <c r="V235" s="154">
        <f t="shared" si="14"/>
        <v>57</v>
      </c>
      <c r="W235" s="155">
        <f t="shared" si="15"/>
        <v>11663.008333833201</v>
      </c>
    </row>
    <row r="236" spans="1:23">
      <c r="A236" s="134" t="s">
        <v>145</v>
      </c>
      <c r="B236" s="134">
        <v>429</v>
      </c>
      <c r="C236" s="145">
        <v>42907.016311727202</v>
      </c>
      <c r="G236" s="134" t="s">
        <v>469</v>
      </c>
      <c r="H236" s="134" t="s">
        <v>469</v>
      </c>
      <c r="I236" s="134" t="s">
        <v>913</v>
      </c>
      <c r="J236" s="134">
        <v>52</v>
      </c>
      <c r="K236" s="145">
        <v>7008.1807347926897</v>
      </c>
      <c r="L236" s="145">
        <v>134.77270643832099</v>
      </c>
      <c r="M236" s="134"/>
      <c r="T236" s="154">
        <f t="shared" si="12"/>
        <v>429</v>
      </c>
      <c r="U236" s="154">
        <f t="shared" si="13"/>
        <v>42187.056014837202</v>
      </c>
      <c r="V236" s="154">
        <f t="shared" si="14"/>
        <v>429</v>
      </c>
      <c r="W236" s="155">
        <f t="shared" si="15"/>
        <v>42187.056014837202</v>
      </c>
    </row>
    <row r="237" spans="1:23">
      <c r="A237" s="134" t="s">
        <v>147</v>
      </c>
      <c r="B237" s="134">
        <v>325</v>
      </c>
      <c r="C237" s="145">
        <v>433875.67826874799</v>
      </c>
      <c r="G237" s="134" t="s">
        <v>469</v>
      </c>
      <c r="H237" s="134" t="s">
        <v>469</v>
      </c>
      <c r="I237" s="134" t="s">
        <v>189</v>
      </c>
      <c r="J237" s="134">
        <v>443</v>
      </c>
      <c r="K237" s="145">
        <v>68600.426213153405</v>
      </c>
      <c r="L237" s="145">
        <v>154.85423524413901</v>
      </c>
      <c r="M237" s="134"/>
      <c r="T237" s="154">
        <f t="shared" si="12"/>
        <v>325</v>
      </c>
      <c r="U237" s="154">
        <f t="shared" si="13"/>
        <v>433786.87467602</v>
      </c>
      <c r="V237" s="154">
        <f t="shared" si="14"/>
        <v>325</v>
      </c>
      <c r="W237" s="155">
        <f t="shared" si="15"/>
        <v>433786.87467602</v>
      </c>
    </row>
    <row r="238" spans="1:23">
      <c r="A238" s="134" t="s">
        <v>148</v>
      </c>
      <c r="B238" s="134">
        <v>120</v>
      </c>
      <c r="C238" s="145">
        <v>16834.441136398</v>
      </c>
      <c r="G238" s="134" t="s">
        <v>469</v>
      </c>
      <c r="H238" s="134" t="s">
        <v>469</v>
      </c>
      <c r="I238" s="134" t="s">
        <v>967</v>
      </c>
      <c r="J238" s="134">
        <v>4</v>
      </c>
      <c r="K238" s="145">
        <v>1177.8713985085701</v>
      </c>
      <c r="L238" s="145">
        <v>294.46784962714298</v>
      </c>
      <c r="M238" s="134"/>
      <c r="T238" s="154">
        <f t="shared" si="12"/>
        <v>120</v>
      </c>
      <c r="U238" s="154">
        <f t="shared" si="13"/>
        <v>16834.441136398</v>
      </c>
      <c r="V238" s="154">
        <f t="shared" si="14"/>
        <v>120</v>
      </c>
      <c r="W238" s="155">
        <f t="shared" si="15"/>
        <v>16834.441136398</v>
      </c>
    </row>
    <row r="239" spans="1:23">
      <c r="A239" s="134" t="s">
        <v>149</v>
      </c>
      <c r="B239" s="134">
        <v>356</v>
      </c>
      <c r="C239" s="145">
        <v>41857.272403394803</v>
      </c>
      <c r="G239" s="134" t="s">
        <v>469</v>
      </c>
      <c r="H239" s="134" t="s">
        <v>469</v>
      </c>
      <c r="I239" s="134" t="s">
        <v>814</v>
      </c>
      <c r="J239" s="134">
        <v>1</v>
      </c>
      <c r="K239" s="145">
        <v>218.36226576599</v>
      </c>
      <c r="L239" s="145">
        <v>218.36226576599</v>
      </c>
      <c r="M239" s="134"/>
      <c r="T239" s="154">
        <f t="shared" si="12"/>
        <v>356</v>
      </c>
      <c r="U239" s="154">
        <f t="shared" si="13"/>
        <v>40438.616166758002</v>
      </c>
      <c r="V239" s="154">
        <f t="shared" si="14"/>
        <v>356</v>
      </c>
      <c r="W239" s="155">
        <f t="shared" si="15"/>
        <v>40438.616166758002</v>
      </c>
    </row>
    <row r="240" spans="1:23">
      <c r="A240" s="134" t="s">
        <v>882</v>
      </c>
      <c r="B240" s="134">
        <v>5</v>
      </c>
      <c r="C240" s="145">
        <v>577.86268432317604</v>
      </c>
      <c r="G240" s="134" t="s">
        <v>469</v>
      </c>
      <c r="H240" s="134" t="s">
        <v>469</v>
      </c>
      <c r="I240" s="134" t="s">
        <v>122</v>
      </c>
      <c r="J240" s="134">
        <v>11</v>
      </c>
      <c r="K240" s="145">
        <v>1661.33636211418</v>
      </c>
      <c r="L240" s="145">
        <v>151.03057837401599</v>
      </c>
      <c r="M240" s="134"/>
      <c r="T240" s="154">
        <f t="shared" si="12"/>
        <v>5</v>
      </c>
      <c r="U240" s="154">
        <f t="shared" si="13"/>
        <v>577.86268432317604</v>
      </c>
      <c r="V240" s="154">
        <f t="shared" si="14"/>
        <v>5</v>
      </c>
      <c r="W240" s="155">
        <f t="shared" si="15"/>
        <v>577.86268432317604</v>
      </c>
    </row>
    <row r="241" spans="1:23">
      <c r="A241" s="134" t="s">
        <v>883</v>
      </c>
      <c r="B241" s="134">
        <v>21</v>
      </c>
      <c r="C241" s="145">
        <v>2728.1870716835001</v>
      </c>
      <c r="G241" s="134" t="s">
        <v>469</v>
      </c>
      <c r="H241" s="134" t="s">
        <v>469</v>
      </c>
      <c r="I241" s="134" t="s">
        <v>812</v>
      </c>
      <c r="J241" s="134">
        <v>688</v>
      </c>
      <c r="K241" s="145">
        <v>108815.145645667</v>
      </c>
      <c r="L241" s="145">
        <v>158.16154890358601</v>
      </c>
      <c r="M241" s="134"/>
      <c r="T241" s="154">
        <f t="shared" si="12"/>
        <v>21</v>
      </c>
      <c r="U241" s="154">
        <f t="shared" si="13"/>
        <v>2728.1870716835001</v>
      </c>
      <c r="V241" s="154">
        <f t="shared" si="14"/>
        <v>21</v>
      </c>
      <c r="W241" s="155">
        <f t="shared" si="15"/>
        <v>2728.1870716835001</v>
      </c>
    </row>
    <row r="242" spans="1:23">
      <c r="A242" s="134" t="s">
        <v>884</v>
      </c>
      <c r="B242" s="134">
        <v>34</v>
      </c>
      <c r="C242" s="145">
        <v>5090.2977678882098</v>
      </c>
      <c r="G242" s="134" t="s">
        <v>469</v>
      </c>
      <c r="H242" s="134" t="s">
        <v>469</v>
      </c>
      <c r="I242" s="134" t="s">
        <v>901</v>
      </c>
      <c r="J242" s="134">
        <v>41545</v>
      </c>
      <c r="K242" s="145">
        <v>6418604.7881592102</v>
      </c>
      <c r="L242" s="145">
        <v>154.49764804812199</v>
      </c>
      <c r="M242" s="134"/>
      <c r="T242" s="154">
        <f t="shared" si="12"/>
        <v>34</v>
      </c>
      <c r="U242" s="154">
        <f t="shared" si="13"/>
        <v>5001.4941751598099</v>
      </c>
      <c r="V242" s="154">
        <f t="shared" si="14"/>
        <v>34</v>
      </c>
      <c r="W242" s="155">
        <f t="shared" si="15"/>
        <v>5001.4941751598099</v>
      </c>
    </row>
    <row r="243" spans="1:23">
      <c r="A243" s="134" t="s">
        <v>885</v>
      </c>
      <c r="B243" s="134">
        <v>28</v>
      </c>
      <c r="C243" s="145">
        <v>4171.1260853297499</v>
      </c>
      <c r="G243" s="134" t="s">
        <v>469</v>
      </c>
      <c r="H243" s="134" t="s">
        <v>469</v>
      </c>
      <c r="I243" s="134" t="s">
        <v>87</v>
      </c>
      <c r="J243" s="134">
        <v>40</v>
      </c>
      <c r="K243" s="145">
        <v>3246.25973359095</v>
      </c>
      <c r="L243" s="145">
        <v>81.156493339773803</v>
      </c>
      <c r="M243" s="134"/>
      <c r="T243" s="154">
        <f t="shared" si="12"/>
        <v>28</v>
      </c>
      <c r="U243" s="154">
        <f t="shared" si="13"/>
        <v>4082.3224926013499</v>
      </c>
      <c r="V243" s="154">
        <f t="shared" si="14"/>
        <v>28</v>
      </c>
      <c r="W243" s="155">
        <f t="shared" si="15"/>
        <v>4082.3224926013499</v>
      </c>
    </row>
    <row r="244" spans="1:23">
      <c r="A244" s="134" t="s">
        <v>886</v>
      </c>
      <c r="B244" s="134">
        <v>15</v>
      </c>
      <c r="C244" s="145">
        <v>5542.0076672452396</v>
      </c>
      <c r="G244" s="134" t="s">
        <v>469</v>
      </c>
      <c r="H244" s="134" t="s">
        <v>469</v>
      </c>
      <c r="I244" s="134" t="s">
        <v>132</v>
      </c>
      <c r="J244" s="134">
        <v>2718</v>
      </c>
      <c r="K244" s="145">
        <v>1217243.45328538</v>
      </c>
      <c r="L244" s="145">
        <v>447.84527346776099</v>
      </c>
      <c r="M244" s="134"/>
      <c r="T244" s="154">
        <f t="shared" si="12"/>
        <v>15</v>
      </c>
      <c r="U244" s="154">
        <f t="shared" si="13"/>
        <v>5542.0076672452396</v>
      </c>
      <c r="V244" s="154">
        <f t="shared" si="14"/>
        <v>15</v>
      </c>
      <c r="W244" s="155">
        <f t="shared" si="15"/>
        <v>5542.0076672452396</v>
      </c>
    </row>
    <row r="245" spans="1:23">
      <c r="A245" s="134" t="s">
        <v>370</v>
      </c>
      <c r="B245" s="134">
        <v>78</v>
      </c>
      <c r="C245" s="145">
        <v>11651.411526510299</v>
      </c>
      <c r="G245" s="134" t="s">
        <v>469</v>
      </c>
      <c r="H245" s="134" t="s">
        <v>469</v>
      </c>
      <c r="I245" s="134" t="s">
        <v>199</v>
      </c>
      <c r="J245" s="134">
        <v>7</v>
      </c>
      <c r="K245" s="145">
        <v>1807.6554722508699</v>
      </c>
      <c r="L245" s="145">
        <v>258.236496035838</v>
      </c>
      <c r="M245" s="134"/>
      <c r="T245" s="154">
        <f t="shared" si="12"/>
        <v>78</v>
      </c>
      <c r="U245" s="154">
        <f t="shared" si="13"/>
        <v>11286.665600533899</v>
      </c>
      <c r="V245" s="154">
        <f t="shared" si="14"/>
        <v>78</v>
      </c>
      <c r="W245" s="155">
        <f t="shared" si="15"/>
        <v>11286.665600533899</v>
      </c>
    </row>
    <row r="246" spans="1:23">
      <c r="A246" s="134" t="s">
        <v>887</v>
      </c>
      <c r="B246" s="134">
        <v>81</v>
      </c>
      <c r="C246" s="145">
        <v>7202.6827345867096</v>
      </c>
      <c r="G246" s="134" t="s">
        <v>469</v>
      </c>
      <c r="H246" s="134" t="s">
        <v>469</v>
      </c>
      <c r="I246" s="134" t="s">
        <v>683</v>
      </c>
      <c r="J246" s="134">
        <v>6</v>
      </c>
      <c r="K246" s="145">
        <v>634.13885393170597</v>
      </c>
      <c r="L246" s="145">
        <v>105.689808988618</v>
      </c>
      <c r="M246" s="134"/>
      <c r="T246" s="154">
        <f t="shared" si="12"/>
        <v>81</v>
      </c>
      <c r="U246" s="154">
        <f t="shared" si="13"/>
        <v>7113.8791418583096</v>
      </c>
      <c r="V246" s="154">
        <f t="shared" si="14"/>
        <v>81</v>
      </c>
      <c r="W246" s="155">
        <f t="shared" si="15"/>
        <v>7113.8791418583096</v>
      </c>
    </row>
    <row r="247" spans="1:23">
      <c r="A247" s="134" t="s">
        <v>151</v>
      </c>
      <c r="B247" s="134">
        <v>14</v>
      </c>
      <c r="C247" s="145">
        <v>1528.48713463323</v>
      </c>
      <c r="G247" s="134" t="s">
        <v>469</v>
      </c>
      <c r="H247" s="134" t="s">
        <v>469</v>
      </c>
      <c r="I247" s="134" t="s">
        <v>1065</v>
      </c>
      <c r="J247" s="134">
        <v>4</v>
      </c>
      <c r="K247" s="145">
        <v>768.79721320133604</v>
      </c>
      <c r="L247" s="145">
        <v>192.19930330033401</v>
      </c>
      <c r="M247" s="134"/>
      <c r="T247" s="154">
        <f t="shared" si="12"/>
        <v>14</v>
      </c>
      <c r="U247" s="154">
        <f t="shared" si="13"/>
        <v>1528.48713463323</v>
      </c>
      <c r="V247" s="154">
        <f t="shared" si="14"/>
        <v>14</v>
      </c>
      <c r="W247" s="155">
        <f t="shared" si="15"/>
        <v>1528.48713463323</v>
      </c>
    </row>
    <row r="248" spans="1:23">
      <c r="A248" s="134" t="s">
        <v>152</v>
      </c>
      <c r="B248" s="134">
        <v>2</v>
      </c>
      <c r="C248" s="145">
        <v>346.93212356394503</v>
      </c>
      <c r="G248" s="134" t="s">
        <v>469</v>
      </c>
      <c r="H248" s="134" t="s">
        <v>469</v>
      </c>
      <c r="I248" s="134" t="s">
        <v>773</v>
      </c>
      <c r="J248" s="134">
        <v>28</v>
      </c>
      <c r="K248" s="145">
        <v>4514.31604635452</v>
      </c>
      <c r="L248" s="145">
        <v>161.22557308409</v>
      </c>
      <c r="M248" s="134"/>
      <c r="T248" s="154">
        <f t="shared" si="12"/>
        <v>2</v>
      </c>
      <c r="U248" s="154">
        <f t="shared" si="13"/>
        <v>258.12853083554</v>
      </c>
      <c r="V248" s="154">
        <f t="shared" si="14"/>
        <v>2</v>
      </c>
      <c r="W248" s="155">
        <f t="shared" si="15"/>
        <v>258.12853083554</v>
      </c>
    </row>
    <row r="249" spans="1:23">
      <c r="A249" s="134" t="s">
        <v>153</v>
      </c>
      <c r="B249" s="134">
        <v>250</v>
      </c>
      <c r="C249" s="145">
        <v>76125.438194386705</v>
      </c>
      <c r="G249" s="134" t="s">
        <v>469</v>
      </c>
      <c r="H249" s="134" t="s">
        <v>469</v>
      </c>
      <c r="I249" s="134" t="s">
        <v>837</v>
      </c>
      <c r="J249" s="134">
        <v>1</v>
      </c>
      <c r="K249" s="145">
        <v>5.0877732983884698</v>
      </c>
      <c r="L249" s="145">
        <v>5.0877732983884698</v>
      </c>
      <c r="M249" s="134"/>
      <c r="T249" s="154">
        <f t="shared" si="12"/>
        <v>250</v>
      </c>
      <c r="U249" s="154">
        <f t="shared" si="13"/>
        <v>47865.163233049403</v>
      </c>
      <c r="V249" s="154">
        <f t="shared" si="14"/>
        <v>250</v>
      </c>
      <c r="W249" s="155">
        <f t="shared" si="15"/>
        <v>47865.163233049403</v>
      </c>
    </row>
    <row r="250" spans="1:23">
      <c r="A250" s="134" t="s">
        <v>1057</v>
      </c>
      <c r="B250" s="134">
        <v>1</v>
      </c>
      <c r="C250" s="145">
        <v>24.416052014178</v>
      </c>
      <c r="G250" s="134" t="s">
        <v>469</v>
      </c>
      <c r="H250" s="134" t="s">
        <v>469</v>
      </c>
      <c r="I250" s="134" t="s">
        <v>911</v>
      </c>
      <c r="J250" s="134">
        <v>451</v>
      </c>
      <c r="K250" s="145">
        <v>74214.946257522897</v>
      </c>
      <c r="L250" s="145">
        <v>164.55642185703499</v>
      </c>
      <c r="M250" s="134"/>
      <c r="T250" s="154">
        <f t="shared" si="12"/>
        <v>1</v>
      </c>
      <c r="U250" s="154">
        <f t="shared" si="13"/>
        <v>24.416052014178</v>
      </c>
      <c r="V250" s="154">
        <f t="shared" si="14"/>
        <v>1</v>
      </c>
      <c r="W250" s="155">
        <f t="shared" si="15"/>
        <v>24.416052014178</v>
      </c>
    </row>
    <row r="251" spans="1:23">
      <c r="A251" s="134" t="s">
        <v>1058</v>
      </c>
      <c r="B251" s="134">
        <v>1</v>
      </c>
      <c r="C251" s="145">
        <v>598.57091910209397</v>
      </c>
      <c r="G251" s="134" t="s">
        <v>469</v>
      </c>
      <c r="H251" s="134" t="s">
        <v>469</v>
      </c>
      <c r="I251" s="134" t="s">
        <v>850</v>
      </c>
      <c r="J251" s="134">
        <v>2</v>
      </c>
      <c r="K251" s="145">
        <v>762.33634821676503</v>
      </c>
      <c r="L251" s="145">
        <v>381.16817410838303</v>
      </c>
      <c r="M251" s="134"/>
      <c r="T251" s="154">
        <f t="shared" si="12"/>
        <v>1</v>
      </c>
      <c r="U251" s="154">
        <f t="shared" si="13"/>
        <v>598.57091910209397</v>
      </c>
      <c r="V251" s="154">
        <f t="shared" si="14"/>
        <v>1</v>
      </c>
      <c r="W251" s="155">
        <f t="shared" si="15"/>
        <v>598.57091910209397</v>
      </c>
    </row>
    <row r="252" spans="1:23">
      <c r="A252" s="134" t="s">
        <v>888</v>
      </c>
      <c r="B252" s="134">
        <v>196</v>
      </c>
      <c r="C252" s="145">
        <v>52386.993016799002</v>
      </c>
      <c r="G252" s="134" t="s">
        <v>469</v>
      </c>
      <c r="H252" s="134" t="s">
        <v>469</v>
      </c>
      <c r="I252" s="134" t="s">
        <v>125</v>
      </c>
      <c r="J252" s="134">
        <v>32</v>
      </c>
      <c r="K252" s="145">
        <v>4605.7295508679199</v>
      </c>
      <c r="L252" s="145">
        <v>143.92904846462201</v>
      </c>
      <c r="M252" s="134"/>
      <c r="T252" s="154">
        <f t="shared" si="12"/>
        <v>196</v>
      </c>
      <c r="U252" s="154">
        <f t="shared" si="13"/>
        <v>52298.189424070602</v>
      </c>
      <c r="V252" s="154">
        <f t="shared" si="14"/>
        <v>196</v>
      </c>
      <c r="W252" s="155">
        <f t="shared" si="15"/>
        <v>52298.189424070602</v>
      </c>
    </row>
    <row r="253" spans="1:23">
      <c r="A253" s="134" t="s">
        <v>889</v>
      </c>
      <c r="B253" s="134">
        <v>37</v>
      </c>
      <c r="C253" s="145">
        <v>10358.9217223501</v>
      </c>
      <c r="G253" s="134" t="s">
        <v>469</v>
      </c>
      <c r="H253" s="134" t="s">
        <v>469</v>
      </c>
      <c r="I253" s="134" t="s">
        <v>341</v>
      </c>
      <c r="J253" s="134">
        <v>1</v>
      </c>
      <c r="K253" s="145">
        <v>125.02605671704001</v>
      </c>
      <c r="L253" s="145">
        <v>125.02605671704001</v>
      </c>
      <c r="M253" s="134"/>
      <c r="T253" s="154">
        <f t="shared" si="12"/>
        <v>37</v>
      </c>
      <c r="U253" s="154">
        <f t="shared" si="13"/>
        <v>10270.1181296217</v>
      </c>
      <c r="V253" s="154">
        <f t="shared" si="14"/>
        <v>37</v>
      </c>
      <c r="W253" s="155">
        <f t="shared" si="15"/>
        <v>10270.1181296217</v>
      </c>
    </row>
    <row r="254" spans="1:23">
      <c r="A254" s="134" t="s">
        <v>890</v>
      </c>
      <c r="B254" s="134">
        <v>5</v>
      </c>
      <c r="C254" s="145">
        <v>1791.31832293047</v>
      </c>
      <c r="G254" s="134" t="s">
        <v>469</v>
      </c>
      <c r="H254" s="134" t="s">
        <v>469</v>
      </c>
      <c r="I254" s="134" t="s">
        <v>755</v>
      </c>
      <c r="J254" s="134">
        <v>5582</v>
      </c>
      <c r="K254" s="145">
        <v>629946.49377702503</v>
      </c>
      <c r="L254" s="145">
        <v>112.853187706382</v>
      </c>
      <c r="M254" s="134"/>
      <c r="T254" s="154">
        <f t="shared" si="12"/>
        <v>5</v>
      </c>
      <c r="U254" s="154">
        <f t="shared" si="13"/>
        <v>1791.31832293047</v>
      </c>
      <c r="V254" s="154">
        <f t="shared" si="14"/>
        <v>5</v>
      </c>
      <c r="W254" s="155">
        <f t="shared" si="15"/>
        <v>1791.31832293047</v>
      </c>
    </row>
    <row r="255" spans="1:23">
      <c r="A255" s="134" t="s">
        <v>1070</v>
      </c>
      <c r="B255" s="134">
        <v>662</v>
      </c>
      <c r="C255" s="145">
        <v>193798.53425495501</v>
      </c>
      <c r="G255" s="134" t="s">
        <v>469</v>
      </c>
      <c r="H255" s="134" t="s">
        <v>469</v>
      </c>
      <c r="I255" s="134" t="s">
        <v>1069</v>
      </c>
      <c r="J255" s="134">
        <v>1139</v>
      </c>
      <c r="K255" s="145">
        <v>67838.956301206606</v>
      </c>
      <c r="L255" s="145">
        <v>59.560102108170902</v>
      </c>
      <c r="M255" s="134"/>
      <c r="T255" s="154">
        <f t="shared" si="12"/>
        <v>662</v>
      </c>
      <c r="U255" s="154">
        <f t="shared" si="13"/>
        <v>193798.53425495501</v>
      </c>
      <c r="V255" s="154">
        <f t="shared" si="14"/>
        <v>662</v>
      </c>
      <c r="W255" s="155">
        <f t="shared" si="15"/>
        <v>193798.53425495501</v>
      </c>
    </row>
    <row r="256" spans="1:23">
      <c r="A256" s="134" t="s">
        <v>332</v>
      </c>
      <c r="B256" s="134">
        <v>7</v>
      </c>
      <c r="C256" s="145">
        <v>2233.7431960189101</v>
      </c>
      <c r="G256" s="134" t="s">
        <v>469</v>
      </c>
      <c r="H256" s="134" t="s">
        <v>469</v>
      </c>
      <c r="I256" s="134" t="s">
        <v>872</v>
      </c>
      <c r="J256" s="134">
        <v>84</v>
      </c>
      <c r="K256" s="145">
        <v>26106.446573087698</v>
      </c>
      <c r="L256" s="145">
        <v>310.79103063199602</v>
      </c>
      <c r="M256" s="134"/>
      <c r="T256" s="154">
        <f t="shared" si="12"/>
        <v>7</v>
      </c>
      <c r="U256" s="154">
        <f t="shared" si="13"/>
        <v>2144.9396032905101</v>
      </c>
      <c r="V256" s="154">
        <f t="shared" si="14"/>
        <v>7</v>
      </c>
      <c r="W256" s="155">
        <f t="shared" si="15"/>
        <v>2144.9396032905101</v>
      </c>
    </row>
    <row r="257" spans="1:23">
      <c r="A257" s="134" t="s">
        <v>327</v>
      </c>
      <c r="B257" s="134">
        <v>136</v>
      </c>
      <c r="C257" s="145">
        <v>74950.757888178894</v>
      </c>
      <c r="G257" s="134" t="s">
        <v>469</v>
      </c>
      <c r="H257" s="134" t="s">
        <v>469</v>
      </c>
      <c r="I257" s="134" t="s">
        <v>824</v>
      </c>
      <c r="J257" s="134">
        <v>13</v>
      </c>
      <c r="K257" s="145">
        <v>2584.67200449231</v>
      </c>
      <c r="L257" s="145">
        <v>198.82092342248501</v>
      </c>
      <c r="M257" s="134"/>
      <c r="T257" s="154">
        <f t="shared" si="12"/>
        <v>136</v>
      </c>
      <c r="U257" s="154">
        <f t="shared" si="13"/>
        <v>55255.535408506701</v>
      </c>
      <c r="V257" s="154">
        <f t="shared" si="14"/>
        <v>136</v>
      </c>
      <c r="W257" s="155">
        <f t="shared" si="15"/>
        <v>55255.535408506701</v>
      </c>
    </row>
    <row r="258" spans="1:23">
      <c r="A258" s="134" t="s">
        <v>369</v>
      </c>
      <c r="B258" s="134">
        <v>9</v>
      </c>
      <c r="C258" s="145">
        <v>2083.88478827784</v>
      </c>
      <c r="G258" s="134" t="s">
        <v>469</v>
      </c>
      <c r="H258" s="134" t="s">
        <v>469</v>
      </c>
      <c r="I258" s="134" t="s">
        <v>1052</v>
      </c>
      <c r="J258" s="134">
        <v>1</v>
      </c>
      <c r="K258" s="145">
        <v>241.106578302618</v>
      </c>
      <c r="L258" s="145">
        <v>241.106578302618</v>
      </c>
      <c r="M258" s="134"/>
      <c r="T258" s="154">
        <f t="shared" si="12"/>
        <v>9</v>
      </c>
      <c r="U258" s="154">
        <f t="shared" si="13"/>
        <v>1906.2776028210301</v>
      </c>
      <c r="V258" s="154">
        <f t="shared" si="14"/>
        <v>9</v>
      </c>
      <c r="W258" s="155">
        <f t="shared" si="15"/>
        <v>1906.2776028210301</v>
      </c>
    </row>
    <row r="259" spans="1:23">
      <c r="A259" s="134" t="s">
        <v>1059</v>
      </c>
      <c r="B259" s="134">
        <v>2</v>
      </c>
      <c r="C259" s="145">
        <v>482.61790618504801</v>
      </c>
      <c r="G259" s="134" t="s">
        <v>469</v>
      </c>
      <c r="H259" s="134" t="s">
        <v>469</v>
      </c>
      <c r="I259" s="134" t="s">
        <v>891</v>
      </c>
      <c r="J259" s="134">
        <v>80404</v>
      </c>
      <c r="K259" s="145">
        <v>18380089.761273701</v>
      </c>
      <c r="L259" s="145">
        <v>228.59670863730301</v>
      </c>
      <c r="M259" s="134"/>
      <c r="T259" s="154">
        <f t="shared" si="12"/>
        <v>2</v>
      </c>
      <c r="U259" s="154">
        <f t="shared" si="13"/>
        <v>482.61790618504801</v>
      </c>
      <c r="V259" s="154">
        <f t="shared" si="14"/>
        <v>2</v>
      </c>
      <c r="W259" s="155">
        <f t="shared" si="15"/>
        <v>482.61790618504801</v>
      </c>
    </row>
    <row r="260" spans="1:23">
      <c r="A260" s="134" t="s">
        <v>894</v>
      </c>
      <c r="B260" s="134">
        <v>3</v>
      </c>
      <c r="C260" s="145">
        <v>720.75212635459798</v>
      </c>
      <c r="G260" s="134" t="s">
        <v>469</v>
      </c>
      <c r="H260" s="134" t="s">
        <v>469</v>
      </c>
      <c r="I260" s="134" t="s">
        <v>485</v>
      </c>
      <c r="J260" s="134">
        <v>889</v>
      </c>
      <c r="K260" s="145">
        <v>81934.757249524802</v>
      </c>
      <c r="L260" s="145">
        <v>92.165081270556598</v>
      </c>
      <c r="M260" s="134"/>
      <c r="T260" s="154">
        <f t="shared" ref="T260:T323" si="16">VLOOKUP(A260,$I:$L,2,FALSE)</f>
        <v>3</v>
      </c>
      <c r="U260" s="154">
        <f t="shared" ref="U260:U323" si="17">VLOOKUP(A260,$I:$L,3,FALSE)</f>
        <v>631.94853362619301</v>
      </c>
      <c r="V260" s="154">
        <f t="shared" ref="V260:V323" si="18">IF(COUNTIF($P:$P,A260)=1,0,T260)</f>
        <v>3</v>
      </c>
      <c r="W260" s="155">
        <f t="shared" ref="W260:W323" si="19">IF(COUNTIF($P:$P,A260)=1,0,U260)</f>
        <v>631.94853362619301</v>
      </c>
    </row>
    <row r="261" spans="1:23">
      <c r="A261" s="134" t="s">
        <v>1060</v>
      </c>
      <c r="B261" s="134">
        <v>1</v>
      </c>
      <c r="C261" s="145">
        <v>163.618282152213</v>
      </c>
      <c r="G261" s="134" t="s">
        <v>469</v>
      </c>
      <c r="H261" s="134" t="s">
        <v>469</v>
      </c>
      <c r="I261" s="134" t="s">
        <v>956</v>
      </c>
      <c r="J261" s="134">
        <v>1</v>
      </c>
      <c r="K261" s="145">
        <v>235.50226710885801</v>
      </c>
      <c r="L261" s="145">
        <v>235.50226710885801</v>
      </c>
      <c r="M261" s="134"/>
      <c r="T261" s="154">
        <f t="shared" si="16"/>
        <v>1</v>
      </c>
      <c r="U261" s="154">
        <f t="shared" si="17"/>
        <v>163.618282152213</v>
      </c>
      <c r="V261" s="154">
        <f t="shared" si="18"/>
        <v>1</v>
      </c>
      <c r="W261" s="155">
        <f t="shared" si="19"/>
        <v>163.618282152213</v>
      </c>
    </row>
    <row r="262" spans="1:23">
      <c r="A262" s="134" t="s">
        <v>895</v>
      </c>
      <c r="B262" s="134">
        <v>6424</v>
      </c>
      <c r="C262" s="145">
        <v>827957.47632592998</v>
      </c>
      <c r="G262" s="134" t="s">
        <v>469</v>
      </c>
      <c r="H262" s="134" t="s">
        <v>469</v>
      </c>
      <c r="I262" s="134" t="s">
        <v>119</v>
      </c>
      <c r="J262" s="134">
        <v>1454</v>
      </c>
      <c r="K262" s="145">
        <v>166443.45328345301</v>
      </c>
      <c r="L262" s="145">
        <v>114.472801432911</v>
      </c>
      <c r="M262" s="134"/>
      <c r="T262" s="154">
        <f t="shared" si="16"/>
        <v>6424</v>
      </c>
      <c r="U262" s="154">
        <f t="shared" si="17"/>
        <v>827868.67273320199</v>
      </c>
      <c r="V262" s="154">
        <f t="shared" si="18"/>
        <v>6424</v>
      </c>
      <c r="W262" s="155">
        <f t="shared" si="19"/>
        <v>827868.67273320199</v>
      </c>
    </row>
    <row r="263" spans="1:23">
      <c r="A263" s="134" t="s">
        <v>908</v>
      </c>
      <c r="B263" s="134">
        <v>3</v>
      </c>
      <c r="C263" s="145">
        <v>347.75387232220999</v>
      </c>
      <c r="G263" s="134" t="s">
        <v>469</v>
      </c>
      <c r="H263" s="134" t="s">
        <v>469</v>
      </c>
      <c r="I263" s="134" t="s">
        <v>102</v>
      </c>
      <c r="J263" s="134">
        <v>9700</v>
      </c>
      <c r="K263" s="145">
        <v>1403634.71177762</v>
      </c>
      <c r="L263" s="145">
        <v>144.704609461611</v>
      </c>
      <c r="M263" s="134"/>
      <c r="T263" s="154">
        <f t="shared" si="16"/>
        <v>3</v>
      </c>
      <c r="U263" s="154">
        <f t="shared" si="17"/>
        <v>347.75387232220999</v>
      </c>
      <c r="V263" s="154">
        <f t="shared" si="18"/>
        <v>3</v>
      </c>
      <c r="W263" s="155">
        <f t="shared" si="19"/>
        <v>347.75387232220999</v>
      </c>
    </row>
    <row r="264" spans="1:23">
      <c r="A264" s="134" t="s">
        <v>909</v>
      </c>
      <c r="B264" s="134">
        <v>11</v>
      </c>
      <c r="C264" s="145">
        <v>3042.2680371708502</v>
      </c>
      <c r="G264" s="134" t="s">
        <v>469</v>
      </c>
      <c r="H264" s="134" t="s">
        <v>469</v>
      </c>
      <c r="I264" s="134" t="s">
        <v>343</v>
      </c>
      <c r="J264" s="134">
        <v>14288</v>
      </c>
      <c r="K264" s="145">
        <v>1936422.23211022</v>
      </c>
      <c r="L264" s="145">
        <v>135.52787178822899</v>
      </c>
      <c r="M264" s="134"/>
      <c r="T264" s="154">
        <f t="shared" si="16"/>
        <v>11</v>
      </c>
      <c r="U264" s="154">
        <f t="shared" si="17"/>
        <v>2238.8872857582101</v>
      </c>
      <c r="V264" s="154">
        <f t="shared" si="18"/>
        <v>11</v>
      </c>
      <c r="W264" s="155">
        <f t="shared" si="19"/>
        <v>2238.8872857582101</v>
      </c>
    </row>
    <row r="265" spans="1:23">
      <c r="A265" s="134" t="s">
        <v>154</v>
      </c>
      <c r="B265" s="134">
        <v>479</v>
      </c>
      <c r="C265" s="145">
        <v>71901.626201277701</v>
      </c>
      <c r="G265" s="134" t="s">
        <v>469</v>
      </c>
      <c r="H265" s="134" t="s">
        <v>469</v>
      </c>
      <c r="I265" s="134" t="s">
        <v>121</v>
      </c>
      <c r="J265" s="134">
        <v>31</v>
      </c>
      <c r="K265" s="145">
        <v>7235.3464568093696</v>
      </c>
      <c r="L265" s="145">
        <v>233.39827280030201</v>
      </c>
      <c r="M265" s="134"/>
      <c r="T265" s="154">
        <f t="shared" si="16"/>
        <v>479</v>
      </c>
      <c r="U265" s="154">
        <f t="shared" si="17"/>
        <v>67467.755177509607</v>
      </c>
      <c r="V265" s="154">
        <f t="shared" si="18"/>
        <v>479</v>
      </c>
      <c r="W265" s="155">
        <f t="shared" si="19"/>
        <v>67467.755177509607</v>
      </c>
    </row>
    <row r="266" spans="1:23">
      <c r="A266" s="134" t="s">
        <v>155</v>
      </c>
      <c r="B266" s="134">
        <v>794</v>
      </c>
      <c r="C266" s="145">
        <v>454744.88954470702</v>
      </c>
      <c r="G266" s="134" t="s">
        <v>469</v>
      </c>
      <c r="H266" s="134" t="s">
        <v>469</v>
      </c>
      <c r="I266" s="134" t="s">
        <v>903</v>
      </c>
      <c r="J266" s="134">
        <v>27190</v>
      </c>
      <c r="K266" s="145">
        <v>3048636.8169864998</v>
      </c>
      <c r="L266" s="145">
        <v>112.123457778098</v>
      </c>
      <c r="M266" s="134"/>
      <c r="T266" s="154">
        <f t="shared" si="16"/>
        <v>794</v>
      </c>
      <c r="U266" s="154">
        <f t="shared" si="17"/>
        <v>439535.28617756098</v>
      </c>
      <c r="V266" s="154">
        <f t="shared" si="18"/>
        <v>0</v>
      </c>
      <c r="W266" s="155">
        <f t="shared" si="19"/>
        <v>0</v>
      </c>
    </row>
    <row r="267" spans="1:23">
      <c r="A267" s="134" t="s">
        <v>156</v>
      </c>
      <c r="B267" s="134">
        <v>1415</v>
      </c>
      <c r="C267" s="145">
        <v>546962.66261351097</v>
      </c>
      <c r="G267" s="134" t="s">
        <v>469</v>
      </c>
      <c r="H267" s="134" t="s">
        <v>469</v>
      </c>
      <c r="I267" s="134" t="s">
        <v>713</v>
      </c>
      <c r="J267" s="134">
        <v>3267</v>
      </c>
      <c r="K267" s="145">
        <v>445227.79267585702</v>
      </c>
      <c r="L267" s="145">
        <v>136.280316093008</v>
      </c>
      <c r="M267" s="134"/>
      <c r="T267" s="154">
        <f t="shared" si="16"/>
        <v>1415</v>
      </c>
      <c r="U267" s="154">
        <f t="shared" si="17"/>
        <v>497636.34457691602</v>
      </c>
      <c r="V267" s="154">
        <f t="shared" si="18"/>
        <v>0</v>
      </c>
      <c r="W267" s="155">
        <f t="shared" si="19"/>
        <v>0</v>
      </c>
    </row>
    <row r="268" spans="1:23">
      <c r="A268" s="134" t="s">
        <v>157</v>
      </c>
      <c r="B268" s="134">
        <v>3395</v>
      </c>
      <c r="C268" s="145">
        <v>2553106.2505074898</v>
      </c>
      <c r="G268" s="134" t="s">
        <v>469</v>
      </c>
      <c r="H268" s="134" t="s">
        <v>469</v>
      </c>
      <c r="I268" s="134" t="s">
        <v>344</v>
      </c>
      <c r="J268" s="134">
        <v>410</v>
      </c>
      <c r="K268" s="145">
        <v>67787.179546005296</v>
      </c>
      <c r="L268" s="145">
        <v>165.33458425855</v>
      </c>
      <c r="M268" s="134"/>
      <c r="T268" s="154">
        <f t="shared" si="16"/>
        <v>3395</v>
      </c>
      <c r="U268" s="154">
        <f t="shared" si="17"/>
        <v>2512006.3922791001</v>
      </c>
      <c r="V268" s="154">
        <f t="shared" si="18"/>
        <v>0</v>
      </c>
      <c r="W268" s="155">
        <f t="shared" si="19"/>
        <v>0</v>
      </c>
    </row>
    <row r="269" spans="1:23">
      <c r="A269" s="134" t="s">
        <v>1061</v>
      </c>
      <c r="B269" s="134">
        <v>401</v>
      </c>
      <c r="C269" s="145">
        <v>189560.10511643699</v>
      </c>
      <c r="G269" s="134" t="s">
        <v>469</v>
      </c>
      <c r="H269" s="134" t="s">
        <v>469</v>
      </c>
      <c r="I269" s="134" t="s">
        <v>486</v>
      </c>
      <c r="J269" s="134">
        <v>22071</v>
      </c>
      <c r="K269" s="145">
        <v>3470561.71396349</v>
      </c>
      <c r="L269" s="145">
        <v>157.24533160996299</v>
      </c>
      <c r="M269" s="134"/>
      <c r="T269" s="154">
        <f t="shared" si="16"/>
        <v>401</v>
      </c>
      <c r="U269" s="154">
        <f t="shared" si="17"/>
        <v>189471.301523709</v>
      </c>
      <c r="V269" s="154">
        <f t="shared" si="18"/>
        <v>401</v>
      </c>
      <c r="W269" s="155">
        <f t="shared" si="19"/>
        <v>189471.301523709</v>
      </c>
    </row>
    <row r="270" spans="1:23">
      <c r="A270" s="134" t="s">
        <v>158</v>
      </c>
      <c r="B270" s="134">
        <v>40179</v>
      </c>
      <c r="C270" s="145">
        <v>7314713.7787672598</v>
      </c>
      <c r="G270" s="134" t="s">
        <v>469</v>
      </c>
      <c r="H270" s="134" t="s">
        <v>469</v>
      </c>
      <c r="I270" s="134" t="s">
        <v>869</v>
      </c>
      <c r="J270" s="134">
        <v>7</v>
      </c>
      <c r="K270" s="145">
        <v>34.544256380083503</v>
      </c>
      <c r="L270" s="145">
        <v>4.9348937685833496</v>
      </c>
      <c r="M270" s="134"/>
      <c r="T270" s="154">
        <f t="shared" si="16"/>
        <v>40179</v>
      </c>
      <c r="U270" s="154">
        <f t="shared" si="17"/>
        <v>6917172.2198295798</v>
      </c>
      <c r="V270" s="154">
        <f t="shared" si="18"/>
        <v>0</v>
      </c>
      <c r="W270" s="155">
        <f t="shared" si="19"/>
        <v>0</v>
      </c>
    </row>
    <row r="271" spans="1:23">
      <c r="A271" s="134" t="s">
        <v>1071</v>
      </c>
      <c r="B271" s="134">
        <v>1087</v>
      </c>
      <c r="C271" s="145">
        <v>326126.19139664999</v>
      </c>
      <c r="G271" s="134" t="s">
        <v>469</v>
      </c>
      <c r="H271" s="134" t="s">
        <v>469</v>
      </c>
      <c r="I271" s="134" t="s">
        <v>188</v>
      </c>
      <c r="J271" s="134">
        <v>41</v>
      </c>
      <c r="K271" s="145">
        <v>27438.8968644411</v>
      </c>
      <c r="L271" s="145">
        <v>669.24138693758698</v>
      </c>
      <c r="M271" s="134"/>
      <c r="T271" s="154">
        <f t="shared" si="16"/>
        <v>1087</v>
      </c>
      <c r="U271" s="154">
        <f t="shared" si="17"/>
        <v>323893.656327868</v>
      </c>
      <c r="V271" s="154">
        <f t="shared" si="18"/>
        <v>1087</v>
      </c>
      <c r="W271" s="155">
        <f t="shared" si="19"/>
        <v>323893.656327868</v>
      </c>
    </row>
    <row r="272" spans="1:23">
      <c r="A272" s="134" t="s">
        <v>159</v>
      </c>
      <c r="B272" s="134">
        <v>2164</v>
      </c>
      <c r="C272" s="145">
        <v>377635.41001518798</v>
      </c>
      <c r="G272" s="134" t="s">
        <v>469</v>
      </c>
      <c r="H272" s="134" t="s">
        <v>469</v>
      </c>
      <c r="I272" s="134" t="s">
        <v>1053</v>
      </c>
      <c r="J272" s="134">
        <v>833</v>
      </c>
      <c r="K272" s="145">
        <v>50641.813740347498</v>
      </c>
      <c r="L272" s="145">
        <v>60.794494286131403</v>
      </c>
      <c r="M272" s="134"/>
      <c r="T272" s="154">
        <f t="shared" si="16"/>
        <v>2164</v>
      </c>
      <c r="U272" s="154">
        <f t="shared" si="17"/>
        <v>353636.52388400899</v>
      </c>
      <c r="V272" s="154">
        <f t="shared" si="18"/>
        <v>0</v>
      </c>
      <c r="W272" s="155">
        <f t="shared" si="19"/>
        <v>0</v>
      </c>
    </row>
    <row r="273" spans="1:23">
      <c r="A273" s="134" t="s">
        <v>160</v>
      </c>
      <c r="B273" s="134">
        <v>8</v>
      </c>
      <c r="C273" s="145">
        <v>1881.18510091862</v>
      </c>
      <c r="G273" s="134" t="s">
        <v>469</v>
      </c>
      <c r="H273" s="134" t="s">
        <v>469</v>
      </c>
      <c r="I273" s="134" t="s">
        <v>783</v>
      </c>
      <c r="J273" s="134">
        <v>140969</v>
      </c>
      <c r="K273" s="145">
        <v>16417795.3796017</v>
      </c>
      <c r="L273" s="145">
        <v>116.4638706354</v>
      </c>
      <c r="M273" s="134"/>
      <c r="T273" s="154">
        <f t="shared" si="16"/>
        <v>8</v>
      </c>
      <c r="U273" s="154">
        <f t="shared" si="17"/>
        <v>1792.3815081902101</v>
      </c>
      <c r="V273" s="154">
        <f t="shared" si="18"/>
        <v>8</v>
      </c>
      <c r="W273" s="155">
        <f t="shared" si="19"/>
        <v>1792.3815081902101</v>
      </c>
    </row>
    <row r="274" spans="1:23">
      <c r="A274" s="134" t="s">
        <v>911</v>
      </c>
      <c r="B274" s="134">
        <v>451</v>
      </c>
      <c r="C274" s="145">
        <v>98301.704435003805</v>
      </c>
      <c r="G274" s="134" t="s">
        <v>469</v>
      </c>
      <c r="H274" s="134" t="s">
        <v>469</v>
      </c>
      <c r="I274" s="134" t="s">
        <v>749</v>
      </c>
      <c r="J274" s="134">
        <v>35</v>
      </c>
      <c r="K274" s="145">
        <v>4737.1236966880597</v>
      </c>
      <c r="L274" s="145">
        <v>135.34639133394501</v>
      </c>
      <c r="M274" s="134"/>
      <c r="T274" s="154">
        <f t="shared" si="16"/>
        <v>451</v>
      </c>
      <c r="U274" s="154">
        <f t="shared" si="17"/>
        <v>74214.946257522897</v>
      </c>
      <c r="V274" s="154">
        <f t="shared" si="18"/>
        <v>451</v>
      </c>
      <c r="W274" s="155">
        <f t="shared" si="19"/>
        <v>74214.946257522897</v>
      </c>
    </row>
    <row r="275" spans="1:23">
      <c r="A275" s="134" t="s">
        <v>352</v>
      </c>
      <c r="B275" s="134">
        <v>15</v>
      </c>
      <c r="C275" s="145">
        <v>2494.87380590354</v>
      </c>
      <c r="G275" s="134" t="s">
        <v>469</v>
      </c>
      <c r="H275" s="134" t="s">
        <v>469</v>
      </c>
      <c r="I275" s="134" t="s">
        <v>788</v>
      </c>
      <c r="J275" s="134">
        <v>1355</v>
      </c>
      <c r="K275" s="145">
        <v>180464.05701275801</v>
      </c>
      <c r="L275" s="145">
        <v>133.183805913475</v>
      </c>
      <c r="M275" s="134"/>
      <c r="T275" s="154">
        <f t="shared" si="16"/>
        <v>15</v>
      </c>
      <c r="U275" s="154">
        <f t="shared" si="17"/>
        <v>2494.87380590354</v>
      </c>
      <c r="V275" s="154">
        <f t="shared" si="18"/>
        <v>15</v>
      </c>
      <c r="W275" s="155">
        <f t="shared" si="19"/>
        <v>2494.87380590354</v>
      </c>
    </row>
    <row r="276" spans="1:23">
      <c r="A276" s="134" t="s">
        <v>912</v>
      </c>
      <c r="B276" s="134">
        <v>148</v>
      </c>
      <c r="C276" s="145">
        <v>24352.807462936998</v>
      </c>
      <c r="G276" s="134" t="s">
        <v>469</v>
      </c>
      <c r="H276" s="134" t="s">
        <v>469</v>
      </c>
      <c r="I276" s="134" t="s">
        <v>999</v>
      </c>
      <c r="J276" s="134">
        <v>1237</v>
      </c>
      <c r="K276" s="145">
        <v>173615.50911903201</v>
      </c>
      <c r="L276" s="145">
        <v>140.35206881085799</v>
      </c>
      <c r="M276" s="134"/>
      <c r="T276" s="154">
        <f t="shared" si="16"/>
        <v>148</v>
      </c>
      <c r="U276" s="154">
        <f t="shared" si="17"/>
        <v>24086.396684751799</v>
      </c>
      <c r="V276" s="154">
        <f t="shared" si="18"/>
        <v>148</v>
      </c>
      <c r="W276" s="155">
        <f t="shared" si="19"/>
        <v>24086.396684751799</v>
      </c>
    </row>
    <row r="277" spans="1:23">
      <c r="A277" s="134" t="s">
        <v>161</v>
      </c>
      <c r="B277" s="134">
        <v>6</v>
      </c>
      <c r="C277" s="145">
        <v>643.78496735342401</v>
      </c>
      <c r="G277" s="134" t="s">
        <v>469</v>
      </c>
      <c r="H277" s="134" t="s">
        <v>469</v>
      </c>
      <c r="I277" s="134" t="s">
        <v>1062</v>
      </c>
      <c r="J277" s="134">
        <v>299</v>
      </c>
      <c r="K277" s="145">
        <v>59079.648496259702</v>
      </c>
      <c r="L277" s="145">
        <v>197.590797646353</v>
      </c>
      <c r="M277" s="134"/>
      <c r="T277" s="154">
        <f t="shared" si="16"/>
        <v>6</v>
      </c>
      <c r="U277" s="154">
        <f t="shared" si="17"/>
        <v>643.78496735342401</v>
      </c>
      <c r="V277" s="154">
        <f t="shared" si="18"/>
        <v>6</v>
      </c>
      <c r="W277" s="155">
        <f t="shared" si="19"/>
        <v>643.78496735342401</v>
      </c>
    </row>
    <row r="278" spans="1:23">
      <c r="A278" s="134" t="s">
        <v>913</v>
      </c>
      <c r="B278" s="134">
        <v>52</v>
      </c>
      <c r="C278" s="145">
        <v>7517.6787682724898</v>
      </c>
      <c r="G278" s="134" t="s">
        <v>469</v>
      </c>
      <c r="H278" s="134" t="s">
        <v>469</v>
      </c>
      <c r="I278" s="134" t="s">
        <v>177</v>
      </c>
      <c r="J278" s="134">
        <v>24</v>
      </c>
      <c r="K278" s="145">
        <v>2764.20476004179</v>
      </c>
      <c r="L278" s="145">
        <v>115.175198335074</v>
      </c>
      <c r="M278" s="134"/>
      <c r="T278" s="154">
        <f t="shared" si="16"/>
        <v>52</v>
      </c>
      <c r="U278" s="154">
        <f t="shared" si="17"/>
        <v>7008.1807347926897</v>
      </c>
      <c r="V278" s="154">
        <f t="shared" si="18"/>
        <v>52</v>
      </c>
      <c r="W278" s="155">
        <f t="shared" si="19"/>
        <v>7008.1807347926897</v>
      </c>
    </row>
    <row r="279" spans="1:23">
      <c r="A279" s="134" t="s">
        <v>162</v>
      </c>
      <c r="B279" s="134">
        <v>114</v>
      </c>
      <c r="C279" s="145">
        <v>21133.247153353899</v>
      </c>
      <c r="G279" s="134" t="s">
        <v>469</v>
      </c>
      <c r="H279" s="134" t="s">
        <v>469</v>
      </c>
      <c r="I279" s="134" t="s">
        <v>697</v>
      </c>
      <c r="J279" s="134">
        <v>56</v>
      </c>
      <c r="K279" s="145">
        <v>6354.9697168440098</v>
      </c>
      <c r="L279" s="145">
        <v>113.4816020865</v>
      </c>
      <c r="M279" s="134"/>
      <c r="T279" s="154">
        <f t="shared" si="16"/>
        <v>114</v>
      </c>
      <c r="U279" s="154">
        <f t="shared" si="17"/>
        <v>16405.156836485301</v>
      </c>
      <c r="V279" s="154">
        <f t="shared" si="18"/>
        <v>114</v>
      </c>
      <c r="W279" s="155">
        <f t="shared" si="19"/>
        <v>16405.156836485301</v>
      </c>
    </row>
    <row r="280" spans="1:23">
      <c r="A280" s="134" t="s">
        <v>914</v>
      </c>
      <c r="B280" s="134">
        <v>4</v>
      </c>
      <c r="C280" s="145">
        <v>1061.92996885874</v>
      </c>
      <c r="G280" s="134" t="s">
        <v>469</v>
      </c>
      <c r="H280" s="134" t="s">
        <v>469</v>
      </c>
      <c r="I280" s="134" t="s">
        <v>123</v>
      </c>
      <c r="J280" s="134">
        <v>129</v>
      </c>
      <c r="K280" s="145">
        <v>13191.163682853399</v>
      </c>
      <c r="L280" s="145">
        <v>102.257082812817</v>
      </c>
      <c r="M280" s="134"/>
      <c r="T280" s="154">
        <f t="shared" si="16"/>
        <v>4</v>
      </c>
      <c r="U280" s="154">
        <f t="shared" si="17"/>
        <v>1061.92996885874</v>
      </c>
      <c r="V280" s="154">
        <f t="shared" si="18"/>
        <v>4</v>
      </c>
      <c r="W280" s="155">
        <f t="shared" si="19"/>
        <v>1061.92996885874</v>
      </c>
    </row>
    <row r="281" spans="1:23">
      <c r="A281" s="134" t="s">
        <v>915</v>
      </c>
      <c r="B281" s="134">
        <v>3</v>
      </c>
      <c r="C281" s="145">
        <v>1587.2794755763</v>
      </c>
      <c r="G281" s="134" t="s">
        <v>469</v>
      </c>
      <c r="H281" s="134" t="s">
        <v>469</v>
      </c>
      <c r="I281" s="134" t="s">
        <v>487</v>
      </c>
      <c r="J281" s="134">
        <v>57148</v>
      </c>
      <c r="K281" s="145">
        <v>8527292.3472345304</v>
      </c>
      <c r="L281" s="145">
        <v>149.214186799792</v>
      </c>
      <c r="M281" s="134"/>
      <c r="T281" s="154">
        <f t="shared" si="16"/>
        <v>3</v>
      </c>
      <c r="U281" s="154">
        <f t="shared" si="17"/>
        <v>922.35315362208598</v>
      </c>
      <c r="V281" s="154">
        <f t="shared" si="18"/>
        <v>3</v>
      </c>
      <c r="W281" s="155">
        <f t="shared" si="19"/>
        <v>922.35315362208598</v>
      </c>
    </row>
    <row r="282" spans="1:23">
      <c r="A282" s="134" t="s">
        <v>916</v>
      </c>
      <c r="B282" s="134">
        <v>75</v>
      </c>
      <c r="C282" s="145">
        <v>10612.879670621</v>
      </c>
      <c r="G282" s="134" t="s">
        <v>469</v>
      </c>
      <c r="H282" s="134" t="s">
        <v>469</v>
      </c>
      <c r="I282" s="134" t="s">
        <v>882</v>
      </c>
      <c r="J282" s="134">
        <v>5</v>
      </c>
      <c r="K282" s="145">
        <v>577.86268432317604</v>
      </c>
      <c r="L282" s="145">
        <v>115.572536864635</v>
      </c>
      <c r="M282" s="134"/>
      <c r="T282" s="154">
        <f t="shared" si="16"/>
        <v>75</v>
      </c>
      <c r="U282" s="154">
        <f t="shared" si="17"/>
        <v>10524.0760778926</v>
      </c>
      <c r="V282" s="154">
        <f t="shared" si="18"/>
        <v>75</v>
      </c>
      <c r="W282" s="155">
        <f t="shared" si="19"/>
        <v>10524.0760778926</v>
      </c>
    </row>
    <row r="283" spans="1:23">
      <c r="A283" s="134" t="s">
        <v>164</v>
      </c>
      <c r="B283" s="134">
        <v>41</v>
      </c>
      <c r="C283" s="145">
        <v>4668.5548027981204</v>
      </c>
      <c r="G283" s="134" t="s">
        <v>469</v>
      </c>
      <c r="H283" s="134" t="s">
        <v>469</v>
      </c>
      <c r="I283" s="134" t="s">
        <v>175</v>
      </c>
      <c r="J283" s="134">
        <v>11</v>
      </c>
      <c r="K283" s="145">
        <v>971.13364364594497</v>
      </c>
      <c r="L283" s="145">
        <v>88.284876695085899</v>
      </c>
      <c r="M283" s="134"/>
      <c r="T283" s="154">
        <f t="shared" si="16"/>
        <v>41</v>
      </c>
      <c r="U283" s="154">
        <f t="shared" si="17"/>
        <v>4668.5548027981204</v>
      </c>
      <c r="V283" s="154">
        <f t="shared" si="18"/>
        <v>41</v>
      </c>
      <c r="W283" s="155">
        <f t="shared" si="19"/>
        <v>4668.5548027981204</v>
      </c>
    </row>
    <row r="284" spans="1:23">
      <c r="A284" s="134" t="s">
        <v>166</v>
      </c>
      <c r="B284" s="134">
        <v>395</v>
      </c>
      <c r="C284" s="145">
        <v>56986.450776563899</v>
      </c>
      <c r="G284" s="134" t="s">
        <v>469</v>
      </c>
      <c r="H284" s="134" t="s">
        <v>469</v>
      </c>
      <c r="I284" s="134" t="s">
        <v>668</v>
      </c>
      <c r="J284" s="134">
        <v>1186</v>
      </c>
      <c r="K284" s="145">
        <v>155043.06371479499</v>
      </c>
      <c r="L284" s="145">
        <v>130.72770970893299</v>
      </c>
      <c r="M284" s="134"/>
      <c r="T284" s="154">
        <f t="shared" si="16"/>
        <v>395</v>
      </c>
      <c r="U284" s="154">
        <f t="shared" si="17"/>
        <v>55730.695217716799</v>
      </c>
      <c r="V284" s="154">
        <f t="shared" si="18"/>
        <v>395</v>
      </c>
      <c r="W284" s="155">
        <f t="shared" si="19"/>
        <v>55730.695217716799</v>
      </c>
    </row>
    <row r="285" spans="1:23">
      <c r="A285" s="134" t="s">
        <v>917</v>
      </c>
      <c r="B285" s="134">
        <v>51</v>
      </c>
      <c r="C285" s="145">
        <v>7807.2982964805797</v>
      </c>
      <c r="G285" s="134" t="s">
        <v>469</v>
      </c>
      <c r="H285" s="134" t="s">
        <v>469</v>
      </c>
      <c r="I285" s="134" t="s">
        <v>165</v>
      </c>
      <c r="J285" s="134">
        <v>3054</v>
      </c>
      <c r="K285" s="145">
        <v>445115.11146697198</v>
      </c>
      <c r="L285" s="145">
        <v>145.74823558185099</v>
      </c>
      <c r="M285" s="134"/>
      <c r="T285" s="154">
        <f t="shared" si="16"/>
        <v>51</v>
      </c>
      <c r="U285" s="154">
        <f t="shared" si="17"/>
        <v>7302.5088245446004</v>
      </c>
      <c r="V285" s="154">
        <f t="shared" si="18"/>
        <v>51</v>
      </c>
      <c r="W285" s="155">
        <f t="shared" si="19"/>
        <v>7302.5088245446004</v>
      </c>
    </row>
    <row r="286" spans="1:23">
      <c r="A286" s="134" t="s">
        <v>316</v>
      </c>
      <c r="B286" s="134">
        <v>285</v>
      </c>
      <c r="C286" s="145">
        <v>68077.121713357497</v>
      </c>
      <c r="G286" s="134" t="s">
        <v>469</v>
      </c>
      <c r="H286" s="134" t="s">
        <v>469</v>
      </c>
      <c r="I286" s="134" t="s">
        <v>965</v>
      </c>
      <c r="J286" s="134">
        <v>1</v>
      </c>
      <c r="K286" s="145">
        <v>65.007628826643</v>
      </c>
      <c r="L286" s="145">
        <v>65.007628826643</v>
      </c>
      <c r="M286" s="134"/>
      <c r="T286" s="154">
        <f t="shared" si="16"/>
        <v>285</v>
      </c>
      <c r="U286" s="154">
        <f t="shared" si="17"/>
        <v>64423.783437439102</v>
      </c>
      <c r="V286" s="154">
        <f t="shared" si="18"/>
        <v>285</v>
      </c>
      <c r="W286" s="155">
        <f t="shared" si="19"/>
        <v>64423.783437439102</v>
      </c>
    </row>
    <row r="287" spans="1:23">
      <c r="A287" s="134" t="s">
        <v>168</v>
      </c>
      <c r="B287" s="134">
        <v>25</v>
      </c>
      <c r="C287" s="145">
        <v>5616.1700189457497</v>
      </c>
      <c r="G287" s="134" t="s">
        <v>469</v>
      </c>
      <c r="H287" s="134" t="s">
        <v>469</v>
      </c>
      <c r="I287" s="134" t="s">
        <v>81</v>
      </c>
      <c r="J287" s="134">
        <v>4713</v>
      </c>
      <c r="K287" s="145">
        <v>413414.44818255201</v>
      </c>
      <c r="L287" s="145">
        <v>87.717896919701204</v>
      </c>
      <c r="M287" s="134"/>
      <c r="T287" s="154">
        <f t="shared" si="16"/>
        <v>25</v>
      </c>
      <c r="U287" s="154">
        <f t="shared" si="17"/>
        <v>4550.5269062048901</v>
      </c>
      <c r="V287" s="154">
        <f t="shared" si="18"/>
        <v>25</v>
      </c>
      <c r="W287" s="155">
        <f t="shared" si="19"/>
        <v>4550.5269062048901</v>
      </c>
    </row>
    <row r="288" spans="1:23">
      <c r="A288" s="134" t="s">
        <v>169</v>
      </c>
      <c r="B288" s="134">
        <v>6</v>
      </c>
      <c r="C288" s="145">
        <v>831.14994762210597</v>
      </c>
      <c r="G288" s="134" t="s">
        <v>469</v>
      </c>
      <c r="H288" s="134" t="s">
        <v>469</v>
      </c>
      <c r="I288" s="134" t="s">
        <v>787</v>
      </c>
      <c r="J288" s="134">
        <v>27283</v>
      </c>
      <c r="K288" s="145">
        <v>3771316.28714066</v>
      </c>
      <c r="L288" s="145">
        <v>138.229530738579</v>
      </c>
      <c r="M288" s="134"/>
      <c r="T288" s="154">
        <f t="shared" si="16"/>
        <v>6</v>
      </c>
      <c r="U288" s="154">
        <f t="shared" si="17"/>
        <v>742.346354893701</v>
      </c>
      <c r="V288" s="154">
        <f t="shared" si="18"/>
        <v>6</v>
      </c>
      <c r="W288" s="155">
        <f t="shared" si="19"/>
        <v>742.346354893701</v>
      </c>
    </row>
    <row r="289" spans="1:23">
      <c r="A289" s="134" t="s">
        <v>918</v>
      </c>
      <c r="B289" s="134">
        <v>9</v>
      </c>
      <c r="C289" s="145">
        <v>1123.4547097002601</v>
      </c>
      <c r="G289" s="134" t="s">
        <v>469</v>
      </c>
      <c r="H289" s="134" t="s">
        <v>469</v>
      </c>
      <c r="I289" s="134" t="s">
        <v>149</v>
      </c>
      <c r="J289" s="134">
        <v>356</v>
      </c>
      <c r="K289" s="145">
        <v>40438.616166758002</v>
      </c>
      <c r="L289" s="145">
        <v>113.591618445949</v>
      </c>
      <c r="M289" s="134"/>
      <c r="T289" s="154">
        <f t="shared" si="16"/>
        <v>9</v>
      </c>
      <c r="U289" s="154">
        <f t="shared" si="17"/>
        <v>1123.4547097002601</v>
      </c>
      <c r="V289" s="154">
        <f t="shared" si="18"/>
        <v>9</v>
      </c>
      <c r="W289" s="155">
        <f t="shared" si="19"/>
        <v>1123.4547097002601</v>
      </c>
    </row>
    <row r="290" spans="1:23">
      <c r="A290" s="134" t="s">
        <v>919</v>
      </c>
      <c r="B290" s="134">
        <v>1</v>
      </c>
      <c r="C290" s="145">
        <v>324.300320004453</v>
      </c>
      <c r="G290" s="134" t="s">
        <v>469</v>
      </c>
      <c r="H290" s="134" t="s">
        <v>469</v>
      </c>
      <c r="I290" s="134" t="s">
        <v>784</v>
      </c>
      <c r="J290" s="134">
        <v>141433</v>
      </c>
      <c r="K290" s="145">
        <v>15282609.480777301</v>
      </c>
      <c r="L290" s="145">
        <v>108.055471359423</v>
      </c>
      <c r="M290" s="134"/>
      <c r="T290" s="154">
        <f t="shared" si="16"/>
        <v>1</v>
      </c>
      <c r="U290" s="154">
        <f t="shared" si="17"/>
        <v>235.49672727604801</v>
      </c>
      <c r="V290" s="154">
        <f t="shared" si="18"/>
        <v>1</v>
      </c>
      <c r="W290" s="155">
        <f t="shared" si="19"/>
        <v>235.49672727604801</v>
      </c>
    </row>
    <row r="291" spans="1:23">
      <c r="A291" s="134" t="s">
        <v>920</v>
      </c>
      <c r="B291" s="134">
        <v>53</v>
      </c>
      <c r="C291" s="145">
        <v>10631.3532570877</v>
      </c>
      <c r="G291" s="134" t="s">
        <v>469</v>
      </c>
      <c r="H291" s="134" t="s">
        <v>469</v>
      </c>
      <c r="I291" s="134" t="s">
        <v>748</v>
      </c>
      <c r="J291" s="134">
        <v>1157</v>
      </c>
      <c r="K291" s="145">
        <v>109173.93807458501</v>
      </c>
      <c r="L291" s="145">
        <v>94.359497039399002</v>
      </c>
      <c r="M291" s="134"/>
      <c r="T291" s="154">
        <f t="shared" si="16"/>
        <v>53</v>
      </c>
      <c r="U291" s="154">
        <f t="shared" si="17"/>
        <v>10542.5496643593</v>
      </c>
      <c r="V291" s="154">
        <f t="shared" si="18"/>
        <v>53</v>
      </c>
      <c r="W291" s="155">
        <f t="shared" si="19"/>
        <v>10542.5496643593</v>
      </c>
    </row>
    <row r="292" spans="1:23">
      <c r="A292" s="134" t="s">
        <v>350</v>
      </c>
      <c r="B292" s="134">
        <v>5</v>
      </c>
      <c r="C292" s="145">
        <v>1899.4513895074101</v>
      </c>
      <c r="G292" s="134" t="s">
        <v>469</v>
      </c>
      <c r="H292" s="134" t="s">
        <v>469</v>
      </c>
      <c r="I292" s="134" t="s">
        <v>695</v>
      </c>
      <c r="J292" s="134">
        <v>2548</v>
      </c>
      <c r="K292" s="145">
        <v>471454.84936469799</v>
      </c>
      <c r="L292" s="145">
        <v>185.029375731828</v>
      </c>
      <c r="M292" s="134"/>
      <c r="T292" s="154">
        <f t="shared" si="16"/>
        <v>5</v>
      </c>
      <c r="U292" s="154">
        <f t="shared" si="17"/>
        <v>1007.26704536636</v>
      </c>
      <c r="V292" s="154">
        <f t="shared" si="18"/>
        <v>5</v>
      </c>
      <c r="W292" s="155">
        <f t="shared" si="19"/>
        <v>1007.26704536636</v>
      </c>
    </row>
    <row r="293" spans="1:23">
      <c r="A293" s="134" t="s">
        <v>921</v>
      </c>
      <c r="B293" s="134">
        <v>3</v>
      </c>
      <c r="C293" s="145">
        <v>521.10981918822097</v>
      </c>
      <c r="G293" s="134" t="s">
        <v>469</v>
      </c>
      <c r="H293" s="134" t="s">
        <v>469</v>
      </c>
      <c r="I293" s="134" t="s">
        <v>785</v>
      </c>
      <c r="J293" s="134">
        <v>11160</v>
      </c>
      <c r="K293" s="145">
        <v>1531262.9338765801</v>
      </c>
      <c r="L293" s="145">
        <v>137.20994031152199</v>
      </c>
      <c r="M293" s="134"/>
      <c r="T293" s="154">
        <f t="shared" si="16"/>
        <v>3</v>
      </c>
      <c r="U293" s="154">
        <f t="shared" si="17"/>
        <v>521.10981918822097</v>
      </c>
      <c r="V293" s="154">
        <f t="shared" si="18"/>
        <v>3</v>
      </c>
      <c r="W293" s="155">
        <f t="shared" si="19"/>
        <v>521.10981918822097</v>
      </c>
    </row>
    <row r="294" spans="1:23">
      <c r="A294" s="134" t="s">
        <v>355</v>
      </c>
      <c r="B294" s="134">
        <v>9</v>
      </c>
      <c r="C294" s="145">
        <v>1539.2248625725399</v>
      </c>
      <c r="G294" s="134" t="s">
        <v>469</v>
      </c>
      <c r="H294" s="134" t="s">
        <v>469</v>
      </c>
      <c r="I294" s="134" t="s">
        <v>141</v>
      </c>
      <c r="J294" s="134">
        <v>24</v>
      </c>
      <c r="K294" s="145">
        <v>2624.0570919381498</v>
      </c>
      <c r="L294" s="145">
        <v>109.33571216409</v>
      </c>
      <c r="M294" s="134"/>
      <c r="T294" s="154">
        <f t="shared" si="16"/>
        <v>9</v>
      </c>
      <c r="U294" s="154">
        <f t="shared" si="17"/>
        <v>1539.2248625725399</v>
      </c>
      <c r="V294" s="154">
        <f t="shared" si="18"/>
        <v>9</v>
      </c>
      <c r="W294" s="155">
        <f t="shared" si="19"/>
        <v>1539.2248625725399</v>
      </c>
    </row>
    <row r="295" spans="1:23">
      <c r="A295" s="134" t="s">
        <v>330</v>
      </c>
      <c r="B295" s="134">
        <v>1</v>
      </c>
      <c r="C295" s="145">
        <v>72.583991962716297</v>
      </c>
      <c r="G295" s="134" t="s">
        <v>469</v>
      </c>
      <c r="H295" s="134" t="s">
        <v>469</v>
      </c>
      <c r="I295" s="134" t="s">
        <v>1002</v>
      </c>
      <c r="J295" s="134">
        <v>113</v>
      </c>
      <c r="K295" s="145">
        <v>11037.623571754</v>
      </c>
      <c r="L295" s="145">
        <v>97.678084705787199</v>
      </c>
      <c r="M295" s="134"/>
      <c r="T295" s="154">
        <f t="shared" si="16"/>
        <v>1</v>
      </c>
      <c r="U295" s="154">
        <f t="shared" si="17"/>
        <v>72.583991962716297</v>
      </c>
      <c r="V295" s="154">
        <f t="shared" si="18"/>
        <v>1</v>
      </c>
      <c r="W295" s="155">
        <f t="shared" si="19"/>
        <v>72.583991962716297</v>
      </c>
    </row>
    <row r="296" spans="1:23">
      <c r="A296" s="134" t="s">
        <v>173</v>
      </c>
      <c r="B296" s="134">
        <v>19</v>
      </c>
      <c r="C296" s="145">
        <v>2529.6018090504999</v>
      </c>
      <c r="G296" s="134" t="s">
        <v>469</v>
      </c>
      <c r="H296" s="134" t="s">
        <v>469</v>
      </c>
      <c r="I296" s="134" t="s">
        <v>829</v>
      </c>
      <c r="J296" s="134">
        <v>1594</v>
      </c>
      <c r="K296" s="145">
        <v>440403.21006546199</v>
      </c>
      <c r="L296" s="145">
        <v>276.28808661572299</v>
      </c>
      <c r="M296" s="134"/>
      <c r="T296" s="154">
        <f t="shared" si="16"/>
        <v>19</v>
      </c>
      <c r="U296" s="154">
        <f t="shared" si="17"/>
        <v>2440.7982163221</v>
      </c>
      <c r="V296" s="154">
        <f t="shared" si="18"/>
        <v>19</v>
      </c>
      <c r="W296" s="155">
        <f t="shared" si="19"/>
        <v>2440.7982163221</v>
      </c>
    </row>
    <row r="297" spans="1:23">
      <c r="A297" s="134" t="s">
        <v>367</v>
      </c>
      <c r="B297" s="134">
        <v>15</v>
      </c>
      <c r="C297" s="145">
        <v>1138.2157130025601</v>
      </c>
      <c r="G297" s="134" t="s">
        <v>469</v>
      </c>
      <c r="H297" s="134" t="s">
        <v>469</v>
      </c>
      <c r="I297" s="134" t="s">
        <v>858</v>
      </c>
      <c r="J297" s="134">
        <v>3725</v>
      </c>
      <c r="K297" s="145">
        <v>388462.35107707599</v>
      </c>
      <c r="L297" s="145">
        <v>104.28519492002</v>
      </c>
      <c r="M297" s="134"/>
      <c r="T297" s="154">
        <f t="shared" si="16"/>
        <v>15</v>
      </c>
      <c r="U297" s="154">
        <f t="shared" si="17"/>
        <v>1138.2157130025601</v>
      </c>
      <c r="V297" s="154">
        <f t="shared" si="18"/>
        <v>15</v>
      </c>
      <c r="W297" s="155">
        <f t="shared" si="19"/>
        <v>1138.2157130025601</v>
      </c>
    </row>
    <row r="298" spans="1:23">
      <c r="A298" s="134" t="s">
        <v>351</v>
      </c>
      <c r="B298" s="134">
        <v>1</v>
      </c>
      <c r="C298" s="145">
        <v>38.195954395795198</v>
      </c>
      <c r="G298" s="134" t="s">
        <v>469</v>
      </c>
      <c r="H298" s="134" t="s">
        <v>469</v>
      </c>
      <c r="I298" s="134" t="s">
        <v>988</v>
      </c>
      <c r="J298" s="134">
        <v>623</v>
      </c>
      <c r="K298" s="145">
        <v>237676.700875246</v>
      </c>
      <c r="L298" s="145">
        <v>381.50353270505002</v>
      </c>
      <c r="M298" s="134"/>
      <c r="T298" s="154">
        <f t="shared" si="16"/>
        <v>1</v>
      </c>
      <c r="U298" s="154">
        <f t="shared" si="17"/>
        <v>38.195954395795198</v>
      </c>
      <c r="V298" s="154">
        <f t="shared" si="18"/>
        <v>1</v>
      </c>
      <c r="W298" s="155">
        <f t="shared" si="19"/>
        <v>38.195954395795198</v>
      </c>
    </row>
    <row r="299" spans="1:23">
      <c r="A299" s="134" t="s">
        <v>175</v>
      </c>
      <c r="B299" s="134">
        <v>11</v>
      </c>
      <c r="C299" s="145">
        <v>971.13364364594497</v>
      </c>
      <c r="G299" s="134" t="s">
        <v>469</v>
      </c>
      <c r="H299" s="134" t="s">
        <v>469</v>
      </c>
      <c r="I299" s="134" t="s">
        <v>862</v>
      </c>
      <c r="J299" s="134">
        <v>2</v>
      </c>
      <c r="K299" s="145">
        <v>468.13013493875002</v>
      </c>
      <c r="L299" s="145">
        <v>234.06506746937501</v>
      </c>
      <c r="M299" s="134"/>
      <c r="T299" s="154">
        <f t="shared" si="16"/>
        <v>11</v>
      </c>
      <c r="U299" s="154">
        <f t="shared" si="17"/>
        <v>971.13364364594497</v>
      </c>
      <c r="V299" s="154">
        <f t="shared" si="18"/>
        <v>11</v>
      </c>
      <c r="W299" s="155">
        <f t="shared" si="19"/>
        <v>971.13364364594497</v>
      </c>
    </row>
    <row r="300" spans="1:23">
      <c r="A300" s="134" t="s">
        <v>922</v>
      </c>
      <c r="B300" s="134">
        <v>9</v>
      </c>
      <c r="C300" s="145">
        <v>4069.6643321166898</v>
      </c>
      <c r="G300" s="134" t="s">
        <v>469</v>
      </c>
      <c r="H300" s="134" t="s">
        <v>469</v>
      </c>
      <c r="I300" s="134" t="s">
        <v>902</v>
      </c>
      <c r="J300" s="134">
        <v>7294</v>
      </c>
      <c r="K300" s="145">
        <v>699935.72193127999</v>
      </c>
      <c r="L300" s="145">
        <v>95.960477369245893</v>
      </c>
      <c r="M300" s="134"/>
      <c r="T300" s="154">
        <f t="shared" si="16"/>
        <v>9</v>
      </c>
      <c r="U300" s="154">
        <f t="shared" si="17"/>
        <v>416.01958657615398</v>
      </c>
      <c r="V300" s="154">
        <f t="shared" si="18"/>
        <v>9</v>
      </c>
      <c r="W300" s="155">
        <f t="shared" si="19"/>
        <v>416.01958657615398</v>
      </c>
    </row>
    <row r="301" spans="1:23">
      <c r="A301" s="134" t="s">
        <v>923</v>
      </c>
      <c r="B301" s="134">
        <v>283</v>
      </c>
      <c r="C301" s="145">
        <v>60826.127108054301</v>
      </c>
      <c r="G301" s="134" t="s">
        <v>469</v>
      </c>
      <c r="H301" s="134" t="s">
        <v>469</v>
      </c>
      <c r="I301" s="134" t="s">
        <v>86</v>
      </c>
      <c r="J301" s="134">
        <v>227</v>
      </c>
      <c r="K301" s="145">
        <v>36444.976837777402</v>
      </c>
      <c r="L301" s="145">
        <v>160.55055875672801</v>
      </c>
      <c r="M301" s="134"/>
      <c r="T301" s="154">
        <f t="shared" si="16"/>
        <v>283</v>
      </c>
      <c r="U301" s="154">
        <f t="shared" si="17"/>
        <v>46715.504869339602</v>
      </c>
      <c r="V301" s="154">
        <f t="shared" si="18"/>
        <v>283</v>
      </c>
      <c r="W301" s="155">
        <f t="shared" si="19"/>
        <v>46715.504869339602</v>
      </c>
    </row>
    <row r="302" spans="1:23">
      <c r="A302" s="134" t="s">
        <v>924</v>
      </c>
      <c r="B302" s="134">
        <v>1</v>
      </c>
      <c r="C302" s="145">
        <v>832.78800481812198</v>
      </c>
      <c r="G302" s="134" t="s">
        <v>469</v>
      </c>
      <c r="H302" s="134" t="s">
        <v>469</v>
      </c>
      <c r="I302" s="134" t="s">
        <v>976</v>
      </c>
      <c r="J302" s="134">
        <v>25</v>
      </c>
      <c r="K302" s="145">
        <v>52483.033117556501</v>
      </c>
      <c r="L302" s="145">
        <v>2099.32132470226</v>
      </c>
      <c r="M302" s="134"/>
      <c r="T302" s="154">
        <f t="shared" si="16"/>
        <v>1</v>
      </c>
      <c r="U302" s="154">
        <f t="shared" si="17"/>
        <v>832.78800481812198</v>
      </c>
      <c r="V302" s="154">
        <f t="shared" si="18"/>
        <v>1</v>
      </c>
      <c r="W302" s="155">
        <f t="shared" si="19"/>
        <v>832.78800481812198</v>
      </c>
    </row>
    <row r="303" spans="1:23">
      <c r="A303" s="134" t="s">
        <v>925</v>
      </c>
      <c r="B303" s="134">
        <v>51</v>
      </c>
      <c r="C303" s="145">
        <v>8747.5776923375597</v>
      </c>
      <c r="G303" s="134" t="s">
        <v>469</v>
      </c>
      <c r="H303" s="134" t="s">
        <v>469</v>
      </c>
      <c r="I303" s="134" t="s">
        <v>1048</v>
      </c>
      <c r="J303" s="134">
        <v>162</v>
      </c>
      <c r="K303" s="145">
        <v>13276.6738473481</v>
      </c>
      <c r="L303" s="145">
        <v>81.954776835482207</v>
      </c>
      <c r="M303" s="134"/>
      <c r="T303" s="154">
        <f t="shared" si="16"/>
        <v>51</v>
      </c>
      <c r="U303" s="154">
        <f t="shared" si="17"/>
        <v>8747.5776923375597</v>
      </c>
      <c r="V303" s="154">
        <f t="shared" si="18"/>
        <v>51</v>
      </c>
      <c r="W303" s="155">
        <f t="shared" si="19"/>
        <v>8747.5776923375597</v>
      </c>
    </row>
    <row r="304" spans="1:23">
      <c r="A304" s="134" t="s">
        <v>926</v>
      </c>
      <c r="B304" s="134">
        <v>4</v>
      </c>
      <c r="C304" s="145">
        <v>775.46936693270402</v>
      </c>
      <c r="G304" s="134" t="s">
        <v>469</v>
      </c>
      <c r="H304" s="134" t="s">
        <v>469</v>
      </c>
      <c r="I304" s="134" t="s">
        <v>666</v>
      </c>
      <c r="J304" s="134">
        <v>44484</v>
      </c>
      <c r="K304" s="145">
        <v>5119491.6131174201</v>
      </c>
      <c r="L304" s="145">
        <v>115.086134635316</v>
      </c>
      <c r="M304" s="134"/>
      <c r="T304" s="154">
        <f t="shared" si="16"/>
        <v>4</v>
      </c>
      <c r="U304" s="154">
        <f t="shared" si="17"/>
        <v>686.66577420429905</v>
      </c>
      <c r="V304" s="154">
        <f t="shared" si="18"/>
        <v>4</v>
      </c>
      <c r="W304" s="155">
        <f t="shared" si="19"/>
        <v>686.66577420429905</v>
      </c>
    </row>
    <row r="305" spans="1:23">
      <c r="A305" s="134" t="s">
        <v>927</v>
      </c>
      <c r="B305" s="134">
        <v>114</v>
      </c>
      <c r="C305" s="145">
        <v>26269.493991253501</v>
      </c>
      <c r="G305" s="134" t="s">
        <v>469</v>
      </c>
      <c r="H305" s="134" t="s">
        <v>469</v>
      </c>
      <c r="I305" s="134" t="s">
        <v>85</v>
      </c>
      <c r="J305" s="134">
        <v>34</v>
      </c>
      <c r="K305" s="145">
        <v>4363.1795556228599</v>
      </c>
      <c r="L305" s="145">
        <v>128.328810459496</v>
      </c>
      <c r="M305" s="134"/>
      <c r="T305" s="154">
        <f t="shared" si="16"/>
        <v>114</v>
      </c>
      <c r="U305" s="154">
        <f t="shared" si="17"/>
        <v>14236.458528478601</v>
      </c>
      <c r="V305" s="154">
        <f t="shared" si="18"/>
        <v>114</v>
      </c>
      <c r="W305" s="155">
        <f t="shared" si="19"/>
        <v>14236.458528478601</v>
      </c>
    </row>
    <row r="306" spans="1:23">
      <c r="A306" s="134" t="s">
        <v>928</v>
      </c>
      <c r="B306" s="134">
        <v>1</v>
      </c>
      <c r="C306" s="145">
        <v>349.59481377772897</v>
      </c>
      <c r="G306" s="134" t="s">
        <v>469</v>
      </c>
      <c r="H306" s="134" t="s">
        <v>469</v>
      </c>
      <c r="I306" s="134" t="s">
        <v>896</v>
      </c>
      <c r="J306" s="134">
        <v>766</v>
      </c>
      <c r="K306" s="145">
        <v>98568.244718156595</v>
      </c>
      <c r="L306" s="145">
        <v>128.67917065033501</v>
      </c>
      <c r="M306" s="134"/>
      <c r="T306" s="154">
        <f t="shared" si="16"/>
        <v>1</v>
      </c>
      <c r="U306" s="154">
        <f t="shared" si="17"/>
        <v>349.59481377772897</v>
      </c>
      <c r="V306" s="154">
        <f t="shared" si="18"/>
        <v>1</v>
      </c>
      <c r="W306" s="155">
        <f t="shared" si="19"/>
        <v>349.59481377772897</v>
      </c>
    </row>
    <row r="307" spans="1:23">
      <c r="A307" s="134" t="s">
        <v>929</v>
      </c>
      <c r="B307" s="134">
        <v>12</v>
      </c>
      <c r="C307" s="145">
        <v>1242.9514708275799</v>
      </c>
      <c r="G307" s="134" t="s">
        <v>469</v>
      </c>
      <c r="H307" s="134" t="s">
        <v>469</v>
      </c>
      <c r="I307" s="134" t="s">
        <v>820</v>
      </c>
      <c r="J307" s="134">
        <v>68</v>
      </c>
      <c r="K307" s="145">
        <v>2250.5831700899898</v>
      </c>
      <c r="L307" s="145">
        <v>33.096811324852801</v>
      </c>
      <c r="M307" s="134"/>
      <c r="T307" s="154">
        <f t="shared" si="16"/>
        <v>12</v>
      </c>
      <c r="U307" s="154">
        <f t="shared" si="17"/>
        <v>1242.9514708275799</v>
      </c>
      <c r="V307" s="154">
        <f t="shared" si="18"/>
        <v>12</v>
      </c>
      <c r="W307" s="155">
        <f t="shared" si="19"/>
        <v>1242.9514708275799</v>
      </c>
    </row>
    <row r="308" spans="1:23">
      <c r="A308" s="134" t="s">
        <v>363</v>
      </c>
      <c r="B308" s="134">
        <v>386</v>
      </c>
      <c r="C308" s="145">
        <v>60060.237974992197</v>
      </c>
      <c r="G308" s="134" t="s">
        <v>469</v>
      </c>
      <c r="H308" s="134" t="s">
        <v>469</v>
      </c>
      <c r="I308" s="134" t="s">
        <v>701</v>
      </c>
      <c r="J308" s="134">
        <v>1502</v>
      </c>
      <c r="K308" s="145">
        <v>149603.61073283799</v>
      </c>
      <c r="L308" s="145">
        <v>99.602936573127707</v>
      </c>
      <c r="M308" s="134"/>
      <c r="T308" s="154">
        <f t="shared" si="16"/>
        <v>386</v>
      </c>
      <c r="U308" s="154">
        <f t="shared" si="17"/>
        <v>52101.1093803533</v>
      </c>
      <c r="V308" s="154">
        <f t="shared" si="18"/>
        <v>386</v>
      </c>
      <c r="W308" s="155">
        <f t="shared" si="19"/>
        <v>52101.1093803533</v>
      </c>
    </row>
    <row r="309" spans="1:23">
      <c r="A309" s="134" t="s">
        <v>176</v>
      </c>
      <c r="B309" s="134">
        <v>6</v>
      </c>
      <c r="C309" s="145">
        <v>1007.91523524638</v>
      </c>
      <c r="G309" s="134" t="s">
        <v>469</v>
      </c>
      <c r="H309" s="134" t="s">
        <v>469</v>
      </c>
      <c r="I309" s="134" t="s">
        <v>1000</v>
      </c>
      <c r="J309" s="134">
        <v>46</v>
      </c>
      <c r="K309" s="145">
        <v>9660.1073467760707</v>
      </c>
      <c r="L309" s="145">
        <v>210.00233362556699</v>
      </c>
      <c r="M309" s="134"/>
      <c r="T309" s="154">
        <f t="shared" si="16"/>
        <v>6</v>
      </c>
      <c r="U309" s="154">
        <f t="shared" si="17"/>
        <v>919.11164251797004</v>
      </c>
      <c r="V309" s="154">
        <f t="shared" si="18"/>
        <v>6</v>
      </c>
      <c r="W309" s="155">
        <f t="shared" si="19"/>
        <v>919.11164251797004</v>
      </c>
    </row>
    <row r="310" spans="1:23">
      <c r="A310" s="134" t="s">
        <v>930</v>
      </c>
      <c r="B310" s="134">
        <v>46</v>
      </c>
      <c r="C310" s="145">
        <v>6776.0545205486897</v>
      </c>
      <c r="G310" s="134" t="s">
        <v>469</v>
      </c>
      <c r="H310" s="134" t="s">
        <v>469</v>
      </c>
      <c r="I310" s="134" t="s">
        <v>890</v>
      </c>
      <c r="J310" s="134">
        <v>5</v>
      </c>
      <c r="K310" s="145">
        <v>1791.31832293047</v>
      </c>
      <c r="L310" s="145">
        <v>358.26366458609402</v>
      </c>
      <c r="M310" s="134"/>
      <c r="T310" s="154">
        <f t="shared" si="16"/>
        <v>46</v>
      </c>
      <c r="U310" s="154">
        <f t="shared" si="17"/>
        <v>6687.2509278202897</v>
      </c>
      <c r="V310" s="154">
        <f t="shared" si="18"/>
        <v>46</v>
      </c>
      <c r="W310" s="155">
        <f t="shared" si="19"/>
        <v>6687.2509278202897</v>
      </c>
    </row>
    <row r="311" spans="1:23">
      <c r="A311" s="134" t="s">
        <v>931</v>
      </c>
      <c r="B311" s="134">
        <v>23</v>
      </c>
      <c r="C311" s="145">
        <v>4168.9166513292303</v>
      </c>
      <c r="G311" s="134" t="s">
        <v>469</v>
      </c>
      <c r="H311" s="134" t="s">
        <v>469</v>
      </c>
      <c r="I311" s="134" t="s">
        <v>921</v>
      </c>
      <c r="J311" s="134">
        <v>3</v>
      </c>
      <c r="K311" s="145">
        <v>521.10981918822097</v>
      </c>
      <c r="L311" s="145">
        <v>173.70327306274001</v>
      </c>
      <c r="M311" s="134"/>
      <c r="T311" s="154">
        <f t="shared" si="16"/>
        <v>23</v>
      </c>
      <c r="U311" s="154">
        <f t="shared" si="17"/>
        <v>4168.9166513292303</v>
      </c>
      <c r="V311" s="154">
        <f t="shared" si="18"/>
        <v>23</v>
      </c>
      <c r="W311" s="155">
        <f t="shared" si="19"/>
        <v>4168.9166513292303</v>
      </c>
    </row>
    <row r="312" spans="1:23">
      <c r="A312" s="134" t="s">
        <v>932</v>
      </c>
      <c r="B312" s="134">
        <v>85</v>
      </c>
      <c r="C312" s="145">
        <v>10762.7085353485</v>
      </c>
      <c r="G312" s="134" t="s">
        <v>469</v>
      </c>
      <c r="H312" s="134" t="s">
        <v>469</v>
      </c>
      <c r="I312" s="134" t="s">
        <v>794</v>
      </c>
      <c r="J312" s="134">
        <v>9407</v>
      </c>
      <c r="K312" s="145">
        <v>1165619.07674876</v>
      </c>
      <c r="L312" s="145">
        <v>123.909756218642</v>
      </c>
      <c r="M312" s="134"/>
      <c r="T312" s="154">
        <f t="shared" si="16"/>
        <v>85</v>
      </c>
      <c r="U312" s="154">
        <f t="shared" si="17"/>
        <v>10673.90494262</v>
      </c>
      <c r="V312" s="154">
        <f t="shared" si="18"/>
        <v>85</v>
      </c>
      <c r="W312" s="155">
        <f t="shared" si="19"/>
        <v>10673.90494262</v>
      </c>
    </row>
    <row r="313" spans="1:23">
      <c r="A313" s="134" t="s">
        <v>933</v>
      </c>
      <c r="B313" s="134">
        <v>297</v>
      </c>
      <c r="C313" s="145">
        <v>47697.420748424804</v>
      </c>
      <c r="G313" s="134" t="s">
        <v>469</v>
      </c>
      <c r="H313" s="134" t="s">
        <v>469</v>
      </c>
      <c r="I313" s="134" t="s">
        <v>172</v>
      </c>
      <c r="J313" s="134">
        <v>2493</v>
      </c>
      <c r="K313" s="145">
        <v>288615.68873614602</v>
      </c>
      <c r="L313" s="145">
        <v>115.770432706035</v>
      </c>
      <c r="M313" s="134"/>
      <c r="T313" s="154">
        <f t="shared" si="16"/>
        <v>297</v>
      </c>
      <c r="U313" s="154">
        <f t="shared" si="17"/>
        <v>47431.009970239596</v>
      </c>
      <c r="V313" s="154">
        <f t="shared" si="18"/>
        <v>297</v>
      </c>
      <c r="W313" s="155">
        <f t="shared" si="19"/>
        <v>47431.009970239596</v>
      </c>
    </row>
    <row r="314" spans="1:23">
      <c r="A314" s="134" t="s">
        <v>934</v>
      </c>
      <c r="B314" s="134">
        <v>1</v>
      </c>
      <c r="C314" s="145">
        <v>142.95134516943301</v>
      </c>
      <c r="G314" s="134" t="s">
        <v>469</v>
      </c>
      <c r="H314" s="134" t="s">
        <v>469</v>
      </c>
      <c r="I314" s="134" t="s">
        <v>671</v>
      </c>
      <c r="J314" s="134">
        <v>28</v>
      </c>
      <c r="K314" s="145">
        <v>3824.2001257123702</v>
      </c>
      <c r="L314" s="145">
        <v>136.57857591829901</v>
      </c>
      <c r="M314" s="134"/>
      <c r="T314" s="154">
        <f t="shared" si="16"/>
        <v>1</v>
      </c>
      <c r="U314" s="154">
        <f t="shared" si="17"/>
        <v>142.95134516943301</v>
      </c>
      <c r="V314" s="154">
        <f t="shared" si="18"/>
        <v>1</v>
      </c>
      <c r="W314" s="155">
        <f t="shared" si="19"/>
        <v>142.95134516943301</v>
      </c>
    </row>
    <row r="315" spans="1:23">
      <c r="A315" s="134" t="s">
        <v>177</v>
      </c>
      <c r="B315" s="134">
        <v>24</v>
      </c>
      <c r="C315" s="145">
        <v>2764.20476004179</v>
      </c>
      <c r="G315" s="134" t="s">
        <v>469</v>
      </c>
      <c r="H315" s="134" t="s">
        <v>469</v>
      </c>
      <c r="I315" s="134" t="s">
        <v>1045</v>
      </c>
      <c r="J315" s="134">
        <v>1</v>
      </c>
      <c r="K315" s="145">
        <v>237.54042433157301</v>
      </c>
      <c r="L315" s="145">
        <v>237.54042433157301</v>
      </c>
      <c r="M315" s="134"/>
      <c r="T315" s="154">
        <f t="shared" si="16"/>
        <v>24</v>
      </c>
      <c r="U315" s="154">
        <f t="shared" si="17"/>
        <v>2764.20476004179</v>
      </c>
      <c r="V315" s="154">
        <f t="shared" si="18"/>
        <v>24</v>
      </c>
      <c r="W315" s="155">
        <f t="shared" si="19"/>
        <v>2764.20476004179</v>
      </c>
    </row>
    <row r="316" spans="1:23">
      <c r="A316" s="134" t="s">
        <v>178</v>
      </c>
      <c r="B316" s="134">
        <v>64</v>
      </c>
      <c r="C316" s="145">
        <v>9560.4616203584101</v>
      </c>
      <c r="G316" s="134" t="s">
        <v>469</v>
      </c>
      <c r="H316" s="134" t="s">
        <v>469</v>
      </c>
      <c r="I316" s="134" t="s">
        <v>795</v>
      </c>
      <c r="J316" s="134">
        <v>7946</v>
      </c>
      <c r="K316" s="145">
        <v>952544.15026781999</v>
      </c>
      <c r="L316" s="145">
        <v>119.877189814727</v>
      </c>
      <c r="M316" s="134"/>
      <c r="T316" s="154">
        <f t="shared" si="16"/>
        <v>64</v>
      </c>
      <c r="U316" s="154">
        <f t="shared" si="17"/>
        <v>9471.6580276300101</v>
      </c>
      <c r="V316" s="154">
        <f t="shared" si="18"/>
        <v>64</v>
      </c>
      <c r="W316" s="155">
        <f t="shared" si="19"/>
        <v>9471.6580276300101</v>
      </c>
    </row>
    <row r="317" spans="1:23">
      <c r="A317" s="134" t="s">
        <v>180</v>
      </c>
      <c r="B317" s="134">
        <v>120</v>
      </c>
      <c r="C317" s="145">
        <v>13211.8911413346</v>
      </c>
      <c r="G317" s="134" t="s">
        <v>469</v>
      </c>
      <c r="H317" s="134" t="s">
        <v>469</v>
      </c>
      <c r="I317" s="134" t="s">
        <v>156</v>
      </c>
      <c r="J317" s="134">
        <v>1415</v>
      </c>
      <c r="K317" s="145">
        <v>497636.34457691602</v>
      </c>
      <c r="L317" s="145">
        <v>351.68646259852699</v>
      </c>
      <c r="M317" s="134"/>
      <c r="T317" s="154">
        <f t="shared" si="16"/>
        <v>120</v>
      </c>
      <c r="U317" s="154">
        <f t="shared" si="17"/>
        <v>12945.4803631494</v>
      </c>
      <c r="V317" s="154">
        <f t="shared" si="18"/>
        <v>120</v>
      </c>
      <c r="W317" s="155">
        <f t="shared" si="19"/>
        <v>12945.4803631494</v>
      </c>
    </row>
    <row r="318" spans="1:23">
      <c r="A318" s="134" t="s">
        <v>182</v>
      </c>
      <c r="B318" s="134">
        <v>32</v>
      </c>
      <c r="C318" s="145">
        <v>4407.0726808091404</v>
      </c>
      <c r="G318" s="134" t="s">
        <v>469</v>
      </c>
      <c r="H318" s="134" t="s">
        <v>469</v>
      </c>
      <c r="I318" s="134" t="s">
        <v>875</v>
      </c>
      <c r="J318" s="134">
        <v>1</v>
      </c>
      <c r="K318" s="145">
        <v>81.999007638855403</v>
      </c>
      <c r="L318" s="145">
        <v>81.999007638855403</v>
      </c>
      <c r="M318" s="134"/>
      <c r="T318" s="154">
        <f t="shared" si="16"/>
        <v>32</v>
      </c>
      <c r="U318" s="154">
        <f t="shared" si="17"/>
        <v>4407.0726808091404</v>
      </c>
      <c r="V318" s="154">
        <f t="shared" si="18"/>
        <v>32</v>
      </c>
      <c r="W318" s="155">
        <f t="shared" si="19"/>
        <v>4407.0726808091404</v>
      </c>
    </row>
    <row r="319" spans="1:23">
      <c r="A319" s="134" t="s">
        <v>183</v>
      </c>
      <c r="B319" s="134">
        <v>479</v>
      </c>
      <c r="C319" s="145">
        <v>82629.925791802394</v>
      </c>
      <c r="G319" s="134" t="s">
        <v>469</v>
      </c>
      <c r="H319" s="134" t="s">
        <v>469</v>
      </c>
      <c r="I319" s="134" t="s">
        <v>184</v>
      </c>
      <c r="J319" s="134">
        <v>3230</v>
      </c>
      <c r="K319" s="145">
        <v>509173.291435308</v>
      </c>
      <c r="L319" s="145">
        <v>157.638789918052</v>
      </c>
      <c r="M319" s="134"/>
      <c r="T319" s="154">
        <f t="shared" si="16"/>
        <v>479</v>
      </c>
      <c r="U319" s="154">
        <f t="shared" si="17"/>
        <v>79432.996453579894</v>
      </c>
      <c r="V319" s="154">
        <f t="shared" si="18"/>
        <v>479</v>
      </c>
      <c r="W319" s="155">
        <f t="shared" si="19"/>
        <v>79432.996453579894</v>
      </c>
    </row>
    <row r="320" spans="1:23">
      <c r="A320" s="134" t="s">
        <v>336</v>
      </c>
      <c r="B320" s="134">
        <v>516</v>
      </c>
      <c r="C320" s="145">
        <v>57601.1800445587</v>
      </c>
      <c r="G320" s="134" t="s">
        <v>469</v>
      </c>
      <c r="H320" s="134" t="s">
        <v>469</v>
      </c>
      <c r="I320" s="134" t="s">
        <v>846</v>
      </c>
      <c r="J320" s="134">
        <v>556</v>
      </c>
      <c r="K320" s="145">
        <v>48808.259153353203</v>
      </c>
      <c r="L320" s="145">
        <v>87.784638765023701</v>
      </c>
      <c r="M320" s="134"/>
      <c r="T320" s="154">
        <f t="shared" si="16"/>
        <v>516</v>
      </c>
      <c r="U320" s="154">
        <f t="shared" si="17"/>
        <v>57601.1800445587</v>
      </c>
      <c r="V320" s="154">
        <f t="shared" si="18"/>
        <v>516</v>
      </c>
      <c r="W320" s="155">
        <f t="shared" si="19"/>
        <v>57601.1800445587</v>
      </c>
    </row>
    <row r="321" spans="1:23">
      <c r="A321" s="134" t="s">
        <v>320</v>
      </c>
      <c r="B321" s="134">
        <v>39</v>
      </c>
      <c r="C321" s="145">
        <v>9243.6548334968793</v>
      </c>
      <c r="G321" s="134" t="s">
        <v>469</v>
      </c>
      <c r="H321" s="134" t="s">
        <v>469</v>
      </c>
      <c r="I321" s="134" t="s">
        <v>742</v>
      </c>
      <c r="J321" s="134">
        <v>2</v>
      </c>
      <c r="K321" s="145">
        <v>112.450322224166</v>
      </c>
      <c r="L321" s="145">
        <v>56.2251611120831</v>
      </c>
      <c r="M321" s="134"/>
      <c r="T321" s="154">
        <f t="shared" si="16"/>
        <v>39</v>
      </c>
      <c r="U321" s="154">
        <f t="shared" si="17"/>
        <v>9154.8512407684793</v>
      </c>
      <c r="V321" s="154">
        <f t="shared" si="18"/>
        <v>39</v>
      </c>
      <c r="W321" s="155">
        <f t="shared" si="19"/>
        <v>9154.8512407684793</v>
      </c>
    </row>
    <row r="322" spans="1:23">
      <c r="A322" s="134" t="s">
        <v>186</v>
      </c>
      <c r="B322" s="134">
        <v>2087</v>
      </c>
      <c r="C322" s="145">
        <v>181430.59415218601</v>
      </c>
      <c r="G322" s="134" t="s">
        <v>469</v>
      </c>
      <c r="H322" s="134" t="s">
        <v>469</v>
      </c>
      <c r="I322" s="134" t="s">
        <v>700</v>
      </c>
      <c r="J322" s="134">
        <v>13390</v>
      </c>
      <c r="K322" s="145">
        <v>1457929.40469359</v>
      </c>
      <c r="L322" s="145">
        <v>108.881957034622</v>
      </c>
      <c r="M322" s="134"/>
      <c r="T322" s="154">
        <f t="shared" si="16"/>
        <v>2087</v>
      </c>
      <c r="U322" s="154">
        <f t="shared" si="17"/>
        <v>181341.790559457</v>
      </c>
      <c r="V322" s="154">
        <f t="shared" si="18"/>
        <v>2087</v>
      </c>
      <c r="W322" s="155">
        <f t="shared" si="19"/>
        <v>181341.790559457</v>
      </c>
    </row>
    <row r="323" spans="1:23">
      <c r="A323" s="134" t="s">
        <v>187</v>
      </c>
      <c r="B323" s="134">
        <v>827</v>
      </c>
      <c r="C323" s="145">
        <v>240960.662243161</v>
      </c>
      <c r="G323" s="134" t="s">
        <v>469</v>
      </c>
      <c r="H323" s="134" t="s">
        <v>469</v>
      </c>
      <c r="I323" s="134" t="s">
        <v>488</v>
      </c>
      <c r="J323" s="134">
        <v>78911</v>
      </c>
      <c r="K323" s="145">
        <v>7958792.6450692602</v>
      </c>
      <c r="L323" s="145">
        <v>100.85783534702701</v>
      </c>
      <c r="M323" s="134"/>
      <c r="T323" s="154">
        <f t="shared" si="16"/>
        <v>827</v>
      </c>
      <c r="U323" s="154">
        <f t="shared" si="17"/>
        <v>240960.662243161</v>
      </c>
      <c r="V323" s="154">
        <f t="shared" si="18"/>
        <v>827</v>
      </c>
      <c r="W323" s="155">
        <f t="shared" si="19"/>
        <v>240960.662243161</v>
      </c>
    </row>
    <row r="324" spans="1:23">
      <c r="A324" s="134" t="s">
        <v>188</v>
      </c>
      <c r="B324" s="134">
        <v>41</v>
      </c>
      <c r="C324" s="145">
        <v>27438.8968644411</v>
      </c>
      <c r="G324" s="134" t="s">
        <v>469</v>
      </c>
      <c r="H324" s="134" t="s">
        <v>469</v>
      </c>
      <c r="I324" s="134" t="s">
        <v>731</v>
      </c>
      <c r="J324" s="134">
        <v>298</v>
      </c>
      <c r="K324" s="145">
        <v>30649.831101094202</v>
      </c>
      <c r="L324" s="145">
        <v>102.85178221843699</v>
      </c>
      <c r="M324" s="134"/>
      <c r="T324" s="154">
        <f t="shared" ref="T324:T365" si="20">VLOOKUP(A324,$I:$L,2,FALSE)</f>
        <v>41</v>
      </c>
      <c r="U324" s="154">
        <f t="shared" ref="U324:U365" si="21">VLOOKUP(A324,$I:$L,3,FALSE)</f>
        <v>27438.8968644411</v>
      </c>
      <c r="V324" s="154">
        <f t="shared" ref="V324:V365" si="22">IF(COUNTIF($P:$P,A324)=1,0,T324)</f>
        <v>41</v>
      </c>
      <c r="W324" s="155">
        <f t="shared" ref="W324:W365" si="23">IF(COUNTIF($P:$P,A324)=1,0,U324)</f>
        <v>27438.8968644411</v>
      </c>
    </row>
    <row r="325" spans="1:23">
      <c r="A325" s="134" t="s">
        <v>189</v>
      </c>
      <c r="B325" s="134">
        <v>443</v>
      </c>
      <c r="C325" s="145">
        <v>68689.229805881798</v>
      </c>
      <c r="G325" s="134" t="s">
        <v>469</v>
      </c>
      <c r="H325" s="134" t="s">
        <v>469</v>
      </c>
      <c r="I325" s="134" t="s">
        <v>961</v>
      </c>
      <c r="J325" s="134">
        <v>4</v>
      </c>
      <c r="K325" s="145">
        <v>856.99070829766902</v>
      </c>
      <c r="L325" s="145">
        <v>214.247677074417</v>
      </c>
      <c r="M325" s="134"/>
      <c r="T325" s="154">
        <f t="shared" si="20"/>
        <v>443</v>
      </c>
      <c r="U325" s="154">
        <f t="shared" si="21"/>
        <v>68600.426213153405</v>
      </c>
      <c r="V325" s="154">
        <f t="shared" si="22"/>
        <v>443</v>
      </c>
      <c r="W325" s="155">
        <f t="shared" si="23"/>
        <v>68600.426213153405</v>
      </c>
    </row>
    <row r="326" spans="1:23">
      <c r="A326" s="134" t="s">
        <v>190</v>
      </c>
      <c r="B326" s="134">
        <v>467</v>
      </c>
      <c r="C326" s="145">
        <v>188480.24898960101</v>
      </c>
      <c r="G326" s="134" t="s">
        <v>469</v>
      </c>
      <c r="H326" s="134" t="s">
        <v>469</v>
      </c>
      <c r="I326" s="134" t="s">
        <v>489</v>
      </c>
      <c r="J326" s="134">
        <v>8351</v>
      </c>
      <c r="K326" s="145">
        <v>1693465.9415855999</v>
      </c>
      <c r="L326" s="145">
        <v>202.78600665616</v>
      </c>
      <c r="M326" s="134"/>
      <c r="T326" s="154">
        <f t="shared" si="20"/>
        <v>467</v>
      </c>
      <c r="U326" s="154">
        <f t="shared" si="21"/>
        <v>188480.24898960101</v>
      </c>
      <c r="V326" s="154">
        <f t="shared" si="22"/>
        <v>467</v>
      </c>
      <c r="W326" s="155">
        <f t="shared" si="23"/>
        <v>188480.24898960101</v>
      </c>
    </row>
    <row r="327" spans="1:23">
      <c r="A327" s="134" t="s">
        <v>191</v>
      </c>
      <c r="B327" s="134">
        <v>2061</v>
      </c>
      <c r="C327" s="145">
        <v>1343961.03191647</v>
      </c>
      <c r="G327" s="134" t="s">
        <v>469</v>
      </c>
      <c r="H327" s="134" t="s">
        <v>469</v>
      </c>
      <c r="I327" s="134" t="s">
        <v>490</v>
      </c>
      <c r="J327" s="134">
        <v>6499</v>
      </c>
      <c r="K327" s="145">
        <v>1735033.9707384501</v>
      </c>
      <c r="L327" s="145">
        <v>266.96937540213202</v>
      </c>
      <c r="M327" s="134"/>
      <c r="T327" s="154">
        <f t="shared" si="20"/>
        <v>2061</v>
      </c>
      <c r="U327" s="154">
        <f t="shared" si="21"/>
        <v>1343961.03191647</v>
      </c>
      <c r="V327" s="154">
        <f t="shared" si="22"/>
        <v>2061</v>
      </c>
      <c r="W327" s="155">
        <f t="shared" si="23"/>
        <v>1343961.03191647</v>
      </c>
    </row>
    <row r="328" spans="1:23">
      <c r="A328" s="134" t="s">
        <v>192</v>
      </c>
      <c r="B328" s="134">
        <v>69</v>
      </c>
      <c r="C328" s="145">
        <v>69727.502212086707</v>
      </c>
      <c r="G328" s="134" t="s">
        <v>469</v>
      </c>
      <c r="H328" s="134" t="s">
        <v>469</v>
      </c>
      <c r="I328" s="134" t="s">
        <v>677</v>
      </c>
      <c r="J328" s="134">
        <v>1639</v>
      </c>
      <c r="K328" s="145">
        <v>248540.44617436401</v>
      </c>
      <c r="L328" s="145">
        <v>151.64151688490799</v>
      </c>
      <c r="M328" s="134"/>
      <c r="T328" s="154">
        <f t="shared" si="20"/>
        <v>69</v>
      </c>
      <c r="U328" s="154">
        <f t="shared" si="21"/>
        <v>69727.502212086707</v>
      </c>
      <c r="V328" s="154">
        <f t="shared" si="22"/>
        <v>69</v>
      </c>
      <c r="W328" s="155">
        <f t="shared" si="23"/>
        <v>69727.502212086707</v>
      </c>
    </row>
    <row r="329" spans="1:23">
      <c r="A329" s="134" t="s">
        <v>193</v>
      </c>
      <c r="B329" s="134">
        <v>1</v>
      </c>
      <c r="C329" s="145">
        <v>1151.76938243833</v>
      </c>
      <c r="G329" s="134" t="s">
        <v>469</v>
      </c>
      <c r="H329" s="134" t="s">
        <v>469</v>
      </c>
      <c r="I329" s="134" t="s">
        <v>979</v>
      </c>
      <c r="J329" s="134">
        <v>35</v>
      </c>
      <c r="K329" s="145">
        <v>31441.921071232598</v>
      </c>
      <c r="L329" s="145">
        <v>898.34060203521699</v>
      </c>
      <c r="M329" s="134"/>
      <c r="T329" s="154">
        <f t="shared" si="20"/>
        <v>1</v>
      </c>
      <c r="U329" s="154">
        <f t="shared" si="21"/>
        <v>1151.76938243833</v>
      </c>
      <c r="V329" s="154">
        <f t="shared" si="22"/>
        <v>1</v>
      </c>
      <c r="W329" s="155">
        <f t="shared" si="23"/>
        <v>1151.76938243833</v>
      </c>
    </row>
    <row r="330" spans="1:23">
      <c r="A330" s="134" t="s">
        <v>194</v>
      </c>
      <c r="B330" s="134">
        <v>88</v>
      </c>
      <c r="C330" s="145">
        <v>118840.690567725</v>
      </c>
      <c r="G330" s="134" t="s">
        <v>469</v>
      </c>
      <c r="H330" s="134" t="s">
        <v>469</v>
      </c>
      <c r="I330" s="134" t="s">
        <v>702</v>
      </c>
      <c r="J330" s="134">
        <v>1124</v>
      </c>
      <c r="K330" s="145">
        <v>123999.457286342</v>
      </c>
      <c r="L330" s="145">
        <v>110.319801856176</v>
      </c>
      <c r="M330" s="134"/>
      <c r="T330" s="154">
        <f t="shared" si="20"/>
        <v>88</v>
      </c>
      <c r="U330" s="154">
        <f t="shared" si="21"/>
        <v>118840.690567725</v>
      </c>
      <c r="V330" s="154">
        <f t="shared" si="22"/>
        <v>88</v>
      </c>
      <c r="W330" s="155">
        <f t="shared" si="23"/>
        <v>118840.690567725</v>
      </c>
    </row>
    <row r="331" spans="1:23">
      <c r="A331" s="134" t="s">
        <v>195</v>
      </c>
      <c r="B331" s="134">
        <v>493</v>
      </c>
      <c r="C331" s="145">
        <v>93937.926002676802</v>
      </c>
      <c r="G331" s="134" t="s">
        <v>469</v>
      </c>
      <c r="H331" s="134" t="s">
        <v>469</v>
      </c>
      <c r="I331" s="134" t="s">
        <v>799</v>
      </c>
      <c r="J331" s="134">
        <v>59932</v>
      </c>
      <c r="K331" s="145">
        <v>7105501.0336980997</v>
      </c>
      <c r="L331" s="145">
        <v>118.55938453077</v>
      </c>
      <c r="M331" s="134"/>
      <c r="T331" s="154">
        <f t="shared" si="20"/>
        <v>493</v>
      </c>
      <c r="U331" s="154">
        <f t="shared" si="21"/>
        <v>93671.515224491595</v>
      </c>
      <c r="V331" s="154">
        <f t="shared" si="22"/>
        <v>493</v>
      </c>
      <c r="W331" s="155">
        <f t="shared" si="23"/>
        <v>93671.515224491595</v>
      </c>
    </row>
    <row r="332" spans="1:23">
      <c r="A332" s="134" t="s">
        <v>328</v>
      </c>
      <c r="B332" s="134">
        <v>15513</v>
      </c>
      <c r="C332" s="145">
        <v>669605.83225894498</v>
      </c>
      <c r="G332" s="134" t="s">
        <v>469</v>
      </c>
      <c r="H332" s="134" t="s">
        <v>469</v>
      </c>
      <c r="I332" s="134" t="s">
        <v>158</v>
      </c>
      <c r="J332" s="134">
        <v>40179</v>
      </c>
      <c r="K332" s="145">
        <v>6917172.2198295798</v>
      </c>
      <c r="L332" s="145">
        <v>172.15889444310699</v>
      </c>
      <c r="M332" s="134"/>
      <c r="T332" s="154">
        <f t="shared" si="20"/>
        <v>15513</v>
      </c>
      <c r="U332" s="154">
        <f t="shared" si="21"/>
        <v>669605.83225894498</v>
      </c>
      <c r="V332" s="154">
        <f t="shared" si="22"/>
        <v>15513</v>
      </c>
      <c r="W332" s="155">
        <f t="shared" si="23"/>
        <v>669605.83225894498</v>
      </c>
    </row>
    <row r="333" spans="1:23">
      <c r="A333" s="134" t="s">
        <v>360</v>
      </c>
      <c r="B333" s="134">
        <v>823118</v>
      </c>
      <c r="C333" s="145">
        <v>85585341.846355498</v>
      </c>
      <c r="G333" s="134" t="s">
        <v>469</v>
      </c>
      <c r="H333" s="134" t="s">
        <v>469</v>
      </c>
      <c r="I333" s="134" t="s">
        <v>1070</v>
      </c>
      <c r="J333" s="134">
        <v>662</v>
      </c>
      <c r="K333" s="145">
        <v>193798.53425495501</v>
      </c>
      <c r="L333" s="145">
        <v>292.747030596608</v>
      </c>
      <c r="M333" s="134"/>
      <c r="T333" s="154">
        <f t="shared" si="20"/>
        <v>823118</v>
      </c>
      <c r="U333" s="154">
        <f t="shared" si="21"/>
        <v>85014287.985325202</v>
      </c>
      <c r="V333" s="154">
        <f t="shared" si="22"/>
        <v>823118</v>
      </c>
      <c r="W333" s="155">
        <f t="shared" si="23"/>
        <v>85014287.985325202</v>
      </c>
    </row>
    <row r="334" spans="1:23">
      <c r="A334" s="134" t="s">
        <v>357</v>
      </c>
      <c r="B334" s="134">
        <v>197332</v>
      </c>
      <c r="C334" s="145">
        <v>20347686.8330869</v>
      </c>
      <c r="G334" s="134" t="s">
        <v>469</v>
      </c>
      <c r="H334" s="134" t="s">
        <v>469</v>
      </c>
      <c r="I334" s="134" t="s">
        <v>900</v>
      </c>
      <c r="J334" s="134">
        <v>855470</v>
      </c>
      <c r="K334" s="145">
        <v>107144129.076087</v>
      </c>
      <c r="L334" s="145">
        <v>125.24592221362199</v>
      </c>
      <c r="M334" s="134"/>
      <c r="T334" s="154">
        <f t="shared" si="20"/>
        <v>197332</v>
      </c>
      <c r="U334" s="154">
        <f t="shared" si="21"/>
        <v>19963989.159451399</v>
      </c>
      <c r="V334" s="154">
        <f t="shared" si="22"/>
        <v>197332</v>
      </c>
      <c r="W334" s="155">
        <f t="shared" si="23"/>
        <v>19963989.159451399</v>
      </c>
    </row>
    <row r="335" spans="1:23">
      <c r="A335" s="134" t="s">
        <v>371</v>
      </c>
      <c r="B335" s="134">
        <v>35549</v>
      </c>
      <c r="C335" s="145">
        <v>2437070.5479678102</v>
      </c>
      <c r="G335" s="134" t="s">
        <v>469</v>
      </c>
      <c r="H335" s="134" t="s">
        <v>469</v>
      </c>
      <c r="I335" s="134" t="s">
        <v>832</v>
      </c>
      <c r="J335" s="134">
        <v>8</v>
      </c>
      <c r="K335" s="145">
        <v>4495.6348363562502</v>
      </c>
      <c r="L335" s="145">
        <v>561.95435454453104</v>
      </c>
      <c r="M335" s="134"/>
      <c r="T335" s="154">
        <f t="shared" si="20"/>
        <v>35549</v>
      </c>
      <c r="U335" s="154">
        <f t="shared" si="21"/>
        <v>2432433.5857966002</v>
      </c>
      <c r="V335" s="154">
        <f t="shared" si="22"/>
        <v>35549</v>
      </c>
      <c r="W335" s="155">
        <f t="shared" si="23"/>
        <v>2432433.5857966002</v>
      </c>
    </row>
    <row r="336" spans="1:23">
      <c r="A336" s="134" t="s">
        <v>945</v>
      </c>
      <c r="B336" s="134">
        <v>3579</v>
      </c>
      <c r="C336" s="145">
        <v>411452.48195597797</v>
      </c>
      <c r="G336" s="134" t="s">
        <v>469</v>
      </c>
      <c r="H336" s="134" t="s">
        <v>469</v>
      </c>
      <c r="I336" s="134" t="s">
        <v>769</v>
      </c>
      <c r="J336" s="134">
        <v>7056</v>
      </c>
      <c r="K336" s="145">
        <v>820230.13519200205</v>
      </c>
      <c r="L336" s="145">
        <v>116.24576745918399</v>
      </c>
      <c r="M336" s="134"/>
      <c r="T336" s="154">
        <f t="shared" si="20"/>
        <v>3579</v>
      </c>
      <c r="U336" s="154">
        <f t="shared" si="21"/>
        <v>411186.07117779303</v>
      </c>
      <c r="V336" s="154">
        <f t="shared" si="22"/>
        <v>3579</v>
      </c>
      <c r="W336" s="155">
        <f t="shared" si="23"/>
        <v>411186.07117779303</v>
      </c>
    </row>
    <row r="337" spans="1:23">
      <c r="A337" s="134" t="s">
        <v>378</v>
      </c>
      <c r="B337" s="134">
        <v>1163</v>
      </c>
      <c r="C337" s="145">
        <v>133027.23349126501</v>
      </c>
      <c r="G337" s="134" t="s">
        <v>469</v>
      </c>
      <c r="H337" s="134" t="s">
        <v>469</v>
      </c>
      <c r="I337" s="134" t="s">
        <v>347</v>
      </c>
      <c r="J337" s="134">
        <v>3211</v>
      </c>
      <c r="K337" s="145">
        <v>369275.42705499701</v>
      </c>
      <c r="L337" s="145">
        <v>115.00324729211999</v>
      </c>
      <c r="M337" s="134"/>
      <c r="T337" s="154">
        <f t="shared" si="20"/>
        <v>1163</v>
      </c>
      <c r="U337" s="154">
        <f t="shared" si="21"/>
        <v>131339.965229425</v>
      </c>
      <c r="V337" s="154">
        <f t="shared" si="22"/>
        <v>1163</v>
      </c>
      <c r="W337" s="155">
        <f t="shared" si="23"/>
        <v>131339.965229425</v>
      </c>
    </row>
    <row r="338" spans="1:23">
      <c r="A338" s="134" t="s">
        <v>946</v>
      </c>
      <c r="B338" s="134">
        <v>8</v>
      </c>
      <c r="C338" s="145">
        <v>5379.9680033480299</v>
      </c>
      <c r="G338" s="134" t="s">
        <v>469</v>
      </c>
      <c r="H338" s="134" t="s">
        <v>469</v>
      </c>
      <c r="I338" s="134" t="s">
        <v>707</v>
      </c>
      <c r="J338" s="134">
        <v>10262</v>
      </c>
      <c r="K338" s="145">
        <v>1489995.5163666001</v>
      </c>
      <c r="L338" s="145">
        <v>145.19543133566501</v>
      </c>
      <c r="M338" s="134"/>
      <c r="T338" s="154">
        <f t="shared" si="20"/>
        <v>8</v>
      </c>
      <c r="U338" s="154">
        <f t="shared" si="21"/>
        <v>5379.9680033480299</v>
      </c>
      <c r="V338" s="154">
        <f t="shared" si="22"/>
        <v>8</v>
      </c>
      <c r="W338" s="155">
        <f t="shared" si="23"/>
        <v>5379.9680033480299</v>
      </c>
    </row>
    <row r="339" spans="1:23">
      <c r="A339" s="134" t="s">
        <v>947</v>
      </c>
      <c r="B339" s="134">
        <v>2</v>
      </c>
      <c r="C339" s="145">
        <v>1940.48993231845</v>
      </c>
      <c r="G339" s="134" t="s">
        <v>469</v>
      </c>
      <c r="H339" s="134" t="s">
        <v>469</v>
      </c>
      <c r="I339" s="134" t="s">
        <v>904</v>
      </c>
      <c r="J339" s="134">
        <v>1632</v>
      </c>
      <c r="K339" s="145">
        <v>218187.03366394699</v>
      </c>
      <c r="L339" s="145">
        <v>133.693035333301</v>
      </c>
      <c r="M339" s="134"/>
      <c r="T339" s="154">
        <f t="shared" si="20"/>
        <v>2</v>
      </c>
      <c r="U339" s="154">
        <f t="shared" si="21"/>
        <v>1940.48993231845</v>
      </c>
      <c r="V339" s="154">
        <f t="shared" si="22"/>
        <v>2</v>
      </c>
      <c r="W339" s="155">
        <f t="shared" si="23"/>
        <v>1940.48993231845</v>
      </c>
    </row>
    <row r="340" spans="1:23">
      <c r="A340" s="134" t="s">
        <v>949</v>
      </c>
      <c r="B340" s="134">
        <v>7</v>
      </c>
      <c r="C340" s="145">
        <v>1804.8755851067599</v>
      </c>
      <c r="G340" s="134" t="s">
        <v>469</v>
      </c>
      <c r="H340" s="134" t="s">
        <v>469</v>
      </c>
      <c r="I340" s="134" t="s">
        <v>1071</v>
      </c>
      <c r="J340" s="134">
        <v>1087</v>
      </c>
      <c r="K340" s="145">
        <v>323893.656327868</v>
      </c>
      <c r="L340" s="145">
        <v>297.97024501183802</v>
      </c>
      <c r="M340" s="134"/>
      <c r="T340" s="154">
        <f t="shared" si="20"/>
        <v>7</v>
      </c>
      <c r="U340" s="154">
        <f t="shared" si="21"/>
        <v>1804.8755851067599</v>
      </c>
      <c r="V340" s="154">
        <f t="shared" si="22"/>
        <v>7</v>
      </c>
      <c r="W340" s="155">
        <f t="shared" si="23"/>
        <v>1804.8755851067599</v>
      </c>
    </row>
    <row r="341" spans="1:23">
      <c r="A341" s="134" t="s">
        <v>950</v>
      </c>
      <c r="B341" s="134">
        <v>1</v>
      </c>
      <c r="C341" s="145">
        <v>1151.97485301087</v>
      </c>
      <c r="G341" s="134" t="s">
        <v>469</v>
      </c>
      <c r="H341" s="134" t="s">
        <v>469</v>
      </c>
      <c r="I341" s="134" t="s">
        <v>348</v>
      </c>
      <c r="J341" s="134">
        <v>4</v>
      </c>
      <c r="K341" s="145">
        <v>627.80509973180597</v>
      </c>
      <c r="L341" s="145">
        <v>156.95127493295101</v>
      </c>
      <c r="M341" s="134"/>
      <c r="T341" s="154">
        <f t="shared" si="20"/>
        <v>1</v>
      </c>
      <c r="U341" s="154">
        <f t="shared" si="21"/>
        <v>186.868135078824</v>
      </c>
      <c r="V341" s="154">
        <f t="shared" si="22"/>
        <v>1</v>
      </c>
      <c r="W341" s="155">
        <f t="shared" si="23"/>
        <v>186.868135078824</v>
      </c>
    </row>
    <row r="342" spans="1:23">
      <c r="A342" s="134" t="s">
        <v>951</v>
      </c>
      <c r="B342" s="134">
        <v>1</v>
      </c>
      <c r="C342" s="145">
        <v>945.02053109214705</v>
      </c>
      <c r="G342" s="134" t="s">
        <v>469</v>
      </c>
      <c r="H342" s="134" t="s">
        <v>469</v>
      </c>
      <c r="I342" s="134" t="s">
        <v>346</v>
      </c>
      <c r="J342" s="134">
        <v>2</v>
      </c>
      <c r="K342" s="145">
        <v>885.77426733778498</v>
      </c>
      <c r="L342" s="145">
        <v>442.887133668893</v>
      </c>
      <c r="M342" s="134"/>
      <c r="T342" s="154">
        <f t="shared" si="20"/>
        <v>1</v>
      </c>
      <c r="U342" s="154">
        <f t="shared" si="21"/>
        <v>945.02053109214705</v>
      </c>
      <c r="V342" s="154">
        <f t="shared" si="22"/>
        <v>1</v>
      </c>
      <c r="W342" s="155">
        <f t="shared" si="23"/>
        <v>945.02053109214705</v>
      </c>
    </row>
    <row r="343" spans="1:23">
      <c r="A343" s="134" t="s">
        <v>953</v>
      </c>
      <c r="B343" s="134">
        <v>3</v>
      </c>
      <c r="C343" s="145">
        <v>1380.35343196285</v>
      </c>
      <c r="G343" s="134" t="s">
        <v>469</v>
      </c>
      <c r="H343" s="134" t="s">
        <v>469</v>
      </c>
      <c r="I343" s="134" t="s">
        <v>733</v>
      </c>
      <c r="J343" s="134">
        <v>12664</v>
      </c>
      <c r="K343" s="145">
        <v>586244.96781117597</v>
      </c>
      <c r="L343" s="145">
        <v>46.292243194186298</v>
      </c>
      <c r="M343" s="134"/>
      <c r="T343" s="154">
        <f t="shared" si="20"/>
        <v>3</v>
      </c>
      <c r="U343" s="154">
        <f t="shared" si="21"/>
        <v>1380.35343196285</v>
      </c>
      <c r="V343" s="154">
        <f t="shared" si="22"/>
        <v>3</v>
      </c>
      <c r="W343" s="155">
        <f t="shared" si="23"/>
        <v>1380.35343196285</v>
      </c>
    </row>
    <row r="344" spans="1:23">
      <c r="A344" s="134" t="s">
        <v>954</v>
      </c>
      <c r="B344" s="134">
        <v>5</v>
      </c>
      <c r="C344" s="145">
        <v>4715.0557649228303</v>
      </c>
      <c r="G344" s="134" t="s">
        <v>469</v>
      </c>
      <c r="H344" s="134" t="s">
        <v>469</v>
      </c>
      <c r="I344" s="134" t="s">
        <v>349</v>
      </c>
      <c r="J344" s="134">
        <v>2</v>
      </c>
      <c r="K344" s="145">
        <v>415.00776613234098</v>
      </c>
      <c r="L344" s="145">
        <v>207.50388306617</v>
      </c>
      <c r="M344" s="134"/>
      <c r="T344" s="154">
        <f t="shared" si="20"/>
        <v>5</v>
      </c>
      <c r="U344" s="154">
        <f t="shared" si="21"/>
        <v>4414.8753689450004</v>
      </c>
      <c r="V344" s="154">
        <f t="shared" si="22"/>
        <v>5</v>
      </c>
      <c r="W344" s="155">
        <f t="shared" si="23"/>
        <v>4414.8753689450004</v>
      </c>
    </row>
    <row r="345" spans="1:23">
      <c r="A345" s="134" t="s">
        <v>1062</v>
      </c>
      <c r="B345" s="134">
        <v>299</v>
      </c>
      <c r="C345" s="145">
        <v>59079.648496259702</v>
      </c>
      <c r="G345" s="134" t="s">
        <v>469</v>
      </c>
      <c r="H345" s="134" t="s">
        <v>469</v>
      </c>
      <c r="I345" s="134" t="s">
        <v>687</v>
      </c>
      <c r="J345" s="134">
        <v>49</v>
      </c>
      <c r="K345" s="145">
        <v>4180.2199420624102</v>
      </c>
      <c r="L345" s="145">
        <v>85.310611062498197</v>
      </c>
      <c r="M345" s="134"/>
      <c r="T345" s="154">
        <f t="shared" si="20"/>
        <v>299</v>
      </c>
      <c r="U345" s="154">
        <f t="shared" si="21"/>
        <v>59079.648496259702</v>
      </c>
      <c r="V345" s="154">
        <f t="shared" si="22"/>
        <v>299</v>
      </c>
      <c r="W345" s="155">
        <f t="shared" si="23"/>
        <v>59079.648496259702</v>
      </c>
    </row>
    <row r="346" spans="1:23">
      <c r="A346" s="134" t="s">
        <v>1063</v>
      </c>
      <c r="B346" s="134">
        <v>173</v>
      </c>
      <c r="C346" s="145">
        <v>229275.75430071499</v>
      </c>
      <c r="G346" s="134" t="s">
        <v>469</v>
      </c>
      <c r="H346" s="134" t="s">
        <v>469</v>
      </c>
      <c r="I346" s="134" t="s">
        <v>746</v>
      </c>
      <c r="J346" s="134">
        <v>1133</v>
      </c>
      <c r="K346" s="145">
        <v>172025.60216845499</v>
      </c>
      <c r="L346" s="145">
        <v>151.83195248760299</v>
      </c>
      <c r="M346" s="134"/>
      <c r="T346" s="154">
        <f t="shared" si="20"/>
        <v>173</v>
      </c>
      <c r="U346" s="154">
        <f t="shared" si="21"/>
        <v>229275.75430071499</v>
      </c>
      <c r="V346" s="154">
        <f t="shared" si="22"/>
        <v>173</v>
      </c>
      <c r="W346" s="155">
        <f t="shared" si="23"/>
        <v>229275.75430071499</v>
      </c>
    </row>
    <row r="347" spans="1:23">
      <c r="A347" s="134" t="s">
        <v>199</v>
      </c>
      <c r="B347" s="134">
        <v>7</v>
      </c>
      <c r="C347" s="145">
        <v>1807.6554722508699</v>
      </c>
      <c r="G347" s="134" t="s">
        <v>469</v>
      </c>
      <c r="H347" s="134" t="s">
        <v>469</v>
      </c>
      <c r="I347" s="134" t="s">
        <v>790</v>
      </c>
      <c r="J347" s="134">
        <v>993</v>
      </c>
      <c r="K347" s="145">
        <v>118976.57425953299</v>
      </c>
      <c r="L347" s="145">
        <v>119.815281228129</v>
      </c>
      <c r="M347" s="134"/>
      <c r="T347" s="154">
        <f t="shared" si="20"/>
        <v>7</v>
      </c>
      <c r="U347" s="154">
        <f t="shared" si="21"/>
        <v>1807.6554722508699</v>
      </c>
      <c r="V347" s="154">
        <f t="shared" si="22"/>
        <v>7</v>
      </c>
      <c r="W347" s="155">
        <f t="shared" si="23"/>
        <v>1807.6554722508699</v>
      </c>
    </row>
    <row r="348" spans="1:23">
      <c r="A348" s="134" t="s">
        <v>200</v>
      </c>
      <c r="B348" s="134">
        <v>8</v>
      </c>
      <c r="C348" s="145">
        <v>844.32317243196701</v>
      </c>
      <c r="G348" s="134" t="s">
        <v>469</v>
      </c>
      <c r="H348" s="134" t="s">
        <v>469</v>
      </c>
      <c r="I348" s="134" t="s">
        <v>803</v>
      </c>
      <c r="J348" s="134">
        <v>5</v>
      </c>
      <c r="K348" s="145">
        <v>684.21631579011603</v>
      </c>
      <c r="L348" s="145">
        <v>136.84326315802301</v>
      </c>
      <c r="M348" s="134"/>
      <c r="T348" s="154">
        <f t="shared" si="20"/>
        <v>8</v>
      </c>
      <c r="U348" s="154">
        <f t="shared" si="21"/>
        <v>844.32317243196701</v>
      </c>
      <c r="V348" s="154">
        <f t="shared" si="22"/>
        <v>8</v>
      </c>
      <c r="W348" s="155">
        <f t="shared" si="23"/>
        <v>844.32317243196701</v>
      </c>
    </row>
    <row r="349" spans="1:23">
      <c r="A349" s="134" t="s">
        <v>955</v>
      </c>
      <c r="B349" s="134">
        <v>7</v>
      </c>
      <c r="C349" s="145">
        <v>5472.3791544039104</v>
      </c>
      <c r="G349" s="134" t="s">
        <v>469</v>
      </c>
      <c r="H349" s="134" t="s">
        <v>469</v>
      </c>
      <c r="I349" s="134" t="s">
        <v>828</v>
      </c>
      <c r="J349" s="134">
        <v>1756</v>
      </c>
      <c r="K349" s="145">
        <v>259443.480927481</v>
      </c>
      <c r="L349" s="145">
        <v>147.746857020205</v>
      </c>
      <c r="M349" s="134"/>
      <c r="T349" s="154">
        <f t="shared" si="20"/>
        <v>7</v>
      </c>
      <c r="U349" s="154">
        <f t="shared" si="21"/>
        <v>5472.3791544039104</v>
      </c>
      <c r="V349" s="154">
        <f t="shared" si="22"/>
        <v>7</v>
      </c>
      <c r="W349" s="155">
        <f t="shared" si="23"/>
        <v>5472.3791544039104</v>
      </c>
    </row>
    <row r="350" spans="1:23">
      <c r="A350" s="134" t="s">
        <v>201</v>
      </c>
      <c r="B350" s="134">
        <v>9</v>
      </c>
      <c r="C350" s="145">
        <v>1354.76917897056</v>
      </c>
      <c r="G350" s="134" t="s">
        <v>469</v>
      </c>
      <c r="H350" s="134" t="s">
        <v>469</v>
      </c>
      <c r="I350" s="134" t="s">
        <v>350</v>
      </c>
      <c r="J350" s="134">
        <v>5</v>
      </c>
      <c r="K350" s="145">
        <v>1007.26704536636</v>
      </c>
      <c r="L350" s="145">
        <v>201.45340907327201</v>
      </c>
      <c r="M350" s="134"/>
      <c r="T350" s="154">
        <f t="shared" si="20"/>
        <v>9</v>
      </c>
      <c r="U350" s="154">
        <f t="shared" si="21"/>
        <v>1265.96558624215</v>
      </c>
      <c r="V350" s="154">
        <f t="shared" si="22"/>
        <v>9</v>
      </c>
      <c r="W350" s="155">
        <f t="shared" si="23"/>
        <v>1265.96558624215</v>
      </c>
    </row>
    <row r="351" spans="1:23">
      <c r="A351" s="134" t="s">
        <v>341</v>
      </c>
      <c r="B351" s="134">
        <v>1</v>
      </c>
      <c r="C351" s="145">
        <v>125.02605671704001</v>
      </c>
      <c r="G351" s="134" t="s">
        <v>469</v>
      </c>
      <c r="H351" s="134" t="s">
        <v>469</v>
      </c>
      <c r="I351" s="134" t="s">
        <v>80</v>
      </c>
      <c r="J351" s="134">
        <v>714</v>
      </c>
      <c r="K351" s="145">
        <v>86028.054642532006</v>
      </c>
      <c r="L351" s="145">
        <v>120.48747148814</v>
      </c>
      <c r="M351" s="134"/>
      <c r="T351" s="154">
        <f t="shared" si="20"/>
        <v>1</v>
      </c>
      <c r="U351" s="154">
        <f t="shared" si="21"/>
        <v>125.02605671704001</v>
      </c>
      <c r="V351" s="154">
        <f t="shared" si="22"/>
        <v>0</v>
      </c>
      <c r="W351" s="155">
        <f t="shared" si="23"/>
        <v>0</v>
      </c>
    </row>
    <row r="352" spans="1:23">
      <c r="A352" s="134" t="s">
        <v>1064</v>
      </c>
      <c r="B352" s="134">
        <v>1</v>
      </c>
      <c r="C352" s="145">
        <v>184.63284165356799</v>
      </c>
      <c r="G352" s="134" t="s">
        <v>469</v>
      </c>
      <c r="H352" s="134" t="s">
        <v>469</v>
      </c>
      <c r="I352" s="134" t="s">
        <v>183</v>
      </c>
      <c r="J352" s="134">
        <v>479</v>
      </c>
      <c r="K352" s="145">
        <v>79432.996453579894</v>
      </c>
      <c r="L352" s="145">
        <v>165.830890299749</v>
      </c>
      <c r="M352" s="134"/>
      <c r="T352" s="154">
        <f t="shared" si="20"/>
        <v>1</v>
      </c>
      <c r="U352" s="154">
        <f t="shared" si="21"/>
        <v>184.63284165356799</v>
      </c>
      <c r="V352" s="154">
        <f t="shared" si="22"/>
        <v>1</v>
      </c>
      <c r="W352" s="155">
        <f t="shared" si="23"/>
        <v>184.63284165356799</v>
      </c>
    </row>
    <row r="353" spans="1:23">
      <c r="A353" s="134" t="s">
        <v>202</v>
      </c>
      <c r="B353" s="134">
        <v>1</v>
      </c>
      <c r="C353" s="145">
        <v>226.13070289131099</v>
      </c>
      <c r="G353" s="134" t="s">
        <v>469</v>
      </c>
      <c r="H353" s="134" t="s">
        <v>469</v>
      </c>
      <c r="I353" s="134" t="s">
        <v>674</v>
      </c>
      <c r="J353" s="134">
        <v>104</v>
      </c>
      <c r="K353" s="145">
        <v>12946.632794122001</v>
      </c>
      <c r="L353" s="145">
        <v>124.48685378963501</v>
      </c>
      <c r="M353" s="134"/>
      <c r="T353" s="154">
        <f t="shared" si="20"/>
        <v>1</v>
      </c>
      <c r="U353" s="154">
        <f t="shared" si="21"/>
        <v>226.13070289131099</v>
      </c>
      <c r="V353" s="154">
        <f t="shared" si="22"/>
        <v>0</v>
      </c>
      <c r="W353" s="155">
        <f t="shared" si="23"/>
        <v>0</v>
      </c>
    </row>
    <row r="354" spans="1:23">
      <c r="A354" s="134" t="s">
        <v>203</v>
      </c>
      <c r="B354" s="134">
        <v>4</v>
      </c>
      <c r="C354" s="145">
        <v>450.45628563136</v>
      </c>
      <c r="G354" s="134" t="s">
        <v>469</v>
      </c>
      <c r="H354" s="134" t="s">
        <v>469</v>
      </c>
      <c r="I354" s="134" t="s">
        <v>698</v>
      </c>
      <c r="J354" s="134">
        <v>391</v>
      </c>
      <c r="K354" s="145">
        <v>49754.392475305503</v>
      </c>
      <c r="L354" s="145">
        <v>127.249085614592</v>
      </c>
      <c r="M354" s="134"/>
      <c r="T354" s="154">
        <f t="shared" si="20"/>
        <v>4</v>
      </c>
      <c r="U354" s="154">
        <f t="shared" si="21"/>
        <v>450.45628563136</v>
      </c>
      <c r="V354" s="154">
        <f t="shared" si="22"/>
        <v>0</v>
      </c>
      <c r="W354" s="155">
        <f t="shared" si="23"/>
        <v>0</v>
      </c>
    </row>
    <row r="355" spans="1:23">
      <c r="A355" s="134" t="s">
        <v>956</v>
      </c>
      <c r="B355" s="134">
        <v>1</v>
      </c>
      <c r="C355" s="145">
        <v>235.50226710885801</v>
      </c>
      <c r="G355" s="134" t="s">
        <v>469</v>
      </c>
      <c r="H355" s="134" t="s">
        <v>469</v>
      </c>
      <c r="I355" s="134" t="s">
        <v>491</v>
      </c>
      <c r="J355" s="134">
        <v>4099</v>
      </c>
      <c r="K355" s="145">
        <v>330756.630224019</v>
      </c>
      <c r="L355" s="145">
        <v>80.692029818009104</v>
      </c>
      <c r="M355" s="134"/>
      <c r="T355" s="154">
        <f t="shared" si="20"/>
        <v>1</v>
      </c>
      <c r="U355" s="154">
        <f t="shared" si="21"/>
        <v>235.50226710885801</v>
      </c>
      <c r="V355" s="154">
        <f t="shared" si="22"/>
        <v>1</v>
      </c>
      <c r="W355" s="155">
        <f t="shared" si="23"/>
        <v>235.50226710885801</v>
      </c>
    </row>
    <row r="356" spans="1:23">
      <c r="A356" s="134" t="s">
        <v>205</v>
      </c>
      <c r="B356" s="134">
        <v>2</v>
      </c>
      <c r="C356" s="145">
        <v>230.53514623520499</v>
      </c>
      <c r="G356" s="134" t="s">
        <v>469</v>
      </c>
      <c r="H356" s="134" t="s">
        <v>469</v>
      </c>
      <c r="I356" s="134" t="s">
        <v>970</v>
      </c>
      <c r="J356" s="134">
        <v>4</v>
      </c>
      <c r="K356" s="145">
        <v>379.60039285293601</v>
      </c>
      <c r="L356" s="145">
        <v>94.900098213234003</v>
      </c>
      <c r="M356" s="134"/>
      <c r="T356" s="154">
        <f t="shared" si="20"/>
        <v>2</v>
      </c>
      <c r="U356" s="154">
        <f t="shared" si="21"/>
        <v>230.53514623520499</v>
      </c>
      <c r="V356" s="154">
        <f t="shared" si="22"/>
        <v>0</v>
      </c>
      <c r="W356" s="155">
        <f t="shared" si="23"/>
        <v>0</v>
      </c>
    </row>
    <row r="357" spans="1:23">
      <c r="A357" s="134" t="s">
        <v>339</v>
      </c>
      <c r="B357" s="134">
        <v>13</v>
      </c>
      <c r="C357" s="145">
        <v>1805.6463610841099</v>
      </c>
      <c r="G357" s="134" t="s">
        <v>469</v>
      </c>
      <c r="H357" s="134" t="s">
        <v>469</v>
      </c>
      <c r="I357" s="134" t="s">
        <v>682</v>
      </c>
      <c r="J357" s="134">
        <v>113679</v>
      </c>
      <c r="K357" s="145">
        <v>12325825.684529399</v>
      </c>
      <c r="L357" s="145">
        <v>108.426584369404</v>
      </c>
      <c r="M357" s="134"/>
      <c r="T357" s="154">
        <f t="shared" si="20"/>
        <v>13</v>
      </c>
      <c r="U357" s="154">
        <f t="shared" si="21"/>
        <v>1805.6463610841099</v>
      </c>
      <c r="V357" s="154">
        <f t="shared" si="22"/>
        <v>13</v>
      </c>
      <c r="W357" s="155">
        <f t="shared" si="23"/>
        <v>1805.6463610841099</v>
      </c>
    </row>
    <row r="358" spans="1:23">
      <c r="A358" s="134" t="s">
        <v>959</v>
      </c>
      <c r="B358" s="134">
        <v>25</v>
      </c>
      <c r="C358" s="145">
        <v>12447.742762325101</v>
      </c>
      <c r="G358" s="134" t="s">
        <v>469</v>
      </c>
      <c r="H358" s="134" t="s">
        <v>469</v>
      </c>
      <c r="I358" s="134" t="s">
        <v>870</v>
      </c>
      <c r="J358" s="134">
        <v>49</v>
      </c>
      <c r="K358" s="145">
        <v>11791.299295263299</v>
      </c>
      <c r="L358" s="145">
        <v>240.63876112782299</v>
      </c>
      <c r="M358" s="134"/>
      <c r="T358" s="154">
        <f t="shared" si="20"/>
        <v>25</v>
      </c>
      <c r="U358" s="154">
        <f t="shared" si="21"/>
        <v>2789.4155120721598</v>
      </c>
      <c r="V358" s="154">
        <f t="shared" si="22"/>
        <v>25</v>
      </c>
      <c r="W358" s="155">
        <f t="shared" si="23"/>
        <v>2789.4155120721598</v>
      </c>
    </row>
    <row r="359" spans="1:23">
      <c r="A359" s="134" t="s">
        <v>960</v>
      </c>
      <c r="B359" s="134">
        <v>800</v>
      </c>
      <c r="C359" s="145">
        <v>107337.33714109899</v>
      </c>
      <c r="G359" s="134" t="s">
        <v>469</v>
      </c>
      <c r="H359" s="134" t="s">
        <v>469</v>
      </c>
      <c r="I359" s="134" t="s">
        <v>492</v>
      </c>
      <c r="J359" s="134">
        <v>1143132</v>
      </c>
      <c r="K359" s="145">
        <v>117994315.34524199</v>
      </c>
      <c r="L359" s="145">
        <v>103.220201468634</v>
      </c>
      <c r="M359" s="134"/>
      <c r="T359" s="154">
        <f t="shared" si="20"/>
        <v>800</v>
      </c>
      <c r="U359" s="154">
        <f t="shared" si="21"/>
        <v>106360.49762108699</v>
      </c>
      <c r="V359" s="154">
        <f t="shared" si="22"/>
        <v>800</v>
      </c>
      <c r="W359" s="155">
        <f t="shared" si="23"/>
        <v>106360.49762108699</v>
      </c>
    </row>
    <row r="360" spans="1:23">
      <c r="A360" s="134" t="s">
        <v>961</v>
      </c>
      <c r="B360" s="134">
        <v>4</v>
      </c>
      <c r="C360" s="145">
        <v>856.99070829766902</v>
      </c>
      <c r="G360" s="134" t="s">
        <v>469</v>
      </c>
      <c r="H360" s="134" t="s">
        <v>469</v>
      </c>
      <c r="I360" s="134" t="s">
        <v>135</v>
      </c>
      <c r="J360" s="134">
        <v>1299</v>
      </c>
      <c r="K360" s="145">
        <v>406771.00911687099</v>
      </c>
      <c r="L360" s="145">
        <v>313.14165443947002</v>
      </c>
      <c r="M360" s="134"/>
      <c r="T360" s="154">
        <f t="shared" si="20"/>
        <v>4</v>
      </c>
      <c r="U360" s="154">
        <f t="shared" si="21"/>
        <v>856.99070829766902</v>
      </c>
      <c r="V360" s="154">
        <f t="shared" si="22"/>
        <v>4</v>
      </c>
      <c r="W360" s="155">
        <f t="shared" si="23"/>
        <v>856.99070829766902</v>
      </c>
    </row>
    <row r="361" spans="1:23">
      <c r="A361" s="134" t="s">
        <v>962</v>
      </c>
      <c r="B361" s="134">
        <v>4</v>
      </c>
      <c r="C361" s="145">
        <v>1867.36654277811</v>
      </c>
      <c r="G361" s="134" t="s">
        <v>469</v>
      </c>
      <c r="H361" s="134" t="s">
        <v>469</v>
      </c>
      <c r="I361" s="134" t="s">
        <v>154</v>
      </c>
      <c r="J361" s="134">
        <v>479</v>
      </c>
      <c r="K361" s="145">
        <v>67467.755177509607</v>
      </c>
      <c r="L361" s="145">
        <v>140.85126341860001</v>
      </c>
      <c r="M361" s="134"/>
      <c r="T361" s="154">
        <f t="shared" si="20"/>
        <v>4</v>
      </c>
      <c r="U361" s="154">
        <f t="shared" si="21"/>
        <v>1867.36654277811</v>
      </c>
      <c r="V361" s="154">
        <f t="shared" si="22"/>
        <v>4</v>
      </c>
      <c r="W361" s="155">
        <f t="shared" si="23"/>
        <v>1867.36654277811</v>
      </c>
    </row>
    <row r="362" spans="1:23">
      <c r="A362" s="134" t="s">
        <v>963</v>
      </c>
      <c r="B362" s="134">
        <v>18</v>
      </c>
      <c r="C362" s="145">
        <v>3354.4182408686302</v>
      </c>
      <c r="G362" s="134" t="s">
        <v>469</v>
      </c>
      <c r="H362" s="134" t="s">
        <v>469</v>
      </c>
      <c r="I362" s="134" t="s">
        <v>966</v>
      </c>
      <c r="J362" s="134">
        <v>2</v>
      </c>
      <c r="K362" s="145">
        <v>497.848948320815</v>
      </c>
      <c r="L362" s="145">
        <v>248.92447416040699</v>
      </c>
      <c r="M362" s="134"/>
      <c r="T362" s="154">
        <f t="shared" si="20"/>
        <v>18</v>
      </c>
      <c r="U362" s="154">
        <f t="shared" si="21"/>
        <v>3354.4182408686302</v>
      </c>
      <c r="V362" s="154">
        <f t="shared" si="22"/>
        <v>18</v>
      </c>
      <c r="W362" s="155">
        <f t="shared" si="23"/>
        <v>3354.4182408686302</v>
      </c>
    </row>
    <row r="363" spans="1:23">
      <c r="A363" s="134" t="s">
        <v>964</v>
      </c>
      <c r="B363" s="134">
        <v>7</v>
      </c>
      <c r="C363" s="145">
        <v>899.12824501143302</v>
      </c>
      <c r="G363" s="134" t="s">
        <v>469</v>
      </c>
      <c r="H363" s="134" t="s">
        <v>469</v>
      </c>
      <c r="I363" s="134" t="s">
        <v>665</v>
      </c>
      <c r="J363" s="134">
        <v>736</v>
      </c>
      <c r="K363" s="145">
        <v>86393.753669193102</v>
      </c>
      <c r="L363" s="145">
        <v>117.38281748531701</v>
      </c>
      <c r="M363" s="134"/>
      <c r="T363" s="154">
        <f t="shared" si="20"/>
        <v>7</v>
      </c>
      <c r="U363" s="154">
        <f t="shared" si="21"/>
        <v>899.12824501143302</v>
      </c>
      <c r="V363" s="154">
        <f t="shared" si="22"/>
        <v>7</v>
      </c>
      <c r="W363" s="155">
        <f t="shared" si="23"/>
        <v>899.12824501143302</v>
      </c>
    </row>
    <row r="364" spans="1:23">
      <c r="A364" s="134" t="s">
        <v>965</v>
      </c>
      <c r="B364" s="134">
        <v>1</v>
      </c>
      <c r="C364" s="145">
        <v>65.007628826643</v>
      </c>
      <c r="G364" s="134" t="s">
        <v>469</v>
      </c>
      <c r="H364" s="134" t="s">
        <v>469</v>
      </c>
      <c r="I364" s="134" t="s">
        <v>838</v>
      </c>
      <c r="J364" s="134">
        <v>11</v>
      </c>
      <c r="K364" s="145">
        <v>1014.64489544945</v>
      </c>
      <c r="L364" s="145">
        <v>92.240445040859001</v>
      </c>
      <c r="M364" s="134"/>
      <c r="T364" s="154">
        <f t="shared" si="20"/>
        <v>1</v>
      </c>
      <c r="U364" s="154">
        <f t="shared" si="21"/>
        <v>65.007628826643</v>
      </c>
      <c r="V364" s="154">
        <f t="shared" si="22"/>
        <v>1</v>
      </c>
      <c r="W364" s="155">
        <f t="shared" si="23"/>
        <v>65.007628826643</v>
      </c>
    </row>
    <row r="365" spans="1:23">
      <c r="A365" s="134" t="s">
        <v>966</v>
      </c>
      <c r="B365" s="134">
        <v>2</v>
      </c>
      <c r="C365" s="145">
        <v>497.848948320815</v>
      </c>
      <c r="G365" s="134" t="s">
        <v>469</v>
      </c>
      <c r="H365" s="134" t="s">
        <v>469</v>
      </c>
      <c r="I365" s="134" t="s">
        <v>493</v>
      </c>
      <c r="J365" s="134">
        <v>32647</v>
      </c>
      <c r="K365" s="145">
        <v>5337312.2728031203</v>
      </c>
      <c r="L365" s="145">
        <v>163.48553535709601</v>
      </c>
      <c r="M365" s="134"/>
      <c r="T365" s="154">
        <f t="shared" si="20"/>
        <v>2</v>
      </c>
      <c r="U365" s="154">
        <f t="shared" si="21"/>
        <v>497.848948320815</v>
      </c>
      <c r="V365" s="154">
        <f t="shared" si="22"/>
        <v>2</v>
      </c>
      <c r="W365" s="155">
        <f t="shared" si="23"/>
        <v>497.848948320815</v>
      </c>
    </row>
    <row r="366" spans="1:23">
      <c r="A366" s="138" t="s">
        <v>967</v>
      </c>
      <c r="B366" s="138">
        <v>4</v>
      </c>
      <c r="C366" s="138">
        <v>1266.6749912369801</v>
      </c>
      <c r="G366" s="134" t="s">
        <v>469</v>
      </c>
      <c r="H366" s="134" t="s">
        <v>469</v>
      </c>
      <c r="I366" s="134" t="s">
        <v>944</v>
      </c>
      <c r="J366" s="134">
        <v>35297</v>
      </c>
      <c r="K366" s="145">
        <v>7553136.7032465702</v>
      </c>
      <c r="L366" s="145">
        <v>213.98806423340699</v>
      </c>
      <c r="M366" s="134"/>
      <c r="T366" s="154">
        <f t="shared" ref="T366:T381" si="24">VLOOKUP(A366,$I:$L,2,FALSE)</f>
        <v>4</v>
      </c>
      <c r="U366" s="154">
        <f t="shared" ref="U366:U381" si="25">VLOOKUP(A366,$I:$L,3,FALSE)</f>
        <v>1177.8713985085701</v>
      </c>
      <c r="V366" s="154">
        <f t="shared" ref="V366:V381" si="26">IF(COUNTIF($P:$P,A366)=1,0,T366)</f>
        <v>4</v>
      </c>
      <c r="W366" s="155">
        <f t="shared" ref="W366:W381" si="27">IF(COUNTIF($P:$P,A366)=1,0,U366)</f>
        <v>1177.8713985085701</v>
      </c>
    </row>
    <row r="367" spans="1:23">
      <c r="A367" s="138" t="s">
        <v>968</v>
      </c>
      <c r="B367" s="138">
        <v>7</v>
      </c>
      <c r="C367" s="138">
        <v>1117.56922941734</v>
      </c>
      <c r="G367" s="134" t="s">
        <v>469</v>
      </c>
      <c r="H367" s="134" t="s">
        <v>469</v>
      </c>
      <c r="I367" s="134" t="s">
        <v>658</v>
      </c>
      <c r="J367" s="134">
        <v>211</v>
      </c>
      <c r="K367" s="145">
        <v>28200.204553442301</v>
      </c>
      <c r="L367" s="145">
        <v>133.65025854711999</v>
      </c>
      <c r="M367" s="134"/>
      <c r="T367" s="154">
        <f t="shared" si="24"/>
        <v>7</v>
      </c>
      <c r="U367" s="154">
        <f t="shared" si="25"/>
        <v>1117.56922941734</v>
      </c>
      <c r="V367" s="154">
        <f t="shared" si="26"/>
        <v>7</v>
      </c>
      <c r="W367" s="155">
        <f t="shared" si="27"/>
        <v>1117.56922941734</v>
      </c>
    </row>
    <row r="368" spans="1:23">
      <c r="A368" s="138" t="s">
        <v>969</v>
      </c>
      <c r="B368" s="138">
        <v>8</v>
      </c>
      <c r="C368" s="138">
        <v>932.66940548657999</v>
      </c>
      <c r="G368" s="134" t="s">
        <v>469</v>
      </c>
      <c r="H368" s="134" t="s">
        <v>469</v>
      </c>
      <c r="I368" s="134" t="s">
        <v>924</v>
      </c>
      <c r="J368" s="134">
        <v>1</v>
      </c>
      <c r="K368" s="145">
        <v>832.78800481812198</v>
      </c>
      <c r="L368" s="145">
        <v>832.78800481812198</v>
      </c>
      <c r="M368" s="134"/>
      <c r="T368" s="154">
        <f t="shared" si="24"/>
        <v>8</v>
      </c>
      <c r="U368" s="154">
        <f t="shared" si="25"/>
        <v>932.66940548657999</v>
      </c>
      <c r="V368" s="154">
        <f t="shared" si="26"/>
        <v>8</v>
      </c>
      <c r="W368" s="155">
        <f t="shared" si="27"/>
        <v>932.66940548657999</v>
      </c>
    </row>
    <row r="369" spans="1:23">
      <c r="A369" s="138" t="s">
        <v>970</v>
      </c>
      <c r="B369" s="138">
        <v>4</v>
      </c>
      <c r="C369" s="138">
        <v>379.60039285293601</v>
      </c>
      <c r="G369" s="134" t="s">
        <v>469</v>
      </c>
      <c r="H369" s="134" t="s">
        <v>469</v>
      </c>
      <c r="I369" s="134" t="s">
        <v>351</v>
      </c>
      <c r="J369" s="134">
        <v>1</v>
      </c>
      <c r="K369" s="145">
        <v>38.195954395795198</v>
      </c>
      <c r="L369" s="145">
        <v>38.195954395795198</v>
      </c>
      <c r="M369" s="134"/>
      <c r="T369" s="154">
        <f t="shared" si="24"/>
        <v>4</v>
      </c>
      <c r="U369" s="154">
        <f t="shared" si="25"/>
        <v>379.60039285293601</v>
      </c>
      <c r="V369" s="154">
        <f t="shared" si="26"/>
        <v>4</v>
      </c>
      <c r="W369" s="155">
        <f t="shared" si="27"/>
        <v>379.60039285293601</v>
      </c>
    </row>
    <row r="370" spans="1:23">
      <c r="A370" s="138" t="s">
        <v>971</v>
      </c>
      <c r="B370" s="138">
        <v>18</v>
      </c>
      <c r="C370" s="138">
        <v>2935.84929629617</v>
      </c>
      <c r="G370" s="134" t="s">
        <v>469</v>
      </c>
      <c r="H370" s="134" t="s">
        <v>469</v>
      </c>
      <c r="I370" s="134" t="s">
        <v>971</v>
      </c>
      <c r="J370" s="134">
        <v>18</v>
      </c>
      <c r="K370" s="145">
        <v>2935.84929629617</v>
      </c>
      <c r="L370" s="145">
        <v>163.102738683121</v>
      </c>
      <c r="M370" s="134"/>
      <c r="T370" s="154">
        <f t="shared" si="24"/>
        <v>18</v>
      </c>
      <c r="U370" s="154">
        <f t="shared" si="25"/>
        <v>2935.84929629617</v>
      </c>
      <c r="V370" s="154">
        <f t="shared" si="26"/>
        <v>18</v>
      </c>
      <c r="W370" s="155">
        <f t="shared" si="27"/>
        <v>2935.84929629617</v>
      </c>
    </row>
    <row r="371" spans="1:23">
      <c r="A371" s="138" t="s">
        <v>972</v>
      </c>
      <c r="B371" s="138">
        <v>14</v>
      </c>
      <c r="C371" s="138">
        <v>1322.1557611139799</v>
      </c>
      <c r="G371" s="134" t="s">
        <v>469</v>
      </c>
      <c r="H371" s="134" t="s">
        <v>469</v>
      </c>
      <c r="I371" s="134" t="s">
        <v>741</v>
      </c>
      <c r="J371" s="134">
        <v>2</v>
      </c>
      <c r="K371" s="145">
        <v>122.462944821161</v>
      </c>
      <c r="L371" s="145">
        <v>61.231472410580402</v>
      </c>
      <c r="M371" s="134"/>
      <c r="T371" s="154">
        <f t="shared" si="24"/>
        <v>14</v>
      </c>
      <c r="U371" s="154">
        <f t="shared" si="25"/>
        <v>1322.1557611139799</v>
      </c>
      <c r="V371" s="154">
        <f t="shared" si="26"/>
        <v>14</v>
      </c>
      <c r="W371" s="155">
        <f t="shared" si="27"/>
        <v>1322.1557611139799</v>
      </c>
    </row>
    <row r="372" spans="1:23">
      <c r="A372" s="138" t="s">
        <v>973</v>
      </c>
      <c r="B372" s="138">
        <v>3530</v>
      </c>
      <c r="C372" s="138">
        <v>254775.664950284</v>
      </c>
      <c r="G372" s="134" t="s">
        <v>469</v>
      </c>
      <c r="H372" s="134" t="s">
        <v>469</v>
      </c>
      <c r="I372" s="134" t="s">
        <v>750</v>
      </c>
      <c r="J372" s="134">
        <v>199939</v>
      </c>
      <c r="K372" s="145">
        <v>22149093.783193398</v>
      </c>
      <c r="L372" s="145">
        <v>110.779256589227</v>
      </c>
      <c r="M372" s="134"/>
      <c r="T372" s="154">
        <f t="shared" si="24"/>
        <v>3530</v>
      </c>
      <c r="U372" s="154">
        <f t="shared" si="25"/>
        <v>232111.57345520999</v>
      </c>
      <c r="V372" s="154">
        <f t="shared" si="26"/>
        <v>3530</v>
      </c>
      <c r="W372" s="155">
        <f t="shared" si="27"/>
        <v>232111.57345520999</v>
      </c>
    </row>
    <row r="373" spans="1:23">
      <c r="A373" s="138" t="s">
        <v>974</v>
      </c>
      <c r="B373" s="138">
        <v>35</v>
      </c>
      <c r="C373" s="138">
        <v>6891.2912326353899</v>
      </c>
      <c r="G373" s="134" t="s">
        <v>469</v>
      </c>
      <c r="H373" s="134" t="s">
        <v>469</v>
      </c>
      <c r="I373" s="134" t="s">
        <v>935</v>
      </c>
      <c r="J373" s="134">
        <v>16429</v>
      </c>
      <c r="K373" s="145">
        <v>2900629.4732705499</v>
      </c>
      <c r="L373" s="145">
        <v>176.55544910040501</v>
      </c>
      <c r="M373" s="134"/>
      <c r="T373" s="154">
        <f t="shared" si="24"/>
        <v>35</v>
      </c>
      <c r="U373" s="154">
        <f t="shared" si="25"/>
        <v>6891.2912326353899</v>
      </c>
      <c r="V373" s="154">
        <f t="shared" si="26"/>
        <v>35</v>
      </c>
      <c r="W373" s="155">
        <f t="shared" si="27"/>
        <v>6891.2912326353899</v>
      </c>
    </row>
    <row r="374" spans="1:23">
      <c r="A374" s="138" t="s">
        <v>1065</v>
      </c>
      <c r="B374" s="138">
        <v>4</v>
      </c>
      <c r="C374" s="138">
        <v>768.79721320133604</v>
      </c>
      <c r="G374" s="134" t="s">
        <v>469</v>
      </c>
      <c r="H374" s="134" t="s">
        <v>469</v>
      </c>
      <c r="I374" s="134" t="s">
        <v>684</v>
      </c>
      <c r="J374" s="134">
        <v>150</v>
      </c>
      <c r="K374" s="145">
        <v>20963.806719424199</v>
      </c>
      <c r="L374" s="145">
        <v>139.75871146282799</v>
      </c>
      <c r="M374" s="134"/>
      <c r="T374" s="154">
        <f t="shared" si="24"/>
        <v>4</v>
      </c>
      <c r="U374" s="154">
        <f t="shared" si="25"/>
        <v>768.79721320133604</v>
      </c>
      <c r="V374" s="154">
        <f t="shared" si="26"/>
        <v>4</v>
      </c>
      <c r="W374" s="155">
        <f t="shared" si="27"/>
        <v>768.79721320133604</v>
      </c>
    </row>
    <row r="375" spans="1:23">
      <c r="A375" s="138" t="s">
        <v>975</v>
      </c>
      <c r="B375" s="138">
        <v>19</v>
      </c>
      <c r="C375" s="138">
        <v>1822.77629507405</v>
      </c>
      <c r="G375" s="134" t="s">
        <v>469</v>
      </c>
      <c r="H375" s="134" t="s">
        <v>469</v>
      </c>
      <c r="I375" s="134" t="s">
        <v>174</v>
      </c>
      <c r="J375" s="134">
        <v>550</v>
      </c>
      <c r="K375" s="145">
        <v>142273.549267881</v>
      </c>
      <c r="L375" s="145">
        <v>258.67918048705701</v>
      </c>
      <c r="M375" s="134"/>
      <c r="T375" s="154">
        <f t="shared" si="24"/>
        <v>19</v>
      </c>
      <c r="U375" s="154">
        <f t="shared" si="25"/>
        <v>1289.95473870362</v>
      </c>
      <c r="V375" s="154">
        <f t="shared" si="26"/>
        <v>19</v>
      </c>
      <c r="W375" s="155">
        <f t="shared" si="27"/>
        <v>1289.95473870362</v>
      </c>
    </row>
    <row r="376" spans="1:23">
      <c r="A376" s="138" t="s">
        <v>976</v>
      </c>
      <c r="B376" s="138">
        <v>25</v>
      </c>
      <c r="C376" s="138">
        <v>55743.045226419403</v>
      </c>
      <c r="G376" s="134" t="s">
        <v>469</v>
      </c>
      <c r="H376" s="134" t="s">
        <v>469</v>
      </c>
      <c r="I376" s="134" t="s">
        <v>161</v>
      </c>
      <c r="J376" s="134">
        <v>6</v>
      </c>
      <c r="K376" s="145">
        <v>643.78496735342401</v>
      </c>
      <c r="L376" s="145">
        <v>107.29749455890401</v>
      </c>
      <c r="M376" s="134"/>
      <c r="T376" s="154">
        <f t="shared" si="24"/>
        <v>25</v>
      </c>
      <c r="U376" s="154">
        <f t="shared" si="25"/>
        <v>52483.033117556501</v>
      </c>
      <c r="V376" s="154">
        <f t="shared" si="26"/>
        <v>25</v>
      </c>
      <c r="W376" s="155">
        <f t="shared" si="27"/>
        <v>52483.033117556501</v>
      </c>
    </row>
    <row r="377" spans="1:23">
      <c r="A377" s="138" t="s">
        <v>977</v>
      </c>
      <c r="B377" s="138">
        <v>266</v>
      </c>
      <c r="C377" s="138">
        <v>257945.48721804499</v>
      </c>
      <c r="G377" s="134" t="s">
        <v>469</v>
      </c>
      <c r="H377" s="134" t="s">
        <v>469</v>
      </c>
      <c r="I377" s="134" t="s">
        <v>747</v>
      </c>
      <c r="J377" s="134">
        <v>363</v>
      </c>
      <c r="K377" s="145">
        <v>49373.857202443302</v>
      </c>
      <c r="L377" s="145">
        <v>136.016135543921</v>
      </c>
      <c r="M377" s="134"/>
      <c r="T377" s="154">
        <f t="shared" si="24"/>
        <v>266</v>
      </c>
      <c r="U377" s="154">
        <f t="shared" si="25"/>
        <v>236521.877084743</v>
      </c>
      <c r="V377" s="154">
        <f t="shared" si="26"/>
        <v>266</v>
      </c>
      <c r="W377" s="155">
        <f t="shared" si="27"/>
        <v>236521.877084743</v>
      </c>
    </row>
    <row r="378" spans="1:23">
      <c r="A378" s="138" t="s">
        <v>978</v>
      </c>
      <c r="B378" s="138">
        <v>2</v>
      </c>
      <c r="C378" s="138">
        <v>2932.0883003457002</v>
      </c>
      <c r="G378" s="134" t="s">
        <v>469</v>
      </c>
      <c r="H378" s="134" t="s">
        <v>469</v>
      </c>
      <c r="I378" s="134" t="s">
        <v>724</v>
      </c>
      <c r="J378" s="134">
        <v>3992</v>
      </c>
      <c r="K378" s="145">
        <v>461459.45529736101</v>
      </c>
      <c r="L378" s="145">
        <v>115.59605593621301</v>
      </c>
      <c r="M378" s="134"/>
      <c r="T378" s="154">
        <f t="shared" si="24"/>
        <v>2</v>
      </c>
      <c r="U378" s="154">
        <f t="shared" si="25"/>
        <v>1885.6748134520401</v>
      </c>
      <c r="V378" s="154">
        <f t="shared" si="26"/>
        <v>2</v>
      </c>
      <c r="W378" s="155">
        <f t="shared" si="27"/>
        <v>1885.6748134520401</v>
      </c>
    </row>
    <row r="379" spans="1:23">
      <c r="A379" s="138" t="s">
        <v>979</v>
      </c>
      <c r="B379" s="138">
        <v>35</v>
      </c>
      <c r="C379" s="138">
        <v>35704.375089111898</v>
      </c>
      <c r="G379" s="134" t="s">
        <v>469</v>
      </c>
      <c r="H379" s="134" t="s">
        <v>469</v>
      </c>
      <c r="I379" s="134" t="s">
        <v>352</v>
      </c>
      <c r="J379" s="134">
        <v>15</v>
      </c>
      <c r="K379" s="145">
        <v>2494.87380590354</v>
      </c>
      <c r="L379" s="145">
        <v>166.32492039356899</v>
      </c>
      <c r="M379" s="134"/>
      <c r="T379" s="154">
        <f t="shared" si="24"/>
        <v>35</v>
      </c>
      <c r="U379" s="154">
        <f t="shared" si="25"/>
        <v>31441.921071232598</v>
      </c>
      <c r="V379" s="154">
        <f t="shared" si="26"/>
        <v>35</v>
      </c>
      <c r="W379" s="155">
        <f t="shared" si="27"/>
        <v>31441.921071232598</v>
      </c>
    </row>
    <row r="380" spans="1:23">
      <c r="A380" s="138" t="s">
        <v>980</v>
      </c>
      <c r="B380" s="138">
        <v>53</v>
      </c>
      <c r="C380" s="138">
        <v>6198.6901580108497</v>
      </c>
      <c r="G380" s="134" t="s">
        <v>469</v>
      </c>
      <c r="H380" s="134" t="s">
        <v>469</v>
      </c>
      <c r="I380" s="134" t="s">
        <v>494</v>
      </c>
      <c r="J380" s="134">
        <v>12297</v>
      </c>
      <c r="K380" s="145">
        <v>1963125.5640765601</v>
      </c>
      <c r="L380" s="145">
        <v>159.64264162613301</v>
      </c>
      <c r="M380" s="134"/>
      <c r="T380" s="154">
        <f t="shared" si="24"/>
        <v>53</v>
      </c>
      <c r="U380" s="154">
        <f t="shared" si="25"/>
        <v>6198.6901580108497</v>
      </c>
      <c r="V380" s="154">
        <f t="shared" si="26"/>
        <v>53</v>
      </c>
      <c r="W380" s="155">
        <f t="shared" si="27"/>
        <v>6198.6901580108497</v>
      </c>
    </row>
    <row r="381" spans="1:23">
      <c r="A381" s="138" t="s">
        <v>981</v>
      </c>
      <c r="B381" s="138">
        <v>63</v>
      </c>
      <c r="C381" s="138">
        <v>47971.751544650702</v>
      </c>
      <c r="G381" s="134" t="s">
        <v>469</v>
      </c>
      <c r="H381" s="134" t="s">
        <v>469</v>
      </c>
      <c r="I381" s="134" t="s">
        <v>93</v>
      </c>
      <c r="J381" s="134">
        <v>509</v>
      </c>
      <c r="K381" s="145">
        <v>109777.59073751701</v>
      </c>
      <c r="L381" s="145">
        <v>215.673066281958</v>
      </c>
      <c r="M381" s="134"/>
      <c r="T381" s="154">
        <f t="shared" si="24"/>
        <v>63</v>
      </c>
      <c r="U381" s="154">
        <f t="shared" si="25"/>
        <v>43311.2144209584</v>
      </c>
      <c r="V381" s="154">
        <f t="shared" si="26"/>
        <v>63</v>
      </c>
      <c r="W381" s="155">
        <f t="shared" si="27"/>
        <v>43311.2144209584</v>
      </c>
    </row>
    <row r="382" spans="1:23">
      <c r="A382" s="138" t="s">
        <v>982</v>
      </c>
      <c r="B382" s="138">
        <v>20</v>
      </c>
      <c r="C382" s="138">
        <v>8502.1999243014907</v>
      </c>
      <c r="G382" s="134" t="s">
        <v>469</v>
      </c>
      <c r="H382" s="134" t="s">
        <v>469</v>
      </c>
      <c r="I382" s="134" t="s">
        <v>842</v>
      </c>
      <c r="J382" s="134">
        <v>326</v>
      </c>
      <c r="K382" s="145">
        <v>56378.4091026842</v>
      </c>
      <c r="L382" s="145">
        <v>172.939905222958</v>
      </c>
      <c r="M382" s="134"/>
      <c r="T382" s="154">
        <f t="shared" ref="T382:T404" si="28">VLOOKUP(A382,$I:$L,2,FALSE)</f>
        <v>20</v>
      </c>
      <c r="U382" s="154">
        <f t="shared" ref="U382:U404" si="29">VLOOKUP(A382,$I:$L,3,FALSE)</f>
        <v>4083.5423803885001</v>
      </c>
      <c r="V382" s="154">
        <f t="shared" ref="V382:V404" si="30">IF(COUNTIF($P:$P,A382)=1,0,T382)</f>
        <v>20</v>
      </c>
      <c r="W382" s="155">
        <f t="shared" ref="W382:W404" si="31">IF(COUNTIF($P:$P,A382)=1,0,U382)</f>
        <v>4083.5423803885001</v>
      </c>
    </row>
    <row r="383" spans="1:23">
      <c r="A383" s="138" t="s">
        <v>983</v>
      </c>
      <c r="B383" s="138">
        <v>29</v>
      </c>
      <c r="C383" s="138">
        <v>12638.672604318799</v>
      </c>
      <c r="G383" s="134" t="s">
        <v>469</v>
      </c>
      <c r="H383" s="134" t="s">
        <v>469</v>
      </c>
      <c r="I383" s="134" t="s">
        <v>689</v>
      </c>
      <c r="J383" s="134">
        <v>7</v>
      </c>
      <c r="K383" s="145">
        <v>1055.59006884259</v>
      </c>
      <c r="L383" s="145">
        <v>150.79858126322799</v>
      </c>
      <c r="M383" s="134"/>
      <c r="T383" s="154">
        <f t="shared" si="28"/>
        <v>29</v>
      </c>
      <c r="U383" s="154">
        <f t="shared" si="29"/>
        <v>7028.4665700534597</v>
      </c>
      <c r="V383" s="154">
        <f t="shared" si="30"/>
        <v>29</v>
      </c>
      <c r="W383" s="155">
        <f t="shared" si="31"/>
        <v>7028.4665700534597</v>
      </c>
    </row>
    <row r="384" spans="1:23">
      <c r="A384" s="138" t="s">
        <v>985</v>
      </c>
      <c r="B384" s="138">
        <v>490</v>
      </c>
      <c r="C384" s="138">
        <v>126584.45168173801</v>
      </c>
      <c r="G384" s="134" t="s">
        <v>469</v>
      </c>
      <c r="H384" s="134" t="s">
        <v>469</v>
      </c>
      <c r="I384" s="134" t="s">
        <v>703</v>
      </c>
      <c r="J384" s="134">
        <v>902</v>
      </c>
      <c r="K384" s="145">
        <v>87757.780996478905</v>
      </c>
      <c r="L384" s="145">
        <v>97.292440129133993</v>
      </c>
      <c r="M384" s="134"/>
      <c r="T384" s="154">
        <f t="shared" si="28"/>
        <v>490</v>
      </c>
      <c r="U384" s="154">
        <f t="shared" si="29"/>
        <v>108320.277511124</v>
      </c>
      <c r="V384" s="154">
        <f t="shared" si="30"/>
        <v>490</v>
      </c>
      <c r="W384" s="155">
        <f t="shared" si="31"/>
        <v>108320.277511124</v>
      </c>
    </row>
    <row r="385" spans="1:23">
      <c r="A385" s="138" t="s">
        <v>986</v>
      </c>
      <c r="B385" s="138">
        <v>356</v>
      </c>
      <c r="C385" s="138">
        <v>83014.590992911995</v>
      </c>
      <c r="G385" s="134" t="s">
        <v>469</v>
      </c>
      <c r="H385" s="134" t="s">
        <v>469</v>
      </c>
      <c r="I385" s="134" t="s">
        <v>1072</v>
      </c>
      <c r="J385" s="134">
        <v>54184</v>
      </c>
      <c r="K385" s="145">
        <v>1678373.5765461</v>
      </c>
      <c r="L385" s="145">
        <v>30.975446193453902</v>
      </c>
      <c r="M385" s="134"/>
      <c r="T385" s="154">
        <f t="shared" si="28"/>
        <v>356</v>
      </c>
      <c r="U385" s="154">
        <f t="shared" si="29"/>
        <v>67170.895789997696</v>
      </c>
      <c r="V385" s="154">
        <f t="shared" si="30"/>
        <v>356</v>
      </c>
      <c r="W385" s="155">
        <f t="shared" si="31"/>
        <v>67170.895789997696</v>
      </c>
    </row>
    <row r="386" spans="1:23">
      <c r="A386" s="138" t="s">
        <v>987</v>
      </c>
      <c r="B386" s="138">
        <v>4</v>
      </c>
      <c r="C386" s="138">
        <v>1241.9384936318199</v>
      </c>
      <c r="G386" s="134" t="s">
        <v>469</v>
      </c>
      <c r="H386" s="134" t="s">
        <v>469</v>
      </c>
      <c r="I386" s="134" t="s">
        <v>945</v>
      </c>
      <c r="J386" s="134">
        <v>3579</v>
      </c>
      <c r="K386" s="145">
        <v>411186.07117779303</v>
      </c>
      <c r="L386" s="145">
        <v>114.88853623296799</v>
      </c>
      <c r="M386" s="134"/>
      <c r="T386" s="154">
        <f t="shared" si="28"/>
        <v>4</v>
      </c>
      <c r="U386" s="154">
        <f t="shared" si="29"/>
        <v>1241.9384936318199</v>
      </c>
      <c r="V386" s="154">
        <f t="shared" si="30"/>
        <v>4</v>
      </c>
      <c r="W386" s="155">
        <f t="shared" si="31"/>
        <v>1241.9384936318199</v>
      </c>
    </row>
    <row r="387" spans="1:23">
      <c r="A387" s="138" t="s">
        <v>989</v>
      </c>
      <c r="B387" s="138">
        <v>10</v>
      </c>
      <c r="C387" s="138">
        <v>1555.64466560044</v>
      </c>
      <c r="G387" s="134" t="s">
        <v>469</v>
      </c>
      <c r="H387" s="134" t="s">
        <v>469</v>
      </c>
      <c r="I387" s="134" t="s">
        <v>105</v>
      </c>
      <c r="J387" s="134">
        <v>9113</v>
      </c>
      <c r="K387" s="145">
        <v>1269376.2412018101</v>
      </c>
      <c r="L387" s="145">
        <v>139.29290477359899</v>
      </c>
      <c r="M387" s="134"/>
      <c r="T387" s="154">
        <f t="shared" si="28"/>
        <v>10</v>
      </c>
      <c r="U387" s="154">
        <f t="shared" si="29"/>
        <v>1555.64466560044</v>
      </c>
      <c r="V387" s="154">
        <f t="shared" si="30"/>
        <v>10</v>
      </c>
      <c r="W387" s="155">
        <f t="shared" si="31"/>
        <v>1555.64466560044</v>
      </c>
    </row>
    <row r="388" spans="1:23">
      <c r="A388" s="138" t="s">
        <v>991</v>
      </c>
      <c r="B388" s="138">
        <v>468</v>
      </c>
      <c r="C388" s="138">
        <v>94272.458503164497</v>
      </c>
      <c r="G388" s="134" t="s">
        <v>469</v>
      </c>
      <c r="H388" s="134" t="s">
        <v>469</v>
      </c>
      <c r="I388" s="134" t="s">
        <v>353</v>
      </c>
      <c r="J388" s="134">
        <v>307</v>
      </c>
      <c r="K388" s="145">
        <v>42674.803118584903</v>
      </c>
      <c r="L388" s="145">
        <v>139.005873350439</v>
      </c>
      <c r="M388" s="134"/>
      <c r="T388" s="154">
        <f t="shared" si="28"/>
        <v>468</v>
      </c>
      <c r="U388" s="154">
        <f t="shared" si="29"/>
        <v>82605.504233479398</v>
      </c>
      <c r="V388" s="154">
        <f t="shared" si="30"/>
        <v>468</v>
      </c>
      <c r="W388" s="155">
        <f t="shared" si="31"/>
        <v>82605.504233479398</v>
      </c>
    </row>
    <row r="389" spans="1:23">
      <c r="A389" s="138" t="s">
        <v>992</v>
      </c>
      <c r="B389" s="138">
        <v>256</v>
      </c>
      <c r="C389" s="138">
        <v>69094.576109233196</v>
      </c>
      <c r="G389" s="134" t="s">
        <v>469</v>
      </c>
      <c r="H389" s="134" t="s">
        <v>469</v>
      </c>
      <c r="I389" s="134" t="s">
        <v>1006</v>
      </c>
      <c r="J389" s="134">
        <v>5</v>
      </c>
      <c r="K389" s="145">
        <v>373.45946257931797</v>
      </c>
      <c r="L389" s="145">
        <v>74.6918925158636</v>
      </c>
      <c r="M389" s="134"/>
      <c r="T389" s="154">
        <f t="shared" si="28"/>
        <v>256</v>
      </c>
      <c r="U389" s="154">
        <f t="shared" si="29"/>
        <v>67576.618199136297</v>
      </c>
      <c r="V389" s="154">
        <f t="shared" si="30"/>
        <v>256</v>
      </c>
      <c r="W389" s="155">
        <f t="shared" si="31"/>
        <v>67576.618199136297</v>
      </c>
    </row>
    <row r="390" spans="1:23">
      <c r="A390" s="138" t="s">
        <v>993</v>
      </c>
      <c r="B390" s="138">
        <v>372</v>
      </c>
      <c r="C390" s="138">
        <v>53756.8131176651</v>
      </c>
      <c r="G390" s="134" t="s">
        <v>469</v>
      </c>
      <c r="H390" s="134" t="s">
        <v>469</v>
      </c>
      <c r="I390" s="134" t="s">
        <v>706</v>
      </c>
      <c r="J390" s="134">
        <v>198</v>
      </c>
      <c r="K390" s="145">
        <v>24647.211058318899</v>
      </c>
      <c r="L390" s="145">
        <v>124.480863930903</v>
      </c>
      <c r="M390" s="134"/>
      <c r="T390" s="154">
        <f t="shared" si="28"/>
        <v>372</v>
      </c>
      <c r="U390" s="154">
        <f t="shared" si="29"/>
        <v>41693.644148089603</v>
      </c>
      <c r="V390" s="154">
        <f t="shared" si="30"/>
        <v>372</v>
      </c>
      <c r="W390" s="155">
        <f t="shared" si="31"/>
        <v>41693.644148089603</v>
      </c>
    </row>
    <row r="391" spans="1:23">
      <c r="A391" s="138" t="s">
        <v>994</v>
      </c>
      <c r="B391" s="138">
        <v>55</v>
      </c>
      <c r="C391" s="138">
        <v>20919.758300168</v>
      </c>
      <c r="G391" s="134" t="s">
        <v>469</v>
      </c>
      <c r="H391" s="134" t="s">
        <v>469</v>
      </c>
      <c r="I391" s="134" t="s">
        <v>97</v>
      </c>
      <c r="J391" s="134">
        <v>23</v>
      </c>
      <c r="K391" s="145">
        <v>3410.52598306244</v>
      </c>
      <c r="L391" s="145">
        <v>148.283738394019</v>
      </c>
      <c r="M391" s="134"/>
      <c r="T391" s="154">
        <f t="shared" si="28"/>
        <v>55</v>
      </c>
      <c r="U391" s="154">
        <f t="shared" si="29"/>
        <v>20919.758300168</v>
      </c>
      <c r="V391" s="154">
        <f t="shared" si="30"/>
        <v>55</v>
      </c>
      <c r="W391" s="155">
        <f t="shared" si="31"/>
        <v>20919.758300168</v>
      </c>
    </row>
    <row r="392" spans="1:23">
      <c r="A392" s="138" t="s">
        <v>996</v>
      </c>
      <c r="B392" s="138">
        <v>15</v>
      </c>
      <c r="C392" s="138">
        <v>3369.1862057270901</v>
      </c>
      <c r="G392" s="134" t="s">
        <v>469</v>
      </c>
      <c r="H392" s="134" t="s">
        <v>469</v>
      </c>
      <c r="I392" s="134" t="s">
        <v>931</v>
      </c>
      <c r="J392" s="134">
        <v>23</v>
      </c>
      <c r="K392" s="145">
        <v>4168.9166513292303</v>
      </c>
      <c r="L392" s="145">
        <v>181.25724570996701</v>
      </c>
      <c r="M392" s="134"/>
      <c r="T392" s="154">
        <f t="shared" si="28"/>
        <v>15</v>
      </c>
      <c r="U392" s="154">
        <f t="shared" si="29"/>
        <v>2864.3967337911099</v>
      </c>
      <c r="V392" s="154">
        <f t="shared" si="30"/>
        <v>15</v>
      </c>
      <c r="W392" s="155">
        <f t="shared" si="31"/>
        <v>2864.3967337911099</v>
      </c>
    </row>
    <row r="393" spans="1:23">
      <c r="A393" s="138" t="s">
        <v>998</v>
      </c>
      <c r="B393" s="138">
        <v>2183</v>
      </c>
      <c r="C393" s="138">
        <v>481262.97383286402</v>
      </c>
      <c r="G393" s="134" t="s">
        <v>469</v>
      </c>
      <c r="H393" s="134" t="s">
        <v>469</v>
      </c>
      <c r="I393" s="134" t="s">
        <v>934</v>
      </c>
      <c r="J393" s="134">
        <v>1</v>
      </c>
      <c r="K393" s="145">
        <v>142.95134516943301</v>
      </c>
      <c r="L393" s="145">
        <v>142.95134516943301</v>
      </c>
      <c r="M393" s="134"/>
      <c r="T393" s="154">
        <f t="shared" si="28"/>
        <v>2183</v>
      </c>
      <c r="U393" s="154">
        <f t="shared" si="29"/>
        <v>445208.50687187503</v>
      </c>
      <c r="V393" s="154">
        <f t="shared" si="30"/>
        <v>2183</v>
      </c>
      <c r="W393" s="155">
        <f t="shared" si="31"/>
        <v>445208.50687187503</v>
      </c>
    </row>
    <row r="394" spans="1:23">
      <c r="A394" s="138" t="s">
        <v>1000</v>
      </c>
      <c r="B394" s="138">
        <v>46</v>
      </c>
      <c r="C394" s="138">
        <v>9660.1073467760707</v>
      </c>
      <c r="G394" s="134" t="s">
        <v>469</v>
      </c>
      <c r="H394" s="134" t="s">
        <v>469</v>
      </c>
      <c r="I394" s="134" t="s">
        <v>914</v>
      </c>
      <c r="J394" s="134">
        <v>4</v>
      </c>
      <c r="K394" s="145">
        <v>1061.92996885874</v>
      </c>
      <c r="L394" s="145">
        <v>265.48249221468399</v>
      </c>
      <c r="M394" s="134"/>
      <c r="T394" s="154">
        <f t="shared" si="28"/>
        <v>46</v>
      </c>
      <c r="U394" s="154">
        <f t="shared" si="29"/>
        <v>9660.1073467760707</v>
      </c>
      <c r="V394" s="154">
        <f t="shared" si="30"/>
        <v>46</v>
      </c>
      <c r="W394" s="155">
        <f t="shared" si="31"/>
        <v>9660.1073467760707</v>
      </c>
    </row>
    <row r="395" spans="1:23">
      <c r="A395" s="138" t="s">
        <v>1001</v>
      </c>
      <c r="B395" s="138">
        <v>59</v>
      </c>
      <c r="C395" s="138">
        <v>25035.756224770801</v>
      </c>
      <c r="G395" s="134" t="s">
        <v>469</v>
      </c>
      <c r="H395" s="134" t="s">
        <v>469</v>
      </c>
      <c r="I395" s="134" t="s">
        <v>980</v>
      </c>
      <c r="J395" s="134">
        <v>53</v>
      </c>
      <c r="K395" s="145">
        <v>6198.6901580108497</v>
      </c>
      <c r="L395" s="145">
        <v>116.956418075676</v>
      </c>
      <c r="M395" s="134"/>
      <c r="T395" s="154">
        <f t="shared" si="28"/>
        <v>59</v>
      </c>
      <c r="U395" s="154">
        <f t="shared" si="29"/>
        <v>21927.381242452699</v>
      </c>
      <c r="V395" s="154">
        <f t="shared" si="30"/>
        <v>59</v>
      </c>
      <c r="W395" s="155">
        <f t="shared" si="31"/>
        <v>21927.381242452699</v>
      </c>
    </row>
    <row r="396" spans="1:23">
      <c r="A396" s="138" t="s">
        <v>1002</v>
      </c>
      <c r="B396" s="138">
        <v>113</v>
      </c>
      <c r="C396" s="138">
        <v>11037.623571754</v>
      </c>
      <c r="G396" s="134" t="s">
        <v>469</v>
      </c>
      <c r="H396" s="134" t="s">
        <v>469</v>
      </c>
      <c r="I396" s="134" t="s">
        <v>991</v>
      </c>
      <c r="J396" s="134">
        <v>468</v>
      </c>
      <c r="K396" s="145">
        <v>82605.504233479398</v>
      </c>
      <c r="L396" s="145">
        <v>176.50748767837501</v>
      </c>
      <c r="M396" s="134"/>
      <c r="T396" s="154">
        <f t="shared" si="28"/>
        <v>113</v>
      </c>
      <c r="U396" s="154">
        <f t="shared" si="29"/>
        <v>11037.623571754</v>
      </c>
      <c r="V396" s="154">
        <f t="shared" si="30"/>
        <v>113</v>
      </c>
      <c r="W396" s="155">
        <f t="shared" si="31"/>
        <v>11037.623571754</v>
      </c>
    </row>
    <row r="397" spans="1:23">
      <c r="A397" s="138" t="s">
        <v>1003</v>
      </c>
      <c r="B397" s="138">
        <v>36</v>
      </c>
      <c r="C397" s="138">
        <v>1918.8992278199</v>
      </c>
      <c r="G397" s="134" t="s">
        <v>469</v>
      </c>
      <c r="H397" s="134" t="s">
        <v>469</v>
      </c>
      <c r="I397" s="134" t="s">
        <v>876</v>
      </c>
      <c r="J397" s="134">
        <v>1</v>
      </c>
      <c r="K397" s="145">
        <v>373.13736429115397</v>
      </c>
      <c r="L397" s="145">
        <v>373.13736429115397</v>
      </c>
      <c r="M397" s="134"/>
      <c r="T397" s="154">
        <f t="shared" si="28"/>
        <v>36</v>
      </c>
      <c r="U397" s="154">
        <f t="shared" si="29"/>
        <v>1830.0956350915001</v>
      </c>
      <c r="V397" s="154">
        <f t="shared" si="30"/>
        <v>36</v>
      </c>
      <c r="W397" s="155">
        <f t="shared" si="31"/>
        <v>1830.0956350915001</v>
      </c>
    </row>
    <row r="398" spans="1:23">
      <c r="A398" s="138" t="s">
        <v>1004</v>
      </c>
      <c r="B398" s="138">
        <v>4</v>
      </c>
      <c r="C398" s="138">
        <v>543.59570206430897</v>
      </c>
      <c r="G398" s="134" t="s">
        <v>469</v>
      </c>
      <c r="H398" s="134" t="s">
        <v>469</v>
      </c>
      <c r="I398" s="134" t="s">
        <v>847</v>
      </c>
      <c r="J398" s="134">
        <v>11</v>
      </c>
      <c r="K398" s="145">
        <v>1320.46028626207</v>
      </c>
      <c r="L398" s="145">
        <v>120.041844205643</v>
      </c>
      <c r="M398" s="134"/>
      <c r="T398" s="154">
        <f t="shared" si="28"/>
        <v>4</v>
      </c>
      <c r="U398" s="154">
        <f t="shared" si="29"/>
        <v>543.59570206430897</v>
      </c>
      <c r="V398" s="154">
        <f t="shared" si="30"/>
        <v>4</v>
      </c>
      <c r="W398" s="155">
        <f t="shared" si="31"/>
        <v>543.59570206430897</v>
      </c>
    </row>
    <row r="399" spans="1:23">
      <c r="A399" s="138" t="s">
        <v>1005</v>
      </c>
      <c r="B399" s="138">
        <v>47</v>
      </c>
      <c r="C399" s="138">
        <v>13313.7239385332</v>
      </c>
      <c r="G399" s="134" t="s">
        <v>469</v>
      </c>
      <c r="H399" s="134" t="s">
        <v>469</v>
      </c>
      <c r="I399" s="134" t="s">
        <v>978</v>
      </c>
      <c r="J399" s="134">
        <v>2</v>
      </c>
      <c r="K399" s="145">
        <v>1885.6748134520401</v>
      </c>
      <c r="L399" s="145">
        <v>942.83740672602096</v>
      </c>
      <c r="M399" s="134"/>
      <c r="T399" s="154">
        <f t="shared" si="28"/>
        <v>47</v>
      </c>
      <c r="U399" s="154">
        <f t="shared" si="29"/>
        <v>9284.2248253800008</v>
      </c>
      <c r="V399" s="154">
        <f t="shared" si="30"/>
        <v>47</v>
      </c>
      <c r="W399" s="155">
        <f t="shared" si="31"/>
        <v>9284.2248253800008</v>
      </c>
    </row>
    <row r="400" spans="1:23">
      <c r="A400" s="138" t="s">
        <v>1006</v>
      </c>
      <c r="B400" s="138">
        <v>5</v>
      </c>
      <c r="C400" s="138">
        <v>13369.0385149625</v>
      </c>
      <c r="G400" s="134" t="s">
        <v>469</v>
      </c>
      <c r="H400" s="134" t="s">
        <v>469</v>
      </c>
      <c r="I400" s="134" t="s">
        <v>112</v>
      </c>
      <c r="J400" s="134">
        <v>172</v>
      </c>
      <c r="K400" s="145">
        <v>33014.637866270197</v>
      </c>
      <c r="L400" s="145">
        <v>191.94556898994301</v>
      </c>
      <c r="M400" s="134"/>
      <c r="T400" s="154">
        <f t="shared" si="28"/>
        <v>5</v>
      </c>
      <c r="U400" s="154">
        <f t="shared" si="29"/>
        <v>373.45946257931797</v>
      </c>
      <c r="V400" s="154">
        <f t="shared" si="30"/>
        <v>5</v>
      </c>
      <c r="W400" s="155">
        <f t="shared" si="31"/>
        <v>373.45946257931797</v>
      </c>
    </row>
    <row r="401" spans="1:23">
      <c r="A401" s="138" t="s">
        <v>1007</v>
      </c>
      <c r="B401" s="138">
        <v>125</v>
      </c>
      <c r="C401" s="138">
        <v>9550.1071555890394</v>
      </c>
      <c r="G401" s="134" t="s">
        <v>469</v>
      </c>
      <c r="H401" s="134" t="s">
        <v>469</v>
      </c>
      <c r="I401" s="134" t="s">
        <v>138</v>
      </c>
      <c r="J401" s="134">
        <v>398</v>
      </c>
      <c r="K401" s="145">
        <v>52451.259841368301</v>
      </c>
      <c r="L401" s="145">
        <v>131.78708502856401</v>
      </c>
      <c r="M401" s="134"/>
      <c r="T401" s="154">
        <f t="shared" si="28"/>
        <v>125</v>
      </c>
      <c r="U401" s="154">
        <f t="shared" si="29"/>
        <v>6824.4554068739099</v>
      </c>
      <c r="V401" s="154">
        <f t="shared" si="30"/>
        <v>125</v>
      </c>
      <c r="W401" s="155">
        <f t="shared" si="31"/>
        <v>6824.4554068739099</v>
      </c>
    </row>
    <row r="402" spans="1:23">
      <c r="A402" s="138" t="s">
        <v>1008</v>
      </c>
      <c r="B402" s="138">
        <v>18</v>
      </c>
      <c r="C402" s="138">
        <v>1986.8041969343899</v>
      </c>
      <c r="G402" s="134" t="s">
        <v>469</v>
      </c>
      <c r="H402" s="134" t="s">
        <v>469</v>
      </c>
      <c r="I402" s="134" t="s">
        <v>868</v>
      </c>
      <c r="J402" s="134">
        <v>7</v>
      </c>
      <c r="K402" s="145">
        <v>568.877075053211</v>
      </c>
      <c r="L402" s="145">
        <v>81.268153579030098</v>
      </c>
      <c r="M402" s="134"/>
      <c r="T402" s="154">
        <f t="shared" si="28"/>
        <v>18</v>
      </c>
      <c r="U402" s="154">
        <f t="shared" si="29"/>
        <v>1986.8041969343899</v>
      </c>
      <c r="V402" s="154">
        <f t="shared" si="30"/>
        <v>18</v>
      </c>
      <c r="W402" s="155">
        <f t="shared" si="31"/>
        <v>1986.8041969343899</v>
      </c>
    </row>
    <row r="403" spans="1:23">
      <c r="A403" s="138" t="s">
        <v>1009</v>
      </c>
      <c r="B403" s="138">
        <v>7</v>
      </c>
      <c r="C403" s="138">
        <v>12582.517912941499</v>
      </c>
      <c r="G403" s="134" t="s">
        <v>469</v>
      </c>
      <c r="H403" s="134" t="s">
        <v>469</v>
      </c>
      <c r="I403" s="134" t="s">
        <v>168</v>
      </c>
      <c r="J403" s="134">
        <v>25</v>
      </c>
      <c r="K403" s="145">
        <v>4550.5269062048901</v>
      </c>
      <c r="L403" s="145">
        <v>182.02107624819601</v>
      </c>
      <c r="M403" s="134"/>
      <c r="T403" s="154">
        <f t="shared" si="28"/>
        <v>7</v>
      </c>
      <c r="U403" s="154">
        <f t="shared" si="29"/>
        <v>2432.60670688645</v>
      </c>
      <c r="V403" s="154">
        <f t="shared" si="30"/>
        <v>7</v>
      </c>
      <c r="W403" s="155">
        <f t="shared" si="31"/>
        <v>2432.60670688645</v>
      </c>
    </row>
    <row r="404" spans="1:23">
      <c r="A404" s="138" t="s">
        <v>1066</v>
      </c>
      <c r="B404" s="138">
        <v>12</v>
      </c>
      <c r="C404" s="138">
        <v>4802.3030963567799</v>
      </c>
      <c r="G404" s="134" t="s">
        <v>469</v>
      </c>
      <c r="H404" s="134" t="s">
        <v>469</v>
      </c>
      <c r="I404" s="134" t="s">
        <v>907</v>
      </c>
      <c r="J404" s="134">
        <v>12833</v>
      </c>
      <c r="K404" s="145">
        <v>1074206.9119941101</v>
      </c>
      <c r="L404" s="145">
        <v>83.706608898473306</v>
      </c>
      <c r="M404" s="134"/>
      <c r="T404" s="154">
        <f t="shared" si="28"/>
        <v>12</v>
      </c>
      <c r="U404" s="154">
        <f t="shared" si="29"/>
        <v>1880.19092987453</v>
      </c>
      <c r="V404" s="154">
        <f t="shared" si="30"/>
        <v>12</v>
      </c>
      <c r="W404" s="155">
        <f t="shared" si="31"/>
        <v>1880.19092987453</v>
      </c>
    </row>
    <row r="405" spans="1:23">
      <c r="G405" s="134" t="s">
        <v>469</v>
      </c>
      <c r="H405" s="134" t="s">
        <v>469</v>
      </c>
      <c r="I405" s="134" t="s">
        <v>83</v>
      </c>
      <c r="J405" s="134">
        <v>39</v>
      </c>
      <c r="K405" s="145">
        <v>3726.4515828152698</v>
      </c>
      <c r="L405" s="145">
        <v>95.550040585006997</v>
      </c>
      <c r="M405" s="134"/>
      <c r="V405" s="128"/>
      <c r="W405" s="128"/>
    </row>
    <row r="406" spans="1:23">
      <c r="G406" s="134" t="s">
        <v>469</v>
      </c>
      <c r="H406" s="134" t="s">
        <v>469</v>
      </c>
      <c r="I406" s="134" t="s">
        <v>736</v>
      </c>
      <c r="J406" s="134">
        <v>8116</v>
      </c>
      <c r="K406" s="145">
        <v>821878.50484356703</v>
      </c>
      <c r="L406" s="145">
        <v>101.26644958644199</v>
      </c>
      <c r="M406" s="134"/>
      <c r="V406" s="128"/>
      <c r="W406" s="128"/>
    </row>
    <row r="407" spans="1:23">
      <c r="G407" s="134" t="s">
        <v>469</v>
      </c>
      <c r="H407" s="134" t="s">
        <v>469</v>
      </c>
      <c r="I407" s="134" t="s">
        <v>801</v>
      </c>
      <c r="J407" s="134">
        <v>172189</v>
      </c>
      <c r="K407" s="145">
        <v>20248471.1079305</v>
      </c>
      <c r="L407" s="145">
        <v>117.594452072609</v>
      </c>
      <c r="M407" s="134"/>
      <c r="V407" s="128"/>
      <c r="W407" s="128"/>
    </row>
    <row r="408" spans="1:23">
      <c r="G408" s="134" t="s">
        <v>469</v>
      </c>
      <c r="H408" s="134" t="s">
        <v>469</v>
      </c>
      <c r="I408" s="134" t="s">
        <v>143</v>
      </c>
      <c r="J408" s="134">
        <v>2174</v>
      </c>
      <c r="K408" s="145">
        <v>259407.39188742</v>
      </c>
      <c r="L408" s="145">
        <v>119.322627363118</v>
      </c>
      <c r="M408" s="134"/>
      <c r="V408" s="128"/>
      <c r="W408" s="128"/>
    </row>
    <row r="409" spans="1:23">
      <c r="G409" s="134" t="s">
        <v>469</v>
      </c>
      <c r="H409" s="134" t="s">
        <v>469</v>
      </c>
      <c r="I409" s="134" t="s">
        <v>664</v>
      </c>
      <c r="J409" s="134">
        <v>17</v>
      </c>
      <c r="K409" s="145">
        <v>1272.48792207821</v>
      </c>
      <c r="L409" s="145">
        <v>74.852230710482999</v>
      </c>
      <c r="M409" s="134"/>
      <c r="V409" s="128"/>
      <c r="W409" s="128"/>
    </row>
    <row r="410" spans="1:23">
      <c r="G410" s="134" t="s">
        <v>469</v>
      </c>
      <c r="H410" s="134" t="s">
        <v>469</v>
      </c>
      <c r="I410" s="134" t="s">
        <v>94</v>
      </c>
      <c r="J410" s="134">
        <v>7</v>
      </c>
      <c r="K410" s="145">
        <v>1067.8917754527699</v>
      </c>
      <c r="L410" s="145">
        <v>152.55596792182499</v>
      </c>
      <c r="M410" s="134"/>
      <c r="V410" s="128"/>
      <c r="W410" s="128"/>
    </row>
    <row r="411" spans="1:23">
      <c r="G411" s="134" t="s">
        <v>469</v>
      </c>
      <c r="H411" s="134" t="s">
        <v>469</v>
      </c>
      <c r="I411" s="134" t="s">
        <v>495</v>
      </c>
      <c r="J411" s="134">
        <v>1779</v>
      </c>
      <c r="K411" s="145">
        <v>787561.50509642798</v>
      </c>
      <c r="L411" s="145">
        <v>442.69899106038702</v>
      </c>
      <c r="M411" s="134"/>
      <c r="V411" s="128"/>
      <c r="W411" s="128"/>
    </row>
    <row r="412" spans="1:23">
      <c r="G412" s="134" t="s">
        <v>469</v>
      </c>
      <c r="H412" s="134" t="s">
        <v>469</v>
      </c>
      <c r="I412" s="134" t="s">
        <v>193</v>
      </c>
      <c r="J412" s="134">
        <v>1</v>
      </c>
      <c r="K412" s="145">
        <v>1151.76938243833</v>
      </c>
      <c r="L412" s="145">
        <v>1151.76938243833</v>
      </c>
      <c r="M412" s="134"/>
      <c r="V412" s="128"/>
      <c r="W412" s="128"/>
    </row>
    <row r="413" spans="1:23">
      <c r="G413" s="134" t="s">
        <v>469</v>
      </c>
      <c r="H413" s="134" t="s">
        <v>469</v>
      </c>
      <c r="I413" s="134" t="s">
        <v>1058</v>
      </c>
      <c r="J413" s="134">
        <v>1</v>
      </c>
      <c r="K413" s="145">
        <v>598.57091910209397</v>
      </c>
      <c r="L413" s="145">
        <v>598.57091910209397</v>
      </c>
      <c r="M413" s="134"/>
      <c r="V413" s="128"/>
      <c r="W413" s="128"/>
    </row>
    <row r="414" spans="1:23">
      <c r="G414" s="134" t="s">
        <v>469</v>
      </c>
      <c r="H414" s="134" t="s">
        <v>469</v>
      </c>
      <c r="I414" s="134" t="s">
        <v>685</v>
      </c>
      <c r="J414" s="134">
        <v>3</v>
      </c>
      <c r="K414" s="145">
        <v>671.79737160877801</v>
      </c>
      <c r="L414" s="145">
        <v>223.932457202926</v>
      </c>
      <c r="M414" s="134"/>
      <c r="V414" s="128"/>
      <c r="W414" s="128"/>
    </row>
    <row r="415" spans="1:23">
      <c r="G415" s="134" t="s">
        <v>469</v>
      </c>
      <c r="H415" s="134" t="s">
        <v>469</v>
      </c>
      <c r="I415" s="134" t="s">
        <v>836</v>
      </c>
      <c r="J415" s="134">
        <v>115</v>
      </c>
      <c r="K415" s="145">
        <v>16347.1236362254</v>
      </c>
      <c r="L415" s="145">
        <v>142.14890118456901</v>
      </c>
      <c r="M415" s="134"/>
      <c r="V415" s="128"/>
      <c r="W415" s="128"/>
    </row>
    <row r="416" spans="1:23">
      <c r="G416" s="134" t="s">
        <v>469</v>
      </c>
      <c r="H416" s="134" t="s">
        <v>469</v>
      </c>
      <c r="I416" s="134" t="s">
        <v>853</v>
      </c>
      <c r="J416" s="134">
        <v>12</v>
      </c>
      <c r="K416" s="145">
        <v>1262.3946334598099</v>
      </c>
      <c r="L416" s="145">
        <v>105.199552788318</v>
      </c>
      <c r="M416" s="134"/>
      <c r="V416" s="128"/>
      <c r="W416" s="128"/>
    </row>
    <row r="417" spans="7:23">
      <c r="G417" s="134" t="s">
        <v>469</v>
      </c>
      <c r="H417" s="134" t="s">
        <v>469</v>
      </c>
      <c r="I417" s="134" t="s">
        <v>164</v>
      </c>
      <c r="J417" s="134">
        <v>41</v>
      </c>
      <c r="K417" s="145">
        <v>4668.5548027981204</v>
      </c>
      <c r="L417" s="145">
        <v>113.86719031214901</v>
      </c>
      <c r="M417" s="134"/>
      <c r="V417" s="128"/>
      <c r="W417" s="128"/>
    </row>
    <row r="418" spans="7:23">
      <c r="G418" s="134" t="s">
        <v>469</v>
      </c>
      <c r="H418" s="134" t="s">
        <v>469</v>
      </c>
      <c r="I418" s="134" t="s">
        <v>879</v>
      </c>
      <c r="J418" s="134">
        <v>14</v>
      </c>
      <c r="K418" s="145">
        <v>1709.96048283239</v>
      </c>
      <c r="L418" s="145">
        <v>122.14003448802799</v>
      </c>
      <c r="M418" s="134"/>
      <c r="V418" s="128"/>
      <c r="W418" s="128"/>
    </row>
    <row r="419" spans="7:23">
      <c r="G419" s="134" t="s">
        <v>469</v>
      </c>
      <c r="H419" s="134" t="s">
        <v>469</v>
      </c>
      <c r="I419" s="134" t="s">
        <v>354</v>
      </c>
      <c r="J419" s="134">
        <v>642</v>
      </c>
      <c r="K419" s="145">
        <v>109138.34446274</v>
      </c>
      <c r="L419" s="145">
        <v>169.99742128152701</v>
      </c>
      <c r="M419" s="134"/>
      <c r="V419" s="128"/>
      <c r="W419" s="128"/>
    </row>
    <row r="420" spans="7:23">
      <c r="G420" s="134" t="s">
        <v>469</v>
      </c>
      <c r="H420" s="134" t="s">
        <v>469</v>
      </c>
      <c r="I420" s="134" t="s">
        <v>139</v>
      </c>
      <c r="J420" s="134">
        <v>5</v>
      </c>
      <c r="K420" s="145">
        <v>704.07805420350098</v>
      </c>
      <c r="L420" s="145">
        <v>140.8156108407</v>
      </c>
      <c r="M420" s="134"/>
      <c r="V420" s="128"/>
      <c r="W420" s="128"/>
    </row>
    <row r="421" spans="7:23">
      <c r="G421" s="134" t="s">
        <v>469</v>
      </c>
      <c r="H421" s="134" t="s">
        <v>469</v>
      </c>
      <c r="I421" s="134" t="s">
        <v>192</v>
      </c>
      <c r="J421" s="134">
        <v>69</v>
      </c>
      <c r="K421" s="145">
        <v>69727.502212086707</v>
      </c>
      <c r="L421" s="145">
        <v>1010.5435103201</v>
      </c>
      <c r="M421" s="134"/>
      <c r="V421" s="128"/>
      <c r="W421" s="128"/>
    </row>
    <row r="422" spans="7:23">
      <c r="G422" s="134" t="s">
        <v>469</v>
      </c>
      <c r="H422" s="134" t="s">
        <v>469</v>
      </c>
      <c r="I422" s="134" t="s">
        <v>182</v>
      </c>
      <c r="J422" s="134">
        <v>32</v>
      </c>
      <c r="K422" s="145">
        <v>4407.0726808091404</v>
      </c>
      <c r="L422" s="145">
        <v>137.72102127528601</v>
      </c>
      <c r="M422" s="134"/>
      <c r="V422" s="128"/>
      <c r="W422" s="128"/>
    </row>
    <row r="423" spans="7:23">
      <c r="G423" s="134" t="s">
        <v>469</v>
      </c>
      <c r="H423" s="134" t="s">
        <v>469</v>
      </c>
      <c r="I423" s="134" t="s">
        <v>704</v>
      </c>
      <c r="J423" s="134">
        <v>3</v>
      </c>
      <c r="K423" s="145">
        <v>318.67600733408801</v>
      </c>
      <c r="L423" s="145">
        <v>106.22533577802901</v>
      </c>
      <c r="M423" s="134"/>
    </row>
    <row r="424" spans="7:23">
      <c r="G424" s="134" t="s">
        <v>469</v>
      </c>
      <c r="H424" s="134" t="s">
        <v>469</v>
      </c>
      <c r="I424" s="134" t="s">
        <v>1064</v>
      </c>
      <c r="J424" s="134">
        <v>1</v>
      </c>
      <c r="K424" s="145">
        <v>184.63284165356799</v>
      </c>
      <c r="L424" s="145">
        <v>184.63284165356799</v>
      </c>
      <c r="M424" s="134"/>
    </row>
    <row r="425" spans="7:23">
      <c r="G425" s="134" t="s">
        <v>469</v>
      </c>
      <c r="H425" s="134" t="s">
        <v>469</v>
      </c>
      <c r="I425" s="134" t="s">
        <v>101</v>
      </c>
      <c r="J425" s="134">
        <v>335</v>
      </c>
      <c r="K425" s="145">
        <v>65824.018711432596</v>
      </c>
      <c r="L425" s="145">
        <v>196.48960809382899</v>
      </c>
      <c r="M425" s="134"/>
    </row>
    <row r="426" spans="7:23">
      <c r="G426" s="134" t="s">
        <v>469</v>
      </c>
      <c r="H426" s="134" t="s">
        <v>469</v>
      </c>
      <c r="I426" s="134" t="s">
        <v>771</v>
      </c>
      <c r="J426" s="134">
        <v>10</v>
      </c>
      <c r="K426" s="145">
        <v>4628.7565269590896</v>
      </c>
      <c r="L426" s="145">
        <v>462.87565269590903</v>
      </c>
      <c r="M426" s="134"/>
    </row>
    <row r="427" spans="7:23">
      <c r="G427" s="134" t="s">
        <v>469</v>
      </c>
      <c r="H427" s="134" t="s">
        <v>469</v>
      </c>
      <c r="I427" s="134" t="s">
        <v>1073</v>
      </c>
      <c r="J427" s="134">
        <v>7330</v>
      </c>
      <c r="K427" s="145">
        <v>1448340.5467477699</v>
      </c>
      <c r="L427" s="145">
        <v>197.590797646353</v>
      </c>
      <c r="M427" s="134"/>
    </row>
    <row r="428" spans="7:23">
      <c r="G428" s="134" t="s">
        <v>469</v>
      </c>
      <c r="H428" s="134" t="s">
        <v>469</v>
      </c>
      <c r="I428" s="134" t="s">
        <v>728</v>
      </c>
      <c r="J428" s="134">
        <v>25</v>
      </c>
      <c r="K428" s="145">
        <v>4330.5792444674498</v>
      </c>
      <c r="L428" s="145">
        <v>173.22316977869801</v>
      </c>
      <c r="M428" s="134"/>
    </row>
    <row r="429" spans="7:23">
      <c r="G429" s="134" t="s">
        <v>469</v>
      </c>
      <c r="H429" s="134" t="s">
        <v>469</v>
      </c>
      <c r="I429" s="134" t="s">
        <v>692</v>
      </c>
      <c r="J429" s="134">
        <v>5860</v>
      </c>
      <c r="K429" s="145">
        <v>631596.70090248703</v>
      </c>
      <c r="L429" s="145">
        <v>107.78100697994699</v>
      </c>
      <c r="M429" s="134"/>
    </row>
    <row r="430" spans="7:23">
      <c r="G430" s="134" t="s">
        <v>469</v>
      </c>
      <c r="H430" s="134" t="s">
        <v>469</v>
      </c>
      <c r="I430" s="134" t="s">
        <v>822</v>
      </c>
      <c r="J430" s="134">
        <v>1000</v>
      </c>
      <c r="K430" s="145">
        <v>144738.84851544799</v>
      </c>
      <c r="L430" s="145">
        <v>144.73884851544801</v>
      </c>
      <c r="M430" s="134"/>
    </row>
    <row r="431" spans="7:23">
      <c r="G431" s="134" t="s">
        <v>469</v>
      </c>
      <c r="H431" s="134" t="s">
        <v>469</v>
      </c>
      <c r="I431" s="134" t="s">
        <v>725</v>
      </c>
      <c r="J431" s="134">
        <v>4610</v>
      </c>
      <c r="K431" s="145">
        <v>1434854.66876751</v>
      </c>
      <c r="L431" s="145">
        <v>311.24830125108701</v>
      </c>
      <c r="M431" s="134"/>
    </row>
    <row r="432" spans="7:23">
      <c r="G432" s="134" t="s">
        <v>469</v>
      </c>
      <c r="H432" s="134" t="s">
        <v>469</v>
      </c>
      <c r="I432" s="134" t="s">
        <v>691</v>
      </c>
      <c r="J432" s="134">
        <v>11489</v>
      </c>
      <c r="K432" s="145">
        <v>1216666.2756866601</v>
      </c>
      <c r="L432" s="145">
        <v>105.898361535961</v>
      </c>
      <c r="M432" s="134"/>
    </row>
    <row r="433" spans="7:13">
      <c r="G433" s="134" t="s">
        <v>469</v>
      </c>
      <c r="H433" s="134" t="s">
        <v>469</v>
      </c>
      <c r="I433" s="134" t="s">
        <v>124</v>
      </c>
      <c r="J433" s="134">
        <v>531</v>
      </c>
      <c r="K433" s="145">
        <v>69446.289445411501</v>
      </c>
      <c r="L433" s="145">
        <v>130.78397259022901</v>
      </c>
      <c r="M433" s="134"/>
    </row>
    <row r="434" spans="7:13">
      <c r="G434" s="134" t="s">
        <v>469</v>
      </c>
      <c r="H434" s="134" t="s">
        <v>469</v>
      </c>
      <c r="I434" s="134" t="s">
        <v>810</v>
      </c>
      <c r="J434" s="134">
        <v>2435</v>
      </c>
      <c r="K434" s="145">
        <v>269700.17645513703</v>
      </c>
      <c r="L434" s="145">
        <v>110.759826059605</v>
      </c>
      <c r="M434" s="134"/>
    </row>
    <row r="435" spans="7:13">
      <c r="G435" s="134" t="s">
        <v>469</v>
      </c>
      <c r="H435" s="134" t="s">
        <v>469</v>
      </c>
      <c r="I435" s="134" t="s">
        <v>355</v>
      </c>
      <c r="J435" s="134">
        <v>9</v>
      </c>
      <c r="K435" s="145">
        <v>1539.2248625725399</v>
      </c>
      <c r="L435" s="145">
        <v>171.02498473028299</v>
      </c>
      <c r="M435" s="134"/>
    </row>
    <row r="436" spans="7:13">
      <c r="G436" s="134" t="s">
        <v>469</v>
      </c>
      <c r="H436" s="134" t="s">
        <v>469</v>
      </c>
      <c r="I436" s="134" t="s">
        <v>195</v>
      </c>
      <c r="J436" s="134">
        <v>493</v>
      </c>
      <c r="K436" s="145">
        <v>93671.515224491595</v>
      </c>
      <c r="L436" s="145">
        <v>190.00307347767099</v>
      </c>
      <c r="M436" s="134"/>
    </row>
    <row r="437" spans="7:13">
      <c r="G437" s="134" t="s">
        <v>469</v>
      </c>
      <c r="H437" s="134" t="s">
        <v>469</v>
      </c>
      <c r="I437" s="134" t="s">
        <v>356</v>
      </c>
      <c r="J437" s="134">
        <v>3</v>
      </c>
      <c r="K437" s="145">
        <v>576.01872165307395</v>
      </c>
      <c r="L437" s="145">
        <v>192.006240551025</v>
      </c>
      <c r="M437" s="134"/>
    </row>
    <row r="438" spans="7:13">
      <c r="G438" s="134" t="s">
        <v>469</v>
      </c>
      <c r="H438" s="134" t="s">
        <v>469</v>
      </c>
      <c r="I438" s="134" t="s">
        <v>744</v>
      </c>
      <c r="J438" s="134">
        <v>9833</v>
      </c>
      <c r="K438" s="145">
        <v>1395109.26763005</v>
      </c>
      <c r="L438" s="145">
        <v>141.88032824469099</v>
      </c>
      <c r="M438" s="134"/>
    </row>
    <row r="439" spans="7:13">
      <c r="G439" s="134" t="s">
        <v>469</v>
      </c>
      <c r="H439" s="134" t="s">
        <v>469</v>
      </c>
      <c r="I439" s="134" t="s">
        <v>819</v>
      </c>
      <c r="J439" s="134">
        <v>80</v>
      </c>
      <c r="K439" s="145">
        <v>9206.9364498467294</v>
      </c>
      <c r="L439" s="145">
        <v>115.086705623084</v>
      </c>
      <c r="M439" s="134"/>
    </row>
    <row r="440" spans="7:13">
      <c r="G440" s="134" t="s">
        <v>469</v>
      </c>
      <c r="H440" s="134" t="s">
        <v>469</v>
      </c>
      <c r="I440" s="134" t="s">
        <v>892</v>
      </c>
      <c r="J440" s="134">
        <v>1249</v>
      </c>
      <c r="K440" s="145">
        <v>202252.493584707</v>
      </c>
      <c r="L440" s="145">
        <v>161.93154009984499</v>
      </c>
      <c r="M440" s="134"/>
    </row>
    <row r="441" spans="7:13">
      <c r="G441" s="134" t="s">
        <v>469</v>
      </c>
      <c r="H441" s="134" t="s">
        <v>469</v>
      </c>
      <c r="I441" s="134" t="s">
        <v>884</v>
      </c>
      <c r="J441" s="134">
        <v>34</v>
      </c>
      <c r="K441" s="145">
        <v>5001.4941751598099</v>
      </c>
      <c r="L441" s="145">
        <v>147.10276985764099</v>
      </c>
      <c r="M441" s="134"/>
    </row>
    <row r="442" spans="7:13">
      <c r="G442" s="134" t="s">
        <v>469</v>
      </c>
      <c r="H442" s="134" t="s">
        <v>469</v>
      </c>
      <c r="I442" s="134" t="s">
        <v>357</v>
      </c>
      <c r="J442" s="134">
        <v>197332</v>
      </c>
      <c r="K442" s="145">
        <v>19963989.159451399</v>
      </c>
      <c r="L442" s="145">
        <v>101.16954756173</v>
      </c>
      <c r="M442" s="134"/>
    </row>
    <row r="443" spans="7:13">
      <c r="G443" s="134" t="s">
        <v>469</v>
      </c>
      <c r="H443" s="134" t="s">
        <v>469</v>
      </c>
      <c r="I443" s="134" t="s">
        <v>686</v>
      </c>
      <c r="J443" s="134">
        <v>1877</v>
      </c>
      <c r="K443" s="145">
        <v>262399.22840905801</v>
      </c>
      <c r="L443" s="145">
        <v>139.79713820408</v>
      </c>
      <c r="M443" s="134"/>
    </row>
    <row r="444" spans="7:13">
      <c r="G444" s="134" t="s">
        <v>469</v>
      </c>
      <c r="H444" s="134" t="s">
        <v>469</v>
      </c>
      <c r="I444" s="134" t="s">
        <v>745</v>
      </c>
      <c r="J444" s="134">
        <v>29110</v>
      </c>
      <c r="K444" s="145">
        <v>4782443.8652015496</v>
      </c>
      <c r="L444" s="145">
        <v>164.28869341125201</v>
      </c>
      <c r="M444" s="134"/>
    </row>
    <row r="445" spans="7:13">
      <c r="G445" s="134" t="s">
        <v>469</v>
      </c>
      <c r="H445" s="134" t="s">
        <v>469</v>
      </c>
      <c r="I445" s="134" t="s">
        <v>789</v>
      </c>
      <c r="J445" s="134">
        <v>15365</v>
      </c>
      <c r="K445" s="145">
        <v>2069354.3242152899</v>
      </c>
      <c r="L445" s="145">
        <v>134.67974775237801</v>
      </c>
      <c r="M445" s="134"/>
    </row>
    <row r="446" spans="7:13">
      <c r="G446" s="134" t="s">
        <v>469</v>
      </c>
      <c r="H446" s="134" t="s">
        <v>469</v>
      </c>
      <c r="I446" s="134" t="s">
        <v>145</v>
      </c>
      <c r="J446" s="134">
        <v>429</v>
      </c>
      <c r="K446" s="145">
        <v>42187.056014837202</v>
      </c>
      <c r="L446" s="145">
        <v>98.338125908711405</v>
      </c>
      <c r="M446" s="134"/>
    </row>
    <row r="447" spans="7:13">
      <c r="G447" s="134" t="s">
        <v>469</v>
      </c>
      <c r="H447" s="134" t="s">
        <v>469</v>
      </c>
      <c r="I447" s="134" t="s">
        <v>815</v>
      </c>
      <c r="J447" s="134">
        <v>34</v>
      </c>
      <c r="K447" s="145">
        <v>5154.1968827486598</v>
      </c>
      <c r="L447" s="145">
        <v>151.594025963196</v>
      </c>
      <c r="M447" s="134"/>
    </row>
    <row r="448" spans="7:13">
      <c r="G448" s="134" t="s">
        <v>469</v>
      </c>
      <c r="H448" s="134" t="s">
        <v>469</v>
      </c>
      <c r="I448" s="134" t="s">
        <v>200</v>
      </c>
      <c r="J448" s="134">
        <v>8</v>
      </c>
      <c r="K448" s="145">
        <v>844.32317243196701</v>
      </c>
      <c r="L448" s="145">
        <v>105.540396553996</v>
      </c>
      <c r="M448" s="134"/>
    </row>
    <row r="449" spans="7:13">
      <c r="G449" s="134" t="s">
        <v>469</v>
      </c>
      <c r="H449" s="134" t="s">
        <v>469</v>
      </c>
      <c r="I449" s="134" t="s">
        <v>737</v>
      </c>
      <c r="J449" s="134">
        <v>8867</v>
      </c>
      <c r="K449" s="145">
        <v>801118.53768189903</v>
      </c>
      <c r="L449" s="145">
        <v>90.348318222837406</v>
      </c>
      <c r="M449" s="134"/>
    </row>
    <row r="450" spans="7:13">
      <c r="G450" s="134" t="s">
        <v>469</v>
      </c>
      <c r="H450" s="134" t="s">
        <v>469</v>
      </c>
      <c r="I450" s="134" t="s">
        <v>763</v>
      </c>
      <c r="J450" s="134">
        <v>20</v>
      </c>
      <c r="K450" s="145">
        <v>2336.6003212053802</v>
      </c>
      <c r="L450" s="145">
        <v>116.830016060269</v>
      </c>
      <c r="M450" s="134"/>
    </row>
    <row r="451" spans="7:13">
      <c r="G451" s="134" t="s">
        <v>469</v>
      </c>
      <c r="H451" s="134" t="s">
        <v>469</v>
      </c>
      <c r="I451" s="134" t="s">
        <v>930</v>
      </c>
      <c r="J451" s="134">
        <v>46</v>
      </c>
      <c r="K451" s="145">
        <v>6687.2509278202897</v>
      </c>
      <c r="L451" s="145">
        <v>145.375020170006</v>
      </c>
      <c r="M451" s="134"/>
    </row>
    <row r="452" spans="7:13">
      <c r="G452" s="134" t="s">
        <v>469</v>
      </c>
      <c r="H452" s="134" t="s">
        <v>469</v>
      </c>
      <c r="I452" s="134" t="s">
        <v>817</v>
      </c>
      <c r="J452" s="134">
        <v>6</v>
      </c>
      <c r="K452" s="145">
        <v>1394.92134026853</v>
      </c>
      <c r="L452" s="145">
        <v>232.486890044755</v>
      </c>
      <c r="M452" s="134"/>
    </row>
    <row r="453" spans="7:13">
      <c r="G453" s="134" t="s">
        <v>469</v>
      </c>
      <c r="H453" s="134" t="s">
        <v>469</v>
      </c>
      <c r="I453" s="134" t="s">
        <v>496</v>
      </c>
      <c r="J453" s="134">
        <v>13195</v>
      </c>
      <c r="K453" s="145">
        <v>1962510.0347130899</v>
      </c>
      <c r="L453" s="145">
        <v>148.73134025866599</v>
      </c>
      <c r="M453" s="134"/>
    </row>
    <row r="454" spans="7:13">
      <c r="G454" s="134" t="s">
        <v>469</v>
      </c>
      <c r="H454" s="134" t="s">
        <v>469</v>
      </c>
      <c r="I454" s="134" t="s">
        <v>497</v>
      </c>
      <c r="J454" s="134">
        <v>843</v>
      </c>
      <c r="K454" s="145">
        <v>289694.475464936</v>
      </c>
      <c r="L454" s="145">
        <v>343.64706460846497</v>
      </c>
      <c r="M454" s="134"/>
    </row>
    <row r="455" spans="7:13">
      <c r="G455" s="134" t="s">
        <v>469</v>
      </c>
      <c r="H455" s="134" t="s">
        <v>469</v>
      </c>
      <c r="I455" s="134" t="s">
        <v>729</v>
      </c>
      <c r="J455" s="134">
        <v>202</v>
      </c>
      <c r="K455" s="145">
        <v>21559.410812317899</v>
      </c>
      <c r="L455" s="145">
        <v>106.729756496623</v>
      </c>
      <c r="M455" s="134"/>
    </row>
    <row r="456" spans="7:13">
      <c r="G456" s="134" t="s">
        <v>469</v>
      </c>
      <c r="H456" s="134" t="s">
        <v>469</v>
      </c>
      <c r="I456" s="134" t="s">
        <v>1057</v>
      </c>
      <c r="J456" s="134">
        <v>1</v>
      </c>
      <c r="K456" s="145">
        <v>24.416052014178</v>
      </c>
      <c r="L456" s="145">
        <v>24.416052014178</v>
      </c>
      <c r="M456" s="134"/>
    </row>
    <row r="457" spans="7:13">
      <c r="G457" s="134" t="s">
        <v>469</v>
      </c>
      <c r="H457" s="134" t="s">
        <v>469</v>
      </c>
      <c r="I457" s="134" t="s">
        <v>690</v>
      </c>
      <c r="J457" s="134">
        <v>274</v>
      </c>
      <c r="K457" s="145">
        <v>42249.504218563801</v>
      </c>
      <c r="L457" s="145">
        <v>154.19527087067101</v>
      </c>
      <c r="M457" s="134"/>
    </row>
    <row r="458" spans="7:13">
      <c r="G458" s="134" t="s">
        <v>469</v>
      </c>
      <c r="H458" s="134" t="s">
        <v>469</v>
      </c>
      <c r="I458" s="134" t="s">
        <v>798</v>
      </c>
      <c r="J458" s="134">
        <v>29499</v>
      </c>
      <c r="K458" s="145">
        <v>3823161.54099325</v>
      </c>
      <c r="L458" s="145">
        <v>129.60308962992801</v>
      </c>
      <c r="M458" s="134"/>
    </row>
    <row r="459" spans="7:13">
      <c r="G459" s="134" t="s">
        <v>469</v>
      </c>
      <c r="H459" s="134" t="s">
        <v>469</v>
      </c>
      <c r="I459" s="134" t="s">
        <v>667</v>
      </c>
      <c r="J459" s="134">
        <v>15</v>
      </c>
      <c r="K459" s="145">
        <v>1495.3731658485499</v>
      </c>
      <c r="L459" s="145">
        <v>99.6915443899032</v>
      </c>
      <c r="M459" s="134"/>
    </row>
    <row r="460" spans="7:13">
      <c r="G460" s="134" t="s">
        <v>469</v>
      </c>
      <c r="H460" s="134" t="s">
        <v>469</v>
      </c>
      <c r="I460" s="134" t="s">
        <v>152</v>
      </c>
      <c r="J460" s="134">
        <v>2</v>
      </c>
      <c r="K460" s="145">
        <v>258.12853083554</v>
      </c>
      <c r="L460" s="145">
        <v>129.06426541777</v>
      </c>
      <c r="M460" s="134"/>
    </row>
    <row r="461" spans="7:13">
      <c r="G461" s="134" t="s">
        <v>469</v>
      </c>
      <c r="H461" s="134" t="s">
        <v>469</v>
      </c>
      <c r="I461" s="134" t="s">
        <v>498</v>
      </c>
      <c r="J461" s="134">
        <v>81587</v>
      </c>
      <c r="K461" s="145">
        <v>12911869.678315399</v>
      </c>
      <c r="L461" s="145">
        <v>158.25890985469999</v>
      </c>
      <c r="M461" s="134"/>
    </row>
    <row r="462" spans="7:13">
      <c r="G462" s="134" t="s">
        <v>469</v>
      </c>
      <c r="H462" s="134" t="s">
        <v>469</v>
      </c>
      <c r="I462" s="134" t="s">
        <v>954</v>
      </c>
      <c r="J462" s="134">
        <v>5</v>
      </c>
      <c r="K462" s="145">
        <v>4414.8753689450004</v>
      </c>
      <c r="L462" s="145">
        <v>882.97507378900002</v>
      </c>
      <c r="M462" s="134"/>
    </row>
    <row r="463" spans="7:13">
      <c r="G463" s="134" t="s">
        <v>469</v>
      </c>
      <c r="H463" s="134" t="s">
        <v>469</v>
      </c>
      <c r="I463" s="134" t="s">
        <v>679</v>
      </c>
      <c r="J463" s="134">
        <v>20020</v>
      </c>
      <c r="K463" s="145">
        <v>2235555.5589023102</v>
      </c>
      <c r="L463" s="145">
        <v>111.666111833282</v>
      </c>
      <c r="M463" s="134"/>
    </row>
    <row r="464" spans="7:13">
      <c r="G464" s="134" t="s">
        <v>469</v>
      </c>
      <c r="H464" s="134" t="s">
        <v>469</v>
      </c>
      <c r="I464" s="134" t="s">
        <v>808</v>
      </c>
      <c r="J464" s="134">
        <v>30881</v>
      </c>
      <c r="K464" s="145">
        <v>4791947.9852688098</v>
      </c>
      <c r="L464" s="145">
        <v>155.17463764997299</v>
      </c>
      <c r="M464" s="134"/>
    </row>
    <row r="465" spans="7:13">
      <c r="G465" s="134" t="s">
        <v>469</v>
      </c>
      <c r="H465" s="134" t="s">
        <v>469</v>
      </c>
      <c r="I465" s="134" t="s">
        <v>848</v>
      </c>
      <c r="J465" s="134">
        <v>6</v>
      </c>
      <c r="K465" s="145">
        <v>1230.2963927027399</v>
      </c>
      <c r="L465" s="145">
        <v>205.04939878379</v>
      </c>
      <c r="M465" s="134"/>
    </row>
    <row r="466" spans="7:13">
      <c r="G466" s="134" t="s">
        <v>469</v>
      </c>
      <c r="H466" s="134" t="s">
        <v>469</v>
      </c>
      <c r="I466" s="134" t="s">
        <v>118</v>
      </c>
      <c r="J466" s="134">
        <v>2</v>
      </c>
      <c r="K466" s="145">
        <v>333.74435471508002</v>
      </c>
      <c r="L466" s="145">
        <v>166.87217735754001</v>
      </c>
      <c r="M466" s="134"/>
    </row>
    <row r="467" spans="7:13">
      <c r="G467" s="134" t="s">
        <v>469</v>
      </c>
      <c r="H467" s="134" t="s">
        <v>469</v>
      </c>
      <c r="I467" s="134" t="s">
        <v>157</v>
      </c>
      <c r="J467" s="134">
        <v>3395</v>
      </c>
      <c r="K467" s="145">
        <v>2512006.3922791001</v>
      </c>
      <c r="L467" s="145">
        <v>739.91351760798204</v>
      </c>
      <c r="M467" s="134"/>
    </row>
    <row r="468" spans="7:13">
      <c r="G468" s="134" t="s">
        <v>469</v>
      </c>
      <c r="H468" s="134" t="s">
        <v>469</v>
      </c>
      <c r="I468" s="134" t="s">
        <v>919</v>
      </c>
      <c r="J468" s="134">
        <v>1</v>
      </c>
      <c r="K468" s="145">
        <v>235.49672727604801</v>
      </c>
      <c r="L468" s="145">
        <v>235.49672727604801</v>
      </c>
      <c r="M468" s="134"/>
    </row>
    <row r="469" spans="7:13">
      <c r="G469" s="134" t="s">
        <v>469</v>
      </c>
      <c r="H469" s="134" t="s">
        <v>469</v>
      </c>
      <c r="I469" s="134" t="s">
        <v>694</v>
      </c>
      <c r="J469" s="134">
        <v>312</v>
      </c>
      <c r="K469" s="145">
        <v>20792.892019679901</v>
      </c>
      <c r="L469" s="145">
        <v>66.643884678461106</v>
      </c>
      <c r="M469" s="134"/>
    </row>
    <row r="470" spans="7:13">
      <c r="G470" s="134" t="s">
        <v>469</v>
      </c>
      <c r="H470" s="134" t="s">
        <v>469</v>
      </c>
      <c r="I470" s="134" t="s">
        <v>359</v>
      </c>
      <c r="J470" s="134">
        <v>492</v>
      </c>
      <c r="K470" s="145">
        <v>109978.289950851</v>
      </c>
      <c r="L470" s="145">
        <v>223.53310965620099</v>
      </c>
      <c r="M470" s="134"/>
    </row>
    <row r="471" spans="7:13">
      <c r="G471" s="134" t="s">
        <v>469</v>
      </c>
      <c r="H471" s="134" t="s">
        <v>469</v>
      </c>
      <c r="I471" s="134" t="s">
        <v>1051</v>
      </c>
      <c r="J471" s="134">
        <v>2</v>
      </c>
      <c r="K471" s="145">
        <v>436.08688560138103</v>
      </c>
      <c r="L471" s="145">
        <v>218.04344280069</v>
      </c>
      <c r="M471" s="134"/>
    </row>
    <row r="472" spans="7:13">
      <c r="G472" s="134" t="s">
        <v>469</v>
      </c>
      <c r="H472" s="134" t="s">
        <v>469</v>
      </c>
      <c r="I472" s="134" t="s">
        <v>499</v>
      </c>
      <c r="J472" s="134">
        <v>21853</v>
      </c>
      <c r="K472" s="145">
        <v>3121673.84304938</v>
      </c>
      <c r="L472" s="145">
        <v>142.84875500157301</v>
      </c>
      <c r="M472" s="134"/>
    </row>
    <row r="473" spans="7:13">
      <c r="G473" s="134" t="s">
        <v>469</v>
      </c>
      <c r="H473" s="134" t="s">
        <v>469</v>
      </c>
      <c r="I473" s="134" t="s">
        <v>708</v>
      </c>
      <c r="J473" s="134">
        <v>5</v>
      </c>
      <c r="K473" s="145">
        <v>522.45798165961605</v>
      </c>
      <c r="L473" s="145">
        <v>104.49159633192301</v>
      </c>
      <c r="M473" s="134"/>
    </row>
    <row r="474" spans="7:13">
      <c r="G474" s="134" t="s">
        <v>469</v>
      </c>
      <c r="H474" s="134" t="s">
        <v>469</v>
      </c>
      <c r="I474" s="134" t="s">
        <v>360</v>
      </c>
      <c r="J474" s="134">
        <v>823118</v>
      </c>
      <c r="K474" s="145">
        <v>85014287.985325202</v>
      </c>
      <c r="L474" s="145">
        <v>103.283232762891</v>
      </c>
      <c r="M474" s="134"/>
    </row>
    <row r="475" spans="7:13">
      <c r="G475" s="134" t="s">
        <v>469</v>
      </c>
      <c r="H475" s="134" t="s">
        <v>469</v>
      </c>
      <c r="I475" s="134" t="s">
        <v>826</v>
      </c>
      <c r="J475" s="134">
        <v>4</v>
      </c>
      <c r="K475" s="145">
        <v>566.92837376294699</v>
      </c>
      <c r="L475" s="145">
        <v>141.732093440737</v>
      </c>
      <c r="M475" s="134"/>
    </row>
    <row r="476" spans="7:13">
      <c r="G476" s="134" t="s">
        <v>469</v>
      </c>
      <c r="H476" s="134" t="s">
        <v>469</v>
      </c>
      <c r="I476" s="134" t="s">
        <v>983</v>
      </c>
      <c r="J476" s="134">
        <v>29</v>
      </c>
      <c r="K476" s="145">
        <v>7028.4665700534597</v>
      </c>
      <c r="L476" s="145">
        <v>242.36091620874001</v>
      </c>
      <c r="M476" s="134"/>
    </row>
    <row r="477" spans="7:13">
      <c r="G477" s="134" t="s">
        <v>469</v>
      </c>
      <c r="H477" s="134" t="s">
        <v>469</v>
      </c>
      <c r="I477" s="134" t="s">
        <v>361</v>
      </c>
      <c r="J477" s="134">
        <v>7</v>
      </c>
      <c r="K477" s="145">
        <v>2653.0871618094002</v>
      </c>
      <c r="L477" s="145">
        <v>379.01245168705702</v>
      </c>
      <c r="M477" s="134"/>
    </row>
    <row r="478" spans="7:13">
      <c r="G478" s="134" t="s">
        <v>469</v>
      </c>
      <c r="H478" s="134" t="s">
        <v>469</v>
      </c>
      <c r="I478" s="134" t="s">
        <v>201</v>
      </c>
      <c r="J478" s="134">
        <v>9</v>
      </c>
      <c r="K478" s="145">
        <v>1265.96558624215</v>
      </c>
      <c r="L478" s="145">
        <v>140.66284291579501</v>
      </c>
      <c r="M478" s="134"/>
    </row>
    <row r="479" spans="7:13">
      <c r="G479" s="134" t="s">
        <v>469</v>
      </c>
      <c r="H479" s="134" t="s">
        <v>469</v>
      </c>
      <c r="I479" s="134" t="s">
        <v>500</v>
      </c>
      <c r="J479" s="134">
        <v>7578</v>
      </c>
      <c r="K479" s="145">
        <v>2117050.1527638198</v>
      </c>
      <c r="L479" s="145">
        <v>279.36792725835602</v>
      </c>
      <c r="M479" s="134"/>
    </row>
    <row r="480" spans="7:13">
      <c r="G480" s="134" t="s">
        <v>469</v>
      </c>
      <c r="H480" s="134" t="s">
        <v>469</v>
      </c>
      <c r="I480" s="134" t="s">
        <v>932</v>
      </c>
      <c r="J480" s="134">
        <v>85</v>
      </c>
      <c r="K480" s="145">
        <v>10673.90494262</v>
      </c>
      <c r="L480" s="145">
        <v>125.575352266118</v>
      </c>
      <c r="M480" s="134"/>
    </row>
    <row r="481" spans="7:13">
      <c r="G481" s="134" t="s">
        <v>469</v>
      </c>
      <c r="H481" s="134" t="s">
        <v>469</v>
      </c>
      <c r="I481" s="134" t="s">
        <v>194</v>
      </c>
      <c r="J481" s="134">
        <v>88</v>
      </c>
      <c r="K481" s="145">
        <v>118840.690567725</v>
      </c>
      <c r="L481" s="145">
        <v>1350.46239281505</v>
      </c>
      <c r="M481" s="134"/>
    </row>
    <row r="482" spans="7:13">
      <c r="G482" s="134" t="s">
        <v>469</v>
      </c>
      <c r="H482" s="134" t="s">
        <v>469</v>
      </c>
      <c r="I482" s="134" t="s">
        <v>362</v>
      </c>
      <c r="J482" s="134">
        <v>1566</v>
      </c>
      <c r="K482" s="145">
        <v>522016.72688613302</v>
      </c>
      <c r="L482" s="145">
        <v>333.34401461438898</v>
      </c>
      <c r="M482" s="134"/>
    </row>
    <row r="483" spans="7:13">
      <c r="G483" s="134" t="s">
        <v>469</v>
      </c>
      <c r="H483" s="134" t="s">
        <v>469</v>
      </c>
      <c r="I483" s="134" t="s">
        <v>1055</v>
      </c>
      <c r="J483" s="134">
        <v>5</v>
      </c>
      <c r="K483" s="145">
        <v>215.77919236455401</v>
      </c>
      <c r="L483" s="145">
        <v>43.155838472910801</v>
      </c>
      <c r="M483" s="134"/>
    </row>
    <row r="484" spans="7:13">
      <c r="G484" s="134" t="s">
        <v>469</v>
      </c>
      <c r="H484" s="134" t="s">
        <v>469</v>
      </c>
      <c r="I484" s="134" t="s">
        <v>1007</v>
      </c>
      <c r="J484" s="134">
        <v>125</v>
      </c>
      <c r="K484" s="145">
        <v>6824.4554068739099</v>
      </c>
      <c r="L484" s="145">
        <v>54.595643254991302</v>
      </c>
      <c r="M484" s="134"/>
    </row>
    <row r="485" spans="7:13">
      <c r="G485" s="134" t="s">
        <v>469</v>
      </c>
      <c r="H485" s="134" t="s">
        <v>469</v>
      </c>
      <c r="I485" s="134" t="s">
        <v>675</v>
      </c>
      <c r="J485" s="134">
        <v>14355</v>
      </c>
      <c r="K485" s="145">
        <v>1616995.3656569901</v>
      </c>
      <c r="L485" s="145">
        <v>112.643355322674</v>
      </c>
      <c r="M485" s="134"/>
    </row>
    <row r="486" spans="7:13">
      <c r="G486" s="134" t="s">
        <v>469</v>
      </c>
      <c r="H486" s="134" t="s">
        <v>469</v>
      </c>
      <c r="I486" s="134" t="s">
        <v>501</v>
      </c>
      <c r="J486" s="134">
        <v>116615</v>
      </c>
      <c r="K486" s="145">
        <v>16787129.0342042</v>
      </c>
      <c r="L486" s="145">
        <v>143.953428239971</v>
      </c>
      <c r="M486" s="134"/>
    </row>
    <row r="487" spans="7:13">
      <c r="G487" s="134" t="s">
        <v>469</v>
      </c>
      <c r="H487" s="134" t="s">
        <v>469</v>
      </c>
      <c r="I487" s="134" t="s">
        <v>709</v>
      </c>
      <c r="J487" s="134">
        <v>26</v>
      </c>
      <c r="K487" s="145">
        <v>2913.9790377039199</v>
      </c>
      <c r="L487" s="145">
        <v>112.076116834766</v>
      </c>
      <c r="M487" s="134"/>
    </row>
    <row r="488" spans="7:13">
      <c r="G488" s="134" t="s">
        <v>469</v>
      </c>
      <c r="H488" s="134" t="s">
        <v>469</v>
      </c>
      <c r="I488" s="134" t="s">
        <v>863</v>
      </c>
      <c r="J488" s="134">
        <v>74</v>
      </c>
      <c r="K488" s="145">
        <v>7629.5424824469401</v>
      </c>
      <c r="L488" s="145">
        <v>103.10192543847199</v>
      </c>
      <c r="M488" s="134"/>
    </row>
    <row r="489" spans="7:13">
      <c r="G489" s="134" t="s">
        <v>469</v>
      </c>
      <c r="H489" s="134" t="s">
        <v>469</v>
      </c>
      <c r="I489" s="134" t="s">
        <v>984</v>
      </c>
      <c r="J489" s="134">
        <v>2856</v>
      </c>
      <c r="K489" s="145">
        <v>674416.21725421306</v>
      </c>
      <c r="L489" s="145">
        <v>236.14013209181101</v>
      </c>
      <c r="M489" s="134"/>
    </row>
    <row r="490" spans="7:13">
      <c r="G490" s="134" t="s">
        <v>469</v>
      </c>
      <c r="H490" s="134" t="s">
        <v>469</v>
      </c>
      <c r="I490" s="134" t="s">
        <v>663</v>
      </c>
      <c r="J490" s="134">
        <v>2</v>
      </c>
      <c r="K490" s="145">
        <v>247.715411533782</v>
      </c>
      <c r="L490" s="145">
        <v>123.857705766891</v>
      </c>
      <c r="M490" s="134"/>
    </row>
    <row r="491" spans="7:13">
      <c r="G491" s="134" t="s">
        <v>469</v>
      </c>
      <c r="H491" s="134" t="s">
        <v>469</v>
      </c>
      <c r="I491" s="134" t="s">
        <v>144</v>
      </c>
      <c r="J491" s="134">
        <v>57</v>
      </c>
      <c r="K491" s="145">
        <v>11663.008333833201</v>
      </c>
      <c r="L491" s="145">
        <v>204.61418129532001</v>
      </c>
      <c r="M491" s="134"/>
    </row>
    <row r="492" spans="7:13">
      <c r="G492" s="134" t="s">
        <v>469</v>
      </c>
      <c r="H492" s="134" t="s">
        <v>469</v>
      </c>
      <c r="I492" s="134" t="s">
        <v>363</v>
      </c>
      <c r="J492" s="134">
        <v>386</v>
      </c>
      <c r="K492" s="145">
        <v>52101.1093803533</v>
      </c>
      <c r="L492" s="145">
        <v>134.97696730661499</v>
      </c>
      <c r="M492" s="134"/>
    </row>
    <row r="493" spans="7:13">
      <c r="G493" s="134" t="s">
        <v>469</v>
      </c>
      <c r="H493" s="134" t="s">
        <v>469</v>
      </c>
      <c r="I493" s="134" t="s">
        <v>927</v>
      </c>
      <c r="J493" s="134">
        <v>114</v>
      </c>
      <c r="K493" s="145">
        <v>14236.458528478601</v>
      </c>
      <c r="L493" s="145">
        <v>124.881215162093</v>
      </c>
      <c r="M493" s="134"/>
    </row>
    <row r="494" spans="7:13">
      <c r="G494" s="134" t="s">
        <v>469</v>
      </c>
      <c r="H494" s="134" t="s">
        <v>469</v>
      </c>
      <c r="I494" s="134" t="s">
        <v>969</v>
      </c>
      <c r="J494" s="134">
        <v>8</v>
      </c>
      <c r="K494" s="145">
        <v>932.66940548657999</v>
      </c>
      <c r="L494" s="145">
        <v>116.583675685823</v>
      </c>
      <c r="M494" s="134"/>
    </row>
    <row r="495" spans="7:13">
      <c r="G495" s="134" t="s">
        <v>469</v>
      </c>
      <c r="H495" s="134" t="s">
        <v>469</v>
      </c>
      <c r="I495" s="134" t="s">
        <v>502</v>
      </c>
      <c r="J495" s="134">
        <v>3726</v>
      </c>
      <c r="K495" s="145">
        <v>745655.09857238794</v>
      </c>
      <c r="L495" s="145">
        <v>200.12214132377599</v>
      </c>
      <c r="M495" s="134"/>
    </row>
    <row r="496" spans="7:13">
      <c r="G496" s="134" t="s">
        <v>469</v>
      </c>
      <c r="H496" s="134" t="s">
        <v>469</v>
      </c>
      <c r="I496" s="134" t="s">
        <v>867</v>
      </c>
      <c r="J496" s="134">
        <v>6</v>
      </c>
      <c r="K496" s="145">
        <v>1559.4607751559399</v>
      </c>
      <c r="L496" s="145">
        <v>259.910129192657</v>
      </c>
      <c r="M496" s="134"/>
    </row>
    <row r="497" spans="7:13">
      <c r="G497" s="134" t="s">
        <v>469</v>
      </c>
      <c r="H497" s="134" t="s">
        <v>469</v>
      </c>
      <c r="I497" s="134" t="s">
        <v>922</v>
      </c>
      <c r="J497" s="134">
        <v>9</v>
      </c>
      <c r="K497" s="145">
        <v>416.01958657615398</v>
      </c>
      <c r="L497" s="145">
        <v>46.224398508461498</v>
      </c>
      <c r="M497" s="134"/>
    </row>
    <row r="498" spans="7:13">
      <c r="G498" s="134" t="s">
        <v>469</v>
      </c>
      <c r="H498" s="134" t="s">
        <v>469</v>
      </c>
      <c r="I498" s="134" t="s">
        <v>673</v>
      </c>
      <c r="J498" s="134">
        <v>12572</v>
      </c>
      <c r="K498" s="145">
        <v>1320978.1560603001</v>
      </c>
      <c r="L498" s="145">
        <v>105.073031821532</v>
      </c>
      <c r="M498" s="134"/>
    </row>
    <row r="499" spans="7:13">
      <c r="G499" s="134" t="s">
        <v>469</v>
      </c>
      <c r="H499" s="134" t="s">
        <v>469</v>
      </c>
      <c r="I499" s="134" t="s">
        <v>754</v>
      </c>
      <c r="J499" s="134">
        <v>111841</v>
      </c>
      <c r="K499" s="145">
        <v>12907085.8500333</v>
      </c>
      <c r="L499" s="145">
        <v>115.40567278576999</v>
      </c>
      <c r="M499" s="134"/>
    </row>
    <row r="500" spans="7:13">
      <c r="G500" s="134" t="s">
        <v>469</v>
      </c>
      <c r="H500" s="134" t="s">
        <v>469</v>
      </c>
      <c r="I500" s="134" t="s">
        <v>680</v>
      </c>
      <c r="J500" s="134">
        <v>15</v>
      </c>
      <c r="K500" s="145">
        <v>1655.5591264498401</v>
      </c>
      <c r="L500" s="145">
        <v>110.37060842998901</v>
      </c>
      <c r="M500" s="134"/>
    </row>
    <row r="501" spans="7:13">
      <c r="G501" s="134" t="s">
        <v>469</v>
      </c>
      <c r="H501" s="134" t="s">
        <v>469</v>
      </c>
      <c r="I501" s="134" t="s">
        <v>503</v>
      </c>
      <c r="J501" s="134">
        <v>60716</v>
      </c>
      <c r="K501" s="145">
        <v>8518167.5252108295</v>
      </c>
      <c r="L501" s="145">
        <v>140.29526854883099</v>
      </c>
      <c r="M501" s="134"/>
    </row>
    <row r="502" spans="7:13">
      <c r="G502" s="134" t="s">
        <v>469</v>
      </c>
      <c r="H502" s="134" t="s">
        <v>469</v>
      </c>
      <c r="I502" s="134" t="s">
        <v>1054</v>
      </c>
      <c r="J502" s="134">
        <v>2</v>
      </c>
      <c r="K502" s="145">
        <v>993.18307579002203</v>
      </c>
      <c r="L502" s="145">
        <v>496.59153789501102</v>
      </c>
      <c r="M502" s="134"/>
    </row>
    <row r="503" spans="7:13">
      <c r="G503" s="134" t="s">
        <v>469</v>
      </c>
      <c r="H503" s="134" t="s">
        <v>469</v>
      </c>
      <c r="I503" s="134" t="s">
        <v>718</v>
      </c>
      <c r="J503" s="134">
        <v>39887</v>
      </c>
      <c r="K503" s="145">
        <v>4076776.85789188</v>
      </c>
      <c r="L503" s="145">
        <v>102.208159497879</v>
      </c>
      <c r="M503" s="134"/>
    </row>
    <row r="504" spans="7:13">
      <c r="G504" s="134" t="s">
        <v>469</v>
      </c>
      <c r="H504" s="134" t="s">
        <v>469</v>
      </c>
      <c r="I504" s="134" t="s">
        <v>364</v>
      </c>
      <c r="J504" s="134">
        <v>21309</v>
      </c>
      <c r="K504" s="145">
        <v>3413028.6304532699</v>
      </c>
      <c r="L504" s="145">
        <v>160.16840914417699</v>
      </c>
      <c r="M504" s="134"/>
    </row>
    <row r="505" spans="7:13">
      <c r="G505" s="134" t="s">
        <v>469</v>
      </c>
      <c r="H505" s="134" t="s">
        <v>469</v>
      </c>
      <c r="I505" s="134" t="s">
        <v>163</v>
      </c>
      <c r="J505" s="134">
        <v>5299</v>
      </c>
      <c r="K505" s="145">
        <v>937525.43562875804</v>
      </c>
      <c r="L505" s="145">
        <v>176.92497369857699</v>
      </c>
      <c r="M505" s="134"/>
    </row>
    <row r="506" spans="7:13">
      <c r="G506" s="134" t="s">
        <v>469</v>
      </c>
      <c r="H506" s="134" t="s">
        <v>469</v>
      </c>
      <c r="I506" s="134" t="s">
        <v>126</v>
      </c>
      <c r="J506" s="134">
        <v>2749</v>
      </c>
      <c r="K506" s="145">
        <v>176170.871907155</v>
      </c>
      <c r="L506" s="145">
        <v>64.085439034978094</v>
      </c>
      <c r="M506" s="134"/>
    </row>
    <row r="507" spans="7:13">
      <c r="G507" s="134" t="s">
        <v>469</v>
      </c>
      <c r="H507" s="134" t="s">
        <v>469</v>
      </c>
      <c r="I507" s="134" t="s">
        <v>767</v>
      </c>
      <c r="J507" s="134">
        <v>1016</v>
      </c>
      <c r="K507" s="145">
        <v>184021.43071148399</v>
      </c>
      <c r="L507" s="145">
        <v>181.12345542468901</v>
      </c>
      <c r="M507" s="134"/>
    </row>
    <row r="508" spans="7:13">
      <c r="G508" s="134" t="s">
        <v>469</v>
      </c>
      <c r="H508" s="134" t="s">
        <v>469</v>
      </c>
      <c r="I508" s="134" t="s">
        <v>504</v>
      </c>
      <c r="J508" s="134">
        <v>24540</v>
      </c>
      <c r="K508" s="145">
        <v>3463321.2548858998</v>
      </c>
      <c r="L508" s="145">
        <v>141.12963548842299</v>
      </c>
      <c r="M508" s="134"/>
    </row>
    <row r="509" spans="7:13">
      <c r="G509" s="134" t="s">
        <v>469</v>
      </c>
      <c r="H509" s="134" t="s">
        <v>469</v>
      </c>
      <c r="I509" s="134" t="s">
        <v>1061</v>
      </c>
      <c r="J509" s="134">
        <v>401</v>
      </c>
      <c r="K509" s="145">
        <v>189471.301523709</v>
      </c>
      <c r="L509" s="145">
        <v>472.49701128106898</v>
      </c>
      <c r="M509" s="134"/>
    </row>
    <row r="510" spans="7:13">
      <c r="G510" s="134" t="s">
        <v>469</v>
      </c>
      <c r="H510" s="134" t="s">
        <v>469</v>
      </c>
      <c r="I510" s="134" t="s">
        <v>96</v>
      </c>
      <c r="J510" s="134">
        <v>3120</v>
      </c>
      <c r="K510" s="145">
        <v>426825.14882697701</v>
      </c>
      <c r="L510" s="145">
        <v>136.802932316339</v>
      </c>
      <c r="M510" s="134"/>
    </row>
    <row r="511" spans="7:13">
      <c r="G511" s="134" t="s">
        <v>469</v>
      </c>
      <c r="H511" s="134" t="s">
        <v>469</v>
      </c>
      <c r="I511" s="134" t="s">
        <v>365</v>
      </c>
      <c r="J511" s="134">
        <v>1</v>
      </c>
      <c r="K511" s="145">
        <v>344.39988323479798</v>
      </c>
      <c r="L511" s="145">
        <v>344.39988323479798</v>
      </c>
      <c r="M511" s="134"/>
    </row>
    <row r="512" spans="7:13">
      <c r="G512" s="134" t="s">
        <v>469</v>
      </c>
      <c r="H512" s="134" t="s">
        <v>469</v>
      </c>
      <c r="I512" s="134" t="s">
        <v>721</v>
      </c>
      <c r="J512" s="134">
        <v>71117</v>
      </c>
      <c r="K512" s="145">
        <v>5790149.5513044</v>
      </c>
      <c r="L512" s="145">
        <v>81.417235700386598</v>
      </c>
      <c r="M512" s="134"/>
    </row>
    <row r="513" spans="7:13">
      <c r="G513" s="134" t="s">
        <v>469</v>
      </c>
      <c r="H513" s="134" t="s">
        <v>469</v>
      </c>
      <c r="I513" s="134" t="s">
        <v>775</v>
      </c>
      <c r="J513" s="134">
        <v>797</v>
      </c>
      <c r="K513" s="145">
        <v>123872.928884354</v>
      </c>
      <c r="L513" s="145">
        <v>155.42400110960301</v>
      </c>
      <c r="M513" s="134"/>
    </row>
    <row r="514" spans="7:13">
      <c r="G514" s="134" t="s">
        <v>469</v>
      </c>
      <c r="H514" s="134" t="s">
        <v>469</v>
      </c>
      <c r="I514" s="134" t="s">
        <v>137</v>
      </c>
      <c r="J514" s="134">
        <v>587</v>
      </c>
      <c r="K514" s="145">
        <v>196605.95751031701</v>
      </c>
      <c r="L514" s="145">
        <v>334.93348809253303</v>
      </c>
      <c r="M514" s="134"/>
    </row>
    <row r="515" spans="7:13">
      <c r="G515" s="134" t="s">
        <v>469</v>
      </c>
      <c r="H515" s="134" t="s">
        <v>469</v>
      </c>
      <c r="I515" s="134" t="s">
        <v>802</v>
      </c>
      <c r="J515" s="134">
        <v>63</v>
      </c>
      <c r="K515" s="145">
        <v>7142.6369052282498</v>
      </c>
      <c r="L515" s="145">
        <v>113.37518897187699</v>
      </c>
      <c r="M515" s="134"/>
    </row>
    <row r="516" spans="7:13">
      <c r="G516" s="134" t="s">
        <v>469</v>
      </c>
      <c r="H516" s="134" t="s">
        <v>469</v>
      </c>
      <c r="I516" s="134" t="s">
        <v>203</v>
      </c>
      <c r="J516" s="134">
        <v>4</v>
      </c>
      <c r="K516" s="145">
        <v>450.45628563136</v>
      </c>
      <c r="L516" s="145">
        <v>112.61407140784</v>
      </c>
      <c r="M516" s="134"/>
    </row>
    <row r="517" spans="7:13">
      <c r="G517" s="134" t="s">
        <v>469</v>
      </c>
      <c r="H517" s="134" t="s">
        <v>469</v>
      </c>
      <c r="I517" s="134" t="s">
        <v>998</v>
      </c>
      <c r="J517" s="134">
        <v>2183</v>
      </c>
      <c r="K517" s="145">
        <v>445208.50687187503</v>
      </c>
      <c r="L517" s="145">
        <v>203.94342962522899</v>
      </c>
      <c r="M517" s="134"/>
    </row>
    <row r="518" spans="7:13">
      <c r="G518" s="134" t="s">
        <v>469</v>
      </c>
      <c r="H518" s="134" t="s">
        <v>469</v>
      </c>
      <c r="I518" s="134" t="s">
        <v>1063</v>
      </c>
      <c r="J518" s="134">
        <v>173</v>
      </c>
      <c r="K518" s="145">
        <v>229275.75430071499</v>
      </c>
      <c r="L518" s="145">
        <v>1325.29337746078</v>
      </c>
      <c r="M518" s="134"/>
    </row>
    <row r="519" spans="7:13">
      <c r="G519" s="134" t="s">
        <v>469</v>
      </c>
      <c r="H519" s="134" t="s">
        <v>469</v>
      </c>
      <c r="I519" s="134" t="s">
        <v>1074</v>
      </c>
      <c r="J519" s="134">
        <v>5129</v>
      </c>
      <c r="K519" s="145">
        <v>758695.01670358202</v>
      </c>
      <c r="L519" s="145">
        <v>147.92260025415899</v>
      </c>
      <c r="M519" s="134"/>
    </row>
    <row r="520" spans="7:13">
      <c r="G520" s="134" t="s">
        <v>469</v>
      </c>
      <c r="H520" s="134" t="s">
        <v>469</v>
      </c>
      <c r="I520" s="134" t="s">
        <v>735</v>
      </c>
      <c r="J520" s="134">
        <v>40979</v>
      </c>
      <c r="K520" s="145">
        <v>4161200.9530803198</v>
      </c>
      <c r="L520" s="145">
        <v>101.544716881337</v>
      </c>
      <c r="M520" s="134"/>
    </row>
    <row r="521" spans="7:13">
      <c r="G521" s="134" t="s">
        <v>469</v>
      </c>
      <c r="H521" s="134" t="s">
        <v>469</v>
      </c>
      <c r="I521" s="134" t="s">
        <v>981</v>
      </c>
      <c r="J521" s="134">
        <v>63</v>
      </c>
      <c r="K521" s="145">
        <v>43311.2144209584</v>
      </c>
      <c r="L521" s="145">
        <v>687.479593983467</v>
      </c>
      <c r="M521" s="134"/>
    </row>
    <row r="522" spans="7:13">
      <c r="G522" s="134" t="s">
        <v>469</v>
      </c>
      <c r="H522" s="134" t="s">
        <v>469</v>
      </c>
      <c r="I522" s="134" t="s">
        <v>1049</v>
      </c>
      <c r="J522" s="134">
        <v>16</v>
      </c>
      <c r="K522" s="145">
        <v>983.80082790145002</v>
      </c>
      <c r="L522" s="145">
        <v>61.487551743840598</v>
      </c>
      <c r="M522" s="134"/>
    </row>
    <row r="523" spans="7:13">
      <c r="G523" s="134" t="s">
        <v>469</v>
      </c>
      <c r="H523" s="134" t="s">
        <v>469</v>
      </c>
      <c r="I523" s="134" t="s">
        <v>366</v>
      </c>
      <c r="J523" s="134">
        <v>10</v>
      </c>
      <c r="K523" s="145">
        <v>14265.389291246</v>
      </c>
      <c r="L523" s="145">
        <v>1426.5389291245999</v>
      </c>
      <c r="M523" s="134"/>
    </row>
    <row r="524" spans="7:13">
      <c r="G524" s="134" t="s">
        <v>469</v>
      </c>
      <c r="H524" s="134" t="s">
        <v>469</v>
      </c>
      <c r="I524" s="134" t="s">
        <v>915</v>
      </c>
      <c r="J524" s="134">
        <v>3</v>
      </c>
      <c r="K524" s="145">
        <v>922.35315362208598</v>
      </c>
      <c r="L524" s="145">
        <v>307.45105120736201</v>
      </c>
      <c r="M524" s="134"/>
    </row>
    <row r="525" spans="7:13">
      <c r="G525" s="134" t="s">
        <v>469</v>
      </c>
      <c r="H525" s="134" t="s">
        <v>469</v>
      </c>
      <c r="I525" s="134" t="s">
        <v>505</v>
      </c>
      <c r="J525" s="134">
        <v>35884</v>
      </c>
      <c r="K525" s="145">
        <v>4825863.0491741896</v>
      </c>
      <c r="L525" s="145">
        <v>134.48509221865399</v>
      </c>
      <c r="M525" s="134"/>
    </row>
    <row r="526" spans="7:13">
      <c r="G526" s="134" t="s">
        <v>469</v>
      </c>
      <c r="H526" s="134" t="s">
        <v>469</v>
      </c>
      <c r="I526" s="134" t="s">
        <v>883</v>
      </c>
      <c r="J526" s="134">
        <v>21</v>
      </c>
      <c r="K526" s="145">
        <v>2728.1870716835001</v>
      </c>
      <c r="L526" s="145">
        <v>129.91367008016701</v>
      </c>
      <c r="M526" s="134"/>
    </row>
    <row r="527" spans="7:13">
      <c r="G527" s="134" t="s">
        <v>469</v>
      </c>
      <c r="H527" s="134" t="s">
        <v>469</v>
      </c>
      <c r="I527" s="134" t="s">
        <v>825</v>
      </c>
      <c r="J527" s="134">
        <v>2</v>
      </c>
      <c r="K527" s="145">
        <v>404.287809438333</v>
      </c>
      <c r="L527" s="145">
        <v>202.14390471916599</v>
      </c>
      <c r="M527" s="134"/>
    </row>
    <row r="528" spans="7:13">
      <c r="G528" s="134" t="s">
        <v>469</v>
      </c>
      <c r="H528" s="134" t="s">
        <v>469</v>
      </c>
      <c r="I528" s="134" t="s">
        <v>110</v>
      </c>
      <c r="J528" s="134">
        <v>294</v>
      </c>
      <c r="K528" s="145">
        <v>52322.506307479598</v>
      </c>
      <c r="L528" s="145">
        <v>177.967708528842</v>
      </c>
      <c r="M528" s="134"/>
    </row>
    <row r="529" spans="7:13">
      <c r="G529" s="134" t="s">
        <v>469</v>
      </c>
      <c r="H529" s="134" t="s">
        <v>469</v>
      </c>
      <c r="I529" s="134" t="s">
        <v>661</v>
      </c>
      <c r="J529" s="134">
        <v>2359</v>
      </c>
      <c r="K529" s="145">
        <v>544725.94694244699</v>
      </c>
      <c r="L529" s="145">
        <v>230.913924095993</v>
      </c>
      <c r="M529" s="134"/>
    </row>
    <row r="530" spans="7:13">
      <c r="G530" s="134" t="s">
        <v>469</v>
      </c>
      <c r="H530" s="134" t="s">
        <v>469</v>
      </c>
      <c r="I530" s="134" t="s">
        <v>726</v>
      </c>
      <c r="J530" s="134">
        <v>4</v>
      </c>
      <c r="K530" s="145">
        <v>21871.181631369302</v>
      </c>
      <c r="L530" s="145">
        <v>5467.79540784234</v>
      </c>
      <c r="M530" s="134"/>
    </row>
    <row r="531" spans="7:13">
      <c r="G531" s="138" t="s">
        <v>469</v>
      </c>
      <c r="H531" s="138" t="s">
        <v>469</v>
      </c>
      <c r="I531" s="138" t="s">
        <v>732</v>
      </c>
      <c r="J531" s="138">
        <v>20</v>
      </c>
      <c r="K531" s="138">
        <v>2058.9053268214502</v>
      </c>
      <c r="L531" s="138">
        <v>102.94526634107299</v>
      </c>
      <c r="M531" s="138"/>
    </row>
    <row r="532" spans="7:13">
      <c r="G532" s="138" t="s">
        <v>469</v>
      </c>
      <c r="H532" s="138" t="s">
        <v>469</v>
      </c>
      <c r="I532" s="138" t="s">
        <v>866</v>
      </c>
      <c r="J532" s="138">
        <v>3</v>
      </c>
      <c r="K532" s="138">
        <v>982.857315609799</v>
      </c>
      <c r="L532" s="138">
        <v>327.61910520326597</v>
      </c>
      <c r="M532" s="138"/>
    </row>
    <row r="533" spans="7:13">
      <c r="G533" s="138" t="s">
        <v>469</v>
      </c>
      <c r="H533" s="138" t="s">
        <v>469</v>
      </c>
      <c r="I533" s="138" t="s">
        <v>909</v>
      </c>
      <c r="J533" s="138">
        <v>11</v>
      </c>
      <c r="K533" s="138">
        <v>2238.8872857582101</v>
      </c>
      <c r="L533" s="138">
        <v>203.53520779620101</v>
      </c>
      <c r="M533" s="138"/>
    </row>
    <row r="534" spans="7:13">
      <c r="G534" s="138" t="s">
        <v>469</v>
      </c>
      <c r="H534" s="138" t="s">
        <v>469</v>
      </c>
      <c r="I534" s="138" t="s">
        <v>367</v>
      </c>
      <c r="J534" s="138">
        <v>15</v>
      </c>
      <c r="K534" s="138">
        <v>1138.2157130025601</v>
      </c>
      <c r="L534" s="138">
        <v>75.881047533504301</v>
      </c>
      <c r="M534" s="138"/>
    </row>
    <row r="535" spans="7:13">
      <c r="G535" s="138" t="s">
        <v>469</v>
      </c>
      <c r="H535" s="138" t="s">
        <v>469</v>
      </c>
      <c r="I535" s="138" t="s">
        <v>659</v>
      </c>
      <c r="J535" s="138">
        <v>182</v>
      </c>
      <c r="K535" s="138">
        <v>52798.196465548397</v>
      </c>
      <c r="L535" s="138">
        <v>290.09998057993602</v>
      </c>
      <c r="M535" s="138"/>
    </row>
    <row r="536" spans="7:13">
      <c r="G536" s="138" t="s">
        <v>469</v>
      </c>
      <c r="H536" s="138" t="s">
        <v>469</v>
      </c>
      <c r="I536" s="138" t="s">
        <v>762</v>
      </c>
      <c r="J536" s="138">
        <v>217</v>
      </c>
      <c r="K536" s="138">
        <v>36048.848764766299</v>
      </c>
      <c r="L536" s="138">
        <v>166.12372702657299</v>
      </c>
      <c r="M536" s="138"/>
    </row>
    <row r="537" spans="7:13">
      <c r="G537" s="138" t="s">
        <v>469</v>
      </c>
      <c r="H537" s="138" t="s">
        <v>469</v>
      </c>
      <c r="I537" s="138" t="s">
        <v>506</v>
      </c>
      <c r="J537" s="138">
        <v>17147</v>
      </c>
      <c r="K537" s="138">
        <v>3589155.8244157801</v>
      </c>
      <c r="L537" s="138">
        <v>209.31683818835799</v>
      </c>
      <c r="M537" s="138"/>
    </row>
    <row r="538" spans="7:13">
      <c r="G538" s="138" t="s">
        <v>469</v>
      </c>
      <c r="H538" s="138" t="s">
        <v>469</v>
      </c>
      <c r="I538" s="138" t="s">
        <v>368</v>
      </c>
      <c r="J538" s="138">
        <v>38</v>
      </c>
      <c r="K538" s="138">
        <v>6152.0323278637397</v>
      </c>
      <c r="L538" s="138">
        <v>161.89558757536099</v>
      </c>
      <c r="M538" s="138"/>
    </row>
    <row r="539" spans="7:13">
      <c r="G539" s="138" t="s">
        <v>469</v>
      </c>
      <c r="H539" s="138" t="s">
        <v>469</v>
      </c>
      <c r="I539" s="138" t="s">
        <v>84</v>
      </c>
      <c r="J539" s="138">
        <v>4</v>
      </c>
      <c r="K539" s="138">
        <v>436.54408306488602</v>
      </c>
      <c r="L539" s="138">
        <v>109.13602076622099</v>
      </c>
      <c r="M539" s="138"/>
    </row>
    <row r="540" spans="7:13">
      <c r="G540" s="138" t="s">
        <v>469</v>
      </c>
      <c r="H540" s="138" t="s">
        <v>469</v>
      </c>
      <c r="I540" s="138" t="s">
        <v>797</v>
      </c>
      <c r="J540" s="138">
        <v>22837</v>
      </c>
      <c r="K540" s="138">
        <v>2870231.36641016</v>
      </c>
      <c r="L540" s="138">
        <v>125.68338075973899</v>
      </c>
      <c r="M540" s="138"/>
    </row>
    <row r="541" spans="7:13">
      <c r="G541" s="138" t="s">
        <v>469</v>
      </c>
      <c r="H541" s="138" t="s">
        <v>469</v>
      </c>
      <c r="I541" s="138" t="s">
        <v>760</v>
      </c>
      <c r="J541" s="138">
        <v>24</v>
      </c>
      <c r="K541" s="138">
        <v>4414.1145599715301</v>
      </c>
      <c r="L541" s="138">
        <v>183.92143999881401</v>
      </c>
      <c r="M541" s="138"/>
    </row>
    <row r="542" spans="7:13">
      <c r="G542" s="138" t="s">
        <v>469</v>
      </c>
      <c r="H542" s="138" t="s">
        <v>469</v>
      </c>
      <c r="I542" s="138" t="s">
        <v>972</v>
      </c>
      <c r="J542" s="138">
        <v>14</v>
      </c>
      <c r="K542" s="138">
        <v>1322.1557611139799</v>
      </c>
      <c r="L542" s="138">
        <v>94.439697222427299</v>
      </c>
      <c r="M542" s="138"/>
    </row>
    <row r="543" spans="7:13">
      <c r="G543" s="138" t="s">
        <v>469</v>
      </c>
      <c r="H543" s="138" t="s">
        <v>469</v>
      </c>
      <c r="I543" s="138" t="s">
        <v>171</v>
      </c>
      <c r="J543" s="138">
        <v>1093</v>
      </c>
      <c r="K543" s="138">
        <v>227792.284356861</v>
      </c>
      <c r="L543" s="138">
        <v>208.410141223111</v>
      </c>
      <c r="M543" s="138"/>
    </row>
    <row r="544" spans="7:13">
      <c r="G544" s="138" t="s">
        <v>469</v>
      </c>
      <c r="H544" s="138" t="s">
        <v>469</v>
      </c>
      <c r="I544" s="138" t="s">
        <v>964</v>
      </c>
      <c r="J544" s="138">
        <v>7</v>
      </c>
      <c r="K544" s="138">
        <v>899.12824501143302</v>
      </c>
      <c r="L544" s="138">
        <v>128.44689214448999</v>
      </c>
      <c r="M544" s="138"/>
    </row>
    <row r="545" spans="7:13">
      <c r="G545" s="138" t="s">
        <v>469</v>
      </c>
      <c r="H545" s="138" t="s">
        <v>469</v>
      </c>
      <c r="I545" s="138" t="s">
        <v>894</v>
      </c>
      <c r="J545" s="138">
        <v>3</v>
      </c>
      <c r="K545" s="138">
        <v>631.94853362619301</v>
      </c>
      <c r="L545" s="138">
        <v>210.64951120873101</v>
      </c>
      <c r="M545" s="138"/>
    </row>
    <row r="546" spans="7:13">
      <c r="G546" s="138" t="s">
        <v>469</v>
      </c>
      <c r="H546" s="138" t="s">
        <v>469</v>
      </c>
      <c r="I546" s="138" t="s">
        <v>678</v>
      </c>
      <c r="J546" s="138">
        <v>4083</v>
      </c>
      <c r="K546" s="138">
        <v>464666.14800210297</v>
      </c>
      <c r="L546" s="138">
        <v>113.805081558193</v>
      </c>
      <c r="M546" s="138"/>
    </row>
    <row r="547" spans="7:13">
      <c r="G547" s="138" t="s">
        <v>469</v>
      </c>
      <c r="H547" s="138" t="s">
        <v>469</v>
      </c>
      <c r="I547" s="138" t="s">
        <v>989</v>
      </c>
      <c r="J547" s="138">
        <v>10</v>
      </c>
      <c r="K547" s="138">
        <v>1555.64466560044</v>
      </c>
      <c r="L547" s="138">
        <v>155.564466560044</v>
      </c>
      <c r="M547" s="138"/>
    </row>
    <row r="548" spans="7:13">
      <c r="G548" s="138" t="s">
        <v>469</v>
      </c>
      <c r="H548" s="138" t="s">
        <v>469</v>
      </c>
      <c r="I548" s="138" t="s">
        <v>857</v>
      </c>
      <c r="J548" s="138">
        <v>2</v>
      </c>
      <c r="K548" s="138">
        <v>280.86016866361399</v>
      </c>
      <c r="L548" s="138">
        <v>140.430084331807</v>
      </c>
      <c r="M548" s="138"/>
    </row>
    <row r="549" spans="7:13">
      <c r="G549" s="138" t="s">
        <v>469</v>
      </c>
      <c r="H549" s="138" t="s">
        <v>469</v>
      </c>
      <c r="I549" s="138" t="s">
        <v>774</v>
      </c>
      <c r="J549" s="138">
        <v>113</v>
      </c>
      <c r="K549" s="138">
        <v>24556.376196369001</v>
      </c>
      <c r="L549" s="138">
        <v>217.31306368468199</v>
      </c>
      <c r="M549" s="138"/>
    </row>
    <row r="550" spans="7:13">
      <c r="G550" s="138" t="s">
        <v>469</v>
      </c>
      <c r="H550" s="138" t="s">
        <v>469</v>
      </c>
      <c r="I550" s="138" t="s">
        <v>369</v>
      </c>
      <c r="J550" s="138">
        <v>9</v>
      </c>
      <c r="K550" s="138">
        <v>1906.2776028210301</v>
      </c>
      <c r="L550" s="138">
        <v>211.80862253567</v>
      </c>
      <c r="M550" s="138"/>
    </row>
    <row r="551" spans="7:13">
      <c r="G551" s="138" t="s">
        <v>469</v>
      </c>
      <c r="H551" s="138" t="s">
        <v>469</v>
      </c>
      <c r="I551" s="138" t="s">
        <v>796</v>
      </c>
      <c r="J551" s="138">
        <v>20233</v>
      </c>
      <c r="K551" s="138">
        <v>2723462.0354487598</v>
      </c>
      <c r="L551" s="138">
        <v>134.60495405766599</v>
      </c>
      <c r="M551" s="138"/>
    </row>
    <row r="552" spans="7:13">
      <c r="G552" s="138" t="s">
        <v>469</v>
      </c>
      <c r="H552" s="138" t="s">
        <v>469</v>
      </c>
      <c r="I552" s="138" t="s">
        <v>887</v>
      </c>
      <c r="J552" s="138">
        <v>81</v>
      </c>
      <c r="K552" s="138">
        <v>7113.8791418583096</v>
      </c>
      <c r="L552" s="138">
        <v>87.825668418003801</v>
      </c>
      <c r="M552" s="138"/>
    </row>
    <row r="553" spans="7:13">
      <c r="G553" s="138" t="s">
        <v>469</v>
      </c>
      <c r="H553" s="138" t="s">
        <v>469</v>
      </c>
      <c r="I553" s="138" t="s">
        <v>739</v>
      </c>
      <c r="J553" s="138">
        <v>18</v>
      </c>
      <c r="K553" s="138">
        <v>2021.81087792526</v>
      </c>
      <c r="L553" s="138">
        <v>112.322826551403</v>
      </c>
      <c r="M553" s="138"/>
    </row>
    <row r="554" spans="7:13">
      <c r="G554" s="138" t="s">
        <v>469</v>
      </c>
      <c r="H554" s="138" t="s">
        <v>469</v>
      </c>
      <c r="I554" s="138" t="s">
        <v>151</v>
      </c>
      <c r="J554" s="138">
        <v>14</v>
      </c>
      <c r="K554" s="138">
        <v>1528.48713463323</v>
      </c>
      <c r="L554" s="138">
        <v>109.177652473802</v>
      </c>
      <c r="M554" s="138"/>
    </row>
    <row r="555" spans="7:13">
      <c r="G555" s="138" t="s">
        <v>469</v>
      </c>
      <c r="H555" s="138" t="s">
        <v>469</v>
      </c>
      <c r="I555" s="138" t="s">
        <v>805</v>
      </c>
      <c r="J555" s="138">
        <v>1434</v>
      </c>
      <c r="K555" s="138">
        <v>313895.232380545</v>
      </c>
      <c r="L555" s="138">
        <v>218.894862190059</v>
      </c>
      <c r="M555" s="138"/>
    </row>
    <row r="556" spans="7:13">
      <c r="G556" s="138" t="s">
        <v>469</v>
      </c>
      <c r="H556" s="138" t="s">
        <v>469</v>
      </c>
      <c r="I556" s="138" t="s">
        <v>507</v>
      </c>
      <c r="J556" s="138">
        <v>6670</v>
      </c>
      <c r="K556" s="138">
        <v>1071376.1199576501</v>
      </c>
      <c r="L556" s="138">
        <v>160.62610494117601</v>
      </c>
      <c r="M556" s="138"/>
    </row>
    <row r="557" spans="7:13">
      <c r="G557" s="138" t="s">
        <v>469</v>
      </c>
      <c r="H557" s="138" t="s">
        <v>469</v>
      </c>
      <c r="I557" s="138" t="s">
        <v>871</v>
      </c>
      <c r="J557" s="138">
        <v>3</v>
      </c>
      <c r="K557" s="138">
        <v>797.83204362897095</v>
      </c>
      <c r="L557" s="138">
        <v>265.94401454298998</v>
      </c>
      <c r="M557" s="138"/>
    </row>
    <row r="558" spans="7:13">
      <c r="G558" s="138" t="s">
        <v>469</v>
      </c>
      <c r="H558" s="138" t="s">
        <v>469</v>
      </c>
      <c r="I558" s="138" t="s">
        <v>851</v>
      </c>
      <c r="J558" s="138">
        <v>394</v>
      </c>
      <c r="K558" s="138">
        <v>32241.695818947399</v>
      </c>
      <c r="L558" s="138">
        <v>81.831715276516206</v>
      </c>
      <c r="M558" s="138"/>
    </row>
    <row r="559" spans="7:13">
      <c r="G559" s="138" t="s">
        <v>469</v>
      </c>
      <c r="H559" s="138" t="s">
        <v>469</v>
      </c>
      <c r="I559" s="138" t="s">
        <v>88</v>
      </c>
      <c r="J559" s="138">
        <v>9</v>
      </c>
      <c r="K559" s="138">
        <v>714.651592784993</v>
      </c>
      <c r="L559" s="138">
        <v>79.405732531665905</v>
      </c>
      <c r="M559" s="138"/>
    </row>
    <row r="560" spans="7:13">
      <c r="G560" s="138" t="s">
        <v>469</v>
      </c>
      <c r="H560" s="138" t="s">
        <v>469</v>
      </c>
      <c r="I560" s="138" t="s">
        <v>793</v>
      </c>
      <c r="J560" s="138">
        <v>2873</v>
      </c>
      <c r="K560" s="138">
        <v>491598.81666740001</v>
      </c>
      <c r="L560" s="138">
        <v>171.10992574570099</v>
      </c>
      <c r="M560" s="138"/>
    </row>
    <row r="561" spans="7:13">
      <c r="G561" s="138" t="s">
        <v>469</v>
      </c>
      <c r="H561" s="138" t="s">
        <v>469</v>
      </c>
      <c r="I561" s="138" t="s">
        <v>371</v>
      </c>
      <c r="J561" s="138">
        <v>35549</v>
      </c>
      <c r="K561" s="138">
        <v>2432433.5857966002</v>
      </c>
      <c r="L561" s="138">
        <v>68.424810424951502</v>
      </c>
      <c r="M561" s="138"/>
    </row>
    <row r="562" spans="7:13">
      <c r="G562" s="138" t="s">
        <v>469</v>
      </c>
      <c r="H562" s="138" t="s">
        <v>469</v>
      </c>
      <c r="I562" s="138" t="s">
        <v>370</v>
      </c>
      <c r="J562" s="138">
        <v>78</v>
      </c>
      <c r="K562" s="138">
        <v>11286.665600533899</v>
      </c>
      <c r="L562" s="138">
        <v>144.70084103248601</v>
      </c>
      <c r="M562" s="138"/>
    </row>
    <row r="563" spans="7:13">
      <c r="G563" s="138" t="s">
        <v>469</v>
      </c>
      <c r="H563" s="138" t="s">
        <v>469</v>
      </c>
      <c r="I563" s="138" t="s">
        <v>162</v>
      </c>
      <c r="J563" s="138">
        <v>114</v>
      </c>
      <c r="K563" s="138">
        <v>16405.156836485301</v>
      </c>
      <c r="L563" s="138">
        <v>143.90488453057301</v>
      </c>
      <c r="M563" s="138"/>
    </row>
    <row r="564" spans="7:13">
      <c r="G564" s="138" t="s">
        <v>469</v>
      </c>
      <c r="H564" s="138" t="s">
        <v>469</v>
      </c>
      <c r="I564" s="138" t="s">
        <v>753</v>
      </c>
      <c r="J564" s="138">
        <v>17</v>
      </c>
      <c r="K564" s="138">
        <v>1886.40587964052</v>
      </c>
      <c r="L564" s="138">
        <v>110.96505174356</v>
      </c>
      <c r="M564" s="138"/>
    </row>
    <row r="565" spans="7:13">
      <c r="G565" s="138" t="s">
        <v>469</v>
      </c>
      <c r="H565" s="138" t="s">
        <v>469</v>
      </c>
      <c r="I565" s="138" t="s">
        <v>134</v>
      </c>
      <c r="J565" s="138">
        <v>1</v>
      </c>
      <c r="K565" s="138">
        <v>71.437432871845303</v>
      </c>
      <c r="L565" s="138">
        <v>71.437432871845303</v>
      </c>
      <c r="M565" s="138"/>
    </row>
    <row r="566" spans="7:13">
      <c r="G566" s="138" t="s">
        <v>469</v>
      </c>
      <c r="H566" s="138" t="s">
        <v>469</v>
      </c>
      <c r="I566" s="138" t="s">
        <v>372</v>
      </c>
      <c r="J566" s="138">
        <v>4</v>
      </c>
      <c r="K566" s="138">
        <v>466.30934175375103</v>
      </c>
      <c r="L566" s="138">
        <v>116.577335438438</v>
      </c>
      <c r="M566" s="138"/>
    </row>
    <row r="567" spans="7:13">
      <c r="G567" s="138" t="s">
        <v>469</v>
      </c>
      <c r="H567" s="138" t="s">
        <v>469</v>
      </c>
      <c r="I567" s="138" t="s">
        <v>719</v>
      </c>
      <c r="J567" s="138">
        <v>480160</v>
      </c>
      <c r="K567" s="138">
        <v>32714417.740987301</v>
      </c>
      <c r="L567" s="138">
        <v>68.132326184995193</v>
      </c>
      <c r="M567" s="138"/>
    </row>
    <row r="568" spans="7:13">
      <c r="G568" s="138" t="s">
        <v>469</v>
      </c>
      <c r="H568" s="138" t="s">
        <v>469</v>
      </c>
      <c r="I568" s="138" t="s">
        <v>751</v>
      </c>
      <c r="J568" s="138">
        <v>5571</v>
      </c>
      <c r="K568" s="138">
        <v>612446.74027640303</v>
      </c>
      <c r="L568" s="138">
        <v>109.934794520984</v>
      </c>
      <c r="M568" s="138"/>
    </row>
    <row r="569" spans="7:13">
      <c r="G569" s="138" t="s">
        <v>469</v>
      </c>
      <c r="H569" s="138" t="s">
        <v>469</v>
      </c>
      <c r="I569" s="138" t="s">
        <v>992</v>
      </c>
      <c r="J569" s="138">
        <v>256</v>
      </c>
      <c r="K569" s="138">
        <v>67576.618199136297</v>
      </c>
      <c r="L569" s="138">
        <v>263.97116484037599</v>
      </c>
      <c r="M569" s="138"/>
    </row>
    <row r="570" spans="7:13">
      <c r="G570" s="138" t="s">
        <v>469</v>
      </c>
      <c r="H570" s="138" t="s">
        <v>469</v>
      </c>
      <c r="I570" s="138" t="s">
        <v>91</v>
      </c>
      <c r="J570" s="138">
        <v>1</v>
      </c>
      <c r="K570" s="138">
        <v>54.807000028370702</v>
      </c>
      <c r="L570" s="138">
        <v>54.807000028370702</v>
      </c>
      <c r="M570" s="138"/>
    </row>
    <row r="571" spans="7:13">
      <c r="G571" s="138" t="s">
        <v>469</v>
      </c>
      <c r="H571" s="138" t="s">
        <v>469</v>
      </c>
      <c r="I571" s="138" t="s">
        <v>508</v>
      </c>
      <c r="J571" s="138">
        <v>29287</v>
      </c>
      <c r="K571" s="138">
        <v>4556005.14232664</v>
      </c>
      <c r="L571" s="138">
        <v>155.564077656525</v>
      </c>
      <c r="M571" s="138"/>
    </row>
    <row r="572" spans="7:13">
      <c r="G572" s="138" t="s">
        <v>469</v>
      </c>
      <c r="H572" s="138" t="s">
        <v>469</v>
      </c>
      <c r="I572" s="138" t="s">
        <v>167</v>
      </c>
      <c r="J572" s="138">
        <v>1897</v>
      </c>
      <c r="K572" s="138">
        <v>317013.81037354103</v>
      </c>
      <c r="L572" s="138">
        <v>167.11323688642099</v>
      </c>
      <c r="M572" s="138"/>
    </row>
    <row r="573" spans="7:13">
      <c r="G573" s="138" t="s">
        <v>469</v>
      </c>
      <c r="H573" s="138" t="s">
        <v>469</v>
      </c>
      <c r="I573" s="138" t="s">
        <v>1056</v>
      </c>
      <c r="J573" s="138">
        <v>2</v>
      </c>
      <c r="K573" s="138">
        <v>113.929448761865</v>
      </c>
      <c r="L573" s="138">
        <v>56.964724380932402</v>
      </c>
      <c r="M573" s="138"/>
    </row>
    <row r="574" spans="7:13">
      <c r="G574" s="138" t="s">
        <v>469</v>
      </c>
      <c r="H574" s="138" t="s">
        <v>469</v>
      </c>
      <c r="I574" s="138" t="s">
        <v>373</v>
      </c>
      <c r="J574" s="138">
        <v>435</v>
      </c>
      <c r="K574" s="138">
        <v>88306.8456840867</v>
      </c>
      <c r="L574" s="138">
        <v>203.004242951924</v>
      </c>
      <c r="M574" s="138"/>
    </row>
    <row r="575" spans="7:13">
      <c r="G575" s="138" t="s">
        <v>469</v>
      </c>
      <c r="H575" s="138" t="s">
        <v>469</v>
      </c>
      <c r="I575" s="138" t="s">
        <v>173</v>
      </c>
      <c r="J575" s="138">
        <v>19</v>
      </c>
      <c r="K575" s="138">
        <v>2440.7982163221</v>
      </c>
      <c r="L575" s="138">
        <v>128.46306401695301</v>
      </c>
      <c r="M575" s="138"/>
    </row>
    <row r="576" spans="7:13">
      <c r="G576" s="138" t="s">
        <v>469</v>
      </c>
      <c r="H576" s="138" t="s">
        <v>469</v>
      </c>
      <c r="I576" s="138" t="s">
        <v>889</v>
      </c>
      <c r="J576" s="138">
        <v>37</v>
      </c>
      <c r="K576" s="138">
        <v>10270.1181296217</v>
      </c>
      <c r="L576" s="138">
        <v>277.57076026004597</v>
      </c>
      <c r="M576" s="138"/>
    </row>
    <row r="577" spans="7:13">
      <c r="G577" s="138" t="s">
        <v>469</v>
      </c>
      <c r="H577" s="138" t="s">
        <v>469</v>
      </c>
      <c r="I577" s="138" t="s">
        <v>782</v>
      </c>
      <c r="J577" s="138">
        <v>41818</v>
      </c>
      <c r="K577" s="138">
        <v>5164615.0137147997</v>
      </c>
      <c r="L577" s="138">
        <v>123.502200337529</v>
      </c>
      <c r="M577" s="138"/>
    </row>
    <row r="578" spans="7:13">
      <c r="G578" s="138" t="s">
        <v>469</v>
      </c>
      <c r="H578" s="138" t="s">
        <v>469</v>
      </c>
      <c r="I578" s="138" t="s">
        <v>950</v>
      </c>
      <c r="J578" s="138">
        <v>1</v>
      </c>
      <c r="K578" s="138">
        <v>186.868135078824</v>
      </c>
      <c r="L578" s="138">
        <v>186.868135078824</v>
      </c>
      <c r="M578" s="138"/>
    </row>
    <row r="579" spans="7:13">
      <c r="G579" s="138" t="s">
        <v>469</v>
      </c>
      <c r="H579" s="138" t="s">
        <v>469</v>
      </c>
      <c r="I579" s="138" t="s">
        <v>941</v>
      </c>
      <c r="J579" s="138">
        <v>5635</v>
      </c>
      <c r="K579" s="138">
        <v>1097799.80498811</v>
      </c>
      <c r="L579" s="138">
        <v>194.81806654624799</v>
      </c>
      <c r="M579" s="138"/>
    </row>
    <row r="580" spans="7:13">
      <c r="G580" s="138" t="s">
        <v>469</v>
      </c>
      <c r="H580" s="138" t="s">
        <v>469</v>
      </c>
      <c r="I580" s="138" t="s">
        <v>835</v>
      </c>
      <c r="J580" s="138">
        <v>1494</v>
      </c>
      <c r="K580" s="138">
        <v>267639.36806176201</v>
      </c>
      <c r="L580" s="138">
        <v>179.14281664107199</v>
      </c>
      <c r="M580" s="138"/>
    </row>
    <row r="581" spans="7:13">
      <c r="G581" s="138" t="s">
        <v>469</v>
      </c>
      <c r="H581" s="138" t="s">
        <v>469</v>
      </c>
      <c r="I581" s="138" t="s">
        <v>180</v>
      </c>
      <c r="J581" s="138">
        <v>120</v>
      </c>
      <c r="K581" s="138">
        <v>12945.4803631494</v>
      </c>
      <c r="L581" s="138">
        <v>107.879003026245</v>
      </c>
      <c r="M581" s="138"/>
    </row>
    <row r="582" spans="7:13">
      <c r="G582" s="138" t="s">
        <v>469</v>
      </c>
      <c r="H582" s="138" t="s">
        <v>469</v>
      </c>
      <c r="I582" s="138" t="s">
        <v>811</v>
      </c>
      <c r="J582" s="138">
        <v>100461</v>
      </c>
      <c r="K582" s="138">
        <v>18281628.820322301</v>
      </c>
      <c r="L582" s="138">
        <v>181.977372515925</v>
      </c>
      <c r="M582" s="138"/>
    </row>
    <row r="583" spans="7:13">
      <c r="G583" s="138" t="s">
        <v>469</v>
      </c>
      <c r="H583" s="138" t="s">
        <v>469</v>
      </c>
      <c r="I583" s="138" t="s">
        <v>781</v>
      </c>
      <c r="J583" s="138">
        <v>13837</v>
      </c>
      <c r="K583" s="138">
        <v>1820546.3903647501</v>
      </c>
      <c r="L583" s="138">
        <v>131.57088894736901</v>
      </c>
      <c r="M583" s="138"/>
    </row>
    <row r="584" spans="7:13">
      <c r="G584" s="138" t="s">
        <v>469</v>
      </c>
      <c r="H584" s="138" t="s">
        <v>469</v>
      </c>
      <c r="I584" s="138" t="s">
        <v>509</v>
      </c>
      <c r="J584" s="138">
        <v>340</v>
      </c>
      <c r="K584" s="138">
        <v>28379.680405994801</v>
      </c>
      <c r="L584" s="138">
        <v>83.469648252926007</v>
      </c>
      <c r="M584" s="138"/>
    </row>
    <row r="585" spans="7:13">
      <c r="G585" s="138" t="s">
        <v>469</v>
      </c>
      <c r="H585" s="138" t="s">
        <v>469</v>
      </c>
      <c r="I585" s="138" t="s">
        <v>155</v>
      </c>
      <c r="J585" s="138">
        <v>794</v>
      </c>
      <c r="K585" s="138">
        <v>439535.28617756098</v>
      </c>
      <c r="L585" s="138">
        <v>553.57088939239395</v>
      </c>
      <c r="M585" s="138"/>
    </row>
    <row r="586" spans="7:13">
      <c r="G586" s="138" t="s">
        <v>469</v>
      </c>
      <c r="H586" s="138" t="s">
        <v>469</v>
      </c>
      <c r="I586" s="138" t="s">
        <v>804</v>
      </c>
      <c r="J586" s="138">
        <v>1</v>
      </c>
      <c r="K586" s="138">
        <v>292.166582041494</v>
      </c>
      <c r="L586" s="138">
        <v>292.166582041494</v>
      </c>
      <c r="M586" s="138"/>
    </row>
    <row r="587" spans="7:13">
      <c r="G587" s="138" t="s">
        <v>469</v>
      </c>
      <c r="H587" s="138" t="s">
        <v>469</v>
      </c>
      <c r="I587" s="138" t="s">
        <v>133</v>
      </c>
      <c r="J587" s="138">
        <v>204</v>
      </c>
      <c r="K587" s="138">
        <v>187771.998246692</v>
      </c>
      <c r="L587" s="138">
        <v>920.45097179750803</v>
      </c>
      <c r="M587" s="138"/>
    </row>
    <row r="588" spans="7:13">
      <c r="G588" s="138" t="s">
        <v>469</v>
      </c>
      <c r="H588" s="138" t="s">
        <v>469</v>
      </c>
      <c r="I588" s="138" t="s">
        <v>150</v>
      </c>
      <c r="J588" s="138">
        <v>60515</v>
      </c>
      <c r="K588" s="138">
        <v>7766765.5600492796</v>
      </c>
      <c r="L588" s="138">
        <v>128.34446930594501</v>
      </c>
      <c r="M588" s="138"/>
    </row>
    <row r="589" spans="7:13">
      <c r="G589" s="138" t="s">
        <v>469</v>
      </c>
      <c r="H589" s="138" t="s">
        <v>469</v>
      </c>
      <c r="I589" s="138" t="s">
        <v>374</v>
      </c>
      <c r="J589" s="138">
        <v>7286</v>
      </c>
      <c r="K589" s="138">
        <v>1027395.20444508</v>
      </c>
      <c r="L589" s="138">
        <v>141.009498276843</v>
      </c>
      <c r="M589" s="138"/>
    </row>
    <row r="590" spans="7:13">
      <c r="G590" s="138" t="s">
        <v>469</v>
      </c>
      <c r="H590" s="138" t="s">
        <v>469</v>
      </c>
      <c r="I590" s="138" t="s">
        <v>375</v>
      </c>
      <c r="J590" s="138">
        <v>595</v>
      </c>
      <c r="K590" s="138">
        <v>135406.937622194</v>
      </c>
      <c r="L590" s="138">
        <v>227.57468507931799</v>
      </c>
      <c r="M590" s="138"/>
    </row>
    <row r="591" spans="7:13">
      <c r="G591" s="138" t="s">
        <v>469</v>
      </c>
      <c r="H591" s="138" t="s">
        <v>469</v>
      </c>
      <c r="I591" s="138" t="s">
        <v>106</v>
      </c>
      <c r="J591" s="138">
        <v>239</v>
      </c>
      <c r="K591" s="138">
        <v>47678.285515527001</v>
      </c>
      <c r="L591" s="138">
        <v>199.49073437459001</v>
      </c>
      <c r="M591" s="138"/>
    </row>
    <row r="592" spans="7:13">
      <c r="G592" s="138" t="s">
        <v>469</v>
      </c>
      <c r="H592" s="138" t="s">
        <v>469</v>
      </c>
      <c r="I592" s="138" t="s">
        <v>854</v>
      </c>
      <c r="J592" s="138">
        <v>100</v>
      </c>
      <c r="K592" s="138">
        <v>14316.6200553902</v>
      </c>
      <c r="L592" s="138">
        <v>143.166200553902</v>
      </c>
      <c r="M592" s="138"/>
    </row>
    <row r="593" spans="7:13">
      <c r="G593" s="138" t="s">
        <v>469</v>
      </c>
      <c r="H593" s="138" t="s">
        <v>469</v>
      </c>
      <c r="I593" s="138" t="s">
        <v>376</v>
      </c>
      <c r="J593" s="138">
        <v>4</v>
      </c>
      <c r="K593" s="138">
        <v>1313.3554885669</v>
      </c>
      <c r="L593" s="138">
        <v>328.33887214172398</v>
      </c>
      <c r="M593" s="138"/>
    </row>
    <row r="594" spans="7:13">
      <c r="G594" s="138" t="s">
        <v>469</v>
      </c>
      <c r="H594" s="138" t="s">
        <v>469</v>
      </c>
      <c r="I594" s="138" t="s">
        <v>669</v>
      </c>
      <c r="J594" s="138">
        <v>27910</v>
      </c>
      <c r="K594" s="138">
        <v>3342397.9061725601</v>
      </c>
      <c r="L594" s="138">
        <v>119.756284707007</v>
      </c>
      <c r="M594" s="138"/>
    </row>
    <row r="595" spans="7:13">
      <c r="G595" s="138" t="s">
        <v>469</v>
      </c>
      <c r="H595" s="138" t="s">
        <v>469</v>
      </c>
      <c r="I595" s="138" t="s">
        <v>806</v>
      </c>
      <c r="J595" s="138">
        <v>14</v>
      </c>
      <c r="K595" s="138">
        <v>1055.6707814782701</v>
      </c>
      <c r="L595" s="138">
        <v>75.405055819876594</v>
      </c>
      <c r="M595" s="138"/>
    </row>
    <row r="596" spans="7:13">
      <c r="G596" s="138" t="s">
        <v>469</v>
      </c>
      <c r="H596" s="138" t="s">
        <v>469</v>
      </c>
      <c r="I596" s="138" t="s">
        <v>928</v>
      </c>
      <c r="J596" s="138">
        <v>1</v>
      </c>
      <c r="K596" s="138">
        <v>349.59481377772897</v>
      </c>
      <c r="L596" s="138">
        <v>349.59481377772897</v>
      </c>
      <c r="M596" s="138"/>
    </row>
    <row r="597" spans="7:13">
      <c r="G597" s="138" t="s">
        <v>469</v>
      </c>
      <c r="H597" s="138" t="s">
        <v>469</v>
      </c>
      <c r="I597" s="138" t="s">
        <v>962</v>
      </c>
      <c r="J597" s="138">
        <v>4</v>
      </c>
      <c r="K597" s="138">
        <v>1867.36654277811</v>
      </c>
      <c r="L597" s="138">
        <v>466.84163569452602</v>
      </c>
      <c r="M597" s="138"/>
    </row>
    <row r="598" spans="7:13">
      <c r="G598" s="138" t="s">
        <v>469</v>
      </c>
      <c r="H598" s="138" t="s">
        <v>469</v>
      </c>
      <c r="I598" s="138" t="s">
        <v>377</v>
      </c>
      <c r="J598" s="138">
        <v>1</v>
      </c>
      <c r="K598" s="138">
        <v>297.716961817173</v>
      </c>
      <c r="L598" s="138">
        <v>297.716961817173</v>
      </c>
      <c r="M598" s="138"/>
    </row>
    <row r="599" spans="7:13">
      <c r="G599" s="138" t="s">
        <v>469</v>
      </c>
      <c r="H599" s="138" t="s">
        <v>469</v>
      </c>
      <c r="I599" s="138" t="s">
        <v>982</v>
      </c>
      <c r="J599" s="138">
        <v>20</v>
      </c>
      <c r="K599" s="138">
        <v>4083.5423803885001</v>
      </c>
      <c r="L599" s="138">
        <v>204.17711901942499</v>
      </c>
      <c r="M599" s="138"/>
    </row>
    <row r="600" spans="7:13">
      <c r="G600" s="138" t="s">
        <v>469</v>
      </c>
      <c r="H600" s="138" t="s">
        <v>469</v>
      </c>
      <c r="I600" s="138" t="s">
        <v>943</v>
      </c>
      <c r="J600" s="138">
        <v>68891</v>
      </c>
      <c r="K600" s="138">
        <v>13912761.7840077</v>
      </c>
      <c r="L600" s="138">
        <v>201.95325636160999</v>
      </c>
      <c r="M600" s="138"/>
    </row>
    <row r="601" spans="7:13">
      <c r="G601" s="138" t="s">
        <v>469</v>
      </c>
      <c r="H601" s="138" t="s">
        <v>469</v>
      </c>
      <c r="I601" s="138" t="s">
        <v>378</v>
      </c>
      <c r="J601" s="138">
        <v>1163</v>
      </c>
      <c r="K601" s="138">
        <v>131339.965229425</v>
      </c>
      <c r="L601" s="138">
        <v>112.932042329686</v>
      </c>
      <c r="M601" s="138"/>
    </row>
    <row r="602" spans="7:13">
      <c r="G602" s="138" t="s">
        <v>469</v>
      </c>
      <c r="H602" s="138" t="s">
        <v>469</v>
      </c>
      <c r="I602" s="138" t="s">
        <v>856</v>
      </c>
      <c r="J602" s="138">
        <v>39</v>
      </c>
      <c r="K602" s="138">
        <v>4929.3801714043002</v>
      </c>
      <c r="L602" s="138">
        <v>126.39436336934099</v>
      </c>
      <c r="M602" s="138"/>
    </row>
    <row r="603" spans="7:13">
      <c r="G603" s="138" t="s">
        <v>469</v>
      </c>
      <c r="H603" s="138" t="s">
        <v>469</v>
      </c>
      <c r="I603" s="138" t="s">
        <v>740</v>
      </c>
      <c r="J603" s="138">
        <v>5</v>
      </c>
      <c r="K603" s="138">
        <v>467.24739241247698</v>
      </c>
      <c r="L603" s="138">
        <v>93.449478482495294</v>
      </c>
      <c r="M603" s="138"/>
    </row>
    <row r="604" spans="7:13">
      <c r="G604" s="138" t="s">
        <v>469</v>
      </c>
      <c r="H604" s="138" t="s">
        <v>469</v>
      </c>
      <c r="I604" s="138" t="s">
        <v>777</v>
      </c>
      <c r="J604" s="138">
        <v>16</v>
      </c>
      <c r="K604" s="138">
        <v>1734.3015657378801</v>
      </c>
      <c r="L604" s="138">
        <v>108.39384785861699</v>
      </c>
      <c r="M604" s="138"/>
    </row>
  </sheetData>
  <autoFilter ref="A3:W422"/>
  <hyperlinks>
    <hyperlink ref="A1" location="Navigation!A1" display="Home"/>
  </hyperlinks>
  <pageMargins left="0.70866141732283472" right="0.70866141732283472" top="0.74803149606299213" bottom="0.74803149606299213" header="0.31496062992125984" footer="0.31496062992125984"/>
  <pageSetup paperSize="9" orientation="portrait" cellComments="atEnd"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151"/>
  <sheetViews>
    <sheetView workbookViewId="0">
      <pane xSplit="1" ySplit="1" topLeftCell="B113" activePane="bottomRight" state="frozen"/>
      <selection pane="topRight" activeCell="B1" sqref="B1"/>
      <selection pane="bottomLeft" activeCell="A2" sqref="A2"/>
      <selection pane="bottomRight"/>
    </sheetView>
  </sheetViews>
  <sheetFormatPr defaultRowHeight="15"/>
  <cols>
    <col min="1" max="1" width="12" customWidth="1"/>
    <col min="2" max="2" width="51.42578125" customWidth="1"/>
  </cols>
  <sheetData>
    <row r="1" spans="1:2" ht="24.75" customHeight="1">
      <c r="A1" s="129" t="s">
        <v>208</v>
      </c>
      <c r="B1" s="130" t="s">
        <v>1089</v>
      </c>
    </row>
    <row r="2" spans="1:2">
      <c r="A2" s="138">
        <v>100</v>
      </c>
      <c r="B2" s="138" t="s">
        <v>1</v>
      </c>
    </row>
    <row r="3" spans="1:2">
      <c r="A3" s="138">
        <v>101</v>
      </c>
      <c r="B3" s="138" t="s">
        <v>2</v>
      </c>
    </row>
    <row r="4" spans="1:2">
      <c r="A4" s="138">
        <v>102</v>
      </c>
      <c r="B4" s="138" t="s">
        <v>253</v>
      </c>
    </row>
    <row r="5" spans="1:2">
      <c r="A5" s="138">
        <v>103</v>
      </c>
      <c r="B5" s="138" t="s">
        <v>3</v>
      </c>
    </row>
    <row r="6" spans="1:2">
      <c r="A6" s="138">
        <v>104</v>
      </c>
      <c r="B6" s="138" t="s">
        <v>4</v>
      </c>
    </row>
    <row r="7" spans="1:2">
      <c r="A7" s="138">
        <v>105</v>
      </c>
      <c r="B7" s="138" t="s">
        <v>56</v>
      </c>
    </row>
    <row r="8" spans="1:2">
      <c r="A8" s="138">
        <v>106</v>
      </c>
      <c r="B8" s="138" t="s">
        <v>5</v>
      </c>
    </row>
    <row r="9" spans="1:2">
      <c r="A9" s="138">
        <v>107</v>
      </c>
      <c r="B9" s="138" t="s">
        <v>6</v>
      </c>
    </row>
    <row r="10" spans="1:2">
      <c r="A10" s="138">
        <v>108</v>
      </c>
      <c r="B10" s="138" t="s">
        <v>57</v>
      </c>
    </row>
    <row r="11" spans="1:2">
      <c r="A11" s="138">
        <v>110</v>
      </c>
      <c r="B11" s="138" t="s">
        <v>7</v>
      </c>
    </row>
    <row r="12" spans="1:2">
      <c r="A12" s="138">
        <v>120</v>
      </c>
      <c r="B12" s="138" t="s">
        <v>8</v>
      </c>
    </row>
    <row r="13" spans="1:2">
      <c r="A13" s="138">
        <v>130</v>
      </c>
      <c r="B13" s="138" t="s">
        <v>9</v>
      </c>
    </row>
    <row r="14" spans="1:2">
      <c r="A14" s="138">
        <v>140</v>
      </c>
      <c r="B14" s="138" t="s">
        <v>10</v>
      </c>
    </row>
    <row r="15" spans="1:2">
      <c r="A15" s="138">
        <v>141</v>
      </c>
      <c r="B15" s="138" t="s">
        <v>254</v>
      </c>
    </row>
    <row r="16" spans="1:2">
      <c r="A16" s="138">
        <v>142</v>
      </c>
      <c r="B16" s="138" t="s">
        <v>255</v>
      </c>
    </row>
    <row r="17" spans="1:2">
      <c r="A17" s="138">
        <v>143</v>
      </c>
      <c r="B17" s="138" t="s">
        <v>11</v>
      </c>
    </row>
    <row r="18" spans="1:2">
      <c r="A18" s="138">
        <v>144</v>
      </c>
      <c r="B18" s="138" t="s">
        <v>12</v>
      </c>
    </row>
    <row r="19" spans="1:2">
      <c r="A19" s="138">
        <v>150</v>
      </c>
      <c r="B19" s="138" t="s">
        <v>256</v>
      </c>
    </row>
    <row r="20" spans="1:2">
      <c r="A20" s="138">
        <v>160</v>
      </c>
      <c r="B20" s="138" t="s">
        <v>13</v>
      </c>
    </row>
    <row r="21" spans="1:2">
      <c r="A21" s="138">
        <v>161</v>
      </c>
      <c r="B21" s="138" t="s">
        <v>257</v>
      </c>
    </row>
    <row r="22" spans="1:2">
      <c r="A22" s="138">
        <v>170</v>
      </c>
      <c r="B22" s="138" t="s">
        <v>14</v>
      </c>
    </row>
    <row r="23" spans="1:2">
      <c r="A23" s="138">
        <v>171</v>
      </c>
      <c r="B23" s="138" t="s">
        <v>15</v>
      </c>
    </row>
    <row r="24" spans="1:2">
      <c r="A24" s="138">
        <v>172</v>
      </c>
      <c r="B24" s="138" t="s">
        <v>16</v>
      </c>
    </row>
    <row r="25" spans="1:2">
      <c r="A25" s="138">
        <v>173</v>
      </c>
      <c r="B25" s="138" t="s">
        <v>17</v>
      </c>
    </row>
    <row r="26" spans="1:2">
      <c r="A26" s="138">
        <v>174</v>
      </c>
      <c r="B26" s="138" t="s">
        <v>1011</v>
      </c>
    </row>
    <row r="27" spans="1:2">
      <c r="A27" s="138">
        <v>180</v>
      </c>
      <c r="B27" s="138" t="s">
        <v>1012</v>
      </c>
    </row>
    <row r="28" spans="1:2">
      <c r="A28" s="138">
        <v>190</v>
      </c>
      <c r="B28" s="138" t="s">
        <v>18</v>
      </c>
    </row>
    <row r="29" spans="1:2">
      <c r="A29" s="138">
        <v>191</v>
      </c>
      <c r="B29" s="138" t="s">
        <v>19</v>
      </c>
    </row>
    <row r="30" spans="1:2">
      <c r="A30" s="138">
        <v>192</v>
      </c>
      <c r="B30" s="138" t="s">
        <v>258</v>
      </c>
    </row>
    <row r="31" spans="1:2">
      <c r="A31" s="138">
        <v>211</v>
      </c>
      <c r="B31" s="138" t="s">
        <v>20</v>
      </c>
    </row>
    <row r="32" spans="1:2">
      <c r="A32" s="138">
        <v>212</v>
      </c>
      <c r="B32" s="138" t="s">
        <v>259</v>
      </c>
    </row>
    <row r="33" spans="1:2">
      <c r="A33" s="138">
        <v>213</v>
      </c>
      <c r="B33" s="138" t="s">
        <v>260</v>
      </c>
    </row>
    <row r="34" spans="1:2">
      <c r="A34" s="138">
        <v>214</v>
      </c>
      <c r="B34" s="138" t="s">
        <v>1013</v>
      </c>
    </row>
    <row r="35" spans="1:2">
      <c r="A35" s="138">
        <v>215</v>
      </c>
      <c r="B35" s="138" t="s">
        <v>1014</v>
      </c>
    </row>
    <row r="36" spans="1:2">
      <c r="A36" s="138">
        <v>216</v>
      </c>
      <c r="B36" s="138" t="s">
        <v>21</v>
      </c>
    </row>
    <row r="37" spans="1:2">
      <c r="A37" s="138">
        <v>217</v>
      </c>
      <c r="B37" s="138" t="s">
        <v>22</v>
      </c>
    </row>
    <row r="38" spans="1:2">
      <c r="A38" s="138">
        <v>218</v>
      </c>
      <c r="B38" s="138" t="s">
        <v>261</v>
      </c>
    </row>
    <row r="39" spans="1:2">
      <c r="A39" s="138">
        <v>219</v>
      </c>
      <c r="B39" s="138" t="s">
        <v>23</v>
      </c>
    </row>
    <row r="40" spans="1:2">
      <c r="A40" s="138">
        <v>220</v>
      </c>
      <c r="B40" s="138" t="s">
        <v>262</v>
      </c>
    </row>
    <row r="41" spans="1:2">
      <c r="A41" s="138">
        <v>221</v>
      </c>
      <c r="B41" s="138" t="s">
        <v>263</v>
      </c>
    </row>
    <row r="42" spans="1:2">
      <c r="A42" s="138">
        <v>222</v>
      </c>
      <c r="B42" s="138" t="s">
        <v>283</v>
      </c>
    </row>
    <row r="43" spans="1:2">
      <c r="A43" s="138">
        <v>223</v>
      </c>
      <c r="B43" s="138" t="s">
        <v>60</v>
      </c>
    </row>
    <row r="44" spans="1:2">
      <c r="A44" s="138">
        <v>241</v>
      </c>
      <c r="B44" s="138" t="s">
        <v>284</v>
      </c>
    </row>
    <row r="45" spans="1:2">
      <c r="A45" s="138">
        <v>242</v>
      </c>
      <c r="B45" s="138" t="s">
        <v>285</v>
      </c>
    </row>
    <row r="46" spans="1:2">
      <c r="A46" s="138">
        <v>251</v>
      </c>
      <c r="B46" s="138" t="s">
        <v>38</v>
      </c>
    </row>
    <row r="47" spans="1:2">
      <c r="A47" s="138">
        <v>252</v>
      </c>
      <c r="B47" s="138" t="s">
        <v>39</v>
      </c>
    </row>
    <row r="48" spans="1:2">
      <c r="A48" s="138">
        <v>253</v>
      </c>
      <c r="B48" s="138" t="s">
        <v>40</v>
      </c>
    </row>
    <row r="49" spans="1:2">
      <c r="A49" s="138">
        <v>254</v>
      </c>
      <c r="B49" s="138" t="s">
        <v>286</v>
      </c>
    </row>
    <row r="50" spans="1:2">
      <c r="A50" s="138">
        <v>255</v>
      </c>
      <c r="B50" s="138" t="s">
        <v>1090</v>
      </c>
    </row>
    <row r="51" spans="1:2">
      <c r="A51" s="138">
        <v>256</v>
      </c>
      <c r="B51" s="138" t="s">
        <v>287</v>
      </c>
    </row>
    <row r="52" spans="1:2">
      <c r="A52" s="138">
        <v>257</v>
      </c>
      <c r="B52" s="138" t="s">
        <v>41</v>
      </c>
    </row>
    <row r="53" spans="1:2">
      <c r="A53" s="138">
        <v>258</v>
      </c>
      <c r="B53" s="138" t="s">
        <v>42</v>
      </c>
    </row>
    <row r="54" spans="1:2">
      <c r="A54" s="138">
        <v>259</v>
      </c>
      <c r="B54" s="138" t="s">
        <v>288</v>
      </c>
    </row>
    <row r="55" spans="1:2">
      <c r="A55" s="138">
        <v>260</v>
      </c>
      <c r="B55" s="138" t="s">
        <v>289</v>
      </c>
    </row>
    <row r="56" spans="1:2">
      <c r="A56" s="138">
        <v>261</v>
      </c>
      <c r="B56" s="138" t="s">
        <v>290</v>
      </c>
    </row>
    <row r="57" spans="1:2">
      <c r="A57" s="138">
        <v>262</v>
      </c>
      <c r="B57" s="138" t="s">
        <v>291</v>
      </c>
    </row>
    <row r="58" spans="1:2">
      <c r="A58" s="138">
        <v>263</v>
      </c>
      <c r="B58" s="138" t="s">
        <v>61</v>
      </c>
    </row>
    <row r="59" spans="1:2">
      <c r="A59" s="138">
        <v>280</v>
      </c>
      <c r="B59" s="138" t="s">
        <v>1015</v>
      </c>
    </row>
    <row r="60" spans="1:2">
      <c r="A60" s="138">
        <v>290</v>
      </c>
      <c r="B60" s="138" t="s">
        <v>1075</v>
      </c>
    </row>
    <row r="61" spans="1:2">
      <c r="A61" s="138">
        <v>291</v>
      </c>
      <c r="B61" s="138" t="s">
        <v>292</v>
      </c>
    </row>
    <row r="62" spans="1:2">
      <c r="A62" s="138">
        <v>300</v>
      </c>
      <c r="B62" s="138" t="s">
        <v>43</v>
      </c>
    </row>
    <row r="63" spans="1:2">
      <c r="A63" s="138">
        <v>301</v>
      </c>
      <c r="B63" s="138" t="s">
        <v>44</v>
      </c>
    </row>
    <row r="64" spans="1:2">
      <c r="A64" s="138">
        <v>302</v>
      </c>
      <c r="B64" s="138" t="s">
        <v>45</v>
      </c>
    </row>
    <row r="65" spans="1:2">
      <c r="A65" s="138">
        <v>303</v>
      </c>
      <c r="B65" s="138" t="s">
        <v>46</v>
      </c>
    </row>
    <row r="66" spans="1:2">
      <c r="A66" s="138">
        <v>304</v>
      </c>
      <c r="B66" s="138" t="s">
        <v>293</v>
      </c>
    </row>
    <row r="67" spans="1:2">
      <c r="A67" s="138">
        <v>305</v>
      </c>
      <c r="B67" s="138" t="s">
        <v>294</v>
      </c>
    </row>
    <row r="68" spans="1:2">
      <c r="A68" s="138">
        <v>306</v>
      </c>
      <c r="B68" s="138" t="s">
        <v>47</v>
      </c>
    </row>
    <row r="69" spans="1:2">
      <c r="A69" s="138">
        <v>307</v>
      </c>
      <c r="B69" s="138" t="s">
        <v>48</v>
      </c>
    </row>
    <row r="70" spans="1:2">
      <c r="A70" s="138">
        <v>308</v>
      </c>
      <c r="B70" s="138" t="s">
        <v>1091</v>
      </c>
    </row>
    <row r="71" spans="1:2">
      <c r="A71" s="138">
        <v>309</v>
      </c>
      <c r="B71" s="138" t="s">
        <v>1092</v>
      </c>
    </row>
    <row r="72" spans="1:2">
      <c r="A72" s="138">
        <v>310</v>
      </c>
      <c r="B72" s="138" t="s">
        <v>295</v>
      </c>
    </row>
    <row r="73" spans="1:2">
      <c r="A73" s="138">
        <v>311</v>
      </c>
      <c r="B73" s="138" t="s">
        <v>264</v>
      </c>
    </row>
    <row r="74" spans="1:2">
      <c r="A74" s="138">
        <v>313</v>
      </c>
      <c r="B74" s="138" t="s">
        <v>1093</v>
      </c>
    </row>
    <row r="75" spans="1:2">
      <c r="A75" s="138">
        <v>314</v>
      </c>
      <c r="B75" s="138" t="s">
        <v>1094</v>
      </c>
    </row>
    <row r="76" spans="1:2">
      <c r="A76" s="138">
        <v>315</v>
      </c>
      <c r="B76" s="138" t="s">
        <v>265</v>
      </c>
    </row>
    <row r="77" spans="1:2">
      <c r="A77" s="138">
        <v>316</v>
      </c>
      <c r="B77" s="138" t="s">
        <v>266</v>
      </c>
    </row>
    <row r="78" spans="1:2">
      <c r="A78" s="138">
        <v>317</v>
      </c>
      <c r="B78" s="138" t="s">
        <v>1095</v>
      </c>
    </row>
    <row r="79" spans="1:2">
      <c r="A79" s="138">
        <v>318</v>
      </c>
      <c r="B79" s="138" t="s">
        <v>1016</v>
      </c>
    </row>
    <row r="80" spans="1:2">
      <c r="A80" s="138">
        <v>319</v>
      </c>
      <c r="B80" s="138" t="s">
        <v>1077</v>
      </c>
    </row>
    <row r="81" spans="1:2">
      <c r="A81" s="138">
        <v>320</v>
      </c>
      <c r="B81" s="138" t="s">
        <v>24</v>
      </c>
    </row>
    <row r="82" spans="1:2">
      <c r="A82" s="138">
        <v>321</v>
      </c>
      <c r="B82" s="138" t="s">
        <v>25</v>
      </c>
    </row>
    <row r="83" spans="1:2">
      <c r="A83" s="138">
        <v>322</v>
      </c>
      <c r="B83" s="138" t="s">
        <v>267</v>
      </c>
    </row>
    <row r="84" spans="1:2">
      <c r="A84" s="138">
        <v>323</v>
      </c>
      <c r="B84" s="138" t="s">
        <v>268</v>
      </c>
    </row>
    <row r="85" spans="1:2">
      <c r="A85" s="138">
        <v>324</v>
      </c>
      <c r="B85" s="138" t="s">
        <v>269</v>
      </c>
    </row>
    <row r="86" spans="1:2">
      <c r="A86" s="138">
        <v>325</v>
      </c>
      <c r="B86" s="138" t="s">
        <v>1096</v>
      </c>
    </row>
    <row r="87" spans="1:2">
      <c r="A87" s="138">
        <v>327</v>
      </c>
      <c r="B87" s="138" t="s">
        <v>1017</v>
      </c>
    </row>
    <row r="88" spans="1:2">
      <c r="A88" s="138">
        <v>328</v>
      </c>
      <c r="B88" s="138" t="s">
        <v>1018</v>
      </c>
    </row>
    <row r="89" spans="1:2">
      <c r="A89" s="138">
        <v>329</v>
      </c>
      <c r="B89" s="138" t="s">
        <v>62</v>
      </c>
    </row>
    <row r="90" spans="1:2">
      <c r="A90" s="138">
        <v>330</v>
      </c>
      <c r="B90" s="138" t="s">
        <v>26</v>
      </c>
    </row>
    <row r="91" spans="1:2">
      <c r="A91" s="138">
        <v>331</v>
      </c>
      <c r="B91" s="138" t="s">
        <v>1019</v>
      </c>
    </row>
    <row r="92" spans="1:2">
      <c r="A92" s="138">
        <v>340</v>
      </c>
      <c r="B92" s="138" t="s">
        <v>27</v>
      </c>
    </row>
    <row r="93" spans="1:2">
      <c r="A93" s="138">
        <v>341</v>
      </c>
      <c r="B93" s="138" t="s">
        <v>64</v>
      </c>
    </row>
    <row r="94" spans="1:2">
      <c r="A94" s="138">
        <v>342</v>
      </c>
      <c r="B94" s="138" t="s">
        <v>1020</v>
      </c>
    </row>
    <row r="95" spans="1:2">
      <c r="A95" s="138">
        <v>344</v>
      </c>
      <c r="B95" s="138" t="s">
        <v>1078</v>
      </c>
    </row>
    <row r="96" spans="1:2">
      <c r="A96" s="138">
        <v>345</v>
      </c>
      <c r="B96" s="138" t="s">
        <v>1079</v>
      </c>
    </row>
    <row r="97" spans="1:2">
      <c r="A97" s="138">
        <v>346</v>
      </c>
      <c r="B97" s="138" t="s">
        <v>1021</v>
      </c>
    </row>
    <row r="98" spans="1:2">
      <c r="A98" s="138">
        <v>350</v>
      </c>
      <c r="B98" s="138" t="s">
        <v>28</v>
      </c>
    </row>
    <row r="99" spans="1:2">
      <c r="A99" s="138">
        <v>352</v>
      </c>
      <c r="B99" s="138" t="s">
        <v>270</v>
      </c>
    </row>
    <row r="100" spans="1:2">
      <c r="A100" s="138">
        <v>360</v>
      </c>
      <c r="B100" s="138" t="s">
        <v>1022</v>
      </c>
    </row>
    <row r="101" spans="1:2">
      <c r="A101" s="138">
        <v>361</v>
      </c>
      <c r="B101" s="138" t="s">
        <v>29</v>
      </c>
    </row>
    <row r="102" spans="1:2">
      <c r="A102" s="138">
        <v>370</v>
      </c>
      <c r="B102" s="138" t="s">
        <v>30</v>
      </c>
    </row>
    <row r="103" spans="1:2">
      <c r="A103" s="138">
        <v>371</v>
      </c>
      <c r="B103" s="138" t="s">
        <v>272</v>
      </c>
    </row>
    <row r="104" spans="1:2">
      <c r="A104" s="138">
        <v>400</v>
      </c>
      <c r="B104" s="138" t="s">
        <v>273</v>
      </c>
    </row>
    <row r="105" spans="1:2">
      <c r="A105" s="138">
        <v>401</v>
      </c>
      <c r="B105" s="138" t="s">
        <v>1097</v>
      </c>
    </row>
    <row r="106" spans="1:2">
      <c r="A106" s="138">
        <v>410</v>
      </c>
      <c r="B106" s="138" t="s">
        <v>31</v>
      </c>
    </row>
    <row r="107" spans="1:2">
      <c r="A107" s="138">
        <v>420</v>
      </c>
      <c r="B107" s="138" t="s">
        <v>32</v>
      </c>
    </row>
    <row r="108" spans="1:2">
      <c r="A108" s="138">
        <v>421</v>
      </c>
      <c r="B108" s="138" t="s">
        <v>274</v>
      </c>
    </row>
    <row r="109" spans="1:2">
      <c r="A109" s="138">
        <v>422</v>
      </c>
      <c r="B109" s="138" t="s">
        <v>275</v>
      </c>
    </row>
    <row r="110" spans="1:2">
      <c r="A110" s="138">
        <v>430</v>
      </c>
      <c r="B110" s="138" t="s">
        <v>33</v>
      </c>
    </row>
    <row r="111" spans="1:2">
      <c r="A111" s="138">
        <v>450</v>
      </c>
      <c r="B111" s="138" t="s">
        <v>276</v>
      </c>
    </row>
    <row r="112" spans="1:2">
      <c r="A112" s="138">
        <v>460</v>
      </c>
      <c r="B112" s="138" t="s">
        <v>277</v>
      </c>
    </row>
    <row r="113" spans="1:2">
      <c r="A113" s="138">
        <v>501</v>
      </c>
      <c r="B113" s="138" t="s">
        <v>278</v>
      </c>
    </row>
    <row r="114" spans="1:2">
      <c r="A114" s="138">
        <v>502</v>
      </c>
      <c r="B114" s="138" t="s">
        <v>34</v>
      </c>
    </row>
    <row r="115" spans="1:2">
      <c r="A115" s="138">
        <v>503</v>
      </c>
      <c r="B115" s="138" t="s">
        <v>35</v>
      </c>
    </row>
    <row r="116" spans="1:2">
      <c r="A116" s="138">
        <v>560</v>
      </c>
      <c r="B116" s="138" t="s">
        <v>1098</v>
      </c>
    </row>
    <row r="117" spans="1:2">
      <c r="A117" s="138">
        <v>650</v>
      </c>
      <c r="B117" s="138" t="s">
        <v>1023</v>
      </c>
    </row>
    <row r="118" spans="1:2">
      <c r="A118" s="138">
        <v>651</v>
      </c>
      <c r="B118" s="138" t="s">
        <v>1024</v>
      </c>
    </row>
    <row r="119" spans="1:2">
      <c r="A119" s="138">
        <v>652</v>
      </c>
      <c r="B119" s="138" t="s">
        <v>1025</v>
      </c>
    </row>
    <row r="120" spans="1:2">
      <c r="A120" s="138">
        <v>653</v>
      </c>
      <c r="B120" s="138" t="s">
        <v>279</v>
      </c>
    </row>
    <row r="121" spans="1:2">
      <c r="A121" s="138">
        <v>654</v>
      </c>
      <c r="B121" s="138" t="s">
        <v>1026</v>
      </c>
    </row>
    <row r="122" spans="1:2">
      <c r="A122" s="138">
        <v>655</v>
      </c>
      <c r="B122" s="138" t="s">
        <v>280</v>
      </c>
    </row>
    <row r="123" spans="1:2">
      <c r="A123" s="138">
        <v>656</v>
      </c>
      <c r="B123" s="138" t="s">
        <v>1027</v>
      </c>
    </row>
    <row r="124" spans="1:2">
      <c r="A124" s="138">
        <v>657</v>
      </c>
      <c r="B124" s="138" t="s">
        <v>1028</v>
      </c>
    </row>
    <row r="125" spans="1:2">
      <c r="A125" s="138">
        <v>658</v>
      </c>
      <c r="B125" s="138" t="s">
        <v>1029</v>
      </c>
    </row>
    <row r="126" spans="1:2">
      <c r="A126" s="138">
        <v>659</v>
      </c>
      <c r="B126" s="138" t="s">
        <v>1080</v>
      </c>
    </row>
    <row r="127" spans="1:2">
      <c r="A127" s="138">
        <v>660</v>
      </c>
      <c r="B127" s="138" t="s">
        <v>1081</v>
      </c>
    </row>
    <row r="128" spans="1:2">
      <c r="A128" s="138">
        <v>661</v>
      </c>
      <c r="B128" s="138" t="s">
        <v>1082</v>
      </c>
    </row>
    <row r="129" spans="1:2">
      <c r="A129" s="138">
        <v>662</v>
      </c>
      <c r="B129" s="138" t="s">
        <v>1030</v>
      </c>
    </row>
    <row r="130" spans="1:2">
      <c r="A130" s="138">
        <v>663</v>
      </c>
      <c r="B130" s="138" t="s">
        <v>1031</v>
      </c>
    </row>
    <row r="131" spans="1:2">
      <c r="A131" s="138">
        <v>710</v>
      </c>
      <c r="B131" s="138" t="s">
        <v>1032</v>
      </c>
    </row>
    <row r="132" spans="1:2">
      <c r="A132" s="138">
        <v>711</v>
      </c>
      <c r="B132" s="138" t="s">
        <v>1033</v>
      </c>
    </row>
    <row r="133" spans="1:2">
      <c r="A133" s="138">
        <v>712</v>
      </c>
      <c r="B133" s="138" t="s">
        <v>1034</v>
      </c>
    </row>
    <row r="134" spans="1:2">
      <c r="A134" s="138">
        <v>713</v>
      </c>
      <c r="B134" s="138" t="s">
        <v>1035</v>
      </c>
    </row>
    <row r="135" spans="1:2">
      <c r="A135" s="138">
        <v>715</v>
      </c>
      <c r="B135" s="138" t="s">
        <v>1036</v>
      </c>
    </row>
    <row r="136" spans="1:2">
      <c r="A136" s="138">
        <v>720</v>
      </c>
      <c r="B136" s="138" t="s">
        <v>1083</v>
      </c>
    </row>
    <row r="137" spans="1:2">
      <c r="A137" s="138">
        <v>721</v>
      </c>
      <c r="B137" s="138" t="s">
        <v>1037</v>
      </c>
    </row>
    <row r="138" spans="1:2">
      <c r="A138" s="138">
        <v>722</v>
      </c>
      <c r="B138" s="138" t="s">
        <v>1038</v>
      </c>
    </row>
    <row r="139" spans="1:2">
      <c r="A139" s="138">
        <v>723</v>
      </c>
      <c r="B139" s="138" t="s">
        <v>1084</v>
      </c>
    </row>
    <row r="140" spans="1:2">
      <c r="A140" s="138">
        <v>724</v>
      </c>
      <c r="B140" s="138" t="s">
        <v>1085</v>
      </c>
    </row>
    <row r="141" spans="1:2">
      <c r="A141" s="138">
        <v>725</v>
      </c>
      <c r="B141" s="138" t="s">
        <v>1086</v>
      </c>
    </row>
    <row r="142" spans="1:2">
      <c r="A142" s="138">
        <v>726</v>
      </c>
      <c r="B142" s="138" t="s">
        <v>1087</v>
      </c>
    </row>
    <row r="143" spans="1:2">
      <c r="A143" s="138">
        <v>727</v>
      </c>
      <c r="B143" s="138" t="s">
        <v>1088</v>
      </c>
    </row>
    <row r="144" spans="1:2">
      <c r="A144" s="138">
        <v>800</v>
      </c>
      <c r="B144" s="138" t="s">
        <v>1099</v>
      </c>
    </row>
    <row r="145" spans="1:2">
      <c r="A145" s="138">
        <v>811</v>
      </c>
      <c r="B145" s="138" t="s">
        <v>1039</v>
      </c>
    </row>
    <row r="146" spans="1:2">
      <c r="A146" s="138">
        <v>812</v>
      </c>
      <c r="B146" s="138" t="s">
        <v>37</v>
      </c>
    </row>
    <row r="147" spans="1:2">
      <c r="A147" s="138">
        <v>822</v>
      </c>
      <c r="B147" s="138" t="s">
        <v>281</v>
      </c>
    </row>
    <row r="148" spans="1:2">
      <c r="A148" s="138">
        <v>834</v>
      </c>
      <c r="B148" s="138" t="s">
        <v>1040</v>
      </c>
    </row>
    <row r="149" spans="1:2">
      <c r="A149" s="138">
        <v>840</v>
      </c>
      <c r="B149" s="138" t="s">
        <v>282</v>
      </c>
    </row>
    <row r="150" spans="1:2">
      <c r="A150" s="412">
        <v>920</v>
      </c>
      <c r="B150" s="413" t="s">
        <v>1041</v>
      </c>
    </row>
    <row r="151" spans="1:2">
      <c r="A151" s="138">
        <v>999</v>
      </c>
      <c r="B151" s="138" t="s">
        <v>1076</v>
      </c>
    </row>
  </sheetData>
  <sortState ref="A2:B141">
    <sortCondition ref="A2"/>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T158"/>
  <sheetViews>
    <sheetView showGridLines="0" zoomScale="90" zoomScaleNormal="90" workbookViewId="0"/>
  </sheetViews>
  <sheetFormatPr defaultColWidth="9.140625" defaultRowHeight="15"/>
  <cols>
    <col min="1" max="1" width="9.140625" style="89"/>
    <col min="2" max="2" width="59.140625" style="89" customWidth="1"/>
    <col min="3" max="6" width="12.7109375" style="89" customWidth="1"/>
    <col min="7" max="7" width="21.7109375" style="89" bestFit="1" customWidth="1"/>
    <col min="8" max="8" width="26" style="541" customWidth="1"/>
    <col min="9" max="9" width="24.7109375" style="89" customWidth="1"/>
    <col min="10" max="10" width="24.42578125" style="5" customWidth="1"/>
    <col min="11" max="11" width="18.140625" style="89" customWidth="1"/>
    <col min="12" max="12" width="17" style="89" customWidth="1"/>
    <col min="13" max="13" width="19.140625" style="89" customWidth="1"/>
    <col min="14" max="14" width="14.7109375" style="89" customWidth="1"/>
    <col min="15" max="15" width="10.140625" style="89" customWidth="1"/>
    <col min="16" max="16" width="9.140625" style="89"/>
    <col min="17" max="17" width="10.140625" style="89" customWidth="1"/>
    <col min="18" max="18" width="12.140625" style="89" bestFit="1" customWidth="1"/>
    <col min="19" max="19" width="23.7109375" style="89" bestFit="1" customWidth="1"/>
    <col min="20" max="16384" width="9.140625" style="89"/>
  </cols>
  <sheetData>
    <row r="1" spans="2:20" ht="16.5" customHeight="1" thickBot="1">
      <c r="C1" s="54"/>
    </row>
    <row r="2" spans="2:20" ht="28.5" customHeight="1" thickBot="1">
      <c r="B2" s="569" t="s">
        <v>604</v>
      </c>
      <c r="C2" s="570"/>
      <c r="D2" s="570"/>
      <c r="E2" s="570"/>
      <c r="F2" s="570"/>
      <c r="G2" s="571"/>
      <c r="H2" s="542"/>
      <c r="K2" s="54"/>
      <c r="L2" s="54"/>
    </row>
    <row r="3" spans="2:20" ht="36" customHeight="1" thickBot="1">
      <c r="B3" s="92" t="s">
        <v>456</v>
      </c>
      <c r="C3" s="50" t="s">
        <v>392</v>
      </c>
      <c r="D3" s="50" t="s">
        <v>393</v>
      </c>
      <c r="E3" s="50" t="s">
        <v>394</v>
      </c>
      <c r="F3" s="50" t="s">
        <v>605</v>
      </c>
      <c r="G3" s="93" t="s">
        <v>606</v>
      </c>
      <c r="H3" s="543"/>
      <c r="K3" s="54"/>
      <c r="L3" s="54"/>
    </row>
    <row r="4" spans="2:20" ht="15.75" customHeight="1">
      <c r="B4" s="94" t="s">
        <v>395</v>
      </c>
      <c r="C4" s="95">
        <v>2.7E-2</v>
      </c>
      <c r="D4" s="95">
        <v>2.5000000000000001E-2</v>
      </c>
      <c r="E4" s="96">
        <v>1.92529689878824E-2</v>
      </c>
      <c r="F4" s="96">
        <v>0</v>
      </c>
      <c r="G4" s="546">
        <f>(D4+1)*(E4+1)-1</f>
        <v>4.4734293212579379E-2</v>
      </c>
      <c r="H4" s="544"/>
      <c r="K4" s="54"/>
    </row>
    <row r="5" spans="2:20" ht="15.75" customHeight="1">
      <c r="B5" s="97" t="s">
        <v>457</v>
      </c>
      <c r="C5" s="547">
        <v>-0.04</v>
      </c>
      <c r="D5" s="547">
        <v>-0.04</v>
      </c>
      <c r="E5" s="548">
        <v>-3.5000000000000003E-2</v>
      </c>
      <c r="F5" s="548">
        <v>0</v>
      </c>
      <c r="G5" s="549">
        <f>(D5+1)*(E5+1)-1</f>
        <v>-7.360000000000011E-2</v>
      </c>
      <c r="H5" s="544"/>
      <c r="K5" s="54"/>
    </row>
    <row r="6" spans="2:20" ht="15.75" customHeight="1" thickBot="1">
      <c r="B6" s="98" t="s">
        <v>458</v>
      </c>
      <c r="C6" s="99">
        <f t="shared" ref="C6:D6" si="0">SUM(C4:C5)</f>
        <v>-1.3000000000000001E-2</v>
      </c>
      <c r="D6" s="99">
        <f t="shared" si="0"/>
        <v>-1.4999999999999999E-2</v>
      </c>
      <c r="E6" s="99">
        <f>(1+E4)*(1+E5)-1</f>
        <v>-1.6420884926693469E-2</v>
      </c>
      <c r="F6" s="99">
        <f>(1+F4)*(1+F5)-1</f>
        <v>0</v>
      </c>
      <c r="G6" s="550">
        <f>(1+D6)*(1+E6)-1</f>
        <v>-3.1174571652793026E-2</v>
      </c>
      <c r="H6" s="544"/>
      <c r="K6" s="54"/>
    </row>
    <row r="7" spans="2:20" ht="15.75" thickBot="1">
      <c r="B7" s="49" t="s">
        <v>607</v>
      </c>
      <c r="I7" s="5"/>
      <c r="J7" s="100" t="s">
        <v>608</v>
      </c>
      <c r="K7" s="54"/>
      <c r="L7" s="54"/>
      <c r="M7" s="54"/>
      <c r="N7" s="54"/>
      <c r="O7" s="54"/>
      <c r="P7" s="54"/>
      <c r="Q7" s="54"/>
      <c r="R7" s="54"/>
      <c r="S7" s="54"/>
    </row>
    <row r="8" spans="2:20" ht="15.75" thickBot="1">
      <c r="B8" s="49" t="s">
        <v>1630</v>
      </c>
      <c r="I8" s="5"/>
      <c r="J8" s="125">
        <v>0.92069552180742797</v>
      </c>
      <c r="K8" s="54"/>
      <c r="L8" s="54"/>
      <c r="M8" s="54"/>
      <c r="N8" s="54"/>
      <c r="O8" s="54"/>
      <c r="P8" s="54"/>
      <c r="Q8" s="54"/>
      <c r="R8" s="54"/>
      <c r="S8" s="54"/>
    </row>
    <row r="9" spans="2:20" ht="15.75" thickBot="1">
      <c r="K9" s="54"/>
      <c r="L9" s="54"/>
      <c r="M9" s="54"/>
      <c r="N9" s="54"/>
      <c r="O9" s="54"/>
      <c r="P9" s="54"/>
      <c r="Q9" s="54"/>
      <c r="R9" s="54"/>
      <c r="S9" s="54"/>
      <c r="T9" s="54"/>
    </row>
    <row r="10" spans="2:20" s="5" customFormat="1" ht="39" customHeight="1" thickBot="1">
      <c r="B10" s="572" t="s">
        <v>609</v>
      </c>
      <c r="C10" s="573"/>
      <c r="D10" s="573"/>
      <c r="E10" s="573"/>
      <c r="F10" s="573"/>
      <c r="G10" s="574"/>
      <c r="H10" s="542"/>
      <c r="J10" s="563" t="s">
        <v>610</v>
      </c>
      <c r="K10" s="564"/>
      <c r="L10" s="564"/>
      <c r="M10" s="565"/>
      <c r="N10" s="101"/>
    </row>
    <row r="11" spans="2:20" ht="51" customHeight="1" thickBot="1">
      <c r="B11" s="50" t="s">
        <v>398</v>
      </c>
      <c r="C11" s="48" t="s">
        <v>392</v>
      </c>
      <c r="D11" s="48" t="s">
        <v>393</v>
      </c>
      <c r="E11" s="48" t="s">
        <v>394</v>
      </c>
      <c r="F11" s="48" t="s">
        <v>605</v>
      </c>
      <c r="G11" s="93" t="s">
        <v>606</v>
      </c>
      <c r="H11" s="543"/>
      <c r="J11" s="102" t="s">
        <v>398</v>
      </c>
      <c r="K11" s="102" t="s">
        <v>611</v>
      </c>
      <c r="L11" s="102" t="s">
        <v>612</v>
      </c>
      <c r="M11" s="102" t="s">
        <v>613</v>
      </c>
    </row>
    <row r="12" spans="2:20" ht="15" customHeight="1">
      <c r="B12" s="103" t="s">
        <v>399</v>
      </c>
      <c r="C12" s="104">
        <v>2.7120600000000001E-3</v>
      </c>
      <c r="D12" s="104">
        <v>4.0331200000000003E-3</v>
      </c>
      <c r="E12" s="104">
        <v>1.0177220000000001E-2</v>
      </c>
      <c r="F12" s="104">
        <v>0</v>
      </c>
      <c r="G12" s="107">
        <f>(1+D12)*(1+E12)-1</f>
        <v>1.4251385949526352E-2</v>
      </c>
      <c r="H12" s="544"/>
      <c r="J12" s="121" t="s">
        <v>399</v>
      </c>
      <c r="K12" s="104">
        <v>-8.3152173705125492E-3</v>
      </c>
      <c r="L12" s="106">
        <v>-8.6960261588458376E-2</v>
      </c>
      <c r="M12" s="107"/>
    </row>
    <row r="13" spans="2:20" ht="14.45" customHeight="1">
      <c r="B13" s="108" t="s">
        <v>400</v>
      </c>
      <c r="C13" s="551">
        <v>4.6639100000000003E-3</v>
      </c>
      <c r="D13" s="551">
        <v>2.5168999999999999E-3</v>
      </c>
      <c r="E13" s="551">
        <v>6.6765899999999996E-3</v>
      </c>
      <c r="F13" s="551">
        <v>0</v>
      </c>
      <c r="G13" s="552">
        <f t="shared" ref="G13:G76" si="1">(1+D13)*(1+E13)-1</f>
        <v>9.2102943093710365E-3</v>
      </c>
      <c r="H13" s="544"/>
      <c r="J13" s="105" t="s">
        <v>400</v>
      </c>
      <c r="K13" s="104">
        <v>-8.3152173705125492E-3</v>
      </c>
      <c r="L13" s="106">
        <v>-8.6960261588458376E-2</v>
      </c>
      <c r="M13" s="107"/>
    </row>
    <row r="14" spans="2:20" ht="14.45" customHeight="1">
      <c r="B14" s="109" t="s">
        <v>401</v>
      </c>
      <c r="C14" s="551">
        <v>1.71356E-3</v>
      </c>
      <c r="D14" s="551">
        <v>2.29656E-3</v>
      </c>
      <c r="E14" s="551">
        <v>1.0261259999999999E-2</v>
      </c>
      <c r="F14" s="551">
        <v>0</v>
      </c>
      <c r="G14" s="552">
        <f t="shared" si="1"/>
        <v>1.2581385599265582E-2</v>
      </c>
      <c r="H14" s="544"/>
      <c r="J14" s="121" t="s">
        <v>401</v>
      </c>
      <c r="K14" s="104">
        <v>-8.3152173705125492E-3</v>
      </c>
      <c r="L14" s="106">
        <v>-8.6960261588458376E-2</v>
      </c>
      <c r="M14" s="107"/>
    </row>
    <row r="15" spans="2:20" ht="14.45" customHeight="1">
      <c r="B15" s="108" t="s">
        <v>621</v>
      </c>
      <c r="C15" s="551">
        <v>0</v>
      </c>
      <c r="D15" s="551">
        <v>0</v>
      </c>
      <c r="E15" s="551">
        <v>0</v>
      </c>
      <c r="F15" s="551">
        <v>0</v>
      </c>
      <c r="G15" s="552">
        <f t="shared" si="1"/>
        <v>0</v>
      </c>
      <c r="H15" s="544"/>
      <c r="J15" s="105" t="s">
        <v>621</v>
      </c>
      <c r="K15" s="104">
        <v>-8.3152173705125492E-3</v>
      </c>
      <c r="L15" s="106">
        <v>-8.6960261588458376E-2</v>
      </c>
      <c r="M15" s="107"/>
    </row>
    <row r="16" spans="2:20" ht="14.45" customHeight="1">
      <c r="B16" s="109" t="s">
        <v>622</v>
      </c>
      <c r="C16" s="551">
        <v>0</v>
      </c>
      <c r="D16" s="551">
        <v>0</v>
      </c>
      <c r="E16" s="551">
        <v>0</v>
      </c>
      <c r="F16" s="551">
        <v>0</v>
      </c>
      <c r="G16" s="552">
        <f t="shared" si="1"/>
        <v>0</v>
      </c>
      <c r="H16" s="544"/>
      <c r="J16" s="121" t="s">
        <v>622</v>
      </c>
      <c r="K16" s="104">
        <v>-8.3152173705125492E-3</v>
      </c>
      <c r="L16" s="106">
        <v>-8.6960261588458376E-2</v>
      </c>
      <c r="M16" s="107"/>
    </row>
    <row r="17" spans="2:13" ht="14.45" customHeight="1">
      <c r="B17" s="108" t="s">
        <v>623</v>
      </c>
      <c r="C17" s="551">
        <v>0</v>
      </c>
      <c r="D17" s="551">
        <v>0</v>
      </c>
      <c r="E17" s="551">
        <v>0</v>
      </c>
      <c r="F17" s="551">
        <v>0</v>
      </c>
      <c r="G17" s="552">
        <f t="shared" si="1"/>
        <v>0</v>
      </c>
      <c r="H17" s="544"/>
      <c r="J17" s="105" t="s">
        <v>623</v>
      </c>
      <c r="K17" s="104">
        <v>-8.3152173705125492E-3</v>
      </c>
      <c r="L17" s="106">
        <v>-8.6960261588458376E-2</v>
      </c>
      <c r="M17" s="107"/>
    </row>
    <row r="18" spans="2:13" ht="14.45" customHeight="1">
      <c r="B18" s="108" t="s">
        <v>402</v>
      </c>
      <c r="C18" s="551">
        <v>2.0988299999999999E-3</v>
      </c>
      <c r="D18" s="551">
        <v>1.128E-5</v>
      </c>
      <c r="E18" s="551">
        <v>1.97934E-3</v>
      </c>
      <c r="F18" s="551">
        <v>0</v>
      </c>
      <c r="G18" s="552">
        <f t="shared" si="1"/>
        <v>1.9906423269553386E-3</v>
      </c>
      <c r="H18" s="544"/>
      <c r="J18" s="105" t="s">
        <v>402</v>
      </c>
      <c r="K18" s="104">
        <v>-8.3152173705125492E-3</v>
      </c>
      <c r="L18" s="106">
        <v>-8.6960261588458376E-2</v>
      </c>
      <c r="M18" s="107"/>
    </row>
    <row r="19" spans="2:13" ht="14.45" customHeight="1">
      <c r="B19" s="108" t="s">
        <v>403</v>
      </c>
      <c r="C19" s="551">
        <v>6.8376000000000005E-4</v>
      </c>
      <c r="D19" s="551">
        <v>8.7018999999999996E-4</v>
      </c>
      <c r="E19" s="551">
        <v>3.78956E-3</v>
      </c>
      <c r="F19" s="551">
        <v>0</v>
      </c>
      <c r="G19" s="552">
        <f t="shared" si="1"/>
        <v>4.6630476372164775E-3</v>
      </c>
      <c r="H19" s="544"/>
      <c r="J19" s="105" t="s">
        <v>403</v>
      </c>
      <c r="K19" s="104">
        <v>-8.3152173705125492E-3</v>
      </c>
      <c r="L19" s="106">
        <v>-8.6960261588458376E-2</v>
      </c>
      <c r="M19" s="107"/>
    </row>
    <row r="20" spans="2:13" ht="14.45" customHeight="1">
      <c r="B20" s="108" t="s">
        <v>404</v>
      </c>
      <c r="C20" s="551">
        <v>9.0147000000000003E-4</v>
      </c>
      <c r="D20" s="551">
        <v>7.2782000000000001E-4</v>
      </c>
      <c r="E20" s="551">
        <v>2.8193300000000001E-3</v>
      </c>
      <c r="F20" s="551">
        <v>0</v>
      </c>
      <c r="G20" s="552">
        <f t="shared" si="1"/>
        <v>3.5492019647604955E-3</v>
      </c>
      <c r="H20" s="544"/>
      <c r="J20" s="105" t="s">
        <v>404</v>
      </c>
      <c r="K20" s="104">
        <v>-8.3152173705125492E-3</v>
      </c>
      <c r="L20" s="106">
        <v>-8.6960261588458376E-2</v>
      </c>
      <c r="M20" s="107"/>
    </row>
    <row r="21" spans="2:13" ht="14.45" customHeight="1">
      <c r="B21" s="108" t="s">
        <v>624</v>
      </c>
      <c r="C21" s="551">
        <v>0</v>
      </c>
      <c r="D21" s="551">
        <v>0</v>
      </c>
      <c r="E21" s="551">
        <v>0</v>
      </c>
      <c r="F21" s="551">
        <v>0</v>
      </c>
      <c r="G21" s="552">
        <f t="shared" si="1"/>
        <v>0</v>
      </c>
      <c r="H21" s="544"/>
      <c r="J21" s="105" t="s">
        <v>624</v>
      </c>
      <c r="K21" s="104">
        <v>-8.3152173705125492E-3</v>
      </c>
      <c r="L21" s="106">
        <v>-8.6960261588458376E-2</v>
      </c>
      <c r="M21" s="107"/>
    </row>
    <row r="22" spans="2:13" ht="14.45" customHeight="1">
      <c r="B22" s="108" t="s">
        <v>405</v>
      </c>
      <c r="C22" s="551">
        <v>6.9434299999999996E-3</v>
      </c>
      <c r="D22" s="551">
        <v>2.0934299999999999E-3</v>
      </c>
      <c r="E22" s="551">
        <v>9.1560400000000007E-3</v>
      </c>
      <c r="F22" s="551">
        <v>0</v>
      </c>
      <c r="G22" s="552">
        <f t="shared" si="1"/>
        <v>1.1268637528817127E-2</v>
      </c>
      <c r="H22" s="544"/>
      <c r="J22" s="105" t="s">
        <v>405</v>
      </c>
      <c r="K22" s="104">
        <v>-8.3152173705125492E-3</v>
      </c>
      <c r="L22" s="106">
        <v>-8.6960261588458376E-2</v>
      </c>
      <c r="M22" s="107"/>
    </row>
    <row r="23" spans="2:13" ht="14.45" customHeight="1">
      <c r="B23" s="108" t="s">
        <v>406</v>
      </c>
      <c r="C23" s="551">
        <v>8.3929999999999994E-3</v>
      </c>
      <c r="D23" s="551">
        <v>3.2548799999999999E-3</v>
      </c>
      <c r="E23" s="551">
        <v>1.18298E-2</v>
      </c>
      <c r="F23" s="551">
        <v>0</v>
      </c>
      <c r="G23" s="552">
        <f t="shared" si="1"/>
        <v>1.5123184579423965E-2</v>
      </c>
      <c r="H23" s="544"/>
      <c r="J23" s="105" t="s">
        <v>406</v>
      </c>
      <c r="K23" s="104">
        <v>-8.3152173705125492E-3</v>
      </c>
      <c r="L23" s="106">
        <v>-8.6960261588458376E-2</v>
      </c>
      <c r="M23" s="107"/>
    </row>
    <row r="24" spans="2:13" ht="14.45" customHeight="1">
      <c r="B24" s="108" t="s">
        <v>407</v>
      </c>
      <c r="C24" s="551">
        <v>3.9857699999999996E-3</v>
      </c>
      <c r="D24" s="551">
        <v>1.46704E-3</v>
      </c>
      <c r="E24" s="551">
        <v>5.3411600000000002E-3</v>
      </c>
      <c r="F24" s="551">
        <v>0</v>
      </c>
      <c r="G24" s="552">
        <f t="shared" si="1"/>
        <v>6.8160356953663737E-3</v>
      </c>
      <c r="H24" s="544"/>
      <c r="J24" s="105" t="s">
        <v>407</v>
      </c>
      <c r="K24" s="104">
        <v>-8.3152173705125492E-3</v>
      </c>
      <c r="L24" s="106">
        <v>-8.6960261588458376E-2</v>
      </c>
      <c r="M24" s="107"/>
    </row>
    <row r="25" spans="2:13" ht="14.45" customHeight="1">
      <c r="B25" s="108" t="s">
        <v>408</v>
      </c>
      <c r="C25" s="551">
        <v>6.1396799999999998E-3</v>
      </c>
      <c r="D25" s="551">
        <v>1.7811400000000001E-3</v>
      </c>
      <c r="E25" s="551">
        <v>9.45322E-3</v>
      </c>
      <c r="F25" s="551">
        <v>0</v>
      </c>
      <c r="G25" s="552">
        <f t="shared" si="1"/>
        <v>1.1251197508270749E-2</v>
      </c>
      <c r="H25" s="544"/>
      <c r="J25" s="105" t="s">
        <v>408</v>
      </c>
      <c r="K25" s="104">
        <v>-8.3152173705125492E-3</v>
      </c>
      <c r="L25" s="106">
        <v>-8.6960261588458376E-2</v>
      </c>
      <c r="M25" s="107"/>
    </row>
    <row r="26" spans="2:13" ht="14.45" customHeight="1">
      <c r="B26" s="108" t="s">
        <v>409</v>
      </c>
      <c r="C26" s="551">
        <v>1.145872E-2</v>
      </c>
      <c r="D26" s="551">
        <v>3.9247600000000002E-3</v>
      </c>
      <c r="E26" s="551">
        <v>1.1981489999999999E-2</v>
      </c>
      <c r="F26" s="551">
        <v>0</v>
      </c>
      <c r="G26" s="552">
        <f t="shared" si="1"/>
        <v>1.5953274472692458E-2</v>
      </c>
      <c r="H26" s="544"/>
      <c r="J26" s="105" t="s">
        <v>409</v>
      </c>
      <c r="K26" s="104">
        <v>-8.3152173705125492E-3</v>
      </c>
      <c r="L26" s="106">
        <v>-8.6960261588458376E-2</v>
      </c>
      <c r="M26" s="107"/>
    </row>
    <row r="27" spans="2:13" ht="14.45" customHeight="1">
      <c r="B27" s="108" t="s">
        <v>410</v>
      </c>
      <c r="C27" s="551">
        <v>1.060436E-2</v>
      </c>
      <c r="D27" s="551">
        <v>3.65578E-3</v>
      </c>
      <c r="E27" s="551">
        <v>1.40532E-2</v>
      </c>
      <c r="F27" s="551">
        <v>0</v>
      </c>
      <c r="G27" s="552">
        <f t="shared" si="1"/>
        <v>1.7760355407496098E-2</v>
      </c>
      <c r="H27" s="544"/>
      <c r="J27" s="105" t="s">
        <v>410</v>
      </c>
      <c r="K27" s="104">
        <v>-8.3152173705125492E-3</v>
      </c>
      <c r="L27" s="106">
        <v>-8.6960261588458376E-2</v>
      </c>
      <c r="M27" s="107"/>
    </row>
    <row r="28" spans="2:13" ht="14.45" customHeight="1">
      <c r="B28" s="108" t="s">
        <v>411</v>
      </c>
      <c r="C28" s="551">
        <v>6.3163999999999998E-3</v>
      </c>
      <c r="D28" s="551">
        <v>5.24217E-3</v>
      </c>
      <c r="E28" s="551">
        <v>1.4706479999999999E-2</v>
      </c>
      <c r="F28" s="551">
        <v>0</v>
      </c>
      <c r="G28" s="552">
        <f t="shared" si="1"/>
        <v>2.0025743868261614E-2</v>
      </c>
      <c r="H28" s="544"/>
      <c r="J28" s="105" t="s">
        <v>411</v>
      </c>
      <c r="K28" s="104">
        <v>-8.3152173705125492E-3</v>
      </c>
      <c r="L28" s="106">
        <v>-8.6960261588458376E-2</v>
      </c>
      <c r="M28" s="107"/>
    </row>
    <row r="29" spans="2:13" ht="14.45" customHeight="1">
      <c r="B29" s="108" t="s">
        <v>412</v>
      </c>
      <c r="C29" s="551">
        <v>4.2221799999999999E-3</v>
      </c>
      <c r="D29" s="551">
        <v>1.2462000000000001E-4</v>
      </c>
      <c r="E29" s="551">
        <v>6.6808199999999996E-3</v>
      </c>
      <c r="F29" s="551">
        <v>0</v>
      </c>
      <c r="G29" s="552">
        <f t="shared" si="1"/>
        <v>6.8062725637882959E-3</v>
      </c>
      <c r="H29" s="544"/>
      <c r="J29" s="105" t="s">
        <v>412</v>
      </c>
      <c r="K29" s="104">
        <v>-8.3152173705125492E-3</v>
      </c>
      <c r="L29" s="106">
        <v>-8.6960261588458376E-2</v>
      </c>
      <c r="M29" s="107"/>
    </row>
    <row r="30" spans="2:13" ht="14.45" customHeight="1">
      <c r="B30" s="108" t="s">
        <v>413</v>
      </c>
      <c r="C30" s="551">
        <v>6.1125299999999997E-3</v>
      </c>
      <c r="D30" s="551">
        <v>2.0507300000000002E-3</v>
      </c>
      <c r="E30" s="551">
        <v>1.485676E-2</v>
      </c>
      <c r="F30" s="551">
        <v>0</v>
      </c>
      <c r="G30" s="552">
        <f t="shared" si="1"/>
        <v>1.6937957203434717E-2</v>
      </c>
      <c r="H30" s="544"/>
      <c r="J30" s="105" t="s">
        <v>413</v>
      </c>
      <c r="K30" s="104">
        <v>-8.3152173705125492E-3</v>
      </c>
      <c r="L30" s="106">
        <v>-8.6960261588458376E-2</v>
      </c>
      <c r="M30" s="107"/>
    </row>
    <row r="31" spans="2:13" ht="14.45" customHeight="1">
      <c r="B31" s="108" t="s">
        <v>414</v>
      </c>
      <c r="C31" s="551">
        <v>6.4304100000000001E-3</v>
      </c>
      <c r="D31" s="551">
        <v>1.27943E-3</v>
      </c>
      <c r="E31" s="551">
        <v>1.0111719999999999E-2</v>
      </c>
      <c r="F31" s="551">
        <v>0</v>
      </c>
      <c r="G31" s="552">
        <f t="shared" si="1"/>
        <v>1.1404087237919747E-2</v>
      </c>
      <c r="H31" s="544"/>
      <c r="J31" s="105" t="s">
        <v>414</v>
      </c>
      <c r="K31" s="104">
        <v>-8.3152173705125492E-3</v>
      </c>
      <c r="L31" s="106">
        <v>-8.6960261588458376E-2</v>
      </c>
      <c r="M31" s="107"/>
    </row>
    <row r="32" spans="2:13" ht="14.45" customHeight="1">
      <c r="B32" s="108" t="s">
        <v>625</v>
      </c>
      <c r="C32" s="551">
        <v>0</v>
      </c>
      <c r="D32" s="551">
        <v>0</v>
      </c>
      <c r="E32" s="551">
        <v>0</v>
      </c>
      <c r="F32" s="551">
        <v>0</v>
      </c>
      <c r="G32" s="552">
        <f t="shared" si="1"/>
        <v>0</v>
      </c>
      <c r="H32" s="544"/>
      <c r="J32" s="105" t="s">
        <v>625</v>
      </c>
      <c r="K32" s="104">
        <v>-8.3152173705125492E-3</v>
      </c>
      <c r="L32" s="106">
        <v>-8.6960261588458376E-2</v>
      </c>
      <c r="M32" s="107"/>
    </row>
    <row r="33" spans="2:13" ht="14.45" customHeight="1">
      <c r="B33" s="108" t="s">
        <v>415</v>
      </c>
      <c r="C33" s="551">
        <v>3.6510800000000001E-3</v>
      </c>
      <c r="D33" s="551">
        <v>1.78039E-3</v>
      </c>
      <c r="E33" s="551">
        <v>8.9561699999999994E-3</v>
      </c>
      <c r="F33" s="551">
        <v>0</v>
      </c>
      <c r="G33" s="552">
        <f t="shared" si="1"/>
        <v>1.0752505475506213E-2</v>
      </c>
      <c r="H33" s="544"/>
      <c r="J33" s="105" t="s">
        <v>415</v>
      </c>
      <c r="K33" s="104">
        <v>-8.3152173705125492E-3</v>
      </c>
      <c r="L33" s="106">
        <v>-8.6960261588458376E-2</v>
      </c>
      <c r="M33" s="107"/>
    </row>
    <row r="34" spans="2:13" ht="14.45" customHeight="1">
      <c r="B34" s="108" t="s">
        <v>416</v>
      </c>
      <c r="C34" s="551">
        <v>2.673E-3</v>
      </c>
      <c r="D34" s="551">
        <v>1.0486E-3</v>
      </c>
      <c r="E34" s="551">
        <v>4.9345500000000002E-3</v>
      </c>
      <c r="F34" s="551">
        <v>0</v>
      </c>
      <c r="G34" s="552">
        <f t="shared" si="1"/>
        <v>5.9883243691301047E-3</v>
      </c>
      <c r="H34" s="544"/>
      <c r="J34" s="105" t="s">
        <v>416</v>
      </c>
      <c r="K34" s="104">
        <v>-8.3152173705125492E-3</v>
      </c>
      <c r="L34" s="106">
        <v>-8.6960261588458376E-2</v>
      </c>
      <c r="M34" s="107"/>
    </row>
    <row r="35" spans="2:13" ht="14.45" customHeight="1">
      <c r="B35" s="108" t="s">
        <v>417</v>
      </c>
      <c r="C35" s="551">
        <v>3.8450400000000001E-3</v>
      </c>
      <c r="D35" s="551">
        <v>9.4410999999999996E-4</v>
      </c>
      <c r="E35" s="551">
        <v>7.5987099999999998E-3</v>
      </c>
      <c r="F35" s="551">
        <v>0</v>
      </c>
      <c r="G35" s="552">
        <f t="shared" si="1"/>
        <v>8.5499940180979728E-3</v>
      </c>
      <c r="H35" s="544"/>
      <c r="J35" s="105" t="s">
        <v>417</v>
      </c>
      <c r="K35" s="104">
        <v>-8.3152173705125492E-3</v>
      </c>
      <c r="L35" s="106">
        <v>-8.6960261588458376E-2</v>
      </c>
      <c r="M35" s="107"/>
    </row>
    <row r="36" spans="2:13" ht="14.45" customHeight="1">
      <c r="B36" s="108" t="s">
        <v>418</v>
      </c>
      <c r="C36" s="551">
        <v>3.5167E-4</v>
      </c>
      <c r="D36" s="551">
        <v>6.6025000000000003E-4</v>
      </c>
      <c r="E36" s="551">
        <v>2.7523500000000002E-3</v>
      </c>
      <c r="F36" s="551">
        <v>0</v>
      </c>
      <c r="G36" s="552">
        <f t="shared" si="1"/>
        <v>3.4144172390873084E-3</v>
      </c>
      <c r="H36" s="544"/>
      <c r="J36" s="105" t="s">
        <v>418</v>
      </c>
      <c r="K36" s="104">
        <v>-8.3152173705125492E-3</v>
      </c>
      <c r="L36" s="106">
        <v>-8.6960261588458376E-2</v>
      </c>
      <c r="M36" s="107"/>
    </row>
    <row r="37" spans="2:13" ht="14.45" customHeight="1">
      <c r="B37" s="108" t="s">
        <v>419</v>
      </c>
      <c r="C37" s="551">
        <v>1.0156500000000001E-3</v>
      </c>
      <c r="D37" s="551">
        <v>1.2352000000000001E-4</v>
      </c>
      <c r="E37" s="551">
        <v>2.4360800000000002E-3</v>
      </c>
      <c r="F37" s="551">
        <v>0</v>
      </c>
      <c r="G37" s="552">
        <f t="shared" si="1"/>
        <v>2.5599009046017862E-3</v>
      </c>
      <c r="H37" s="544"/>
      <c r="J37" s="105" t="s">
        <v>419</v>
      </c>
      <c r="K37" s="104">
        <v>-8.3152173705125492E-3</v>
      </c>
      <c r="L37" s="106">
        <v>-8.6960261588458376E-2</v>
      </c>
      <c r="M37" s="107"/>
    </row>
    <row r="38" spans="2:13" ht="14.45" customHeight="1">
      <c r="B38" s="108" t="s">
        <v>420</v>
      </c>
      <c r="C38" s="551">
        <v>8.7421000000000005E-4</v>
      </c>
      <c r="D38" s="551">
        <v>5.1491999999999998E-4</v>
      </c>
      <c r="E38" s="551">
        <v>2.3954200000000001E-3</v>
      </c>
      <c r="F38" s="551">
        <v>0</v>
      </c>
      <c r="G38" s="552">
        <f t="shared" si="1"/>
        <v>2.9115734496665269E-3</v>
      </c>
      <c r="H38" s="544"/>
      <c r="J38" s="105" t="s">
        <v>420</v>
      </c>
      <c r="K38" s="104">
        <v>-8.3152173705125492E-3</v>
      </c>
      <c r="L38" s="106">
        <v>-8.6960261588458376E-2</v>
      </c>
      <c r="M38" s="107"/>
    </row>
    <row r="39" spans="2:13" ht="14.45" customHeight="1">
      <c r="B39" s="108" t="s">
        <v>421</v>
      </c>
      <c r="C39" s="551">
        <v>4.5863400000000004E-3</v>
      </c>
      <c r="D39" s="551">
        <v>1.1234999999999999E-3</v>
      </c>
      <c r="E39" s="551">
        <v>5.6908599999999998E-3</v>
      </c>
      <c r="F39" s="551">
        <v>0</v>
      </c>
      <c r="G39" s="552">
        <f t="shared" si="1"/>
        <v>6.8207536812101566E-3</v>
      </c>
      <c r="H39" s="544"/>
      <c r="J39" s="105" t="s">
        <v>421</v>
      </c>
      <c r="K39" s="104">
        <v>-8.3152173705125492E-3</v>
      </c>
      <c r="L39" s="106">
        <v>-8.6960261588458376E-2</v>
      </c>
      <c r="M39" s="107"/>
    </row>
    <row r="40" spans="2:13" ht="14.45" customHeight="1">
      <c r="B40" s="108" t="s">
        <v>422</v>
      </c>
      <c r="C40" s="551">
        <v>0</v>
      </c>
      <c r="D40" s="551">
        <v>0</v>
      </c>
      <c r="E40" s="551">
        <v>0</v>
      </c>
      <c r="F40" s="551">
        <v>0</v>
      </c>
      <c r="G40" s="552">
        <f t="shared" si="1"/>
        <v>0</v>
      </c>
      <c r="H40" s="544"/>
      <c r="J40" s="105" t="s">
        <v>422</v>
      </c>
      <c r="K40" s="104">
        <v>-8.3152173705125492E-3</v>
      </c>
      <c r="L40" s="106">
        <v>-8.6960261588458376E-2</v>
      </c>
      <c r="M40" s="107"/>
    </row>
    <row r="41" spans="2:13" ht="14.45" customHeight="1">
      <c r="B41" s="108" t="s">
        <v>626</v>
      </c>
      <c r="C41" s="551">
        <v>0</v>
      </c>
      <c r="D41" s="551">
        <v>0</v>
      </c>
      <c r="E41" s="551">
        <v>0</v>
      </c>
      <c r="F41" s="551">
        <v>0</v>
      </c>
      <c r="G41" s="552">
        <f t="shared" si="1"/>
        <v>0</v>
      </c>
      <c r="H41" s="544"/>
      <c r="J41" s="105" t="s">
        <v>626</v>
      </c>
      <c r="K41" s="104">
        <v>-8.3152173705125492E-3</v>
      </c>
      <c r="L41" s="106">
        <v>-8.6960261588458376E-2</v>
      </c>
      <c r="M41" s="107"/>
    </row>
    <row r="42" spans="2:13" ht="14.45" customHeight="1">
      <c r="B42" s="108" t="s">
        <v>423</v>
      </c>
      <c r="C42" s="551">
        <v>5.160373E-2</v>
      </c>
      <c r="D42" s="551">
        <v>4.0632200000000002E-3</v>
      </c>
      <c r="E42" s="551">
        <v>2.111675E-2</v>
      </c>
      <c r="F42" s="551">
        <v>0</v>
      </c>
      <c r="G42" s="552">
        <f t="shared" si="1"/>
        <v>2.5265772000935049E-2</v>
      </c>
      <c r="H42" s="544"/>
      <c r="J42" s="105" t="s">
        <v>423</v>
      </c>
      <c r="K42" s="104">
        <v>-8.3152173705125492E-3</v>
      </c>
      <c r="L42" s="106">
        <v>-8.6960261588458376E-2</v>
      </c>
      <c r="M42" s="107"/>
    </row>
    <row r="43" spans="2:13" ht="14.45" customHeight="1">
      <c r="B43" s="108" t="s">
        <v>424</v>
      </c>
      <c r="C43" s="551">
        <v>4.6619290000000001E-2</v>
      </c>
      <c r="D43" s="551">
        <v>1.50091E-3</v>
      </c>
      <c r="E43" s="551">
        <v>1.6660899999999999E-2</v>
      </c>
      <c r="F43" s="551">
        <v>0</v>
      </c>
      <c r="G43" s="552">
        <f t="shared" si="1"/>
        <v>1.8186816511418957E-2</v>
      </c>
      <c r="H43" s="544"/>
      <c r="J43" s="105" t="s">
        <v>424</v>
      </c>
      <c r="K43" s="104">
        <v>-8.3152173705125492E-3</v>
      </c>
      <c r="L43" s="106">
        <v>-8.6960261588458376E-2</v>
      </c>
      <c r="M43" s="107"/>
    </row>
    <row r="44" spans="2:13" ht="14.45" customHeight="1">
      <c r="B44" s="108" t="s">
        <v>627</v>
      </c>
      <c r="C44" s="551">
        <v>0</v>
      </c>
      <c r="D44" s="551">
        <v>0</v>
      </c>
      <c r="E44" s="551">
        <v>0</v>
      </c>
      <c r="F44" s="551">
        <v>0</v>
      </c>
      <c r="G44" s="552">
        <f t="shared" si="1"/>
        <v>0</v>
      </c>
      <c r="H44" s="544"/>
      <c r="J44" s="105" t="s">
        <v>627</v>
      </c>
      <c r="K44" s="104">
        <v>-8.3152173705125492E-3</v>
      </c>
      <c r="L44" s="106">
        <v>-8.6960261588458376E-2</v>
      </c>
      <c r="M44" s="107"/>
    </row>
    <row r="45" spans="2:13" ht="14.45" customHeight="1">
      <c r="B45" s="108" t="s">
        <v>425</v>
      </c>
      <c r="C45" s="551">
        <v>-8.9280200000000004E-2</v>
      </c>
      <c r="D45" s="551">
        <v>2.8267569999999999E-2</v>
      </c>
      <c r="E45" s="551">
        <v>0</v>
      </c>
      <c r="F45" s="551">
        <v>0</v>
      </c>
      <c r="G45" s="552">
        <f t="shared" si="1"/>
        <v>2.8267569999999909E-2</v>
      </c>
      <c r="H45" s="544"/>
      <c r="J45" s="105" t="s">
        <v>425</v>
      </c>
      <c r="K45" s="104">
        <v>-8.3152173705125492E-3</v>
      </c>
      <c r="L45" s="106">
        <v>-8.6960261588458376E-2</v>
      </c>
      <c r="M45" s="107"/>
    </row>
    <row r="46" spans="2:13" ht="14.45" customHeight="1">
      <c r="B46" s="108" t="s">
        <v>426</v>
      </c>
      <c r="C46" s="551">
        <v>0</v>
      </c>
      <c r="D46" s="551">
        <v>0</v>
      </c>
      <c r="E46" s="551">
        <v>0</v>
      </c>
      <c r="F46" s="551">
        <v>0</v>
      </c>
      <c r="G46" s="552">
        <f t="shared" si="1"/>
        <v>0</v>
      </c>
      <c r="H46" s="544"/>
      <c r="J46" s="105" t="s">
        <v>426</v>
      </c>
      <c r="K46" s="104">
        <v>-8.3152173705125492E-3</v>
      </c>
      <c r="L46" s="106">
        <v>-8.6960261588458376E-2</v>
      </c>
      <c r="M46" s="107"/>
    </row>
    <row r="47" spans="2:13" ht="14.45" customHeight="1">
      <c r="B47" s="108" t="s">
        <v>628</v>
      </c>
      <c r="C47" s="551">
        <v>0</v>
      </c>
      <c r="D47" s="551">
        <v>0</v>
      </c>
      <c r="E47" s="551">
        <v>0</v>
      </c>
      <c r="F47" s="551">
        <v>0</v>
      </c>
      <c r="G47" s="552">
        <f t="shared" si="1"/>
        <v>0</v>
      </c>
      <c r="H47" s="544"/>
      <c r="J47" s="105" t="s">
        <v>628</v>
      </c>
      <c r="K47" s="104">
        <v>-8.3152173705125492E-3</v>
      </c>
      <c r="L47" s="106">
        <v>-8.6960261588458376E-2</v>
      </c>
      <c r="M47" s="107"/>
    </row>
    <row r="48" spans="2:13" ht="14.45" customHeight="1">
      <c r="B48" s="108" t="s">
        <v>629</v>
      </c>
      <c r="C48" s="551">
        <v>0</v>
      </c>
      <c r="D48" s="551">
        <v>0</v>
      </c>
      <c r="E48" s="551">
        <v>0</v>
      </c>
      <c r="F48" s="551">
        <v>0</v>
      </c>
      <c r="G48" s="552">
        <f t="shared" si="1"/>
        <v>0</v>
      </c>
      <c r="H48" s="544"/>
      <c r="J48" s="105" t="s">
        <v>629</v>
      </c>
      <c r="K48" s="104">
        <v>-8.3152173705125492E-3</v>
      </c>
      <c r="L48" s="106">
        <v>-8.6960261588458376E-2</v>
      </c>
      <c r="M48" s="107"/>
    </row>
    <row r="49" spans="2:13" ht="14.45" customHeight="1">
      <c r="B49" s="108" t="s">
        <v>630</v>
      </c>
      <c r="C49" s="551">
        <v>0</v>
      </c>
      <c r="D49" s="551">
        <v>0</v>
      </c>
      <c r="E49" s="551">
        <v>0</v>
      </c>
      <c r="F49" s="551">
        <v>0</v>
      </c>
      <c r="G49" s="552">
        <f t="shared" si="1"/>
        <v>0</v>
      </c>
      <c r="H49" s="544"/>
      <c r="J49" s="105" t="s">
        <v>630</v>
      </c>
      <c r="K49" s="104">
        <v>-8.3152173705125492E-3</v>
      </c>
      <c r="L49" s="106">
        <v>-8.6960261588458376E-2</v>
      </c>
      <c r="M49" s="107"/>
    </row>
    <row r="50" spans="2:13" ht="14.45" customHeight="1">
      <c r="B50" s="108" t="s">
        <v>631</v>
      </c>
      <c r="C50" s="551">
        <v>0</v>
      </c>
      <c r="D50" s="551">
        <v>0</v>
      </c>
      <c r="E50" s="551">
        <v>0</v>
      </c>
      <c r="F50" s="551">
        <v>0</v>
      </c>
      <c r="G50" s="552">
        <f t="shared" si="1"/>
        <v>0</v>
      </c>
      <c r="H50" s="544"/>
      <c r="J50" s="105" t="s">
        <v>631</v>
      </c>
      <c r="K50" s="104">
        <v>-8.3152173705125492E-3</v>
      </c>
      <c r="L50" s="106">
        <v>-8.6960261588458376E-2</v>
      </c>
      <c r="M50" s="107"/>
    </row>
    <row r="51" spans="2:13" ht="14.45" customHeight="1">
      <c r="B51" s="108" t="s">
        <v>632</v>
      </c>
      <c r="C51" s="551">
        <v>0</v>
      </c>
      <c r="D51" s="551">
        <v>0</v>
      </c>
      <c r="E51" s="551">
        <v>0</v>
      </c>
      <c r="F51" s="551">
        <v>0</v>
      </c>
      <c r="G51" s="552">
        <f t="shared" si="1"/>
        <v>0</v>
      </c>
      <c r="H51" s="544"/>
      <c r="J51" s="105" t="s">
        <v>632</v>
      </c>
      <c r="K51" s="104">
        <v>-8.3152173705125492E-3</v>
      </c>
      <c r="L51" s="106">
        <v>-8.6960261588458376E-2</v>
      </c>
      <c r="M51" s="107"/>
    </row>
    <row r="52" spans="2:13" ht="14.45" customHeight="1">
      <c r="B52" s="108" t="s">
        <v>633</v>
      </c>
      <c r="C52" s="551">
        <v>0</v>
      </c>
      <c r="D52" s="551">
        <v>0</v>
      </c>
      <c r="E52" s="551">
        <v>0</v>
      </c>
      <c r="F52" s="551">
        <v>0</v>
      </c>
      <c r="G52" s="552">
        <f t="shared" si="1"/>
        <v>0</v>
      </c>
      <c r="H52" s="544"/>
      <c r="J52" s="105" t="s">
        <v>633</v>
      </c>
      <c r="K52" s="104">
        <v>-8.3152173705125492E-3</v>
      </c>
      <c r="L52" s="106">
        <v>-8.6960261588458376E-2</v>
      </c>
      <c r="M52" s="107"/>
    </row>
    <row r="53" spans="2:13" ht="14.45" customHeight="1">
      <c r="B53" s="108" t="s">
        <v>634</v>
      </c>
      <c r="C53" s="551">
        <v>0</v>
      </c>
      <c r="D53" s="551">
        <v>0</v>
      </c>
      <c r="E53" s="551">
        <v>0</v>
      </c>
      <c r="F53" s="551">
        <v>0</v>
      </c>
      <c r="G53" s="552">
        <f t="shared" si="1"/>
        <v>0</v>
      </c>
      <c r="H53" s="544"/>
      <c r="J53" s="105" t="s">
        <v>634</v>
      </c>
      <c r="K53" s="104">
        <v>-8.3152173705125492E-3</v>
      </c>
      <c r="L53" s="106">
        <v>-8.6960261588458376E-2</v>
      </c>
      <c r="M53" s="107"/>
    </row>
    <row r="54" spans="2:13" ht="14.45" customHeight="1">
      <c r="B54" s="108" t="s">
        <v>635</v>
      </c>
      <c r="C54" s="551">
        <v>0</v>
      </c>
      <c r="D54" s="551">
        <v>0</v>
      </c>
      <c r="E54" s="551">
        <v>0</v>
      </c>
      <c r="F54" s="551">
        <v>0</v>
      </c>
      <c r="G54" s="552">
        <f t="shared" si="1"/>
        <v>0</v>
      </c>
      <c r="H54" s="544"/>
      <c r="J54" s="105" t="s">
        <v>635</v>
      </c>
      <c r="K54" s="104">
        <v>-8.3152173705125492E-3</v>
      </c>
      <c r="L54" s="106">
        <v>-8.6960261588458376E-2</v>
      </c>
      <c r="M54" s="107"/>
    </row>
    <row r="55" spans="2:13" ht="14.45" customHeight="1">
      <c r="B55" s="108" t="s">
        <v>636</v>
      </c>
      <c r="C55" s="551">
        <v>0</v>
      </c>
      <c r="D55" s="551">
        <v>0</v>
      </c>
      <c r="E55" s="551">
        <v>0</v>
      </c>
      <c r="F55" s="551">
        <v>0</v>
      </c>
      <c r="G55" s="552">
        <f t="shared" si="1"/>
        <v>0</v>
      </c>
      <c r="H55" s="544"/>
      <c r="J55" s="105" t="s">
        <v>636</v>
      </c>
      <c r="K55" s="104">
        <v>-8.3152173705125492E-3</v>
      </c>
      <c r="L55" s="106">
        <v>-8.6960261588458376E-2</v>
      </c>
      <c r="M55" s="107"/>
    </row>
    <row r="56" spans="2:13" ht="14.45" customHeight="1">
      <c r="B56" s="108" t="s">
        <v>637</v>
      </c>
      <c r="C56" s="551">
        <v>0</v>
      </c>
      <c r="D56" s="551">
        <v>0</v>
      </c>
      <c r="E56" s="551">
        <v>0</v>
      </c>
      <c r="F56" s="551">
        <v>0</v>
      </c>
      <c r="G56" s="552">
        <f t="shared" si="1"/>
        <v>0</v>
      </c>
      <c r="H56" s="544"/>
      <c r="J56" s="105" t="s">
        <v>637</v>
      </c>
      <c r="K56" s="104">
        <v>-8.3152173705125492E-3</v>
      </c>
      <c r="L56" s="106">
        <v>-8.6960261588458376E-2</v>
      </c>
      <c r="M56" s="107"/>
    </row>
    <row r="57" spans="2:13" ht="14.45" customHeight="1">
      <c r="B57" s="108" t="s">
        <v>638</v>
      </c>
      <c r="C57" s="551">
        <v>0</v>
      </c>
      <c r="D57" s="551">
        <v>0</v>
      </c>
      <c r="E57" s="551">
        <v>0</v>
      </c>
      <c r="F57" s="551">
        <v>0</v>
      </c>
      <c r="G57" s="552">
        <f t="shared" si="1"/>
        <v>0</v>
      </c>
      <c r="H57" s="544"/>
      <c r="J57" s="105" t="s">
        <v>638</v>
      </c>
      <c r="K57" s="104">
        <v>-8.3152173705125492E-3</v>
      </c>
      <c r="L57" s="106">
        <v>-8.6960261588458376E-2</v>
      </c>
      <c r="M57" s="107"/>
    </row>
    <row r="58" spans="2:13" ht="14.45" customHeight="1">
      <c r="B58" s="108" t="s">
        <v>639</v>
      </c>
      <c r="C58" s="551">
        <v>0</v>
      </c>
      <c r="D58" s="551">
        <v>0</v>
      </c>
      <c r="E58" s="551">
        <v>0</v>
      </c>
      <c r="F58" s="551">
        <v>0</v>
      </c>
      <c r="G58" s="552">
        <f t="shared" si="1"/>
        <v>0</v>
      </c>
      <c r="H58" s="544"/>
      <c r="J58" s="105" t="s">
        <v>639</v>
      </c>
      <c r="K58" s="104">
        <v>-8.3152173705125492E-3</v>
      </c>
      <c r="L58" s="106">
        <v>-8.6960261588458376E-2</v>
      </c>
      <c r="M58" s="107"/>
    </row>
    <row r="59" spans="2:13" ht="14.45" customHeight="1">
      <c r="B59" s="108" t="s">
        <v>640</v>
      </c>
      <c r="C59" s="551">
        <v>0</v>
      </c>
      <c r="D59" s="551">
        <v>0</v>
      </c>
      <c r="E59" s="551">
        <v>0</v>
      </c>
      <c r="F59" s="551">
        <v>0</v>
      </c>
      <c r="G59" s="552">
        <f t="shared" si="1"/>
        <v>0</v>
      </c>
      <c r="H59" s="544"/>
      <c r="J59" s="105" t="s">
        <v>640</v>
      </c>
      <c r="K59" s="104">
        <v>-8.3152173705125492E-3</v>
      </c>
      <c r="L59" s="106">
        <v>-8.6960261588458376E-2</v>
      </c>
      <c r="M59" s="107"/>
    </row>
    <row r="60" spans="2:13" ht="14.45" customHeight="1">
      <c r="B60" s="108" t="s">
        <v>641</v>
      </c>
      <c r="C60" s="551">
        <v>0</v>
      </c>
      <c r="D60" s="551">
        <v>0</v>
      </c>
      <c r="E60" s="551">
        <v>0</v>
      </c>
      <c r="F60" s="551">
        <v>0</v>
      </c>
      <c r="G60" s="552">
        <f t="shared" si="1"/>
        <v>0</v>
      </c>
      <c r="H60" s="544"/>
      <c r="J60" s="105" t="s">
        <v>641</v>
      </c>
      <c r="K60" s="104">
        <v>-8.3152173705125492E-3</v>
      </c>
      <c r="L60" s="106">
        <v>-8.6960261588458376E-2</v>
      </c>
      <c r="M60" s="107"/>
    </row>
    <row r="61" spans="2:13" ht="14.45" customHeight="1">
      <c r="B61" s="108" t="s">
        <v>642</v>
      </c>
      <c r="C61" s="551">
        <v>0</v>
      </c>
      <c r="D61" s="551">
        <v>0</v>
      </c>
      <c r="E61" s="551">
        <v>0</v>
      </c>
      <c r="F61" s="551">
        <v>0</v>
      </c>
      <c r="G61" s="552">
        <f t="shared" si="1"/>
        <v>0</v>
      </c>
      <c r="H61" s="544"/>
      <c r="J61" s="105" t="s">
        <v>642</v>
      </c>
      <c r="K61" s="104">
        <v>-8.3152173705125492E-3</v>
      </c>
      <c r="L61" s="106">
        <v>-8.6960261588458376E-2</v>
      </c>
      <c r="M61" s="107"/>
    </row>
    <row r="62" spans="2:13" ht="14.45" customHeight="1">
      <c r="B62" s="109" t="s">
        <v>643</v>
      </c>
      <c r="C62" s="551">
        <v>0</v>
      </c>
      <c r="D62" s="551">
        <v>0</v>
      </c>
      <c r="E62" s="551">
        <v>0</v>
      </c>
      <c r="F62" s="551">
        <v>0</v>
      </c>
      <c r="G62" s="552">
        <f t="shared" si="1"/>
        <v>0</v>
      </c>
      <c r="H62" s="544"/>
      <c r="J62" s="121" t="s">
        <v>643</v>
      </c>
      <c r="K62" s="104">
        <v>-8.3152173705125492E-3</v>
      </c>
      <c r="L62" s="106">
        <v>-8.6960261588458376E-2</v>
      </c>
      <c r="M62" s="107"/>
    </row>
    <row r="63" spans="2:13" ht="14.45" customHeight="1">
      <c r="B63" s="108" t="s">
        <v>644</v>
      </c>
      <c r="C63" s="551">
        <v>0</v>
      </c>
      <c r="D63" s="551">
        <v>0</v>
      </c>
      <c r="E63" s="551">
        <v>0</v>
      </c>
      <c r="F63" s="551">
        <v>0</v>
      </c>
      <c r="G63" s="552">
        <f t="shared" si="1"/>
        <v>0</v>
      </c>
      <c r="H63" s="544"/>
      <c r="J63" s="105" t="s">
        <v>644</v>
      </c>
      <c r="K63" s="104">
        <v>-8.3152173705125492E-3</v>
      </c>
      <c r="L63" s="106">
        <v>-8.6960261588458376E-2</v>
      </c>
      <c r="M63" s="107"/>
    </row>
    <row r="64" spans="2:13" ht="14.45" customHeight="1">
      <c r="B64" s="109" t="s">
        <v>427</v>
      </c>
      <c r="C64" s="551">
        <v>0</v>
      </c>
      <c r="D64" s="551">
        <v>0</v>
      </c>
      <c r="E64" s="551">
        <v>0</v>
      </c>
      <c r="F64" s="551">
        <v>0</v>
      </c>
      <c r="G64" s="552">
        <f t="shared" si="1"/>
        <v>0</v>
      </c>
      <c r="H64" s="544"/>
      <c r="J64" s="121" t="s">
        <v>427</v>
      </c>
      <c r="K64" s="104">
        <v>-8.3152173705125492E-3</v>
      </c>
      <c r="L64" s="106">
        <v>-8.6960261588458376E-2</v>
      </c>
      <c r="M64" s="107"/>
    </row>
    <row r="65" spans="2:13" ht="14.45" customHeight="1">
      <c r="B65" s="108" t="s">
        <v>428</v>
      </c>
      <c r="C65" s="551">
        <v>6.3409999999999996E-4</v>
      </c>
      <c r="D65" s="551">
        <v>-5.5466000000000001E-4</v>
      </c>
      <c r="E65" s="551">
        <v>4.7663999999999996E-3</v>
      </c>
      <c r="F65" s="551">
        <v>0</v>
      </c>
      <c r="G65" s="552">
        <f t="shared" si="1"/>
        <v>4.2090962685761291E-3</v>
      </c>
      <c r="H65" s="544"/>
      <c r="J65" s="105" t="s">
        <v>428</v>
      </c>
      <c r="K65" s="104">
        <v>-8.3152173705125492E-3</v>
      </c>
      <c r="L65" s="106">
        <v>-8.6960261588458376E-2</v>
      </c>
      <c r="M65" s="107"/>
    </row>
    <row r="66" spans="2:13" ht="14.45" customHeight="1">
      <c r="B66" s="109" t="s">
        <v>429</v>
      </c>
      <c r="C66" s="551">
        <v>0</v>
      </c>
      <c r="D66" s="551">
        <v>0</v>
      </c>
      <c r="E66" s="551">
        <v>0</v>
      </c>
      <c r="F66" s="551">
        <v>0</v>
      </c>
      <c r="G66" s="552">
        <f t="shared" si="1"/>
        <v>0</v>
      </c>
      <c r="H66" s="544"/>
      <c r="J66" s="121" t="s">
        <v>429</v>
      </c>
      <c r="K66" s="104">
        <v>-8.3152173705125492E-3</v>
      </c>
      <c r="L66" s="106">
        <v>-8.6960261588458376E-2</v>
      </c>
      <c r="M66" s="107"/>
    </row>
    <row r="67" spans="2:13" ht="14.45" customHeight="1">
      <c r="B67" s="108" t="s">
        <v>430</v>
      </c>
      <c r="C67" s="551">
        <v>0</v>
      </c>
      <c r="D67" s="551">
        <v>0</v>
      </c>
      <c r="E67" s="551">
        <v>0</v>
      </c>
      <c r="F67" s="551">
        <v>0</v>
      </c>
      <c r="G67" s="552">
        <f t="shared" si="1"/>
        <v>0</v>
      </c>
      <c r="H67" s="544"/>
      <c r="J67" s="105" t="s">
        <v>430</v>
      </c>
      <c r="K67" s="104">
        <v>-8.3152173705125492E-3</v>
      </c>
      <c r="L67" s="106">
        <v>-8.6960261588458376E-2</v>
      </c>
      <c r="M67" s="107"/>
    </row>
    <row r="68" spans="2:13" ht="14.45" customHeight="1">
      <c r="B68" s="109" t="s">
        <v>645</v>
      </c>
      <c r="C68" s="551">
        <v>0</v>
      </c>
      <c r="D68" s="551">
        <v>0</v>
      </c>
      <c r="E68" s="551">
        <v>0</v>
      </c>
      <c r="F68" s="551">
        <v>0</v>
      </c>
      <c r="G68" s="552">
        <f t="shared" si="1"/>
        <v>0</v>
      </c>
      <c r="H68" s="544"/>
      <c r="J68" s="121" t="s">
        <v>645</v>
      </c>
      <c r="K68" s="104">
        <v>-8.3152173705125492E-3</v>
      </c>
      <c r="L68" s="106">
        <v>-8.6960261588458376E-2</v>
      </c>
      <c r="M68" s="107"/>
    </row>
    <row r="69" spans="2:13" ht="14.45" customHeight="1">
      <c r="B69" s="108" t="s">
        <v>431</v>
      </c>
      <c r="C69" s="551">
        <v>0</v>
      </c>
      <c r="D69" s="551">
        <v>0</v>
      </c>
      <c r="E69" s="551">
        <v>0</v>
      </c>
      <c r="F69" s="551">
        <v>0</v>
      </c>
      <c r="G69" s="552">
        <f t="shared" si="1"/>
        <v>0</v>
      </c>
      <c r="H69" s="544"/>
      <c r="J69" s="105" t="s">
        <v>431</v>
      </c>
      <c r="K69" s="104">
        <v>-8.3152173705125492E-3</v>
      </c>
      <c r="L69" s="106">
        <v>-8.6960261588458376E-2</v>
      </c>
      <c r="M69" s="107"/>
    </row>
    <row r="70" spans="2:13" ht="14.45" customHeight="1">
      <c r="B70" s="109" t="s">
        <v>432</v>
      </c>
      <c r="C70" s="551">
        <v>1.3678610000000001E-2</v>
      </c>
      <c r="D70" s="551">
        <v>3.1799599999999999E-3</v>
      </c>
      <c r="E70" s="551">
        <v>1.1581610000000001E-2</v>
      </c>
      <c r="F70" s="551">
        <v>0</v>
      </c>
      <c r="G70" s="552">
        <f t="shared" si="1"/>
        <v>1.4798399056535461E-2</v>
      </c>
      <c r="H70" s="544"/>
      <c r="J70" s="121" t="s">
        <v>432</v>
      </c>
      <c r="K70" s="104">
        <v>-8.3152173705125492E-3</v>
      </c>
      <c r="L70" s="106">
        <v>-8.6960261588458376E-2</v>
      </c>
      <c r="M70" s="107"/>
    </row>
    <row r="71" spans="2:13" ht="14.45" customHeight="1">
      <c r="B71" s="108" t="s">
        <v>459</v>
      </c>
      <c r="C71" s="551">
        <v>1.153917E-2</v>
      </c>
      <c r="D71" s="551">
        <v>7.3352599999999997E-3</v>
      </c>
      <c r="E71" s="551">
        <v>2.1468190000000002E-2</v>
      </c>
      <c r="F71" s="551">
        <v>0</v>
      </c>
      <c r="G71" s="552">
        <f t="shared" si="1"/>
        <v>2.896092475537948E-2</v>
      </c>
      <c r="H71" s="544"/>
      <c r="J71" s="105" t="s">
        <v>459</v>
      </c>
      <c r="K71" s="104">
        <v>-8.3152173705125492E-3</v>
      </c>
      <c r="L71" s="106">
        <v>-8.6960261588458376E-2</v>
      </c>
      <c r="M71" s="107"/>
    </row>
    <row r="72" spans="2:13" ht="14.45" customHeight="1">
      <c r="B72" s="109" t="s">
        <v>646</v>
      </c>
      <c r="C72" s="551">
        <v>0</v>
      </c>
      <c r="D72" s="551">
        <v>0</v>
      </c>
      <c r="E72" s="551">
        <v>0</v>
      </c>
      <c r="F72" s="551">
        <v>0</v>
      </c>
      <c r="G72" s="552">
        <f t="shared" si="1"/>
        <v>0</v>
      </c>
      <c r="H72" s="544"/>
      <c r="J72" s="121" t="s">
        <v>646</v>
      </c>
      <c r="K72" s="104">
        <v>-8.3152173705125492E-3</v>
      </c>
      <c r="L72" s="106">
        <v>-8.6960261588458376E-2</v>
      </c>
      <c r="M72" s="107"/>
    </row>
    <row r="73" spans="2:13" ht="14.45" customHeight="1">
      <c r="B73" s="108" t="s">
        <v>433</v>
      </c>
      <c r="C73" s="551">
        <v>1.3777E-4</v>
      </c>
      <c r="D73" s="551">
        <v>1.0210200000000001E-3</v>
      </c>
      <c r="E73" s="551">
        <v>5.2826599999999998E-3</v>
      </c>
      <c r="F73" s="551">
        <v>0</v>
      </c>
      <c r="G73" s="552">
        <f t="shared" si="1"/>
        <v>6.3090737015132348E-3</v>
      </c>
      <c r="H73" s="544"/>
      <c r="J73" s="105" t="s">
        <v>433</v>
      </c>
      <c r="K73" s="104">
        <v>-8.3152173705125492E-3</v>
      </c>
      <c r="L73" s="106">
        <v>-8.6960261588458376E-2</v>
      </c>
      <c r="M73" s="107"/>
    </row>
    <row r="74" spans="2:13" ht="14.45" customHeight="1">
      <c r="B74" s="109" t="s">
        <v>647</v>
      </c>
      <c r="C74" s="551">
        <v>0</v>
      </c>
      <c r="D74" s="551">
        <v>0</v>
      </c>
      <c r="E74" s="551">
        <v>0</v>
      </c>
      <c r="F74" s="551">
        <v>0</v>
      </c>
      <c r="G74" s="552">
        <f t="shared" si="1"/>
        <v>0</v>
      </c>
      <c r="H74" s="544"/>
      <c r="J74" s="121" t="s">
        <v>647</v>
      </c>
      <c r="K74" s="104">
        <v>-8.3152173705125492E-3</v>
      </c>
      <c r="L74" s="106">
        <v>-8.6960261588458376E-2</v>
      </c>
      <c r="M74" s="107"/>
    </row>
    <row r="75" spans="2:13" ht="14.45" customHeight="1">
      <c r="B75" s="108" t="s">
        <v>648</v>
      </c>
      <c r="C75" s="551">
        <v>0</v>
      </c>
      <c r="D75" s="551">
        <v>0</v>
      </c>
      <c r="E75" s="551">
        <v>0</v>
      </c>
      <c r="F75" s="551">
        <v>0</v>
      </c>
      <c r="G75" s="552">
        <f t="shared" si="1"/>
        <v>0</v>
      </c>
      <c r="H75" s="544"/>
      <c r="J75" s="105" t="s">
        <v>648</v>
      </c>
      <c r="K75" s="104">
        <v>-8.3152173705125492E-3</v>
      </c>
      <c r="L75" s="106">
        <v>-8.6960261588458376E-2</v>
      </c>
      <c r="M75" s="107"/>
    </row>
    <row r="76" spans="2:13" ht="14.45" customHeight="1">
      <c r="B76" s="109" t="s">
        <v>649</v>
      </c>
      <c r="C76" s="551">
        <v>0</v>
      </c>
      <c r="D76" s="551">
        <v>0</v>
      </c>
      <c r="E76" s="551">
        <v>0</v>
      </c>
      <c r="F76" s="551">
        <v>0</v>
      </c>
      <c r="G76" s="552">
        <f t="shared" si="1"/>
        <v>0</v>
      </c>
      <c r="H76" s="544"/>
      <c r="J76" s="121" t="s">
        <v>649</v>
      </c>
      <c r="K76" s="104">
        <v>-8.3152173705125492E-3</v>
      </c>
      <c r="L76" s="106">
        <v>-8.6960261588458376E-2</v>
      </c>
      <c r="M76" s="107"/>
    </row>
    <row r="77" spans="2:13" ht="14.45" customHeight="1">
      <c r="B77" s="108" t="s">
        <v>650</v>
      </c>
      <c r="C77" s="551">
        <v>0</v>
      </c>
      <c r="D77" s="551">
        <v>0</v>
      </c>
      <c r="E77" s="551">
        <v>0</v>
      </c>
      <c r="F77" s="551">
        <v>0</v>
      </c>
      <c r="G77" s="552">
        <f t="shared" ref="G77:G84" si="2">(1+D77)*(1+E77)-1</f>
        <v>0</v>
      </c>
      <c r="H77" s="544"/>
      <c r="J77" s="105" t="s">
        <v>650</v>
      </c>
      <c r="K77" s="104">
        <v>-8.3152173705125492E-3</v>
      </c>
      <c r="L77" s="106">
        <v>-8.6960261588458376E-2</v>
      </c>
      <c r="M77" s="107"/>
    </row>
    <row r="78" spans="2:13" ht="14.45" customHeight="1">
      <c r="B78" s="109" t="s">
        <v>651</v>
      </c>
      <c r="C78" s="551">
        <v>0</v>
      </c>
      <c r="D78" s="551">
        <v>0</v>
      </c>
      <c r="E78" s="551">
        <v>0</v>
      </c>
      <c r="F78" s="551">
        <v>0</v>
      </c>
      <c r="G78" s="552">
        <f t="shared" si="2"/>
        <v>0</v>
      </c>
      <c r="H78" s="544"/>
      <c r="J78" s="121" t="s">
        <v>651</v>
      </c>
      <c r="K78" s="104">
        <v>-8.3152173705125492E-3</v>
      </c>
      <c r="L78" s="106">
        <v>-8.6960261588458376E-2</v>
      </c>
      <c r="M78" s="107"/>
    </row>
    <row r="79" spans="2:13" ht="14.45" customHeight="1">
      <c r="B79" s="108" t="s">
        <v>652</v>
      </c>
      <c r="C79" s="551">
        <v>0</v>
      </c>
      <c r="D79" s="551">
        <v>0</v>
      </c>
      <c r="E79" s="551">
        <v>0</v>
      </c>
      <c r="F79" s="551">
        <v>0</v>
      </c>
      <c r="G79" s="552">
        <f t="shared" si="2"/>
        <v>0</v>
      </c>
      <c r="H79" s="544"/>
      <c r="J79" s="105" t="s">
        <v>652</v>
      </c>
      <c r="K79" s="104">
        <v>-8.3152173705125492E-3</v>
      </c>
      <c r="L79" s="106">
        <v>-8.6960261588458376E-2</v>
      </c>
      <c r="M79" s="107"/>
    </row>
    <row r="80" spans="2:13" ht="14.45" customHeight="1">
      <c r="B80" s="109" t="s">
        <v>653</v>
      </c>
      <c r="C80" s="551">
        <v>0</v>
      </c>
      <c r="D80" s="551">
        <v>0</v>
      </c>
      <c r="E80" s="551">
        <v>0</v>
      </c>
      <c r="F80" s="551">
        <v>0</v>
      </c>
      <c r="G80" s="552">
        <f t="shared" si="2"/>
        <v>0</v>
      </c>
      <c r="H80" s="544"/>
      <c r="J80" s="121" t="s">
        <v>653</v>
      </c>
      <c r="K80" s="104">
        <v>-8.3152173705125492E-3</v>
      </c>
      <c r="L80" s="106">
        <v>-8.6960261588458376E-2</v>
      </c>
      <c r="M80" s="107"/>
    </row>
    <row r="81" spans="2:13" ht="14.45" customHeight="1">
      <c r="B81" s="108" t="s">
        <v>654</v>
      </c>
      <c r="C81" s="551">
        <v>0</v>
      </c>
      <c r="D81" s="551">
        <v>0</v>
      </c>
      <c r="E81" s="551">
        <v>0</v>
      </c>
      <c r="F81" s="551">
        <v>0</v>
      </c>
      <c r="G81" s="552">
        <f t="shared" si="2"/>
        <v>0</v>
      </c>
      <c r="H81" s="544"/>
      <c r="J81" s="105" t="s">
        <v>654</v>
      </c>
      <c r="K81" s="104">
        <v>-8.3152173705125492E-3</v>
      </c>
      <c r="L81" s="106">
        <v>-8.6960261588458376E-2</v>
      </c>
      <c r="M81" s="107"/>
    </row>
    <row r="82" spans="2:13" ht="14.45" customHeight="1">
      <c r="B82" s="109" t="s">
        <v>655</v>
      </c>
      <c r="C82" s="551">
        <v>0</v>
      </c>
      <c r="D82" s="551">
        <v>0</v>
      </c>
      <c r="E82" s="551">
        <v>0</v>
      </c>
      <c r="F82" s="551">
        <v>0</v>
      </c>
      <c r="G82" s="552">
        <f t="shared" si="2"/>
        <v>0</v>
      </c>
      <c r="H82" s="544"/>
      <c r="J82" s="121" t="s">
        <v>655</v>
      </c>
      <c r="K82" s="104">
        <v>-8.3152173705125492E-3</v>
      </c>
      <c r="L82" s="106">
        <v>-8.6960261588458376E-2</v>
      </c>
      <c r="M82" s="107"/>
    </row>
    <row r="83" spans="2:13" ht="14.45" customHeight="1" thickBot="1">
      <c r="B83" s="108" t="s">
        <v>656</v>
      </c>
      <c r="C83" s="551">
        <v>0</v>
      </c>
      <c r="D83" s="551">
        <v>0</v>
      </c>
      <c r="E83" s="551">
        <v>0</v>
      </c>
      <c r="F83" s="551">
        <v>0</v>
      </c>
      <c r="G83" s="552">
        <f t="shared" si="2"/>
        <v>0</v>
      </c>
      <c r="H83" s="544"/>
      <c r="J83" s="110" t="s">
        <v>656</v>
      </c>
      <c r="K83" s="111">
        <v>-8.3152173705125492E-3</v>
      </c>
      <c r="L83" s="112">
        <v>-8.6960261588458376E-2</v>
      </c>
      <c r="M83" s="113"/>
    </row>
    <row r="84" spans="2:13" ht="15.75" thickBot="1">
      <c r="B84" s="114" t="s">
        <v>614</v>
      </c>
      <c r="C84" s="111">
        <v>0</v>
      </c>
      <c r="D84" s="111">
        <v>2.8299999999999999E-2</v>
      </c>
      <c r="E84" s="111">
        <v>0.11086894010165449</v>
      </c>
      <c r="F84" s="111">
        <v>0</v>
      </c>
      <c r="G84" s="113">
        <f t="shared" si="2"/>
        <v>0.14230653110653124</v>
      </c>
      <c r="H84" s="544"/>
      <c r="J84" s="89"/>
    </row>
    <row r="85" spans="2:13">
      <c r="C85" s="57"/>
      <c r="D85" s="55"/>
      <c r="E85" s="57"/>
      <c r="F85" s="55"/>
      <c r="G85" s="55"/>
      <c r="H85" s="545"/>
      <c r="J85" s="56"/>
      <c r="K85" s="53"/>
      <c r="L85" s="53"/>
    </row>
    <row r="86" spans="2:13">
      <c r="B86" s="55" t="s">
        <v>615</v>
      </c>
      <c r="I86" s="5"/>
      <c r="J86" s="89"/>
    </row>
    <row r="87" spans="2:13" ht="15.75" thickBot="1">
      <c r="I87" s="5"/>
      <c r="J87" s="53"/>
      <c r="K87" s="53"/>
      <c r="L87" s="53"/>
    </row>
    <row r="88" spans="2:13" ht="37.5" customHeight="1" thickBot="1">
      <c r="B88" s="566" t="s">
        <v>616</v>
      </c>
      <c r="C88" s="567"/>
      <c r="D88" s="568"/>
      <c r="E88" s="47"/>
      <c r="F88" s="47"/>
      <c r="G88" s="47"/>
      <c r="I88" s="5"/>
      <c r="J88" s="89"/>
    </row>
    <row r="89" spans="2:13" ht="31.5" customHeight="1" thickBot="1">
      <c r="B89" s="117" t="s">
        <v>548</v>
      </c>
      <c r="C89" s="118" t="s">
        <v>611</v>
      </c>
      <c r="D89" s="122" t="s">
        <v>612</v>
      </c>
      <c r="I89" s="5"/>
      <c r="J89" s="89"/>
    </row>
    <row r="90" spans="2:13" ht="15" customHeight="1">
      <c r="B90" s="119" t="s">
        <v>617</v>
      </c>
      <c r="C90" s="156">
        <v>1.1702913986163965E-2</v>
      </c>
      <c r="D90" s="123">
        <v>-6.8529657693413348E-2</v>
      </c>
      <c r="I90" s="5"/>
      <c r="J90" s="89"/>
    </row>
    <row r="91" spans="2:13">
      <c r="B91" s="115" t="s">
        <v>618</v>
      </c>
      <c r="C91" s="157">
        <v>6.6883143224261143E-3</v>
      </c>
      <c r="D91" s="124">
        <v>-7.3146577147473857E-2</v>
      </c>
      <c r="I91" s="5"/>
      <c r="J91" s="74"/>
      <c r="K91" s="74"/>
      <c r="L91" s="74"/>
    </row>
    <row r="92" spans="2:13">
      <c r="B92" s="115" t="s">
        <v>460</v>
      </c>
      <c r="C92" s="157">
        <v>3.6740734670521746E-3</v>
      </c>
      <c r="D92" s="124">
        <v>3.6740734670521746E-3</v>
      </c>
      <c r="I92" s="5"/>
      <c r="J92" s="74"/>
      <c r="K92" s="74"/>
      <c r="L92" s="74"/>
    </row>
    <row r="93" spans="2:13">
      <c r="B93" s="115" t="s">
        <v>551</v>
      </c>
      <c r="C93" s="157"/>
      <c r="D93" s="120"/>
      <c r="I93" s="5"/>
      <c r="J93" s="74"/>
      <c r="K93" s="74"/>
      <c r="L93" s="74"/>
    </row>
    <row r="94" spans="2:13">
      <c r="B94" s="115" t="s">
        <v>461</v>
      </c>
      <c r="C94" s="157"/>
      <c r="D94" s="120"/>
      <c r="I94" s="5"/>
      <c r="J94" s="74"/>
      <c r="K94" s="74"/>
      <c r="L94" s="74"/>
    </row>
    <row r="95" spans="2:13">
      <c r="B95" s="115" t="s">
        <v>462</v>
      </c>
      <c r="C95" s="157"/>
      <c r="D95" s="120"/>
      <c r="I95" s="5"/>
      <c r="J95" s="74"/>
      <c r="K95" s="74"/>
      <c r="L95" s="74"/>
    </row>
    <row r="96" spans="2:13" ht="15.75" thickBot="1">
      <c r="B96" s="116" t="s">
        <v>463</v>
      </c>
      <c r="C96" s="158"/>
      <c r="D96" s="159"/>
      <c r="I96" s="5"/>
      <c r="J96" s="74"/>
      <c r="K96" s="74"/>
      <c r="L96" s="74"/>
    </row>
    <row r="97" spans="2:10" ht="15" customHeight="1">
      <c r="B97" s="5"/>
      <c r="J97" s="89"/>
    </row>
    <row r="98" spans="2:10" ht="15.75" customHeight="1">
      <c r="B98" s="5"/>
      <c r="J98" s="89"/>
    </row>
    <row r="99" spans="2:10">
      <c r="B99" s="5"/>
      <c r="J99" s="89"/>
    </row>
    <row r="100" spans="2:10">
      <c r="B100" s="5"/>
      <c r="J100" s="89"/>
    </row>
    <row r="101" spans="2:10">
      <c r="B101" s="75"/>
      <c r="J101" s="89"/>
    </row>
    <row r="102" spans="2:10">
      <c r="B102" s="75"/>
      <c r="J102" s="89"/>
    </row>
    <row r="103" spans="2:10">
      <c r="B103" s="56"/>
      <c r="J103" s="89"/>
    </row>
    <row r="104" spans="2:10">
      <c r="B104" s="5"/>
      <c r="J104" s="89"/>
    </row>
    <row r="105" spans="2:10">
      <c r="B105" s="5"/>
      <c r="J105" s="89"/>
    </row>
    <row r="106" spans="2:10">
      <c r="B106" s="5"/>
      <c r="J106" s="89"/>
    </row>
    <row r="107" spans="2:10">
      <c r="B107" s="5"/>
      <c r="J107" s="89"/>
    </row>
    <row r="108" spans="2:10">
      <c r="B108" s="5"/>
      <c r="J108" s="89"/>
    </row>
    <row r="109" spans="2:10">
      <c r="B109" s="75"/>
      <c r="J109" s="89"/>
    </row>
    <row r="110" spans="2:10">
      <c r="B110" s="75"/>
      <c r="J110" s="89"/>
    </row>
    <row r="111" spans="2:10">
      <c r="B111" s="75"/>
      <c r="J111" s="89"/>
    </row>
    <row r="112" spans="2:10">
      <c r="B112" s="5"/>
      <c r="J112" s="89"/>
    </row>
    <row r="113" spans="2:10">
      <c r="B113" s="5"/>
      <c r="J113" s="89"/>
    </row>
    <row r="114" spans="2:10">
      <c r="B114" s="5"/>
      <c r="J114" s="89"/>
    </row>
    <row r="115" spans="2:10">
      <c r="B115" s="5"/>
      <c r="J115" s="89"/>
    </row>
    <row r="116" spans="2:10">
      <c r="B116" s="5"/>
      <c r="J116" s="89"/>
    </row>
    <row r="117" spans="2:10">
      <c r="B117" s="5"/>
      <c r="J117" s="89"/>
    </row>
    <row r="118" spans="2:10">
      <c r="B118" s="5"/>
      <c r="J118" s="89"/>
    </row>
    <row r="119" spans="2:10">
      <c r="B119" s="5"/>
      <c r="J119" s="89"/>
    </row>
    <row r="120" spans="2:10">
      <c r="B120" s="5"/>
      <c r="J120" s="89"/>
    </row>
    <row r="121" spans="2:10">
      <c r="B121" s="5"/>
      <c r="J121" s="89"/>
    </row>
    <row r="122" spans="2:10">
      <c r="B122" s="5"/>
      <c r="J122" s="89"/>
    </row>
    <row r="123" spans="2:10">
      <c r="B123" s="5"/>
      <c r="J123" s="89"/>
    </row>
    <row r="124" spans="2:10">
      <c r="B124" s="5"/>
      <c r="J124" s="89"/>
    </row>
    <row r="125" spans="2:10">
      <c r="B125" s="5"/>
      <c r="J125" s="89"/>
    </row>
    <row r="126" spans="2:10">
      <c r="B126" s="5"/>
      <c r="J126" s="89"/>
    </row>
    <row r="127" spans="2:10">
      <c r="B127" s="5"/>
      <c r="J127" s="89"/>
    </row>
    <row r="128" spans="2:10">
      <c r="J128" s="89"/>
    </row>
    <row r="129" spans="2:10">
      <c r="J129" s="89"/>
    </row>
    <row r="130" spans="2:10">
      <c r="J130" s="89"/>
    </row>
    <row r="131" spans="2:10">
      <c r="B131" s="5"/>
      <c r="J131" s="89"/>
    </row>
    <row r="132" spans="2:10">
      <c r="B132" s="5"/>
      <c r="J132" s="89"/>
    </row>
    <row r="133" spans="2:10">
      <c r="B133" s="5"/>
      <c r="J133" s="89"/>
    </row>
    <row r="134" spans="2:10">
      <c r="B134" s="5"/>
      <c r="J134" s="89"/>
    </row>
    <row r="135" spans="2:10">
      <c r="B135" s="5"/>
      <c r="J135" s="89"/>
    </row>
    <row r="136" spans="2:10">
      <c r="B136" s="5"/>
      <c r="J136" s="89"/>
    </row>
    <row r="137" spans="2:10">
      <c r="B137" s="5"/>
      <c r="J137" s="89"/>
    </row>
    <row r="138" spans="2:10">
      <c r="B138" s="5"/>
      <c r="J138" s="89"/>
    </row>
    <row r="139" spans="2:10">
      <c r="B139" s="5"/>
      <c r="J139" s="89"/>
    </row>
    <row r="140" spans="2:10">
      <c r="J140" s="89"/>
    </row>
    <row r="141" spans="2:10">
      <c r="J141" s="89"/>
    </row>
    <row r="142" spans="2:10">
      <c r="J142" s="89"/>
    </row>
    <row r="143" spans="2:10">
      <c r="J143" s="89"/>
    </row>
    <row r="144" spans="2:10">
      <c r="J144" s="89"/>
    </row>
    <row r="145" spans="2:10">
      <c r="J145" s="89"/>
    </row>
    <row r="146" spans="2:10">
      <c r="J146" s="89"/>
    </row>
    <row r="147" spans="2:10">
      <c r="B147" s="76"/>
      <c r="J147" s="89"/>
    </row>
    <row r="148" spans="2:10">
      <c r="B148" s="76"/>
      <c r="J148" s="89"/>
    </row>
    <row r="149" spans="2:10">
      <c r="B149" s="76"/>
      <c r="J149" s="89"/>
    </row>
    <row r="150" spans="2:10">
      <c r="J150" s="89"/>
    </row>
    <row r="151" spans="2:10">
      <c r="J151" s="89"/>
    </row>
    <row r="152" spans="2:10">
      <c r="J152" s="89"/>
    </row>
    <row r="153" spans="2:10">
      <c r="J153" s="89"/>
    </row>
    <row r="154" spans="2:10">
      <c r="J154" s="89"/>
    </row>
    <row r="155" spans="2:10">
      <c r="J155" s="89"/>
    </row>
    <row r="156" spans="2:10">
      <c r="J156" s="89"/>
    </row>
    <row r="157" spans="2:10">
      <c r="B157" s="5"/>
      <c r="J157" s="89"/>
    </row>
    <row r="158" spans="2:10">
      <c r="B158" s="5"/>
      <c r="J158" s="89"/>
    </row>
  </sheetData>
  <mergeCells count="4">
    <mergeCell ref="J10:M10"/>
    <mergeCell ref="B88:D88"/>
    <mergeCell ref="B2:G2"/>
    <mergeCell ref="B10:G10"/>
  </mergeCells>
  <pageMargins left="0.70866141732283472" right="0.70866141732283472" top="0.74803149606299213" bottom="0.74803149606299213" header="0.31496062992125984" footer="0.31496062992125984"/>
  <pageSetup paperSize="9" scale="60" orientation="portrait" r:id="rId1"/>
  <headerFooter>
    <oddFooter>&amp;L&amp;F&amp;CPage &amp;P/&amp;N&amp;R&amp;A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onitor Word Document" ma:contentTypeID="0x010100F1112C5CD2F24FADB3E9B4D483CB0EE6004784DCC49DD0874EB256D0B2181CBA67" ma:contentTypeVersion="2" ma:contentTypeDescription="Monitor Word Document" ma:contentTypeScope="" ma:versionID="d6d7490398cd9ac53135ab413de4b2f4">
  <xsd:schema xmlns:xsd="http://www.w3.org/2001/XMLSchema" xmlns:xs="http://www.w3.org/2001/XMLSchema" xmlns:p="http://schemas.microsoft.com/office/2006/metadata/properties" xmlns:ns2="9fd3b3b4-c26c-42ac-bf53-15d48f5070a6" xmlns:ns3="2d516e8f-cd88-438e-9193-3a5ad45be173" xmlns:ns4="824b9e12-2d1b-4f77-9736-60357fca002d" targetNamespace="http://schemas.microsoft.com/office/2006/metadata/properties" ma:root="true" ma:fieldsID="64187a6f192601489587cf84263a4192" ns2:_="" ns3:_="" ns4:_="">
    <xsd:import namespace="9fd3b3b4-c26c-42ac-bf53-15d48f5070a6"/>
    <xsd:import namespace="2d516e8f-cd88-438e-9193-3a5ad45be173"/>
    <xsd:import namespace="824b9e12-2d1b-4f77-9736-60357fca002d"/>
    <xsd:element name="properties">
      <xsd:complexType>
        <xsd:sequence>
          <xsd:element name="documentManagement">
            <xsd:complexType>
              <xsd:all>
                <xsd:element ref="ns2:WTWorkSpaceDocumentTypeTaxHTField0" minOccurs="0"/>
                <xsd:element ref="ns3:TaxKeywordTaxHTField"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d3b3b4-c26c-42ac-bf53-15d48f5070a6" elementFormDefault="qualified">
    <xsd:import namespace="http://schemas.microsoft.com/office/2006/documentManagement/types"/>
    <xsd:import namespace="http://schemas.microsoft.com/office/infopath/2007/PartnerControls"/>
    <xsd:element name="WTWorkSpaceDocumentTypeTaxHTField0" ma:index="9" nillable="true" ma:taxonomy="true" ma:internalName="WTWorkSpaceDocumentTypeTaxHTField0" ma:taxonomyFieldName="WTWorkSpaceDocumentType" ma:displayName="Monitor Document Type" ma:readOnly="false" ma:fieldId="{4ec57060-14aa-4678-911c-23fa9dcf7552}" ma:sspId="b9f3bada-ef23-4a97-91ad-c11a3d1e25f7" ma:termSetId="d85c8600-4493-46b9-bd68-d80f632f21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d516e8f-cd88-438e-9193-3a5ad45be173"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b9f3bada-ef23-4a97-91ad-c11a3d1e25f7"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4b9e12-2d1b-4f77-9736-60357fca002d"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5b080b9e-aae4-456e-8c3d-f89c49b39775}" ma:internalName="TaxCatchAll" ma:showField="CatchAllData" ma:web="2d516e8f-cd88-438e-9193-3a5ad45be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24b9e12-2d1b-4f77-9736-60357fca002d"/>
    <TaxKeywordTaxHTField xmlns="2d516e8f-cd88-438e-9193-3a5ad45be173">
      <Terms xmlns="http://schemas.microsoft.com/office/infopath/2007/PartnerControls"/>
    </TaxKeywordTaxHTField>
    <WTWorkSpaceDocumentTypeTaxHTField0 xmlns="9fd3b3b4-c26c-42ac-bf53-15d48f5070a6">
      <Terms xmlns="http://schemas.microsoft.com/office/infopath/2007/PartnerControls"/>
    </WTWorkSpaceDocumentTypeTaxHTField0>
  </documentManagement>
</p:properties>
</file>

<file path=customXml/itemProps1.xml><?xml version="1.0" encoding="utf-8"?>
<ds:datastoreItem xmlns:ds="http://schemas.openxmlformats.org/officeDocument/2006/customXml" ds:itemID="{CC7BEE8C-6BFC-402A-9D26-E15DB31CC71F}">
  <ds:schemaRefs>
    <ds:schemaRef ds:uri="http://schemas.microsoft.com/sharepoint/v3/contenttype/forms"/>
  </ds:schemaRefs>
</ds:datastoreItem>
</file>

<file path=customXml/itemProps2.xml><?xml version="1.0" encoding="utf-8"?>
<ds:datastoreItem xmlns:ds="http://schemas.openxmlformats.org/officeDocument/2006/customXml" ds:itemID="{175B49B2-C173-452A-9E17-9E56047FB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d3b3b4-c26c-42ac-bf53-15d48f5070a6"/>
    <ds:schemaRef ds:uri="2d516e8f-cd88-438e-9193-3a5ad45be173"/>
    <ds:schemaRef ds:uri="824b9e12-2d1b-4f77-9736-60357fca00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821206-5F57-4263-B287-D3DA58749B1D}">
  <ds:schemaRefs>
    <ds:schemaRef ds:uri="http://schemas.microsoft.com/office/infopath/2007/PartnerControls"/>
    <ds:schemaRef ds:uri="9fd3b3b4-c26c-42ac-bf53-15d48f5070a6"/>
    <ds:schemaRef ds:uri="http://purl.org/dc/elements/1.1/"/>
    <ds:schemaRef ds:uri="http://purl.org/dc/dcmitype/"/>
    <ds:schemaRef ds:uri="http://schemas.microsoft.com/office/2006/documentManagement/types"/>
    <ds:schemaRef ds:uri="2d516e8f-cd88-438e-9193-3a5ad45be173"/>
    <ds:schemaRef ds:uri="http://www.w3.org/XML/1998/namespace"/>
    <ds:schemaRef ds:uri="http://schemas.openxmlformats.org/package/2006/metadata/core-properties"/>
    <ds:schemaRef ds:uri="824b9e12-2d1b-4f77-9736-60357fca002d"/>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25</vt:i4>
      </vt:variant>
      <vt:variant>
        <vt:lpstr>Named Ranges</vt:lpstr>
      </vt:variant>
      <vt:variant>
        <vt:i4>9</vt:i4>
      </vt:variant>
    </vt:vector>
  </HeadingPairs>
  <TitlesOfParts>
    <vt:vector size="34" baseType="lpstr">
      <vt:lpstr>Disclaimer</vt:lpstr>
      <vt:lpstr>Navigation</vt:lpstr>
      <vt:lpstr>Linked sheet</vt:lpstr>
      <vt:lpstr>OPATT SQL code</vt:lpstr>
      <vt:lpstr>OPATT_Cost_Quantum</vt:lpstr>
      <vt:lpstr>OPATT_Activities</vt:lpstr>
      <vt:lpstr>Non-mandatory OPROC HRGs</vt:lpstr>
      <vt:lpstr>201314 RC list</vt:lpstr>
      <vt:lpstr>Price Adjustments</vt:lpstr>
      <vt:lpstr>Mandatory</vt:lpstr>
      <vt:lpstr>Mapping HRGs to TFCs</vt:lpstr>
      <vt:lpstr>Manual adjustment requests</vt:lpstr>
      <vt:lpstr>14-15 tariff</vt:lpstr>
      <vt:lpstr>15-16 tariff</vt:lpstr>
      <vt:lpstr>Output for BPT</vt:lpstr>
      <vt:lpstr>Output for non-mandatory</vt:lpstr>
      <vt:lpstr>HRGs to TFCs</vt:lpstr>
      <vt:lpstr>HRGs to TFCs % Split</vt:lpstr>
      <vt:lpstr>Allocate OPROC cost</vt:lpstr>
      <vt:lpstr>Front-loading</vt:lpstr>
      <vt:lpstr>Further adjustment</vt:lpstr>
      <vt:lpstr>Manual adjustments</vt:lpstr>
      <vt:lpstr>PRICES</vt:lpstr>
      <vt:lpstr>OPATT prices</vt:lpstr>
      <vt:lpstr>Post manual recon</vt:lpstr>
      <vt:lpstr>'Price Adjustments'!Inflation_2015_16</vt:lpstr>
      <vt:lpstr>'15-16 tariff'!Print_Area</vt:lpstr>
      <vt:lpstr>'Linked sheet'!Print_Area</vt:lpstr>
      <vt:lpstr>'Post manual recon'!Print_Area</vt:lpstr>
      <vt:lpstr>'Price Adjustments'!Print_Area</vt:lpstr>
      <vt:lpstr>'15-16 tariff'!Print_Titles</vt:lpstr>
      <vt:lpstr>'Linked sheet'!Print_Titles</vt:lpstr>
      <vt:lpstr>'OPATT prices'!Print_Titles</vt:lpstr>
      <vt:lpstr>'Post manual recon'!Print_Titles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Chona Labor</dc:creator>
  <cp:lastModifiedBy>James Lorigan</cp:lastModifiedBy>
  <cp:lastPrinted>2014-08-07T10:09:50Z</cp:lastPrinted>
  <dcterms:created xsi:type="dcterms:W3CDTF">2013-11-19T07:38:08Z</dcterms:created>
  <dcterms:modified xsi:type="dcterms:W3CDTF">2015-08-12T14:31:47Z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0x010100F1112C5CD2F24FADB3E9B4D483CB0EE6004784DCC49DD0874EB256D0B2181CBA67</vt:lpwstr>
  </property>
  <property fmtid="{D5CDD505-2E9C-101B-9397-08002B2CF9AE}" pid="3" name="TaxKeyword">
    <vt:lpwstr/>
  </property>
  <property fmtid="{D5CDD505-2E9C-101B-9397-08002B2CF9AE}" pid="4" name="WTTeamSiteDocumentType">
    <vt:lpwstr/>
  </property>
  <property fmtid="{D5CDD505-2E9C-101B-9397-08002B2CF9AE}" pid="5" name="WTWorkSpaceDocumentType">
    <vt:lpwstr/>
  </property>
</Properties>
</file>